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ivotTables/pivotTable2.xml" ContentType="application/vnd.openxmlformats-officedocument.spreadsheetml.pivotTable+xml"/>
  <Override PartName="/xl/tables/table1.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backupFile="1" codeName="ThisWorkbook" defaultThemeVersion="124226"/>
  <xr:revisionPtr revIDLastSave="0" documentId="13_ncr:1_{B68DE93F-FF02-4264-A7DE-1EB42712DAC9}" xr6:coauthVersionLast="47" xr6:coauthVersionMax="47" xr10:uidLastSave="{00000000-0000-0000-0000-000000000000}"/>
  <bookViews>
    <workbookView xWindow="-120" yWindow="-120" windowWidth="57840" windowHeight="15840" tabRatio="535" activeTab="2" xr2:uid="{00000000-000D-0000-FFFF-FFFF00000000}"/>
  </bookViews>
  <sheets>
    <sheet name="Chek" sheetId="35" r:id="rId1"/>
    <sheet name="PIVOT_ALL" sheetId="53" r:id="rId2"/>
    <sheet name="ДВД" sheetId="2" r:id="rId3"/>
    <sheet name="კორპუსები" sheetId="40" r:id="rId4"/>
    <sheet name="ндс 2022" sheetId="23" state="hidden" r:id="rId5"/>
    <sheet name="ндс 2023" sheetId="27" state="hidden" r:id="rId6"/>
    <sheet name="ндс 2024" sheetId="39" r:id="rId7"/>
    <sheet name="ндс 2025" sheetId="50" r:id="rId8"/>
  </sheets>
  <definedNames>
    <definedName name="_xlnm._FilterDatabase" localSheetId="2" hidden="1">ДВД!$A$10:$BR$3497</definedName>
    <definedName name="_xlnm._FilterDatabase" localSheetId="4" hidden="1">'ндс 2022'!$A$4:$S$446</definedName>
    <definedName name="_xlnm._FilterDatabase" localSheetId="5" hidden="1">'ндс 2023'!$A$4:$S$547</definedName>
    <definedName name="_xlnm._FilterDatabase" localSheetId="6" hidden="1">'ндс 2024'!$B$4:$R$898</definedName>
    <definedName name="_xlnm._FilterDatabase" localSheetId="7" hidden="1">'ндс 2025'!$C$4:$Q$898</definedName>
    <definedName name="_xlnm._FilterDatabase" localSheetId="3" hidden="1">კორპუსები!$A$10:$AQ$961</definedName>
    <definedName name="_xlcn.WorksheetConnection_0Строит.иреаб.13თებ2025.xlsxTable21" hidden="1">VAT_2025[]</definedName>
  </definedNames>
  <calcPr calcId="191029"/>
  <pivotCaches>
    <pivotCache cacheId="0" r:id="rId9"/>
    <pivotCache cacheId="7" r:id="rId10"/>
  </pivotCaches>
  <fileRecoveryPr autoRecover="0"/>
  <extLst>
    <ext xmlns:x15="http://schemas.microsoft.com/office/spreadsheetml/2010/11/main" uri="{FCE2AD5D-F65C-4FA6-A056-5C36A1767C68}">
      <x15:dataModel>
        <x15:modelTables>
          <x15:modelTable id="Table2" name="Table2" connection="WorksheetConnection_0-Строит. и реаб. (13 თებ 2025).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8" i="50" l="1"/>
  <c r="D658" i="50"/>
  <c r="E658" i="50"/>
  <c r="F658" i="50"/>
  <c r="G658" i="50"/>
  <c r="I658" i="50"/>
  <c r="J658" i="50"/>
  <c r="K658" i="50"/>
  <c r="C659" i="50"/>
  <c r="D659" i="50"/>
  <c r="E659" i="50"/>
  <c r="F659" i="50"/>
  <c r="G659" i="50"/>
  <c r="I659" i="50"/>
  <c r="J659" i="50"/>
  <c r="K659" i="50"/>
  <c r="C660" i="50"/>
  <c r="D660" i="50"/>
  <c r="E660" i="50"/>
  <c r="F660" i="50"/>
  <c r="G660" i="50"/>
  <c r="I660" i="50"/>
  <c r="J660" i="50"/>
  <c r="K660" i="50"/>
  <c r="C661" i="50"/>
  <c r="D661" i="50"/>
  <c r="E661" i="50"/>
  <c r="F661" i="50"/>
  <c r="G661" i="50"/>
  <c r="I661" i="50"/>
  <c r="J661" i="50"/>
  <c r="K661" i="50"/>
  <c r="C662" i="50"/>
  <c r="D662" i="50"/>
  <c r="E662" i="50"/>
  <c r="F662" i="50"/>
  <c r="G662" i="50"/>
  <c r="I662" i="50"/>
  <c r="J662" i="50"/>
  <c r="K662" i="50"/>
  <c r="C663" i="50"/>
  <c r="D663" i="50"/>
  <c r="E663" i="50"/>
  <c r="F663" i="50"/>
  <c r="G663" i="50"/>
  <c r="I663" i="50"/>
  <c r="J663" i="50"/>
  <c r="K663" i="50"/>
  <c r="C664" i="50"/>
  <c r="D664" i="50"/>
  <c r="E664" i="50"/>
  <c r="F664" i="50"/>
  <c r="G664" i="50"/>
  <c r="I664" i="50"/>
  <c r="J664" i="50"/>
  <c r="K664" i="50"/>
  <c r="C665" i="50"/>
  <c r="D665" i="50"/>
  <c r="E665" i="50"/>
  <c r="F665" i="50"/>
  <c r="G665" i="50"/>
  <c r="I665" i="50"/>
  <c r="J665" i="50"/>
  <c r="K665" i="50"/>
  <c r="C666" i="50"/>
  <c r="D666" i="50"/>
  <c r="E666" i="50"/>
  <c r="F666" i="50"/>
  <c r="G666" i="50"/>
  <c r="I666" i="50"/>
  <c r="J666" i="50"/>
  <c r="K666" i="50"/>
  <c r="C667" i="50"/>
  <c r="D667" i="50"/>
  <c r="E667" i="50"/>
  <c r="F667" i="50"/>
  <c r="G667" i="50"/>
  <c r="I667" i="50"/>
  <c r="J667" i="50"/>
  <c r="K667" i="50"/>
  <c r="C668" i="50"/>
  <c r="D668" i="50"/>
  <c r="E668" i="50"/>
  <c r="F668" i="50"/>
  <c r="G668" i="50"/>
  <c r="I668" i="50"/>
  <c r="J668" i="50"/>
  <c r="K668" i="50"/>
  <c r="C669" i="50"/>
  <c r="D669" i="50"/>
  <c r="E669" i="50"/>
  <c r="F669" i="50"/>
  <c r="G669" i="50"/>
  <c r="I669" i="50"/>
  <c r="J669" i="50"/>
  <c r="K669" i="50"/>
  <c r="C670" i="50"/>
  <c r="D670" i="50"/>
  <c r="E670" i="50"/>
  <c r="F670" i="50"/>
  <c r="G670" i="50"/>
  <c r="I670" i="50"/>
  <c r="J670" i="50"/>
  <c r="K670" i="50"/>
  <c r="C671" i="50"/>
  <c r="D671" i="50"/>
  <c r="E671" i="50"/>
  <c r="F671" i="50"/>
  <c r="G671" i="50"/>
  <c r="I671" i="50"/>
  <c r="J671" i="50"/>
  <c r="K671" i="50"/>
  <c r="BC600" i="2"/>
  <c r="AN600" i="2"/>
  <c r="H654" i="50"/>
  <c r="BD728" i="2"/>
  <c r="BC728" i="2"/>
  <c r="BD730" i="2" l="1"/>
  <c r="AZ730" i="2"/>
  <c r="H653" i="50"/>
  <c r="BC730" i="2"/>
  <c r="H652" i="50" l="1"/>
  <c r="BD731" i="2" l="1"/>
  <c r="AZ731" i="2"/>
  <c r="BC731" i="2"/>
  <c r="H651" i="50" l="1"/>
  <c r="H650" i="50"/>
  <c r="H609" i="50" l="1"/>
  <c r="H608" i="50"/>
  <c r="H610" i="50"/>
  <c r="AO841" i="2" l="1"/>
  <c r="AO815" i="2"/>
  <c r="AN1240" i="2" l="1"/>
  <c r="H649" i="50" l="1"/>
  <c r="AN591" i="2" l="1"/>
  <c r="AN869" i="2" l="1"/>
  <c r="H648" i="50"/>
  <c r="H647" i="50" l="1"/>
  <c r="H646" i="50"/>
  <c r="H645" i="50"/>
  <c r="H644" i="50" l="1"/>
  <c r="H643" i="50"/>
  <c r="H642" i="50"/>
  <c r="H641" i="50"/>
  <c r="H640" i="50"/>
  <c r="H639" i="50" l="1"/>
  <c r="H638" i="50" l="1"/>
  <c r="H637" i="50"/>
  <c r="H636" i="50" l="1"/>
  <c r="H635" i="50" l="1"/>
  <c r="H634" i="50"/>
  <c r="H633" i="50"/>
  <c r="H632" i="50"/>
  <c r="H631" i="50"/>
  <c r="H630" i="50" l="1"/>
  <c r="H629" i="50"/>
  <c r="H628" i="50"/>
  <c r="H627" i="50"/>
  <c r="I626" i="50" l="1"/>
  <c r="H626" i="50"/>
  <c r="AL1244" i="2"/>
  <c r="C632" i="50" l="1"/>
  <c r="D632" i="50"/>
  <c r="E632" i="50"/>
  <c r="F632" i="50"/>
  <c r="G632" i="50"/>
  <c r="I632" i="50"/>
  <c r="J632" i="50"/>
  <c r="K632" i="50"/>
  <c r="C633" i="50"/>
  <c r="D633" i="50"/>
  <c r="E633" i="50"/>
  <c r="F633" i="50"/>
  <c r="G633" i="50"/>
  <c r="I633" i="50"/>
  <c r="J633" i="50"/>
  <c r="K633" i="50"/>
  <c r="C634" i="50"/>
  <c r="D634" i="50"/>
  <c r="E634" i="50"/>
  <c r="F634" i="50"/>
  <c r="G634" i="50"/>
  <c r="I634" i="50"/>
  <c r="J634" i="50"/>
  <c r="K634" i="50"/>
  <c r="C635" i="50"/>
  <c r="D635" i="50"/>
  <c r="E635" i="50"/>
  <c r="F635" i="50"/>
  <c r="G635" i="50"/>
  <c r="I635" i="50"/>
  <c r="J635" i="50"/>
  <c r="K635" i="50"/>
  <c r="C636" i="50"/>
  <c r="D636" i="50"/>
  <c r="E636" i="50"/>
  <c r="F636" i="50"/>
  <c r="G636" i="50"/>
  <c r="I636" i="50"/>
  <c r="J636" i="50"/>
  <c r="K636" i="50"/>
  <c r="C637" i="50"/>
  <c r="D637" i="50"/>
  <c r="E637" i="50"/>
  <c r="F637" i="50"/>
  <c r="G637" i="50"/>
  <c r="I637" i="50"/>
  <c r="J637" i="50"/>
  <c r="K637" i="50"/>
  <c r="C638" i="50"/>
  <c r="D638" i="50"/>
  <c r="E638" i="50"/>
  <c r="F638" i="50"/>
  <c r="G638" i="50"/>
  <c r="I638" i="50"/>
  <c r="J638" i="50"/>
  <c r="K638" i="50"/>
  <c r="C639" i="50"/>
  <c r="D639" i="50"/>
  <c r="E639" i="50"/>
  <c r="F639" i="50"/>
  <c r="G639" i="50"/>
  <c r="I639" i="50"/>
  <c r="J639" i="50"/>
  <c r="K639" i="50"/>
  <c r="C640" i="50"/>
  <c r="D640" i="50"/>
  <c r="E640" i="50"/>
  <c r="F640" i="50"/>
  <c r="G640" i="50"/>
  <c r="I640" i="50"/>
  <c r="J640" i="50"/>
  <c r="K640" i="50"/>
  <c r="C641" i="50"/>
  <c r="D641" i="50"/>
  <c r="E641" i="50"/>
  <c r="F641" i="50"/>
  <c r="G641" i="50"/>
  <c r="I641" i="50"/>
  <c r="J641" i="50"/>
  <c r="K641" i="50"/>
  <c r="C642" i="50"/>
  <c r="D642" i="50"/>
  <c r="E642" i="50"/>
  <c r="F642" i="50"/>
  <c r="G642" i="50"/>
  <c r="I642" i="50"/>
  <c r="J642" i="50"/>
  <c r="K642" i="50"/>
  <c r="C643" i="50"/>
  <c r="D643" i="50"/>
  <c r="E643" i="50"/>
  <c r="F643" i="50"/>
  <c r="G643" i="50"/>
  <c r="I643" i="50"/>
  <c r="J643" i="50"/>
  <c r="K643" i="50"/>
  <c r="C644" i="50"/>
  <c r="D644" i="50"/>
  <c r="E644" i="50"/>
  <c r="F644" i="50"/>
  <c r="G644" i="50"/>
  <c r="I644" i="50"/>
  <c r="J644" i="50"/>
  <c r="K644" i="50"/>
  <c r="C645" i="50"/>
  <c r="D645" i="50"/>
  <c r="E645" i="50"/>
  <c r="F645" i="50"/>
  <c r="G645" i="50"/>
  <c r="I645" i="50"/>
  <c r="J645" i="50"/>
  <c r="K645" i="50"/>
  <c r="C646" i="50"/>
  <c r="D646" i="50"/>
  <c r="E646" i="50"/>
  <c r="F646" i="50"/>
  <c r="G646" i="50"/>
  <c r="I646" i="50"/>
  <c r="J646" i="50"/>
  <c r="K646" i="50"/>
  <c r="C647" i="50"/>
  <c r="D647" i="50"/>
  <c r="E647" i="50"/>
  <c r="F647" i="50"/>
  <c r="G647" i="50"/>
  <c r="I647" i="50"/>
  <c r="J647" i="50"/>
  <c r="K647" i="50"/>
  <c r="C648" i="50"/>
  <c r="D648" i="50"/>
  <c r="E648" i="50"/>
  <c r="F648" i="50"/>
  <c r="G648" i="50"/>
  <c r="I648" i="50"/>
  <c r="J648" i="50"/>
  <c r="K648" i="50"/>
  <c r="C649" i="50"/>
  <c r="D649" i="50"/>
  <c r="E649" i="50"/>
  <c r="F649" i="50"/>
  <c r="G649" i="50"/>
  <c r="I649" i="50"/>
  <c r="J649" i="50"/>
  <c r="K649" i="50"/>
  <c r="C650" i="50"/>
  <c r="D650" i="50"/>
  <c r="E650" i="50"/>
  <c r="F650" i="50"/>
  <c r="G650" i="50"/>
  <c r="I650" i="50"/>
  <c r="J650" i="50"/>
  <c r="K650" i="50"/>
  <c r="C651" i="50"/>
  <c r="D651" i="50"/>
  <c r="E651" i="50"/>
  <c r="F651" i="50"/>
  <c r="G651" i="50"/>
  <c r="I651" i="50"/>
  <c r="J651" i="50"/>
  <c r="K651" i="50"/>
  <c r="C652" i="50"/>
  <c r="D652" i="50"/>
  <c r="E652" i="50"/>
  <c r="F652" i="50"/>
  <c r="G652" i="50"/>
  <c r="I652" i="50"/>
  <c r="J652" i="50"/>
  <c r="K652" i="50"/>
  <c r="C653" i="50"/>
  <c r="D653" i="50"/>
  <c r="E653" i="50"/>
  <c r="F653" i="50"/>
  <c r="G653" i="50"/>
  <c r="I653" i="50"/>
  <c r="J653" i="50"/>
  <c r="K653" i="50"/>
  <c r="C654" i="50"/>
  <c r="D654" i="50"/>
  <c r="E654" i="50"/>
  <c r="F654" i="50"/>
  <c r="G654" i="50"/>
  <c r="I654" i="50"/>
  <c r="J654" i="50"/>
  <c r="K654" i="50"/>
  <c r="C655" i="50"/>
  <c r="D655" i="50"/>
  <c r="E655" i="50"/>
  <c r="F655" i="50"/>
  <c r="G655" i="50"/>
  <c r="I655" i="50"/>
  <c r="J655" i="50"/>
  <c r="K655" i="50"/>
  <c r="C656" i="50"/>
  <c r="D656" i="50"/>
  <c r="E656" i="50"/>
  <c r="F656" i="50"/>
  <c r="G656" i="50"/>
  <c r="I656" i="50"/>
  <c r="J656" i="50"/>
  <c r="K656" i="50"/>
  <c r="C657" i="50"/>
  <c r="D657" i="50"/>
  <c r="E657" i="50"/>
  <c r="F657" i="50"/>
  <c r="G657" i="50"/>
  <c r="I657" i="50"/>
  <c r="J657" i="50"/>
  <c r="K657" i="50"/>
  <c r="H625" i="50"/>
  <c r="H624" i="50"/>
  <c r="H623" i="50"/>
  <c r="H622" i="50"/>
  <c r="H621" i="50"/>
  <c r="H620" i="50"/>
  <c r="C626" i="50"/>
  <c r="D626" i="50"/>
  <c r="E626" i="50"/>
  <c r="F626" i="50"/>
  <c r="G626" i="50"/>
  <c r="J626" i="50"/>
  <c r="K626" i="50"/>
  <c r="C627" i="50"/>
  <c r="D627" i="50"/>
  <c r="E627" i="50"/>
  <c r="F627" i="50"/>
  <c r="G627" i="50"/>
  <c r="I627" i="50"/>
  <c r="J627" i="50"/>
  <c r="K627" i="50"/>
  <c r="C628" i="50"/>
  <c r="D628" i="50"/>
  <c r="E628" i="50"/>
  <c r="F628" i="50"/>
  <c r="G628" i="50"/>
  <c r="I628" i="50"/>
  <c r="J628" i="50"/>
  <c r="K628" i="50"/>
  <c r="C629" i="50"/>
  <c r="D629" i="50"/>
  <c r="E629" i="50"/>
  <c r="F629" i="50"/>
  <c r="G629" i="50"/>
  <c r="I629" i="50"/>
  <c r="J629" i="50"/>
  <c r="K629" i="50"/>
  <c r="C630" i="50"/>
  <c r="D630" i="50"/>
  <c r="E630" i="50"/>
  <c r="F630" i="50"/>
  <c r="G630" i="50"/>
  <c r="I630" i="50"/>
  <c r="J630" i="50"/>
  <c r="K630" i="50"/>
  <c r="C631" i="50"/>
  <c r="D631" i="50"/>
  <c r="E631" i="50"/>
  <c r="F631" i="50"/>
  <c r="G631" i="50"/>
  <c r="I631" i="50"/>
  <c r="J631" i="50"/>
  <c r="K631" i="50"/>
  <c r="I621" i="50"/>
  <c r="I622" i="50"/>
  <c r="I623" i="50"/>
  <c r="I624" i="50"/>
  <c r="I625" i="50"/>
  <c r="I620" i="50"/>
  <c r="AL605" i="2" l="1"/>
  <c r="BD605" i="2" l="1"/>
  <c r="BC605" i="2" l="1"/>
  <c r="BD591" i="2"/>
  <c r="H619" i="50" l="1"/>
  <c r="H618" i="50"/>
  <c r="AL1210" i="2"/>
  <c r="AL1072" i="2"/>
  <c r="H617" i="50"/>
  <c r="H616" i="50"/>
  <c r="H615" i="50"/>
  <c r="H614" i="50" l="1"/>
  <c r="H613" i="50"/>
  <c r="H612" i="50" l="1"/>
  <c r="H611" i="50"/>
  <c r="H607" i="50" l="1"/>
  <c r="H595" i="50" l="1"/>
  <c r="H596" i="50"/>
  <c r="H597" i="50"/>
  <c r="H598" i="50"/>
  <c r="H599" i="50"/>
  <c r="H600" i="50"/>
  <c r="H601" i="50"/>
  <c r="H602" i="50"/>
  <c r="G602" i="50" s="1"/>
  <c r="H603" i="50"/>
  <c r="G603" i="50" s="1"/>
  <c r="H604" i="50"/>
  <c r="G604" i="50" s="1"/>
  <c r="H605" i="50"/>
  <c r="G605" i="50" s="1"/>
  <c r="H606" i="50"/>
  <c r="G606" i="50" s="1"/>
  <c r="C602" i="50"/>
  <c r="D602" i="50"/>
  <c r="E602" i="50"/>
  <c r="F602" i="50"/>
  <c r="I602" i="50"/>
  <c r="J602" i="50"/>
  <c r="K602" i="50"/>
  <c r="C603" i="50"/>
  <c r="D603" i="50"/>
  <c r="E603" i="50"/>
  <c r="F603" i="50"/>
  <c r="I603" i="50"/>
  <c r="J603" i="50"/>
  <c r="K603" i="50"/>
  <c r="C604" i="50"/>
  <c r="D604" i="50"/>
  <c r="E604" i="50"/>
  <c r="F604" i="50"/>
  <c r="I604" i="50"/>
  <c r="J604" i="50"/>
  <c r="K604" i="50"/>
  <c r="C605" i="50"/>
  <c r="D605" i="50"/>
  <c r="E605" i="50"/>
  <c r="F605" i="50"/>
  <c r="I605" i="50"/>
  <c r="J605" i="50"/>
  <c r="K605" i="50"/>
  <c r="C606" i="50"/>
  <c r="D606" i="50"/>
  <c r="E606" i="50"/>
  <c r="F606" i="50"/>
  <c r="I606" i="50"/>
  <c r="J606" i="50"/>
  <c r="K606" i="50"/>
  <c r="C607" i="50"/>
  <c r="D607" i="50"/>
  <c r="E607" i="50"/>
  <c r="F607" i="50"/>
  <c r="G607" i="50"/>
  <c r="I607" i="50"/>
  <c r="J607" i="50"/>
  <c r="K607" i="50"/>
  <c r="C608" i="50"/>
  <c r="D608" i="50"/>
  <c r="E608" i="50"/>
  <c r="F608" i="50"/>
  <c r="G608" i="50"/>
  <c r="I608" i="50"/>
  <c r="J608" i="50"/>
  <c r="K608" i="50"/>
  <c r="C609" i="50"/>
  <c r="D609" i="50"/>
  <c r="E609" i="50"/>
  <c r="F609" i="50"/>
  <c r="G609" i="50"/>
  <c r="I609" i="50"/>
  <c r="J609" i="50"/>
  <c r="K609" i="50"/>
  <c r="C610" i="50"/>
  <c r="D610" i="50"/>
  <c r="E610" i="50"/>
  <c r="F610" i="50"/>
  <c r="G610" i="50"/>
  <c r="I610" i="50"/>
  <c r="J610" i="50"/>
  <c r="K610" i="50"/>
  <c r="C611" i="50"/>
  <c r="D611" i="50"/>
  <c r="E611" i="50"/>
  <c r="F611" i="50"/>
  <c r="G611" i="50"/>
  <c r="I611" i="50"/>
  <c r="J611" i="50"/>
  <c r="K611" i="50"/>
  <c r="C612" i="50"/>
  <c r="D612" i="50"/>
  <c r="E612" i="50"/>
  <c r="F612" i="50"/>
  <c r="G612" i="50"/>
  <c r="I612" i="50"/>
  <c r="J612" i="50"/>
  <c r="K612" i="50"/>
  <c r="C613" i="50"/>
  <c r="D613" i="50"/>
  <c r="E613" i="50"/>
  <c r="F613" i="50"/>
  <c r="G613" i="50"/>
  <c r="I613" i="50"/>
  <c r="J613" i="50"/>
  <c r="K613" i="50"/>
  <c r="C614" i="50"/>
  <c r="D614" i="50"/>
  <c r="E614" i="50"/>
  <c r="F614" i="50"/>
  <c r="G614" i="50"/>
  <c r="I614" i="50"/>
  <c r="J614" i="50"/>
  <c r="K614" i="50"/>
  <c r="C615" i="50"/>
  <c r="D615" i="50"/>
  <c r="E615" i="50"/>
  <c r="F615" i="50"/>
  <c r="G615" i="50"/>
  <c r="I615" i="50"/>
  <c r="J615" i="50"/>
  <c r="K615" i="50"/>
  <c r="C616" i="50"/>
  <c r="D616" i="50"/>
  <c r="E616" i="50"/>
  <c r="F616" i="50"/>
  <c r="G616" i="50"/>
  <c r="I616" i="50"/>
  <c r="J616" i="50"/>
  <c r="K616" i="50"/>
  <c r="C617" i="50"/>
  <c r="D617" i="50"/>
  <c r="E617" i="50"/>
  <c r="F617" i="50"/>
  <c r="G617" i="50"/>
  <c r="I617" i="50"/>
  <c r="J617" i="50"/>
  <c r="K617" i="50"/>
  <c r="C618" i="50"/>
  <c r="D618" i="50"/>
  <c r="E618" i="50"/>
  <c r="F618" i="50"/>
  <c r="G618" i="50"/>
  <c r="I618" i="50"/>
  <c r="J618" i="50"/>
  <c r="K618" i="50"/>
  <c r="C619" i="50"/>
  <c r="D619" i="50"/>
  <c r="E619" i="50"/>
  <c r="F619" i="50"/>
  <c r="G619" i="50"/>
  <c r="I619" i="50"/>
  <c r="J619" i="50"/>
  <c r="K619" i="50"/>
  <c r="C620" i="50"/>
  <c r="D620" i="50"/>
  <c r="E620" i="50"/>
  <c r="F620" i="50"/>
  <c r="G620" i="50"/>
  <c r="J620" i="50"/>
  <c r="K620" i="50"/>
  <c r="C621" i="50"/>
  <c r="D621" i="50"/>
  <c r="E621" i="50"/>
  <c r="F621" i="50"/>
  <c r="G621" i="50"/>
  <c r="J621" i="50"/>
  <c r="K621" i="50"/>
  <c r="C622" i="50"/>
  <c r="D622" i="50"/>
  <c r="E622" i="50"/>
  <c r="F622" i="50"/>
  <c r="G622" i="50"/>
  <c r="J622" i="50"/>
  <c r="K622" i="50"/>
  <c r="C623" i="50"/>
  <c r="D623" i="50"/>
  <c r="E623" i="50"/>
  <c r="F623" i="50"/>
  <c r="G623" i="50"/>
  <c r="J623" i="50"/>
  <c r="K623" i="50"/>
  <c r="C624" i="50"/>
  <c r="D624" i="50"/>
  <c r="E624" i="50"/>
  <c r="F624" i="50"/>
  <c r="G624" i="50"/>
  <c r="J624" i="50"/>
  <c r="K624" i="50"/>
  <c r="C625" i="50"/>
  <c r="D625" i="50"/>
  <c r="E625" i="50"/>
  <c r="F625" i="50"/>
  <c r="G625" i="50"/>
  <c r="J625" i="50"/>
  <c r="K625" i="50"/>
  <c r="H594" i="50" l="1"/>
  <c r="H593" i="50"/>
  <c r="AL1217" i="2"/>
  <c r="H592" i="50"/>
  <c r="H591" i="50"/>
  <c r="H590" i="50"/>
  <c r="H589" i="50"/>
  <c r="H588" i="50" l="1"/>
  <c r="C592" i="50" l="1"/>
  <c r="D592" i="50"/>
  <c r="E592" i="50"/>
  <c r="F592" i="50"/>
  <c r="G592" i="50"/>
  <c r="I592" i="50"/>
  <c r="J592" i="50"/>
  <c r="K592" i="50"/>
  <c r="C593" i="50"/>
  <c r="D593" i="50"/>
  <c r="E593" i="50"/>
  <c r="F593" i="50"/>
  <c r="G593" i="50"/>
  <c r="I593" i="50"/>
  <c r="J593" i="50"/>
  <c r="K593" i="50"/>
  <c r="C594" i="50"/>
  <c r="D594" i="50"/>
  <c r="E594" i="50"/>
  <c r="F594" i="50"/>
  <c r="G594" i="50"/>
  <c r="I594" i="50"/>
  <c r="J594" i="50"/>
  <c r="K594" i="50"/>
  <c r="C595" i="50"/>
  <c r="D595" i="50"/>
  <c r="E595" i="50"/>
  <c r="F595" i="50"/>
  <c r="G595" i="50"/>
  <c r="I595" i="50"/>
  <c r="J595" i="50"/>
  <c r="K595" i="50"/>
  <c r="C596" i="50"/>
  <c r="D596" i="50"/>
  <c r="E596" i="50"/>
  <c r="F596" i="50"/>
  <c r="G596" i="50"/>
  <c r="I596" i="50"/>
  <c r="J596" i="50"/>
  <c r="K596" i="50"/>
  <c r="C597" i="50"/>
  <c r="D597" i="50"/>
  <c r="E597" i="50"/>
  <c r="F597" i="50"/>
  <c r="G597" i="50"/>
  <c r="I597" i="50"/>
  <c r="J597" i="50"/>
  <c r="K597" i="50"/>
  <c r="C598" i="50"/>
  <c r="D598" i="50"/>
  <c r="E598" i="50"/>
  <c r="F598" i="50"/>
  <c r="G598" i="50"/>
  <c r="I598" i="50"/>
  <c r="J598" i="50"/>
  <c r="K598" i="50"/>
  <c r="C599" i="50"/>
  <c r="D599" i="50"/>
  <c r="E599" i="50"/>
  <c r="F599" i="50"/>
  <c r="G599" i="50"/>
  <c r="I599" i="50"/>
  <c r="J599" i="50"/>
  <c r="K599" i="50"/>
  <c r="C600" i="50"/>
  <c r="D600" i="50"/>
  <c r="E600" i="50"/>
  <c r="F600" i="50"/>
  <c r="G600" i="50"/>
  <c r="I600" i="50"/>
  <c r="J600" i="50"/>
  <c r="K600" i="50"/>
  <c r="C601" i="50"/>
  <c r="D601" i="50"/>
  <c r="E601" i="50"/>
  <c r="F601" i="50"/>
  <c r="G601" i="50"/>
  <c r="I601" i="50"/>
  <c r="J601" i="50"/>
  <c r="K601" i="50"/>
  <c r="H587" i="50" l="1"/>
  <c r="AL841" i="2"/>
  <c r="H582" i="50" s="1"/>
  <c r="H586" i="50" l="1"/>
  <c r="H581" i="50" l="1"/>
  <c r="H585" i="50"/>
  <c r="AL815" i="2"/>
  <c r="BD815" i="2"/>
  <c r="BC815" i="2" l="1"/>
  <c r="BC591" i="2"/>
  <c r="AK1187" i="2" l="1"/>
  <c r="M1192" i="2"/>
  <c r="M75" i="2"/>
  <c r="M1193" i="2"/>
  <c r="H584" i="50"/>
  <c r="I584" i="50"/>
  <c r="H583" i="50"/>
  <c r="H580" i="50" l="1"/>
  <c r="H579" i="50" l="1"/>
  <c r="I580" i="50"/>
  <c r="I581" i="50"/>
  <c r="I582" i="50"/>
  <c r="I583" i="50"/>
  <c r="I585" i="50"/>
  <c r="I586" i="50"/>
  <c r="I587" i="50"/>
  <c r="I588" i="50"/>
  <c r="I589" i="50"/>
  <c r="I590" i="50"/>
  <c r="I591" i="50"/>
  <c r="I579" i="50"/>
  <c r="BD829" i="2"/>
  <c r="BC829" i="2"/>
  <c r="AJ542" i="2" l="1"/>
  <c r="AJ1207" i="2" l="1"/>
  <c r="AJ1206" i="2"/>
  <c r="C579" i="50"/>
  <c r="D579" i="50"/>
  <c r="E579" i="50"/>
  <c r="F579" i="50"/>
  <c r="G579" i="50"/>
  <c r="J579" i="50"/>
  <c r="K579" i="50"/>
  <c r="C580" i="50"/>
  <c r="D580" i="50"/>
  <c r="E580" i="50"/>
  <c r="F580" i="50"/>
  <c r="G580" i="50"/>
  <c r="J580" i="50"/>
  <c r="K580" i="50"/>
  <c r="C581" i="50"/>
  <c r="D581" i="50"/>
  <c r="E581" i="50"/>
  <c r="F581" i="50"/>
  <c r="G581" i="50"/>
  <c r="J581" i="50"/>
  <c r="K581" i="50"/>
  <c r="C582" i="50"/>
  <c r="D582" i="50"/>
  <c r="E582" i="50"/>
  <c r="F582" i="50"/>
  <c r="G582" i="50"/>
  <c r="J582" i="50"/>
  <c r="K582" i="50"/>
  <c r="C583" i="50"/>
  <c r="D583" i="50"/>
  <c r="E583" i="50"/>
  <c r="F583" i="50"/>
  <c r="G583" i="50"/>
  <c r="J583" i="50"/>
  <c r="K583" i="50"/>
  <c r="C584" i="50"/>
  <c r="D584" i="50"/>
  <c r="E584" i="50"/>
  <c r="F584" i="50"/>
  <c r="G584" i="50"/>
  <c r="J584" i="50"/>
  <c r="K584" i="50"/>
  <c r="C585" i="50"/>
  <c r="D585" i="50"/>
  <c r="E585" i="50"/>
  <c r="F585" i="50"/>
  <c r="G585" i="50"/>
  <c r="J585" i="50"/>
  <c r="K585" i="50"/>
  <c r="C586" i="50"/>
  <c r="D586" i="50"/>
  <c r="E586" i="50"/>
  <c r="F586" i="50"/>
  <c r="G586" i="50"/>
  <c r="J586" i="50"/>
  <c r="K586" i="50"/>
  <c r="C587" i="50"/>
  <c r="D587" i="50"/>
  <c r="E587" i="50"/>
  <c r="F587" i="50"/>
  <c r="G587" i="50"/>
  <c r="J587" i="50"/>
  <c r="K587" i="50"/>
  <c r="C588" i="50"/>
  <c r="D588" i="50"/>
  <c r="E588" i="50"/>
  <c r="F588" i="50"/>
  <c r="G588" i="50"/>
  <c r="J588" i="50"/>
  <c r="K588" i="50"/>
  <c r="C589" i="50"/>
  <c r="D589" i="50"/>
  <c r="E589" i="50"/>
  <c r="F589" i="50"/>
  <c r="G589" i="50"/>
  <c r="J589" i="50"/>
  <c r="K589" i="50"/>
  <c r="C590" i="50"/>
  <c r="D590" i="50"/>
  <c r="E590" i="50"/>
  <c r="F590" i="50"/>
  <c r="G590" i="50"/>
  <c r="J590" i="50"/>
  <c r="K590" i="50"/>
  <c r="C591" i="50"/>
  <c r="D591" i="50"/>
  <c r="E591" i="50"/>
  <c r="F591" i="50"/>
  <c r="G591" i="50"/>
  <c r="J591" i="50"/>
  <c r="K591" i="50"/>
  <c r="AJ1209" i="2"/>
  <c r="AJ1208" i="2"/>
  <c r="AJ1205" i="2"/>
  <c r="BC542" i="2" l="1"/>
  <c r="BD13" i="2" l="1"/>
  <c r="BC13" i="2"/>
  <c r="AJ1186" i="2"/>
  <c r="BC1117" i="2" l="1"/>
  <c r="BD1117" i="2" l="1"/>
  <c r="AW1193" i="2" l="1"/>
  <c r="BD1193" i="2" l="1"/>
  <c r="BC1193" i="2" l="1"/>
  <c r="S1193" i="2"/>
  <c r="AZ1193" i="2"/>
  <c r="AY1193" i="2"/>
  <c r="AV1193" i="2"/>
  <c r="AV1192" i="2"/>
  <c r="AH876" i="2" l="1"/>
  <c r="AH814" i="2" l="1"/>
  <c r="AT1193" i="2" l="1"/>
  <c r="AS1193" i="2"/>
  <c r="J4" i="2" l="1"/>
  <c r="J5" i="2" s="1"/>
  <c r="AH1187" i="2" l="1"/>
  <c r="AI614" i="2" l="1"/>
  <c r="BD606" i="2" l="1"/>
  <c r="BC606" i="2" l="1"/>
  <c r="AF1193" i="2"/>
  <c r="AF1192" i="2"/>
  <c r="AF75" i="2"/>
  <c r="R75" i="2" s="1"/>
  <c r="BD435" i="2" l="1"/>
  <c r="BC435" i="2"/>
  <c r="AF858" i="2" l="1"/>
  <c r="AF614" i="2" l="1"/>
  <c r="BD1089" i="2" l="1"/>
  <c r="BC1089" i="2"/>
  <c r="AZ614" i="2" l="1"/>
  <c r="AG1169" i="2" l="1"/>
  <c r="AG1168" i="2"/>
  <c r="AG1167" i="2"/>
  <c r="AG1166" i="2"/>
  <c r="AG597" i="2"/>
  <c r="AG599" i="2"/>
  <c r="AG600" i="2"/>
  <c r="AG605" i="2"/>
  <c r="AG731" i="2"/>
  <c r="AG728" i="2"/>
  <c r="AG762" i="2"/>
  <c r="AG727" i="2"/>
  <c r="AG349" i="2"/>
  <c r="AG493" i="2"/>
  <c r="AG435" i="2"/>
  <c r="AG465" i="2"/>
  <c r="AG1155" i="2"/>
  <c r="AG1154" i="2"/>
  <c r="AG1152" i="2"/>
  <c r="AG1153" i="2"/>
  <c r="AG1162" i="2"/>
  <c r="AG1161" i="2"/>
  <c r="AG91" i="2" l="1"/>
  <c r="AG1164" i="2"/>
  <c r="AG1163" i="2"/>
  <c r="AG1165" i="2"/>
  <c r="AG937" i="2"/>
  <c r="AG891" i="2"/>
  <c r="AG945" i="2"/>
  <c r="AG1160" i="2"/>
  <c r="Z7" i="2" l="1"/>
  <c r="AE692" i="2"/>
  <c r="AE663" i="2"/>
  <c r="AE944" i="2"/>
  <c r="AE12" i="2" l="1"/>
  <c r="R1183" i="2"/>
  <c r="AD1164" i="2" l="1"/>
  <c r="AD1163" i="2" l="1"/>
  <c r="AT91" i="2" l="1"/>
  <c r="BD945" i="2" l="1"/>
  <c r="BC945" i="2"/>
  <c r="AE561" i="2" l="1"/>
  <c r="AE562" i="2"/>
  <c r="BE1035" i="2"/>
  <c r="BE1034" i="2"/>
  <c r="BE1033" i="2"/>
  <c r="BE1032" i="2"/>
  <c r="BB1030" i="2" l="1"/>
  <c r="BB1026" i="2"/>
  <c r="BB1024" i="2"/>
  <c r="BB901" i="2"/>
  <c r="BB879" i="2"/>
  <c r="BB420" i="2"/>
  <c r="BB316" i="2"/>
  <c r="BB367" i="2"/>
  <c r="BB694" i="2" l="1"/>
  <c r="BB1087" i="2"/>
  <c r="BB1086" i="2"/>
  <c r="BB1085" i="2"/>
  <c r="BB1084" i="2"/>
  <c r="BB1083" i="2"/>
  <c r="BB1082" i="2"/>
  <c r="BB625" i="2"/>
  <c r="BA616" i="2" l="1"/>
  <c r="BA196" i="2"/>
  <c r="BD569" i="2" l="1"/>
  <c r="BD542" i="2" l="1"/>
  <c r="AA542" i="2"/>
  <c r="BD563" i="2"/>
  <c r="BC563" i="2"/>
  <c r="AA563" i="2"/>
  <c r="BD562" i="2"/>
  <c r="AA562" i="2"/>
  <c r="BC562" i="2"/>
  <c r="BD1020" i="2"/>
  <c r="AA1020" i="2"/>
  <c r="BC1020" i="2"/>
  <c r="BD561" i="2"/>
  <c r="AA561" i="2"/>
  <c r="BC561" i="2"/>
  <c r="BD663" i="2" l="1"/>
  <c r="BC663" i="2"/>
  <c r="AB944" i="2" l="1"/>
  <c r="AB464" i="2" l="1"/>
  <c r="AB12" i="2" l="1"/>
  <c r="AA482" i="2" l="1"/>
  <c r="AW482" i="2" l="1"/>
  <c r="BB482" i="2" s="1"/>
  <c r="S433" i="2" l="1"/>
  <c r="J433" i="2" s="1"/>
  <c r="BD610" i="2" l="1"/>
  <c r="BC610" i="2"/>
  <c r="AZ569" i="2" l="1"/>
  <c r="BC569" i="2"/>
  <c r="BD567" i="2" l="1"/>
  <c r="BC567" i="2"/>
  <c r="J432" i="2" l="1"/>
  <c r="BC602" i="2" l="1"/>
  <c r="BD602" i="2"/>
  <c r="AZ591" i="2" l="1"/>
  <c r="BD281" i="2"/>
  <c r="BC281" i="2" l="1"/>
  <c r="BC595" i="2" l="1"/>
  <c r="BC727" i="2"/>
  <c r="AY727" i="2"/>
  <c r="BC349" i="2"/>
  <c r="AY349" i="2"/>
  <c r="AY725" i="2"/>
  <c r="BD1071" i="2" l="1"/>
  <c r="BC1071" i="2"/>
  <c r="BD1073" i="2" l="1"/>
  <c r="BC1073" i="2"/>
  <c r="BC1074" i="2" l="1"/>
  <c r="BD1074" i="2"/>
  <c r="G306" i="50" l="1"/>
  <c r="G307" i="50"/>
  <c r="G308" i="50"/>
  <c r="AZ471" i="2" l="1"/>
  <c r="AZ445" i="2" l="1"/>
  <c r="AW427" i="2" l="1"/>
  <c r="BB427" i="2" s="1"/>
  <c r="AZ410" i="2" l="1"/>
  <c r="AW410" i="2"/>
  <c r="BB410" i="2" s="1"/>
  <c r="AZ277" i="2" l="1"/>
  <c r="AW277" i="2"/>
  <c r="G299" i="50" l="1"/>
  <c r="G300" i="50"/>
  <c r="G301" i="50"/>
  <c r="G302" i="50"/>
  <c r="G303" i="50"/>
  <c r="G304" i="50"/>
  <c r="G305" i="50"/>
  <c r="G296" i="50"/>
  <c r="G295" i="50"/>
  <c r="G294" i="50"/>
  <c r="AZ1054" i="2" l="1"/>
  <c r="BC1058" i="2" l="1"/>
  <c r="BD1080" i="2" l="1"/>
  <c r="BC1080" i="2"/>
  <c r="BD1047" i="2" l="1"/>
  <c r="AZ1047" i="2"/>
  <c r="BC1047" i="2"/>
  <c r="AZ1055" i="2" l="1"/>
  <c r="G297" i="50" l="1"/>
  <c r="G298" i="50"/>
  <c r="G285" i="50"/>
  <c r="G286" i="50"/>
  <c r="G287" i="50"/>
  <c r="G288" i="50"/>
  <c r="G289" i="50"/>
  <c r="G290" i="50"/>
  <c r="G291" i="50"/>
  <c r="G292" i="50"/>
  <c r="G293" i="50"/>
  <c r="BD1046" i="2"/>
  <c r="AZ1046" i="2"/>
  <c r="BC1046" i="2"/>
  <c r="BD1081" i="2" l="1"/>
  <c r="BC1081" i="2"/>
  <c r="BD1042" i="2" l="1"/>
  <c r="BC1042" i="2"/>
  <c r="R1125" i="2" l="1"/>
  <c r="G280" i="50"/>
  <c r="G281" i="50"/>
  <c r="G282" i="50"/>
  <c r="G283" i="50"/>
  <c r="G284" i="50"/>
  <c r="G269" i="50"/>
  <c r="G270" i="50"/>
  <c r="G271" i="50"/>
  <c r="G272" i="50"/>
  <c r="G273" i="50"/>
  <c r="G274" i="50"/>
  <c r="G275" i="50"/>
  <c r="G276" i="50"/>
  <c r="G277" i="50"/>
  <c r="G278" i="50"/>
  <c r="G279" i="50"/>
  <c r="G259" i="50" l="1"/>
  <c r="G260" i="50"/>
  <c r="G261" i="50"/>
  <c r="G262" i="50"/>
  <c r="G263" i="50"/>
  <c r="G264" i="50"/>
  <c r="G265" i="50"/>
  <c r="G266" i="50"/>
  <c r="G267" i="50"/>
  <c r="G268" i="50"/>
  <c r="G256" i="50" l="1"/>
  <c r="G255" i="50"/>
  <c r="G254" i="50"/>
  <c r="G253" i="50"/>
  <c r="G252" i="50"/>
  <c r="G257" i="50"/>
  <c r="G258" i="50"/>
  <c r="G251" i="50"/>
  <c r="G243" i="50" l="1"/>
  <c r="G244" i="50"/>
  <c r="G245" i="50"/>
  <c r="G246" i="50"/>
  <c r="G247" i="50"/>
  <c r="G248" i="50"/>
  <c r="G249" i="50"/>
  <c r="G250" i="50"/>
  <c r="G234" i="50" l="1"/>
  <c r="G235" i="50"/>
  <c r="G236" i="50"/>
  <c r="G237" i="50"/>
  <c r="G238" i="50"/>
  <c r="G239" i="50"/>
  <c r="G240" i="50"/>
  <c r="G241" i="50"/>
  <c r="G242" i="50"/>
  <c r="J325" i="2"/>
  <c r="G224" i="50"/>
  <c r="G225" i="50"/>
  <c r="G226" i="50"/>
  <c r="G227" i="50"/>
  <c r="G228" i="50"/>
  <c r="G229" i="50"/>
  <c r="G230" i="50"/>
  <c r="G231" i="50"/>
  <c r="G232" i="50"/>
  <c r="G233" i="50"/>
  <c r="G215" i="50"/>
  <c r="G216" i="50"/>
  <c r="G217" i="50"/>
  <c r="G218" i="50"/>
  <c r="G219" i="50"/>
  <c r="G220" i="50"/>
  <c r="G221" i="50"/>
  <c r="G222" i="50"/>
  <c r="G223" i="50"/>
  <c r="G214" i="50" l="1"/>
  <c r="G213" i="50"/>
  <c r="G212" i="50"/>
  <c r="G211" i="50"/>
  <c r="B2" i="50"/>
  <c r="R334" i="2"/>
  <c r="H334" i="2" s="1"/>
  <c r="C2" i="50" l="1"/>
  <c r="Y567" i="2" l="1"/>
  <c r="AZ381" i="2"/>
  <c r="BB381" i="2" s="1"/>
  <c r="H2" i="50" l="1"/>
  <c r="I2" i="50"/>
  <c r="D2" i="50"/>
  <c r="F2" i="50"/>
  <c r="O2" i="50"/>
  <c r="L2" i="50"/>
  <c r="N2" i="50"/>
  <c r="M2" i="50"/>
  <c r="K2" i="50"/>
  <c r="AZ189" i="2" l="1"/>
  <c r="AY616" i="2" l="1"/>
  <c r="AZ616" i="2"/>
  <c r="R602" i="2" l="1"/>
  <c r="V567" i="2" l="1"/>
  <c r="AZ361" i="2" l="1"/>
  <c r="BB361" i="2" s="1"/>
  <c r="V404" i="2"/>
  <c r="AZ404" i="2" l="1"/>
  <c r="BD404" i="2"/>
  <c r="BD7" i="2" s="1"/>
  <c r="W1040" i="2" l="1"/>
  <c r="W1039" i="2"/>
  <c r="W1038" i="2"/>
  <c r="W1037" i="2"/>
  <c r="W1036" i="2"/>
  <c r="W1030" i="2"/>
  <c r="W1026" i="2"/>
  <c r="W1024" i="2"/>
  <c r="W253" i="2"/>
  <c r="W493" i="2"/>
  <c r="W574" i="2"/>
  <c r="W718" i="2"/>
  <c r="W349" i="2"/>
  <c r="W381" i="2"/>
  <c r="W367" i="2" l="1"/>
  <c r="W361" i="2"/>
  <c r="W404" i="2"/>
  <c r="W103" i="2"/>
  <c r="W1020" i="2"/>
  <c r="W599" i="2"/>
  <c r="W602" i="2"/>
  <c r="W595" i="2"/>
  <c r="W631" i="2"/>
  <c r="W625" i="2"/>
  <c r="W815" i="2"/>
  <c r="W803" i="2"/>
  <c r="W799" i="2"/>
  <c r="W445" i="2"/>
  <c r="W809" i="2"/>
  <c r="W441" i="2"/>
  <c r="W427" i="2"/>
  <c r="W420" i="2"/>
  <c r="W410" i="2"/>
  <c r="W1090" i="2"/>
  <c r="W1089" i="2"/>
  <c r="W1088" i="2"/>
  <c r="W1048" i="2"/>
  <c r="W1053" i="2"/>
  <c r="W1050" i="2"/>
  <c r="W1052" i="2"/>
  <c r="W1066" i="2"/>
  <c r="W1058" i="2"/>
  <c r="W1049" i="2"/>
  <c r="W1051" i="2"/>
  <c r="W1059" i="2"/>
  <c r="W569" i="2"/>
  <c r="W567" i="2" l="1"/>
  <c r="W838" i="2"/>
  <c r="W832" i="2"/>
  <c r="W798" i="2"/>
  <c r="W828" i="2"/>
  <c r="W1046" i="2" l="1"/>
  <c r="W1081" i="2"/>
  <c r="W1043" i="2"/>
  <c r="W1055" i="2"/>
  <c r="W1065" i="2"/>
  <c r="W1080" i="2"/>
  <c r="W1047" i="2"/>
  <c r="W1079" i="2"/>
  <c r="W1078" i="2"/>
  <c r="W1074" i="2"/>
  <c r="W1076" i="2"/>
  <c r="W1075" i="2"/>
  <c r="W1062" i="2"/>
  <c r="W1042" i="2"/>
  <c r="W1073" i="2"/>
  <c r="W1071" i="2"/>
  <c r="W1070" i="2"/>
  <c r="W1069" i="2"/>
  <c r="W1068" i="2"/>
  <c r="W168" i="2"/>
  <c r="W482" i="2"/>
  <c r="W562" i="2"/>
  <c r="W563" i="2"/>
  <c r="W591" i="2"/>
  <c r="W663" i="2"/>
  <c r="W1087" i="2"/>
  <c r="W1086" i="2"/>
  <c r="W1085" i="2"/>
  <c r="W1084" i="2"/>
  <c r="W1083" i="2"/>
  <c r="W1082" i="2"/>
  <c r="W189" i="2"/>
  <c r="W190" i="2"/>
  <c r="W694" i="2"/>
  <c r="W1067" i="2"/>
  <c r="W901" i="2"/>
  <c r="W879" i="2"/>
  <c r="W303" i="2"/>
  <c r="W316" i="2"/>
  <c r="W883" i="2"/>
  <c r="W871" i="2"/>
  <c r="W887" i="2"/>
  <c r="W905" i="2"/>
  <c r="W916" i="2"/>
  <c r="W890" i="2"/>
  <c r="W882" i="2"/>
  <c r="W912" i="2"/>
  <c r="BC1090" i="2"/>
  <c r="BC1088" i="2"/>
  <c r="BC1066" i="2"/>
  <c r="BC1059" i="2"/>
  <c r="BC1053" i="2"/>
  <c r="BC1052" i="2"/>
  <c r="BC1051" i="2"/>
  <c r="BC1050" i="2"/>
  <c r="BC1049" i="2"/>
  <c r="BC1048" i="2"/>
  <c r="BC594" i="2" l="1"/>
  <c r="BC570" i="2"/>
  <c r="AY569" i="2"/>
  <c r="AY253" i="2" l="1"/>
  <c r="BC253" i="2"/>
  <c r="BC493" i="2"/>
  <c r="BC574" i="2"/>
  <c r="BC631" i="2"/>
  <c r="BC625" i="2"/>
  <c r="AY614" i="2"/>
  <c r="BC614" i="2"/>
  <c r="AY471" i="2"/>
  <c r="AY805" i="2"/>
  <c r="BC427" i="2"/>
  <c r="BC410" i="2"/>
  <c r="AY435" i="2"/>
  <c r="BC420" i="2"/>
  <c r="AY441" i="2"/>
  <c r="AY795" i="2"/>
  <c r="AY476" i="2"/>
  <c r="AV476" i="2"/>
  <c r="AY418" i="2"/>
  <c r="AY408" i="2"/>
  <c r="BC799" i="2" l="1"/>
  <c r="BC592" i="2" l="1"/>
  <c r="AY591" i="2" l="1"/>
  <c r="BC168" i="2"/>
  <c r="BC482" i="2"/>
  <c r="BC694" i="2" l="1"/>
  <c r="AY663" i="2"/>
  <c r="BC1084" i="2"/>
  <c r="BC1085" i="2"/>
  <c r="BC1086" i="2"/>
  <c r="BC1087" i="2"/>
  <c r="BC1083" i="2"/>
  <c r="BC1082" i="2"/>
  <c r="BC189" i="2"/>
  <c r="AY189" i="2"/>
  <c r="BC190" i="2"/>
  <c r="AY190" i="2"/>
  <c r="BC316" i="2" l="1"/>
  <c r="BC883" i="2"/>
  <c r="BC905" i="2"/>
  <c r="AY869" i="2"/>
  <c r="AY277" i="2"/>
  <c r="BC871" i="2"/>
  <c r="AY867" i="2"/>
  <c r="BC887" i="2"/>
  <c r="AV91" i="2" l="1"/>
  <c r="AS91" i="2"/>
  <c r="AY98" i="2"/>
  <c r="V1101" i="2" l="1"/>
  <c r="BC1075" i="2"/>
  <c r="BC1076" i="2"/>
  <c r="BC1065" i="2"/>
  <c r="BC1079" i="2" l="1"/>
  <c r="AY1047" i="2"/>
  <c r="BC1055" i="2"/>
  <c r="AY1055" i="2"/>
  <c r="BC1043" i="2"/>
  <c r="AY1046" i="2"/>
  <c r="BC1070" i="2" l="1"/>
  <c r="BC1069" i="2"/>
  <c r="AY1054" i="2"/>
  <c r="BC1062" i="2"/>
  <c r="AY391" i="2" l="1"/>
  <c r="BC726" i="2"/>
  <c r="AY731" i="2"/>
  <c r="AY730" i="2"/>
  <c r="BC745" i="2"/>
  <c r="BC768" i="2"/>
  <c r="BC739" i="2"/>
  <c r="BC756" i="2"/>
  <c r="BC767" i="2"/>
  <c r="AY381" i="2"/>
  <c r="BC7" i="2"/>
  <c r="G124" i="50" l="1"/>
  <c r="G126" i="50" l="1"/>
  <c r="H484" i="2" l="1"/>
  <c r="I484" i="2"/>
  <c r="H485" i="2"/>
  <c r="J485" i="2"/>
  <c r="H486" i="2"/>
  <c r="J486" i="2"/>
  <c r="BB915" i="2" l="1"/>
  <c r="BE915" i="2" s="1"/>
  <c r="BB524" i="2"/>
  <c r="BE524" i="2" s="1"/>
  <c r="BB523" i="2"/>
  <c r="BE523" i="2" s="1"/>
  <c r="BB522" i="2"/>
  <c r="BE522" i="2" s="1"/>
  <c r="BB521" i="2"/>
  <c r="BE521" i="2" s="1"/>
  <c r="BB520" i="2"/>
  <c r="BE520" i="2" s="1"/>
  <c r="BB519" i="2"/>
  <c r="BE519" i="2" s="1"/>
  <c r="BB478" i="2"/>
  <c r="BE478" i="2" s="1"/>
  <c r="BB463" i="2"/>
  <c r="BE463" i="2" s="1"/>
  <c r="BB328" i="2"/>
  <c r="BE328" i="2" s="1"/>
  <c r="BB80" i="2"/>
  <c r="BE80" i="2" s="1"/>
  <c r="AB263" i="40" l="1"/>
  <c r="AB262" i="40"/>
  <c r="AB261" i="40"/>
  <c r="AB260" i="40"/>
  <c r="AB259" i="40"/>
  <c r="AB258" i="40"/>
  <c r="AB239" i="40"/>
  <c r="AB238" i="40"/>
  <c r="AB226" i="40"/>
  <c r="AB223" i="40"/>
  <c r="AB209" i="40"/>
  <c r="AB184" i="40"/>
  <c r="AB178" i="40"/>
  <c r="AB177" i="40"/>
  <c r="AB173" i="40"/>
  <c r="AB127" i="40"/>
  <c r="BB774" i="2" l="1"/>
  <c r="BE774" i="2" s="1"/>
  <c r="BB1028" i="2" l="1"/>
  <c r="BE1028" i="2" s="1"/>
  <c r="BB716" i="2"/>
  <c r="BE716" i="2" s="1"/>
  <c r="BB710" i="2"/>
  <c r="BE710" i="2" s="1"/>
  <c r="BB655" i="2"/>
  <c r="BE655" i="2" s="1"/>
  <c r="BB653" i="2"/>
  <c r="BE653" i="2" s="1"/>
  <c r="BB651" i="2"/>
  <c r="BE651" i="2" s="1"/>
  <c r="BB649" i="2"/>
  <c r="BE649" i="2" s="1"/>
  <c r="BB645" i="2"/>
  <c r="BE645" i="2" s="1"/>
  <c r="BB643" i="2"/>
  <c r="BE643" i="2" s="1"/>
  <c r="BB636" i="2"/>
  <c r="BE636" i="2" s="1"/>
  <c r="BB634" i="2"/>
  <c r="BE634" i="2" s="1"/>
  <c r="BB629" i="2"/>
  <c r="BE629" i="2" s="1"/>
  <c r="BB200" i="2"/>
  <c r="BE200" i="2" s="1"/>
  <c r="BB186" i="2"/>
  <c r="BE186" i="2" s="1"/>
  <c r="R1091" i="2" l="1"/>
  <c r="R1092" i="2"/>
  <c r="G100" i="50" l="1"/>
  <c r="AZ103" i="2" l="1"/>
  <c r="AY103" i="2"/>
  <c r="AZ718" i="2" l="1"/>
  <c r="AY718" i="2"/>
  <c r="T1024" i="2" l="1"/>
  <c r="AY361" i="2" l="1"/>
  <c r="AV427" i="2" l="1"/>
  <c r="AY410" i="2"/>
  <c r="AV410" i="2"/>
  <c r="AY303" i="2"/>
  <c r="H183" i="40" l="1"/>
  <c r="H182" i="40"/>
  <c r="H181" i="40"/>
  <c r="BA190" i="2"/>
  <c r="BB190" i="2" s="1"/>
  <c r="G48" i="50"/>
  <c r="G49" i="50"/>
  <c r="R1076" i="2" l="1"/>
  <c r="H1076" i="2" s="1"/>
  <c r="AY404" i="2" l="1"/>
  <c r="T594" i="2" l="1"/>
  <c r="T569" i="2"/>
  <c r="U431" i="2" l="1"/>
  <c r="U476" i="2"/>
  <c r="U427" i="2"/>
  <c r="S427" i="2" s="1"/>
  <c r="J427" i="2" s="1"/>
  <c r="U420" i="2"/>
  <c r="U1065" i="2" l="1"/>
  <c r="U1064" i="2"/>
  <c r="U1063" i="2"/>
  <c r="U1062" i="2"/>
  <c r="U1061" i="2"/>
  <c r="U1060" i="2"/>
  <c r="U1055" i="2"/>
  <c r="U898" i="2"/>
  <c r="U591" i="2"/>
  <c r="U1047" i="2" l="1"/>
  <c r="U1046" i="2"/>
  <c r="U1054" i="2"/>
  <c r="U482" i="2"/>
  <c r="U75" i="2"/>
  <c r="N3" i="40" l="1"/>
  <c r="H916" i="2" l="1"/>
  <c r="H882" i="2"/>
  <c r="H890" i="2"/>
  <c r="F912" i="2"/>
  <c r="H912" i="2"/>
  <c r="H838" i="2" l="1"/>
  <c r="H832" i="2"/>
  <c r="H798" i="2"/>
  <c r="F829" i="2" l="1"/>
  <c r="H828" i="2" l="1"/>
  <c r="G29" i="50" l="1"/>
  <c r="G30" i="50"/>
  <c r="G31" i="50"/>
  <c r="G32" i="50"/>
  <c r="G33" i="50"/>
  <c r="G34" i="50"/>
  <c r="G35" i="50"/>
  <c r="G36" i="50"/>
  <c r="G37" i="50"/>
  <c r="G38" i="50"/>
  <c r="G39" i="50"/>
  <c r="G40" i="50"/>
  <c r="G41" i="50"/>
  <c r="G42" i="50"/>
  <c r="G43" i="50"/>
  <c r="G44" i="50"/>
  <c r="G45" i="50"/>
  <c r="G46" i="50"/>
  <c r="G47" i="50"/>
  <c r="G50" i="50"/>
  <c r="G51" i="50"/>
  <c r="G52" i="50"/>
  <c r="G53" i="50"/>
  <c r="G54" i="50"/>
  <c r="G55" i="50"/>
  <c r="G56" i="50"/>
  <c r="G57" i="50"/>
  <c r="G58" i="50"/>
  <c r="G59" i="50"/>
  <c r="G60" i="50"/>
  <c r="G61" i="50"/>
  <c r="G62" i="50"/>
  <c r="G63" i="50"/>
  <c r="G64" i="50"/>
  <c r="G65" i="50"/>
  <c r="G66" i="50"/>
  <c r="G67" i="50"/>
  <c r="G68" i="50"/>
  <c r="G69" i="50"/>
  <c r="G70" i="50"/>
  <c r="G71" i="50"/>
  <c r="G72" i="50"/>
  <c r="G73" i="50"/>
  <c r="G74" i="50"/>
  <c r="G75" i="50"/>
  <c r="G76" i="50"/>
  <c r="G77" i="50"/>
  <c r="G78" i="50"/>
  <c r="G79" i="50"/>
  <c r="G80" i="50"/>
  <c r="G81" i="50"/>
  <c r="G82" i="50"/>
  <c r="G83" i="50"/>
  <c r="G84" i="50"/>
  <c r="G85" i="50"/>
  <c r="G86" i="50"/>
  <c r="G87" i="50"/>
  <c r="G88" i="50"/>
  <c r="G89" i="50"/>
  <c r="G90" i="50"/>
  <c r="G91" i="50"/>
  <c r="G92" i="50"/>
  <c r="G93" i="50"/>
  <c r="G94" i="50"/>
  <c r="G95" i="50"/>
  <c r="G96" i="50"/>
  <c r="G97" i="50"/>
  <c r="G98" i="50"/>
  <c r="G99" i="50"/>
  <c r="G101" i="50"/>
  <c r="G102" i="50"/>
  <c r="G103" i="50"/>
  <c r="G104" i="50"/>
  <c r="G105" i="50"/>
  <c r="G106" i="50"/>
  <c r="G107" i="50"/>
  <c r="G108" i="50"/>
  <c r="G109" i="50"/>
  <c r="G110" i="50"/>
  <c r="G111" i="50"/>
  <c r="G112" i="50"/>
  <c r="G113" i="50"/>
  <c r="G114" i="50"/>
  <c r="G115" i="50"/>
  <c r="G116" i="50"/>
  <c r="G117" i="50"/>
  <c r="G118" i="50"/>
  <c r="G119" i="50"/>
  <c r="G120" i="50"/>
  <c r="G121" i="50"/>
  <c r="G122" i="50"/>
  <c r="G123" i="50"/>
  <c r="G125" i="50"/>
  <c r="G127" i="50"/>
  <c r="G128" i="50"/>
  <c r="G129" i="50"/>
  <c r="G130" i="50"/>
  <c r="G131" i="50"/>
  <c r="G132" i="50"/>
  <c r="G133" i="50"/>
  <c r="G134" i="50"/>
  <c r="G135" i="50"/>
  <c r="G136" i="50"/>
  <c r="G137" i="50"/>
  <c r="G138" i="50"/>
  <c r="G139" i="50"/>
  <c r="G140" i="50"/>
  <c r="G141" i="50"/>
  <c r="G142" i="50"/>
  <c r="G143" i="50"/>
  <c r="G144" i="50"/>
  <c r="G145" i="50"/>
  <c r="G146" i="50"/>
  <c r="G147" i="50"/>
  <c r="G148" i="50"/>
  <c r="G149" i="50"/>
  <c r="G150" i="50"/>
  <c r="G151" i="50"/>
  <c r="G152" i="50"/>
  <c r="G153" i="50"/>
  <c r="G154" i="50"/>
  <c r="G155" i="50"/>
  <c r="G156" i="50"/>
  <c r="G157" i="50"/>
  <c r="G158" i="50"/>
  <c r="G159" i="50"/>
  <c r="G160" i="50"/>
  <c r="G161" i="50"/>
  <c r="G162" i="50"/>
  <c r="G163" i="50"/>
  <c r="G164" i="50"/>
  <c r="G165" i="50"/>
  <c r="G166" i="50"/>
  <c r="G167" i="50"/>
  <c r="G168" i="50"/>
  <c r="G169" i="50"/>
  <c r="G170" i="50"/>
  <c r="G171" i="50"/>
  <c r="G172" i="50"/>
  <c r="G173" i="50"/>
  <c r="G174" i="50"/>
  <c r="G175" i="50"/>
  <c r="G176" i="50"/>
  <c r="G177" i="50"/>
  <c r="G178" i="50"/>
  <c r="G179" i="50"/>
  <c r="G180" i="50"/>
  <c r="G181" i="50"/>
  <c r="G182" i="50"/>
  <c r="G183" i="50"/>
  <c r="G184" i="50"/>
  <c r="G185" i="50"/>
  <c r="G186" i="50"/>
  <c r="G187" i="50"/>
  <c r="G188" i="50"/>
  <c r="G189" i="50"/>
  <c r="G190" i="50"/>
  <c r="G191" i="50"/>
  <c r="G192" i="50"/>
  <c r="G193" i="50"/>
  <c r="G194" i="50"/>
  <c r="G195" i="50"/>
  <c r="G196" i="50"/>
  <c r="G197" i="50"/>
  <c r="G198" i="50"/>
  <c r="G199" i="50"/>
  <c r="G200" i="50"/>
  <c r="G201" i="50"/>
  <c r="G202" i="50"/>
  <c r="G203" i="50"/>
  <c r="G204" i="50"/>
  <c r="G205" i="50"/>
  <c r="G206" i="50"/>
  <c r="G207" i="50"/>
  <c r="G208" i="50"/>
  <c r="G209" i="50"/>
  <c r="G210" i="50"/>
  <c r="G672" i="50"/>
  <c r="G673" i="50"/>
  <c r="G674" i="50"/>
  <c r="G675" i="50"/>
  <c r="G676" i="50"/>
  <c r="G677" i="50"/>
  <c r="G678" i="50"/>
  <c r="G679" i="50"/>
  <c r="G680" i="50"/>
  <c r="G681" i="50"/>
  <c r="G682" i="50"/>
  <c r="G683" i="50"/>
  <c r="G684" i="50"/>
  <c r="G685" i="50"/>
  <c r="G686" i="50"/>
  <c r="G687" i="50"/>
  <c r="G688" i="50"/>
  <c r="G689" i="50"/>
  <c r="G690" i="50"/>
  <c r="G691" i="50"/>
  <c r="G692" i="50"/>
  <c r="G693" i="50"/>
  <c r="G694" i="50"/>
  <c r="G695" i="50"/>
  <c r="G696" i="50"/>
  <c r="G697" i="50"/>
  <c r="G698" i="50"/>
  <c r="G699" i="50"/>
  <c r="G700" i="50"/>
  <c r="G701" i="50"/>
  <c r="G702" i="50"/>
  <c r="G703" i="50"/>
  <c r="G704" i="50"/>
  <c r="G705" i="50"/>
  <c r="G706" i="50"/>
  <c r="G707" i="50"/>
  <c r="G708" i="50"/>
  <c r="G709" i="50"/>
  <c r="G710" i="50"/>
  <c r="G711" i="50"/>
  <c r="G712" i="50"/>
  <c r="G713" i="50"/>
  <c r="G714" i="50"/>
  <c r="G715" i="50"/>
  <c r="G716" i="50"/>
  <c r="G717" i="50"/>
  <c r="G718" i="50"/>
  <c r="G719" i="50"/>
  <c r="G720" i="50"/>
  <c r="G721" i="50"/>
  <c r="G722" i="50"/>
  <c r="G723" i="50"/>
  <c r="G724" i="50"/>
  <c r="G725" i="50"/>
  <c r="G726" i="50"/>
  <c r="G727" i="50"/>
  <c r="G728" i="50"/>
  <c r="G729" i="50"/>
  <c r="G730" i="50"/>
  <c r="G731" i="50"/>
  <c r="G732" i="50"/>
  <c r="G733" i="50"/>
  <c r="G734" i="50"/>
  <c r="G735" i="50"/>
  <c r="G736" i="50"/>
  <c r="G737" i="50"/>
  <c r="G738" i="50"/>
  <c r="G739" i="50"/>
  <c r="G740" i="50"/>
  <c r="G741" i="50"/>
  <c r="G742" i="50"/>
  <c r="G743" i="50"/>
  <c r="G744" i="50"/>
  <c r="G745" i="50"/>
  <c r="G746" i="50"/>
  <c r="G747" i="50"/>
  <c r="G748" i="50"/>
  <c r="G749" i="50"/>
  <c r="G750" i="50"/>
  <c r="G751" i="50"/>
  <c r="G752" i="50"/>
  <c r="G753" i="50"/>
  <c r="G754" i="50"/>
  <c r="G755" i="50"/>
  <c r="G756" i="50"/>
  <c r="G757" i="50"/>
  <c r="G758" i="50"/>
  <c r="G759" i="50"/>
  <c r="G760" i="50"/>
  <c r="G761" i="50"/>
  <c r="G762" i="50"/>
  <c r="G763" i="50"/>
  <c r="G764" i="50"/>
  <c r="G765" i="50"/>
  <c r="G766" i="50"/>
  <c r="G767" i="50"/>
  <c r="G768" i="50"/>
  <c r="G769" i="50"/>
  <c r="G770" i="50"/>
  <c r="G771" i="50"/>
  <c r="G772" i="50"/>
  <c r="G773" i="50"/>
  <c r="G774" i="50"/>
  <c r="G775" i="50"/>
  <c r="G776" i="50"/>
  <c r="G777" i="50"/>
  <c r="G778" i="50"/>
  <c r="G779" i="50"/>
  <c r="G780" i="50"/>
  <c r="G781" i="50"/>
  <c r="G782" i="50"/>
  <c r="G783" i="50"/>
  <c r="G784" i="50"/>
  <c r="G785" i="50"/>
  <c r="G786" i="50"/>
  <c r="G787" i="50"/>
  <c r="G788" i="50"/>
  <c r="G789" i="50"/>
  <c r="G790" i="50"/>
  <c r="G791" i="50"/>
  <c r="G792" i="50"/>
  <c r="G793" i="50"/>
  <c r="G794" i="50"/>
  <c r="G795" i="50"/>
  <c r="G796" i="50"/>
  <c r="G797" i="50"/>
  <c r="G798" i="50"/>
  <c r="G799" i="50"/>
  <c r="G800" i="50"/>
  <c r="G801" i="50"/>
  <c r="G802" i="50"/>
  <c r="G803" i="50"/>
  <c r="G804" i="50"/>
  <c r="G805" i="50"/>
  <c r="G806" i="50"/>
  <c r="G807" i="50"/>
  <c r="G808" i="50"/>
  <c r="G809" i="50"/>
  <c r="G810" i="50"/>
  <c r="G811" i="50"/>
  <c r="G812" i="50"/>
  <c r="G813" i="50"/>
  <c r="G814" i="50"/>
  <c r="G815" i="50"/>
  <c r="G816" i="50"/>
  <c r="G817" i="50"/>
  <c r="G818" i="50"/>
  <c r="G819" i="50"/>
  <c r="G820" i="50"/>
  <c r="G821" i="50"/>
  <c r="G822" i="50"/>
  <c r="G823" i="50"/>
  <c r="G824" i="50"/>
  <c r="G825" i="50"/>
  <c r="G826" i="50"/>
  <c r="G827" i="50"/>
  <c r="G828" i="50"/>
  <c r="G829" i="50"/>
  <c r="G830" i="50"/>
  <c r="G831" i="50"/>
  <c r="G832" i="50"/>
  <c r="G833" i="50"/>
  <c r="G834" i="50"/>
  <c r="G835" i="50"/>
  <c r="G836" i="50"/>
  <c r="G837" i="50"/>
  <c r="G838" i="50"/>
  <c r="G839" i="50"/>
  <c r="G840" i="50"/>
  <c r="G841" i="50"/>
  <c r="G842" i="50"/>
  <c r="G843" i="50"/>
  <c r="G844" i="50"/>
  <c r="G845" i="50"/>
  <c r="G846" i="50"/>
  <c r="G847" i="50"/>
  <c r="G848" i="50"/>
  <c r="G849" i="50"/>
  <c r="G850" i="50"/>
  <c r="G851" i="50"/>
  <c r="G852" i="50"/>
  <c r="G853" i="50"/>
  <c r="G854" i="50"/>
  <c r="G855" i="50"/>
  <c r="G856" i="50"/>
  <c r="G857" i="50"/>
  <c r="G858" i="50"/>
  <c r="G859" i="50"/>
  <c r="G860" i="50"/>
  <c r="G861" i="50"/>
  <c r="G862" i="50"/>
  <c r="G863" i="50"/>
  <c r="G864" i="50"/>
  <c r="G865" i="50"/>
  <c r="G866" i="50"/>
  <c r="G867" i="50"/>
  <c r="G868" i="50"/>
  <c r="G869" i="50"/>
  <c r="G870" i="50"/>
  <c r="G871" i="50"/>
  <c r="G872" i="50"/>
  <c r="G873" i="50"/>
  <c r="G874" i="50"/>
  <c r="G875" i="50"/>
  <c r="G876" i="50"/>
  <c r="G877" i="50"/>
  <c r="G878" i="50"/>
  <c r="G879" i="50"/>
  <c r="G880" i="50"/>
  <c r="G881" i="50"/>
  <c r="G882" i="50"/>
  <c r="G883" i="50"/>
  <c r="G884" i="50"/>
  <c r="G885" i="50"/>
  <c r="G886" i="50"/>
  <c r="G887" i="50"/>
  <c r="G888" i="50"/>
  <c r="G889" i="50"/>
  <c r="G890" i="50"/>
  <c r="G891" i="50"/>
  <c r="G892" i="50"/>
  <c r="G893" i="50"/>
  <c r="G894" i="50"/>
  <c r="G895" i="50"/>
  <c r="G896" i="50"/>
  <c r="G897" i="50"/>
  <c r="G898" i="50"/>
  <c r="G899" i="50"/>
  <c r="G900" i="50"/>
  <c r="G901" i="50"/>
  <c r="G902" i="50"/>
  <c r="G903" i="50"/>
  <c r="G904" i="50"/>
  <c r="G905" i="50"/>
  <c r="G906" i="50"/>
  <c r="G907" i="50"/>
  <c r="G908" i="50"/>
  <c r="G909" i="50"/>
  <c r="G910" i="50"/>
  <c r="G911" i="50"/>
  <c r="G912" i="50"/>
  <c r="G913" i="50"/>
  <c r="G914" i="50"/>
  <c r="G915" i="50"/>
  <c r="G916" i="50"/>
  <c r="G917" i="50"/>
  <c r="G918" i="50"/>
  <c r="G919" i="50"/>
  <c r="G920" i="50"/>
  <c r="G921" i="50"/>
  <c r="G922" i="50"/>
  <c r="G923" i="50"/>
  <c r="G924" i="50"/>
  <c r="G925" i="50"/>
  <c r="G926" i="50"/>
  <c r="G927" i="50"/>
  <c r="G928" i="50"/>
  <c r="G929" i="50"/>
  <c r="G930" i="50"/>
  <c r="G931" i="50"/>
  <c r="G932" i="50"/>
  <c r="G933" i="50"/>
  <c r="G934" i="50"/>
  <c r="G935" i="50"/>
  <c r="G936" i="50"/>
  <c r="G937" i="50"/>
  <c r="G938" i="50"/>
  <c r="G939" i="50"/>
  <c r="G940" i="50"/>
  <c r="G941" i="50"/>
  <c r="G942" i="50"/>
  <c r="G943" i="50"/>
  <c r="G944" i="50"/>
  <c r="G945" i="50"/>
  <c r="G946" i="50"/>
  <c r="G947" i="50"/>
  <c r="G948" i="50"/>
  <c r="G949" i="50"/>
  <c r="G6" i="50"/>
  <c r="G7" i="50"/>
  <c r="G8" i="50"/>
  <c r="G9" i="50"/>
  <c r="G10" i="50"/>
  <c r="G11" i="50"/>
  <c r="G12" i="50"/>
  <c r="G13" i="50"/>
  <c r="G14" i="50"/>
  <c r="G15" i="50"/>
  <c r="G16" i="50"/>
  <c r="G17" i="50"/>
  <c r="G18" i="50"/>
  <c r="G19" i="50"/>
  <c r="G20" i="50"/>
  <c r="G21" i="50"/>
  <c r="G22" i="50"/>
  <c r="G23" i="50"/>
  <c r="G24" i="50"/>
  <c r="G25" i="50"/>
  <c r="G26" i="50"/>
  <c r="G27" i="50"/>
  <c r="G28" i="50"/>
  <c r="G5" i="50"/>
  <c r="E2" i="50"/>
  <c r="G2" i="50" l="1"/>
  <c r="AW168" i="2"/>
  <c r="BB168" i="2" s="1"/>
  <c r="J224" i="40" l="1"/>
  <c r="J212" i="40"/>
  <c r="J211" i="40"/>
  <c r="J210" i="40"/>
  <c r="J208" i="40"/>
  <c r="J185" i="40"/>
  <c r="J176" i="40"/>
  <c r="J175" i="40"/>
  <c r="J174" i="40"/>
  <c r="J130" i="40"/>
  <c r="J129" i="40"/>
  <c r="J128" i="40"/>
  <c r="AB128" i="40" s="1"/>
  <c r="J126" i="40"/>
  <c r="AB126" i="40" s="1"/>
  <c r="J125" i="40"/>
  <c r="AB125" i="40" s="1"/>
  <c r="J124" i="40"/>
  <c r="AB124" i="40" s="1"/>
  <c r="J123" i="40"/>
  <c r="AB123" i="40" s="1"/>
  <c r="J122" i="40"/>
  <c r="AB122" i="40" s="1"/>
  <c r="J121" i="40"/>
  <c r="J120" i="40"/>
  <c r="J119" i="40"/>
  <c r="J118" i="40"/>
  <c r="J117" i="40"/>
  <c r="AB117" i="40" s="1"/>
  <c r="J116" i="40"/>
  <c r="J115" i="40"/>
  <c r="AR7" i="2"/>
  <c r="H659" i="2" l="1"/>
  <c r="Q7" i="2" l="1"/>
  <c r="R1035" i="2" l="1"/>
  <c r="R1036" i="2"/>
  <c r="H1036" i="2" s="1"/>
  <c r="BE1036" i="2" s="1"/>
  <c r="T7" i="2"/>
  <c r="U7" i="2"/>
  <c r="V7" i="2"/>
  <c r="W7" i="2"/>
  <c r="X7" i="2"/>
  <c r="Y7" i="2"/>
  <c r="AA7" i="2"/>
  <c r="AB7" i="2"/>
  <c r="AC7" i="2"/>
  <c r="AD7" i="2"/>
  <c r="AE7" i="2"/>
  <c r="AF7" i="2"/>
  <c r="AG7" i="2"/>
  <c r="AH7" i="2"/>
  <c r="AI7" i="2"/>
  <c r="AJ7" i="2"/>
  <c r="AK7" i="2"/>
  <c r="AL7" i="2"/>
  <c r="AM7" i="2"/>
  <c r="AN7" i="2"/>
  <c r="AO7" i="2"/>
  <c r="AO2" i="2" s="1"/>
  <c r="AP7" i="2"/>
  <c r="AQ7" i="2"/>
  <c r="R12" i="2"/>
  <c r="H12" i="2" s="1"/>
  <c r="S12" i="2"/>
  <c r="J12" i="2" s="1"/>
  <c r="R13" i="2"/>
  <c r="H13" i="2" s="1"/>
  <c r="S13" i="2"/>
  <c r="J13" i="2" s="1"/>
  <c r="R14" i="2"/>
  <c r="S14" i="2"/>
  <c r="R15" i="2"/>
  <c r="S15" i="2"/>
  <c r="R16" i="2"/>
  <c r="S16" i="2"/>
  <c r="R17" i="2"/>
  <c r="S17" i="2"/>
  <c r="J17" i="2" s="1"/>
  <c r="R18" i="2"/>
  <c r="S18" i="2"/>
  <c r="R19" i="2"/>
  <c r="S19" i="2"/>
  <c r="R20" i="2"/>
  <c r="S20" i="2"/>
  <c r="R21" i="2"/>
  <c r="S21" i="2"/>
  <c r="R22" i="2"/>
  <c r="S22" i="2"/>
  <c r="R23" i="2"/>
  <c r="S23" i="2"/>
  <c r="R24" i="2"/>
  <c r="S24" i="2"/>
  <c r="R25" i="2"/>
  <c r="S25" i="2"/>
  <c r="J25" i="2" s="1"/>
  <c r="R26" i="2"/>
  <c r="S26" i="2"/>
  <c r="R27" i="2"/>
  <c r="S27" i="2"/>
  <c r="R28" i="2"/>
  <c r="S28" i="2"/>
  <c r="R29" i="2"/>
  <c r="S29" i="2"/>
  <c r="R30" i="2"/>
  <c r="S30" i="2"/>
  <c r="R31" i="2"/>
  <c r="S31" i="2"/>
  <c r="R32" i="2"/>
  <c r="S32" i="2"/>
  <c r="R33" i="2"/>
  <c r="S33" i="2"/>
  <c r="R34" i="2"/>
  <c r="S34" i="2"/>
  <c r="R35" i="2"/>
  <c r="S35" i="2"/>
  <c r="R36" i="2"/>
  <c r="S36" i="2"/>
  <c r="R37" i="2"/>
  <c r="S37" i="2"/>
  <c r="R38" i="2"/>
  <c r="S38" i="2"/>
  <c r="R39" i="2"/>
  <c r="S39" i="2"/>
  <c r="R40" i="2"/>
  <c r="S40" i="2"/>
  <c r="R41" i="2"/>
  <c r="S41" i="2"/>
  <c r="R42" i="2"/>
  <c r="S42" i="2"/>
  <c r="R43" i="2"/>
  <c r="S43" i="2"/>
  <c r="R44" i="2"/>
  <c r="S44" i="2"/>
  <c r="R45" i="2"/>
  <c r="S45" i="2"/>
  <c r="R46" i="2"/>
  <c r="S46" i="2"/>
  <c r="R47" i="2"/>
  <c r="S47" i="2"/>
  <c r="R48" i="2"/>
  <c r="S48" i="2"/>
  <c r="R49" i="2"/>
  <c r="S49" i="2"/>
  <c r="R50" i="2"/>
  <c r="S50" i="2"/>
  <c r="R51" i="2"/>
  <c r="S51" i="2"/>
  <c r="R52" i="2"/>
  <c r="S52" i="2"/>
  <c r="R53" i="2"/>
  <c r="S53" i="2"/>
  <c r="R54" i="2"/>
  <c r="S54" i="2"/>
  <c r="R55" i="2"/>
  <c r="S55" i="2"/>
  <c r="R56" i="2"/>
  <c r="S56" i="2"/>
  <c r="R57" i="2"/>
  <c r="S57" i="2"/>
  <c r="R58" i="2"/>
  <c r="S58" i="2"/>
  <c r="R59" i="2"/>
  <c r="S59" i="2"/>
  <c r="R60" i="2"/>
  <c r="S60" i="2"/>
  <c r="R61" i="2"/>
  <c r="S61" i="2"/>
  <c r="R62" i="2"/>
  <c r="S62" i="2"/>
  <c r="R63" i="2"/>
  <c r="S63" i="2"/>
  <c r="R64" i="2"/>
  <c r="S64" i="2"/>
  <c r="R65" i="2"/>
  <c r="S65" i="2"/>
  <c r="R66" i="2"/>
  <c r="S66" i="2"/>
  <c r="R67" i="2"/>
  <c r="S67" i="2"/>
  <c r="R68" i="2"/>
  <c r="S68" i="2"/>
  <c r="R69" i="2"/>
  <c r="S69" i="2"/>
  <c r="R70" i="2"/>
  <c r="S70" i="2"/>
  <c r="R71" i="2"/>
  <c r="S71" i="2"/>
  <c r="R72" i="2"/>
  <c r="S72" i="2"/>
  <c r="R73" i="2"/>
  <c r="S73" i="2"/>
  <c r="R74" i="2"/>
  <c r="S74" i="2"/>
  <c r="H75" i="2"/>
  <c r="I75" i="2" s="1"/>
  <c r="S75" i="2"/>
  <c r="J75" i="2" s="1"/>
  <c r="R76" i="2"/>
  <c r="S76" i="2"/>
  <c r="R77" i="2"/>
  <c r="S77" i="2"/>
  <c r="J77" i="2" s="1"/>
  <c r="R78" i="2"/>
  <c r="S78" i="2"/>
  <c r="R79" i="2"/>
  <c r="S79" i="2"/>
  <c r="R80" i="2"/>
  <c r="S80" i="2"/>
  <c r="R81" i="2"/>
  <c r="S81" i="2"/>
  <c r="R82" i="2"/>
  <c r="S82" i="2"/>
  <c r="R83" i="2"/>
  <c r="S83" i="2"/>
  <c r="R84" i="2"/>
  <c r="S84" i="2"/>
  <c r="R85" i="2"/>
  <c r="S85" i="2"/>
  <c r="R86" i="2"/>
  <c r="S86" i="2"/>
  <c r="R87" i="2"/>
  <c r="S87" i="2"/>
  <c r="R88" i="2"/>
  <c r="S88" i="2"/>
  <c r="R89" i="2"/>
  <c r="S89" i="2"/>
  <c r="R90" i="2"/>
  <c r="S90" i="2"/>
  <c r="R91" i="2"/>
  <c r="H91" i="2" s="1"/>
  <c r="S91" i="2"/>
  <c r="J91" i="2" s="1"/>
  <c r="R92" i="2"/>
  <c r="S92" i="2"/>
  <c r="R93" i="2"/>
  <c r="S93" i="2"/>
  <c r="R94" i="2"/>
  <c r="S94" i="2"/>
  <c r="R95" i="2"/>
  <c r="S95" i="2"/>
  <c r="R96" i="2"/>
  <c r="S96" i="2"/>
  <c r="R97" i="2"/>
  <c r="S97" i="2"/>
  <c r="R98" i="2"/>
  <c r="S98" i="2"/>
  <c r="J98" i="2" s="1"/>
  <c r="R99" i="2"/>
  <c r="S99" i="2"/>
  <c r="R100" i="2"/>
  <c r="S100" i="2"/>
  <c r="R101" i="2"/>
  <c r="S101" i="2"/>
  <c r="J101" i="2" s="1"/>
  <c r="R102" i="2"/>
  <c r="S102" i="2"/>
  <c r="J102" i="2" s="1"/>
  <c r="R103" i="2"/>
  <c r="H103" i="2" s="1"/>
  <c r="S103" i="2"/>
  <c r="J103" i="2" s="1"/>
  <c r="R104" i="2"/>
  <c r="S104" i="2"/>
  <c r="R105" i="2"/>
  <c r="S105" i="2"/>
  <c r="R106" i="2"/>
  <c r="S106" i="2"/>
  <c r="R107" i="2"/>
  <c r="S107" i="2"/>
  <c r="R108" i="2"/>
  <c r="S108" i="2"/>
  <c r="R109" i="2"/>
  <c r="S109" i="2"/>
  <c r="R110" i="2"/>
  <c r="S110" i="2"/>
  <c r="R111" i="2"/>
  <c r="S111" i="2"/>
  <c r="R112" i="2"/>
  <c r="S112" i="2"/>
  <c r="R113" i="2"/>
  <c r="S113" i="2"/>
  <c r="R114" i="2"/>
  <c r="S114" i="2"/>
  <c r="R115" i="2"/>
  <c r="S115" i="2"/>
  <c r="R116" i="2"/>
  <c r="S116" i="2"/>
  <c r="R117" i="2"/>
  <c r="S117" i="2"/>
  <c r="R118" i="2"/>
  <c r="S118" i="2"/>
  <c r="R119" i="2"/>
  <c r="S119" i="2"/>
  <c r="R120" i="2"/>
  <c r="S120" i="2"/>
  <c r="R121" i="2"/>
  <c r="S121" i="2"/>
  <c r="R122" i="2"/>
  <c r="S122" i="2"/>
  <c r="R123" i="2"/>
  <c r="S123" i="2"/>
  <c r="R124" i="2"/>
  <c r="S124" i="2"/>
  <c r="R125" i="2"/>
  <c r="S125" i="2"/>
  <c r="R126" i="2"/>
  <c r="S126" i="2"/>
  <c r="R127" i="2"/>
  <c r="S127" i="2"/>
  <c r="R128" i="2"/>
  <c r="S128" i="2"/>
  <c r="R129" i="2"/>
  <c r="S129" i="2"/>
  <c r="R130" i="2"/>
  <c r="S130" i="2"/>
  <c r="R131" i="2"/>
  <c r="S131" i="2"/>
  <c r="R132" i="2"/>
  <c r="S132" i="2"/>
  <c r="R133" i="2"/>
  <c r="S133" i="2"/>
  <c r="R134" i="2"/>
  <c r="S134" i="2"/>
  <c r="R135" i="2"/>
  <c r="S135" i="2"/>
  <c r="R136" i="2"/>
  <c r="S136" i="2"/>
  <c r="R137" i="2"/>
  <c r="S137" i="2"/>
  <c r="R138" i="2"/>
  <c r="S138" i="2"/>
  <c r="R139" i="2"/>
  <c r="S139" i="2"/>
  <c r="R140" i="2"/>
  <c r="S140" i="2"/>
  <c r="R141" i="2"/>
  <c r="S141" i="2"/>
  <c r="R142" i="2"/>
  <c r="S142" i="2"/>
  <c r="R143" i="2"/>
  <c r="H143" i="2" s="1"/>
  <c r="S143" i="2"/>
  <c r="J143" i="2" s="1"/>
  <c r="R144" i="2"/>
  <c r="S144" i="2"/>
  <c r="R145" i="2"/>
  <c r="S145" i="2"/>
  <c r="R146" i="2"/>
  <c r="S146" i="2"/>
  <c r="R147" i="2"/>
  <c r="S147" i="2"/>
  <c r="R148" i="2"/>
  <c r="S148" i="2"/>
  <c r="R149" i="2"/>
  <c r="S149" i="2"/>
  <c r="R150" i="2"/>
  <c r="S150" i="2"/>
  <c r="R151" i="2"/>
  <c r="S151" i="2"/>
  <c r="R152" i="2"/>
  <c r="S152" i="2"/>
  <c r="R153" i="2"/>
  <c r="S153" i="2"/>
  <c r="R154" i="2"/>
  <c r="S154" i="2"/>
  <c r="R155" i="2"/>
  <c r="S155" i="2"/>
  <c r="R156" i="2"/>
  <c r="S156" i="2"/>
  <c r="R157" i="2"/>
  <c r="S157" i="2"/>
  <c r="R158" i="2"/>
  <c r="S158" i="2"/>
  <c r="R159" i="2"/>
  <c r="S159" i="2"/>
  <c r="R160" i="2"/>
  <c r="S160" i="2"/>
  <c r="R161" i="2"/>
  <c r="S161" i="2"/>
  <c r="R162" i="2"/>
  <c r="S162" i="2"/>
  <c r="R163" i="2"/>
  <c r="S163" i="2"/>
  <c r="R164" i="2"/>
  <c r="S164" i="2"/>
  <c r="R165" i="2"/>
  <c r="S165" i="2"/>
  <c r="R166" i="2"/>
  <c r="S166" i="2"/>
  <c r="R167" i="2"/>
  <c r="S167" i="2"/>
  <c r="R168" i="2"/>
  <c r="S168" i="2"/>
  <c r="R169" i="2"/>
  <c r="S169" i="2"/>
  <c r="R170" i="2"/>
  <c r="S170" i="2"/>
  <c r="R171" i="2"/>
  <c r="S171" i="2"/>
  <c r="R172" i="2"/>
  <c r="S172" i="2"/>
  <c r="R173" i="2"/>
  <c r="S173" i="2"/>
  <c r="R174" i="2"/>
  <c r="S174" i="2"/>
  <c r="R175" i="2"/>
  <c r="S175" i="2"/>
  <c r="R176" i="2"/>
  <c r="S176" i="2"/>
  <c r="R177" i="2"/>
  <c r="S177" i="2"/>
  <c r="R178" i="2"/>
  <c r="S178" i="2"/>
  <c r="R179" i="2"/>
  <c r="S179" i="2"/>
  <c r="R180" i="2"/>
  <c r="S180" i="2"/>
  <c r="R181" i="2"/>
  <c r="S181" i="2"/>
  <c r="R182" i="2"/>
  <c r="S182" i="2"/>
  <c r="R183" i="2"/>
  <c r="S183" i="2"/>
  <c r="R184" i="2"/>
  <c r="S184" i="2"/>
  <c r="R185" i="2"/>
  <c r="S185" i="2"/>
  <c r="R186" i="2"/>
  <c r="S186" i="2"/>
  <c r="R187" i="2"/>
  <c r="S187" i="2"/>
  <c r="R188" i="2"/>
  <c r="S188" i="2"/>
  <c r="R189" i="2"/>
  <c r="H189" i="2" s="1"/>
  <c r="S189" i="2"/>
  <c r="J189" i="2" s="1"/>
  <c r="R190" i="2"/>
  <c r="H190" i="2" s="1"/>
  <c r="BE190" i="2" s="1"/>
  <c r="S190" i="2"/>
  <c r="J190" i="2" s="1"/>
  <c r="R191" i="2"/>
  <c r="H191" i="2" s="1"/>
  <c r="S191" i="2"/>
  <c r="J191" i="2" s="1"/>
  <c r="R192" i="2"/>
  <c r="S192" i="2"/>
  <c r="R193" i="2"/>
  <c r="S193" i="2"/>
  <c r="R194" i="2"/>
  <c r="S194" i="2"/>
  <c r="R195" i="2"/>
  <c r="S195" i="2"/>
  <c r="R196" i="2"/>
  <c r="S196" i="2"/>
  <c r="R197" i="2"/>
  <c r="S197" i="2"/>
  <c r="R198" i="2"/>
  <c r="S198" i="2"/>
  <c r="R199" i="2"/>
  <c r="S199" i="2"/>
  <c r="R200" i="2"/>
  <c r="S200" i="2"/>
  <c r="R201" i="2"/>
  <c r="S201" i="2"/>
  <c r="R202" i="2"/>
  <c r="S202" i="2"/>
  <c r="R203" i="2"/>
  <c r="S203" i="2"/>
  <c r="R204" i="2"/>
  <c r="S204" i="2"/>
  <c r="R205" i="2"/>
  <c r="S205" i="2"/>
  <c r="R206" i="2"/>
  <c r="S206" i="2"/>
  <c r="R207" i="2"/>
  <c r="S207" i="2"/>
  <c r="R208" i="2"/>
  <c r="S208" i="2"/>
  <c r="R209" i="2"/>
  <c r="S209" i="2"/>
  <c r="R210" i="2"/>
  <c r="S210" i="2"/>
  <c r="R211" i="2"/>
  <c r="S211" i="2"/>
  <c r="R212" i="2"/>
  <c r="S212" i="2"/>
  <c r="R213" i="2"/>
  <c r="S213" i="2"/>
  <c r="R214" i="2"/>
  <c r="S214" i="2"/>
  <c r="R215" i="2"/>
  <c r="S215" i="2"/>
  <c r="R216" i="2"/>
  <c r="S216" i="2"/>
  <c r="R217" i="2"/>
  <c r="S217" i="2"/>
  <c r="R218" i="2"/>
  <c r="S218" i="2"/>
  <c r="R219" i="2"/>
  <c r="S219" i="2"/>
  <c r="R220" i="2"/>
  <c r="S220" i="2"/>
  <c r="R221" i="2"/>
  <c r="S221" i="2"/>
  <c r="R222" i="2"/>
  <c r="S222" i="2"/>
  <c r="R223" i="2"/>
  <c r="S223" i="2"/>
  <c r="R224" i="2"/>
  <c r="S224" i="2"/>
  <c r="R225" i="2"/>
  <c r="S225" i="2"/>
  <c r="R226" i="2"/>
  <c r="S226" i="2"/>
  <c r="R227" i="2"/>
  <c r="S227" i="2"/>
  <c r="R228" i="2"/>
  <c r="S228" i="2"/>
  <c r="R229" i="2"/>
  <c r="S229" i="2"/>
  <c r="R230" i="2"/>
  <c r="S230" i="2"/>
  <c r="R231" i="2"/>
  <c r="S231" i="2"/>
  <c r="R232" i="2"/>
  <c r="S232" i="2"/>
  <c r="R233" i="2"/>
  <c r="S233" i="2"/>
  <c r="R234" i="2"/>
  <c r="S234" i="2"/>
  <c r="R235" i="2"/>
  <c r="S235" i="2"/>
  <c r="R236" i="2"/>
  <c r="S236" i="2"/>
  <c r="R237" i="2"/>
  <c r="S237" i="2"/>
  <c r="R238" i="2"/>
  <c r="S238" i="2"/>
  <c r="R239" i="2"/>
  <c r="S239" i="2"/>
  <c r="R240" i="2"/>
  <c r="S240" i="2"/>
  <c r="R241" i="2"/>
  <c r="S241" i="2"/>
  <c r="R242" i="2"/>
  <c r="S242" i="2"/>
  <c r="R243" i="2"/>
  <c r="S243" i="2"/>
  <c r="R244" i="2"/>
  <c r="S244" i="2"/>
  <c r="R245" i="2"/>
  <c r="S245" i="2"/>
  <c r="R246" i="2"/>
  <c r="S246" i="2"/>
  <c r="R247" i="2"/>
  <c r="S247" i="2"/>
  <c r="J247" i="2" s="1"/>
  <c r="R248" i="2"/>
  <c r="S248" i="2"/>
  <c r="R249" i="2"/>
  <c r="S249" i="2"/>
  <c r="R250" i="2"/>
  <c r="S250" i="2"/>
  <c r="R251" i="2"/>
  <c r="S251" i="2"/>
  <c r="R252" i="2"/>
  <c r="S252" i="2"/>
  <c r="R253" i="2"/>
  <c r="H253" i="2" s="1"/>
  <c r="S253" i="2"/>
  <c r="R254" i="2"/>
  <c r="S254" i="2"/>
  <c r="R255" i="2"/>
  <c r="S255" i="2"/>
  <c r="R256" i="2"/>
  <c r="S256" i="2"/>
  <c r="R257" i="2"/>
  <c r="S257" i="2"/>
  <c r="R258" i="2"/>
  <c r="S258" i="2"/>
  <c r="R259" i="2"/>
  <c r="S259" i="2"/>
  <c r="R260" i="2"/>
  <c r="S260" i="2"/>
  <c r="R261" i="2"/>
  <c r="S261" i="2"/>
  <c r="R262" i="2"/>
  <c r="S262" i="2"/>
  <c r="R263" i="2"/>
  <c r="S263" i="2"/>
  <c r="R264" i="2"/>
  <c r="S264" i="2"/>
  <c r="R265" i="2"/>
  <c r="S265" i="2"/>
  <c r="R266" i="2"/>
  <c r="S266" i="2"/>
  <c r="R267" i="2"/>
  <c r="S267" i="2"/>
  <c r="R268" i="2"/>
  <c r="S268" i="2"/>
  <c r="R269" i="2"/>
  <c r="S269" i="2"/>
  <c r="R270" i="2"/>
  <c r="S270" i="2"/>
  <c r="R271" i="2"/>
  <c r="S271" i="2"/>
  <c r="R272" i="2"/>
  <c r="S272" i="2"/>
  <c r="R273" i="2"/>
  <c r="S273" i="2"/>
  <c r="R274" i="2"/>
  <c r="S274" i="2"/>
  <c r="R275" i="2"/>
  <c r="S275" i="2"/>
  <c r="R276" i="2"/>
  <c r="S276" i="2"/>
  <c r="R277" i="2"/>
  <c r="H277" i="2" s="1"/>
  <c r="BE277" i="2" s="1"/>
  <c r="S277" i="2"/>
  <c r="R278" i="2"/>
  <c r="S278" i="2"/>
  <c r="R279" i="2"/>
  <c r="S279" i="2"/>
  <c r="R280" i="2"/>
  <c r="S280" i="2"/>
  <c r="R281" i="2"/>
  <c r="H281" i="2" s="1"/>
  <c r="S281" i="2"/>
  <c r="J281" i="2" s="1"/>
  <c r="R282" i="2"/>
  <c r="S282" i="2"/>
  <c r="R283" i="2"/>
  <c r="S283" i="2"/>
  <c r="R284" i="2"/>
  <c r="S284" i="2"/>
  <c r="R285" i="2"/>
  <c r="S285" i="2"/>
  <c r="R286" i="2"/>
  <c r="S286" i="2"/>
  <c r="R287" i="2"/>
  <c r="S287" i="2"/>
  <c r="R288" i="2"/>
  <c r="S288" i="2"/>
  <c r="R289" i="2"/>
  <c r="S289" i="2"/>
  <c r="R290" i="2"/>
  <c r="S290" i="2"/>
  <c r="R291" i="2"/>
  <c r="S291" i="2"/>
  <c r="R292" i="2"/>
  <c r="S292" i="2"/>
  <c r="R293" i="2"/>
  <c r="S293" i="2"/>
  <c r="R294" i="2"/>
  <c r="S294" i="2"/>
  <c r="R295" i="2"/>
  <c r="S295" i="2"/>
  <c r="R296" i="2"/>
  <c r="S296" i="2"/>
  <c r="R297" i="2"/>
  <c r="S297" i="2"/>
  <c r="R298" i="2"/>
  <c r="S298" i="2"/>
  <c r="R299" i="2"/>
  <c r="S299" i="2"/>
  <c r="R300" i="2"/>
  <c r="S300" i="2"/>
  <c r="R301" i="2"/>
  <c r="S301" i="2"/>
  <c r="R302" i="2"/>
  <c r="S302" i="2"/>
  <c r="R303" i="2"/>
  <c r="H303" i="2" s="1"/>
  <c r="S303" i="2"/>
  <c r="R304" i="2"/>
  <c r="S304" i="2"/>
  <c r="R305" i="2"/>
  <c r="S305" i="2"/>
  <c r="R306" i="2"/>
  <c r="S306" i="2"/>
  <c r="R307" i="2"/>
  <c r="S307" i="2"/>
  <c r="R308" i="2"/>
  <c r="S308" i="2"/>
  <c r="R309" i="2"/>
  <c r="S309" i="2"/>
  <c r="R310" i="2"/>
  <c r="S310" i="2"/>
  <c r="R311" i="2"/>
  <c r="S311" i="2"/>
  <c r="R312" i="2"/>
  <c r="S312" i="2"/>
  <c r="R313" i="2"/>
  <c r="S313" i="2"/>
  <c r="R314" i="2"/>
  <c r="S314" i="2"/>
  <c r="R315" i="2"/>
  <c r="S315" i="2"/>
  <c r="R316" i="2"/>
  <c r="H316" i="2" s="1"/>
  <c r="BE316" i="2" s="1"/>
  <c r="S316" i="2"/>
  <c r="J316" i="2" s="1"/>
  <c r="R317" i="2"/>
  <c r="S317" i="2"/>
  <c r="R318" i="2"/>
  <c r="S318" i="2"/>
  <c r="R319" i="2"/>
  <c r="S319" i="2"/>
  <c r="R320" i="2"/>
  <c r="S320" i="2"/>
  <c r="R321" i="2"/>
  <c r="S321" i="2"/>
  <c r="R322" i="2"/>
  <c r="S322" i="2"/>
  <c r="R323" i="2"/>
  <c r="S323" i="2"/>
  <c r="R324" i="2"/>
  <c r="S324" i="2"/>
  <c r="R325" i="2"/>
  <c r="S325" i="2"/>
  <c r="R326" i="2"/>
  <c r="H326" i="2" s="1"/>
  <c r="BE326" i="2" s="1"/>
  <c r="S326" i="2"/>
  <c r="J326" i="2" s="1"/>
  <c r="R327" i="2"/>
  <c r="S327" i="2"/>
  <c r="R328" i="2"/>
  <c r="S328" i="2"/>
  <c r="R329" i="2"/>
  <c r="S329" i="2"/>
  <c r="R330" i="2"/>
  <c r="S330" i="2"/>
  <c r="R331" i="2"/>
  <c r="S331" i="2"/>
  <c r="R332" i="2"/>
  <c r="S332" i="2"/>
  <c r="R333" i="2"/>
  <c r="S333" i="2"/>
  <c r="S334" i="2"/>
  <c r="J334" i="2" s="1"/>
  <c r="R335" i="2"/>
  <c r="S335" i="2"/>
  <c r="R336" i="2"/>
  <c r="S336" i="2"/>
  <c r="R337" i="2"/>
  <c r="S337" i="2"/>
  <c r="R338" i="2"/>
  <c r="S338" i="2"/>
  <c r="R339" i="2"/>
  <c r="S339" i="2"/>
  <c r="R340" i="2"/>
  <c r="S340" i="2"/>
  <c r="R341" i="2"/>
  <c r="S341" i="2"/>
  <c r="R342" i="2"/>
  <c r="S342" i="2"/>
  <c r="R343" i="2"/>
  <c r="S343" i="2"/>
  <c r="R344" i="2"/>
  <c r="S344" i="2"/>
  <c r="R345" i="2"/>
  <c r="S345" i="2"/>
  <c r="R346" i="2"/>
  <c r="S346" i="2"/>
  <c r="R347" i="2"/>
  <c r="S347" i="2"/>
  <c r="R348" i="2"/>
  <c r="S348" i="2"/>
  <c r="R349" i="2"/>
  <c r="H349" i="2" s="1"/>
  <c r="S349" i="2"/>
  <c r="J349" i="2" s="1"/>
  <c r="R350" i="2"/>
  <c r="S350" i="2"/>
  <c r="R351" i="2"/>
  <c r="S351" i="2"/>
  <c r="R352" i="2"/>
  <c r="S352" i="2"/>
  <c r="R353" i="2"/>
  <c r="S353" i="2"/>
  <c r="R354" i="2"/>
  <c r="S354" i="2"/>
  <c r="R355" i="2"/>
  <c r="S355" i="2"/>
  <c r="R356" i="2"/>
  <c r="S356" i="2"/>
  <c r="R357" i="2"/>
  <c r="S357" i="2"/>
  <c r="R358" i="2"/>
  <c r="S358" i="2"/>
  <c r="R359" i="2"/>
  <c r="S359" i="2"/>
  <c r="R360" i="2"/>
  <c r="S360" i="2"/>
  <c r="R361" i="2"/>
  <c r="H361" i="2" s="1"/>
  <c r="BE361" i="2" s="1"/>
  <c r="S361" i="2"/>
  <c r="J361" i="2" s="1"/>
  <c r="R362" i="2"/>
  <c r="S362" i="2"/>
  <c r="R363" i="2"/>
  <c r="S363" i="2"/>
  <c r="R364" i="2"/>
  <c r="S364" i="2"/>
  <c r="R365" i="2"/>
  <c r="S365" i="2"/>
  <c r="J365" i="2" s="1"/>
  <c r="R366" i="2"/>
  <c r="S366" i="2"/>
  <c r="R367" i="2"/>
  <c r="H367" i="2" s="1"/>
  <c r="BE367" i="2" s="1"/>
  <c r="S367" i="2"/>
  <c r="J367" i="2" s="1"/>
  <c r="R368" i="2"/>
  <c r="S368" i="2"/>
  <c r="R369" i="2"/>
  <c r="S369" i="2"/>
  <c r="R370" i="2"/>
  <c r="S370" i="2"/>
  <c r="R371" i="2"/>
  <c r="S371" i="2"/>
  <c r="R372" i="2"/>
  <c r="S372" i="2"/>
  <c r="R373" i="2"/>
  <c r="S373" i="2"/>
  <c r="R374" i="2"/>
  <c r="S374" i="2"/>
  <c r="R375" i="2"/>
  <c r="S375" i="2"/>
  <c r="R376" i="2"/>
  <c r="S376" i="2"/>
  <c r="R377" i="2"/>
  <c r="S377" i="2"/>
  <c r="R378" i="2"/>
  <c r="S378" i="2"/>
  <c r="R379" i="2"/>
  <c r="S379" i="2"/>
  <c r="R380" i="2"/>
  <c r="S380" i="2"/>
  <c r="R381" i="2"/>
  <c r="H381" i="2" s="1"/>
  <c r="BE381" i="2" s="1"/>
  <c r="S381" i="2"/>
  <c r="J381" i="2" s="1"/>
  <c r="R382" i="2"/>
  <c r="H382" i="2" s="1"/>
  <c r="BE382" i="2" s="1"/>
  <c r="S382" i="2"/>
  <c r="J382" i="2" s="1"/>
  <c r="R383" i="2"/>
  <c r="S383" i="2"/>
  <c r="R384" i="2"/>
  <c r="S384" i="2"/>
  <c r="R385" i="2"/>
  <c r="S385" i="2"/>
  <c r="R386" i="2"/>
  <c r="S386" i="2"/>
  <c r="R387" i="2"/>
  <c r="S387" i="2"/>
  <c r="R388" i="2"/>
  <c r="S388" i="2"/>
  <c r="R389" i="2"/>
  <c r="S389" i="2"/>
  <c r="R390" i="2"/>
  <c r="S390" i="2"/>
  <c r="R391" i="2"/>
  <c r="S391" i="2"/>
  <c r="J391" i="2" s="1"/>
  <c r="R392" i="2"/>
  <c r="S392" i="2"/>
  <c r="R393" i="2"/>
  <c r="S393" i="2"/>
  <c r="R394" i="2"/>
  <c r="S394" i="2"/>
  <c r="R395" i="2"/>
  <c r="S395" i="2"/>
  <c r="R396" i="2"/>
  <c r="S396" i="2"/>
  <c r="R397" i="2"/>
  <c r="S397" i="2"/>
  <c r="R398" i="2"/>
  <c r="S398" i="2"/>
  <c r="R399" i="2"/>
  <c r="S399" i="2"/>
  <c r="R400" i="2"/>
  <c r="S400" i="2"/>
  <c r="R401" i="2"/>
  <c r="S401" i="2"/>
  <c r="R402" i="2"/>
  <c r="S402" i="2"/>
  <c r="R403" i="2"/>
  <c r="S403" i="2"/>
  <c r="R404" i="2"/>
  <c r="H404" i="2" s="1"/>
  <c r="S404" i="2"/>
  <c r="J404" i="2" s="1"/>
  <c r="R405" i="2"/>
  <c r="S405" i="2"/>
  <c r="R406" i="2"/>
  <c r="S406" i="2"/>
  <c r="R407" i="2"/>
  <c r="S407" i="2"/>
  <c r="R408" i="2"/>
  <c r="H408" i="2" s="1"/>
  <c r="S408" i="2"/>
  <c r="J408" i="2" s="1"/>
  <c r="R409" i="2"/>
  <c r="S409" i="2"/>
  <c r="R410" i="2"/>
  <c r="H410" i="2" s="1"/>
  <c r="BE410" i="2" s="1"/>
  <c r="S410" i="2"/>
  <c r="J410" i="2" s="1"/>
  <c r="R411" i="2"/>
  <c r="S411" i="2"/>
  <c r="R412" i="2"/>
  <c r="H412" i="2" s="1"/>
  <c r="S412" i="2"/>
  <c r="J412" i="2" s="1"/>
  <c r="R413" i="2"/>
  <c r="S413" i="2"/>
  <c r="R414" i="2"/>
  <c r="S414" i="2"/>
  <c r="R415" i="2"/>
  <c r="S415" i="2"/>
  <c r="R416" i="2"/>
  <c r="H416" i="2" s="1"/>
  <c r="S416" i="2"/>
  <c r="R417" i="2"/>
  <c r="S417" i="2"/>
  <c r="J417" i="2" s="1"/>
  <c r="R418" i="2"/>
  <c r="S418" i="2"/>
  <c r="J418" i="2" s="1"/>
  <c r="R419" i="2"/>
  <c r="S419" i="2"/>
  <c r="R420" i="2"/>
  <c r="H420" i="2" s="1"/>
  <c r="BE420" i="2" s="1"/>
  <c r="S420" i="2"/>
  <c r="J420" i="2" s="1"/>
  <c r="R421" i="2"/>
  <c r="S421" i="2"/>
  <c r="R422" i="2"/>
  <c r="S422" i="2"/>
  <c r="R423" i="2"/>
  <c r="S423" i="2"/>
  <c r="R424" i="2"/>
  <c r="S424" i="2"/>
  <c r="R425" i="2"/>
  <c r="S425" i="2"/>
  <c r="R426" i="2"/>
  <c r="S426" i="2"/>
  <c r="R427" i="2"/>
  <c r="H427" i="2" s="1"/>
  <c r="BE427" i="2" s="1"/>
  <c r="R428" i="2"/>
  <c r="S428" i="2"/>
  <c r="R429" i="2"/>
  <c r="S429" i="2"/>
  <c r="R430" i="2"/>
  <c r="S430" i="2"/>
  <c r="R431" i="2"/>
  <c r="S431" i="2"/>
  <c r="R432" i="2"/>
  <c r="S432" i="2"/>
  <c r="R433" i="2"/>
  <c r="H433" i="2" s="1"/>
  <c r="R434" i="2"/>
  <c r="S434" i="2"/>
  <c r="R435" i="2"/>
  <c r="H435" i="2" s="1"/>
  <c r="S435" i="2"/>
  <c r="J435" i="2" s="1"/>
  <c r="R436" i="2"/>
  <c r="S436" i="2"/>
  <c r="R437" i="2"/>
  <c r="S437" i="2"/>
  <c r="R438" i="2"/>
  <c r="S438" i="2"/>
  <c r="R439" i="2"/>
  <c r="S439" i="2"/>
  <c r="R440" i="2"/>
  <c r="S440" i="2"/>
  <c r="R441" i="2"/>
  <c r="H441" i="2" s="1"/>
  <c r="S441" i="2"/>
  <c r="J441" i="2" s="1"/>
  <c r="R442" i="2"/>
  <c r="S442" i="2"/>
  <c r="R443" i="2"/>
  <c r="S443" i="2"/>
  <c r="R444" i="2"/>
  <c r="S444" i="2"/>
  <c r="R445" i="2"/>
  <c r="H445" i="2" s="1"/>
  <c r="S445" i="2"/>
  <c r="R446" i="2"/>
  <c r="S446" i="2"/>
  <c r="R447" i="2"/>
  <c r="S447" i="2"/>
  <c r="R448" i="2"/>
  <c r="S448" i="2"/>
  <c r="R449" i="2"/>
  <c r="S449" i="2"/>
  <c r="R450" i="2"/>
  <c r="H450" i="2" s="1"/>
  <c r="S450" i="2"/>
  <c r="J450" i="2" s="1"/>
  <c r="R451" i="2"/>
  <c r="H451" i="2" s="1"/>
  <c r="S451" i="2"/>
  <c r="J451" i="2" s="1"/>
  <c r="R452" i="2"/>
  <c r="S452" i="2"/>
  <c r="R453" i="2"/>
  <c r="S453" i="2"/>
  <c r="R454" i="2"/>
  <c r="S454" i="2"/>
  <c r="R455" i="2"/>
  <c r="S455" i="2"/>
  <c r="R456" i="2"/>
  <c r="S456" i="2"/>
  <c r="R457" i="2"/>
  <c r="S457" i="2"/>
  <c r="R458" i="2"/>
  <c r="H458" i="2" s="1"/>
  <c r="S458" i="2"/>
  <c r="R459" i="2"/>
  <c r="H459" i="2" s="1"/>
  <c r="S459" i="2"/>
  <c r="J459" i="2" s="1"/>
  <c r="R460" i="2"/>
  <c r="S460" i="2"/>
  <c r="R461" i="2"/>
  <c r="S461" i="2"/>
  <c r="R462" i="2"/>
  <c r="S462" i="2"/>
  <c r="R463" i="2"/>
  <c r="S463" i="2"/>
  <c r="R464" i="2"/>
  <c r="H464" i="2" s="1"/>
  <c r="S464" i="2"/>
  <c r="J464" i="2" s="1"/>
  <c r="R465" i="2"/>
  <c r="H465" i="2" s="1"/>
  <c r="BE465" i="2" s="1"/>
  <c r="S465" i="2"/>
  <c r="J465" i="2" s="1"/>
  <c r="R466" i="2"/>
  <c r="S466" i="2"/>
  <c r="R467" i="2"/>
  <c r="H467" i="2" s="1"/>
  <c r="S467" i="2"/>
  <c r="J467" i="2" s="1"/>
  <c r="R468" i="2"/>
  <c r="S468" i="2"/>
  <c r="R469" i="2"/>
  <c r="S469" i="2"/>
  <c r="R470" i="2"/>
  <c r="S470" i="2"/>
  <c r="R471" i="2"/>
  <c r="H471" i="2" s="1"/>
  <c r="S471" i="2"/>
  <c r="J471" i="2" s="1"/>
  <c r="R472" i="2"/>
  <c r="S472" i="2"/>
  <c r="R473" i="2"/>
  <c r="S473" i="2"/>
  <c r="R474" i="2"/>
  <c r="S474" i="2"/>
  <c r="R475" i="2"/>
  <c r="S475" i="2"/>
  <c r="R476" i="2"/>
  <c r="H476" i="2" s="1"/>
  <c r="S476" i="2"/>
  <c r="J476" i="2" s="1"/>
  <c r="R477" i="2"/>
  <c r="H477" i="2" s="1"/>
  <c r="BE477" i="2" s="1"/>
  <c r="S477" i="2"/>
  <c r="J477" i="2" s="1"/>
  <c r="R478" i="2"/>
  <c r="S478" i="2"/>
  <c r="R479" i="2"/>
  <c r="S479" i="2"/>
  <c r="R480" i="2"/>
  <c r="S480" i="2"/>
  <c r="R481" i="2"/>
  <c r="S481" i="2"/>
  <c r="R482" i="2"/>
  <c r="H482" i="2" s="1"/>
  <c r="BE482" i="2" s="1"/>
  <c r="S482" i="2"/>
  <c r="R483" i="2"/>
  <c r="S483" i="2"/>
  <c r="R484" i="2"/>
  <c r="S484" i="2"/>
  <c r="R485" i="2"/>
  <c r="S485" i="2"/>
  <c r="R486" i="2"/>
  <c r="S486" i="2"/>
  <c r="R487" i="2"/>
  <c r="S487" i="2"/>
  <c r="R488" i="2"/>
  <c r="S488" i="2"/>
  <c r="R489" i="2"/>
  <c r="S489" i="2"/>
  <c r="R490" i="2"/>
  <c r="S490" i="2"/>
  <c r="R491" i="2"/>
  <c r="S491" i="2"/>
  <c r="R492" i="2"/>
  <c r="S492" i="2"/>
  <c r="R493" i="2"/>
  <c r="H493" i="2" s="1"/>
  <c r="S493" i="2"/>
  <c r="R494" i="2"/>
  <c r="S494" i="2"/>
  <c r="R495" i="2"/>
  <c r="S495" i="2"/>
  <c r="R496" i="2"/>
  <c r="S496" i="2"/>
  <c r="R497" i="2"/>
  <c r="S497" i="2"/>
  <c r="R498" i="2"/>
  <c r="S498" i="2"/>
  <c r="R499" i="2"/>
  <c r="S499" i="2"/>
  <c r="R500" i="2"/>
  <c r="S500" i="2"/>
  <c r="R501" i="2"/>
  <c r="S501" i="2"/>
  <c r="R502" i="2"/>
  <c r="S502" i="2"/>
  <c r="R503" i="2"/>
  <c r="S503" i="2"/>
  <c r="R504" i="2"/>
  <c r="S504" i="2"/>
  <c r="R505" i="2"/>
  <c r="S505" i="2"/>
  <c r="R506" i="2"/>
  <c r="S506" i="2"/>
  <c r="R507" i="2"/>
  <c r="S507" i="2"/>
  <c r="R508" i="2"/>
  <c r="S508" i="2"/>
  <c r="R509" i="2"/>
  <c r="S509" i="2"/>
  <c r="R510" i="2"/>
  <c r="S510" i="2"/>
  <c r="R511" i="2"/>
  <c r="S511" i="2"/>
  <c r="R512" i="2"/>
  <c r="S512" i="2"/>
  <c r="R513" i="2"/>
  <c r="S513" i="2"/>
  <c r="R514" i="2"/>
  <c r="S514" i="2"/>
  <c r="R515" i="2"/>
  <c r="S515" i="2"/>
  <c r="R516" i="2"/>
  <c r="S516" i="2"/>
  <c r="R517" i="2"/>
  <c r="S517" i="2"/>
  <c r="R518" i="2"/>
  <c r="S518" i="2"/>
  <c r="R519" i="2"/>
  <c r="S519" i="2"/>
  <c r="R520" i="2"/>
  <c r="S520" i="2"/>
  <c r="R521" i="2"/>
  <c r="S521" i="2"/>
  <c r="R522" i="2"/>
  <c r="S522" i="2"/>
  <c r="R523" i="2"/>
  <c r="S523" i="2"/>
  <c r="R524" i="2"/>
  <c r="S524" i="2"/>
  <c r="R525" i="2"/>
  <c r="S525" i="2"/>
  <c r="R526" i="2"/>
  <c r="S526" i="2"/>
  <c r="R527" i="2"/>
  <c r="S527" i="2"/>
  <c r="R528" i="2"/>
  <c r="S528" i="2"/>
  <c r="R529" i="2"/>
  <c r="S529" i="2"/>
  <c r="R530" i="2"/>
  <c r="S530" i="2"/>
  <c r="R531" i="2"/>
  <c r="S531" i="2"/>
  <c r="R532" i="2"/>
  <c r="S532" i="2"/>
  <c r="R533" i="2"/>
  <c r="S533" i="2"/>
  <c r="R534" i="2"/>
  <c r="S534" i="2"/>
  <c r="R535" i="2"/>
  <c r="S535" i="2"/>
  <c r="R536" i="2"/>
  <c r="S536" i="2"/>
  <c r="R537" i="2"/>
  <c r="S537" i="2"/>
  <c r="R538" i="2"/>
  <c r="S538" i="2"/>
  <c r="R539" i="2"/>
  <c r="S539" i="2"/>
  <c r="R540" i="2"/>
  <c r="S540" i="2"/>
  <c r="R541" i="2"/>
  <c r="S541" i="2"/>
  <c r="R542" i="2"/>
  <c r="H542" i="2" s="1"/>
  <c r="S542" i="2"/>
  <c r="J542" i="2" s="1"/>
  <c r="R543" i="2"/>
  <c r="S543" i="2"/>
  <c r="R544" i="2"/>
  <c r="S544" i="2"/>
  <c r="R545" i="2"/>
  <c r="S545" i="2"/>
  <c r="R546" i="2"/>
  <c r="S546" i="2"/>
  <c r="R547" i="2"/>
  <c r="S547" i="2"/>
  <c r="R548" i="2"/>
  <c r="S548" i="2"/>
  <c r="R549" i="2"/>
  <c r="S549" i="2"/>
  <c r="R550" i="2"/>
  <c r="S550" i="2"/>
  <c r="R551" i="2"/>
  <c r="S551" i="2"/>
  <c r="R552" i="2"/>
  <c r="S552" i="2"/>
  <c r="R553" i="2"/>
  <c r="S553" i="2"/>
  <c r="R554" i="2"/>
  <c r="S554" i="2"/>
  <c r="R555" i="2"/>
  <c r="S555" i="2"/>
  <c r="R556" i="2"/>
  <c r="S556" i="2"/>
  <c r="R557" i="2"/>
  <c r="S557" i="2"/>
  <c r="R558" i="2"/>
  <c r="S558" i="2"/>
  <c r="R559" i="2"/>
  <c r="S559" i="2"/>
  <c r="R560" i="2"/>
  <c r="S560" i="2"/>
  <c r="R561" i="2"/>
  <c r="H561" i="2" s="1"/>
  <c r="S561" i="2"/>
  <c r="J561" i="2" s="1"/>
  <c r="R562" i="2"/>
  <c r="H562" i="2" s="1"/>
  <c r="S562" i="2"/>
  <c r="J562" i="2" s="1"/>
  <c r="R563" i="2"/>
  <c r="H563" i="2" s="1"/>
  <c r="S563" i="2"/>
  <c r="J563" i="2" s="1"/>
  <c r="R564" i="2"/>
  <c r="S564" i="2"/>
  <c r="R565" i="2"/>
  <c r="S565" i="2"/>
  <c r="R566" i="2"/>
  <c r="S566" i="2"/>
  <c r="J566" i="2" s="1"/>
  <c r="R567" i="2"/>
  <c r="H567" i="2" s="1"/>
  <c r="BE567" i="2" s="1"/>
  <c r="S567" i="2"/>
  <c r="J567" i="2" s="1"/>
  <c r="R568" i="2"/>
  <c r="S568" i="2"/>
  <c r="R569" i="2"/>
  <c r="H569" i="2" s="1"/>
  <c r="S569" i="2"/>
  <c r="J569" i="2" s="1"/>
  <c r="R570" i="2"/>
  <c r="H570" i="2" s="1"/>
  <c r="S570" i="2"/>
  <c r="R571" i="2"/>
  <c r="S571" i="2"/>
  <c r="J571" i="2" s="1"/>
  <c r="R572" i="2"/>
  <c r="S572" i="2"/>
  <c r="R573" i="2"/>
  <c r="S573" i="2"/>
  <c r="R574" i="2"/>
  <c r="H574" i="2" s="1"/>
  <c r="S574" i="2"/>
  <c r="J574" i="2" s="1"/>
  <c r="R575" i="2"/>
  <c r="S575" i="2"/>
  <c r="R576" i="2"/>
  <c r="S576" i="2"/>
  <c r="R577" i="2"/>
  <c r="S577" i="2"/>
  <c r="R578" i="2"/>
  <c r="S578" i="2"/>
  <c r="R579" i="2"/>
  <c r="S579" i="2"/>
  <c r="R580" i="2"/>
  <c r="S580" i="2"/>
  <c r="R581" i="2"/>
  <c r="S581" i="2"/>
  <c r="R582" i="2"/>
  <c r="S582" i="2"/>
  <c r="R583" i="2"/>
  <c r="S583" i="2"/>
  <c r="R584" i="2"/>
  <c r="S584" i="2"/>
  <c r="R585" i="2"/>
  <c r="S585" i="2"/>
  <c r="R586" i="2"/>
  <c r="S586" i="2"/>
  <c r="R587" i="2"/>
  <c r="S587" i="2"/>
  <c r="R588" i="2"/>
  <c r="S588" i="2"/>
  <c r="R589" i="2"/>
  <c r="S589" i="2"/>
  <c r="R590" i="2"/>
  <c r="S590" i="2"/>
  <c r="R591" i="2"/>
  <c r="H591" i="2" s="1"/>
  <c r="S591" i="2"/>
  <c r="J591" i="2" s="1"/>
  <c r="R592" i="2"/>
  <c r="H592" i="2" s="1"/>
  <c r="S592" i="2"/>
  <c r="J592" i="2" s="1"/>
  <c r="R593" i="2"/>
  <c r="S593" i="2"/>
  <c r="R594" i="2"/>
  <c r="H594" i="2" s="1"/>
  <c r="S594" i="2"/>
  <c r="J594" i="2" s="1"/>
  <c r="R595" i="2"/>
  <c r="H595" i="2" s="1"/>
  <c r="S595" i="2"/>
  <c r="J595" i="2" s="1"/>
  <c r="R596" i="2"/>
  <c r="S596" i="2"/>
  <c r="R597" i="2"/>
  <c r="H597" i="2" s="1"/>
  <c r="S597" i="2"/>
  <c r="J597" i="2" s="1"/>
  <c r="R598" i="2"/>
  <c r="S598" i="2"/>
  <c r="R599" i="2"/>
  <c r="H599" i="2" s="1"/>
  <c r="S599" i="2"/>
  <c r="J599" i="2" s="1"/>
  <c r="R600" i="2"/>
  <c r="H600" i="2" s="1"/>
  <c r="S600" i="2"/>
  <c r="J600" i="2" s="1"/>
  <c r="R601" i="2"/>
  <c r="S601" i="2"/>
  <c r="H602" i="2"/>
  <c r="BE602" i="2" s="1"/>
  <c r="S602" i="2"/>
  <c r="J602" i="2" s="1"/>
  <c r="R603" i="2"/>
  <c r="H603" i="2" s="1"/>
  <c r="S603" i="2"/>
  <c r="J603" i="2" s="1"/>
  <c r="R604" i="2"/>
  <c r="S604" i="2"/>
  <c r="R605" i="2"/>
  <c r="H605" i="2" s="1"/>
  <c r="S605" i="2"/>
  <c r="J605" i="2" s="1"/>
  <c r="R606" i="2"/>
  <c r="H606" i="2" s="1"/>
  <c r="S606" i="2"/>
  <c r="J606" i="2" s="1"/>
  <c r="R607" i="2"/>
  <c r="S607" i="2"/>
  <c r="R608" i="2"/>
  <c r="S608" i="2"/>
  <c r="R609" i="2"/>
  <c r="H609" i="2" s="1"/>
  <c r="BE609" i="2" s="1"/>
  <c r="S609" i="2"/>
  <c r="J609" i="2" s="1"/>
  <c r="R610" i="2"/>
  <c r="H610" i="2" s="1"/>
  <c r="BE610" i="2" s="1"/>
  <c r="S610" i="2"/>
  <c r="J610" i="2" s="1"/>
  <c r="R611" i="2"/>
  <c r="S611" i="2"/>
  <c r="R612" i="2"/>
  <c r="S612" i="2"/>
  <c r="R613" i="2"/>
  <c r="S613" i="2"/>
  <c r="R614" i="2"/>
  <c r="H614" i="2" s="1"/>
  <c r="S614" i="2"/>
  <c r="J614" i="2" s="1"/>
  <c r="R615" i="2"/>
  <c r="S615" i="2"/>
  <c r="R616" i="2"/>
  <c r="H616" i="2" s="1"/>
  <c r="BE616" i="2" s="1"/>
  <c r="S616" i="2"/>
  <c r="J616" i="2" s="1"/>
  <c r="R617" i="2"/>
  <c r="S617" i="2"/>
  <c r="R618" i="2"/>
  <c r="S618" i="2"/>
  <c r="R619" i="2"/>
  <c r="H619" i="2" s="1"/>
  <c r="S619" i="2"/>
  <c r="J619" i="2" s="1"/>
  <c r="R620" i="2"/>
  <c r="S620" i="2"/>
  <c r="R621" i="2"/>
  <c r="S621" i="2"/>
  <c r="R622" i="2"/>
  <c r="S622" i="2"/>
  <c r="R623" i="2"/>
  <c r="H623" i="2" s="1"/>
  <c r="S623" i="2"/>
  <c r="J623" i="2" s="1"/>
  <c r="R624" i="2"/>
  <c r="S624" i="2"/>
  <c r="R625" i="2"/>
  <c r="H625" i="2" s="1"/>
  <c r="BE625" i="2" s="1"/>
  <c r="S625" i="2"/>
  <c r="J625" i="2" s="1"/>
  <c r="R626" i="2"/>
  <c r="S626" i="2"/>
  <c r="R627" i="2"/>
  <c r="H627" i="2" s="1"/>
  <c r="S627" i="2"/>
  <c r="J627" i="2" s="1"/>
  <c r="R628" i="2"/>
  <c r="S628" i="2"/>
  <c r="R629" i="2"/>
  <c r="S629" i="2"/>
  <c r="R630" i="2"/>
  <c r="H630" i="2" s="1"/>
  <c r="S630" i="2"/>
  <c r="J630" i="2" s="1"/>
  <c r="R631" i="2"/>
  <c r="H631" i="2" s="1"/>
  <c r="BE631" i="2" s="1"/>
  <c r="S631" i="2"/>
  <c r="J631" i="2" s="1"/>
  <c r="R632" i="2"/>
  <c r="H632" i="2" s="1"/>
  <c r="S632" i="2"/>
  <c r="J632" i="2" s="1"/>
  <c r="R633" i="2"/>
  <c r="S633" i="2"/>
  <c r="R634" i="2"/>
  <c r="S634" i="2"/>
  <c r="R635" i="2"/>
  <c r="S635" i="2"/>
  <c r="R636" i="2"/>
  <c r="S636" i="2"/>
  <c r="R637" i="2"/>
  <c r="S637" i="2"/>
  <c r="R638" i="2"/>
  <c r="H638" i="2" s="1"/>
  <c r="S638" i="2"/>
  <c r="J638" i="2" s="1"/>
  <c r="R639" i="2"/>
  <c r="S639" i="2"/>
  <c r="R640" i="2"/>
  <c r="H640" i="2" s="1"/>
  <c r="BE640" i="2" s="1"/>
  <c r="S640" i="2"/>
  <c r="J640" i="2" s="1"/>
  <c r="R641" i="2"/>
  <c r="H641" i="2" s="1"/>
  <c r="S641" i="2"/>
  <c r="J641" i="2" s="1"/>
  <c r="R642" i="2"/>
  <c r="S642" i="2"/>
  <c r="R643" i="2"/>
  <c r="S643" i="2"/>
  <c r="R644" i="2"/>
  <c r="S644" i="2"/>
  <c r="R645" i="2"/>
  <c r="S645" i="2"/>
  <c r="R646" i="2"/>
  <c r="S646" i="2"/>
  <c r="R647" i="2"/>
  <c r="H647" i="2" s="1"/>
  <c r="S647" i="2"/>
  <c r="J647" i="2" s="1"/>
  <c r="R648" i="2"/>
  <c r="S648" i="2"/>
  <c r="R649" i="2"/>
  <c r="S649" i="2"/>
  <c r="R650" i="2"/>
  <c r="S650" i="2"/>
  <c r="R651" i="2"/>
  <c r="S651" i="2"/>
  <c r="R652" i="2"/>
  <c r="S652" i="2"/>
  <c r="R653" i="2"/>
  <c r="S653" i="2"/>
  <c r="R654" i="2"/>
  <c r="S654" i="2"/>
  <c r="R655" i="2"/>
  <c r="S655" i="2"/>
  <c r="R656" i="2"/>
  <c r="S656" i="2"/>
  <c r="R657" i="2"/>
  <c r="S657" i="2"/>
  <c r="R658" i="2"/>
  <c r="S658" i="2"/>
  <c r="J658" i="2" s="1"/>
  <c r="R659" i="2"/>
  <c r="S659" i="2"/>
  <c r="J659" i="2" s="1"/>
  <c r="R660" i="2"/>
  <c r="S660" i="2"/>
  <c r="R661" i="2"/>
  <c r="H661" i="2" s="1"/>
  <c r="S661" i="2"/>
  <c r="J661" i="2" s="1"/>
  <c r="R662" i="2"/>
  <c r="S662" i="2"/>
  <c r="R663" i="2"/>
  <c r="S663" i="2"/>
  <c r="J663" i="2" s="1"/>
  <c r="R664" i="2"/>
  <c r="S664" i="2"/>
  <c r="R665" i="2"/>
  <c r="H665" i="2" s="1"/>
  <c r="S665" i="2"/>
  <c r="J665" i="2" s="1"/>
  <c r="R666" i="2"/>
  <c r="S666" i="2"/>
  <c r="R667" i="2"/>
  <c r="S667" i="2"/>
  <c r="R668" i="2"/>
  <c r="S668" i="2"/>
  <c r="R669" i="2"/>
  <c r="S669" i="2"/>
  <c r="R670" i="2"/>
  <c r="S670" i="2"/>
  <c r="R671" i="2"/>
  <c r="H671" i="2" s="1"/>
  <c r="S671" i="2"/>
  <c r="J671" i="2" s="1"/>
  <c r="R672" i="2"/>
  <c r="S672" i="2"/>
  <c r="R673" i="2"/>
  <c r="H673" i="2" s="1"/>
  <c r="S673" i="2"/>
  <c r="J673" i="2" s="1"/>
  <c r="R674" i="2"/>
  <c r="S674" i="2"/>
  <c r="R675" i="2"/>
  <c r="H675" i="2" s="1"/>
  <c r="S675" i="2"/>
  <c r="J675" i="2" s="1"/>
  <c r="R676" i="2"/>
  <c r="S676" i="2"/>
  <c r="R677" i="2"/>
  <c r="H677" i="2" s="1"/>
  <c r="S677" i="2"/>
  <c r="J677" i="2" s="1"/>
  <c r="R678" i="2"/>
  <c r="S678" i="2"/>
  <c r="R679" i="2"/>
  <c r="H679" i="2" s="1"/>
  <c r="S679" i="2"/>
  <c r="J679" i="2" s="1"/>
  <c r="R680" i="2"/>
  <c r="S680" i="2"/>
  <c r="R681" i="2"/>
  <c r="H681" i="2" s="1"/>
  <c r="S681" i="2"/>
  <c r="J681" i="2" s="1"/>
  <c r="R682" i="2"/>
  <c r="S682" i="2"/>
  <c r="R683" i="2"/>
  <c r="S683" i="2"/>
  <c r="R684" i="2"/>
  <c r="S684" i="2"/>
  <c r="R685" i="2"/>
  <c r="H685" i="2" s="1"/>
  <c r="S685" i="2"/>
  <c r="J685" i="2" s="1"/>
  <c r="R686" i="2"/>
  <c r="S686" i="2"/>
  <c r="R687" i="2"/>
  <c r="S687" i="2"/>
  <c r="R688" i="2"/>
  <c r="H688" i="2" s="1"/>
  <c r="BE688" i="2" s="1"/>
  <c r="S688" i="2"/>
  <c r="J688" i="2" s="1"/>
  <c r="R689" i="2"/>
  <c r="S689" i="2"/>
  <c r="R690" i="2"/>
  <c r="H690" i="2" s="1"/>
  <c r="S690" i="2"/>
  <c r="J690" i="2" s="1"/>
  <c r="R691" i="2"/>
  <c r="S691" i="2"/>
  <c r="R692" i="2"/>
  <c r="H692" i="2" s="1"/>
  <c r="BE692" i="2" s="1"/>
  <c r="S692" i="2"/>
  <c r="J692" i="2" s="1"/>
  <c r="R693" i="2"/>
  <c r="S693" i="2"/>
  <c r="R694" i="2"/>
  <c r="H694" i="2" s="1"/>
  <c r="BE694" i="2" s="1"/>
  <c r="S694" i="2"/>
  <c r="J694" i="2" s="1"/>
  <c r="R695" i="2"/>
  <c r="S695" i="2"/>
  <c r="R696" i="2"/>
  <c r="H696" i="2" s="1"/>
  <c r="S696" i="2"/>
  <c r="J696" i="2" s="1"/>
  <c r="R697" i="2"/>
  <c r="S697" i="2"/>
  <c r="R698" i="2"/>
  <c r="S698" i="2"/>
  <c r="R699" i="2"/>
  <c r="S699" i="2"/>
  <c r="J699" i="2" s="1"/>
  <c r="R700" i="2"/>
  <c r="S700" i="2"/>
  <c r="R701" i="2"/>
  <c r="H701" i="2" s="1"/>
  <c r="S701" i="2"/>
  <c r="J701" i="2" s="1"/>
  <c r="R702" i="2"/>
  <c r="S702" i="2"/>
  <c r="R703" i="2"/>
  <c r="H703" i="2" s="1"/>
  <c r="S703" i="2"/>
  <c r="J703" i="2" s="1"/>
  <c r="R704" i="2"/>
  <c r="S704" i="2"/>
  <c r="R705" i="2"/>
  <c r="H705" i="2" s="1"/>
  <c r="S705" i="2"/>
  <c r="J705" i="2" s="1"/>
  <c r="R706" i="2"/>
  <c r="S706" i="2"/>
  <c r="R707" i="2"/>
  <c r="H707" i="2" s="1"/>
  <c r="S707" i="2"/>
  <c r="J707" i="2" s="1"/>
  <c r="R708" i="2"/>
  <c r="H708" i="2" s="1"/>
  <c r="S708" i="2"/>
  <c r="J708" i="2" s="1"/>
  <c r="R709" i="2"/>
  <c r="S709" i="2"/>
  <c r="R710" i="2"/>
  <c r="S710" i="2"/>
  <c r="R711" i="2"/>
  <c r="S711" i="2"/>
  <c r="R712" i="2"/>
  <c r="H712" i="2" s="1"/>
  <c r="S712" i="2"/>
  <c r="J712" i="2" s="1"/>
  <c r="R713" i="2"/>
  <c r="S713" i="2"/>
  <c r="R714" i="2"/>
  <c r="H714" i="2" s="1"/>
  <c r="S714" i="2"/>
  <c r="J714" i="2" s="1"/>
  <c r="R715" i="2"/>
  <c r="S715" i="2"/>
  <c r="R716" i="2"/>
  <c r="S716" i="2"/>
  <c r="R717" i="2"/>
  <c r="S717" i="2"/>
  <c r="R718" i="2"/>
  <c r="S718" i="2"/>
  <c r="J718" i="2" s="1"/>
  <c r="R719" i="2"/>
  <c r="S719" i="2"/>
  <c r="R720" i="2"/>
  <c r="H720" i="2" s="1"/>
  <c r="S720" i="2"/>
  <c r="J720" i="2" s="1"/>
  <c r="R721" i="2"/>
  <c r="S721" i="2"/>
  <c r="R722" i="2"/>
  <c r="S722" i="2"/>
  <c r="R723" i="2"/>
  <c r="S723" i="2"/>
  <c r="R724" i="2"/>
  <c r="S724" i="2"/>
  <c r="R725" i="2"/>
  <c r="H725" i="2" s="1"/>
  <c r="S725" i="2"/>
  <c r="J725" i="2" s="1"/>
  <c r="R726" i="2"/>
  <c r="H726" i="2" s="1"/>
  <c r="BE726" i="2" s="1"/>
  <c r="S726" i="2"/>
  <c r="J726" i="2" s="1"/>
  <c r="R727" i="2"/>
  <c r="H727" i="2" s="1"/>
  <c r="S727" i="2"/>
  <c r="J727" i="2" s="1"/>
  <c r="R728" i="2"/>
  <c r="H728" i="2" s="1"/>
  <c r="H1" i="2" s="1"/>
  <c r="S728" i="2"/>
  <c r="J728" i="2" s="1"/>
  <c r="R729" i="2"/>
  <c r="S729" i="2"/>
  <c r="R730" i="2"/>
  <c r="H730" i="2" s="1"/>
  <c r="S730" i="2"/>
  <c r="J730" i="2" s="1"/>
  <c r="R731" i="2"/>
  <c r="H731" i="2" s="1"/>
  <c r="S731" i="2"/>
  <c r="J731" i="2" s="1"/>
  <c r="R732" i="2"/>
  <c r="S732" i="2"/>
  <c r="R733" i="2"/>
  <c r="S733" i="2"/>
  <c r="R734" i="2"/>
  <c r="H734" i="2" s="1"/>
  <c r="BE734" i="2" s="1"/>
  <c r="S734" i="2"/>
  <c r="J734" i="2" s="1"/>
  <c r="R735" i="2"/>
  <c r="S735" i="2"/>
  <c r="R736" i="2"/>
  <c r="S736" i="2"/>
  <c r="R737" i="2"/>
  <c r="H737" i="2" s="1"/>
  <c r="S737" i="2"/>
  <c r="J737" i="2" s="1"/>
  <c r="R738" i="2"/>
  <c r="S738" i="2"/>
  <c r="R739" i="2"/>
  <c r="H739" i="2" s="1"/>
  <c r="BE739" i="2" s="1"/>
  <c r="S739" i="2"/>
  <c r="J739" i="2" s="1"/>
  <c r="R740" i="2"/>
  <c r="H740" i="2" s="1"/>
  <c r="BE740" i="2" s="1"/>
  <c r="S740" i="2"/>
  <c r="J740" i="2" s="1"/>
  <c r="R741" i="2"/>
  <c r="S741" i="2"/>
  <c r="R742" i="2"/>
  <c r="S742" i="2"/>
  <c r="R743" i="2"/>
  <c r="H743" i="2" s="1"/>
  <c r="S743" i="2"/>
  <c r="J743" i="2" s="1"/>
  <c r="R744" i="2"/>
  <c r="S744" i="2"/>
  <c r="R745" i="2"/>
  <c r="S745" i="2"/>
  <c r="J745" i="2" s="1"/>
  <c r="R746" i="2"/>
  <c r="S746" i="2"/>
  <c r="R747" i="2"/>
  <c r="S747" i="2"/>
  <c r="R748" i="2"/>
  <c r="S748" i="2"/>
  <c r="R749" i="2"/>
  <c r="S749" i="2"/>
  <c r="R750" i="2"/>
  <c r="S750" i="2"/>
  <c r="R751" i="2"/>
  <c r="S751" i="2"/>
  <c r="R752" i="2"/>
  <c r="S752" i="2"/>
  <c r="R753" i="2"/>
  <c r="S753" i="2"/>
  <c r="R754" i="2"/>
  <c r="H754" i="2" s="1"/>
  <c r="BE754" i="2" s="1"/>
  <c r="S754" i="2"/>
  <c r="J754" i="2" s="1"/>
  <c r="R755" i="2"/>
  <c r="S755" i="2"/>
  <c r="R756" i="2"/>
  <c r="H756" i="2" s="1"/>
  <c r="BE756" i="2" s="1"/>
  <c r="S756" i="2"/>
  <c r="J756" i="2" s="1"/>
  <c r="R757" i="2"/>
  <c r="S757" i="2"/>
  <c r="R758" i="2"/>
  <c r="S758" i="2"/>
  <c r="R759" i="2"/>
  <c r="S759" i="2"/>
  <c r="J759" i="2" s="1"/>
  <c r="R760" i="2"/>
  <c r="H760" i="2" s="1"/>
  <c r="BE760" i="2" s="1"/>
  <c r="S760" i="2"/>
  <c r="J760" i="2" s="1"/>
  <c r="R761" i="2"/>
  <c r="S761" i="2"/>
  <c r="R762" i="2"/>
  <c r="H762" i="2" s="1"/>
  <c r="S762" i="2"/>
  <c r="J762" i="2" s="1"/>
  <c r="R763" i="2"/>
  <c r="S763" i="2"/>
  <c r="R764" i="2"/>
  <c r="S764" i="2"/>
  <c r="R765" i="2"/>
  <c r="S765" i="2"/>
  <c r="R766" i="2"/>
  <c r="S766" i="2"/>
  <c r="R767" i="2"/>
  <c r="H767" i="2" s="1"/>
  <c r="BE767" i="2" s="1"/>
  <c r="S767" i="2"/>
  <c r="J767" i="2" s="1"/>
  <c r="R768" i="2"/>
  <c r="H768" i="2" s="1"/>
  <c r="BE768" i="2" s="1"/>
  <c r="S768" i="2"/>
  <c r="J768" i="2" s="1"/>
  <c r="R769" i="2"/>
  <c r="S769" i="2"/>
  <c r="R770" i="2"/>
  <c r="S770" i="2"/>
  <c r="R771" i="2"/>
  <c r="S771" i="2"/>
  <c r="R772" i="2"/>
  <c r="S772" i="2"/>
  <c r="R773" i="2"/>
  <c r="S773" i="2"/>
  <c r="R774" i="2"/>
  <c r="S774" i="2"/>
  <c r="R775" i="2"/>
  <c r="S775" i="2"/>
  <c r="R776" i="2"/>
  <c r="S776" i="2"/>
  <c r="R777" i="2"/>
  <c r="S777" i="2"/>
  <c r="R778" i="2"/>
  <c r="S778" i="2"/>
  <c r="R779" i="2"/>
  <c r="S779" i="2"/>
  <c r="R780" i="2"/>
  <c r="S780" i="2"/>
  <c r="R781" i="2"/>
  <c r="S781" i="2"/>
  <c r="R782" i="2"/>
  <c r="S782" i="2"/>
  <c r="R783" i="2"/>
  <c r="S783" i="2"/>
  <c r="J783" i="2" s="1"/>
  <c r="R784" i="2"/>
  <c r="S784" i="2"/>
  <c r="R785" i="2"/>
  <c r="S785" i="2"/>
  <c r="R786" i="2"/>
  <c r="S786" i="2"/>
  <c r="R787" i="2"/>
  <c r="S787" i="2"/>
  <c r="R788" i="2"/>
  <c r="S788" i="2"/>
  <c r="R789" i="2"/>
  <c r="S789" i="2"/>
  <c r="R790" i="2"/>
  <c r="S790" i="2"/>
  <c r="R791" i="2"/>
  <c r="S791" i="2"/>
  <c r="R792" i="2"/>
  <c r="S792" i="2"/>
  <c r="R793" i="2"/>
  <c r="H793" i="2" s="1"/>
  <c r="S793" i="2"/>
  <c r="J793" i="2" s="1"/>
  <c r="R794" i="2"/>
  <c r="S794" i="2"/>
  <c r="R795" i="2"/>
  <c r="S795" i="2"/>
  <c r="J795" i="2" s="1"/>
  <c r="R796" i="2"/>
  <c r="S796" i="2"/>
  <c r="R797" i="2"/>
  <c r="S797" i="2"/>
  <c r="R798" i="2"/>
  <c r="S798" i="2"/>
  <c r="J798" i="2" s="1"/>
  <c r="R799" i="2"/>
  <c r="H799" i="2" s="1"/>
  <c r="S799" i="2"/>
  <c r="J799" i="2" s="1"/>
  <c r="R800" i="2"/>
  <c r="S800" i="2"/>
  <c r="R801" i="2"/>
  <c r="H801" i="2" s="1"/>
  <c r="S801" i="2"/>
  <c r="R802" i="2"/>
  <c r="S802" i="2"/>
  <c r="R803" i="2"/>
  <c r="H803" i="2" s="1"/>
  <c r="S803" i="2"/>
  <c r="J803" i="2" s="1"/>
  <c r="R804" i="2"/>
  <c r="S804" i="2"/>
  <c r="R805" i="2"/>
  <c r="H805" i="2" s="1"/>
  <c r="S805" i="2"/>
  <c r="J805" i="2" s="1"/>
  <c r="R806" i="2"/>
  <c r="S806" i="2"/>
  <c r="R807" i="2"/>
  <c r="H807" i="2" s="1"/>
  <c r="S807" i="2"/>
  <c r="J807" i="2" s="1"/>
  <c r="R808" i="2"/>
  <c r="S808" i="2"/>
  <c r="R809" i="2"/>
  <c r="H809" i="2" s="1"/>
  <c r="S809" i="2"/>
  <c r="J809" i="2" s="1"/>
  <c r="R810" i="2"/>
  <c r="S810" i="2"/>
  <c r="R811" i="2"/>
  <c r="S811" i="2"/>
  <c r="R812" i="2"/>
  <c r="S812" i="2"/>
  <c r="R813" i="2"/>
  <c r="S813" i="2"/>
  <c r="R814" i="2"/>
  <c r="H814" i="2" s="1"/>
  <c r="S814" i="2"/>
  <c r="J814" i="2" s="1"/>
  <c r="R815" i="2"/>
  <c r="H815" i="2" s="1"/>
  <c r="S815" i="2"/>
  <c r="J815" i="2" s="1"/>
  <c r="R816" i="2"/>
  <c r="H816" i="2" s="1"/>
  <c r="S816" i="2"/>
  <c r="J816" i="2" s="1"/>
  <c r="R817" i="2"/>
  <c r="H817" i="2" s="1"/>
  <c r="S817" i="2"/>
  <c r="J817" i="2" s="1"/>
  <c r="R818" i="2"/>
  <c r="S818" i="2"/>
  <c r="R819" i="2"/>
  <c r="S819" i="2"/>
  <c r="R820" i="2"/>
  <c r="S820" i="2"/>
  <c r="R821" i="2"/>
  <c r="H821" i="2" s="1"/>
  <c r="S821" i="2"/>
  <c r="J821" i="2" s="1"/>
  <c r="R822" i="2"/>
  <c r="S822" i="2"/>
  <c r="R823" i="2"/>
  <c r="S823" i="2"/>
  <c r="R824" i="2"/>
  <c r="S824" i="2"/>
  <c r="R825" i="2"/>
  <c r="S825" i="2"/>
  <c r="R826" i="2"/>
  <c r="S826" i="2"/>
  <c r="R827" i="2"/>
  <c r="S827" i="2"/>
  <c r="R828" i="2"/>
  <c r="S828" i="2"/>
  <c r="J828" i="2" s="1"/>
  <c r="R829" i="2"/>
  <c r="H829" i="2" s="1"/>
  <c r="S829" i="2"/>
  <c r="J829" i="2" s="1"/>
  <c r="R830" i="2"/>
  <c r="S830" i="2"/>
  <c r="R831" i="2"/>
  <c r="H831" i="2" s="1"/>
  <c r="S831" i="2"/>
  <c r="J831" i="2" s="1"/>
  <c r="R832" i="2"/>
  <c r="S832" i="2"/>
  <c r="J832" i="2" s="1"/>
  <c r="R833" i="2"/>
  <c r="H833" i="2" s="1"/>
  <c r="S833" i="2"/>
  <c r="J833" i="2" s="1"/>
  <c r="R834" i="2"/>
  <c r="H834" i="2" s="1"/>
  <c r="S834" i="2"/>
  <c r="J834" i="2" s="1"/>
  <c r="R835" i="2"/>
  <c r="H835" i="2" s="1"/>
  <c r="S835" i="2"/>
  <c r="J835" i="2" s="1"/>
  <c r="R836" i="2"/>
  <c r="S836" i="2"/>
  <c r="R837" i="2"/>
  <c r="S837" i="2"/>
  <c r="R838" i="2"/>
  <c r="S838" i="2"/>
  <c r="J838" i="2" s="1"/>
  <c r="R839" i="2"/>
  <c r="S839" i="2"/>
  <c r="R840" i="2"/>
  <c r="S840" i="2"/>
  <c r="R841" i="2"/>
  <c r="H841" i="2" s="1"/>
  <c r="S841" i="2"/>
  <c r="J841" i="2" s="1"/>
  <c r="R842" i="2"/>
  <c r="S842" i="2"/>
  <c r="R843" i="2"/>
  <c r="S843" i="2"/>
  <c r="R844" i="2"/>
  <c r="S844" i="2"/>
  <c r="R845" i="2"/>
  <c r="S845" i="2"/>
  <c r="R846" i="2"/>
  <c r="S846" i="2"/>
  <c r="R847" i="2"/>
  <c r="S847" i="2"/>
  <c r="R848" i="2"/>
  <c r="S848" i="2"/>
  <c r="R849" i="2"/>
  <c r="S849" i="2"/>
  <c r="R850" i="2"/>
  <c r="S850" i="2"/>
  <c r="R851" i="2"/>
  <c r="S851" i="2"/>
  <c r="R852" i="2"/>
  <c r="S852" i="2"/>
  <c r="R853" i="2"/>
  <c r="S853" i="2"/>
  <c r="R854" i="2"/>
  <c r="S854" i="2"/>
  <c r="R855" i="2"/>
  <c r="S855" i="2"/>
  <c r="R856" i="2"/>
  <c r="S856" i="2"/>
  <c r="R857" i="2"/>
  <c r="H857" i="2" s="1"/>
  <c r="BE857" i="2" s="1"/>
  <c r="S857" i="2"/>
  <c r="J857" i="2" s="1"/>
  <c r="R858" i="2"/>
  <c r="H858" i="2" s="1"/>
  <c r="S858" i="2"/>
  <c r="J858" i="2" s="1"/>
  <c r="R859" i="2"/>
  <c r="H859" i="2" s="1"/>
  <c r="S859" i="2"/>
  <c r="J859" i="2" s="1"/>
  <c r="R860" i="2"/>
  <c r="S860" i="2"/>
  <c r="R861" i="2"/>
  <c r="S861" i="2"/>
  <c r="R862" i="2"/>
  <c r="S862" i="2"/>
  <c r="R863" i="2"/>
  <c r="S863" i="2"/>
  <c r="R864" i="2"/>
  <c r="S864" i="2"/>
  <c r="R865" i="2"/>
  <c r="S865" i="2"/>
  <c r="R866" i="2"/>
  <c r="S866" i="2"/>
  <c r="R867" i="2"/>
  <c r="H867" i="2" s="1"/>
  <c r="S867" i="2"/>
  <c r="J867" i="2" s="1"/>
  <c r="R868" i="2"/>
  <c r="S868" i="2"/>
  <c r="R869" i="2"/>
  <c r="H869" i="2" s="1"/>
  <c r="S869" i="2"/>
  <c r="J869" i="2" s="1"/>
  <c r="R870" i="2"/>
  <c r="S870" i="2"/>
  <c r="R871" i="2"/>
  <c r="H871" i="2" s="1"/>
  <c r="S871" i="2"/>
  <c r="J871" i="2" s="1"/>
  <c r="R872" i="2"/>
  <c r="S872" i="2"/>
  <c r="R873" i="2"/>
  <c r="S873" i="2"/>
  <c r="R874" i="2"/>
  <c r="S874" i="2"/>
  <c r="R875" i="2"/>
  <c r="S875" i="2"/>
  <c r="R876" i="2"/>
  <c r="H876" i="2" s="1"/>
  <c r="S876" i="2"/>
  <c r="J876" i="2" s="1"/>
  <c r="R877" i="2"/>
  <c r="H877" i="2" s="1"/>
  <c r="S877" i="2"/>
  <c r="J877" i="2" s="1"/>
  <c r="R878" i="2"/>
  <c r="S878" i="2"/>
  <c r="R879" i="2"/>
  <c r="H879" i="2" s="1"/>
  <c r="BE879" i="2" s="1"/>
  <c r="S879" i="2"/>
  <c r="J879" i="2" s="1"/>
  <c r="R880" i="2"/>
  <c r="S880" i="2"/>
  <c r="R881" i="2"/>
  <c r="H881" i="2" s="1"/>
  <c r="BE881" i="2" s="1"/>
  <c r="S881" i="2"/>
  <c r="J881" i="2" s="1"/>
  <c r="R882" i="2"/>
  <c r="S882" i="2"/>
  <c r="J882" i="2" s="1"/>
  <c r="R883" i="2"/>
  <c r="H883" i="2" s="1"/>
  <c r="S883" i="2"/>
  <c r="J883" i="2" s="1"/>
  <c r="R884" i="2"/>
  <c r="S884" i="2"/>
  <c r="R885" i="2"/>
  <c r="S885" i="2"/>
  <c r="R886" i="2"/>
  <c r="S886" i="2"/>
  <c r="R887" i="2"/>
  <c r="H887" i="2" s="1"/>
  <c r="S887" i="2"/>
  <c r="J887" i="2" s="1"/>
  <c r="R888" i="2"/>
  <c r="S888" i="2"/>
  <c r="R889" i="2"/>
  <c r="S889" i="2"/>
  <c r="R890" i="2"/>
  <c r="S890" i="2"/>
  <c r="J890" i="2" s="1"/>
  <c r="R891" i="2"/>
  <c r="H891" i="2" s="1"/>
  <c r="BE891" i="2" s="1"/>
  <c r="S891" i="2"/>
  <c r="J891" i="2" s="1"/>
  <c r="R892" i="2"/>
  <c r="S892" i="2"/>
  <c r="R893" i="2"/>
  <c r="H893" i="2" s="1"/>
  <c r="BE893" i="2" s="1"/>
  <c r="S893" i="2"/>
  <c r="J893" i="2" s="1"/>
  <c r="R894" i="2"/>
  <c r="H894" i="2" s="1"/>
  <c r="S894" i="2"/>
  <c r="J894" i="2" s="1"/>
  <c r="R895" i="2"/>
  <c r="H895" i="2" s="1"/>
  <c r="S895" i="2"/>
  <c r="J895" i="2" s="1"/>
  <c r="R896" i="2"/>
  <c r="S896" i="2"/>
  <c r="R897" i="2"/>
  <c r="S897" i="2"/>
  <c r="R898" i="2"/>
  <c r="S898" i="2"/>
  <c r="J898" i="2" s="1"/>
  <c r="R899" i="2"/>
  <c r="H899" i="2" s="1"/>
  <c r="S899" i="2"/>
  <c r="J899" i="2" s="1"/>
  <c r="R900" i="2"/>
  <c r="S900" i="2"/>
  <c r="R901" i="2"/>
  <c r="H901" i="2" s="1"/>
  <c r="BE901" i="2" s="1"/>
  <c r="S901" i="2"/>
  <c r="J901" i="2" s="1"/>
  <c r="R902" i="2"/>
  <c r="S902" i="2"/>
  <c r="R903" i="2"/>
  <c r="H903" i="2" s="1"/>
  <c r="S903" i="2"/>
  <c r="R904" i="2"/>
  <c r="S904" i="2"/>
  <c r="R905" i="2"/>
  <c r="H905" i="2" s="1"/>
  <c r="S905" i="2"/>
  <c r="J905" i="2" s="1"/>
  <c r="R906" i="2"/>
  <c r="S906" i="2"/>
  <c r="R907" i="2"/>
  <c r="S907" i="2"/>
  <c r="R908" i="2"/>
  <c r="S908" i="2"/>
  <c r="R909" i="2"/>
  <c r="S909" i="2"/>
  <c r="R910" i="2"/>
  <c r="S910" i="2"/>
  <c r="R911" i="2"/>
  <c r="H911" i="2" s="1"/>
  <c r="S911" i="2"/>
  <c r="J911" i="2" s="1"/>
  <c r="R912" i="2"/>
  <c r="S912" i="2"/>
  <c r="J912" i="2" s="1"/>
  <c r="R913" i="2"/>
  <c r="H913" i="2" s="1"/>
  <c r="BE913" i="2" s="1"/>
  <c r="S913" i="2"/>
  <c r="J913" i="2" s="1"/>
  <c r="R914" i="2"/>
  <c r="S914" i="2"/>
  <c r="R915" i="2"/>
  <c r="S915" i="2"/>
  <c r="R916" i="2"/>
  <c r="S916" i="2"/>
  <c r="J916" i="2" s="1"/>
  <c r="R917" i="2"/>
  <c r="H917" i="2" s="1"/>
  <c r="S917" i="2"/>
  <c r="R918" i="2"/>
  <c r="S918" i="2"/>
  <c r="R919" i="2"/>
  <c r="H919" i="2" s="1"/>
  <c r="BE919" i="2" s="1"/>
  <c r="S919" i="2"/>
  <c r="J919" i="2" s="1"/>
  <c r="R920" i="2"/>
  <c r="S920" i="2"/>
  <c r="R921" i="2"/>
  <c r="S921" i="2"/>
  <c r="R922" i="2"/>
  <c r="S922" i="2"/>
  <c r="R923" i="2"/>
  <c r="S923" i="2"/>
  <c r="R924" i="2"/>
  <c r="S924" i="2"/>
  <c r="R925" i="2"/>
  <c r="S925" i="2"/>
  <c r="R926" i="2"/>
  <c r="S926" i="2"/>
  <c r="R927" i="2"/>
  <c r="S927" i="2"/>
  <c r="R928" i="2"/>
  <c r="S928" i="2"/>
  <c r="R929" i="2"/>
  <c r="S929" i="2"/>
  <c r="R930" i="2"/>
  <c r="S930" i="2"/>
  <c r="R931" i="2"/>
  <c r="S931" i="2"/>
  <c r="R932" i="2"/>
  <c r="S932" i="2"/>
  <c r="R933" i="2"/>
  <c r="S933" i="2"/>
  <c r="R934" i="2"/>
  <c r="S934" i="2"/>
  <c r="R935" i="2"/>
  <c r="H935" i="2" s="1"/>
  <c r="S935" i="2"/>
  <c r="J935" i="2" s="1"/>
  <c r="R936" i="2"/>
  <c r="S936" i="2"/>
  <c r="R937" i="2"/>
  <c r="H937" i="2" s="1"/>
  <c r="S937" i="2"/>
  <c r="J937" i="2" s="1"/>
  <c r="R938" i="2"/>
  <c r="S938" i="2"/>
  <c r="R939" i="2"/>
  <c r="S939" i="2"/>
  <c r="R940" i="2"/>
  <c r="S940" i="2"/>
  <c r="R941" i="2"/>
  <c r="S941" i="2"/>
  <c r="R942" i="2"/>
  <c r="S942" i="2"/>
  <c r="R943" i="2"/>
  <c r="H943" i="2" s="1"/>
  <c r="S943" i="2"/>
  <c r="J943" i="2" s="1"/>
  <c r="R944" i="2"/>
  <c r="H944" i="2" s="1"/>
  <c r="S944" i="2"/>
  <c r="J944" i="2" s="1"/>
  <c r="R945" i="2"/>
  <c r="H945" i="2" s="1"/>
  <c r="BE945" i="2" s="1"/>
  <c r="S945" i="2"/>
  <c r="J945" i="2" s="1"/>
  <c r="R946" i="2"/>
  <c r="S946" i="2"/>
  <c r="R947" i="2"/>
  <c r="S947" i="2"/>
  <c r="R948" i="2"/>
  <c r="S948" i="2"/>
  <c r="R949" i="2"/>
  <c r="S949" i="2"/>
  <c r="R950" i="2"/>
  <c r="S950" i="2"/>
  <c r="R951" i="2"/>
  <c r="S951" i="2"/>
  <c r="R952" i="2"/>
  <c r="S952" i="2"/>
  <c r="R953" i="2"/>
  <c r="S953" i="2"/>
  <c r="R954" i="2"/>
  <c r="S954" i="2"/>
  <c r="R955" i="2"/>
  <c r="S955" i="2"/>
  <c r="R956" i="2"/>
  <c r="S956" i="2"/>
  <c r="R957" i="2"/>
  <c r="S957" i="2"/>
  <c r="R958" i="2"/>
  <c r="S958" i="2"/>
  <c r="R959" i="2"/>
  <c r="S959" i="2"/>
  <c r="R960" i="2"/>
  <c r="S960" i="2"/>
  <c r="R961" i="2"/>
  <c r="S961" i="2"/>
  <c r="R962" i="2"/>
  <c r="S962" i="2"/>
  <c r="R963" i="2"/>
  <c r="S963" i="2"/>
  <c r="R964" i="2"/>
  <c r="S964" i="2"/>
  <c r="R965" i="2"/>
  <c r="S965" i="2"/>
  <c r="R966" i="2"/>
  <c r="S966" i="2"/>
  <c r="R967" i="2"/>
  <c r="S967" i="2"/>
  <c r="R968" i="2"/>
  <c r="S968" i="2"/>
  <c r="R969" i="2"/>
  <c r="S969" i="2"/>
  <c r="R970" i="2"/>
  <c r="S970" i="2"/>
  <c r="R971" i="2"/>
  <c r="S971" i="2"/>
  <c r="R972" i="2"/>
  <c r="S972" i="2"/>
  <c r="R973" i="2"/>
  <c r="S973" i="2"/>
  <c r="R974" i="2"/>
  <c r="S974" i="2"/>
  <c r="R975" i="2"/>
  <c r="S975" i="2"/>
  <c r="R976" i="2"/>
  <c r="S976" i="2"/>
  <c r="R977" i="2"/>
  <c r="S977" i="2"/>
  <c r="R978" i="2"/>
  <c r="S978" i="2"/>
  <c r="R979" i="2"/>
  <c r="S979" i="2"/>
  <c r="R980" i="2"/>
  <c r="S980" i="2"/>
  <c r="R981" i="2"/>
  <c r="S981" i="2"/>
  <c r="R982" i="2"/>
  <c r="S982" i="2"/>
  <c r="R983" i="2"/>
  <c r="S983" i="2"/>
  <c r="R984" i="2"/>
  <c r="S984" i="2"/>
  <c r="R985" i="2"/>
  <c r="S985" i="2"/>
  <c r="R986" i="2"/>
  <c r="S986" i="2"/>
  <c r="R987" i="2"/>
  <c r="S987" i="2"/>
  <c r="R988" i="2"/>
  <c r="S988" i="2"/>
  <c r="R989" i="2"/>
  <c r="S989" i="2"/>
  <c r="R990" i="2"/>
  <c r="S990" i="2"/>
  <c r="R991" i="2"/>
  <c r="S991" i="2"/>
  <c r="R992" i="2"/>
  <c r="S992" i="2"/>
  <c r="R993" i="2"/>
  <c r="S993" i="2"/>
  <c r="R994" i="2"/>
  <c r="S994" i="2"/>
  <c r="R995" i="2"/>
  <c r="S995" i="2"/>
  <c r="R996" i="2"/>
  <c r="S996" i="2"/>
  <c r="R997" i="2"/>
  <c r="S997" i="2"/>
  <c r="R998" i="2"/>
  <c r="S998" i="2"/>
  <c r="R999" i="2"/>
  <c r="S999" i="2"/>
  <c r="R1000" i="2"/>
  <c r="S1000" i="2"/>
  <c r="R1001" i="2"/>
  <c r="S1001" i="2"/>
  <c r="R1002" i="2"/>
  <c r="S1002" i="2"/>
  <c r="R1003" i="2"/>
  <c r="S1003" i="2"/>
  <c r="R1004" i="2"/>
  <c r="S1004" i="2"/>
  <c r="R1005" i="2"/>
  <c r="S1005" i="2"/>
  <c r="R1006" i="2"/>
  <c r="S1006" i="2"/>
  <c r="R1007" i="2"/>
  <c r="S1007" i="2"/>
  <c r="R1008" i="2"/>
  <c r="S1008" i="2"/>
  <c r="R1009" i="2"/>
  <c r="S1009" i="2"/>
  <c r="R1010" i="2"/>
  <c r="S1010" i="2"/>
  <c r="R1011" i="2"/>
  <c r="S1011" i="2"/>
  <c r="R1012" i="2"/>
  <c r="S1012" i="2"/>
  <c r="R1013" i="2"/>
  <c r="S1013" i="2"/>
  <c r="R1014" i="2"/>
  <c r="S1014" i="2"/>
  <c r="R1015" i="2"/>
  <c r="S1015" i="2"/>
  <c r="R1016" i="2"/>
  <c r="S1016" i="2"/>
  <c r="R1017" i="2"/>
  <c r="S1017" i="2"/>
  <c r="R1018" i="2"/>
  <c r="S1018" i="2"/>
  <c r="R1019" i="2"/>
  <c r="S1019" i="2"/>
  <c r="R1020" i="2"/>
  <c r="S1020" i="2"/>
  <c r="J1020" i="2" s="1"/>
  <c r="R1021" i="2"/>
  <c r="S1021" i="2"/>
  <c r="R1022" i="2"/>
  <c r="H1022" i="2" s="1"/>
  <c r="S1022" i="2"/>
  <c r="J1022" i="2" s="1"/>
  <c r="R1023" i="2"/>
  <c r="S1023" i="2"/>
  <c r="R1024" i="2"/>
  <c r="H1024" i="2" s="1"/>
  <c r="BE1024" i="2" s="1"/>
  <c r="S1024" i="2"/>
  <c r="J1024" i="2" s="1"/>
  <c r="R1025" i="2"/>
  <c r="S1025" i="2"/>
  <c r="R1026" i="2"/>
  <c r="H1026" i="2" s="1"/>
  <c r="BE1026" i="2" s="1"/>
  <c r="S1026" i="2"/>
  <c r="J1026" i="2" s="1"/>
  <c r="R1027" i="2"/>
  <c r="S1027" i="2"/>
  <c r="R1028" i="2"/>
  <c r="S1028" i="2"/>
  <c r="R1029" i="2"/>
  <c r="H1029" i="2" s="1"/>
  <c r="BE1029" i="2" s="1"/>
  <c r="S1029" i="2"/>
  <c r="J1029" i="2" s="1"/>
  <c r="R1030" i="2"/>
  <c r="H1030" i="2" s="1"/>
  <c r="BE1030" i="2" s="1"/>
  <c r="S1030" i="2"/>
  <c r="J1030" i="2" s="1"/>
  <c r="R1031" i="2"/>
  <c r="H1031" i="2" s="1"/>
  <c r="S1031" i="2"/>
  <c r="J1031" i="2" s="1"/>
  <c r="R1032" i="2"/>
  <c r="S1032" i="2"/>
  <c r="R1033" i="2"/>
  <c r="S1033" i="2"/>
  <c r="J1033" i="2" s="1"/>
  <c r="R1034" i="2"/>
  <c r="S1034" i="2"/>
  <c r="J1034" i="2" s="1"/>
  <c r="S1035" i="2"/>
  <c r="J1035" i="2" s="1"/>
  <c r="S1036" i="2"/>
  <c r="J1036" i="2" s="1"/>
  <c r="R1037" i="2"/>
  <c r="H1037" i="2" s="1"/>
  <c r="BE1037" i="2" s="1"/>
  <c r="S1037" i="2"/>
  <c r="J1037" i="2" s="1"/>
  <c r="R1038" i="2"/>
  <c r="H1038" i="2" s="1"/>
  <c r="BE1038" i="2" s="1"/>
  <c r="S1038" i="2"/>
  <c r="J1038" i="2" s="1"/>
  <c r="R1039" i="2"/>
  <c r="H1039" i="2" s="1"/>
  <c r="BE1039" i="2" s="1"/>
  <c r="S1039" i="2"/>
  <c r="J1039" i="2" s="1"/>
  <c r="R1040" i="2"/>
  <c r="H1040" i="2" s="1"/>
  <c r="BE1040" i="2" s="1"/>
  <c r="S1040" i="2"/>
  <c r="J1040" i="2" s="1"/>
  <c r="R1041" i="2"/>
  <c r="H1041" i="2" s="1"/>
  <c r="S1041" i="2"/>
  <c r="J1041" i="2" s="1"/>
  <c r="R1042" i="2"/>
  <c r="H1042" i="2" s="1"/>
  <c r="BE1042" i="2" s="1"/>
  <c r="S1042" i="2"/>
  <c r="J1042" i="2" s="1"/>
  <c r="R1043" i="2"/>
  <c r="H1043" i="2" s="1"/>
  <c r="BE1043" i="2" s="1"/>
  <c r="S1043" i="2"/>
  <c r="J1043" i="2" s="1"/>
  <c r="R1044" i="2"/>
  <c r="H1044" i="2" s="1"/>
  <c r="BE1044" i="2" s="1"/>
  <c r="S1044" i="2"/>
  <c r="J1044" i="2" s="1"/>
  <c r="R1045" i="2"/>
  <c r="H1045" i="2" s="1"/>
  <c r="BE1045" i="2" s="1"/>
  <c r="S1045" i="2"/>
  <c r="J1045" i="2" s="1"/>
  <c r="R1046" i="2"/>
  <c r="H1046" i="2" s="1"/>
  <c r="BE1046" i="2" s="1"/>
  <c r="S1046" i="2"/>
  <c r="J1046" i="2" s="1"/>
  <c r="R1047" i="2"/>
  <c r="H1047" i="2" s="1"/>
  <c r="BE1047" i="2" s="1"/>
  <c r="S1047" i="2"/>
  <c r="J1047" i="2" s="1"/>
  <c r="R1048" i="2"/>
  <c r="H1048" i="2" s="1"/>
  <c r="S1048" i="2"/>
  <c r="J1048" i="2" s="1"/>
  <c r="R1049" i="2"/>
  <c r="H1049" i="2" s="1"/>
  <c r="S1049" i="2"/>
  <c r="J1049" i="2" s="1"/>
  <c r="R1050" i="2"/>
  <c r="H1050" i="2" s="1"/>
  <c r="S1050" i="2"/>
  <c r="J1050" i="2" s="1"/>
  <c r="R1051" i="2"/>
  <c r="H1051" i="2" s="1"/>
  <c r="S1051" i="2"/>
  <c r="J1051" i="2" s="1"/>
  <c r="R1052" i="2"/>
  <c r="H1052" i="2" s="1"/>
  <c r="S1052" i="2"/>
  <c r="J1052" i="2" s="1"/>
  <c r="R1053" i="2"/>
  <c r="H1053" i="2" s="1"/>
  <c r="S1053" i="2"/>
  <c r="J1053" i="2" s="1"/>
  <c r="R1054" i="2"/>
  <c r="H1054" i="2" s="1"/>
  <c r="BE1054" i="2" s="1"/>
  <c r="S1054" i="2"/>
  <c r="J1054" i="2" s="1"/>
  <c r="R1055" i="2"/>
  <c r="H1055" i="2" s="1"/>
  <c r="BE1055" i="2" s="1"/>
  <c r="S1055" i="2"/>
  <c r="J1055" i="2" s="1"/>
  <c r="R1056" i="2"/>
  <c r="H1056" i="2" s="1"/>
  <c r="BE1056" i="2" s="1"/>
  <c r="S1056" i="2"/>
  <c r="J1056" i="2" s="1"/>
  <c r="R1057" i="2"/>
  <c r="H1057" i="2" s="1"/>
  <c r="BE1057" i="2" s="1"/>
  <c r="S1057" i="2"/>
  <c r="J1057" i="2" s="1"/>
  <c r="R1058" i="2"/>
  <c r="H1058" i="2" s="1"/>
  <c r="S1058" i="2"/>
  <c r="J1058" i="2" s="1"/>
  <c r="R1059" i="2"/>
  <c r="H1059" i="2" s="1"/>
  <c r="S1059" i="2"/>
  <c r="J1059" i="2" s="1"/>
  <c r="R1060" i="2"/>
  <c r="H1060" i="2" s="1"/>
  <c r="S1060" i="2"/>
  <c r="J1060" i="2" s="1"/>
  <c r="R1061" i="2"/>
  <c r="H1061" i="2" s="1"/>
  <c r="S1061" i="2"/>
  <c r="J1061" i="2" s="1"/>
  <c r="R1062" i="2"/>
  <c r="H1062" i="2" s="1"/>
  <c r="BE1062" i="2" s="1"/>
  <c r="S1062" i="2"/>
  <c r="J1062" i="2" s="1"/>
  <c r="R1063" i="2"/>
  <c r="H1063" i="2" s="1"/>
  <c r="BE1063" i="2" s="1"/>
  <c r="S1063" i="2"/>
  <c r="J1063" i="2" s="1"/>
  <c r="R1064" i="2"/>
  <c r="S1064" i="2"/>
  <c r="J1064" i="2" s="1"/>
  <c r="R1065" i="2"/>
  <c r="H1065" i="2" s="1"/>
  <c r="BE1065" i="2" s="1"/>
  <c r="S1065" i="2"/>
  <c r="J1065" i="2" s="1"/>
  <c r="R1066" i="2"/>
  <c r="H1066" i="2" s="1"/>
  <c r="S1066" i="2"/>
  <c r="J1066" i="2" s="1"/>
  <c r="R1067" i="2"/>
  <c r="H1067" i="2" s="1"/>
  <c r="BE1067" i="2" s="1"/>
  <c r="S1067" i="2"/>
  <c r="J1067" i="2" s="1"/>
  <c r="R1068" i="2"/>
  <c r="H1068" i="2" s="1"/>
  <c r="S1068" i="2"/>
  <c r="J1068" i="2" s="1"/>
  <c r="R1069" i="2"/>
  <c r="H1069" i="2" s="1"/>
  <c r="S1069" i="2"/>
  <c r="J1069" i="2" s="1"/>
  <c r="R1070" i="2"/>
  <c r="H1070" i="2" s="1"/>
  <c r="S1070" i="2"/>
  <c r="J1070" i="2" s="1"/>
  <c r="R1071" i="2"/>
  <c r="H1071" i="2" s="1"/>
  <c r="BE1071" i="2" s="1"/>
  <c r="S1071" i="2"/>
  <c r="J1071" i="2" s="1"/>
  <c r="R1072" i="2"/>
  <c r="H1072" i="2" s="1"/>
  <c r="S1072" i="2"/>
  <c r="J1072" i="2" s="1"/>
  <c r="R1073" i="2"/>
  <c r="H1073" i="2" s="1"/>
  <c r="BE1073" i="2" s="1"/>
  <c r="S1073" i="2"/>
  <c r="J1073" i="2" s="1"/>
  <c r="R1074" i="2"/>
  <c r="H1074" i="2" s="1"/>
  <c r="BE1074" i="2" s="1"/>
  <c r="S1074" i="2"/>
  <c r="J1074" i="2" s="1"/>
  <c r="R1075" i="2"/>
  <c r="H1075" i="2" s="1"/>
  <c r="S1075" i="2"/>
  <c r="J1075" i="2" s="1"/>
  <c r="S1076" i="2"/>
  <c r="J1076" i="2" s="1"/>
  <c r="R1077" i="2"/>
  <c r="H1077" i="2" s="1"/>
  <c r="BE1077" i="2" s="1"/>
  <c r="S1077" i="2"/>
  <c r="J1077" i="2" s="1"/>
  <c r="R1078" i="2"/>
  <c r="H1078" i="2" s="1"/>
  <c r="S1078" i="2"/>
  <c r="J1078" i="2" s="1"/>
  <c r="R1079" i="2"/>
  <c r="H1079" i="2" s="1"/>
  <c r="S1079" i="2"/>
  <c r="J1079" i="2" s="1"/>
  <c r="R1080" i="2"/>
  <c r="H1080" i="2" s="1"/>
  <c r="BE1080" i="2" s="1"/>
  <c r="S1080" i="2"/>
  <c r="J1080" i="2" s="1"/>
  <c r="R1081" i="2"/>
  <c r="H1081" i="2" s="1"/>
  <c r="BE1081" i="2" s="1"/>
  <c r="S1081" i="2"/>
  <c r="J1081" i="2" s="1"/>
  <c r="R1082" i="2"/>
  <c r="H1082" i="2" s="1"/>
  <c r="BE1082" i="2" s="1"/>
  <c r="S1082" i="2"/>
  <c r="J1082" i="2" s="1"/>
  <c r="R1083" i="2"/>
  <c r="H1083" i="2" s="1"/>
  <c r="BE1083" i="2" s="1"/>
  <c r="S1083" i="2"/>
  <c r="J1083" i="2" s="1"/>
  <c r="R1084" i="2"/>
  <c r="H1084" i="2" s="1"/>
  <c r="BE1084" i="2" s="1"/>
  <c r="S1084" i="2"/>
  <c r="J1084" i="2" s="1"/>
  <c r="R1085" i="2"/>
  <c r="H1085" i="2" s="1"/>
  <c r="BE1085" i="2" s="1"/>
  <c r="S1085" i="2"/>
  <c r="J1085" i="2" s="1"/>
  <c r="R1086" i="2"/>
  <c r="H1086" i="2" s="1"/>
  <c r="BE1086" i="2" s="1"/>
  <c r="S1086" i="2"/>
  <c r="J1086" i="2" s="1"/>
  <c r="R1087" i="2"/>
  <c r="H1087" i="2" s="1"/>
  <c r="BE1087" i="2" s="1"/>
  <c r="S1087" i="2"/>
  <c r="J1087" i="2" s="1"/>
  <c r="R1088" i="2"/>
  <c r="H1088" i="2" s="1"/>
  <c r="S1088" i="2"/>
  <c r="J1088" i="2" s="1"/>
  <c r="R1089" i="2"/>
  <c r="H1089" i="2" s="1"/>
  <c r="S1089" i="2"/>
  <c r="J1089" i="2" s="1"/>
  <c r="R1090" i="2"/>
  <c r="H1090" i="2" s="1"/>
  <c r="S1090" i="2"/>
  <c r="J1090" i="2" s="1"/>
  <c r="H1091" i="2"/>
  <c r="BE1091" i="2" s="1"/>
  <c r="S1091" i="2"/>
  <c r="J1091" i="2" s="1"/>
  <c r="H1092" i="2"/>
  <c r="BE1092" i="2" s="1"/>
  <c r="S1092" i="2"/>
  <c r="J1092" i="2" s="1"/>
  <c r="R1093" i="2"/>
  <c r="H1093" i="2" s="1"/>
  <c r="BE1093" i="2" s="1"/>
  <c r="S1093" i="2"/>
  <c r="J1093" i="2" s="1"/>
  <c r="R1094" i="2"/>
  <c r="H1094" i="2" s="1"/>
  <c r="BE1094" i="2" s="1"/>
  <c r="S1094" i="2"/>
  <c r="J1094" i="2" s="1"/>
  <c r="R1095" i="2"/>
  <c r="H1095" i="2" s="1"/>
  <c r="BE1095" i="2" s="1"/>
  <c r="S1095" i="2"/>
  <c r="J1095" i="2" s="1"/>
  <c r="R1096" i="2"/>
  <c r="H1096" i="2" s="1"/>
  <c r="BE1096" i="2" s="1"/>
  <c r="S1096" i="2"/>
  <c r="J1096" i="2" s="1"/>
  <c r="R1097" i="2"/>
  <c r="H1097" i="2" s="1"/>
  <c r="BE1097" i="2" s="1"/>
  <c r="S1097" i="2"/>
  <c r="J1097" i="2" s="1"/>
  <c r="R1098" i="2"/>
  <c r="H1098" i="2" s="1"/>
  <c r="BE1098" i="2" s="1"/>
  <c r="S1098" i="2"/>
  <c r="J1098" i="2" s="1"/>
  <c r="R1099" i="2"/>
  <c r="H1099" i="2" s="1"/>
  <c r="BE1099" i="2" s="1"/>
  <c r="S1099" i="2"/>
  <c r="J1099" i="2" s="1"/>
  <c r="R1100" i="2"/>
  <c r="H1100" i="2" s="1"/>
  <c r="BE1100" i="2" s="1"/>
  <c r="S1100" i="2"/>
  <c r="J1100" i="2" s="1"/>
  <c r="R1101" i="2"/>
  <c r="H1101" i="2" s="1"/>
  <c r="BE1101" i="2" s="1"/>
  <c r="S1101" i="2"/>
  <c r="J1101" i="2" s="1"/>
  <c r="R1102" i="2"/>
  <c r="H1102" i="2" s="1"/>
  <c r="BE1102" i="2" s="1"/>
  <c r="S1102" i="2"/>
  <c r="J1102" i="2" s="1"/>
  <c r="R1103" i="2"/>
  <c r="H1103" i="2" s="1"/>
  <c r="BE1103" i="2" s="1"/>
  <c r="S1103" i="2"/>
  <c r="J1103" i="2" s="1"/>
  <c r="R1104" i="2"/>
  <c r="H1104" i="2" s="1"/>
  <c r="S1104" i="2"/>
  <c r="J1104" i="2" s="1"/>
  <c r="R1105" i="2"/>
  <c r="H1105" i="2" s="1"/>
  <c r="S1105" i="2"/>
  <c r="J1105" i="2" s="1"/>
  <c r="R1106" i="2"/>
  <c r="H1106" i="2" s="1"/>
  <c r="H6" i="2" s="1"/>
  <c r="S1106" i="2"/>
  <c r="J1106" i="2" s="1"/>
  <c r="R1107" i="2"/>
  <c r="H1107" i="2" s="1"/>
  <c r="S1107" i="2"/>
  <c r="J1107" i="2" s="1"/>
  <c r="R1108" i="2"/>
  <c r="H1108" i="2" s="1"/>
  <c r="S1108" i="2"/>
  <c r="J1108" i="2" s="1"/>
  <c r="R1109" i="2"/>
  <c r="H1109" i="2" s="1"/>
  <c r="BE1109" i="2" s="1"/>
  <c r="S1109" i="2"/>
  <c r="J1109" i="2" s="1"/>
  <c r="R1110" i="2"/>
  <c r="H1110" i="2" s="1"/>
  <c r="BE1110" i="2" s="1"/>
  <c r="S1110" i="2"/>
  <c r="J1110" i="2" s="1"/>
  <c r="R1111" i="2"/>
  <c r="H1111" i="2" s="1"/>
  <c r="BE1111" i="2" s="1"/>
  <c r="S1111" i="2"/>
  <c r="J1111" i="2" s="1"/>
  <c r="R1112" i="2"/>
  <c r="H1112" i="2" s="1"/>
  <c r="S1112" i="2"/>
  <c r="J1112" i="2" s="1"/>
  <c r="R1113" i="2"/>
  <c r="H1113" i="2" s="1"/>
  <c r="BE1113" i="2" s="1"/>
  <c r="S1113" i="2"/>
  <c r="J1113" i="2" s="1"/>
  <c r="R1114" i="2"/>
  <c r="H1114" i="2" s="1"/>
  <c r="BE1114" i="2" s="1"/>
  <c r="S1114" i="2"/>
  <c r="J1114" i="2" s="1"/>
  <c r="R1115" i="2"/>
  <c r="H1115" i="2" s="1"/>
  <c r="BE1115" i="2" s="1"/>
  <c r="S1115" i="2"/>
  <c r="J1115" i="2" s="1"/>
  <c r="R1116" i="2"/>
  <c r="H1116" i="2" s="1"/>
  <c r="BE1116" i="2" s="1"/>
  <c r="S1116" i="2"/>
  <c r="J1116" i="2" s="1"/>
  <c r="R1117" i="2"/>
  <c r="H1117" i="2" s="1"/>
  <c r="S1117" i="2"/>
  <c r="J1117" i="2" s="1"/>
  <c r="R1118" i="2"/>
  <c r="H1118" i="2" s="1"/>
  <c r="BE1118" i="2" s="1"/>
  <c r="S1118" i="2"/>
  <c r="J1118" i="2" s="1"/>
  <c r="R1119" i="2"/>
  <c r="H1119" i="2" s="1"/>
  <c r="BE1119" i="2" s="1"/>
  <c r="S1119" i="2"/>
  <c r="J1119" i="2" s="1"/>
  <c r="R1120" i="2"/>
  <c r="H1120" i="2" s="1"/>
  <c r="BE1120" i="2" s="1"/>
  <c r="S1120" i="2"/>
  <c r="J1120" i="2" s="1"/>
  <c r="R1121" i="2"/>
  <c r="H1121" i="2" s="1"/>
  <c r="BE1121" i="2" s="1"/>
  <c r="S1121" i="2"/>
  <c r="J1121" i="2" s="1"/>
  <c r="R1122" i="2"/>
  <c r="H1122" i="2" s="1"/>
  <c r="BE1122" i="2" s="1"/>
  <c r="S1122" i="2"/>
  <c r="J1122" i="2" s="1"/>
  <c r="R1123" i="2"/>
  <c r="H1123" i="2" s="1"/>
  <c r="BE1123" i="2" s="1"/>
  <c r="S1123" i="2"/>
  <c r="J1123" i="2" s="1"/>
  <c r="R1124" i="2"/>
  <c r="H1124" i="2" s="1"/>
  <c r="BE1124" i="2" s="1"/>
  <c r="S1124" i="2"/>
  <c r="J1124" i="2" s="1"/>
  <c r="H1125" i="2"/>
  <c r="BE1125" i="2" s="1"/>
  <c r="S1125" i="2"/>
  <c r="J1125" i="2" s="1"/>
  <c r="R1126" i="2"/>
  <c r="H1126" i="2" s="1"/>
  <c r="BE1126" i="2" s="1"/>
  <c r="S1126" i="2"/>
  <c r="J1126" i="2" s="1"/>
  <c r="R1127" i="2"/>
  <c r="H1127" i="2" s="1"/>
  <c r="BE1127" i="2" s="1"/>
  <c r="S1127" i="2"/>
  <c r="J1127" i="2" s="1"/>
  <c r="R1128" i="2"/>
  <c r="H1128" i="2" s="1"/>
  <c r="BE1128" i="2" s="1"/>
  <c r="S1128" i="2"/>
  <c r="J1128" i="2" s="1"/>
  <c r="R1129" i="2"/>
  <c r="H1129" i="2" s="1"/>
  <c r="BE1129" i="2" s="1"/>
  <c r="S1129" i="2"/>
  <c r="J1129" i="2" s="1"/>
  <c r="R1130" i="2"/>
  <c r="H1130" i="2" s="1"/>
  <c r="BE1130" i="2" s="1"/>
  <c r="S1130" i="2"/>
  <c r="J1130" i="2" s="1"/>
  <c r="R1131" i="2"/>
  <c r="H1131" i="2" s="1"/>
  <c r="S1131" i="2"/>
  <c r="J1131" i="2" s="1"/>
  <c r="R1132" i="2"/>
  <c r="H1132" i="2" s="1"/>
  <c r="BE1132" i="2" s="1"/>
  <c r="S1132" i="2"/>
  <c r="J1132" i="2" s="1"/>
  <c r="R1133" i="2"/>
  <c r="H1133" i="2" s="1"/>
  <c r="BE1133" i="2" s="1"/>
  <c r="S1133" i="2"/>
  <c r="J1133" i="2" s="1"/>
  <c r="R1134" i="2"/>
  <c r="H1134" i="2" s="1"/>
  <c r="BE1134" i="2" s="1"/>
  <c r="S1134" i="2"/>
  <c r="J1134" i="2" s="1"/>
  <c r="R1135" i="2"/>
  <c r="H1135" i="2" s="1"/>
  <c r="BE1135" i="2" s="1"/>
  <c r="S1135" i="2"/>
  <c r="J1135" i="2" s="1"/>
  <c r="R1136" i="2"/>
  <c r="H1136" i="2" s="1"/>
  <c r="BE1136" i="2" s="1"/>
  <c r="S1136" i="2"/>
  <c r="J1136" i="2" s="1"/>
  <c r="R1137" i="2"/>
  <c r="H1137" i="2" s="1"/>
  <c r="BE1137" i="2" s="1"/>
  <c r="S1137" i="2"/>
  <c r="J1137" i="2" s="1"/>
  <c r="R1138" i="2"/>
  <c r="H1138" i="2" s="1"/>
  <c r="BE1138" i="2" s="1"/>
  <c r="S1138" i="2"/>
  <c r="J1138" i="2" s="1"/>
  <c r="R1139" i="2"/>
  <c r="H1139" i="2" s="1"/>
  <c r="BE1139" i="2" s="1"/>
  <c r="S1139" i="2"/>
  <c r="J1139" i="2" s="1"/>
  <c r="R1140" i="2"/>
  <c r="H1140" i="2" s="1"/>
  <c r="BE1140" i="2" s="1"/>
  <c r="S1140" i="2"/>
  <c r="J1140" i="2" s="1"/>
  <c r="R1141" i="2"/>
  <c r="H1141" i="2" s="1"/>
  <c r="BE1141" i="2" s="1"/>
  <c r="S1141" i="2"/>
  <c r="J1141" i="2" s="1"/>
  <c r="R1142" i="2"/>
  <c r="H1142" i="2" s="1"/>
  <c r="BE1142" i="2" s="1"/>
  <c r="S1142" i="2"/>
  <c r="J1142" i="2" s="1"/>
  <c r="R1143" i="2"/>
  <c r="H1143" i="2" s="1"/>
  <c r="BE1143" i="2" s="1"/>
  <c r="S1143" i="2"/>
  <c r="J1143" i="2" s="1"/>
  <c r="R1144" i="2"/>
  <c r="H1144" i="2" s="1"/>
  <c r="BE1144" i="2" s="1"/>
  <c r="S1144" i="2"/>
  <c r="J1144" i="2" s="1"/>
  <c r="R1145" i="2"/>
  <c r="H1145" i="2" s="1"/>
  <c r="S1145" i="2"/>
  <c r="J1145" i="2" s="1"/>
  <c r="R1146" i="2"/>
  <c r="H1146" i="2" s="1"/>
  <c r="S1146" i="2"/>
  <c r="J1146" i="2" s="1"/>
  <c r="R1147" i="2"/>
  <c r="H1147" i="2" s="1"/>
  <c r="S1147" i="2"/>
  <c r="J1147" i="2" s="1"/>
  <c r="R1148" i="2"/>
  <c r="H1148" i="2" s="1"/>
  <c r="S1148" i="2"/>
  <c r="J1148" i="2" s="1"/>
  <c r="R1149" i="2"/>
  <c r="H1149" i="2" s="1"/>
  <c r="S1149" i="2"/>
  <c r="J1149" i="2" s="1"/>
  <c r="R1150" i="2"/>
  <c r="H1150" i="2" s="1"/>
  <c r="BE1150" i="2" s="1"/>
  <c r="S1150" i="2"/>
  <c r="J1150" i="2" s="1"/>
  <c r="R1151" i="2"/>
  <c r="H1151" i="2" s="1"/>
  <c r="BE1151" i="2" s="1"/>
  <c r="S1151" i="2"/>
  <c r="J1151" i="2" s="1"/>
  <c r="R1152" i="2"/>
  <c r="H1152" i="2" s="1"/>
  <c r="BE1152" i="2" s="1"/>
  <c r="S1152" i="2"/>
  <c r="J1152" i="2" s="1"/>
  <c r="R1153" i="2"/>
  <c r="H1153" i="2" s="1"/>
  <c r="BE1153" i="2" s="1"/>
  <c r="S1153" i="2"/>
  <c r="J1153" i="2" s="1"/>
  <c r="R1154" i="2"/>
  <c r="H1154" i="2" s="1"/>
  <c r="BE1154" i="2" s="1"/>
  <c r="S1154" i="2"/>
  <c r="J1154" i="2" s="1"/>
  <c r="R1155" i="2"/>
  <c r="H1155" i="2" s="1"/>
  <c r="BE1155" i="2" s="1"/>
  <c r="S1155" i="2"/>
  <c r="J1155" i="2" s="1"/>
  <c r="R1156" i="2"/>
  <c r="H1156" i="2" s="1"/>
  <c r="BE1156" i="2" s="1"/>
  <c r="S1156" i="2"/>
  <c r="J1156" i="2" s="1"/>
  <c r="R1157" i="2"/>
  <c r="H1157" i="2" s="1"/>
  <c r="BE1157" i="2" s="1"/>
  <c r="S1157" i="2"/>
  <c r="J1157" i="2" s="1"/>
  <c r="R1158" i="2"/>
  <c r="H1158" i="2" s="1"/>
  <c r="BE1158" i="2" s="1"/>
  <c r="S1158" i="2"/>
  <c r="J1158" i="2" s="1"/>
  <c r="R1159" i="2"/>
  <c r="H1159" i="2" s="1"/>
  <c r="BE1159" i="2" s="1"/>
  <c r="S1159" i="2"/>
  <c r="J1159" i="2" s="1"/>
  <c r="R1160" i="2"/>
  <c r="H1160" i="2" s="1"/>
  <c r="S1160" i="2"/>
  <c r="J1160" i="2" s="1"/>
  <c r="R1161" i="2"/>
  <c r="H1161" i="2" s="1"/>
  <c r="BE1161" i="2" s="1"/>
  <c r="S1161" i="2"/>
  <c r="J1161" i="2" s="1"/>
  <c r="R1162" i="2"/>
  <c r="H1162" i="2" s="1"/>
  <c r="BE1162" i="2" s="1"/>
  <c r="S1162" i="2"/>
  <c r="J1162" i="2" s="1"/>
  <c r="R1163" i="2"/>
  <c r="H1163" i="2" s="1"/>
  <c r="S1163" i="2"/>
  <c r="J1163" i="2" s="1"/>
  <c r="R1164" i="2"/>
  <c r="H1164" i="2" s="1"/>
  <c r="BE1164" i="2" s="1"/>
  <c r="S1164" i="2"/>
  <c r="J1164" i="2" s="1"/>
  <c r="R1165" i="2"/>
  <c r="H1165" i="2" s="1"/>
  <c r="S1165" i="2"/>
  <c r="J1165" i="2" s="1"/>
  <c r="R1166" i="2"/>
  <c r="H1166" i="2" s="1"/>
  <c r="BE1166" i="2" s="1"/>
  <c r="S1166" i="2"/>
  <c r="J1166" i="2" s="1"/>
  <c r="R1167" i="2"/>
  <c r="H1167" i="2" s="1"/>
  <c r="BE1167" i="2" s="1"/>
  <c r="S1167" i="2"/>
  <c r="J1167" i="2" s="1"/>
  <c r="R1168" i="2"/>
  <c r="H1168" i="2" s="1"/>
  <c r="BE1168" i="2" s="1"/>
  <c r="S1168" i="2"/>
  <c r="J1168" i="2" s="1"/>
  <c r="R1169" i="2"/>
  <c r="H1169" i="2" s="1"/>
  <c r="BE1169" i="2" s="1"/>
  <c r="S1169" i="2"/>
  <c r="J1169" i="2" s="1"/>
  <c r="R1170" i="2"/>
  <c r="H1170" i="2" s="1"/>
  <c r="BE1170" i="2" s="1"/>
  <c r="S1170" i="2"/>
  <c r="J1170" i="2" s="1"/>
  <c r="R1171" i="2"/>
  <c r="H1171" i="2" s="1"/>
  <c r="BE1171" i="2" s="1"/>
  <c r="S1171" i="2"/>
  <c r="J1171" i="2" s="1"/>
  <c r="R1172" i="2"/>
  <c r="H1172" i="2" s="1"/>
  <c r="BE1172" i="2" s="1"/>
  <c r="S1172" i="2"/>
  <c r="J1172" i="2" s="1"/>
  <c r="R1173" i="2"/>
  <c r="H1173" i="2" s="1"/>
  <c r="BE1173" i="2" s="1"/>
  <c r="S1173" i="2"/>
  <c r="J1173" i="2" s="1"/>
  <c r="R1174" i="2"/>
  <c r="H1174" i="2" s="1"/>
  <c r="BE1174" i="2" s="1"/>
  <c r="S1174" i="2"/>
  <c r="J1174" i="2" s="1"/>
  <c r="R1175" i="2"/>
  <c r="H1175" i="2" s="1"/>
  <c r="BE1175" i="2" s="1"/>
  <c r="S1175" i="2"/>
  <c r="J1175" i="2" s="1"/>
  <c r="R1176" i="2"/>
  <c r="H1176" i="2" s="1"/>
  <c r="BE1176" i="2" s="1"/>
  <c r="S1176" i="2"/>
  <c r="J1176" i="2" s="1"/>
  <c r="R1177" i="2"/>
  <c r="H1177" i="2" s="1"/>
  <c r="BE1177" i="2" s="1"/>
  <c r="S1177" i="2"/>
  <c r="J1177" i="2" s="1"/>
  <c r="R1178" i="2"/>
  <c r="H1178" i="2" s="1"/>
  <c r="BE1178" i="2" s="1"/>
  <c r="S1178" i="2"/>
  <c r="J1178" i="2" s="1"/>
  <c r="R1179" i="2"/>
  <c r="H1179" i="2" s="1"/>
  <c r="BE1179" i="2" s="1"/>
  <c r="S1179" i="2"/>
  <c r="J1179" i="2" s="1"/>
  <c r="R1180" i="2"/>
  <c r="H1180" i="2" s="1"/>
  <c r="BE1180" i="2" s="1"/>
  <c r="S1180" i="2"/>
  <c r="J1180" i="2" s="1"/>
  <c r="R1181" i="2"/>
  <c r="H1181" i="2" s="1"/>
  <c r="S1181" i="2"/>
  <c r="J1181" i="2" s="1"/>
  <c r="R1182" i="2"/>
  <c r="H1182" i="2" s="1"/>
  <c r="S1182" i="2"/>
  <c r="J1182" i="2" s="1"/>
  <c r="H1183" i="2"/>
  <c r="S1183" i="2"/>
  <c r="J1183" i="2" s="1"/>
  <c r="R1184" i="2"/>
  <c r="H1184" i="2" s="1"/>
  <c r="S1184" i="2"/>
  <c r="J1184" i="2" s="1"/>
  <c r="R1185" i="2"/>
  <c r="H1185" i="2" s="1"/>
  <c r="S1185" i="2"/>
  <c r="J1185" i="2" s="1"/>
  <c r="R1186" i="2"/>
  <c r="H1186" i="2" s="1"/>
  <c r="S1186" i="2"/>
  <c r="J1186" i="2" s="1"/>
  <c r="R1187" i="2"/>
  <c r="H1187" i="2" s="1"/>
  <c r="S1187" i="2"/>
  <c r="J1187" i="2" s="1"/>
  <c r="R1188" i="2"/>
  <c r="H1188" i="2" s="1"/>
  <c r="S1188" i="2"/>
  <c r="J1188" i="2" s="1"/>
  <c r="R1189" i="2"/>
  <c r="H1189" i="2" s="1"/>
  <c r="S1189" i="2"/>
  <c r="J1189" i="2" s="1"/>
  <c r="R1190" i="2"/>
  <c r="H1190" i="2" s="1"/>
  <c r="S1190" i="2"/>
  <c r="J1190" i="2" s="1"/>
  <c r="R1191" i="2"/>
  <c r="H1191" i="2" s="1"/>
  <c r="S1191" i="2"/>
  <c r="J1191" i="2" s="1"/>
  <c r="R1192" i="2"/>
  <c r="H1192" i="2" s="1"/>
  <c r="I1192" i="2" s="1"/>
  <c r="S1192" i="2"/>
  <c r="J1192" i="2" s="1"/>
  <c r="R1193" i="2"/>
  <c r="H1193" i="2" s="1"/>
  <c r="J1193" i="2"/>
  <c r="R1194" i="2"/>
  <c r="H1194" i="2" s="1"/>
  <c r="S1194" i="2"/>
  <c r="J1194" i="2" s="1"/>
  <c r="R1195" i="2"/>
  <c r="H1195" i="2" s="1"/>
  <c r="S1195" i="2"/>
  <c r="J1195" i="2" s="1"/>
  <c r="R1196" i="2"/>
  <c r="H1196" i="2" s="1"/>
  <c r="S1196" i="2"/>
  <c r="J1196" i="2" s="1"/>
  <c r="R1197" i="2"/>
  <c r="H1197" i="2" s="1"/>
  <c r="S1197" i="2"/>
  <c r="J1197" i="2" s="1"/>
  <c r="R1198" i="2"/>
  <c r="H1198" i="2" s="1"/>
  <c r="S1198" i="2"/>
  <c r="J1198" i="2" s="1"/>
  <c r="R1199" i="2"/>
  <c r="H1199" i="2" s="1"/>
  <c r="S1199" i="2"/>
  <c r="J1199" i="2" s="1"/>
  <c r="R1200" i="2"/>
  <c r="H1200" i="2" s="1"/>
  <c r="S1200" i="2"/>
  <c r="J1200" i="2" s="1"/>
  <c r="R1201" i="2"/>
  <c r="H1201" i="2" s="1"/>
  <c r="S1201" i="2"/>
  <c r="J1201" i="2" s="1"/>
  <c r="R1202" i="2"/>
  <c r="H1202" i="2" s="1"/>
  <c r="S1202" i="2"/>
  <c r="J1202" i="2" s="1"/>
  <c r="R1203" i="2"/>
  <c r="H1203" i="2" s="1"/>
  <c r="S1203" i="2"/>
  <c r="J1203" i="2" s="1"/>
  <c r="R1204" i="2"/>
  <c r="H1204" i="2" s="1"/>
  <c r="S1204" i="2"/>
  <c r="J1204" i="2" s="1"/>
  <c r="R1205" i="2"/>
  <c r="H1205" i="2" s="1"/>
  <c r="S1205" i="2"/>
  <c r="J1205" i="2" s="1"/>
  <c r="R1206" i="2"/>
  <c r="H1206" i="2" s="1"/>
  <c r="S1206" i="2"/>
  <c r="J1206" i="2" s="1"/>
  <c r="R1207" i="2"/>
  <c r="H1207" i="2" s="1"/>
  <c r="S1207" i="2"/>
  <c r="J1207" i="2" s="1"/>
  <c r="R1208" i="2"/>
  <c r="H1208" i="2" s="1"/>
  <c r="S1208" i="2"/>
  <c r="J1208" i="2" s="1"/>
  <c r="R1209" i="2"/>
  <c r="H1209" i="2" s="1"/>
  <c r="S1209" i="2"/>
  <c r="J1209" i="2" s="1"/>
  <c r="R1210" i="2"/>
  <c r="H1210" i="2" s="1"/>
  <c r="S1210" i="2"/>
  <c r="J1210" i="2" s="1"/>
  <c r="R1211" i="2"/>
  <c r="H1211" i="2" s="1"/>
  <c r="S1211" i="2"/>
  <c r="J1211" i="2" s="1"/>
  <c r="R1212" i="2"/>
  <c r="H1212" i="2" s="1"/>
  <c r="S1212" i="2"/>
  <c r="J1212" i="2" s="1"/>
  <c r="R1213" i="2"/>
  <c r="H1213" i="2" s="1"/>
  <c r="S1213" i="2"/>
  <c r="J1213" i="2" s="1"/>
  <c r="R1214" i="2"/>
  <c r="H1214" i="2" s="1"/>
  <c r="S1214" i="2"/>
  <c r="J1214" i="2" s="1"/>
  <c r="R1215" i="2"/>
  <c r="H1215" i="2" s="1"/>
  <c r="S1215" i="2"/>
  <c r="J1215" i="2" s="1"/>
  <c r="R1216" i="2"/>
  <c r="H1216" i="2" s="1"/>
  <c r="S1216" i="2"/>
  <c r="J1216" i="2" s="1"/>
  <c r="R1217" i="2"/>
  <c r="H1217" i="2" s="1"/>
  <c r="S1217" i="2"/>
  <c r="J1217" i="2" s="1"/>
  <c r="R1218" i="2"/>
  <c r="H1218" i="2" s="1"/>
  <c r="S1218" i="2"/>
  <c r="J1218" i="2" s="1"/>
  <c r="R1219" i="2"/>
  <c r="H1219" i="2" s="1"/>
  <c r="S1219" i="2"/>
  <c r="J1219" i="2" s="1"/>
  <c r="R1220" i="2"/>
  <c r="H1220" i="2" s="1"/>
  <c r="S1220" i="2"/>
  <c r="J1220" i="2" s="1"/>
  <c r="R1221" i="2"/>
  <c r="H1221" i="2" s="1"/>
  <c r="S1221" i="2"/>
  <c r="J1221" i="2" s="1"/>
  <c r="R1222" i="2"/>
  <c r="H1222" i="2" s="1"/>
  <c r="S1222" i="2"/>
  <c r="J1222" i="2" s="1"/>
  <c r="R1223" i="2"/>
  <c r="H1223" i="2" s="1"/>
  <c r="S1223" i="2"/>
  <c r="J1223" i="2" s="1"/>
  <c r="R1224" i="2"/>
  <c r="H1224" i="2" s="1"/>
  <c r="S1224" i="2"/>
  <c r="J1224" i="2" s="1"/>
  <c r="R1225" i="2"/>
  <c r="H1225" i="2" s="1"/>
  <c r="S1225" i="2"/>
  <c r="J1225" i="2" s="1"/>
  <c r="R1226" i="2"/>
  <c r="H1226" i="2" s="1"/>
  <c r="S1226" i="2"/>
  <c r="J1226" i="2" s="1"/>
  <c r="R1227" i="2"/>
  <c r="H1227" i="2" s="1"/>
  <c r="S1227" i="2"/>
  <c r="J1227" i="2" s="1"/>
  <c r="R1228" i="2"/>
  <c r="H1228" i="2" s="1"/>
  <c r="S1228" i="2"/>
  <c r="J1228" i="2" s="1"/>
  <c r="R1229" i="2"/>
  <c r="H1229" i="2" s="1"/>
  <c r="S1229" i="2"/>
  <c r="J1229" i="2" s="1"/>
  <c r="R1230" i="2"/>
  <c r="H1230" i="2" s="1"/>
  <c r="S1230" i="2"/>
  <c r="J1230" i="2" s="1"/>
  <c r="R1231" i="2"/>
  <c r="H1231" i="2" s="1"/>
  <c r="S1231" i="2"/>
  <c r="J1231" i="2" s="1"/>
  <c r="R1232" i="2"/>
  <c r="H1232" i="2" s="1"/>
  <c r="S1232" i="2"/>
  <c r="J1232" i="2" s="1"/>
  <c r="R1233" i="2"/>
  <c r="H1233" i="2" s="1"/>
  <c r="S1233" i="2"/>
  <c r="J1233" i="2" s="1"/>
  <c r="R1234" i="2"/>
  <c r="H1234" i="2" s="1"/>
  <c r="S1234" i="2"/>
  <c r="J1234" i="2" s="1"/>
  <c r="R1235" i="2"/>
  <c r="H1235" i="2" s="1"/>
  <c r="S1235" i="2"/>
  <c r="J1235" i="2" s="1"/>
  <c r="R1236" i="2"/>
  <c r="H1236" i="2" s="1"/>
  <c r="S1236" i="2"/>
  <c r="J1236" i="2" s="1"/>
  <c r="R1237" i="2"/>
  <c r="H1237" i="2" s="1"/>
  <c r="S1237" i="2"/>
  <c r="J1237" i="2" s="1"/>
  <c r="R1238" i="2"/>
  <c r="H1238" i="2" s="1"/>
  <c r="S1238" i="2"/>
  <c r="J1238" i="2" s="1"/>
  <c r="R1239" i="2"/>
  <c r="H1239" i="2" s="1"/>
  <c r="S1239" i="2"/>
  <c r="J1239" i="2" s="1"/>
  <c r="R1240" i="2"/>
  <c r="H1240" i="2" s="1"/>
  <c r="S1240" i="2"/>
  <c r="J1240" i="2" s="1"/>
  <c r="R1241" i="2"/>
  <c r="H1241" i="2" s="1"/>
  <c r="S1241" i="2"/>
  <c r="J1241" i="2" s="1"/>
  <c r="R1242" i="2"/>
  <c r="H1242" i="2" s="1"/>
  <c r="S1242" i="2"/>
  <c r="J1242" i="2" s="1"/>
  <c r="R1243" i="2"/>
  <c r="H1243" i="2" s="1"/>
  <c r="S1243" i="2"/>
  <c r="J1243" i="2" s="1"/>
  <c r="R1244" i="2"/>
  <c r="H1244" i="2" s="1"/>
  <c r="S1244" i="2"/>
  <c r="J1244" i="2" s="1"/>
  <c r="R1245" i="2"/>
  <c r="H1245" i="2" s="1"/>
  <c r="S1245" i="2"/>
  <c r="J1245" i="2" s="1"/>
  <c r="R1246" i="2"/>
  <c r="H1246" i="2" s="1"/>
  <c r="S1246" i="2"/>
  <c r="J1246" i="2" s="1"/>
  <c r="R1247" i="2"/>
  <c r="H1247" i="2" s="1"/>
  <c r="S1247" i="2"/>
  <c r="J1247" i="2" s="1"/>
  <c r="R1248" i="2"/>
  <c r="H1248" i="2" s="1"/>
  <c r="S1248" i="2"/>
  <c r="J1248" i="2" s="1"/>
  <c r="R1249" i="2"/>
  <c r="H1249" i="2" s="1"/>
  <c r="S1249" i="2"/>
  <c r="J1249" i="2" s="1"/>
  <c r="R1250" i="2"/>
  <c r="H1250" i="2" s="1"/>
  <c r="S1250" i="2"/>
  <c r="J1250" i="2" s="1"/>
  <c r="R1251" i="2"/>
  <c r="H1251" i="2" s="1"/>
  <c r="S1251" i="2"/>
  <c r="J1251" i="2" s="1"/>
  <c r="R1252" i="2"/>
  <c r="H1252" i="2" s="1"/>
  <c r="S1252" i="2"/>
  <c r="J1252" i="2" s="1"/>
  <c r="R1253" i="2"/>
  <c r="H1253" i="2" s="1"/>
  <c r="S1253" i="2"/>
  <c r="J1253" i="2" s="1"/>
  <c r="R1254" i="2"/>
  <c r="H1254" i="2" s="1"/>
  <c r="S1254" i="2"/>
  <c r="J1254" i="2" s="1"/>
  <c r="R1255" i="2"/>
  <c r="H1255" i="2" s="1"/>
  <c r="S1255" i="2"/>
  <c r="J1255" i="2" s="1"/>
  <c r="R1256" i="2"/>
  <c r="H1256" i="2" s="1"/>
  <c r="S1256" i="2"/>
  <c r="J1256" i="2" s="1"/>
  <c r="R1257" i="2"/>
  <c r="H1257" i="2" s="1"/>
  <c r="S1257" i="2"/>
  <c r="J1257" i="2" s="1"/>
  <c r="R1258" i="2"/>
  <c r="H1258" i="2" s="1"/>
  <c r="S1258" i="2"/>
  <c r="J1258" i="2" s="1"/>
  <c r="R1259" i="2"/>
  <c r="H1259" i="2" s="1"/>
  <c r="S1259" i="2"/>
  <c r="J1259" i="2" s="1"/>
  <c r="R1260" i="2"/>
  <c r="H1260" i="2" s="1"/>
  <c r="S1260" i="2"/>
  <c r="J1260" i="2" s="1"/>
  <c r="R1261" i="2"/>
  <c r="H1261" i="2" s="1"/>
  <c r="S1261" i="2"/>
  <c r="J1261" i="2" s="1"/>
  <c r="R1262" i="2"/>
  <c r="H1262" i="2" s="1"/>
  <c r="S1262" i="2"/>
  <c r="J1262" i="2" s="1"/>
  <c r="R1263" i="2"/>
  <c r="H1263" i="2" s="1"/>
  <c r="S1263" i="2"/>
  <c r="J1263" i="2" s="1"/>
  <c r="R1264" i="2"/>
  <c r="H1264" i="2" s="1"/>
  <c r="S1264" i="2"/>
  <c r="J1264" i="2" s="1"/>
  <c r="R1265" i="2"/>
  <c r="H1265" i="2" s="1"/>
  <c r="S1265" i="2"/>
  <c r="J1265" i="2" s="1"/>
  <c r="R1266" i="2"/>
  <c r="H1266" i="2" s="1"/>
  <c r="S1266" i="2"/>
  <c r="J1266" i="2" s="1"/>
  <c r="R1267" i="2"/>
  <c r="H1267" i="2" s="1"/>
  <c r="S1267" i="2"/>
  <c r="J1267" i="2" s="1"/>
  <c r="R1268" i="2"/>
  <c r="H1268" i="2" s="1"/>
  <c r="S1268" i="2"/>
  <c r="J1268" i="2" s="1"/>
  <c r="R1269" i="2"/>
  <c r="H1269" i="2" s="1"/>
  <c r="S1269" i="2"/>
  <c r="J1269" i="2" s="1"/>
  <c r="R1270" i="2"/>
  <c r="H1270" i="2" s="1"/>
  <c r="S1270" i="2"/>
  <c r="J1270" i="2" s="1"/>
  <c r="R1271" i="2"/>
  <c r="H1271" i="2" s="1"/>
  <c r="S1271" i="2"/>
  <c r="J1271" i="2" s="1"/>
  <c r="R1272" i="2"/>
  <c r="H1272" i="2" s="1"/>
  <c r="S1272" i="2"/>
  <c r="J1272" i="2" s="1"/>
  <c r="R1273" i="2"/>
  <c r="H1273" i="2" s="1"/>
  <c r="S1273" i="2"/>
  <c r="J1273" i="2" s="1"/>
  <c r="R1274" i="2"/>
  <c r="H1274" i="2" s="1"/>
  <c r="S1274" i="2"/>
  <c r="J1274" i="2" s="1"/>
  <c r="R1275" i="2"/>
  <c r="H1275" i="2" s="1"/>
  <c r="S1275" i="2"/>
  <c r="J1275" i="2" s="1"/>
  <c r="R1276" i="2"/>
  <c r="H1276" i="2" s="1"/>
  <c r="S1276" i="2"/>
  <c r="J1276" i="2" s="1"/>
  <c r="R1277" i="2"/>
  <c r="H1277" i="2" s="1"/>
  <c r="S1277" i="2"/>
  <c r="J1277" i="2" s="1"/>
  <c r="R1278" i="2"/>
  <c r="H1278" i="2" s="1"/>
  <c r="S1278" i="2"/>
  <c r="J1278" i="2" s="1"/>
  <c r="R1279" i="2"/>
  <c r="H1279" i="2" s="1"/>
  <c r="S1279" i="2"/>
  <c r="J1279" i="2" s="1"/>
  <c r="R1280" i="2"/>
  <c r="H1280" i="2" s="1"/>
  <c r="S1280" i="2"/>
  <c r="J1280" i="2" s="1"/>
  <c r="R1281" i="2"/>
  <c r="H1281" i="2" s="1"/>
  <c r="S1281" i="2"/>
  <c r="J1281" i="2" s="1"/>
  <c r="R1282" i="2"/>
  <c r="H1282" i="2" s="1"/>
  <c r="S1282" i="2"/>
  <c r="J1282" i="2" s="1"/>
  <c r="R1283" i="2"/>
  <c r="H1283" i="2" s="1"/>
  <c r="S1283" i="2"/>
  <c r="J1283" i="2" s="1"/>
  <c r="R1284" i="2"/>
  <c r="H1284" i="2" s="1"/>
  <c r="S1284" i="2"/>
  <c r="J1284" i="2" s="1"/>
  <c r="R1285" i="2"/>
  <c r="H1285" i="2" s="1"/>
  <c r="S1285" i="2"/>
  <c r="J1285" i="2" s="1"/>
  <c r="R1286" i="2"/>
  <c r="H1286" i="2" s="1"/>
  <c r="S1286" i="2"/>
  <c r="J1286" i="2" s="1"/>
  <c r="R1287" i="2"/>
  <c r="H1287" i="2" s="1"/>
  <c r="S1287" i="2"/>
  <c r="J1287" i="2" s="1"/>
  <c r="R1288" i="2"/>
  <c r="H1288" i="2" s="1"/>
  <c r="S1288" i="2"/>
  <c r="J1288" i="2" s="1"/>
  <c r="R1289" i="2"/>
  <c r="H1289" i="2" s="1"/>
  <c r="S1289" i="2"/>
  <c r="J1289" i="2" s="1"/>
  <c r="R1290" i="2"/>
  <c r="H1290" i="2" s="1"/>
  <c r="S1290" i="2"/>
  <c r="J1290" i="2" s="1"/>
  <c r="R1291" i="2"/>
  <c r="H1291" i="2" s="1"/>
  <c r="S1291" i="2"/>
  <c r="J1291" i="2" s="1"/>
  <c r="R1292" i="2"/>
  <c r="H1292" i="2" s="1"/>
  <c r="S1292" i="2"/>
  <c r="J1292" i="2" s="1"/>
  <c r="R1293" i="2"/>
  <c r="H1293" i="2" s="1"/>
  <c r="S1293" i="2"/>
  <c r="J1293" i="2" s="1"/>
  <c r="R1294" i="2"/>
  <c r="H1294" i="2" s="1"/>
  <c r="S1294" i="2"/>
  <c r="J1294" i="2" s="1"/>
  <c r="R1295" i="2"/>
  <c r="H1295" i="2" s="1"/>
  <c r="S1295" i="2"/>
  <c r="J1295" i="2" s="1"/>
  <c r="R1296" i="2"/>
  <c r="H1296" i="2" s="1"/>
  <c r="S1296" i="2"/>
  <c r="J1296" i="2" s="1"/>
  <c r="R1297" i="2"/>
  <c r="H1297" i="2" s="1"/>
  <c r="S1297" i="2"/>
  <c r="J1297" i="2" s="1"/>
  <c r="R1298" i="2"/>
  <c r="H1298" i="2" s="1"/>
  <c r="S1298" i="2"/>
  <c r="J1298" i="2" s="1"/>
  <c r="R1299" i="2"/>
  <c r="H1299" i="2" s="1"/>
  <c r="S1299" i="2"/>
  <c r="J1299" i="2" s="1"/>
  <c r="R1300" i="2"/>
  <c r="H1300" i="2" s="1"/>
  <c r="S1300" i="2"/>
  <c r="J1300" i="2" s="1"/>
  <c r="R1301" i="2"/>
  <c r="H1301" i="2" s="1"/>
  <c r="S1301" i="2"/>
  <c r="J1301" i="2" s="1"/>
  <c r="R1302" i="2"/>
  <c r="H1302" i="2" s="1"/>
  <c r="S1302" i="2"/>
  <c r="J1302" i="2" s="1"/>
  <c r="R1303" i="2"/>
  <c r="H1303" i="2" s="1"/>
  <c r="S1303" i="2"/>
  <c r="J1303" i="2" s="1"/>
  <c r="R1304" i="2"/>
  <c r="H1304" i="2" s="1"/>
  <c r="S1304" i="2"/>
  <c r="J1304" i="2" s="1"/>
  <c r="R1305" i="2"/>
  <c r="H1305" i="2" s="1"/>
  <c r="S1305" i="2"/>
  <c r="J1305" i="2" s="1"/>
  <c r="R1306" i="2"/>
  <c r="H1306" i="2" s="1"/>
  <c r="S1306" i="2"/>
  <c r="J1306" i="2" s="1"/>
  <c r="R1307" i="2"/>
  <c r="H1307" i="2" s="1"/>
  <c r="S1307" i="2"/>
  <c r="J1307" i="2" s="1"/>
  <c r="R1308" i="2"/>
  <c r="H1308" i="2" s="1"/>
  <c r="S1308" i="2"/>
  <c r="J1308" i="2" s="1"/>
  <c r="R1309" i="2"/>
  <c r="H1309" i="2" s="1"/>
  <c r="S1309" i="2"/>
  <c r="J1309" i="2" s="1"/>
  <c r="R1310" i="2"/>
  <c r="H1310" i="2" s="1"/>
  <c r="S1310" i="2"/>
  <c r="J1310" i="2" s="1"/>
  <c r="R1311" i="2"/>
  <c r="H1311" i="2" s="1"/>
  <c r="S1311" i="2"/>
  <c r="J1311" i="2" s="1"/>
  <c r="R1312" i="2"/>
  <c r="H1312" i="2" s="1"/>
  <c r="S1312" i="2"/>
  <c r="J1312" i="2" s="1"/>
  <c r="R1313" i="2"/>
  <c r="H1313" i="2" s="1"/>
  <c r="S1313" i="2"/>
  <c r="J1313" i="2" s="1"/>
  <c r="R1314" i="2"/>
  <c r="H1314" i="2" s="1"/>
  <c r="S1314" i="2"/>
  <c r="J1314" i="2" s="1"/>
  <c r="R1315" i="2"/>
  <c r="H1315" i="2" s="1"/>
  <c r="S1315" i="2"/>
  <c r="J1315" i="2" s="1"/>
  <c r="R1316" i="2"/>
  <c r="H1316" i="2" s="1"/>
  <c r="S1316" i="2"/>
  <c r="J1316" i="2" s="1"/>
  <c r="R1317" i="2"/>
  <c r="H1317" i="2" s="1"/>
  <c r="S1317" i="2"/>
  <c r="J1317" i="2" s="1"/>
  <c r="R1318" i="2"/>
  <c r="H1318" i="2" s="1"/>
  <c r="S1318" i="2"/>
  <c r="J1318" i="2" s="1"/>
  <c r="R1319" i="2"/>
  <c r="H1319" i="2" s="1"/>
  <c r="S1319" i="2"/>
  <c r="J1319" i="2" s="1"/>
  <c r="R1320" i="2"/>
  <c r="H1320" i="2" s="1"/>
  <c r="S1320" i="2"/>
  <c r="J1320" i="2" s="1"/>
  <c r="R1321" i="2"/>
  <c r="H1321" i="2" s="1"/>
  <c r="S1321" i="2"/>
  <c r="J1321" i="2" s="1"/>
  <c r="R1322" i="2"/>
  <c r="H1322" i="2" s="1"/>
  <c r="S1322" i="2"/>
  <c r="J1322" i="2" s="1"/>
  <c r="R1323" i="2"/>
  <c r="H1323" i="2" s="1"/>
  <c r="S1323" i="2"/>
  <c r="J1323" i="2" s="1"/>
  <c r="R1324" i="2"/>
  <c r="H1324" i="2" s="1"/>
  <c r="S1324" i="2"/>
  <c r="J1324" i="2" s="1"/>
  <c r="R1325" i="2"/>
  <c r="H1325" i="2" s="1"/>
  <c r="S1325" i="2"/>
  <c r="J1325" i="2" s="1"/>
  <c r="R1326" i="2"/>
  <c r="H1326" i="2" s="1"/>
  <c r="S1326" i="2"/>
  <c r="J1326" i="2" s="1"/>
  <c r="R1327" i="2"/>
  <c r="H1327" i="2" s="1"/>
  <c r="S1327" i="2"/>
  <c r="J1327" i="2" s="1"/>
  <c r="R1328" i="2"/>
  <c r="H1328" i="2" s="1"/>
  <c r="S1328" i="2"/>
  <c r="J1328" i="2" s="1"/>
  <c r="R1329" i="2"/>
  <c r="H1329" i="2" s="1"/>
  <c r="S1329" i="2"/>
  <c r="J1329" i="2" s="1"/>
  <c r="R1330" i="2"/>
  <c r="H1330" i="2" s="1"/>
  <c r="S1330" i="2"/>
  <c r="J1330" i="2" s="1"/>
  <c r="R1331" i="2"/>
  <c r="H1331" i="2" s="1"/>
  <c r="S1331" i="2"/>
  <c r="J1331" i="2" s="1"/>
  <c r="R1332" i="2"/>
  <c r="H1332" i="2" s="1"/>
  <c r="S1332" i="2"/>
  <c r="J1332" i="2" s="1"/>
  <c r="R1333" i="2"/>
  <c r="H1333" i="2" s="1"/>
  <c r="S1333" i="2"/>
  <c r="J1333" i="2" s="1"/>
  <c r="R1334" i="2"/>
  <c r="H1334" i="2" s="1"/>
  <c r="S1334" i="2"/>
  <c r="J1334" i="2" s="1"/>
  <c r="R1335" i="2"/>
  <c r="H1335" i="2" s="1"/>
  <c r="S1335" i="2"/>
  <c r="J1335" i="2" s="1"/>
  <c r="R1336" i="2"/>
  <c r="H1336" i="2" s="1"/>
  <c r="S1336" i="2"/>
  <c r="J1336" i="2" s="1"/>
  <c r="R1337" i="2"/>
  <c r="H1337" i="2" s="1"/>
  <c r="S1337" i="2"/>
  <c r="J1337" i="2" s="1"/>
  <c r="R1338" i="2"/>
  <c r="H1338" i="2" s="1"/>
  <c r="S1338" i="2"/>
  <c r="J1338" i="2" s="1"/>
  <c r="R1339" i="2"/>
  <c r="H1339" i="2" s="1"/>
  <c r="S1339" i="2"/>
  <c r="J1339" i="2" s="1"/>
  <c r="R1340" i="2"/>
  <c r="H1340" i="2" s="1"/>
  <c r="S1340" i="2"/>
  <c r="J1340" i="2" s="1"/>
  <c r="R1341" i="2"/>
  <c r="H1341" i="2" s="1"/>
  <c r="S1341" i="2"/>
  <c r="J1341" i="2" s="1"/>
  <c r="R1342" i="2"/>
  <c r="H1342" i="2" s="1"/>
  <c r="S1342" i="2"/>
  <c r="J1342" i="2" s="1"/>
  <c r="R1343" i="2"/>
  <c r="H1343" i="2" s="1"/>
  <c r="S1343" i="2"/>
  <c r="J1343" i="2" s="1"/>
  <c r="R1344" i="2"/>
  <c r="H1344" i="2" s="1"/>
  <c r="S1344" i="2"/>
  <c r="J1344" i="2" s="1"/>
  <c r="R1345" i="2"/>
  <c r="H1345" i="2" s="1"/>
  <c r="S1345" i="2"/>
  <c r="J1345" i="2" s="1"/>
  <c r="R1346" i="2"/>
  <c r="H1346" i="2" s="1"/>
  <c r="S1346" i="2"/>
  <c r="J1346" i="2" s="1"/>
  <c r="R1347" i="2"/>
  <c r="H1347" i="2" s="1"/>
  <c r="S1347" i="2"/>
  <c r="J1347" i="2" s="1"/>
  <c r="R1348" i="2"/>
  <c r="H1348" i="2" s="1"/>
  <c r="S1348" i="2"/>
  <c r="J1348" i="2" s="1"/>
  <c r="R1349" i="2"/>
  <c r="H1349" i="2" s="1"/>
  <c r="S1349" i="2"/>
  <c r="J1349" i="2" s="1"/>
  <c r="R1350" i="2"/>
  <c r="H1350" i="2" s="1"/>
  <c r="S1350" i="2"/>
  <c r="J1350" i="2" s="1"/>
  <c r="R1351" i="2"/>
  <c r="H1351" i="2" s="1"/>
  <c r="S1351" i="2"/>
  <c r="J1351" i="2" s="1"/>
  <c r="R1352" i="2"/>
  <c r="H1352" i="2" s="1"/>
  <c r="S1352" i="2"/>
  <c r="J1352" i="2" s="1"/>
  <c r="R1353" i="2"/>
  <c r="H1353" i="2" s="1"/>
  <c r="S1353" i="2"/>
  <c r="J1353" i="2" s="1"/>
  <c r="R1354" i="2"/>
  <c r="H1354" i="2" s="1"/>
  <c r="S1354" i="2"/>
  <c r="J1354" i="2" s="1"/>
  <c r="R1355" i="2"/>
  <c r="H1355" i="2" s="1"/>
  <c r="S1355" i="2"/>
  <c r="J1355" i="2" s="1"/>
  <c r="R1356" i="2"/>
  <c r="H1356" i="2" s="1"/>
  <c r="S1356" i="2"/>
  <c r="J1356" i="2" s="1"/>
  <c r="R1357" i="2"/>
  <c r="H1357" i="2" s="1"/>
  <c r="S1357" i="2"/>
  <c r="J1357" i="2" s="1"/>
  <c r="R1358" i="2"/>
  <c r="H1358" i="2" s="1"/>
  <c r="S1358" i="2"/>
  <c r="J1358" i="2" s="1"/>
  <c r="R1359" i="2"/>
  <c r="H1359" i="2" s="1"/>
  <c r="S1359" i="2"/>
  <c r="J1359" i="2" s="1"/>
  <c r="R1360" i="2"/>
  <c r="H1360" i="2" s="1"/>
  <c r="S1360" i="2"/>
  <c r="J1360" i="2" s="1"/>
  <c r="R1361" i="2"/>
  <c r="H1361" i="2" s="1"/>
  <c r="S1361" i="2"/>
  <c r="J1361" i="2" s="1"/>
  <c r="R1362" i="2"/>
  <c r="H1362" i="2" s="1"/>
  <c r="S1362" i="2"/>
  <c r="J1362" i="2" s="1"/>
  <c r="R1363" i="2"/>
  <c r="H1363" i="2" s="1"/>
  <c r="S1363" i="2"/>
  <c r="J1363" i="2" s="1"/>
  <c r="R1364" i="2"/>
  <c r="H1364" i="2" s="1"/>
  <c r="S1364" i="2"/>
  <c r="J1364" i="2" s="1"/>
  <c r="R1365" i="2"/>
  <c r="H1365" i="2" s="1"/>
  <c r="S1365" i="2"/>
  <c r="J1365" i="2" s="1"/>
  <c r="R1366" i="2"/>
  <c r="H1366" i="2" s="1"/>
  <c r="S1366" i="2"/>
  <c r="J1366" i="2" s="1"/>
  <c r="R1367" i="2"/>
  <c r="H1367" i="2" s="1"/>
  <c r="S1367" i="2"/>
  <c r="J1367" i="2" s="1"/>
  <c r="R1368" i="2"/>
  <c r="H1368" i="2" s="1"/>
  <c r="S1368" i="2"/>
  <c r="J1368" i="2" s="1"/>
  <c r="R1369" i="2"/>
  <c r="H1369" i="2" s="1"/>
  <c r="S1369" i="2"/>
  <c r="J1369" i="2" s="1"/>
  <c r="R1370" i="2"/>
  <c r="H1370" i="2" s="1"/>
  <c r="S1370" i="2"/>
  <c r="J1370" i="2" s="1"/>
  <c r="R1371" i="2"/>
  <c r="H1371" i="2" s="1"/>
  <c r="S1371" i="2"/>
  <c r="J1371" i="2" s="1"/>
  <c r="R1372" i="2"/>
  <c r="H1372" i="2" s="1"/>
  <c r="S1372" i="2"/>
  <c r="J1372" i="2" s="1"/>
  <c r="R1373" i="2"/>
  <c r="H1373" i="2" s="1"/>
  <c r="S1373" i="2"/>
  <c r="J1373" i="2" s="1"/>
  <c r="R1374" i="2"/>
  <c r="H1374" i="2" s="1"/>
  <c r="S1374" i="2"/>
  <c r="J1374" i="2" s="1"/>
  <c r="R1375" i="2"/>
  <c r="H1375" i="2" s="1"/>
  <c r="S1375" i="2"/>
  <c r="J1375" i="2" s="1"/>
  <c r="R1376" i="2"/>
  <c r="H1376" i="2" s="1"/>
  <c r="S1376" i="2"/>
  <c r="J1376" i="2" s="1"/>
  <c r="R1377" i="2"/>
  <c r="H1377" i="2" s="1"/>
  <c r="S1377" i="2"/>
  <c r="J1377" i="2" s="1"/>
  <c r="R1378" i="2"/>
  <c r="H1378" i="2" s="1"/>
  <c r="S1378" i="2"/>
  <c r="J1378" i="2" s="1"/>
  <c r="R1379" i="2"/>
  <c r="H1379" i="2" s="1"/>
  <c r="S1379" i="2"/>
  <c r="J1379" i="2" s="1"/>
  <c r="R1380" i="2"/>
  <c r="H1380" i="2" s="1"/>
  <c r="S1380" i="2"/>
  <c r="J1380" i="2" s="1"/>
  <c r="R1381" i="2"/>
  <c r="H1381" i="2" s="1"/>
  <c r="S1381" i="2"/>
  <c r="J1381" i="2" s="1"/>
  <c r="R1382" i="2"/>
  <c r="H1382" i="2" s="1"/>
  <c r="S1382" i="2"/>
  <c r="J1382" i="2" s="1"/>
  <c r="R1383" i="2"/>
  <c r="H1383" i="2" s="1"/>
  <c r="S1383" i="2"/>
  <c r="J1383" i="2" s="1"/>
  <c r="R1384" i="2"/>
  <c r="H1384" i="2" s="1"/>
  <c r="S1384" i="2"/>
  <c r="J1384" i="2" s="1"/>
  <c r="R1385" i="2"/>
  <c r="H1385" i="2" s="1"/>
  <c r="S1385" i="2"/>
  <c r="J1385" i="2" s="1"/>
  <c r="R1386" i="2"/>
  <c r="H1386" i="2" s="1"/>
  <c r="S1386" i="2"/>
  <c r="J1386" i="2" s="1"/>
  <c r="R1387" i="2"/>
  <c r="H1387" i="2" s="1"/>
  <c r="S1387" i="2"/>
  <c r="J1387" i="2" s="1"/>
  <c r="R1388" i="2"/>
  <c r="H1388" i="2" s="1"/>
  <c r="S1388" i="2"/>
  <c r="J1388" i="2" s="1"/>
  <c r="R1389" i="2"/>
  <c r="H1389" i="2" s="1"/>
  <c r="S1389" i="2"/>
  <c r="J1389" i="2" s="1"/>
  <c r="R1390" i="2"/>
  <c r="H1390" i="2" s="1"/>
  <c r="S1390" i="2"/>
  <c r="J1390" i="2" s="1"/>
  <c r="R1391" i="2"/>
  <c r="H1391" i="2" s="1"/>
  <c r="S1391" i="2"/>
  <c r="J1391" i="2" s="1"/>
  <c r="R1392" i="2"/>
  <c r="H1392" i="2" s="1"/>
  <c r="S1392" i="2"/>
  <c r="J1392" i="2" s="1"/>
  <c r="R1393" i="2"/>
  <c r="H1393" i="2" s="1"/>
  <c r="S1393" i="2"/>
  <c r="J1393" i="2" s="1"/>
  <c r="R1394" i="2"/>
  <c r="H1394" i="2" s="1"/>
  <c r="S1394" i="2"/>
  <c r="J1394" i="2" s="1"/>
  <c r="R1395" i="2"/>
  <c r="H1395" i="2" s="1"/>
  <c r="S1395" i="2"/>
  <c r="J1395" i="2" s="1"/>
  <c r="R1396" i="2"/>
  <c r="H1396" i="2" s="1"/>
  <c r="S1396" i="2"/>
  <c r="J1396" i="2" s="1"/>
  <c r="R1397" i="2"/>
  <c r="H1397" i="2" s="1"/>
  <c r="S1397" i="2"/>
  <c r="J1397" i="2" s="1"/>
  <c r="R1398" i="2"/>
  <c r="H1398" i="2" s="1"/>
  <c r="S1398" i="2"/>
  <c r="J1398" i="2" s="1"/>
  <c r="R1399" i="2"/>
  <c r="H1399" i="2" s="1"/>
  <c r="S1399" i="2"/>
  <c r="J1399" i="2" s="1"/>
  <c r="R1400" i="2"/>
  <c r="H1400" i="2" s="1"/>
  <c r="S1400" i="2"/>
  <c r="J1400" i="2" s="1"/>
  <c r="R1401" i="2"/>
  <c r="H1401" i="2" s="1"/>
  <c r="S1401" i="2"/>
  <c r="J1401" i="2" s="1"/>
  <c r="R1402" i="2"/>
  <c r="H1402" i="2" s="1"/>
  <c r="S1402" i="2"/>
  <c r="J1402" i="2" s="1"/>
  <c r="R1403" i="2"/>
  <c r="H1403" i="2" s="1"/>
  <c r="S1403" i="2"/>
  <c r="J1403" i="2" s="1"/>
  <c r="R1404" i="2"/>
  <c r="H1404" i="2" s="1"/>
  <c r="S1404" i="2"/>
  <c r="J1404" i="2" s="1"/>
  <c r="R1405" i="2"/>
  <c r="H1405" i="2" s="1"/>
  <c r="S1405" i="2"/>
  <c r="J1405" i="2" s="1"/>
  <c r="R1406" i="2"/>
  <c r="H1406" i="2" s="1"/>
  <c r="S1406" i="2"/>
  <c r="J1406" i="2" s="1"/>
  <c r="R1407" i="2"/>
  <c r="H1407" i="2" s="1"/>
  <c r="S1407" i="2"/>
  <c r="J1407" i="2" s="1"/>
  <c r="R1408" i="2"/>
  <c r="H1408" i="2" s="1"/>
  <c r="S1408" i="2"/>
  <c r="J1408" i="2" s="1"/>
  <c r="R1409" i="2"/>
  <c r="H1409" i="2" s="1"/>
  <c r="S1409" i="2"/>
  <c r="J1409" i="2" s="1"/>
  <c r="R1410" i="2"/>
  <c r="H1410" i="2" s="1"/>
  <c r="S1410" i="2"/>
  <c r="J1410" i="2" s="1"/>
  <c r="R1411" i="2"/>
  <c r="H1411" i="2" s="1"/>
  <c r="S1411" i="2"/>
  <c r="J1411" i="2" s="1"/>
  <c r="R1412" i="2"/>
  <c r="H1412" i="2" s="1"/>
  <c r="S1412" i="2"/>
  <c r="J1412" i="2" s="1"/>
  <c r="R1413" i="2"/>
  <c r="H1413" i="2" s="1"/>
  <c r="S1413" i="2"/>
  <c r="J1413" i="2" s="1"/>
  <c r="R1414" i="2"/>
  <c r="H1414" i="2" s="1"/>
  <c r="S1414" i="2"/>
  <c r="J1414" i="2" s="1"/>
  <c r="R1415" i="2"/>
  <c r="H1415" i="2" s="1"/>
  <c r="S1415" i="2"/>
  <c r="J1415" i="2" s="1"/>
  <c r="R1416" i="2"/>
  <c r="H1416" i="2" s="1"/>
  <c r="S1416" i="2"/>
  <c r="J1416" i="2" s="1"/>
  <c r="R1417" i="2"/>
  <c r="H1417" i="2" s="1"/>
  <c r="S1417" i="2"/>
  <c r="J1417" i="2" s="1"/>
  <c r="R1418" i="2"/>
  <c r="H1418" i="2" s="1"/>
  <c r="S1418" i="2"/>
  <c r="J1418" i="2" s="1"/>
  <c r="R1419" i="2"/>
  <c r="H1419" i="2" s="1"/>
  <c r="S1419" i="2"/>
  <c r="J1419" i="2" s="1"/>
  <c r="R1420" i="2"/>
  <c r="H1420" i="2" s="1"/>
  <c r="S1420" i="2"/>
  <c r="J1420" i="2" s="1"/>
  <c r="R1421" i="2"/>
  <c r="H1421" i="2" s="1"/>
  <c r="S1421" i="2"/>
  <c r="J1421" i="2" s="1"/>
  <c r="R1422" i="2"/>
  <c r="H1422" i="2" s="1"/>
  <c r="S1422" i="2"/>
  <c r="J1422" i="2" s="1"/>
  <c r="R1423" i="2"/>
  <c r="H1423" i="2" s="1"/>
  <c r="S1423" i="2"/>
  <c r="J1423" i="2" s="1"/>
  <c r="R1424" i="2"/>
  <c r="H1424" i="2" s="1"/>
  <c r="S1424" i="2"/>
  <c r="J1424" i="2" s="1"/>
  <c r="R1425" i="2"/>
  <c r="H1425" i="2" s="1"/>
  <c r="S1425" i="2"/>
  <c r="J1425" i="2" s="1"/>
  <c r="R1426" i="2"/>
  <c r="H1426" i="2" s="1"/>
  <c r="S1426" i="2"/>
  <c r="J1426" i="2" s="1"/>
  <c r="R1427" i="2"/>
  <c r="H1427" i="2" s="1"/>
  <c r="S1427" i="2"/>
  <c r="J1427" i="2" s="1"/>
  <c r="R1428" i="2"/>
  <c r="H1428" i="2" s="1"/>
  <c r="S1428" i="2"/>
  <c r="J1428" i="2" s="1"/>
  <c r="R1429" i="2"/>
  <c r="H1429" i="2" s="1"/>
  <c r="S1429" i="2"/>
  <c r="J1429" i="2" s="1"/>
  <c r="R1430" i="2"/>
  <c r="H1430" i="2" s="1"/>
  <c r="S1430" i="2"/>
  <c r="J1430" i="2" s="1"/>
  <c r="R1431" i="2"/>
  <c r="H1431" i="2" s="1"/>
  <c r="S1431" i="2"/>
  <c r="J1431" i="2" s="1"/>
  <c r="R1432" i="2"/>
  <c r="H1432" i="2" s="1"/>
  <c r="S1432" i="2"/>
  <c r="J1432" i="2" s="1"/>
  <c r="R1433" i="2"/>
  <c r="H1433" i="2" s="1"/>
  <c r="S1433" i="2"/>
  <c r="J1433" i="2" s="1"/>
  <c r="R1434" i="2"/>
  <c r="H1434" i="2" s="1"/>
  <c r="S1434" i="2"/>
  <c r="J1434" i="2" s="1"/>
  <c r="R1435" i="2"/>
  <c r="H1435" i="2" s="1"/>
  <c r="S1435" i="2"/>
  <c r="J1435" i="2" s="1"/>
  <c r="R1436" i="2"/>
  <c r="H1436" i="2" s="1"/>
  <c r="S1436" i="2"/>
  <c r="J1436" i="2" s="1"/>
  <c r="R1437" i="2"/>
  <c r="H1437" i="2" s="1"/>
  <c r="S1437" i="2"/>
  <c r="J1437" i="2" s="1"/>
  <c r="R1438" i="2"/>
  <c r="H1438" i="2" s="1"/>
  <c r="S1438" i="2"/>
  <c r="J1438" i="2" s="1"/>
  <c r="R1439" i="2"/>
  <c r="H1439" i="2" s="1"/>
  <c r="S1439" i="2"/>
  <c r="J1439" i="2" s="1"/>
  <c r="R1440" i="2"/>
  <c r="H1440" i="2" s="1"/>
  <c r="S1440" i="2"/>
  <c r="J1440" i="2" s="1"/>
  <c r="R1441" i="2"/>
  <c r="H1441" i="2" s="1"/>
  <c r="S1441" i="2"/>
  <c r="J1441" i="2" s="1"/>
  <c r="R1442" i="2"/>
  <c r="H1442" i="2" s="1"/>
  <c r="S1442" i="2"/>
  <c r="J1442" i="2" s="1"/>
  <c r="R1443" i="2"/>
  <c r="H1443" i="2" s="1"/>
  <c r="S1443" i="2"/>
  <c r="J1443" i="2" s="1"/>
  <c r="R1444" i="2"/>
  <c r="H1444" i="2" s="1"/>
  <c r="S1444" i="2"/>
  <c r="J1444" i="2" s="1"/>
  <c r="R1445" i="2"/>
  <c r="H1445" i="2" s="1"/>
  <c r="S1445" i="2"/>
  <c r="J1445" i="2" s="1"/>
  <c r="R1446" i="2"/>
  <c r="H1446" i="2" s="1"/>
  <c r="S1446" i="2"/>
  <c r="J1446" i="2" s="1"/>
  <c r="R1447" i="2"/>
  <c r="H1447" i="2" s="1"/>
  <c r="S1447" i="2"/>
  <c r="J1447" i="2" s="1"/>
  <c r="R1448" i="2"/>
  <c r="H1448" i="2" s="1"/>
  <c r="S1448" i="2"/>
  <c r="J1448" i="2" s="1"/>
  <c r="R1449" i="2"/>
  <c r="H1449" i="2" s="1"/>
  <c r="S1449" i="2"/>
  <c r="J1449" i="2" s="1"/>
  <c r="R1450" i="2"/>
  <c r="H1450" i="2" s="1"/>
  <c r="S1450" i="2"/>
  <c r="J1450" i="2" s="1"/>
  <c r="R1451" i="2"/>
  <c r="H1451" i="2" s="1"/>
  <c r="S1451" i="2"/>
  <c r="J1451" i="2" s="1"/>
  <c r="R1452" i="2"/>
  <c r="H1452" i="2" s="1"/>
  <c r="S1452" i="2"/>
  <c r="J1452" i="2" s="1"/>
  <c r="R1453" i="2"/>
  <c r="H1453" i="2" s="1"/>
  <c r="S1453" i="2"/>
  <c r="J1453" i="2" s="1"/>
  <c r="R1454" i="2"/>
  <c r="H1454" i="2" s="1"/>
  <c r="S1454" i="2"/>
  <c r="J1454" i="2" s="1"/>
  <c r="R1455" i="2"/>
  <c r="H1455" i="2" s="1"/>
  <c r="S1455" i="2"/>
  <c r="J1455" i="2" s="1"/>
  <c r="R1456" i="2"/>
  <c r="H1456" i="2" s="1"/>
  <c r="S1456" i="2"/>
  <c r="J1456" i="2" s="1"/>
  <c r="R1457" i="2"/>
  <c r="H1457" i="2" s="1"/>
  <c r="S1457" i="2"/>
  <c r="J1457" i="2" s="1"/>
  <c r="R1458" i="2"/>
  <c r="H1458" i="2" s="1"/>
  <c r="S1458" i="2"/>
  <c r="J1458" i="2" s="1"/>
  <c r="R1459" i="2"/>
  <c r="H1459" i="2" s="1"/>
  <c r="S1459" i="2"/>
  <c r="J1459" i="2" s="1"/>
  <c r="R1460" i="2"/>
  <c r="H1460" i="2" s="1"/>
  <c r="S1460" i="2"/>
  <c r="J1460" i="2" s="1"/>
  <c r="R1461" i="2"/>
  <c r="H1461" i="2" s="1"/>
  <c r="S1461" i="2"/>
  <c r="J1461" i="2" s="1"/>
  <c r="R1462" i="2"/>
  <c r="H1462" i="2" s="1"/>
  <c r="S1462" i="2"/>
  <c r="J1462" i="2" s="1"/>
  <c r="R1463" i="2"/>
  <c r="H1463" i="2" s="1"/>
  <c r="S1463" i="2"/>
  <c r="J1463" i="2" s="1"/>
  <c r="R1464" i="2"/>
  <c r="H1464" i="2" s="1"/>
  <c r="S1464" i="2"/>
  <c r="J1464" i="2" s="1"/>
  <c r="R1465" i="2"/>
  <c r="H1465" i="2" s="1"/>
  <c r="S1465" i="2"/>
  <c r="J1465" i="2" s="1"/>
  <c r="R1466" i="2"/>
  <c r="H1466" i="2" s="1"/>
  <c r="S1466" i="2"/>
  <c r="J1466" i="2" s="1"/>
  <c r="R1467" i="2"/>
  <c r="H1467" i="2" s="1"/>
  <c r="S1467" i="2"/>
  <c r="J1467" i="2" s="1"/>
  <c r="R1468" i="2"/>
  <c r="H1468" i="2" s="1"/>
  <c r="S1468" i="2"/>
  <c r="J1468" i="2" s="1"/>
  <c r="R1469" i="2"/>
  <c r="H1469" i="2" s="1"/>
  <c r="S1469" i="2"/>
  <c r="J1469" i="2" s="1"/>
  <c r="R1470" i="2"/>
  <c r="H1470" i="2" s="1"/>
  <c r="S1470" i="2"/>
  <c r="J1470" i="2" s="1"/>
  <c r="R1471" i="2"/>
  <c r="H1471" i="2" s="1"/>
  <c r="S1471" i="2"/>
  <c r="J1471" i="2" s="1"/>
  <c r="R1472" i="2"/>
  <c r="H1472" i="2" s="1"/>
  <c r="S1472" i="2"/>
  <c r="J1472" i="2" s="1"/>
  <c r="R1473" i="2"/>
  <c r="H1473" i="2" s="1"/>
  <c r="S1473" i="2"/>
  <c r="J1473" i="2" s="1"/>
  <c r="R1474" i="2"/>
  <c r="H1474" i="2" s="1"/>
  <c r="S1474" i="2"/>
  <c r="J1474" i="2" s="1"/>
  <c r="R1475" i="2"/>
  <c r="H1475" i="2" s="1"/>
  <c r="S1475" i="2"/>
  <c r="J1475" i="2" s="1"/>
  <c r="R1476" i="2"/>
  <c r="H1476" i="2" s="1"/>
  <c r="S1476" i="2"/>
  <c r="J1476" i="2" s="1"/>
  <c r="R1477" i="2"/>
  <c r="H1477" i="2" s="1"/>
  <c r="S1477" i="2"/>
  <c r="J1477" i="2" s="1"/>
  <c r="R1478" i="2"/>
  <c r="H1478" i="2" s="1"/>
  <c r="S1478" i="2"/>
  <c r="J1478" i="2" s="1"/>
  <c r="R1479" i="2"/>
  <c r="H1479" i="2" s="1"/>
  <c r="S1479" i="2"/>
  <c r="J1479" i="2" s="1"/>
  <c r="R1480" i="2"/>
  <c r="H1480" i="2" s="1"/>
  <c r="S1480" i="2"/>
  <c r="J1480" i="2" s="1"/>
  <c r="R1481" i="2"/>
  <c r="H1481" i="2" s="1"/>
  <c r="S1481" i="2"/>
  <c r="J1481" i="2" s="1"/>
  <c r="R1482" i="2"/>
  <c r="H1482" i="2" s="1"/>
  <c r="S1482" i="2"/>
  <c r="J1482" i="2" s="1"/>
  <c r="R1483" i="2"/>
  <c r="H1483" i="2" s="1"/>
  <c r="S1483" i="2"/>
  <c r="J1483" i="2" s="1"/>
  <c r="R1484" i="2"/>
  <c r="H1484" i="2" s="1"/>
  <c r="S1484" i="2"/>
  <c r="J1484" i="2" s="1"/>
  <c r="R1485" i="2"/>
  <c r="H1485" i="2" s="1"/>
  <c r="S1485" i="2"/>
  <c r="J1485" i="2" s="1"/>
  <c r="R1486" i="2"/>
  <c r="H1486" i="2" s="1"/>
  <c r="S1486" i="2"/>
  <c r="J1486" i="2" s="1"/>
  <c r="R1487" i="2"/>
  <c r="H1487" i="2" s="1"/>
  <c r="S1487" i="2"/>
  <c r="J1487" i="2" s="1"/>
  <c r="R1488" i="2"/>
  <c r="H1488" i="2" s="1"/>
  <c r="S1488" i="2"/>
  <c r="J1488" i="2" s="1"/>
  <c r="R1489" i="2"/>
  <c r="H1489" i="2" s="1"/>
  <c r="S1489" i="2"/>
  <c r="J1489" i="2" s="1"/>
  <c r="R1490" i="2"/>
  <c r="H1490" i="2" s="1"/>
  <c r="S1490" i="2"/>
  <c r="J1490" i="2" s="1"/>
  <c r="R1491" i="2"/>
  <c r="H1491" i="2" s="1"/>
  <c r="S1491" i="2"/>
  <c r="J1491" i="2" s="1"/>
  <c r="R1492" i="2"/>
  <c r="H1492" i="2" s="1"/>
  <c r="S1492" i="2"/>
  <c r="J1492" i="2" s="1"/>
  <c r="R1493" i="2"/>
  <c r="H1493" i="2" s="1"/>
  <c r="S1493" i="2"/>
  <c r="J1493" i="2" s="1"/>
  <c r="R1494" i="2"/>
  <c r="H1494" i="2" s="1"/>
  <c r="S1494" i="2"/>
  <c r="J1494" i="2" s="1"/>
  <c r="R1495" i="2"/>
  <c r="H1495" i="2" s="1"/>
  <c r="S1495" i="2"/>
  <c r="J1495" i="2" s="1"/>
  <c r="R1496" i="2"/>
  <c r="H1496" i="2" s="1"/>
  <c r="S1496" i="2"/>
  <c r="J1496" i="2" s="1"/>
  <c r="R1497" i="2"/>
  <c r="H1497" i="2" s="1"/>
  <c r="S1497" i="2"/>
  <c r="J1497" i="2" s="1"/>
  <c r="R1498" i="2"/>
  <c r="H1498" i="2" s="1"/>
  <c r="S1498" i="2"/>
  <c r="J1498" i="2" s="1"/>
  <c r="R1499" i="2"/>
  <c r="H1499" i="2" s="1"/>
  <c r="S1499" i="2"/>
  <c r="J1499" i="2" s="1"/>
  <c r="R1500" i="2"/>
  <c r="H1500" i="2" s="1"/>
  <c r="S1500" i="2"/>
  <c r="J1500" i="2" s="1"/>
  <c r="R1501" i="2"/>
  <c r="H1501" i="2" s="1"/>
  <c r="S1501" i="2"/>
  <c r="J1501" i="2" s="1"/>
  <c r="R1502" i="2"/>
  <c r="H1502" i="2" s="1"/>
  <c r="S1502" i="2"/>
  <c r="J1502" i="2" s="1"/>
  <c r="R1503" i="2"/>
  <c r="H1503" i="2" s="1"/>
  <c r="S1503" i="2"/>
  <c r="J1503" i="2" s="1"/>
  <c r="R1504" i="2"/>
  <c r="H1504" i="2" s="1"/>
  <c r="S1504" i="2"/>
  <c r="J1504" i="2" s="1"/>
  <c r="R1505" i="2"/>
  <c r="H1505" i="2" s="1"/>
  <c r="S1505" i="2"/>
  <c r="J1505" i="2" s="1"/>
  <c r="R1506" i="2"/>
  <c r="H1506" i="2" s="1"/>
  <c r="S1506" i="2"/>
  <c r="J1506" i="2" s="1"/>
  <c r="R1507" i="2"/>
  <c r="H1507" i="2" s="1"/>
  <c r="S1507" i="2"/>
  <c r="J1507" i="2" s="1"/>
  <c r="R1508" i="2"/>
  <c r="H1508" i="2" s="1"/>
  <c r="S1508" i="2"/>
  <c r="J1508" i="2" s="1"/>
  <c r="R1509" i="2"/>
  <c r="H1509" i="2" s="1"/>
  <c r="S1509" i="2"/>
  <c r="J1509" i="2" s="1"/>
  <c r="R1510" i="2"/>
  <c r="H1510" i="2" s="1"/>
  <c r="S1510" i="2"/>
  <c r="J1510" i="2" s="1"/>
  <c r="R1511" i="2"/>
  <c r="H1511" i="2" s="1"/>
  <c r="S1511" i="2"/>
  <c r="J1511" i="2" s="1"/>
  <c r="R1512" i="2"/>
  <c r="H1512" i="2" s="1"/>
  <c r="S1512" i="2"/>
  <c r="J1512" i="2" s="1"/>
  <c r="R1513" i="2"/>
  <c r="H1513" i="2" s="1"/>
  <c r="S1513" i="2"/>
  <c r="J1513" i="2" s="1"/>
  <c r="R1514" i="2"/>
  <c r="H1514" i="2" s="1"/>
  <c r="S1514" i="2"/>
  <c r="J1514" i="2" s="1"/>
  <c r="R1515" i="2"/>
  <c r="H1515" i="2" s="1"/>
  <c r="S1515" i="2"/>
  <c r="J1515" i="2" s="1"/>
  <c r="R1516" i="2"/>
  <c r="H1516" i="2" s="1"/>
  <c r="S1516" i="2"/>
  <c r="J1516" i="2" s="1"/>
  <c r="R1517" i="2"/>
  <c r="H1517" i="2" s="1"/>
  <c r="S1517" i="2"/>
  <c r="J1517" i="2" s="1"/>
  <c r="R1518" i="2"/>
  <c r="H1518" i="2" s="1"/>
  <c r="S1518" i="2"/>
  <c r="J1518" i="2" s="1"/>
  <c r="R1519" i="2"/>
  <c r="H1519" i="2" s="1"/>
  <c r="S1519" i="2"/>
  <c r="J1519" i="2" s="1"/>
  <c r="R1520" i="2"/>
  <c r="H1520" i="2" s="1"/>
  <c r="S1520" i="2"/>
  <c r="J1520" i="2" s="1"/>
  <c r="R1521" i="2"/>
  <c r="H1521" i="2" s="1"/>
  <c r="S1521" i="2"/>
  <c r="J1521" i="2" s="1"/>
  <c r="R1522" i="2"/>
  <c r="H1522" i="2" s="1"/>
  <c r="S1522" i="2"/>
  <c r="J1522" i="2" s="1"/>
  <c r="R1523" i="2"/>
  <c r="H1523" i="2" s="1"/>
  <c r="S1523" i="2"/>
  <c r="J1523" i="2" s="1"/>
  <c r="R1524" i="2"/>
  <c r="H1524" i="2" s="1"/>
  <c r="S1524" i="2"/>
  <c r="J1524" i="2" s="1"/>
  <c r="R1525" i="2"/>
  <c r="H1525" i="2" s="1"/>
  <c r="S1525" i="2"/>
  <c r="J1525" i="2" s="1"/>
  <c r="R1526" i="2"/>
  <c r="H1526" i="2" s="1"/>
  <c r="S1526" i="2"/>
  <c r="J1526" i="2" s="1"/>
  <c r="R1527" i="2"/>
  <c r="H1527" i="2" s="1"/>
  <c r="S1527" i="2"/>
  <c r="J1527" i="2" s="1"/>
  <c r="R1528" i="2"/>
  <c r="H1528" i="2" s="1"/>
  <c r="S1528" i="2"/>
  <c r="J1528" i="2" s="1"/>
  <c r="R1529" i="2"/>
  <c r="H1529" i="2" s="1"/>
  <c r="S1529" i="2"/>
  <c r="J1529" i="2" s="1"/>
  <c r="R1530" i="2"/>
  <c r="H1530" i="2" s="1"/>
  <c r="S1530" i="2"/>
  <c r="J1530" i="2" s="1"/>
  <c r="R1531" i="2"/>
  <c r="H1531" i="2" s="1"/>
  <c r="S1531" i="2"/>
  <c r="J1531" i="2" s="1"/>
  <c r="R1532" i="2"/>
  <c r="H1532" i="2" s="1"/>
  <c r="S1532" i="2"/>
  <c r="J1532" i="2" s="1"/>
  <c r="R1533" i="2"/>
  <c r="H1533" i="2" s="1"/>
  <c r="S1533" i="2"/>
  <c r="J1533" i="2" s="1"/>
  <c r="R1534" i="2"/>
  <c r="H1534" i="2" s="1"/>
  <c r="S1534" i="2"/>
  <c r="J1534" i="2" s="1"/>
  <c r="R1535" i="2"/>
  <c r="H1535" i="2" s="1"/>
  <c r="S1535" i="2"/>
  <c r="J1535" i="2" s="1"/>
  <c r="R1536" i="2"/>
  <c r="H1536" i="2" s="1"/>
  <c r="S1536" i="2"/>
  <c r="J1536" i="2" s="1"/>
  <c r="R1537" i="2"/>
  <c r="H1537" i="2" s="1"/>
  <c r="S1537" i="2"/>
  <c r="J1537" i="2" s="1"/>
  <c r="R1538" i="2"/>
  <c r="H1538" i="2" s="1"/>
  <c r="S1538" i="2"/>
  <c r="J1538" i="2" s="1"/>
  <c r="R1539" i="2"/>
  <c r="H1539" i="2" s="1"/>
  <c r="S1539" i="2"/>
  <c r="J1539" i="2" s="1"/>
  <c r="R1540" i="2"/>
  <c r="H1540" i="2" s="1"/>
  <c r="S1540" i="2"/>
  <c r="J1540" i="2" s="1"/>
  <c r="R1541" i="2"/>
  <c r="H1541" i="2" s="1"/>
  <c r="S1541" i="2"/>
  <c r="J1541" i="2" s="1"/>
  <c r="R1542" i="2"/>
  <c r="H1542" i="2" s="1"/>
  <c r="S1542" i="2"/>
  <c r="J1542" i="2" s="1"/>
  <c r="R1543" i="2"/>
  <c r="H1543" i="2" s="1"/>
  <c r="S1543" i="2"/>
  <c r="J1543" i="2" s="1"/>
  <c r="R1544" i="2"/>
  <c r="H1544" i="2" s="1"/>
  <c r="S1544" i="2"/>
  <c r="J1544" i="2" s="1"/>
  <c r="R1545" i="2"/>
  <c r="H1545" i="2" s="1"/>
  <c r="S1545" i="2"/>
  <c r="J1545" i="2" s="1"/>
  <c r="R1546" i="2"/>
  <c r="H1546" i="2" s="1"/>
  <c r="S1546" i="2"/>
  <c r="J1546" i="2" s="1"/>
  <c r="R1547" i="2"/>
  <c r="H1547" i="2" s="1"/>
  <c r="S1547" i="2"/>
  <c r="J1547" i="2" s="1"/>
  <c r="R1548" i="2"/>
  <c r="H1548" i="2" s="1"/>
  <c r="S1548" i="2"/>
  <c r="J1548" i="2" s="1"/>
  <c r="R1549" i="2"/>
  <c r="H1549" i="2" s="1"/>
  <c r="S1549" i="2"/>
  <c r="J1549" i="2" s="1"/>
  <c r="R1550" i="2"/>
  <c r="H1550" i="2" s="1"/>
  <c r="S1550" i="2"/>
  <c r="J1550" i="2" s="1"/>
  <c r="R1551" i="2"/>
  <c r="H1551" i="2" s="1"/>
  <c r="S1551" i="2"/>
  <c r="J1551" i="2" s="1"/>
  <c r="R1552" i="2"/>
  <c r="H1552" i="2" s="1"/>
  <c r="S1552" i="2"/>
  <c r="J1552" i="2" s="1"/>
  <c r="R1553" i="2"/>
  <c r="H1553" i="2" s="1"/>
  <c r="S1553" i="2"/>
  <c r="J1553" i="2" s="1"/>
  <c r="R1554" i="2"/>
  <c r="H1554" i="2" s="1"/>
  <c r="S1554" i="2"/>
  <c r="J1554" i="2" s="1"/>
  <c r="R1555" i="2"/>
  <c r="H1555" i="2" s="1"/>
  <c r="S1555" i="2"/>
  <c r="J1555" i="2" s="1"/>
  <c r="R1556" i="2"/>
  <c r="H1556" i="2" s="1"/>
  <c r="S1556" i="2"/>
  <c r="J1556" i="2" s="1"/>
  <c r="R1557" i="2"/>
  <c r="H1557" i="2" s="1"/>
  <c r="S1557" i="2"/>
  <c r="J1557" i="2" s="1"/>
  <c r="R1558" i="2"/>
  <c r="H1558" i="2" s="1"/>
  <c r="S1558" i="2"/>
  <c r="J1558" i="2" s="1"/>
  <c r="R1559" i="2"/>
  <c r="H1559" i="2" s="1"/>
  <c r="S1559" i="2"/>
  <c r="J1559" i="2" s="1"/>
  <c r="R1560" i="2"/>
  <c r="H1560" i="2" s="1"/>
  <c r="S1560" i="2"/>
  <c r="J1560" i="2" s="1"/>
  <c r="R1561" i="2"/>
  <c r="H1561" i="2" s="1"/>
  <c r="S1561" i="2"/>
  <c r="J1561" i="2" s="1"/>
  <c r="R1562" i="2"/>
  <c r="H1562" i="2" s="1"/>
  <c r="S1562" i="2"/>
  <c r="J1562" i="2" s="1"/>
  <c r="R1563" i="2"/>
  <c r="H1563" i="2" s="1"/>
  <c r="S1563" i="2"/>
  <c r="J1563" i="2" s="1"/>
  <c r="R1564" i="2"/>
  <c r="H1564" i="2" s="1"/>
  <c r="S1564" i="2"/>
  <c r="J1564" i="2" s="1"/>
  <c r="R1565" i="2"/>
  <c r="H1565" i="2" s="1"/>
  <c r="S1565" i="2"/>
  <c r="J1565" i="2" s="1"/>
  <c r="R1566" i="2"/>
  <c r="H1566" i="2" s="1"/>
  <c r="S1566" i="2"/>
  <c r="J1566" i="2" s="1"/>
  <c r="R1567" i="2"/>
  <c r="H1567" i="2" s="1"/>
  <c r="S1567" i="2"/>
  <c r="J1567" i="2" s="1"/>
  <c r="R1568" i="2"/>
  <c r="H1568" i="2" s="1"/>
  <c r="S1568" i="2"/>
  <c r="J1568" i="2" s="1"/>
  <c r="R1569" i="2"/>
  <c r="H1569" i="2" s="1"/>
  <c r="S1569" i="2"/>
  <c r="J1569" i="2" s="1"/>
  <c r="R1570" i="2"/>
  <c r="H1570" i="2" s="1"/>
  <c r="S1570" i="2"/>
  <c r="J1570" i="2" s="1"/>
  <c r="R1571" i="2"/>
  <c r="H1571" i="2" s="1"/>
  <c r="S1571" i="2"/>
  <c r="J1571" i="2" s="1"/>
  <c r="R1572" i="2"/>
  <c r="H1572" i="2" s="1"/>
  <c r="S1572" i="2"/>
  <c r="J1572" i="2" s="1"/>
  <c r="R1573" i="2"/>
  <c r="H1573" i="2" s="1"/>
  <c r="S1573" i="2"/>
  <c r="J1573" i="2" s="1"/>
  <c r="R1574" i="2"/>
  <c r="H1574" i="2" s="1"/>
  <c r="S1574" i="2"/>
  <c r="J1574" i="2" s="1"/>
  <c r="R1575" i="2"/>
  <c r="H1575" i="2" s="1"/>
  <c r="S1575" i="2"/>
  <c r="J1575" i="2" s="1"/>
  <c r="R1576" i="2"/>
  <c r="H1576" i="2" s="1"/>
  <c r="S1576" i="2"/>
  <c r="J1576" i="2" s="1"/>
  <c r="R1577" i="2"/>
  <c r="H1577" i="2" s="1"/>
  <c r="S1577" i="2"/>
  <c r="J1577" i="2" s="1"/>
  <c r="R1578" i="2"/>
  <c r="H1578" i="2" s="1"/>
  <c r="S1578" i="2"/>
  <c r="J1578" i="2" s="1"/>
  <c r="R1579" i="2"/>
  <c r="H1579" i="2" s="1"/>
  <c r="S1579" i="2"/>
  <c r="J1579" i="2" s="1"/>
  <c r="R1580" i="2"/>
  <c r="H1580" i="2" s="1"/>
  <c r="S1580" i="2"/>
  <c r="J1580" i="2" s="1"/>
  <c r="R1581" i="2"/>
  <c r="H1581" i="2" s="1"/>
  <c r="S1581" i="2"/>
  <c r="J1581" i="2" s="1"/>
  <c r="R1582" i="2"/>
  <c r="H1582" i="2" s="1"/>
  <c r="S1582" i="2"/>
  <c r="J1582" i="2" s="1"/>
  <c r="R1583" i="2"/>
  <c r="H1583" i="2" s="1"/>
  <c r="S1583" i="2"/>
  <c r="J1583" i="2" s="1"/>
  <c r="R1584" i="2"/>
  <c r="H1584" i="2" s="1"/>
  <c r="S1584" i="2"/>
  <c r="J1584" i="2" s="1"/>
  <c r="R1585" i="2"/>
  <c r="H1585" i="2" s="1"/>
  <c r="S1585" i="2"/>
  <c r="J1585" i="2" s="1"/>
  <c r="R1586" i="2"/>
  <c r="H1586" i="2" s="1"/>
  <c r="S1586" i="2"/>
  <c r="J1586" i="2" s="1"/>
  <c r="R1587" i="2"/>
  <c r="H1587" i="2" s="1"/>
  <c r="S1587" i="2"/>
  <c r="J1587" i="2" s="1"/>
  <c r="R1588" i="2"/>
  <c r="H1588" i="2" s="1"/>
  <c r="S1588" i="2"/>
  <c r="J1588" i="2" s="1"/>
  <c r="R1589" i="2"/>
  <c r="H1589" i="2" s="1"/>
  <c r="S1589" i="2"/>
  <c r="J1589" i="2" s="1"/>
  <c r="R1590" i="2"/>
  <c r="H1590" i="2" s="1"/>
  <c r="S1590" i="2"/>
  <c r="J1590" i="2" s="1"/>
  <c r="R1591" i="2"/>
  <c r="H1591" i="2" s="1"/>
  <c r="S1591" i="2"/>
  <c r="J1591" i="2" s="1"/>
  <c r="R1592" i="2"/>
  <c r="H1592" i="2" s="1"/>
  <c r="S1592" i="2"/>
  <c r="J1592" i="2" s="1"/>
  <c r="R1593" i="2"/>
  <c r="H1593" i="2" s="1"/>
  <c r="S1593" i="2"/>
  <c r="J1593" i="2" s="1"/>
  <c r="R1594" i="2"/>
  <c r="H1594" i="2" s="1"/>
  <c r="S1594" i="2"/>
  <c r="J1594" i="2" s="1"/>
  <c r="R1595" i="2"/>
  <c r="H1595" i="2" s="1"/>
  <c r="S1595" i="2"/>
  <c r="J1595" i="2" s="1"/>
  <c r="R1596" i="2"/>
  <c r="H1596" i="2" s="1"/>
  <c r="S1596" i="2"/>
  <c r="J1596" i="2" s="1"/>
  <c r="R1597" i="2"/>
  <c r="H1597" i="2" s="1"/>
  <c r="S1597" i="2"/>
  <c r="J1597" i="2" s="1"/>
  <c r="R1598" i="2"/>
  <c r="H1598" i="2" s="1"/>
  <c r="S1598" i="2"/>
  <c r="J1598" i="2" s="1"/>
  <c r="R1599" i="2"/>
  <c r="H1599" i="2" s="1"/>
  <c r="S1599" i="2"/>
  <c r="J1599" i="2" s="1"/>
  <c r="R1600" i="2"/>
  <c r="H1600" i="2" s="1"/>
  <c r="S1600" i="2"/>
  <c r="J1600" i="2" s="1"/>
  <c r="R1601" i="2"/>
  <c r="H1601" i="2" s="1"/>
  <c r="S1601" i="2"/>
  <c r="J1601" i="2" s="1"/>
  <c r="R1602" i="2"/>
  <c r="H1602" i="2" s="1"/>
  <c r="S1602" i="2"/>
  <c r="J1602" i="2" s="1"/>
  <c r="R1603" i="2"/>
  <c r="H1603" i="2" s="1"/>
  <c r="S1603" i="2"/>
  <c r="J1603" i="2" s="1"/>
  <c r="R1604" i="2"/>
  <c r="H1604" i="2" s="1"/>
  <c r="S1604" i="2"/>
  <c r="J1604" i="2" s="1"/>
  <c r="R1605" i="2"/>
  <c r="H1605" i="2" s="1"/>
  <c r="S1605" i="2"/>
  <c r="J1605" i="2" s="1"/>
  <c r="R1606" i="2"/>
  <c r="H1606" i="2" s="1"/>
  <c r="S1606" i="2"/>
  <c r="J1606" i="2" s="1"/>
  <c r="R1607" i="2"/>
  <c r="H1607" i="2" s="1"/>
  <c r="S1607" i="2"/>
  <c r="J1607" i="2" s="1"/>
  <c r="R1608" i="2"/>
  <c r="H1608" i="2" s="1"/>
  <c r="S1608" i="2"/>
  <c r="J1608" i="2" s="1"/>
  <c r="R1609" i="2"/>
  <c r="H1609" i="2" s="1"/>
  <c r="S1609" i="2"/>
  <c r="J1609" i="2" s="1"/>
  <c r="R1610" i="2"/>
  <c r="H1610" i="2" s="1"/>
  <c r="S1610" i="2"/>
  <c r="J1610" i="2" s="1"/>
  <c r="R1611" i="2"/>
  <c r="H1611" i="2" s="1"/>
  <c r="S1611" i="2"/>
  <c r="J1611" i="2" s="1"/>
  <c r="R1612" i="2"/>
  <c r="H1612" i="2" s="1"/>
  <c r="S1612" i="2"/>
  <c r="J1612" i="2" s="1"/>
  <c r="R1613" i="2"/>
  <c r="H1613" i="2" s="1"/>
  <c r="S1613" i="2"/>
  <c r="J1613" i="2" s="1"/>
  <c r="R1614" i="2"/>
  <c r="H1614" i="2" s="1"/>
  <c r="S1614" i="2"/>
  <c r="J1614" i="2" s="1"/>
  <c r="R1615" i="2"/>
  <c r="H1615" i="2" s="1"/>
  <c r="S1615" i="2"/>
  <c r="J1615" i="2" s="1"/>
  <c r="R1616" i="2"/>
  <c r="H1616" i="2" s="1"/>
  <c r="S1616" i="2"/>
  <c r="J1616" i="2" s="1"/>
  <c r="R1617" i="2"/>
  <c r="H1617" i="2" s="1"/>
  <c r="S1617" i="2"/>
  <c r="J1617" i="2" s="1"/>
  <c r="R1618" i="2"/>
  <c r="H1618" i="2" s="1"/>
  <c r="S1618" i="2"/>
  <c r="J1618" i="2" s="1"/>
  <c r="R1619" i="2"/>
  <c r="H1619" i="2" s="1"/>
  <c r="S1619" i="2"/>
  <c r="J1619" i="2" s="1"/>
  <c r="R1620" i="2"/>
  <c r="H1620" i="2" s="1"/>
  <c r="S1620" i="2"/>
  <c r="J1620" i="2" s="1"/>
  <c r="R1621" i="2"/>
  <c r="H1621" i="2" s="1"/>
  <c r="S1621" i="2"/>
  <c r="J1621" i="2" s="1"/>
  <c r="R1622" i="2"/>
  <c r="H1622" i="2" s="1"/>
  <c r="S1622" i="2"/>
  <c r="J1622" i="2" s="1"/>
  <c r="R1623" i="2"/>
  <c r="H1623" i="2" s="1"/>
  <c r="S1623" i="2"/>
  <c r="J1623" i="2" s="1"/>
  <c r="R1624" i="2"/>
  <c r="H1624" i="2" s="1"/>
  <c r="S1624" i="2"/>
  <c r="J1624" i="2" s="1"/>
  <c r="R1625" i="2"/>
  <c r="H1625" i="2" s="1"/>
  <c r="S1625" i="2"/>
  <c r="J1625" i="2" s="1"/>
  <c r="R1626" i="2"/>
  <c r="H1626" i="2" s="1"/>
  <c r="S1626" i="2"/>
  <c r="J1626" i="2" s="1"/>
  <c r="R1627" i="2"/>
  <c r="H1627" i="2" s="1"/>
  <c r="S1627" i="2"/>
  <c r="J1627" i="2" s="1"/>
  <c r="R1628" i="2"/>
  <c r="H1628" i="2" s="1"/>
  <c r="S1628" i="2"/>
  <c r="J1628" i="2" s="1"/>
  <c r="R1629" i="2"/>
  <c r="H1629" i="2" s="1"/>
  <c r="S1629" i="2"/>
  <c r="J1629" i="2" s="1"/>
  <c r="R1630" i="2"/>
  <c r="H1630" i="2" s="1"/>
  <c r="S1630" i="2"/>
  <c r="J1630" i="2" s="1"/>
  <c r="R1631" i="2"/>
  <c r="H1631" i="2" s="1"/>
  <c r="S1631" i="2"/>
  <c r="J1631" i="2" s="1"/>
  <c r="R1632" i="2"/>
  <c r="H1632" i="2" s="1"/>
  <c r="S1632" i="2"/>
  <c r="J1632" i="2" s="1"/>
  <c r="R1633" i="2"/>
  <c r="H1633" i="2" s="1"/>
  <c r="S1633" i="2"/>
  <c r="J1633" i="2" s="1"/>
  <c r="R1634" i="2"/>
  <c r="H1634" i="2" s="1"/>
  <c r="S1634" i="2"/>
  <c r="J1634" i="2" s="1"/>
  <c r="R1635" i="2"/>
  <c r="H1635" i="2" s="1"/>
  <c r="S1635" i="2"/>
  <c r="J1635" i="2" s="1"/>
  <c r="R1636" i="2"/>
  <c r="H1636" i="2" s="1"/>
  <c r="S1636" i="2"/>
  <c r="J1636" i="2" s="1"/>
  <c r="R1637" i="2"/>
  <c r="H1637" i="2" s="1"/>
  <c r="S1637" i="2"/>
  <c r="J1637" i="2" s="1"/>
  <c r="R1638" i="2"/>
  <c r="H1638" i="2" s="1"/>
  <c r="S1638" i="2"/>
  <c r="J1638" i="2" s="1"/>
  <c r="R1639" i="2"/>
  <c r="H1639" i="2" s="1"/>
  <c r="S1639" i="2"/>
  <c r="J1639" i="2" s="1"/>
  <c r="R1640" i="2"/>
  <c r="H1640" i="2" s="1"/>
  <c r="S1640" i="2"/>
  <c r="J1640" i="2" s="1"/>
  <c r="R1641" i="2"/>
  <c r="H1641" i="2" s="1"/>
  <c r="S1641" i="2"/>
  <c r="J1641" i="2" s="1"/>
  <c r="R1642" i="2"/>
  <c r="H1642" i="2" s="1"/>
  <c r="S1642" i="2"/>
  <c r="J1642" i="2" s="1"/>
  <c r="R1643" i="2"/>
  <c r="H1643" i="2" s="1"/>
  <c r="S1643" i="2"/>
  <c r="J1643" i="2" s="1"/>
  <c r="R1644" i="2"/>
  <c r="H1644" i="2" s="1"/>
  <c r="S1644" i="2"/>
  <c r="J1644" i="2" s="1"/>
  <c r="R1645" i="2"/>
  <c r="H1645" i="2" s="1"/>
  <c r="S1645" i="2"/>
  <c r="J1645" i="2" s="1"/>
  <c r="R1646" i="2"/>
  <c r="H1646" i="2" s="1"/>
  <c r="S1646" i="2"/>
  <c r="J1646" i="2" s="1"/>
  <c r="R1647" i="2"/>
  <c r="H1647" i="2" s="1"/>
  <c r="S1647" i="2"/>
  <c r="J1647" i="2" s="1"/>
  <c r="R1648" i="2"/>
  <c r="H1648" i="2" s="1"/>
  <c r="S1648" i="2"/>
  <c r="J1648" i="2" s="1"/>
  <c r="R1649" i="2"/>
  <c r="H1649" i="2" s="1"/>
  <c r="S1649" i="2"/>
  <c r="J1649" i="2" s="1"/>
  <c r="R1650" i="2"/>
  <c r="H1650" i="2" s="1"/>
  <c r="S1650" i="2"/>
  <c r="J1650" i="2" s="1"/>
  <c r="R1651" i="2"/>
  <c r="H1651" i="2" s="1"/>
  <c r="S1651" i="2"/>
  <c r="J1651" i="2" s="1"/>
  <c r="R1652" i="2"/>
  <c r="H1652" i="2" s="1"/>
  <c r="S1652" i="2"/>
  <c r="J1652" i="2" s="1"/>
  <c r="R1653" i="2"/>
  <c r="H1653" i="2" s="1"/>
  <c r="S1653" i="2"/>
  <c r="J1653" i="2" s="1"/>
  <c r="R1654" i="2"/>
  <c r="H1654" i="2" s="1"/>
  <c r="S1654" i="2"/>
  <c r="J1654" i="2" s="1"/>
  <c r="R1655" i="2"/>
  <c r="H1655" i="2" s="1"/>
  <c r="S1655" i="2"/>
  <c r="J1655" i="2" s="1"/>
  <c r="R1656" i="2"/>
  <c r="H1656" i="2" s="1"/>
  <c r="S1656" i="2"/>
  <c r="J1656" i="2" s="1"/>
  <c r="R1657" i="2"/>
  <c r="H1657" i="2" s="1"/>
  <c r="S1657" i="2"/>
  <c r="J1657" i="2" s="1"/>
  <c r="R1658" i="2"/>
  <c r="H1658" i="2" s="1"/>
  <c r="S1658" i="2"/>
  <c r="J1658" i="2" s="1"/>
  <c r="R1659" i="2"/>
  <c r="H1659" i="2" s="1"/>
  <c r="S1659" i="2"/>
  <c r="J1659" i="2" s="1"/>
  <c r="R1660" i="2"/>
  <c r="H1660" i="2" s="1"/>
  <c r="S1660" i="2"/>
  <c r="J1660" i="2" s="1"/>
  <c r="R1661" i="2"/>
  <c r="H1661" i="2" s="1"/>
  <c r="S1661" i="2"/>
  <c r="J1661" i="2" s="1"/>
  <c r="R1662" i="2"/>
  <c r="H1662" i="2" s="1"/>
  <c r="S1662" i="2"/>
  <c r="J1662" i="2" s="1"/>
  <c r="R1663" i="2"/>
  <c r="H1663" i="2" s="1"/>
  <c r="S1663" i="2"/>
  <c r="J1663" i="2" s="1"/>
  <c r="R1664" i="2"/>
  <c r="H1664" i="2" s="1"/>
  <c r="S1664" i="2"/>
  <c r="J1664" i="2" s="1"/>
  <c r="R1665" i="2"/>
  <c r="H1665" i="2" s="1"/>
  <c r="S1665" i="2"/>
  <c r="J1665" i="2" s="1"/>
  <c r="R1666" i="2"/>
  <c r="H1666" i="2" s="1"/>
  <c r="S1666" i="2"/>
  <c r="J1666" i="2" s="1"/>
  <c r="R1667" i="2"/>
  <c r="H1667" i="2" s="1"/>
  <c r="S1667" i="2"/>
  <c r="J1667" i="2" s="1"/>
  <c r="R1668" i="2"/>
  <c r="H1668" i="2" s="1"/>
  <c r="S1668" i="2"/>
  <c r="J1668" i="2" s="1"/>
  <c r="R1669" i="2"/>
  <c r="H1669" i="2" s="1"/>
  <c r="S1669" i="2"/>
  <c r="J1669" i="2" s="1"/>
  <c r="R1670" i="2"/>
  <c r="H1670" i="2" s="1"/>
  <c r="S1670" i="2"/>
  <c r="J1670" i="2" s="1"/>
  <c r="R1671" i="2"/>
  <c r="H1671" i="2" s="1"/>
  <c r="S1671" i="2"/>
  <c r="J1671" i="2" s="1"/>
  <c r="R1672" i="2"/>
  <c r="H1672" i="2" s="1"/>
  <c r="S1672" i="2"/>
  <c r="J1672" i="2" s="1"/>
  <c r="R1673" i="2"/>
  <c r="H1673" i="2" s="1"/>
  <c r="S1673" i="2"/>
  <c r="J1673" i="2" s="1"/>
  <c r="R1674" i="2"/>
  <c r="H1674" i="2" s="1"/>
  <c r="S1674" i="2"/>
  <c r="J1674" i="2" s="1"/>
  <c r="R1675" i="2"/>
  <c r="H1675" i="2" s="1"/>
  <c r="S1675" i="2"/>
  <c r="J1675" i="2" s="1"/>
  <c r="R1676" i="2"/>
  <c r="H1676" i="2" s="1"/>
  <c r="S1676" i="2"/>
  <c r="J1676" i="2" s="1"/>
  <c r="R1677" i="2"/>
  <c r="H1677" i="2" s="1"/>
  <c r="S1677" i="2"/>
  <c r="J1677" i="2" s="1"/>
  <c r="R1678" i="2"/>
  <c r="H1678" i="2" s="1"/>
  <c r="S1678" i="2"/>
  <c r="J1678" i="2" s="1"/>
  <c r="R1679" i="2"/>
  <c r="H1679" i="2" s="1"/>
  <c r="S1679" i="2"/>
  <c r="J1679" i="2" s="1"/>
  <c r="R1680" i="2"/>
  <c r="H1680" i="2" s="1"/>
  <c r="S1680" i="2"/>
  <c r="J1680" i="2" s="1"/>
  <c r="R1681" i="2"/>
  <c r="H1681" i="2" s="1"/>
  <c r="S1681" i="2"/>
  <c r="J1681" i="2" s="1"/>
  <c r="R1682" i="2"/>
  <c r="H1682" i="2" s="1"/>
  <c r="S1682" i="2"/>
  <c r="J1682" i="2" s="1"/>
  <c r="R1683" i="2"/>
  <c r="H1683" i="2" s="1"/>
  <c r="S1683" i="2"/>
  <c r="J1683" i="2" s="1"/>
  <c r="R1684" i="2"/>
  <c r="H1684" i="2" s="1"/>
  <c r="S1684" i="2"/>
  <c r="J1684" i="2" s="1"/>
  <c r="R1685" i="2"/>
  <c r="H1685" i="2" s="1"/>
  <c r="S1685" i="2"/>
  <c r="J1685" i="2" s="1"/>
  <c r="R1686" i="2"/>
  <c r="H1686" i="2" s="1"/>
  <c r="S1686" i="2"/>
  <c r="J1686" i="2" s="1"/>
  <c r="R1687" i="2"/>
  <c r="H1687" i="2" s="1"/>
  <c r="S1687" i="2"/>
  <c r="J1687" i="2" s="1"/>
  <c r="R1688" i="2"/>
  <c r="H1688" i="2" s="1"/>
  <c r="S1688" i="2"/>
  <c r="J1688" i="2" s="1"/>
  <c r="R1689" i="2"/>
  <c r="H1689" i="2" s="1"/>
  <c r="S1689" i="2"/>
  <c r="J1689" i="2" s="1"/>
  <c r="R1690" i="2"/>
  <c r="H1690" i="2" s="1"/>
  <c r="S1690" i="2"/>
  <c r="J1690" i="2" s="1"/>
  <c r="R1691" i="2"/>
  <c r="H1691" i="2" s="1"/>
  <c r="S1691" i="2"/>
  <c r="J1691" i="2" s="1"/>
  <c r="R1692" i="2"/>
  <c r="H1692" i="2" s="1"/>
  <c r="S1692" i="2"/>
  <c r="J1692" i="2" s="1"/>
  <c r="R1693" i="2"/>
  <c r="H1693" i="2" s="1"/>
  <c r="S1693" i="2"/>
  <c r="J1693" i="2" s="1"/>
  <c r="R1694" i="2"/>
  <c r="H1694" i="2" s="1"/>
  <c r="S1694" i="2"/>
  <c r="J1694" i="2" s="1"/>
  <c r="R1695" i="2"/>
  <c r="H1695" i="2" s="1"/>
  <c r="S1695" i="2"/>
  <c r="J1695" i="2" s="1"/>
  <c r="R1696" i="2"/>
  <c r="H1696" i="2" s="1"/>
  <c r="S1696" i="2"/>
  <c r="J1696" i="2" s="1"/>
  <c r="R1697" i="2"/>
  <c r="H1697" i="2" s="1"/>
  <c r="S1697" i="2"/>
  <c r="J1697" i="2" s="1"/>
  <c r="R1698" i="2"/>
  <c r="H1698" i="2" s="1"/>
  <c r="S1698" i="2"/>
  <c r="J1698" i="2" s="1"/>
  <c r="R1699" i="2"/>
  <c r="H1699" i="2" s="1"/>
  <c r="S1699" i="2"/>
  <c r="J1699" i="2" s="1"/>
  <c r="R1700" i="2"/>
  <c r="H1700" i="2" s="1"/>
  <c r="S1700" i="2"/>
  <c r="J1700" i="2" s="1"/>
  <c r="R1701" i="2"/>
  <c r="H1701" i="2" s="1"/>
  <c r="S1701" i="2"/>
  <c r="J1701" i="2" s="1"/>
  <c r="R1702" i="2"/>
  <c r="H1702" i="2" s="1"/>
  <c r="S1702" i="2"/>
  <c r="J1702" i="2" s="1"/>
  <c r="R1703" i="2"/>
  <c r="H1703" i="2" s="1"/>
  <c r="S1703" i="2"/>
  <c r="J1703" i="2" s="1"/>
  <c r="R1704" i="2"/>
  <c r="H1704" i="2" s="1"/>
  <c r="S1704" i="2"/>
  <c r="J1704" i="2" s="1"/>
  <c r="R1705" i="2"/>
  <c r="H1705" i="2" s="1"/>
  <c r="S1705" i="2"/>
  <c r="J1705" i="2" s="1"/>
  <c r="R1706" i="2"/>
  <c r="H1706" i="2" s="1"/>
  <c r="S1706" i="2"/>
  <c r="J1706" i="2" s="1"/>
  <c r="R1707" i="2"/>
  <c r="H1707" i="2" s="1"/>
  <c r="S1707" i="2"/>
  <c r="J1707" i="2" s="1"/>
  <c r="R1708" i="2"/>
  <c r="H1708" i="2" s="1"/>
  <c r="S1708" i="2"/>
  <c r="J1708" i="2" s="1"/>
  <c r="R1709" i="2"/>
  <c r="H1709" i="2" s="1"/>
  <c r="S1709" i="2"/>
  <c r="J1709" i="2" s="1"/>
  <c r="R1710" i="2"/>
  <c r="H1710" i="2" s="1"/>
  <c r="S1710" i="2"/>
  <c r="J1710" i="2" s="1"/>
  <c r="R1711" i="2"/>
  <c r="H1711" i="2" s="1"/>
  <c r="S1711" i="2"/>
  <c r="J1711" i="2" s="1"/>
  <c r="R1712" i="2"/>
  <c r="H1712" i="2" s="1"/>
  <c r="S1712" i="2"/>
  <c r="J1712" i="2" s="1"/>
  <c r="R1713" i="2"/>
  <c r="H1713" i="2" s="1"/>
  <c r="S1713" i="2"/>
  <c r="J1713" i="2" s="1"/>
  <c r="R1714" i="2"/>
  <c r="H1714" i="2" s="1"/>
  <c r="S1714" i="2"/>
  <c r="J1714" i="2" s="1"/>
  <c r="R1715" i="2"/>
  <c r="H1715" i="2" s="1"/>
  <c r="S1715" i="2"/>
  <c r="J1715" i="2" s="1"/>
  <c r="R1716" i="2"/>
  <c r="H1716" i="2" s="1"/>
  <c r="S1716" i="2"/>
  <c r="J1716" i="2" s="1"/>
  <c r="R1717" i="2"/>
  <c r="H1717" i="2" s="1"/>
  <c r="S1717" i="2"/>
  <c r="J1717" i="2" s="1"/>
  <c r="R1718" i="2"/>
  <c r="H1718" i="2" s="1"/>
  <c r="S1718" i="2"/>
  <c r="J1718" i="2" s="1"/>
  <c r="R1719" i="2"/>
  <c r="H1719" i="2" s="1"/>
  <c r="S1719" i="2"/>
  <c r="J1719" i="2" s="1"/>
  <c r="R1720" i="2"/>
  <c r="H1720" i="2" s="1"/>
  <c r="S1720" i="2"/>
  <c r="J1720" i="2" s="1"/>
  <c r="R1721" i="2"/>
  <c r="H1721" i="2" s="1"/>
  <c r="S1721" i="2"/>
  <c r="J1721" i="2" s="1"/>
  <c r="R1722" i="2"/>
  <c r="H1722" i="2" s="1"/>
  <c r="S1722" i="2"/>
  <c r="J1722" i="2" s="1"/>
  <c r="R1723" i="2"/>
  <c r="H1723" i="2" s="1"/>
  <c r="S1723" i="2"/>
  <c r="J1723" i="2" s="1"/>
  <c r="R1724" i="2"/>
  <c r="H1724" i="2" s="1"/>
  <c r="S1724" i="2"/>
  <c r="J1724" i="2" s="1"/>
  <c r="R1725" i="2"/>
  <c r="H1725" i="2" s="1"/>
  <c r="S1725" i="2"/>
  <c r="J1725" i="2" s="1"/>
  <c r="R1726" i="2"/>
  <c r="H1726" i="2" s="1"/>
  <c r="S1726" i="2"/>
  <c r="J1726" i="2" s="1"/>
  <c r="R1727" i="2"/>
  <c r="H1727" i="2" s="1"/>
  <c r="S1727" i="2"/>
  <c r="J1727" i="2" s="1"/>
  <c r="R1728" i="2"/>
  <c r="H1728" i="2" s="1"/>
  <c r="S1728" i="2"/>
  <c r="J1728" i="2" s="1"/>
  <c r="R1729" i="2"/>
  <c r="H1729" i="2" s="1"/>
  <c r="S1729" i="2"/>
  <c r="J1729" i="2" s="1"/>
  <c r="R1730" i="2"/>
  <c r="H1730" i="2" s="1"/>
  <c r="S1730" i="2"/>
  <c r="J1730" i="2" s="1"/>
  <c r="R1731" i="2"/>
  <c r="H1731" i="2" s="1"/>
  <c r="S1731" i="2"/>
  <c r="J1731" i="2" s="1"/>
  <c r="R1732" i="2"/>
  <c r="H1732" i="2" s="1"/>
  <c r="S1732" i="2"/>
  <c r="J1732" i="2" s="1"/>
  <c r="R1733" i="2"/>
  <c r="H1733" i="2" s="1"/>
  <c r="S1733" i="2"/>
  <c r="J1733" i="2" s="1"/>
  <c r="R1734" i="2"/>
  <c r="H1734" i="2" s="1"/>
  <c r="S1734" i="2"/>
  <c r="J1734" i="2" s="1"/>
  <c r="R1735" i="2"/>
  <c r="H1735" i="2" s="1"/>
  <c r="S1735" i="2"/>
  <c r="J1735" i="2" s="1"/>
  <c r="R1736" i="2"/>
  <c r="H1736" i="2" s="1"/>
  <c r="S1736" i="2"/>
  <c r="J1736" i="2" s="1"/>
  <c r="R1737" i="2"/>
  <c r="H1737" i="2" s="1"/>
  <c r="S1737" i="2"/>
  <c r="J1737" i="2" s="1"/>
  <c r="R1738" i="2"/>
  <c r="H1738" i="2" s="1"/>
  <c r="S1738" i="2"/>
  <c r="J1738" i="2" s="1"/>
  <c r="R1739" i="2"/>
  <c r="H1739" i="2" s="1"/>
  <c r="S1739" i="2"/>
  <c r="J1739" i="2" s="1"/>
  <c r="R1740" i="2"/>
  <c r="H1740" i="2" s="1"/>
  <c r="S1740" i="2"/>
  <c r="J1740" i="2" s="1"/>
  <c r="R1741" i="2"/>
  <c r="H1741" i="2" s="1"/>
  <c r="S1741" i="2"/>
  <c r="J1741" i="2" s="1"/>
  <c r="R1742" i="2"/>
  <c r="H1742" i="2" s="1"/>
  <c r="S1742" i="2"/>
  <c r="J1742" i="2" s="1"/>
  <c r="R1743" i="2"/>
  <c r="H1743" i="2" s="1"/>
  <c r="S1743" i="2"/>
  <c r="J1743" i="2" s="1"/>
  <c r="R1744" i="2"/>
  <c r="H1744" i="2" s="1"/>
  <c r="S1744" i="2"/>
  <c r="J1744" i="2" s="1"/>
  <c r="R1745" i="2"/>
  <c r="H1745" i="2" s="1"/>
  <c r="S1745" i="2"/>
  <c r="J1745" i="2" s="1"/>
  <c r="R1746" i="2"/>
  <c r="H1746" i="2" s="1"/>
  <c r="S1746" i="2"/>
  <c r="J1746" i="2" s="1"/>
  <c r="R1747" i="2"/>
  <c r="H1747" i="2" s="1"/>
  <c r="S1747" i="2"/>
  <c r="J1747" i="2" s="1"/>
  <c r="R1748" i="2"/>
  <c r="H1748" i="2" s="1"/>
  <c r="S1748" i="2"/>
  <c r="J1748" i="2" s="1"/>
  <c r="R1749" i="2"/>
  <c r="H1749" i="2" s="1"/>
  <c r="S1749" i="2"/>
  <c r="J1749" i="2" s="1"/>
  <c r="R1750" i="2"/>
  <c r="H1750" i="2" s="1"/>
  <c r="S1750" i="2"/>
  <c r="J1750" i="2" s="1"/>
  <c r="R1751" i="2"/>
  <c r="H1751" i="2" s="1"/>
  <c r="S1751" i="2"/>
  <c r="J1751" i="2" s="1"/>
  <c r="R1752" i="2"/>
  <c r="H1752" i="2" s="1"/>
  <c r="S1752" i="2"/>
  <c r="J1752" i="2" s="1"/>
  <c r="R1753" i="2"/>
  <c r="H1753" i="2" s="1"/>
  <c r="S1753" i="2"/>
  <c r="J1753" i="2" s="1"/>
  <c r="R1754" i="2"/>
  <c r="H1754" i="2" s="1"/>
  <c r="S1754" i="2"/>
  <c r="J1754" i="2" s="1"/>
  <c r="R1755" i="2"/>
  <c r="H1755" i="2" s="1"/>
  <c r="S1755" i="2"/>
  <c r="J1755" i="2" s="1"/>
  <c r="R1756" i="2"/>
  <c r="H1756" i="2" s="1"/>
  <c r="S1756" i="2"/>
  <c r="J1756" i="2" s="1"/>
  <c r="R1757" i="2"/>
  <c r="H1757" i="2" s="1"/>
  <c r="S1757" i="2"/>
  <c r="J1757" i="2" s="1"/>
  <c r="R1758" i="2"/>
  <c r="H1758" i="2" s="1"/>
  <c r="S1758" i="2"/>
  <c r="J1758" i="2" s="1"/>
  <c r="R1759" i="2"/>
  <c r="H1759" i="2" s="1"/>
  <c r="S1759" i="2"/>
  <c r="J1759" i="2" s="1"/>
  <c r="R1760" i="2"/>
  <c r="H1760" i="2" s="1"/>
  <c r="S1760" i="2"/>
  <c r="J1760" i="2" s="1"/>
  <c r="R1761" i="2"/>
  <c r="H1761" i="2" s="1"/>
  <c r="S1761" i="2"/>
  <c r="J1761" i="2" s="1"/>
  <c r="R1762" i="2"/>
  <c r="H1762" i="2" s="1"/>
  <c r="S1762" i="2"/>
  <c r="J1762" i="2" s="1"/>
  <c r="R1763" i="2"/>
  <c r="H1763" i="2" s="1"/>
  <c r="S1763" i="2"/>
  <c r="J1763" i="2" s="1"/>
  <c r="R1764" i="2"/>
  <c r="H1764" i="2" s="1"/>
  <c r="S1764" i="2"/>
  <c r="J1764" i="2" s="1"/>
  <c r="R1765" i="2"/>
  <c r="H1765" i="2" s="1"/>
  <c r="S1765" i="2"/>
  <c r="J1765" i="2" s="1"/>
  <c r="R1766" i="2"/>
  <c r="H1766" i="2" s="1"/>
  <c r="S1766" i="2"/>
  <c r="J1766" i="2" s="1"/>
  <c r="R1767" i="2"/>
  <c r="H1767" i="2" s="1"/>
  <c r="S1767" i="2"/>
  <c r="J1767" i="2" s="1"/>
  <c r="R1768" i="2"/>
  <c r="H1768" i="2" s="1"/>
  <c r="S1768" i="2"/>
  <c r="J1768" i="2" s="1"/>
  <c r="R1769" i="2"/>
  <c r="H1769" i="2" s="1"/>
  <c r="S1769" i="2"/>
  <c r="J1769" i="2" s="1"/>
  <c r="R1770" i="2"/>
  <c r="H1770" i="2" s="1"/>
  <c r="S1770" i="2"/>
  <c r="J1770" i="2" s="1"/>
  <c r="R1771" i="2"/>
  <c r="H1771" i="2" s="1"/>
  <c r="S1771" i="2"/>
  <c r="J1771" i="2" s="1"/>
  <c r="R1772" i="2"/>
  <c r="H1772" i="2" s="1"/>
  <c r="S1772" i="2"/>
  <c r="J1772" i="2" s="1"/>
  <c r="R1773" i="2"/>
  <c r="H1773" i="2" s="1"/>
  <c r="S1773" i="2"/>
  <c r="J1773" i="2" s="1"/>
  <c r="R1774" i="2"/>
  <c r="H1774" i="2" s="1"/>
  <c r="S1774" i="2"/>
  <c r="J1774" i="2" s="1"/>
  <c r="R1775" i="2"/>
  <c r="H1775" i="2" s="1"/>
  <c r="S1775" i="2"/>
  <c r="J1775" i="2" s="1"/>
  <c r="R1776" i="2"/>
  <c r="H1776" i="2" s="1"/>
  <c r="S1776" i="2"/>
  <c r="J1776" i="2" s="1"/>
  <c r="R1777" i="2"/>
  <c r="H1777" i="2" s="1"/>
  <c r="S1777" i="2"/>
  <c r="J1777" i="2" s="1"/>
  <c r="R1778" i="2"/>
  <c r="H1778" i="2" s="1"/>
  <c r="S1778" i="2"/>
  <c r="J1778" i="2" s="1"/>
  <c r="R1779" i="2"/>
  <c r="H1779" i="2" s="1"/>
  <c r="S1779" i="2"/>
  <c r="J1779" i="2" s="1"/>
  <c r="R1780" i="2"/>
  <c r="H1780" i="2" s="1"/>
  <c r="S1780" i="2"/>
  <c r="J1780" i="2" s="1"/>
  <c r="R1781" i="2"/>
  <c r="H1781" i="2" s="1"/>
  <c r="S1781" i="2"/>
  <c r="J1781" i="2" s="1"/>
  <c r="R1782" i="2"/>
  <c r="H1782" i="2" s="1"/>
  <c r="S1782" i="2"/>
  <c r="J1782" i="2" s="1"/>
  <c r="R1783" i="2"/>
  <c r="H1783" i="2" s="1"/>
  <c r="S1783" i="2"/>
  <c r="J1783" i="2" s="1"/>
  <c r="R1784" i="2"/>
  <c r="H1784" i="2" s="1"/>
  <c r="S1784" i="2"/>
  <c r="J1784" i="2" s="1"/>
  <c r="R1785" i="2"/>
  <c r="H1785" i="2" s="1"/>
  <c r="S1785" i="2"/>
  <c r="J1785" i="2" s="1"/>
  <c r="R1786" i="2"/>
  <c r="H1786" i="2" s="1"/>
  <c r="S1786" i="2"/>
  <c r="J1786" i="2" s="1"/>
  <c r="R1787" i="2"/>
  <c r="H1787" i="2" s="1"/>
  <c r="S1787" i="2"/>
  <c r="J1787" i="2" s="1"/>
  <c r="R1788" i="2"/>
  <c r="H1788" i="2" s="1"/>
  <c r="S1788" i="2"/>
  <c r="J1788" i="2" s="1"/>
  <c r="R1789" i="2"/>
  <c r="H1789" i="2" s="1"/>
  <c r="S1789" i="2"/>
  <c r="J1789" i="2" s="1"/>
  <c r="R1790" i="2"/>
  <c r="H1790" i="2" s="1"/>
  <c r="S1790" i="2"/>
  <c r="J1790" i="2" s="1"/>
  <c r="R1791" i="2"/>
  <c r="H1791" i="2" s="1"/>
  <c r="S1791" i="2"/>
  <c r="J1791" i="2" s="1"/>
  <c r="R1792" i="2"/>
  <c r="H1792" i="2" s="1"/>
  <c r="S1792" i="2"/>
  <c r="J1792" i="2" s="1"/>
  <c r="R1793" i="2"/>
  <c r="H1793" i="2" s="1"/>
  <c r="S1793" i="2"/>
  <c r="J1793" i="2" s="1"/>
  <c r="R1794" i="2"/>
  <c r="H1794" i="2" s="1"/>
  <c r="S1794" i="2"/>
  <c r="J1794" i="2" s="1"/>
  <c r="R1795" i="2"/>
  <c r="H1795" i="2" s="1"/>
  <c r="S1795" i="2"/>
  <c r="J1795" i="2" s="1"/>
  <c r="R1796" i="2"/>
  <c r="H1796" i="2" s="1"/>
  <c r="S1796" i="2"/>
  <c r="J1796" i="2" s="1"/>
  <c r="R1797" i="2"/>
  <c r="H1797" i="2" s="1"/>
  <c r="S1797" i="2"/>
  <c r="J1797" i="2" s="1"/>
  <c r="R1798" i="2"/>
  <c r="H1798" i="2" s="1"/>
  <c r="S1798" i="2"/>
  <c r="J1798" i="2" s="1"/>
  <c r="R1799" i="2"/>
  <c r="H1799" i="2" s="1"/>
  <c r="S1799" i="2"/>
  <c r="J1799" i="2" s="1"/>
  <c r="R1800" i="2"/>
  <c r="H1800" i="2" s="1"/>
  <c r="S1800" i="2"/>
  <c r="J1800" i="2" s="1"/>
  <c r="R1801" i="2"/>
  <c r="H1801" i="2" s="1"/>
  <c r="S1801" i="2"/>
  <c r="J1801" i="2" s="1"/>
  <c r="R1802" i="2"/>
  <c r="H1802" i="2" s="1"/>
  <c r="S1802" i="2"/>
  <c r="J1802" i="2" s="1"/>
  <c r="R1803" i="2"/>
  <c r="H1803" i="2" s="1"/>
  <c r="S1803" i="2"/>
  <c r="J1803" i="2" s="1"/>
  <c r="R1804" i="2"/>
  <c r="H1804" i="2" s="1"/>
  <c r="S1804" i="2"/>
  <c r="J1804" i="2" s="1"/>
  <c r="R1805" i="2"/>
  <c r="H1805" i="2" s="1"/>
  <c r="S1805" i="2"/>
  <c r="J1805" i="2" s="1"/>
  <c r="R1806" i="2"/>
  <c r="H1806" i="2" s="1"/>
  <c r="S1806" i="2"/>
  <c r="J1806" i="2" s="1"/>
  <c r="R1807" i="2"/>
  <c r="H1807" i="2" s="1"/>
  <c r="S1807" i="2"/>
  <c r="J1807" i="2" s="1"/>
  <c r="R1808" i="2"/>
  <c r="H1808" i="2" s="1"/>
  <c r="S1808" i="2"/>
  <c r="J1808" i="2" s="1"/>
  <c r="R1809" i="2"/>
  <c r="H1809" i="2" s="1"/>
  <c r="S1809" i="2"/>
  <c r="J1809" i="2" s="1"/>
  <c r="R1810" i="2"/>
  <c r="H1810" i="2" s="1"/>
  <c r="S1810" i="2"/>
  <c r="J1810" i="2" s="1"/>
  <c r="R1811" i="2"/>
  <c r="H1811" i="2" s="1"/>
  <c r="S1811" i="2"/>
  <c r="J1811" i="2" s="1"/>
  <c r="R1812" i="2"/>
  <c r="H1812" i="2" s="1"/>
  <c r="S1812" i="2"/>
  <c r="J1812" i="2" s="1"/>
  <c r="R1813" i="2"/>
  <c r="H1813" i="2" s="1"/>
  <c r="S1813" i="2"/>
  <c r="J1813" i="2" s="1"/>
  <c r="R1814" i="2"/>
  <c r="H1814" i="2" s="1"/>
  <c r="S1814" i="2"/>
  <c r="J1814" i="2" s="1"/>
  <c r="R1815" i="2"/>
  <c r="H1815" i="2" s="1"/>
  <c r="S1815" i="2"/>
  <c r="J1815" i="2" s="1"/>
  <c r="R1816" i="2"/>
  <c r="H1816" i="2" s="1"/>
  <c r="S1816" i="2"/>
  <c r="J1816" i="2" s="1"/>
  <c r="R1817" i="2"/>
  <c r="H1817" i="2" s="1"/>
  <c r="S1817" i="2"/>
  <c r="J1817" i="2" s="1"/>
  <c r="R1818" i="2"/>
  <c r="H1818" i="2" s="1"/>
  <c r="S1818" i="2"/>
  <c r="J1818" i="2" s="1"/>
  <c r="R1819" i="2"/>
  <c r="H1819" i="2" s="1"/>
  <c r="S1819" i="2"/>
  <c r="J1819" i="2" s="1"/>
  <c r="R1820" i="2"/>
  <c r="H1820" i="2" s="1"/>
  <c r="S1820" i="2"/>
  <c r="J1820" i="2" s="1"/>
  <c r="R1821" i="2"/>
  <c r="H1821" i="2" s="1"/>
  <c r="S1821" i="2"/>
  <c r="J1821" i="2" s="1"/>
  <c r="R1822" i="2"/>
  <c r="H1822" i="2" s="1"/>
  <c r="S1822" i="2"/>
  <c r="J1822" i="2" s="1"/>
  <c r="R1823" i="2"/>
  <c r="H1823" i="2" s="1"/>
  <c r="S1823" i="2"/>
  <c r="J1823" i="2" s="1"/>
  <c r="R1824" i="2"/>
  <c r="H1824" i="2" s="1"/>
  <c r="S1824" i="2"/>
  <c r="J1824" i="2" s="1"/>
  <c r="R1825" i="2"/>
  <c r="H1825" i="2" s="1"/>
  <c r="S1825" i="2"/>
  <c r="J1825" i="2" s="1"/>
  <c r="R1826" i="2"/>
  <c r="H1826" i="2" s="1"/>
  <c r="S1826" i="2"/>
  <c r="J1826" i="2" s="1"/>
  <c r="R1827" i="2"/>
  <c r="H1827" i="2" s="1"/>
  <c r="S1827" i="2"/>
  <c r="J1827" i="2" s="1"/>
  <c r="R1828" i="2"/>
  <c r="H1828" i="2" s="1"/>
  <c r="S1828" i="2"/>
  <c r="J1828" i="2" s="1"/>
  <c r="R1829" i="2"/>
  <c r="H1829" i="2" s="1"/>
  <c r="S1829" i="2"/>
  <c r="J1829" i="2" s="1"/>
  <c r="R1830" i="2"/>
  <c r="H1830" i="2" s="1"/>
  <c r="S1830" i="2"/>
  <c r="J1830" i="2" s="1"/>
  <c r="R1831" i="2"/>
  <c r="H1831" i="2" s="1"/>
  <c r="S1831" i="2"/>
  <c r="J1831" i="2" s="1"/>
  <c r="R1832" i="2"/>
  <c r="H1832" i="2" s="1"/>
  <c r="S1832" i="2"/>
  <c r="J1832" i="2" s="1"/>
  <c r="R1833" i="2"/>
  <c r="H1833" i="2" s="1"/>
  <c r="S1833" i="2"/>
  <c r="J1833" i="2" s="1"/>
  <c r="R1834" i="2"/>
  <c r="H1834" i="2" s="1"/>
  <c r="S1834" i="2"/>
  <c r="J1834" i="2" s="1"/>
  <c r="R1835" i="2"/>
  <c r="H1835" i="2" s="1"/>
  <c r="S1835" i="2"/>
  <c r="J1835" i="2" s="1"/>
  <c r="R1836" i="2"/>
  <c r="H1836" i="2" s="1"/>
  <c r="S1836" i="2"/>
  <c r="J1836" i="2" s="1"/>
  <c r="R1837" i="2"/>
  <c r="H1837" i="2" s="1"/>
  <c r="S1837" i="2"/>
  <c r="J1837" i="2" s="1"/>
  <c r="R1838" i="2"/>
  <c r="H1838" i="2" s="1"/>
  <c r="S1838" i="2"/>
  <c r="J1838" i="2" s="1"/>
  <c r="R1839" i="2"/>
  <c r="H1839" i="2" s="1"/>
  <c r="S1839" i="2"/>
  <c r="J1839" i="2" s="1"/>
  <c r="R1840" i="2"/>
  <c r="H1840" i="2" s="1"/>
  <c r="S1840" i="2"/>
  <c r="J1840" i="2" s="1"/>
  <c r="R1841" i="2"/>
  <c r="H1841" i="2" s="1"/>
  <c r="S1841" i="2"/>
  <c r="J1841" i="2" s="1"/>
  <c r="R1842" i="2"/>
  <c r="H1842" i="2" s="1"/>
  <c r="S1842" i="2"/>
  <c r="J1842" i="2" s="1"/>
  <c r="R1843" i="2"/>
  <c r="H1843" i="2" s="1"/>
  <c r="S1843" i="2"/>
  <c r="J1843" i="2" s="1"/>
  <c r="R1844" i="2"/>
  <c r="H1844" i="2" s="1"/>
  <c r="S1844" i="2"/>
  <c r="J1844" i="2" s="1"/>
  <c r="R1845" i="2"/>
  <c r="H1845" i="2" s="1"/>
  <c r="S1845" i="2"/>
  <c r="J1845" i="2" s="1"/>
  <c r="R1846" i="2"/>
  <c r="H1846" i="2" s="1"/>
  <c r="S1846" i="2"/>
  <c r="J1846" i="2" s="1"/>
  <c r="R1847" i="2"/>
  <c r="H1847" i="2" s="1"/>
  <c r="S1847" i="2"/>
  <c r="J1847" i="2" s="1"/>
  <c r="R1848" i="2"/>
  <c r="H1848" i="2" s="1"/>
  <c r="S1848" i="2"/>
  <c r="J1848" i="2" s="1"/>
  <c r="R1849" i="2"/>
  <c r="H1849" i="2" s="1"/>
  <c r="S1849" i="2"/>
  <c r="J1849" i="2" s="1"/>
  <c r="R1850" i="2"/>
  <c r="H1850" i="2" s="1"/>
  <c r="S1850" i="2"/>
  <c r="J1850" i="2" s="1"/>
  <c r="R1851" i="2"/>
  <c r="H1851" i="2" s="1"/>
  <c r="S1851" i="2"/>
  <c r="J1851" i="2" s="1"/>
  <c r="R1852" i="2"/>
  <c r="H1852" i="2" s="1"/>
  <c r="S1852" i="2"/>
  <c r="J1852" i="2" s="1"/>
  <c r="R1853" i="2"/>
  <c r="H1853" i="2" s="1"/>
  <c r="S1853" i="2"/>
  <c r="J1853" i="2" s="1"/>
  <c r="R1854" i="2"/>
  <c r="H1854" i="2" s="1"/>
  <c r="S1854" i="2"/>
  <c r="J1854" i="2" s="1"/>
  <c r="R1855" i="2"/>
  <c r="H1855" i="2" s="1"/>
  <c r="S1855" i="2"/>
  <c r="J1855" i="2" s="1"/>
  <c r="R1856" i="2"/>
  <c r="H1856" i="2" s="1"/>
  <c r="S1856" i="2"/>
  <c r="J1856" i="2" s="1"/>
  <c r="R1857" i="2"/>
  <c r="H1857" i="2" s="1"/>
  <c r="S1857" i="2"/>
  <c r="J1857" i="2" s="1"/>
  <c r="R1858" i="2"/>
  <c r="H1858" i="2" s="1"/>
  <c r="S1858" i="2"/>
  <c r="J1858" i="2" s="1"/>
  <c r="R1859" i="2"/>
  <c r="H1859" i="2" s="1"/>
  <c r="S1859" i="2"/>
  <c r="J1859" i="2" s="1"/>
  <c r="R1860" i="2"/>
  <c r="H1860" i="2" s="1"/>
  <c r="S1860" i="2"/>
  <c r="J1860" i="2" s="1"/>
  <c r="R1861" i="2"/>
  <c r="H1861" i="2" s="1"/>
  <c r="S1861" i="2"/>
  <c r="J1861" i="2" s="1"/>
  <c r="R1862" i="2"/>
  <c r="H1862" i="2" s="1"/>
  <c r="S1862" i="2"/>
  <c r="J1862" i="2" s="1"/>
  <c r="R1863" i="2"/>
  <c r="H1863" i="2" s="1"/>
  <c r="S1863" i="2"/>
  <c r="J1863" i="2" s="1"/>
  <c r="R1864" i="2"/>
  <c r="H1864" i="2" s="1"/>
  <c r="S1864" i="2"/>
  <c r="J1864" i="2" s="1"/>
  <c r="R1865" i="2"/>
  <c r="H1865" i="2" s="1"/>
  <c r="S1865" i="2"/>
  <c r="J1865" i="2" s="1"/>
  <c r="R1866" i="2"/>
  <c r="H1866" i="2" s="1"/>
  <c r="S1866" i="2"/>
  <c r="J1866" i="2" s="1"/>
  <c r="R1867" i="2"/>
  <c r="H1867" i="2" s="1"/>
  <c r="S1867" i="2"/>
  <c r="J1867" i="2" s="1"/>
  <c r="R1868" i="2"/>
  <c r="H1868" i="2" s="1"/>
  <c r="S1868" i="2"/>
  <c r="J1868" i="2" s="1"/>
  <c r="R1869" i="2"/>
  <c r="H1869" i="2" s="1"/>
  <c r="S1869" i="2"/>
  <c r="J1869" i="2" s="1"/>
  <c r="R1870" i="2"/>
  <c r="H1870" i="2" s="1"/>
  <c r="S1870" i="2"/>
  <c r="J1870" i="2" s="1"/>
  <c r="R1871" i="2"/>
  <c r="H1871" i="2" s="1"/>
  <c r="S1871" i="2"/>
  <c r="J1871" i="2" s="1"/>
  <c r="R1872" i="2"/>
  <c r="H1872" i="2" s="1"/>
  <c r="S1872" i="2"/>
  <c r="J1872" i="2" s="1"/>
  <c r="R1873" i="2"/>
  <c r="H1873" i="2" s="1"/>
  <c r="S1873" i="2"/>
  <c r="J1873" i="2" s="1"/>
  <c r="R1874" i="2"/>
  <c r="H1874" i="2" s="1"/>
  <c r="S1874" i="2"/>
  <c r="J1874" i="2" s="1"/>
  <c r="R1875" i="2"/>
  <c r="H1875" i="2" s="1"/>
  <c r="S1875" i="2"/>
  <c r="J1875" i="2" s="1"/>
  <c r="R1876" i="2"/>
  <c r="H1876" i="2" s="1"/>
  <c r="S1876" i="2"/>
  <c r="J1876" i="2" s="1"/>
  <c r="R1877" i="2"/>
  <c r="H1877" i="2" s="1"/>
  <c r="S1877" i="2"/>
  <c r="J1877" i="2" s="1"/>
  <c r="R1878" i="2"/>
  <c r="H1878" i="2" s="1"/>
  <c r="S1878" i="2"/>
  <c r="J1878" i="2" s="1"/>
  <c r="R1879" i="2"/>
  <c r="H1879" i="2" s="1"/>
  <c r="S1879" i="2"/>
  <c r="J1879" i="2" s="1"/>
  <c r="R1880" i="2"/>
  <c r="H1880" i="2" s="1"/>
  <c r="S1880" i="2"/>
  <c r="J1880" i="2" s="1"/>
  <c r="R1881" i="2"/>
  <c r="H1881" i="2" s="1"/>
  <c r="S1881" i="2"/>
  <c r="J1881" i="2" s="1"/>
  <c r="R1882" i="2"/>
  <c r="H1882" i="2" s="1"/>
  <c r="S1882" i="2"/>
  <c r="J1882" i="2" s="1"/>
  <c r="R1883" i="2"/>
  <c r="H1883" i="2" s="1"/>
  <c r="S1883" i="2"/>
  <c r="J1883" i="2" s="1"/>
  <c r="R1884" i="2"/>
  <c r="H1884" i="2" s="1"/>
  <c r="S1884" i="2"/>
  <c r="J1884" i="2" s="1"/>
  <c r="R1885" i="2"/>
  <c r="H1885" i="2" s="1"/>
  <c r="S1885" i="2"/>
  <c r="J1885" i="2" s="1"/>
  <c r="R1886" i="2"/>
  <c r="H1886" i="2" s="1"/>
  <c r="S1886" i="2"/>
  <c r="J1886" i="2" s="1"/>
  <c r="R1887" i="2"/>
  <c r="H1887" i="2" s="1"/>
  <c r="S1887" i="2"/>
  <c r="J1887" i="2" s="1"/>
  <c r="R1888" i="2"/>
  <c r="H1888" i="2" s="1"/>
  <c r="S1888" i="2"/>
  <c r="J1888" i="2" s="1"/>
  <c r="R1889" i="2"/>
  <c r="H1889" i="2" s="1"/>
  <c r="S1889" i="2"/>
  <c r="J1889" i="2" s="1"/>
  <c r="R1890" i="2"/>
  <c r="H1890" i="2" s="1"/>
  <c r="S1890" i="2"/>
  <c r="J1890" i="2" s="1"/>
  <c r="R1891" i="2"/>
  <c r="H1891" i="2" s="1"/>
  <c r="S1891" i="2"/>
  <c r="J1891" i="2" s="1"/>
  <c r="R1892" i="2"/>
  <c r="H1892" i="2" s="1"/>
  <c r="S1892" i="2"/>
  <c r="J1892" i="2" s="1"/>
  <c r="R1893" i="2"/>
  <c r="H1893" i="2" s="1"/>
  <c r="S1893" i="2"/>
  <c r="J1893" i="2" s="1"/>
  <c r="R1894" i="2"/>
  <c r="H1894" i="2" s="1"/>
  <c r="S1894" i="2"/>
  <c r="J1894" i="2" s="1"/>
  <c r="R1895" i="2"/>
  <c r="H1895" i="2" s="1"/>
  <c r="S1895" i="2"/>
  <c r="J1895" i="2" s="1"/>
  <c r="R1896" i="2"/>
  <c r="H1896" i="2" s="1"/>
  <c r="S1896" i="2"/>
  <c r="J1896" i="2" s="1"/>
  <c r="R1897" i="2"/>
  <c r="H1897" i="2" s="1"/>
  <c r="S1897" i="2"/>
  <c r="J1897" i="2" s="1"/>
  <c r="R1898" i="2"/>
  <c r="H1898" i="2" s="1"/>
  <c r="S1898" i="2"/>
  <c r="J1898" i="2" s="1"/>
  <c r="R1899" i="2"/>
  <c r="H1899" i="2" s="1"/>
  <c r="S1899" i="2"/>
  <c r="J1899" i="2" s="1"/>
  <c r="R1900" i="2"/>
  <c r="H1900" i="2" s="1"/>
  <c r="S1900" i="2"/>
  <c r="J1900" i="2" s="1"/>
  <c r="R1901" i="2"/>
  <c r="H1901" i="2" s="1"/>
  <c r="S1901" i="2"/>
  <c r="J1901" i="2" s="1"/>
  <c r="R1902" i="2"/>
  <c r="H1902" i="2" s="1"/>
  <c r="S1902" i="2"/>
  <c r="J1902" i="2" s="1"/>
  <c r="R1903" i="2"/>
  <c r="H1903" i="2" s="1"/>
  <c r="S1903" i="2"/>
  <c r="J1903" i="2" s="1"/>
  <c r="R1904" i="2"/>
  <c r="H1904" i="2" s="1"/>
  <c r="S1904" i="2"/>
  <c r="J1904" i="2" s="1"/>
  <c r="R1905" i="2"/>
  <c r="H1905" i="2" s="1"/>
  <c r="S1905" i="2"/>
  <c r="J1905" i="2" s="1"/>
  <c r="R1906" i="2"/>
  <c r="H1906" i="2" s="1"/>
  <c r="S1906" i="2"/>
  <c r="J1906" i="2" s="1"/>
  <c r="R1907" i="2"/>
  <c r="H1907" i="2" s="1"/>
  <c r="S1907" i="2"/>
  <c r="J1907" i="2" s="1"/>
  <c r="R1908" i="2"/>
  <c r="H1908" i="2" s="1"/>
  <c r="S1908" i="2"/>
  <c r="J1908" i="2" s="1"/>
  <c r="R1909" i="2"/>
  <c r="H1909" i="2" s="1"/>
  <c r="S1909" i="2"/>
  <c r="J1909" i="2" s="1"/>
  <c r="R1910" i="2"/>
  <c r="H1910" i="2" s="1"/>
  <c r="S1910" i="2"/>
  <c r="J1910" i="2" s="1"/>
  <c r="R1911" i="2"/>
  <c r="H1911" i="2" s="1"/>
  <c r="S1911" i="2"/>
  <c r="J1911" i="2" s="1"/>
  <c r="R1912" i="2"/>
  <c r="H1912" i="2" s="1"/>
  <c r="S1912" i="2"/>
  <c r="J1912" i="2" s="1"/>
  <c r="R1913" i="2"/>
  <c r="H1913" i="2" s="1"/>
  <c r="S1913" i="2"/>
  <c r="J1913" i="2" s="1"/>
  <c r="R1914" i="2"/>
  <c r="H1914" i="2" s="1"/>
  <c r="S1914" i="2"/>
  <c r="J1914" i="2" s="1"/>
  <c r="R1915" i="2"/>
  <c r="H1915" i="2" s="1"/>
  <c r="S1915" i="2"/>
  <c r="J1915" i="2" s="1"/>
  <c r="R1916" i="2"/>
  <c r="H1916" i="2" s="1"/>
  <c r="S1916" i="2"/>
  <c r="J1916" i="2" s="1"/>
  <c r="R1917" i="2"/>
  <c r="H1917" i="2" s="1"/>
  <c r="S1917" i="2"/>
  <c r="J1917" i="2" s="1"/>
  <c r="R1918" i="2"/>
  <c r="H1918" i="2" s="1"/>
  <c r="S1918" i="2"/>
  <c r="J1918" i="2" s="1"/>
  <c r="R1919" i="2"/>
  <c r="H1919" i="2" s="1"/>
  <c r="S1919" i="2"/>
  <c r="J1919" i="2" s="1"/>
  <c r="R1920" i="2"/>
  <c r="H1920" i="2" s="1"/>
  <c r="S1920" i="2"/>
  <c r="J1920" i="2" s="1"/>
  <c r="R1921" i="2"/>
  <c r="H1921" i="2" s="1"/>
  <c r="S1921" i="2"/>
  <c r="J1921" i="2" s="1"/>
  <c r="R1922" i="2"/>
  <c r="H1922" i="2" s="1"/>
  <c r="S1922" i="2"/>
  <c r="J1922" i="2" s="1"/>
  <c r="R1923" i="2"/>
  <c r="H1923" i="2" s="1"/>
  <c r="S1923" i="2"/>
  <c r="J1923" i="2" s="1"/>
  <c r="R1924" i="2"/>
  <c r="H1924" i="2" s="1"/>
  <c r="S1924" i="2"/>
  <c r="J1924" i="2" s="1"/>
  <c r="R1925" i="2"/>
  <c r="H1925" i="2" s="1"/>
  <c r="S1925" i="2"/>
  <c r="J1925" i="2" s="1"/>
  <c r="R1926" i="2"/>
  <c r="H1926" i="2" s="1"/>
  <c r="S1926" i="2"/>
  <c r="J1926" i="2" s="1"/>
  <c r="R1927" i="2"/>
  <c r="H1927" i="2" s="1"/>
  <c r="S1927" i="2"/>
  <c r="J1927" i="2" s="1"/>
  <c r="R1928" i="2"/>
  <c r="H1928" i="2" s="1"/>
  <c r="S1928" i="2"/>
  <c r="J1928" i="2" s="1"/>
  <c r="R1929" i="2"/>
  <c r="H1929" i="2" s="1"/>
  <c r="S1929" i="2"/>
  <c r="J1929" i="2" s="1"/>
  <c r="R1930" i="2"/>
  <c r="H1930" i="2" s="1"/>
  <c r="S1930" i="2"/>
  <c r="J1930" i="2" s="1"/>
  <c r="R1931" i="2"/>
  <c r="H1931" i="2" s="1"/>
  <c r="S1931" i="2"/>
  <c r="J1931" i="2" s="1"/>
  <c r="R1932" i="2"/>
  <c r="H1932" i="2" s="1"/>
  <c r="S1932" i="2"/>
  <c r="J1932" i="2" s="1"/>
  <c r="R1933" i="2"/>
  <c r="H1933" i="2" s="1"/>
  <c r="S1933" i="2"/>
  <c r="J1933" i="2" s="1"/>
  <c r="R1934" i="2"/>
  <c r="H1934" i="2" s="1"/>
  <c r="S1934" i="2"/>
  <c r="J1934" i="2" s="1"/>
  <c r="R1935" i="2"/>
  <c r="H1935" i="2" s="1"/>
  <c r="S1935" i="2"/>
  <c r="J1935" i="2" s="1"/>
  <c r="R1936" i="2"/>
  <c r="H1936" i="2" s="1"/>
  <c r="S1936" i="2"/>
  <c r="J1936" i="2" s="1"/>
  <c r="R1937" i="2"/>
  <c r="H1937" i="2" s="1"/>
  <c r="S1937" i="2"/>
  <c r="J1937" i="2" s="1"/>
  <c r="R1938" i="2"/>
  <c r="H1938" i="2" s="1"/>
  <c r="S1938" i="2"/>
  <c r="J1938" i="2" s="1"/>
  <c r="R1939" i="2"/>
  <c r="H1939" i="2" s="1"/>
  <c r="S1939" i="2"/>
  <c r="J1939" i="2" s="1"/>
  <c r="R1940" i="2"/>
  <c r="H1940" i="2" s="1"/>
  <c r="S1940" i="2"/>
  <c r="J1940" i="2" s="1"/>
  <c r="R1941" i="2"/>
  <c r="H1941" i="2" s="1"/>
  <c r="S1941" i="2"/>
  <c r="J1941" i="2" s="1"/>
  <c r="R1942" i="2"/>
  <c r="H1942" i="2" s="1"/>
  <c r="S1942" i="2"/>
  <c r="J1942" i="2" s="1"/>
  <c r="R1943" i="2"/>
  <c r="H1943" i="2" s="1"/>
  <c r="S1943" i="2"/>
  <c r="J1943" i="2" s="1"/>
  <c r="R1944" i="2"/>
  <c r="H1944" i="2" s="1"/>
  <c r="S1944" i="2"/>
  <c r="J1944" i="2" s="1"/>
  <c r="R1945" i="2"/>
  <c r="H1945" i="2" s="1"/>
  <c r="S1945" i="2"/>
  <c r="J1945" i="2" s="1"/>
  <c r="R1946" i="2"/>
  <c r="H1946" i="2" s="1"/>
  <c r="S1946" i="2"/>
  <c r="J1946" i="2" s="1"/>
  <c r="R1947" i="2"/>
  <c r="H1947" i="2" s="1"/>
  <c r="S1947" i="2"/>
  <c r="J1947" i="2" s="1"/>
  <c r="R1948" i="2"/>
  <c r="H1948" i="2" s="1"/>
  <c r="S1948" i="2"/>
  <c r="J1948" i="2" s="1"/>
  <c r="R1949" i="2"/>
  <c r="H1949" i="2" s="1"/>
  <c r="S1949" i="2"/>
  <c r="J1949" i="2" s="1"/>
  <c r="R1950" i="2"/>
  <c r="H1950" i="2" s="1"/>
  <c r="S1950" i="2"/>
  <c r="J1950" i="2" s="1"/>
  <c r="R1951" i="2"/>
  <c r="H1951" i="2" s="1"/>
  <c r="S1951" i="2"/>
  <c r="J1951" i="2" s="1"/>
  <c r="R1952" i="2"/>
  <c r="H1952" i="2" s="1"/>
  <c r="S1952" i="2"/>
  <c r="J1952" i="2" s="1"/>
  <c r="R1953" i="2"/>
  <c r="H1953" i="2" s="1"/>
  <c r="S1953" i="2"/>
  <c r="J1953" i="2" s="1"/>
  <c r="R1954" i="2"/>
  <c r="H1954" i="2" s="1"/>
  <c r="S1954" i="2"/>
  <c r="J1954" i="2" s="1"/>
  <c r="R1955" i="2"/>
  <c r="H1955" i="2" s="1"/>
  <c r="S1955" i="2"/>
  <c r="J1955" i="2" s="1"/>
  <c r="R1956" i="2"/>
  <c r="H1956" i="2" s="1"/>
  <c r="S1956" i="2"/>
  <c r="J1956" i="2" s="1"/>
  <c r="R1957" i="2"/>
  <c r="H1957" i="2" s="1"/>
  <c r="S1957" i="2"/>
  <c r="J1957" i="2" s="1"/>
  <c r="R1958" i="2"/>
  <c r="H1958" i="2" s="1"/>
  <c r="S1958" i="2"/>
  <c r="J1958" i="2" s="1"/>
  <c r="R1959" i="2"/>
  <c r="H1959" i="2" s="1"/>
  <c r="S1959" i="2"/>
  <c r="J1959" i="2" s="1"/>
  <c r="R1960" i="2"/>
  <c r="H1960" i="2" s="1"/>
  <c r="S1960" i="2"/>
  <c r="J1960" i="2" s="1"/>
  <c r="R1961" i="2"/>
  <c r="H1961" i="2" s="1"/>
  <c r="S1961" i="2"/>
  <c r="J1961" i="2" s="1"/>
  <c r="R1962" i="2"/>
  <c r="H1962" i="2" s="1"/>
  <c r="S1962" i="2"/>
  <c r="J1962" i="2" s="1"/>
  <c r="R1963" i="2"/>
  <c r="H1963" i="2" s="1"/>
  <c r="S1963" i="2"/>
  <c r="J1963" i="2" s="1"/>
  <c r="R1964" i="2"/>
  <c r="H1964" i="2" s="1"/>
  <c r="S1964" i="2"/>
  <c r="J1964" i="2" s="1"/>
  <c r="R1965" i="2"/>
  <c r="H1965" i="2" s="1"/>
  <c r="S1965" i="2"/>
  <c r="J1965" i="2" s="1"/>
  <c r="R1966" i="2"/>
  <c r="H1966" i="2" s="1"/>
  <c r="S1966" i="2"/>
  <c r="J1966" i="2" s="1"/>
  <c r="R1967" i="2"/>
  <c r="H1967" i="2" s="1"/>
  <c r="S1967" i="2"/>
  <c r="J1967" i="2" s="1"/>
  <c r="R1968" i="2"/>
  <c r="H1968" i="2" s="1"/>
  <c r="S1968" i="2"/>
  <c r="J1968" i="2" s="1"/>
  <c r="R1969" i="2"/>
  <c r="H1969" i="2" s="1"/>
  <c r="S1969" i="2"/>
  <c r="J1969" i="2" s="1"/>
  <c r="R1970" i="2"/>
  <c r="H1970" i="2" s="1"/>
  <c r="S1970" i="2"/>
  <c r="J1970" i="2" s="1"/>
  <c r="R1971" i="2"/>
  <c r="H1971" i="2" s="1"/>
  <c r="S1971" i="2"/>
  <c r="J1971" i="2" s="1"/>
  <c r="R1972" i="2"/>
  <c r="H1972" i="2" s="1"/>
  <c r="S1972" i="2"/>
  <c r="J1972" i="2" s="1"/>
  <c r="R1973" i="2"/>
  <c r="H1973" i="2" s="1"/>
  <c r="S1973" i="2"/>
  <c r="J1973" i="2" s="1"/>
  <c r="R1974" i="2"/>
  <c r="H1974" i="2" s="1"/>
  <c r="S1974" i="2"/>
  <c r="J1974" i="2" s="1"/>
  <c r="R1975" i="2"/>
  <c r="H1975" i="2" s="1"/>
  <c r="S1975" i="2"/>
  <c r="J1975" i="2" s="1"/>
  <c r="R1976" i="2"/>
  <c r="H1976" i="2" s="1"/>
  <c r="S1976" i="2"/>
  <c r="J1976" i="2" s="1"/>
  <c r="R1977" i="2"/>
  <c r="H1977" i="2" s="1"/>
  <c r="S1977" i="2"/>
  <c r="J1977" i="2" s="1"/>
  <c r="R1978" i="2"/>
  <c r="H1978" i="2" s="1"/>
  <c r="S1978" i="2"/>
  <c r="J1978" i="2" s="1"/>
  <c r="R1979" i="2"/>
  <c r="H1979" i="2" s="1"/>
  <c r="S1979" i="2"/>
  <c r="J1979" i="2" s="1"/>
  <c r="R1980" i="2"/>
  <c r="H1980" i="2" s="1"/>
  <c r="S1980" i="2"/>
  <c r="J1980" i="2" s="1"/>
  <c r="R1981" i="2"/>
  <c r="H1981" i="2" s="1"/>
  <c r="S1981" i="2"/>
  <c r="J1981" i="2" s="1"/>
  <c r="R1982" i="2"/>
  <c r="H1982" i="2" s="1"/>
  <c r="S1982" i="2"/>
  <c r="J1982" i="2" s="1"/>
  <c r="R1983" i="2"/>
  <c r="H1983" i="2" s="1"/>
  <c r="S1983" i="2"/>
  <c r="J1983" i="2" s="1"/>
  <c r="R1984" i="2"/>
  <c r="H1984" i="2" s="1"/>
  <c r="S1984" i="2"/>
  <c r="J1984" i="2" s="1"/>
  <c r="R1985" i="2"/>
  <c r="H1985" i="2" s="1"/>
  <c r="S1985" i="2"/>
  <c r="J1985" i="2" s="1"/>
  <c r="R1986" i="2"/>
  <c r="H1986" i="2" s="1"/>
  <c r="S1986" i="2"/>
  <c r="J1986" i="2" s="1"/>
  <c r="R1987" i="2"/>
  <c r="H1987" i="2" s="1"/>
  <c r="S1987" i="2"/>
  <c r="J1987" i="2" s="1"/>
  <c r="R1988" i="2"/>
  <c r="H1988" i="2" s="1"/>
  <c r="S1988" i="2"/>
  <c r="J1988" i="2" s="1"/>
  <c r="R1989" i="2"/>
  <c r="H1989" i="2" s="1"/>
  <c r="S1989" i="2"/>
  <c r="J1989" i="2" s="1"/>
  <c r="R1990" i="2"/>
  <c r="H1990" i="2" s="1"/>
  <c r="S1990" i="2"/>
  <c r="J1990" i="2" s="1"/>
  <c r="R1991" i="2"/>
  <c r="H1991" i="2" s="1"/>
  <c r="S1991" i="2"/>
  <c r="J1991" i="2" s="1"/>
  <c r="R1992" i="2"/>
  <c r="H1992" i="2" s="1"/>
  <c r="S1992" i="2"/>
  <c r="J1992" i="2" s="1"/>
  <c r="R1993" i="2"/>
  <c r="H1993" i="2" s="1"/>
  <c r="S1993" i="2"/>
  <c r="J1993" i="2" s="1"/>
  <c r="R1994" i="2"/>
  <c r="H1994" i="2" s="1"/>
  <c r="S1994" i="2"/>
  <c r="J1994" i="2" s="1"/>
  <c r="R1995" i="2"/>
  <c r="H1995" i="2" s="1"/>
  <c r="S1995" i="2"/>
  <c r="J1995" i="2" s="1"/>
  <c r="R1996" i="2"/>
  <c r="H1996" i="2" s="1"/>
  <c r="S1996" i="2"/>
  <c r="J1996" i="2" s="1"/>
  <c r="R1997" i="2"/>
  <c r="H1997" i="2" s="1"/>
  <c r="S1997" i="2"/>
  <c r="J1997" i="2" s="1"/>
  <c r="R1998" i="2"/>
  <c r="H1998" i="2" s="1"/>
  <c r="S1998" i="2"/>
  <c r="J1998" i="2" s="1"/>
  <c r="R1999" i="2"/>
  <c r="H1999" i="2" s="1"/>
  <c r="S1999" i="2"/>
  <c r="J1999" i="2" s="1"/>
  <c r="R2000" i="2"/>
  <c r="H2000" i="2" s="1"/>
  <c r="S2000" i="2"/>
  <c r="J2000" i="2" s="1"/>
  <c r="R2001" i="2"/>
  <c r="H2001" i="2" s="1"/>
  <c r="S2001" i="2"/>
  <c r="J2001" i="2" s="1"/>
  <c r="R2002" i="2"/>
  <c r="H2002" i="2" s="1"/>
  <c r="S2002" i="2"/>
  <c r="J2002" i="2" s="1"/>
  <c r="R2003" i="2"/>
  <c r="H2003" i="2" s="1"/>
  <c r="S2003" i="2"/>
  <c r="J2003" i="2" s="1"/>
  <c r="R2004" i="2"/>
  <c r="H2004" i="2" s="1"/>
  <c r="S2004" i="2"/>
  <c r="J2004" i="2" s="1"/>
  <c r="R2005" i="2"/>
  <c r="H2005" i="2" s="1"/>
  <c r="S2005" i="2"/>
  <c r="J2005" i="2" s="1"/>
  <c r="R2006" i="2"/>
  <c r="H2006" i="2" s="1"/>
  <c r="S2006" i="2"/>
  <c r="J2006" i="2" s="1"/>
  <c r="R2007" i="2"/>
  <c r="H2007" i="2" s="1"/>
  <c r="S2007" i="2"/>
  <c r="J2007" i="2" s="1"/>
  <c r="R2008" i="2"/>
  <c r="H2008" i="2" s="1"/>
  <c r="S2008" i="2"/>
  <c r="J2008" i="2" s="1"/>
  <c r="R2009" i="2"/>
  <c r="H2009" i="2" s="1"/>
  <c r="S2009" i="2"/>
  <c r="J2009" i="2" s="1"/>
  <c r="R2010" i="2"/>
  <c r="H2010" i="2" s="1"/>
  <c r="S2010" i="2"/>
  <c r="J2010" i="2" s="1"/>
  <c r="R2011" i="2"/>
  <c r="H2011" i="2" s="1"/>
  <c r="S2011" i="2"/>
  <c r="J2011" i="2" s="1"/>
  <c r="R2012" i="2"/>
  <c r="H2012" i="2" s="1"/>
  <c r="S2012" i="2"/>
  <c r="J2012" i="2" s="1"/>
  <c r="R2013" i="2"/>
  <c r="H2013" i="2" s="1"/>
  <c r="S2013" i="2"/>
  <c r="J2013" i="2" s="1"/>
  <c r="R2014" i="2"/>
  <c r="H2014" i="2" s="1"/>
  <c r="S2014" i="2"/>
  <c r="J2014" i="2" s="1"/>
  <c r="R2015" i="2"/>
  <c r="H2015" i="2" s="1"/>
  <c r="S2015" i="2"/>
  <c r="J2015" i="2" s="1"/>
  <c r="R2016" i="2"/>
  <c r="H2016" i="2" s="1"/>
  <c r="S2016" i="2"/>
  <c r="J2016" i="2" s="1"/>
  <c r="R2017" i="2"/>
  <c r="H2017" i="2" s="1"/>
  <c r="S2017" i="2"/>
  <c r="J2017" i="2" s="1"/>
  <c r="R2018" i="2"/>
  <c r="H2018" i="2" s="1"/>
  <c r="S2018" i="2"/>
  <c r="J2018" i="2" s="1"/>
  <c r="R2019" i="2"/>
  <c r="H2019" i="2" s="1"/>
  <c r="S2019" i="2"/>
  <c r="J2019" i="2" s="1"/>
  <c r="R2020" i="2"/>
  <c r="H2020" i="2" s="1"/>
  <c r="S2020" i="2"/>
  <c r="J2020" i="2" s="1"/>
  <c r="R2021" i="2"/>
  <c r="H2021" i="2" s="1"/>
  <c r="S2021" i="2"/>
  <c r="J2021" i="2" s="1"/>
  <c r="R2022" i="2"/>
  <c r="H2022" i="2" s="1"/>
  <c r="S2022" i="2"/>
  <c r="J2022" i="2" s="1"/>
  <c r="R2023" i="2"/>
  <c r="H2023" i="2" s="1"/>
  <c r="S2023" i="2"/>
  <c r="J2023" i="2" s="1"/>
  <c r="R2024" i="2"/>
  <c r="H2024" i="2" s="1"/>
  <c r="S2024" i="2"/>
  <c r="J2024" i="2" s="1"/>
  <c r="R2025" i="2"/>
  <c r="H2025" i="2" s="1"/>
  <c r="S2025" i="2"/>
  <c r="J2025" i="2" s="1"/>
  <c r="R2026" i="2"/>
  <c r="H2026" i="2" s="1"/>
  <c r="S2026" i="2"/>
  <c r="J2026" i="2" s="1"/>
  <c r="R2027" i="2"/>
  <c r="H2027" i="2" s="1"/>
  <c r="S2027" i="2"/>
  <c r="J2027" i="2" s="1"/>
  <c r="R2028" i="2"/>
  <c r="H2028" i="2" s="1"/>
  <c r="S2028" i="2"/>
  <c r="J2028" i="2" s="1"/>
  <c r="R2029" i="2"/>
  <c r="H2029" i="2" s="1"/>
  <c r="S2029" i="2"/>
  <c r="J2029" i="2" s="1"/>
  <c r="R2030" i="2"/>
  <c r="H2030" i="2" s="1"/>
  <c r="S2030" i="2"/>
  <c r="J2030" i="2" s="1"/>
  <c r="R2031" i="2"/>
  <c r="H2031" i="2" s="1"/>
  <c r="S2031" i="2"/>
  <c r="J2031" i="2" s="1"/>
  <c r="R2032" i="2"/>
  <c r="H2032" i="2" s="1"/>
  <c r="S2032" i="2"/>
  <c r="J2032" i="2" s="1"/>
  <c r="R2033" i="2"/>
  <c r="H2033" i="2" s="1"/>
  <c r="S2033" i="2"/>
  <c r="J2033" i="2" s="1"/>
  <c r="R2034" i="2"/>
  <c r="H2034" i="2" s="1"/>
  <c r="S2034" i="2"/>
  <c r="J2034" i="2" s="1"/>
  <c r="R2035" i="2"/>
  <c r="H2035" i="2" s="1"/>
  <c r="S2035" i="2"/>
  <c r="J2035" i="2" s="1"/>
  <c r="R2036" i="2"/>
  <c r="H2036" i="2" s="1"/>
  <c r="S2036" i="2"/>
  <c r="J2036" i="2" s="1"/>
  <c r="R2037" i="2"/>
  <c r="H2037" i="2" s="1"/>
  <c r="S2037" i="2"/>
  <c r="J2037" i="2" s="1"/>
  <c r="R2038" i="2"/>
  <c r="H2038" i="2" s="1"/>
  <c r="S2038" i="2"/>
  <c r="J2038" i="2" s="1"/>
  <c r="R2039" i="2"/>
  <c r="H2039" i="2" s="1"/>
  <c r="S2039" i="2"/>
  <c r="J2039" i="2" s="1"/>
  <c r="R2040" i="2"/>
  <c r="H2040" i="2" s="1"/>
  <c r="S2040" i="2"/>
  <c r="J2040" i="2" s="1"/>
  <c r="R2041" i="2"/>
  <c r="H2041" i="2" s="1"/>
  <c r="S2041" i="2"/>
  <c r="J2041" i="2" s="1"/>
  <c r="R2042" i="2"/>
  <c r="H2042" i="2" s="1"/>
  <c r="S2042" i="2"/>
  <c r="J2042" i="2" s="1"/>
  <c r="R2043" i="2"/>
  <c r="H2043" i="2" s="1"/>
  <c r="S2043" i="2"/>
  <c r="J2043" i="2" s="1"/>
  <c r="R2044" i="2"/>
  <c r="H2044" i="2" s="1"/>
  <c r="S2044" i="2"/>
  <c r="J2044" i="2" s="1"/>
  <c r="R2045" i="2"/>
  <c r="H2045" i="2" s="1"/>
  <c r="S2045" i="2"/>
  <c r="J2045" i="2" s="1"/>
  <c r="R2046" i="2"/>
  <c r="H2046" i="2" s="1"/>
  <c r="S2046" i="2"/>
  <c r="J2046" i="2" s="1"/>
  <c r="R2047" i="2"/>
  <c r="H2047" i="2" s="1"/>
  <c r="S2047" i="2"/>
  <c r="J2047" i="2" s="1"/>
  <c r="R2048" i="2"/>
  <c r="H2048" i="2" s="1"/>
  <c r="S2048" i="2"/>
  <c r="J2048" i="2" s="1"/>
  <c r="R2049" i="2"/>
  <c r="H2049" i="2" s="1"/>
  <c r="S2049" i="2"/>
  <c r="J2049" i="2" s="1"/>
  <c r="R2050" i="2"/>
  <c r="H2050" i="2" s="1"/>
  <c r="S2050" i="2"/>
  <c r="J2050" i="2" s="1"/>
  <c r="R2051" i="2"/>
  <c r="H2051" i="2" s="1"/>
  <c r="S2051" i="2"/>
  <c r="J2051" i="2" s="1"/>
  <c r="R2052" i="2"/>
  <c r="H2052" i="2" s="1"/>
  <c r="S2052" i="2"/>
  <c r="J2052" i="2" s="1"/>
  <c r="R2053" i="2"/>
  <c r="H2053" i="2" s="1"/>
  <c r="S2053" i="2"/>
  <c r="J2053" i="2" s="1"/>
  <c r="R2054" i="2"/>
  <c r="H2054" i="2" s="1"/>
  <c r="S2054" i="2"/>
  <c r="J2054" i="2" s="1"/>
  <c r="R2055" i="2"/>
  <c r="H2055" i="2" s="1"/>
  <c r="S2055" i="2"/>
  <c r="J2055" i="2" s="1"/>
  <c r="R2056" i="2"/>
  <c r="H2056" i="2" s="1"/>
  <c r="S2056" i="2"/>
  <c r="J2056" i="2" s="1"/>
  <c r="R2057" i="2"/>
  <c r="H2057" i="2" s="1"/>
  <c r="S2057" i="2"/>
  <c r="J2057" i="2" s="1"/>
  <c r="R2058" i="2"/>
  <c r="H2058" i="2" s="1"/>
  <c r="S2058" i="2"/>
  <c r="J2058" i="2" s="1"/>
  <c r="R2059" i="2"/>
  <c r="H2059" i="2" s="1"/>
  <c r="S2059" i="2"/>
  <c r="J2059" i="2" s="1"/>
  <c r="R2060" i="2"/>
  <c r="H2060" i="2" s="1"/>
  <c r="S2060" i="2"/>
  <c r="J2060" i="2" s="1"/>
  <c r="R2061" i="2"/>
  <c r="H2061" i="2" s="1"/>
  <c r="S2061" i="2"/>
  <c r="J2061" i="2" s="1"/>
  <c r="R2062" i="2"/>
  <c r="H2062" i="2" s="1"/>
  <c r="S2062" i="2"/>
  <c r="J2062" i="2" s="1"/>
  <c r="R2063" i="2"/>
  <c r="H2063" i="2" s="1"/>
  <c r="S2063" i="2"/>
  <c r="J2063" i="2" s="1"/>
  <c r="R2064" i="2"/>
  <c r="H2064" i="2" s="1"/>
  <c r="S2064" i="2"/>
  <c r="J2064" i="2" s="1"/>
  <c r="R2065" i="2"/>
  <c r="H2065" i="2" s="1"/>
  <c r="S2065" i="2"/>
  <c r="J2065" i="2" s="1"/>
  <c r="R2066" i="2"/>
  <c r="H2066" i="2" s="1"/>
  <c r="S2066" i="2"/>
  <c r="J2066" i="2" s="1"/>
  <c r="R2067" i="2"/>
  <c r="H2067" i="2" s="1"/>
  <c r="S2067" i="2"/>
  <c r="J2067" i="2" s="1"/>
  <c r="R2068" i="2"/>
  <c r="H2068" i="2" s="1"/>
  <c r="S2068" i="2"/>
  <c r="J2068" i="2" s="1"/>
  <c r="R2069" i="2"/>
  <c r="H2069" i="2" s="1"/>
  <c r="S2069" i="2"/>
  <c r="J2069" i="2" s="1"/>
  <c r="R2070" i="2"/>
  <c r="H2070" i="2" s="1"/>
  <c r="S2070" i="2"/>
  <c r="J2070" i="2" s="1"/>
  <c r="R2071" i="2"/>
  <c r="H2071" i="2" s="1"/>
  <c r="S2071" i="2"/>
  <c r="J2071" i="2" s="1"/>
  <c r="R2072" i="2"/>
  <c r="H2072" i="2" s="1"/>
  <c r="S2072" i="2"/>
  <c r="J2072" i="2" s="1"/>
  <c r="R2073" i="2"/>
  <c r="H2073" i="2" s="1"/>
  <c r="S2073" i="2"/>
  <c r="J2073" i="2" s="1"/>
  <c r="R2074" i="2"/>
  <c r="H2074" i="2" s="1"/>
  <c r="S2074" i="2"/>
  <c r="J2074" i="2" s="1"/>
  <c r="R2075" i="2"/>
  <c r="H2075" i="2" s="1"/>
  <c r="S2075" i="2"/>
  <c r="J2075" i="2" s="1"/>
  <c r="R2076" i="2"/>
  <c r="H2076" i="2" s="1"/>
  <c r="S2076" i="2"/>
  <c r="J2076" i="2" s="1"/>
  <c r="R2077" i="2"/>
  <c r="H2077" i="2" s="1"/>
  <c r="S2077" i="2"/>
  <c r="J2077" i="2" s="1"/>
  <c r="R2078" i="2"/>
  <c r="H2078" i="2" s="1"/>
  <c r="S2078" i="2"/>
  <c r="J2078" i="2" s="1"/>
  <c r="R2079" i="2"/>
  <c r="H2079" i="2" s="1"/>
  <c r="S2079" i="2"/>
  <c r="J2079" i="2" s="1"/>
  <c r="R2080" i="2"/>
  <c r="H2080" i="2" s="1"/>
  <c r="S2080" i="2"/>
  <c r="J2080" i="2" s="1"/>
  <c r="R2081" i="2"/>
  <c r="H2081" i="2" s="1"/>
  <c r="S2081" i="2"/>
  <c r="J2081" i="2" s="1"/>
  <c r="R2082" i="2"/>
  <c r="H2082" i="2" s="1"/>
  <c r="S2082" i="2"/>
  <c r="J2082" i="2" s="1"/>
  <c r="R2083" i="2"/>
  <c r="H2083" i="2" s="1"/>
  <c r="S2083" i="2"/>
  <c r="J2083" i="2" s="1"/>
  <c r="R2084" i="2"/>
  <c r="H2084" i="2" s="1"/>
  <c r="S2084" i="2"/>
  <c r="J2084" i="2" s="1"/>
  <c r="R2085" i="2"/>
  <c r="H2085" i="2" s="1"/>
  <c r="S2085" i="2"/>
  <c r="J2085" i="2" s="1"/>
  <c r="R2086" i="2"/>
  <c r="H2086" i="2" s="1"/>
  <c r="S2086" i="2"/>
  <c r="J2086" i="2" s="1"/>
  <c r="R2087" i="2"/>
  <c r="H2087" i="2" s="1"/>
  <c r="S2087" i="2"/>
  <c r="J2087" i="2" s="1"/>
  <c r="R2088" i="2"/>
  <c r="H2088" i="2" s="1"/>
  <c r="S2088" i="2"/>
  <c r="J2088" i="2" s="1"/>
  <c r="R2089" i="2"/>
  <c r="H2089" i="2" s="1"/>
  <c r="S2089" i="2"/>
  <c r="J2089" i="2" s="1"/>
  <c r="R2090" i="2"/>
  <c r="H2090" i="2" s="1"/>
  <c r="S2090" i="2"/>
  <c r="J2090" i="2" s="1"/>
  <c r="R2091" i="2"/>
  <c r="H2091" i="2" s="1"/>
  <c r="S2091" i="2"/>
  <c r="J2091" i="2" s="1"/>
  <c r="R2092" i="2"/>
  <c r="H2092" i="2" s="1"/>
  <c r="S2092" i="2"/>
  <c r="J2092" i="2" s="1"/>
  <c r="R2093" i="2"/>
  <c r="H2093" i="2" s="1"/>
  <c r="S2093" i="2"/>
  <c r="J2093" i="2" s="1"/>
  <c r="R2094" i="2"/>
  <c r="H2094" i="2" s="1"/>
  <c r="S2094" i="2"/>
  <c r="J2094" i="2" s="1"/>
  <c r="R2095" i="2"/>
  <c r="H2095" i="2" s="1"/>
  <c r="S2095" i="2"/>
  <c r="J2095" i="2" s="1"/>
  <c r="R2096" i="2"/>
  <c r="H2096" i="2" s="1"/>
  <c r="S2096" i="2"/>
  <c r="J2096" i="2" s="1"/>
  <c r="R2097" i="2"/>
  <c r="H2097" i="2" s="1"/>
  <c r="S2097" i="2"/>
  <c r="J2097" i="2" s="1"/>
  <c r="R2098" i="2"/>
  <c r="H2098" i="2" s="1"/>
  <c r="S2098" i="2"/>
  <c r="J2098" i="2" s="1"/>
  <c r="R2099" i="2"/>
  <c r="H2099" i="2" s="1"/>
  <c r="S2099" i="2"/>
  <c r="J2099" i="2" s="1"/>
  <c r="R2100" i="2"/>
  <c r="H2100" i="2" s="1"/>
  <c r="S2100" i="2"/>
  <c r="J2100" i="2" s="1"/>
  <c r="R2101" i="2"/>
  <c r="H2101" i="2" s="1"/>
  <c r="S2101" i="2"/>
  <c r="J2101" i="2" s="1"/>
  <c r="R2102" i="2"/>
  <c r="H2102" i="2" s="1"/>
  <c r="S2102" i="2"/>
  <c r="J2102" i="2" s="1"/>
  <c r="R2103" i="2"/>
  <c r="H2103" i="2" s="1"/>
  <c r="S2103" i="2"/>
  <c r="J2103" i="2" s="1"/>
  <c r="R2104" i="2"/>
  <c r="H2104" i="2" s="1"/>
  <c r="S2104" i="2"/>
  <c r="J2104" i="2" s="1"/>
  <c r="R2105" i="2"/>
  <c r="H2105" i="2" s="1"/>
  <c r="S2105" i="2"/>
  <c r="J2105" i="2" s="1"/>
  <c r="R2106" i="2"/>
  <c r="H2106" i="2" s="1"/>
  <c r="S2106" i="2"/>
  <c r="J2106" i="2" s="1"/>
  <c r="R2107" i="2"/>
  <c r="H2107" i="2" s="1"/>
  <c r="S2107" i="2"/>
  <c r="J2107" i="2" s="1"/>
  <c r="R2108" i="2"/>
  <c r="H2108" i="2" s="1"/>
  <c r="S2108" i="2"/>
  <c r="J2108" i="2" s="1"/>
  <c r="R2109" i="2"/>
  <c r="H2109" i="2" s="1"/>
  <c r="S2109" i="2"/>
  <c r="J2109" i="2" s="1"/>
  <c r="R2110" i="2"/>
  <c r="H2110" i="2" s="1"/>
  <c r="S2110" i="2"/>
  <c r="J2110" i="2" s="1"/>
  <c r="R2111" i="2"/>
  <c r="H2111" i="2" s="1"/>
  <c r="S2111" i="2"/>
  <c r="J2111" i="2" s="1"/>
  <c r="R2112" i="2"/>
  <c r="H2112" i="2" s="1"/>
  <c r="S2112" i="2"/>
  <c r="J2112" i="2" s="1"/>
  <c r="R2113" i="2"/>
  <c r="H2113" i="2" s="1"/>
  <c r="S2113" i="2"/>
  <c r="J2113" i="2" s="1"/>
  <c r="R2114" i="2"/>
  <c r="H2114" i="2" s="1"/>
  <c r="S2114" i="2"/>
  <c r="J2114" i="2" s="1"/>
  <c r="R2115" i="2"/>
  <c r="H2115" i="2" s="1"/>
  <c r="S2115" i="2"/>
  <c r="J2115" i="2" s="1"/>
  <c r="R2116" i="2"/>
  <c r="H2116" i="2" s="1"/>
  <c r="S2116" i="2"/>
  <c r="J2116" i="2" s="1"/>
  <c r="R2117" i="2"/>
  <c r="H2117" i="2" s="1"/>
  <c r="S2117" i="2"/>
  <c r="J2117" i="2" s="1"/>
  <c r="R2118" i="2"/>
  <c r="H2118" i="2" s="1"/>
  <c r="S2118" i="2"/>
  <c r="J2118" i="2" s="1"/>
  <c r="R2119" i="2"/>
  <c r="H2119" i="2" s="1"/>
  <c r="S2119" i="2"/>
  <c r="J2119" i="2" s="1"/>
  <c r="R2120" i="2"/>
  <c r="H2120" i="2" s="1"/>
  <c r="S2120" i="2"/>
  <c r="J2120" i="2" s="1"/>
  <c r="R2121" i="2"/>
  <c r="H2121" i="2" s="1"/>
  <c r="S2121" i="2"/>
  <c r="J2121" i="2" s="1"/>
  <c r="R2122" i="2"/>
  <c r="H2122" i="2" s="1"/>
  <c r="S2122" i="2"/>
  <c r="J2122" i="2" s="1"/>
  <c r="R2123" i="2"/>
  <c r="H2123" i="2" s="1"/>
  <c r="S2123" i="2"/>
  <c r="J2123" i="2" s="1"/>
  <c r="R2124" i="2"/>
  <c r="H2124" i="2" s="1"/>
  <c r="S2124" i="2"/>
  <c r="J2124" i="2" s="1"/>
  <c r="R2125" i="2"/>
  <c r="H2125" i="2" s="1"/>
  <c r="S2125" i="2"/>
  <c r="J2125" i="2" s="1"/>
  <c r="R2126" i="2"/>
  <c r="H2126" i="2" s="1"/>
  <c r="S2126" i="2"/>
  <c r="J2126" i="2" s="1"/>
  <c r="R2127" i="2"/>
  <c r="H2127" i="2" s="1"/>
  <c r="S2127" i="2"/>
  <c r="J2127" i="2" s="1"/>
  <c r="R2128" i="2"/>
  <c r="H2128" i="2" s="1"/>
  <c r="S2128" i="2"/>
  <c r="J2128" i="2" s="1"/>
  <c r="R2129" i="2"/>
  <c r="H2129" i="2" s="1"/>
  <c r="S2129" i="2"/>
  <c r="J2129" i="2" s="1"/>
  <c r="R2130" i="2"/>
  <c r="H2130" i="2" s="1"/>
  <c r="S2130" i="2"/>
  <c r="J2130" i="2" s="1"/>
  <c r="R2131" i="2"/>
  <c r="H2131" i="2" s="1"/>
  <c r="S2131" i="2"/>
  <c r="J2131" i="2" s="1"/>
  <c r="R2132" i="2"/>
  <c r="H2132" i="2" s="1"/>
  <c r="S2132" i="2"/>
  <c r="J2132" i="2" s="1"/>
  <c r="R2133" i="2"/>
  <c r="H2133" i="2" s="1"/>
  <c r="S2133" i="2"/>
  <c r="J2133" i="2" s="1"/>
  <c r="R2134" i="2"/>
  <c r="H2134" i="2" s="1"/>
  <c r="S2134" i="2"/>
  <c r="J2134" i="2" s="1"/>
  <c r="R2135" i="2"/>
  <c r="H2135" i="2" s="1"/>
  <c r="S2135" i="2"/>
  <c r="J2135" i="2" s="1"/>
  <c r="R2136" i="2"/>
  <c r="H2136" i="2" s="1"/>
  <c r="S2136" i="2"/>
  <c r="J2136" i="2" s="1"/>
  <c r="R2137" i="2"/>
  <c r="H2137" i="2" s="1"/>
  <c r="S2137" i="2"/>
  <c r="J2137" i="2" s="1"/>
  <c r="R2138" i="2"/>
  <c r="H2138" i="2" s="1"/>
  <c r="S2138" i="2"/>
  <c r="J2138" i="2" s="1"/>
  <c r="R2139" i="2"/>
  <c r="H2139" i="2" s="1"/>
  <c r="S2139" i="2"/>
  <c r="J2139" i="2" s="1"/>
  <c r="R2140" i="2"/>
  <c r="H2140" i="2" s="1"/>
  <c r="S2140" i="2"/>
  <c r="J2140" i="2" s="1"/>
  <c r="R2141" i="2"/>
  <c r="H2141" i="2" s="1"/>
  <c r="S2141" i="2"/>
  <c r="J2141" i="2" s="1"/>
  <c r="R2142" i="2"/>
  <c r="H2142" i="2" s="1"/>
  <c r="S2142" i="2"/>
  <c r="J2142" i="2" s="1"/>
  <c r="R2143" i="2"/>
  <c r="H2143" i="2" s="1"/>
  <c r="S2143" i="2"/>
  <c r="J2143" i="2" s="1"/>
  <c r="R2144" i="2"/>
  <c r="H2144" i="2" s="1"/>
  <c r="S2144" i="2"/>
  <c r="J2144" i="2" s="1"/>
  <c r="R2145" i="2"/>
  <c r="H2145" i="2" s="1"/>
  <c r="S2145" i="2"/>
  <c r="J2145" i="2" s="1"/>
  <c r="R2146" i="2"/>
  <c r="H2146" i="2" s="1"/>
  <c r="S2146" i="2"/>
  <c r="J2146" i="2" s="1"/>
  <c r="R2147" i="2"/>
  <c r="H2147" i="2" s="1"/>
  <c r="S2147" i="2"/>
  <c r="J2147" i="2" s="1"/>
  <c r="R2148" i="2"/>
  <c r="H2148" i="2" s="1"/>
  <c r="S2148" i="2"/>
  <c r="J2148" i="2" s="1"/>
  <c r="R2149" i="2"/>
  <c r="H2149" i="2" s="1"/>
  <c r="S2149" i="2"/>
  <c r="J2149" i="2" s="1"/>
  <c r="R2150" i="2"/>
  <c r="H2150" i="2" s="1"/>
  <c r="S2150" i="2"/>
  <c r="J2150" i="2" s="1"/>
  <c r="R2151" i="2"/>
  <c r="H2151" i="2" s="1"/>
  <c r="S2151" i="2"/>
  <c r="J2151" i="2" s="1"/>
  <c r="R2152" i="2"/>
  <c r="H2152" i="2" s="1"/>
  <c r="S2152" i="2"/>
  <c r="J2152" i="2" s="1"/>
  <c r="R2153" i="2"/>
  <c r="H2153" i="2" s="1"/>
  <c r="S2153" i="2"/>
  <c r="J2153" i="2" s="1"/>
  <c r="R2154" i="2"/>
  <c r="H2154" i="2" s="1"/>
  <c r="S2154" i="2"/>
  <c r="J2154" i="2" s="1"/>
  <c r="R2155" i="2"/>
  <c r="H2155" i="2" s="1"/>
  <c r="S2155" i="2"/>
  <c r="J2155" i="2" s="1"/>
  <c r="R2156" i="2"/>
  <c r="H2156" i="2" s="1"/>
  <c r="S2156" i="2"/>
  <c r="J2156" i="2" s="1"/>
  <c r="R2157" i="2"/>
  <c r="H2157" i="2" s="1"/>
  <c r="S2157" i="2"/>
  <c r="J2157" i="2" s="1"/>
  <c r="R2158" i="2"/>
  <c r="H2158" i="2" s="1"/>
  <c r="S2158" i="2"/>
  <c r="J2158" i="2" s="1"/>
  <c r="R2159" i="2"/>
  <c r="H2159" i="2" s="1"/>
  <c r="S2159" i="2"/>
  <c r="J2159" i="2" s="1"/>
  <c r="R2160" i="2"/>
  <c r="H2160" i="2" s="1"/>
  <c r="S2160" i="2"/>
  <c r="J2160" i="2" s="1"/>
  <c r="R2161" i="2"/>
  <c r="H2161" i="2" s="1"/>
  <c r="S2161" i="2"/>
  <c r="J2161" i="2" s="1"/>
  <c r="R2162" i="2"/>
  <c r="H2162" i="2" s="1"/>
  <c r="S2162" i="2"/>
  <c r="J2162" i="2" s="1"/>
  <c r="R2163" i="2"/>
  <c r="H2163" i="2" s="1"/>
  <c r="S2163" i="2"/>
  <c r="J2163" i="2" s="1"/>
  <c r="R2164" i="2"/>
  <c r="H2164" i="2" s="1"/>
  <c r="S2164" i="2"/>
  <c r="J2164" i="2" s="1"/>
  <c r="R2165" i="2"/>
  <c r="H2165" i="2" s="1"/>
  <c r="S2165" i="2"/>
  <c r="J2165" i="2" s="1"/>
  <c r="R2166" i="2"/>
  <c r="H2166" i="2" s="1"/>
  <c r="S2166" i="2"/>
  <c r="J2166" i="2" s="1"/>
  <c r="R2167" i="2"/>
  <c r="H2167" i="2" s="1"/>
  <c r="S2167" i="2"/>
  <c r="J2167" i="2" s="1"/>
  <c r="R2168" i="2"/>
  <c r="H2168" i="2" s="1"/>
  <c r="S2168" i="2"/>
  <c r="J2168" i="2" s="1"/>
  <c r="R2169" i="2"/>
  <c r="H2169" i="2" s="1"/>
  <c r="S2169" i="2"/>
  <c r="J2169" i="2" s="1"/>
  <c r="R2170" i="2"/>
  <c r="H2170" i="2" s="1"/>
  <c r="S2170" i="2"/>
  <c r="J2170" i="2" s="1"/>
  <c r="R2171" i="2"/>
  <c r="H2171" i="2" s="1"/>
  <c r="S2171" i="2"/>
  <c r="J2171" i="2" s="1"/>
  <c r="R2172" i="2"/>
  <c r="H2172" i="2" s="1"/>
  <c r="S2172" i="2"/>
  <c r="J2172" i="2" s="1"/>
  <c r="R2173" i="2"/>
  <c r="H2173" i="2" s="1"/>
  <c r="S2173" i="2"/>
  <c r="J2173" i="2" s="1"/>
  <c r="R2174" i="2"/>
  <c r="H2174" i="2" s="1"/>
  <c r="S2174" i="2"/>
  <c r="J2174" i="2" s="1"/>
  <c r="R2175" i="2"/>
  <c r="H2175" i="2" s="1"/>
  <c r="S2175" i="2"/>
  <c r="J2175" i="2" s="1"/>
  <c r="R2176" i="2"/>
  <c r="H2176" i="2" s="1"/>
  <c r="S2176" i="2"/>
  <c r="J2176" i="2" s="1"/>
  <c r="R2177" i="2"/>
  <c r="H2177" i="2" s="1"/>
  <c r="S2177" i="2"/>
  <c r="J2177" i="2" s="1"/>
  <c r="R2178" i="2"/>
  <c r="H2178" i="2" s="1"/>
  <c r="S2178" i="2"/>
  <c r="J2178" i="2" s="1"/>
  <c r="R2179" i="2"/>
  <c r="H2179" i="2" s="1"/>
  <c r="S2179" i="2"/>
  <c r="J2179" i="2" s="1"/>
  <c r="R2180" i="2"/>
  <c r="H2180" i="2" s="1"/>
  <c r="S2180" i="2"/>
  <c r="J2180" i="2" s="1"/>
  <c r="R2181" i="2"/>
  <c r="H2181" i="2" s="1"/>
  <c r="S2181" i="2"/>
  <c r="J2181" i="2" s="1"/>
  <c r="R2182" i="2"/>
  <c r="H2182" i="2" s="1"/>
  <c r="S2182" i="2"/>
  <c r="J2182" i="2" s="1"/>
  <c r="R2183" i="2"/>
  <c r="H2183" i="2" s="1"/>
  <c r="S2183" i="2"/>
  <c r="J2183" i="2" s="1"/>
  <c r="R2184" i="2"/>
  <c r="H2184" i="2" s="1"/>
  <c r="S2184" i="2"/>
  <c r="J2184" i="2" s="1"/>
  <c r="R2185" i="2"/>
  <c r="H2185" i="2" s="1"/>
  <c r="S2185" i="2"/>
  <c r="J2185" i="2" s="1"/>
  <c r="R2186" i="2"/>
  <c r="H2186" i="2" s="1"/>
  <c r="S2186" i="2"/>
  <c r="J2186" i="2" s="1"/>
  <c r="R2187" i="2"/>
  <c r="H2187" i="2" s="1"/>
  <c r="S2187" i="2"/>
  <c r="J2187" i="2" s="1"/>
  <c r="R2188" i="2"/>
  <c r="H2188" i="2" s="1"/>
  <c r="S2188" i="2"/>
  <c r="J2188" i="2" s="1"/>
  <c r="R2189" i="2"/>
  <c r="H2189" i="2" s="1"/>
  <c r="S2189" i="2"/>
  <c r="J2189" i="2" s="1"/>
  <c r="R2190" i="2"/>
  <c r="H2190" i="2" s="1"/>
  <c r="S2190" i="2"/>
  <c r="J2190" i="2" s="1"/>
  <c r="R2191" i="2"/>
  <c r="H2191" i="2" s="1"/>
  <c r="S2191" i="2"/>
  <c r="J2191" i="2" s="1"/>
  <c r="R2192" i="2"/>
  <c r="H2192" i="2" s="1"/>
  <c r="S2192" i="2"/>
  <c r="J2192" i="2" s="1"/>
  <c r="R2193" i="2"/>
  <c r="H2193" i="2" s="1"/>
  <c r="S2193" i="2"/>
  <c r="J2193" i="2" s="1"/>
  <c r="R2194" i="2"/>
  <c r="H2194" i="2" s="1"/>
  <c r="S2194" i="2"/>
  <c r="J2194" i="2" s="1"/>
  <c r="R2195" i="2"/>
  <c r="H2195" i="2" s="1"/>
  <c r="S2195" i="2"/>
  <c r="J2195" i="2" s="1"/>
  <c r="R2196" i="2"/>
  <c r="H2196" i="2" s="1"/>
  <c r="S2196" i="2"/>
  <c r="J2196" i="2" s="1"/>
  <c r="R2197" i="2"/>
  <c r="H2197" i="2" s="1"/>
  <c r="S2197" i="2"/>
  <c r="J2197" i="2" s="1"/>
  <c r="R2198" i="2"/>
  <c r="H2198" i="2" s="1"/>
  <c r="S2198" i="2"/>
  <c r="J2198" i="2" s="1"/>
  <c r="R2199" i="2"/>
  <c r="H2199" i="2" s="1"/>
  <c r="S2199" i="2"/>
  <c r="J2199" i="2" s="1"/>
  <c r="R2200" i="2"/>
  <c r="H2200" i="2" s="1"/>
  <c r="S2200" i="2"/>
  <c r="J2200" i="2" s="1"/>
  <c r="R2201" i="2"/>
  <c r="H2201" i="2" s="1"/>
  <c r="S2201" i="2"/>
  <c r="J2201" i="2" s="1"/>
  <c r="R2202" i="2"/>
  <c r="H2202" i="2" s="1"/>
  <c r="S2202" i="2"/>
  <c r="J2202" i="2" s="1"/>
  <c r="R2203" i="2"/>
  <c r="H2203" i="2" s="1"/>
  <c r="S2203" i="2"/>
  <c r="J2203" i="2" s="1"/>
  <c r="R2204" i="2"/>
  <c r="H2204" i="2" s="1"/>
  <c r="S2204" i="2"/>
  <c r="J2204" i="2" s="1"/>
  <c r="R2205" i="2"/>
  <c r="H2205" i="2" s="1"/>
  <c r="S2205" i="2"/>
  <c r="J2205" i="2" s="1"/>
  <c r="R2206" i="2"/>
  <c r="H2206" i="2" s="1"/>
  <c r="S2206" i="2"/>
  <c r="J2206" i="2" s="1"/>
  <c r="R2207" i="2"/>
  <c r="H2207" i="2" s="1"/>
  <c r="S2207" i="2"/>
  <c r="J2207" i="2" s="1"/>
  <c r="R2208" i="2"/>
  <c r="H2208" i="2" s="1"/>
  <c r="S2208" i="2"/>
  <c r="J2208" i="2" s="1"/>
  <c r="R2209" i="2"/>
  <c r="H2209" i="2" s="1"/>
  <c r="S2209" i="2"/>
  <c r="J2209" i="2" s="1"/>
  <c r="R2210" i="2"/>
  <c r="H2210" i="2" s="1"/>
  <c r="S2210" i="2"/>
  <c r="J2210" i="2" s="1"/>
  <c r="R2211" i="2"/>
  <c r="H2211" i="2" s="1"/>
  <c r="S2211" i="2"/>
  <c r="J2211" i="2" s="1"/>
  <c r="R2212" i="2"/>
  <c r="H2212" i="2" s="1"/>
  <c r="S2212" i="2"/>
  <c r="J2212" i="2" s="1"/>
  <c r="R2213" i="2"/>
  <c r="H2213" i="2" s="1"/>
  <c r="S2213" i="2"/>
  <c r="J2213" i="2" s="1"/>
  <c r="R2214" i="2"/>
  <c r="H2214" i="2" s="1"/>
  <c r="S2214" i="2"/>
  <c r="J2214" i="2" s="1"/>
  <c r="R2215" i="2"/>
  <c r="H2215" i="2" s="1"/>
  <c r="S2215" i="2"/>
  <c r="J2215" i="2" s="1"/>
  <c r="R2216" i="2"/>
  <c r="H2216" i="2" s="1"/>
  <c r="S2216" i="2"/>
  <c r="J2216" i="2" s="1"/>
  <c r="R2217" i="2"/>
  <c r="H2217" i="2" s="1"/>
  <c r="S2217" i="2"/>
  <c r="J2217" i="2" s="1"/>
  <c r="R2218" i="2"/>
  <c r="H2218" i="2" s="1"/>
  <c r="S2218" i="2"/>
  <c r="J2218" i="2" s="1"/>
  <c r="R2219" i="2"/>
  <c r="H2219" i="2" s="1"/>
  <c r="S2219" i="2"/>
  <c r="J2219" i="2" s="1"/>
  <c r="R2220" i="2"/>
  <c r="H2220" i="2" s="1"/>
  <c r="S2220" i="2"/>
  <c r="J2220" i="2" s="1"/>
  <c r="R2221" i="2"/>
  <c r="H2221" i="2" s="1"/>
  <c r="S2221" i="2"/>
  <c r="J2221" i="2" s="1"/>
  <c r="R2222" i="2"/>
  <c r="H2222" i="2" s="1"/>
  <c r="S2222" i="2"/>
  <c r="J2222" i="2" s="1"/>
  <c r="R2223" i="2"/>
  <c r="H2223" i="2" s="1"/>
  <c r="S2223" i="2"/>
  <c r="J2223" i="2" s="1"/>
  <c r="R2224" i="2"/>
  <c r="H2224" i="2" s="1"/>
  <c r="S2224" i="2"/>
  <c r="J2224" i="2" s="1"/>
  <c r="R2225" i="2"/>
  <c r="H2225" i="2" s="1"/>
  <c r="S2225" i="2"/>
  <c r="J2225" i="2" s="1"/>
  <c r="R2226" i="2"/>
  <c r="H2226" i="2" s="1"/>
  <c r="S2226" i="2"/>
  <c r="J2226" i="2" s="1"/>
  <c r="R2227" i="2"/>
  <c r="H2227" i="2" s="1"/>
  <c r="S2227" i="2"/>
  <c r="J2227" i="2" s="1"/>
  <c r="R2228" i="2"/>
  <c r="H2228" i="2" s="1"/>
  <c r="S2228" i="2"/>
  <c r="J2228" i="2" s="1"/>
  <c r="R2229" i="2"/>
  <c r="H2229" i="2" s="1"/>
  <c r="S2229" i="2"/>
  <c r="J2229" i="2" s="1"/>
  <c r="R2230" i="2"/>
  <c r="H2230" i="2" s="1"/>
  <c r="S2230" i="2"/>
  <c r="J2230" i="2" s="1"/>
  <c r="R2231" i="2"/>
  <c r="H2231" i="2" s="1"/>
  <c r="S2231" i="2"/>
  <c r="J2231" i="2" s="1"/>
  <c r="R2232" i="2"/>
  <c r="H2232" i="2" s="1"/>
  <c r="S2232" i="2"/>
  <c r="J2232" i="2" s="1"/>
  <c r="R2233" i="2"/>
  <c r="H2233" i="2" s="1"/>
  <c r="S2233" i="2"/>
  <c r="J2233" i="2" s="1"/>
  <c r="R2234" i="2"/>
  <c r="H2234" i="2" s="1"/>
  <c r="S2234" i="2"/>
  <c r="J2234" i="2" s="1"/>
  <c r="R2235" i="2"/>
  <c r="H2235" i="2" s="1"/>
  <c r="S2235" i="2"/>
  <c r="J2235" i="2" s="1"/>
  <c r="R2236" i="2"/>
  <c r="H2236" i="2" s="1"/>
  <c r="S2236" i="2"/>
  <c r="J2236" i="2" s="1"/>
  <c r="R2237" i="2"/>
  <c r="H2237" i="2" s="1"/>
  <c r="S2237" i="2"/>
  <c r="J2237" i="2" s="1"/>
  <c r="R2238" i="2"/>
  <c r="H2238" i="2" s="1"/>
  <c r="S2238" i="2"/>
  <c r="J2238" i="2" s="1"/>
  <c r="R2239" i="2"/>
  <c r="H2239" i="2" s="1"/>
  <c r="S2239" i="2"/>
  <c r="J2239" i="2" s="1"/>
  <c r="R2240" i="2"/>
  <c r="H2240" i="2" s="1"/>
  <c r="S2240" i="2"/>
  <c r="J2240" i="2" s="1"/>
  <c r="R2241" i="2"/>
  <c r="H2241" i="2" s="1"/>
  <c r="S2241" i="2"/>
  <c r="J2241" i="2" s="1"/>
  <c r="R2242" i="2"/>
  <c r="H2242" i="2" s="1"/>
  <c r="S2242" i="2"/>
  <c r="J2242" i="2" s="1"/>
  <c r="R2243" i="2"/>
  <c r="H2243" i="2" s="1"/>
  <c r="S2243" i="2"/>
  <c r="J2243" i="2" s="1"/>
  <c r="R2244" i="2"/>
  <c r="H2244" i="2" s="1"/>
  <c r="S2244" i="2"/>
  <c r="J2244" i="2" s="1"/>
  <c r="R2245" i="2"/>
  <c r="H2245" i="2" s="1"/>
  <c r="S2245" i="2"/>
  <c r="J2245" i="2" s="1"/>
  <c r="R2246" i="2"/>
  <c r="H2246" i="2" s="1"/>
  <c r="S2246" i="2"/>
  <c r="J2246" i="2" s="1"/>
  <c r="R2247" i="2"/>
  <c r="H2247" i="2" s="1"/>
  <c r="S2247" i="2"/>
  <c r="J2247" i="2" s="1"/>
  <c r="R2248" i="2"/>
  <c r="H2248" i="2" s="1"/>
  <c r="S2248" i="2"/>
  <c r="J2248" i="2" s="1"/>
  <c r="R2249" i="2"/>
  <c r="H2249" i="2" s="1"/>
  <c r="S2249" i="2"/>
  <c r="J2249" i="2" s="1"/>
  <c r="R2250" i="2"/>
  <c r="H2250" i="2" s="1"/>
  <c r="S2250" i="2"/>
  <c r="J2250" i="2" s="1"/>
  <c r="R2251" i="2"/>
  <c r="H2251" i="2" s="1"/>
  <c r="S2251" i="2"/>
  <c r="J2251" i="2" s="1"/>
  <c r="R2252" i="2"/>
  <c r="H2252" i="2" s="1"/>
  <c r="S2252" i="2"/>
  <c r="J2252" i="2" s="1"/>
  <c r="R2253" i="2"/>
  <c r="H2253" i="2" s="1"/>
  <c r="S2253" i="2"/>
  <c r="J2253" i="2" s="1"/>
  <c r="R2254" i="2"/>
  <c r="H2254" i="2" s="1"/>
  <c r="S2254" i="2"/>
  <c r="J2254" i="2" s="1"/>
  <c r="R2255" i="2"/>
  <c r="H2255" i="2" s="1"/>
  <c r="S2255" i="2"/>
  <c r="J2255" i="2" s="1"/>
  <c r="R2256" i="2"/>
  <c r="H2256" i="2" s="1"/>
  <c r="S2256" i="2"/>
  <c r="J2256" i="2" s="1"/>
  <c r="R2257" i="2"/>
  <c r="H2257" i="2" s="1"/>
  <c r="S2257" i="2"/>
  <c r="J2257" i="2" s="1"/>
  <c r="R2258" i="2"/>
  <c r="H2258" i="2" s="1"/>
  <c r="S2258" i="2"/>
  <c r="J2258" i="2" s="1"/>
  <c r="R2259" i="2"/>
  <c r="H2259" i="2" s="1"/>
  <c r="S2259" i="2"/>
  <c r="J2259" i="2" s="1"/>
  <c r="R2260" i="2"/>
  <c r="H2260" i="2" s="1"/>
  <c r="S2260" i="2"/>
  <c r="J2260" i="2" s="1"/>
  <c r="R2261" i="2"/>
  <c r="H2261" i="2" s="1"/>
  <c r="S2261" i="2"/>
  <c r="J2261" i="2" s="1"/>
  <c r="R2262" i="2"/>
  <c r="H2262" i="2" s="1"/>
  <c r="S2262" i="2"/>
  <c r="J2262" i="2" s="1"/>
  <c r="R2263" i="2"/>
  <c r="H2263" i="2" s="1"/>
  <c r="S2263" i="2"/>
  <c r="J2263" i="2" s="1"/>
  <c r="R2264" i="2"/>
  <c r="H2264" i="2" s="1"/>
  <c r="S2264" i="2"/>
  <c r="J2264" i="2" s="1"/>
  <c r="R2265" i="2"/>
  <c r="H2265" i="2" s="1"/>
  <c r="S2265" i="2"/>
  <c r="J2265" i="2" s="1"/>
  <c r="R2266" i="2"/>
  <c r="H2266" i="2" s="1"/>
  <c r="S2266" i="2"/>
  <c r="J2266" i="2" s="1"/>
  <c r="R2267" i="2"/>
  <c r="H2267" i="2" s="1"/>
  <c r="S2267" i="2"/>
  <c r="J2267" i="2" s="1"/>
  <c r="R2268" i="2"/>
  <c r="H2268" i="2" s="1"/>
  <c r="S2268" i="2"/>
  <c r="J2268" i="2" s="1"/>
  <c r="R2269" i="2"/>
  <c r="H2269" i="2" s="1"/>
  <c r="S2269" i="2"/>
  <c r="J2269" i="2" s="1"/>
  <c r="R2270" i="2"/>
  <c r="H2270" i="2" s="1"/>
  <c r="S2270" i="2"/>
  <c r="J2270" i="2" s="1"/>
  <c r="R2271" i="2"/>
  <c r="H2271" i="2" s="1"/>
  <c r="S2271" i="2"/>
  <c r="J2271" i="2" s="1"/>
  <c r="R2272" i="2"/>
  <c r="H2272" i="2" s="1"/>
  <c r="S2272" i="2"/>
  <c r="J2272" i="2" s="1"/>
  <c r="R2273" i="2"/>
  <c r="H2273" i="2" s="1"/>
  <c r="S2273" i="2"/>
  <c r="J2273" i="2" s="1"/>
  <c r="R2274" i="2"/>
  <c r="H2274" i="2" s="1"/>
  <c r="S2274" i="2"/>
  <c r="J2274" i="2" s="1"/>
  <c r="R2275" i="2"/>
  <c r="H2275" i="2" s="1"/>
  <c r="S2275" i="2"/>
  <c r="J2275" i="2" s="1"/>
  <c r="R2276" i="2"/>
  <c r="H2276" i="2" s="1"/>
  <c r="S2276" i="2"/>
  <c r="J2276" i="2" s="1"/>
  <c r="R2277" i="2"/>
  <c r="H2277" i="2" s="1"/>
  <c r="S2277" i="2"/>
  <c r="J2277" i="2" s="1"/>
  <c r="R2278" i="2"/>
  <c r="H2278" i="2" s="1"/>
  <c r="S2278" i="2"/>
  <c r="J2278" i="2" s="1"/>
  <c r="R2279" i="2"/>
  <c r="H2279" i="2" s="1"/>
  <c r="S2279" i="2"/>
  <c r="J2279" i="2" s="1"/>
  <c r="R2280" i="2"/>
  <c r="H2280" i="2" s="1"/>
  <c r="S2280" i="2"/>
  <c r="J2280" i="2" s="1"/>
  <c r="R2281" i="2"/>
  <c r="H2281" i="2" s="1"/>
  <c r="S2281" i="2"/>
  <c r="J2281" i="2" s="1"/>
  <c r="R2282" i="2"/>
  <c r="H2282" i="2" s="1"/>
  <c r="S2282" i="2"/>
  <c r="J2282" i="2" s="1"/>
  <c r="R2283" i="2"/>
  <c r="H2283" i="2" s="1"/>
  <c r="S2283" i="2"/>
  <c r="J2283" i="2" s="1"/>
  <c r="R2284" i="2"/>
  <c r="H2284" i="2" s="1"/>
  <c r="S2284" i="2"/>
  <c r="J2284" i="2" s="1"/>
  <c r="R2285" i="2"/>
  <c r="H2285" i="2" s="1"/>
  <c r="S2285" i="2"/>
  <c r="J2285" i="2" s="1"/>
  <c r="R2286" i="2"/>
  <c r="H2286" i="2" s="1"/>
  <c r="S2286" i="2"/>
  <c r="J2286" i="2" s="1"/>
  <c r="R2287" i="2"/>
  <c r="H2287" i="2" s="1"/>
  <c r="S2287" i="2"/>
  <c r="J2287" i="2" s="1"/>
  <c r="R2288" i="2"/>
  <c r="H2288" i="2" s="1"/>
  <c r="S2288" i="2"/>
  <c r="J2288" i="2" s="1"/>
  <c r="R2289" i="2"/>
  <c r="H2289" i="2" s="1"/>
  <c r="S2289" i="2"/>
  <c r="J2289" i="2" s="1"/>
  <c r="R2290" i="2"/>
  <c r="H2290" i="2" s="1"/>
  <c r="S2290" i="2"/>
  <c r="J2290" i="2" s="1"/>
  <c r="R2291" i="2"/>
  <c r="H2291" i="2" s="1"/>
  <c r="S2291" i="2"/>
  <c r="J2291" i="2" s="1"/>
  <c r="R2292" i="2"/>
  <c r="H2292" i="2" s="1"/>
  <c r="S2292" i="2"/>
  <c r="J2292" i="2" s="1"/>
  <c r="R2293" i="2"/>
  <c r="H2293" i="2" s="1"/>
  <c r="S2293" i="2"/>
  <c r="J2293" i="2" s="1"/>
  <c r="R2294" i="2"/>
  <c r="H2294" i="2" s="1"/>
  <c r="S2294" i="2"/>
  <c r="J2294" i="2" s="1"/>
  <c r="R2295" i="2"/>
  <c r="H2295" i="2" s="1"/>
  <c r="S2295" i="2"/>
  <c r="J2295" i="2" s="1"/>
  <c r="R2296" i="2"/>
  <c r="H2296" i="2" s="1"/>
  <c r="S2296" i="2"/>
  <c r="J2296" i="2" s="1"/>
  <c r="R2297" i="2"/>
  <c r="H2297" i="2" s="1"/>
  <c r="S2297" i="2"/>
  <c r="J2297" i="2" s="1"/>
  <c r="R2298" i="2"/>
  <c r="H2298" i="2" s="1"/>
  <c r="S2298" i="2"/>
  <c r="J2298" i="2" s="1"/>
  <c r="R2299" i="2"/>
  <c r="H2299" i="2" s="1"/>
  <c r="S2299" i="2"/>
  <c r="J2299" i="2" s="1"/>
  <c r="R2300" i="2"/>
  <c r="H2300" i="2" s="1"/>
  <c r="S2300" i="2"/>
  <c r="J2300" i="2" s="1"/>
  <c r="R2301" i="2"/>
  <c r="H2301" i="2" s="1"/>
  <c r="S2301" i="2"/>
  <c r="J2301" i="2" s="1"/>
  <c r="R2302" i="2"/>
  <c r="H2302" i="2" s="1"/>
  <c r="S2302" i="2"/>
  <c r="J2302" i="2" s="1"/>
  <c r="R2303" i="2"/>
  <c r="H2303" i="2" s="1"/>
  <c r="S2303" i="2"/>
  <c r="J2303" i="2" s="1"/>
  <c r="R2304" i="2"/>
  <c r="H2304" i="2" s="1"/>
  <c r="S2304" i="2"/>
  <c r="J2304" i="2" s="1"/>
  <c r="R2305" i="2"/>
  <c r="H2305" i="2" s="1"/>
  <c r="S2305" i="2"/>
  <c r="J2305" i="2" s="1"/>
  <c r="R2306" i="2"/>
  <c r="H2306" i="2" s="1"/>
  <c r="S2306" i="2"/>
  <c r="J2306" i="2" s="1"/>
  <c r="R2307" i="2"/>
  <c r="H2307" i="2" s="1"/>
  <c r="S2307" i="2"/>
  <c r="J2307" i="2" s="1"/>
  <c r="R2308" i="2"/>
  <c r="H2308" i="2" s="1"/>
  <c r="S2308" i="2"/>
  <c r="J2308" i="2" s="1"/>
  <c r="R2309" i="2"/>
  <c r="H2309" i="2" s="1"/>
  <c r="S2309" i="2"/>
  <c r="J2309" i="2" s="1"/>
  <c r="R2310" i="2"/>
  <c r="H2310" i="2" s="1"/>
  <c r="S2310" i="2"/>
  <c r="J2310" i="2" s="1"/>
  <c r="R2311" i="2"/>
  <c r="H2311" i="2" s="1"/>
  <c r="S2311" i="2"/>
  <c r="J2311" i="2" s="1"/>
  <c r="R2312" i="2"/>
  <c r="H2312" i="2" s="1"/>
  <c r="S2312" i="2"/>
  <c r="J2312" i="2" s="1"/>
  <c r="R2313" i="2"/>
  <c r="H2313" i="2" s="1"/>
  <c r="S2313" i="2"/>
  <c r="J2313" i="2" s="1"/>
  <c r="R2314" i="2"/>
  <c r="H2314" i="2" s="1"/>
  <c r="S2314" i="2"/>
  <c r="J2314" i="2" s="1"/>
  <c r="R2315" i="2"/>
  <c r="H2315" i="2" s="1"/>
  <c r="S2315" i="2"/>
  <c r="J2315" i="2" s="1"/>
  <c r="R2316" i="2"/>
  <c r="H2316" i="2" s="1"/>
  <c r="S2316" i="2"/>
  <c r="J2316" i="2" s="1"/>
  <c r="R2317" i="2"/>
  <c r="H2317" i="2" s="1"/>
  <c r="S2317" i="2"/>
  <c r="J2317" i="2" s="1"/>
  <c r="R2318" i="2"/>
  <c r="H2318" i="2" s="1"/>
  <c r="S2318" i="2"/>
  <c r="J2318" i="2" s="1"/>
  <c r="R2319" i="2"/>
  <c r="H2319" i="2" s="1"/>
  <c r="S2319" i="2"/>
  <c r="J2319" i="2" s="1"/>
  <c r="R2320" i="2"/>
  <c r="H2320" i="2" s="1"/>
  <c r="S2320" i="2"/>
  <c r="J2320" i="2" s="1"/>
  <c r="R2321" i="2"/>
  <c r="H2321" i="2" s="1"/>
  <c r="S2321" i="2"/>
  <c r="J2321" i="2" s="1"/>
  <c r="R2322" i="2"/>
  <c r="H2322" i="2" s="1"/>
  <c r="S2322" i="2"/>
  <c r="J2322" i="2" s="1"/>
  <c r="R2323" i="2"/>
  <c r="H2323" i="2" s="1"/>
  <c r="S2323" i="2"/>
  <c r="J2323" i="2" s="1"/>
  <c r="R2324" i="2"/>
  <c r="H2324" i="2" s="1"/>
  <c r="S2324" i="2"/>
  <c r="J2324" i="2" s="1"/>
  <c r="R2325" i="2"/>
  <c r="H2325" i="2" s="1"/>
  <c r="S2325" i="2"/>
  <c r="J2325" i="2" s="1"/>
  <c r="R2326" i="2"/>
  <c r="H2326" i="2" s="1"/>
  <c r="S2326" i="2"/>
  <c r="J2326" i="2" s="1"/>
  <c r="R2327" i="2"/>
  <c r="H2327" i="2" s="1"/>
  <c r="S2327" i="2"/>
  <c r="J2327" i="2" s="1"/>
  <c r="R2328" i="2"/>
  <c r="H2328" i="2" s="1"/>
  <c r="S2328" i="2"/>
  <c r="J2328" i="2" s="1"/>
  <c r="R2329" i="2"/>
  <c r="H2329" i="2" s="1"/>
  <c r="S2329" i="2"/>
  <c r="J2329" i="2" s="1"/>
  <c r="R2330" i="2"/>
  <c r="H2330" i="2" s="1"/>
  <c r="S2330" i="2"/>
  <c r="J2330" i="2" s="1"/>
  <c r="R2331" i="2"/>
  <c r="H2331" i="2" s="1"/>
  <c r="S2331" i="2"/>
  <c r="J2331" i="2" s="1"/>
  <c r="R2332" i="2"/>
  <c r="H2332" i="2" s="1"/>
  <c r="S2332" i="2"/>
  <c r="J2332" i="2" s="1"/>
  <c r="R2333" i="2"/>
  <c r="H2333" i="2" s="1"/>
  <c r="S2333" i="2"/>
  <c r="J2333" i="2" s="1"/>
  <c r="R2334" i="2"/>
  <c r="H2334" i="2" s="1"/>
  <c r="S2334" i="2"/>
  <c r="J2334" i="2" s="1"/>
  <c r="R2335" i="2"/>
  <c r="H2335" i="2" s="1"/>
  <c r="S2335" i="2"/>
  <c r="J2335" i="2" s="1"/>
  <c r="R2336" i="2"/>
  <c r="H2336" i="2" s="1"/>
  <c r="S2336" i="2"/>
  <c r="J2336" i="2" s="1"/>
  <c r="R2337" i="2"/>
  <c r="H2337" i="2" s="1"/>
  <c r="S2337" i="2"/>
  <c r="J2337" i="2" s="1"/>
  <c r="R2338" i="2"/>
  <c r="H2338" i="2" s="1"/>
  <c r="S2338" i="2"/>
  <c r="J2338" i="2" s="1"/>
  <c r="R2339" i="2"/>
  <c r="H2339" i="2" s="1"/>
  <c r="S2339" i="2"/>
  <c r="J2339" i="2" s="1"/>
  <c r="R2340" i="2"/>
  <c r="H2340" i="2" s="1"/>
  <c r="S2340" i="2"/>
  <c r="J2340" i="2" s="1"/>
  <c r="R2341" i="2"/>
  <c r="H2341" i="2" s="1"/>
  <c r="S2341" i="2"/>
  <c r="J2341" i="2" s="1"/>
  <c r="R2342" i="2"/>
  <c r="H2342" i="2" s="1"/>
  <c r="S2342" i="2"/>
  <c r="J2342" i="2" s="1"/>
  <c r="R2343" i="2"/>
  <c r="H2343" i="2" s="1"/>
  <c r="S2343" i="2"/>
  <c r="J2343" i="2" s="1"/>
  <c r="R2344" i="2"/>
  <c r="H2344" i="2" s="1"/>
  <c r="S2344" i="2"/>
  <c r="J2344" i="2" s="1"/>
  <c r="R2345" i="2"/>
  <c r="H2345" i="2" s="1"/>
  <c r="S2345" i="2"/>
  <c r="J2345" i="2" s="1"/>
  <c r="R2346" i="2"/>
  <c r="H2346" i="2" s="1"/>
  <c r="S2346" i="2"/>
  <c r="J2346" i="2" s="1"/>
  <c r="R2347" i="2"/>
  <c r="H2347" i="2" s="1"/>
  <c r="S2347" i="2"/>
  <c r="J2347" i="2" s="1"/>
  <c r="R2348" i="2"/>
  <c r="H2348" i="2" s="1"/>
  <c r="S2348" i="2"/>
  <c r="J2348" i="2" s="1"/>
  <c r="R2349" i="2"/>
  <c r="H2349" i="2" s="1"/>
  <c r="S2349" i="2"/>
  <c r="J2349" i="2" s="1"/>
  <c r="R2350" i="2"/>
  <c r="H2350" i="2" s="1"/>
  <c r="S2350" i="2"/>
  <c r="J2350" i="2" s="1"/>
  <c r="R2351" i="2"/>
  <c r="H2351" i="2" s="1"/>
  <c r="S2351" i="2"/>
  <c r="J2351" i="2" s="1"/>
  <c r="R2352" i="2"/>
  <c r="H2352" i="2" s="1"/>
  <c r="S2352" i="2"/>
  <c r="J2352" i="2" s="1"/>
  <c r="R2353" i="2"/>
  <c r="H2353" i="2" s="1"/>
  <c r="S2353" i="2"/>
  <c r="J2353" i="2" s="1"/>
  <c r="R2354" i="2"/>
  <c r="H2354" i="2" s="1"/>
  <c r="S2354" i="2"/>
  <c r="J2354" i="2" s="1"/>
  <c r="R2355" i="2"/>
  <c r="H2355" i="2" s="1"/>
  <c r="S2355" i="2"/>
  <c r="J2355" i="2" s="1"/>
  <c r="R2356" i="2"/>
  <c r="H2356" i="2" s="1"/>
  <c r="S2356" i="2"/>
  <c r="J2356" i="2" s="1"/>
  <c r="R2357" i="2"/>
  <c r="H2357" i="2" s="1"/>
  <c r="S2357" i="2"/>
  <c r="J2357" i="2" s="1"/>
  <c r="R2358" i="2"/>
  <c r="H2358" i="2" s="1"/>
  <c r="S2358" i="2"/>
  <c r="J2358" i="2" s="1"/>
  <c r="R2359" i="2"/>
  <c r="H2359" i="2" s="1"/>
  <c r="S2359" i="2"/>
  <c r="J2359" i="2" s="1"/>
  <c r="R2360" i="2"/>
  <c r="H2360" i="2" s="1"/>
  <c r="S2360" i="2"/>
  <c r="J2360" i="2" s="1"/>
  <c r="R2361" i="2"/>
  <c r="H2361" i="2" s="1"/>
  <c r="S2361" i="2"/>
  <c r="J2361" i="2" s="1"/>
  <c r="R2362" i="2"/>
  <c r="H2362" i="2" s="1"/>
  <c r="S2362" i="2"/>
  <c r="J2362" i="2" s="1"/>
  <c r="R2363" i="2"/>
  <c r="H2363" i="2" s="1"/>
  <c r="S2363" i="2"/>
  <c r="J2363" i="2" s="1"/>
  <c r="R2364" i="2"/>
  <c r="H2364" i="2" s="1"/>
  <c r="S2364" i="2"/>
  <c r="J2364" i="2" s="1"/>
  <c r="R2365" i="2"/>
  <c r="H2365" i="2" s="1"/>
  <c r="S2365" i="2"/>
  <c r="J2365" i="2" s="1"/>
  <c r="R2366" i="2"/>
  <c r="H2366" i="2" s="1"/>
  <c r="S2366" i="2"/>
  <c r="J2366" i="2" s="1"/>
  <c r="R2367" i="2"/>
  <c r="H2367" i="2" s="1"/>
  <c r="S2367" i="2"/>
  <c r="J2367" i="2" s="1"/>
  <c r="R2368" i="2"/>
  <c r="H2368" i="2" s="1"/>
  <c r="S2368" i="2"/>
  <c r="J2368" i="2" s="1"/>
  <c r="R2369" i="2"/>
  <c r="H2369" i="2" s="1"/>
  <c r="S2369" i="2"/>
  <c r="J2369" i="2" s="1"/>
  <c r="R2370" i="2"/>
  <c r="H2370" i="2" s="1"/>
  <c r="S2370" i="2"/>
  <c r="J2370" i="2" s="1"/>
  <c r="R2371" i="2"/>
  <c r="H2371" i="2" s="1"/>
  <c r="S2371" i="2"/>
  <c r="J2371" i="2" s="1"/>
  <c r="R2372" i="2"/>
  <c r="H2372" i="2" s="1"/>
  <c r="S2372" i="2"/>
  <c r="J2372" i="2" s="1"/>
  <c r="R2373" i="2"/>
  <c r="H2373" i="2" s="1"/>
  <c r="S2373" i="2"/>
  <c r="J2373" i="2" s="1"/>
  <c r="R2374" i="2"/>
  <c r="H2374" i="2" s="1"/>
  <c r="S2374" i="2"/>
  <c r="J2374" i="2" s="1"/>
  <c r="R2375" i="2"/>
  <c r="H2375" i="2" s="1"/>
  <c r="S2375" i="2"/>
  <c r="J2375" i="2" s="1"/>
  <c r="R2376" i="2"/>
  <c r="H2376" i="2" s="1"/>
  <c r="S2376" i="2"/>
  <c r="J2376" i="2" s="1"/>
  <c r="R2377" i="2"/>
  <c r="H2377" i="2" s="1"/>
  <c r="S2377" i="2"/>
  <c r="J2377" i="2" s="1"/>
  <c r="R2378" i="2"/>
  <c r="H2378" i="2" s="1"/>
  <c r="S2378" i="2"/>
  <c r="J2378" i="2" s="1"/>
  <c r="R2379" i="2"/>
  <c r="H2379" i="2" s="1"/>
  <c r="S2379" i="2"/>
  <c r="J2379" i="2" s="1"/>
  <c r="R2380" i="2"/>
  <c r="H2380" i="2" s="1"/>
  <c r="S2380" i="2"/>
  <c r="J2380" i="2" s="1"/>
  <c r="R2381" i="2"/>
  <c r="H2381" i="2" s="1"/>
  <c r="S2381" i="2"/>
  <c r="J2381" i="2" s="1"/>
  <c r="R2382" i="2"/>
  <c r="H2382" i="2" s="1"/>
  <c r="S2382" i="2"/>
  <c r="J2382" i="2" s="1"/>
  <c r="R2383" i="2"/>
  <c r="H2383" i="2" s="1"/>
  <c r="S2383" i="2"/>
  <c r="J2383" i="2" s="1"/>
  <c r="R2384" i="2"/>
  <c r="H2384" i="2" s="1"/>
  <c r="S2384" i="2"/>
  <c r="J2384" i="2" s="1"/>
  <c r="R2385" i="2"/>
  <c r="H2385" i="2" s="1"/>
  <c r="S2385" i="2"/>
  <c r="J2385" i="2" s="1"/>
  <c r="R2386" i="2"/>
  <c r="H2386" i="2" s="1"/>
  <c r="S2386" i="2"/>
  <c r="J2386" i="2" s="1"/>
  <c r="R2387" i="2"/>
  <c r="H2387" i="2" s="1"/>
  <c r="S2387" i="2"/>
  <c r="J2387" i="2" s="1"/>
  <c r="R2388" i="2"/>
  <c r="H2388" i="2" s="1"/>
  <c r="S2388" i="2"/>
  <c r="J2388" i="2" s="1"/>
  <c r="R2389" i="2"/>
  <c r="H2389" i="2" s="1"/>
  <c r="S2389" i="2"/>
  <c r="J2389" i="2" s="1"/>
  <c r="R2390" i="2"/>
  <c r="H2390" i="2" s="1"/>
  <c r="S2390" i="2"/>
  <c r="J2390" i="2" s="1"/>
  <c r="R2391" i="2"/>
  <c r="H2391" i="2" s="1"/>
  <c r="S2391" i="2"/>
  <c r="J2391" i="2" s="1"/>
  <c r="R2392" i="2"/>
  <c r="H2392" i="2" s="1"/>
  <c r="S2392" i="2"/>
  <c r="J2392" i="2" s="1"/>
  <c r="R2393" i="2"/>
  <c r="H2393" i="2" s="1"/>
  <c r="S2393" i="2"/>
  <c r="J2393" i="2" s="1"/>
  <c r="R2394" i="2"/>
  <c r="H2394" i="2" s="1"/>
  <c r="S2394" i="2"/>
  <c r="J2394" i="2" s="1"/>
  <c r="R2395" i="2"/>
  <c r="H2395" i="2" s="1"/>
  <c r="S2395" i="2"/>
  <c r="J2395" i="2" s="1"/>
  <c r="R2396" i="2"/>
  <c r="H2396" i="2" s="1"/>
  <c r="S2396" i="2"/>
  <c r="J2396" i="2" s="1"/>
  <c r="R2397" i="2"/>
  <c r="H2397" i="2" s="1"/>
  <c r="S2397" i="2"/>
  <c r="J2397" i="2" s="1"/>
  <c r="R2398" i="2"/>
  <c r="H2398" i="2" s="1"/>
  <c r="S2398" i="2"/>
  <c r="J2398" i="2" s="1"/>
  <c r="R2399" i="2"/>
  <c r="H2399" i="2" s="1"/>
  <c r="S2399" i="2"/>
  <c r="J2399" i="2" s="1"/>
  <c r="R2400" i="2"/>
  <c r="H2400" i="2" s="1"/>
  <c r="S2400" i="2"/>
  <c r="J2400" i="2" s="1"/>
  <c r="R2401" i="2"/>
  <c r="H2401" i="2" s="1"/>
  <c r="S2401" i="2"/>
  <c r="J2401" i="2" s="1"/>
  <c r="R2402" i="2"/>
  <c r="H2402" i="2" s="1"/>
  <c r="S2402" i="2"/>
  <c r="J2402" i="2" s="1"/>
  <c r="R2403" i="2"/>
  <c r="H2403" i="2" s="1"/>
  <c r="S2403" i="2"/>
  <c r="J2403" i="2" s="1"/>
  <c r="R2404" i="2"/>
  <c r="H2404" i="2" s="1"/>
  <c r="S2404" i="2"/>
  <c r="J2404" i="2" s="1"/>
  <c r="R2405" i="2"/>
  <c r="H2405" i="2" s="1"/>
  <c r="S2405" i="2"/>
  <c r="J2405" i="2" s="1"/>
  <c r="R2406" i="2"/>
  <c r="H2406" i="2" s="1"/>
  <c r="S2406" i="2"/>
  <c r="J2406" i="2" s="1"/>
  <c r="R2407" i="2"/>
  <c r="H2407" i="2" s="1"/>
  <c r="S2407" i="2"/>
  <c r="J2407" i="2" s="1"/>
  <c r="R2408" i="2"/>
  <c r="H2408" i="2" s="1"/>
  <c r="S2408" i="2"/>
  <c r="J2408" i="2" s="1"/>
  <c r="R2409" i="2"/>
  <c r="H2409" i="2" s="1"/>
  <c r="S2409" i="2"/>
  <c r="J2409" i="2" s="1"/>
  <c r="R2410" i="2"/>
  <c r="H2410" i="2" s="1"/>
  <c r="S2410" i="2"/>
  <c r="J2410" i="2" s="1"/>
  <c r="R2411" i="2"/>
  <c r="H2411" i="2" s="1"/>
  <c r="S2411" i="2"/>
  <c r="J2411" i="2" s="1"/>
  <c r="R2412" i="2"/>
  <c r="H2412" i="2" s="1"/>
  <c r="S2412" i="2"/>
  <c r="J2412" i="2" s="1"/>
  <c r="R2413" i="2"/>
  <c r="H2413" i="2" s="1"/>
  <c r="S2413" i="2"/>
  <c r="J2413" i="2" s="1"/>
  <c r="R2414" i="2"/>
  <c r="H2414" i="2" s="1"/>
  <c r="S2414" i="2"/>
  <c r="J2414" i="2" s="1"/>
  <c r="R2415" i="2"/>
  <c r="H2415" i="2" s="1"/>
  <c r="S2415" i="2"/>
  <c r="J2415" i="2" s="1"/>
  <c r="R2416" i="2"/>
  <c r="H2416" i="2" s="1"/>
  <c r="S2416" i="2"/>
  <c r="J2416" i="2" s="1"/>
  <c r="R2417" i="2"/>
  <c r="H2417" i="2" s="1"/>
  <c r="S2417" i="2"/>
  <c r="J2417" i="2" s="1"/>
  <c r="R2418" i="2"/>
  <c r="H2418" i="2" s="1"/>
  <c r="S2418" i="2"/>
  <c r="J2418" i="2" s="1"/>
  <c r="R2419" i="2"/>
  <c r="H2419" i="2" s="1"/>
  <c r="S2419" i="2"/>
  <c r="J2419" i="2" s="1"/>
  <c r="R2420" i="2"/>
  <c r="H2420" i="2" s="1"/>
  <c r="S2420" i="2"/>
  <c r="J2420" i="2" s="1"/>
  <c r="R2421" i="2"/>
  <c r="H2421" i="2" s="1"/>
  <c r="S2421" i="2"/>
  <c r="J2421" i="2" s="1"/>
  <c r="R2422" i="2"/>
  <c r="H2422" i="2" s="1"/>
  <c r="S2422" i="2"/>
  <c r="J2422" i="2" s="1"/>
  <c r="R2423" i="2"/>
  <c r="H2423" i="2" s="1"/>
  <c r="S2423" i="2"/>
  <c r="J2423" i="2" s="1"/>
  <c r="R2424" i="2"/>
  <c r="H2424" i="2" s="1"/>
  <c r="S2424" i="2"/>
  <c r="J2424" i="2" s="1"/>
  <c r="R2425" i="2"/>
  <c r="H2425" i="2" s="1"/>
  <c r="S2425" i="2"/>
  <c r="J2425" i="2" s="1"/>
  <c r="R2426" i="2"/>
  <c r="H2426" i="2" s="1"/>
  <c r="S2426" i="2"/>
  <c r="J2426" i="2" s="1"/>
  <c r="R2427" i="2"/>
  <c r="H2427" i="2" s="1"/>
  <c r="S2427" i="2"/>
  <c r="J2427" i="2" s="1"/>
  <c r="R2428" i="2"/>
  <c r="H2428" i="2" s="1"/>
  <c r="S2428" i="2"/>
  <c r="J2428" i="2" s="1"/>
  <c r="R2429" i="2"/>
  <c r="H2429" i="2" s="1"/>
  <c r="S2429" i="2"/>
  <c r="J2429" i="2" s="1"/>
  <c r="R2430" i="2"/>
  <c r="H2430" i="2" s="1"/>
  <c r="S2430" i="2"/>
  <c r="J2430" i="2" s="1"/>
  <c r="R2431" i="2"/>
  <c r="H2431" i="2" s="1"/>
  <c r="S2431" i="2"/>
  <c r="J2431" i="2" s="1"/>
  <c r="R2432" i="2"/>
  <c r="H2432" i="2" s="1"/>
  <c r="S2432" i="2"/>
  <c r="J2432" i="2" s="1"/>
  <c r="R2433" i="2"/>
  <c r="H2433" i="2" s="1"/>
  <c r="S2433" i="2"/>
  <c r="J2433" i="2" s="1"/>
  <c r="R2434" i="2"/>
  <c r="H2434" i="2" s="1"/>
  <c r="S2434" i="2"/>
  <c r="J2434" i="2" s="1"/>
  <c r="R2435" i="2"/>
  <c r="H2435" i="2" s="1"/>
  <c r="S2435" i="2"/>
  <c r="J2435" i="2" s="1"/>
  <c r="R2436" i="2"/>
  <c r="H2436" i="2" s="1"/>
  <c r="S2436" i="2"/>
  <c r="J2436" i="2" s="1"/>
  <c r="R2437" i="2"/>
  <c r="H2437" i="2" s="1"/>
  <c r="S2437" i="2"/>
  <c r="J2437" i="2" s="1"/>
  <c r="R2438" i="2"/>
  <c r="H2438" i="2" s="1"/>
  <c r="S2438" i="2"/>
  <c r="J2438" i="2" s="1"/>
  <c r="R2439" i="2"/>
  <c r="H2439" i="2" s="1"/>
  <c r="S2439" i="2"/>
  <c r="J2439" i="2" s="1"/>
  <c r="R2440" i="2"/>
  <c r="H2440" i="2" s="1"/>
  <c r="S2440" i="2"/>
  <c r="J2440" i="2" s="1"/>
  <c r="R2441" i="2"/>
  <c r="H2441" i="2" s="1"/>
  <c r="S2441" i="2"/>
  <c r="J2441" i="2" s="1"/>
  <c r="R2442" i="2"/>
  <c r="H2442" i="2" s="1"/>
  <c r="S2442" i="2"/>
  <c r="J2442" i="2" s="1"/>
  <c r="R2443" i="2"/>
  <c r="H2443" i="2" s="1"/>
  <c r="S2443" i="2"/>
  <c r="J2443" i="2" s="1"/>
  <c r="R2444" i="2"/>
  <c r="H2444" i="2" s="1"/>
  <c r="S2444" i="2"/>
  <c r="J2444" i="2" s="1"/>
  <c r="R2445" i="2"/>
  <c r="H2445" i="2" s="1"/>
  <c r="S2445" i="2"/>
  <c r="J2445" i="2" s="1"/>
  <c r="R2446" i="2"/>
  <c r="H2446" i="2" s="1"/>
  <c r="S2446" i="2"/>
  <c r="J2446" i="2" s="1"/>
  <c r="R2447" i="2"/>
  <c r="H2447" i="2" s="1"/>
  <c r="S2447" i="2"/>
  <c r="J2447" i="2" s="1"/>
  <c r="R2448" i="2"/>
  <c r="H2448" i="2" s="1"/>
  <c r="S2448" i="2"/>
  <c r="J2448" i="2" s="1"/>
  <c r="R2449" i="2"/>
  <c r="H2449" i="2" s="1"/>
  <c r="S2449" i="2"/>
  <c r="J2449" i="2" s="1"/>
  <c r="R2450" i="2"/>
  <c r="H2450" i="2" s="1"/>
  <c r="S2450" i="2"/>
  <c r="J2450" i="2" s="1"/>
  <c r="R2451" i="2"/>
  <c r="H2451" i="2" s="1"/>
  <c r="S2451" i="2"/>
  <c r="J2451" i="2" s="1"/>
  <c r="R2452" i="2"/>
  <c r="H2452" i="2" s="1"/>
  <c r="S2452" i="2"/>
  <c r="J2452" i="2" s="1"/>
  <c r="R2453" i="2"/>
  <c r="H2453" i="2" s="1"/>
  <c r="S2453" i="2"/>
  <c r="J2453" i="2" s="1"/>
  <c r="R2454" i="2"/>
  <c r="H2454" i="2" s="1"/>
  <c r="S2454" i="2"/>
  <c r="J2454" i="2" s="1"/>
  <c r="R2455" i="2"/>
  <c r="H2455" i="2" s="1"/>
  <c r="S2455" i="2"/>
  <c r="J2455" i="2" s="1"/>
  <c r="R2456" i="2"/>
  <c r="H2456" i="2" s="1"/>
  <c r="S2456" i="2"/>
  <c r="J2456" i="2" s="1"/>
  <c r="R2457" i="2"/>
  <c r="H2457" i="2" s="1"/>
  <c r="S2457" i="2"/>
  <c r="J2457" i="2" s="1"/>
  <c r="R2458" i="2"/>
  <c r="H2458" i="2" s="1"/>
  <c r="S2458" i="2"/>
  <c r="J2458" i="2" s="1"/>
  <c r="R2459" i="2"/>
  <c r="H2459" i="2" s="1"/>
  <c r="S2459" i="2"/>
  <c r="J2459" i="2" s="1"/>
  <c r="R2460" i="2"/>
  <c r="H2460" i="2" s="1"/>
  <c r="S2460" i="2"/>
  <c r="J2460" i="2" s="1"/>
  <c r="R2461" i="2"/>
  <c r="H2461" i="2" s="1"/>
  <c r="S2461" i="2"/>
  <c r="J2461" i="2" s="1"/>
  <c r="R2462" i="2"/>
  <c r="H2462" i="2" s="1"/>
  <c r="S2462" i="2"/>
  <c r="J2462" i="2" s="1"/>
  <c r="R2463" i="2"/>
  <c r="H2463" i="2" s="1"/>
  <c r="S2463" i="2"/>
  <c r="J2463" i="2" s="1"/>
  <c r="R2464" i="2"/>
  <c r="H2464" i="2" s="1"/>
  <c r="S2464" i="2"/>
  <c r="J2464" i="2" s="1"/>
  <c r="R2465" i="2"/>
  <c r="H2465" i="2" s="1"/>
  <c r="S2465" i="2"/>
  <c r="J2465" i="2" s="1"/>
  <c r="R2466" i="2"/>
  <c r="H2466" i="2" s="1"/>
  <c r="S2466" i="2"/>
  <c r="J2466" i="2" s="1"/>
  <c r="R2467" i="2"/>
  <c r="H2467" i="2" s="1"/>
  <c r="S2467" i="2"/>
  <c r="J2467" i="2" s="1"/>
  <c r="R2468" i="2"/>
  <c r="H2468" i="2" s="1"/>
  <c r="S2468" i="2"/>
  <c r="J2468" i="2" s="1"/>
  <c r="R2469" i="2"/>
  <c r="H2469" i="2" s="1"/>
  <c r="S2469" i="2"/>
  <c r="J2469" i="2" s="1"/>
  <c r="R2470" i="2"/>
  <c r="H2470" i="2" s="1"/>
  <c r="S2470" i="2"/>
  <c r="J2470" i="2" s="1"/>
  <c r="R2471" i="2"/>
  <c r="H2471" i="2" s="1"/>
  <c r="S2471" i="2"/>
  <c r="J2471" i="2" s="1"/>
  <c r="R2472" i="2"/>
  <c r="H2472" i="2" s="1"/>
  <c r="S2472" i="2"/>
  <c r="J2472" i="2" s="1"/>
  <c r="R2473" i="2"/>
  <c r="H2473" i="2" s="1"/>
  <c r="S2473" i="2"/>
  <c r="J2473" i="2" s="1"/>
  <c r="R2474" i="2"/>
  <c r="H2474" i="2" s="1"/>
  <c r="S2474" i="2"/>
  <c r="J2474" i="2" s="1"/>
  <c r="R2475" i="2"/>
  <c r="H2475" i="2" s="1"/>
  <c r="S2475" i="2"/>
  <c r="J2475" i="2" s="1"/>
  <c r="R2476" i="2"/>
  <c r="H2476" i="2" s="1"/>
  <c r="S2476" i="2"/>
  <c r="J2476" i="2" s="1"/>
  <c r="R2477" i="2"/>
  <c r="H2477" i="2" s="1"/>
  <c r="S2477" i="2"/>
  <c r="J2477" i="2" s="1"/>
  <c r="R2478" i="2"/>
  <c r="H2478" i="2" s="1"/>
  <c r="S2478" i="2"/>
  <c r="J2478" i="2" s="1"/>
  <c r="R2479" i="2"/>
  <c r="H2479" i="2" s="1"/>
  <c r="S2479" i="2"/>
  <c r="J2479" i="2" s="1"/>
  <c r="R2480" i="2"/>
  <c r="H2480" i="2" s="1"/>
  <c r="S2480" i="2"/>
  <c r="J2480" i="2" s="1"/>
  <c r="R2481" i="2"/>
  <c r="H2481" i="2" s="1"/>
  <c r="S2481" i="2"/>
  <c r="J2481" i="2" s="1"/>
  <c r="R2482" i="2"/>
  <c r="H2482" i="2" s="1"/>
  <c r="S2482" i="2"/>
  <c r="J2482" i="2" s="1"/>
  <c r="R2483" i="2"/>
  <c r="H2483" i="2" s="1"/>
  <c r="S2483" i="2"/>
  <c r="J2483" i="2" s="1"/>
  <c r="R2484" i="2"/>
  <c r="H2484" i="2" s="1"/>
  <c r="S2484" i="2"/>
  <c r="J2484" i="2" s="1"/>
  <c r="R2485" i="2"/>
  <c r="H2485" i="2" s="1"/>
  <c r="S2485" i="2"/>
  <c r="J2485" i="2" s="1"/>
  <c r="R2486" i="2"/>
  <c r="H2486" i="2" s="1"/>
  <c r="S2486" i="2"/>
  <c r="J2486" i="2" s="1"/>
  <c r="R2487" i="2"/>
  <c r="H2487" i="2" s="1"/>
  <c r="S2487" i="2"/>
  <c r="J2487" i="2" s="1"/>
  <c r="R2488" i="2"/>
  <c r="H2488" i="2" s="1"/>
  <c r="S2488" i="2"/>
  <c r="J2488" i="2" s="1"/>
  <c r="R2489" i="2"/>
  <c r="H2489" i="2" s="1"/>
  <c r="S2489" i="2"/>
  <c r="J2489" i="2" s="1"/>
  <c r="R2490" i="2"/>
  <c r="H2490" i="2" s="1"/>
  <c r="S2490" i="2"/>
  <c r="J2490" i="2" s="1"/>
  <c r="R2491" i="2"/>
  <c r="H2491" i="2" s="1"/>
  <c r="S2491" i="2"/>
  <c r="J2491" i="2" s="1"/>
  <c r="R2492" i="2"/>
  <c r="H2492" i="2" s="1"/>
  <c r="S2492" i="2"/>
  <c r="J2492" i="2" s="1"/>
  <c r="R2493" i="2"/>
  <c r="H2493" i="2" s="1"/>
  <c r="S2493" i="2"/>
  <c r="J2493" i="2" s="1"/>
  <c r="R2494" i="2"/>
  <c r="H2494" i="2" s="1"/>
  <c r="S2494" i="2"/>
  <c r="J2494" i="2" s="1"/>
  <c r="R2495" i="2"/>
  <c r="H2495" i="2" s="1"/>
  <c r="S2495" i="2"/>
  <c r="J2495" i="2" s="1"/>
  <c r="R2496" i="2"/>
  <c r="H2496" i="2" s="1"/>
  <c r="S2496" i="2"/>
  <c r="J2496" i="2" s="1"/>
  <c r="R2497" i="2"/>
  <c r="H2497" i="2" s="1"/>
  <c r="S2497" i="2"/>
  <c r="J2497" i="2" s="1"/>
  <c r="R2498" i="2"/>
  <c r="H2498" i="2" s="1"/>
  <c r="S2498" i="2"/>
  <c r="J2498" i="2" s="1"/>
  <c r="R2499" i="2"/>
  <c r="H2499" i="2" s="1"/>
  <c r="S2499" i="2"/>
  <c r="J2499" i="2" s="1"/>
  <c r="R2500" i="2"/>
  <c r="H2500" i="2" s="1"/>
  <c r="S2500" i="2"/>
  <c r="J2500" i="2" s="1"/>
  <c r="R2501" i="2"/>
  <c r="H2501" i="2" s="1"/>
  <c r="S2501" i="2"/>
  <c r="J2501" i="2" s="1"/>
  <c r="R2502" i="2"/>
  <c r="H2502" i="2" s="1"/>
  <c r="S2502" i="2"/>
  <c r="J2502" i="2" s="1"/>
  <c r="R2503" i="2"/>
  <c r="H2503" i="2" s="1"/>
  <c r="S2503" i="2"/>
  <c r="J2503" i="2" s="1"/>
  <c r="R2504" i="2"/>
  <c r="H2504" i="2" s="1"/>
  <c r="S2504" i="2"/>
  <c r="J2504" i="2" s="1"/>
  <c r="R2505" i="2"/>
  <c r="H2505" i="2" s="1"/>
  <c r="S2505" i="2"/>
  <c r="J2505" i="2" s="1"/>
  <c r="R2506" i="2"/>
  <c r="H2506" i="2" s="1"/>
  <c r="S2506" i="2"/>
  <c r="J2506" i="2" s="1"/>
  <c r="R2507" i="2"/>
  <c r="H2507" i="2" s="1"/>
  <c r="S2507" i="2"/>
  <c r="J2507" i="2" s="1"/>
  <c r="R2508" i="2"/>
  <c r="H2508" i="2" s="1"/>
  <c r="S2508" i="2"/>
  <c r="J2508" i="2" s="1"/>
  <c r="R2509" i="2"/>
  <c r="H2509" i="2" s="1"/>
  <c r="S2509" i="2"/>
  <c r="J2509" i="2" s="1"/>
  <c r="R2510" i="2"/>
  <c r="H2510" i="2" s="1"/>
  <c r="S2510" i="2"/>
  <c r="J2510" i="2" s="1"/>
  <c r="R2511" i="2"/>
  <c r="H2511" i="2" s="1"/>
  <c r="S2511" i="2"/>
  <c r="J2511" i="2" s="1"/>
  <c r="R2512" i="2"/>
  <c r="H2512" i="2" s="1"/>
  <c r="S2512" i="2"/>
  <c r="J2512" i="2" s="1"/>
  <c r="R2513" i="2"/>
  <c r="H2513" i="2" s="1"/>
  <c r="S2513" i="2"/>
  <c r="J2513" i="2" s="1"/>
  <c r="R2514" i="2"/>
  <c r="H2514" i="2" s="1"/>
  <c r="S2514" i="2"/>
  <c r="J2514" i="2" s="1"/>
  <c r="R2515" i="2"/>
  <c r="H2515" i="2" s="1"/>
  <c r="S2515" i="2"/>
  <c r="J2515" i="2" s="1"/>
  <c r="R2516" i="2"/>
  <c r="H2516" i="2" s="1"/>
  <c r="S2516" i="2"/>
  <c r="J2516" i="2" s="1"/>
  <c r="R2517" i="2"/>
  <c r="H2517" i="2" s="1"/>
  <c r="S2517" i="2"/>
  <c r="J2517" i="2" s="1"/>
  <c r="R2518" i="2"/>
  <c r="H2518" i="2" s="1"/>
  <c r="S2518" i="2"/>
  <c r="J2518" i="2" s="1"/>
  <c r="R2519" i="2"/>
  <c r="H2519" i="2" s="1"/>
  <c r="S2519" i="2"/>
  <c r="J2519" i="2" s="1"/>
  <c r="R2520" i="2"/>
  <c r="H2520" i="2" s="1"/>
  <c r="S2520" i="2"/>
  <c r="J2520" i="2" s="1"/>
  <c r="R2521" i="2"/>
  <c r="H2521" i="2" s="1"/>
  <c r="S2521" i="2"/>
  <c r="J2521" i="2" s="1"/>
  <c r="R2522" i="2"/>
  <c r="H2522" i="2" s="1"/>
  <c r="S2522" i="2"/>
  <c r="J2522" i="2" s="1"/>
  <c r="R2523" i="2"/>
  <c r="H2523" i="2" s="1"/>
  <c r="S2523" i="2"/>
  <c r="J2523" i="2" s="1"/>
  <c r="R2524" i="2"/>
  <c r="H2524" i="2" s="1"/>
  <c r="S2524" i="2"/>
  <c r="J2524" i="2" s="1"/>
  <c r="R2525" i="2"/>
  <c r="H2525" i="2" s="1"/>
  <c r="S2525" i="2"/>
  <c r="J2525" i="2" s="1"/>
  <c r="R2526" i="2"/>
  <c r="H2526" i="2" s="1"/>
  <c r="S2526" i="2"/>
  <c r="J2526" i="2" s="1"/>
  <c r="R2527" i="2"/>
  <c r="H2527" i="2" s="1"/>
  <c r="S2527" i="2"/>
  <c r="J2527" i="2" s="1"/>
  <c r="R2528" i="2"/>
  <c r="H2528" i="2" s="1"/>
  <c r="S2528" i="2"/>
  <c r="J2528" i="2" s="1"/>
  <c r="R2529" i="2"/>
  <c r="H2529" i="2" s="1"/>
  <c r="S2529" i="2"/>
  <c r="J2529" i="2" s="1"/>
  <c r="R2530" i="2"/>
  <c r="H2530" i="2" s="1"/>
  <c r="S2530" i="2"/>
  <c r="J2530" i="2" s="1"/>
  <c r="R2531" i="2"/>
  <c r="H2531" i="2" s="1"/>
  <c r="S2531" i="2"/>
  <c r="J2531" i="2" s="1"/>
  <c r="R2532" i="2"/>
  <c r="H2532" i="2" s="1"/>
  <c r="S2532" i="2"/>
  <c r="J2532" i="2" s="1"/>
  <c r="R2533" i="2"/>
  <c r="H2533" i="2" s="1"/>
  <c r="S2533" i="2"/>
  <c r="J2533" i="2" s="1"/>
  <c r="R2534" i="2"/>
  <c r="H2534" i="2" s="1"/>
  <c r="S2534" i="2"/>
  <c r="J2534" i="2" s="1"/>
  <c r="R2535" i="2"/>
  <c r="H2535" i="2" s="1"/>
  <c r="S2535" i="2"/>
  <c r="J2535" i="2" s="1"/>
  <c r="R2536" i="2"/>
  <c r="H2536" i="2" s="1"/>
  <c r="S2536" i="2"/>
  <c r="J2536" i="2" s="1"/>
  <c r="R2537" i="2"/>
  <c r="H2537" i="2" s="1"/>
  <c r="S2537" i="2"/>
  <c r="J2537" i="2" s="1"/>
  <c r="R2538" i="2"/>
  <c r="H2538" i="2" s="1"/>
  <c r="S2538" i="2"/>
  <c r="J2538" i="2" s="1"/>
  <c r="R2539" i="2"/>
  <c r="H2539" i="2" s="1"/>
  <c r="S2539" i="2"/>
  <c r="J2539" i="2" s="1"/>
  <c r="R2540" i="2"/>
  <c r="H2540" i="2" s="1"/>
  <c r="S2540" i="2"/>
  <c r="J2540" i="2" s="1"/>
  <c r="R2541" i="2"/>
  <c r="H2541" i="2" s="1"/>
  <c r="S2541" i="2"/>
  <c r="J2541" i="2" s="1"/>
  <c r="R2542" i="2"/>
  <c r="H2542" i="2" s="1"/>
  <c r="S2542" i="2"/>
  <c r="J2542" i="2" s="1"/>
  <c r="R2543" i="2"/>
  <c r="H2543" i="2" s="1"/>
  <c r="S2543" i="2"/>
  <c r="J2543" i="2" s="1"/>
  <c r="R2544" i="2"/>
  <c r="H2544" i="2" s="1"/>
  <c r="S2544" i="2"/>
  <c r="J2544" i="2" s="1"/>
  <c r="R2545" i="2"/>
  <c r="H2545" i="2" s="1"/>
  <c r="S2545" i="2"/>
  <c r="J2545" i="2" s="1"/>
  <c r="R2546" i="2"/>
  <c r="H2546" i="2" s="1"/>
  <c r="S2546" i="2"/>
  <c r="J2546" i="2" s="1"/>
  <c r="R2547" i="2"/>
  <c r="H2547" i="2" s="1"/>
  <c r="S2547" i="2"/>
  <c r="J2547" i="2" s="1"/>
  <c r="R2548" i="2"/>
  <c r="H2548" i="2" s="1"/>
  <c r="S2548" i="2"/>
  <c r="J2548" i="2" s="1"/>
  <c r="R2549" i="2"/>
  <c r="H2549" i="2" s="1"/>
  <c r="S2549" i="2"/>
  <c r="J2549" i="2" s="1"/>
  <c r="R2550" i="2"/>
  <c r="H2550" i="2" s="1"/>
  <c r="S2550" i="2"/>
  <c r="J2550" i="2" s="1"/>
  <c r="R2551" i="2"/>
  <c r="H2551" i="2" s="1"/>
  <c r="S2551" i="2"/>
  <c r="J2551" i="2" s="1"/>
  <c r="R2552" i="2"/>
  <c r="H2552" i="2" s="1"/>
  <c r="S2552" i="2"/>
  <c r="J2552" i="2" s="1"/>
  <c r="R2553" i="2"/>
  <c r="H2553" i="2" s="1"/>
  <c r="S2553" i="2"/>
  <c r="J2553" i="2" s="1"/>
  <c r="R2554" i="2"/>
  <c r="H2554" i="2" s="1"/>
  <c r="S2554" i="2"/>
  <c r="J2554" i="2" s="1"/>
  <c r="R2555" i="2"/>
  <c r="H2555" i="2" s="1"/>
  <c r="S2555" i="2"/>
  <c r="J2555" i="2" s="1"/>
  <c r="R2556" i="2"/>
  <c r="H2556" i="2" s="1"/>
  <c r="S2556" i="2"/>
  <c r="J2556" i="2" s="1"/>
  <c r="R2557" i="2"/>
  <c r="H2557" i="2" s="1"/>
  <c r="S2557" i="2"/>
  <c r="J2557" i="2" s="1"/>
  <c r="R2558" i="2"/>
  <c r="H2558" i="2" s="1"/>
  <c r="S2558" i="2"/>
  <c r="J2558" i="2" s="1"/>
  <c r="R2559" i="2"/>
  <c r="H2559" i="2" s="1"/>
  <c r="S2559" i="2"/>
  <c r="J2559" i="2" s="1"/>
  <c r="R2560" i="2"/>
  <c r="H2560" i="2" s="1"/>
  <c r="S2560" i="2"/>
  <c r="J2560" i="2" s="1"/>
  <c r="R2561" i="2"/>
  <c r="H2561" i="2" s="1"/>
  <c r="S2561" i="2"/>
  <c r="J2561" i="2" s="1"/>
  <c r="R2562" i="2"/>
  <c r="H2562" i="2" s="1"/>
  <c r="S2562" i="2"/>
  <c r="J2562" i="2" s="1"/>
  <c r="R2563" i="2"/>
  <c r="H2563" i="2" s="1"/>
  <c r="S2563" i="2"/>
  <c r="J2563" i="2" s="1"/>
  <c r="R2564" i="2"/>
  <c r="H2564" i="2" s="1"/>
  <c r="S2564" i="2"/>
  <c r="J2564" i="2" s="1"/>
  <c r="R2565" i="2"/>
  <c r="H2565" i="2" s="1"/>
  <c r="S2565" i="2"/>
  <c r="J2565" i="2" s="1"/>
  <c r="R2566" i="2"/>
  <c r="H2566" i="2" s="1"/>
  <c r="S2566" i="2"/>
  <c r="J2566" i="2" s="1"/>
  <c r="R2567" i="2"/>
  <c r="H2567" i="2" s="1"/>
  <c r="S2567" i="2"/>
  <c r="J2567" i="2" s="1"/>
  <c r="R2568" i="2"/>
  <c r="H2568" i="2" s="1"/>
  <c r="S2568" i="2"/>
  <c r="J2568" i="2" s="1"/>
  <c r="R2569" i="2"/>
  <c r="H2569" i="2" s="1"/>
  <c r="S2569" i="2"/>
  <c r="J2569" i="2" s="1"/>
  <c r="R2570" i="2"/>
  <c r="H2570" i="2" s="1"/>
  <c r="S2570" i="2"/>
  <c r="J2570" i="2" s="1"/>
  <c r="R2571" i="2"/>
  <c r="H2571" i="2" s="1"/>
  <c r="S2571" i="2"/>
  <c r="J2571" i="2" s="1"/>
  <c r="R2572" i="2"/>
  <c r="H2572" i="2" s="1"/>
  <c r="S2572" i="2"/>
  <c r="J2572" i="2" s="1"/>
  <c r="R2573" i="2"/>
  <c r="H2573" i="2" s="1"/>
  <c r="S2573" i="2"/>
  <c r="J2573" i="2" s="1"/>
  <c r="R2574" i="2"/>
  <c r="H2574" i="2" s="1"/>
  <c r="S2574" i="2"/>
  <c r="J2574" i="2" s="1"/>
  <c r="R2575" i="2"/>
  <c r="H2575" i="2" s="1"/>
  <c r="S2575" i="2"/>
  <c r="J2575" i="2" s="1"/>
  <c r="R2576" i="2"/>
  <c r="H2576" i="2" s="1"/>
  <c r="S2576" i="2"/>
  <c r="J2576" i="2" s="1"/>
  <c r="R2577" i="2"/>
  <c r="H2577" i="2" s="1"/>
  <c r="S2577" i="2"/>
  <c r="J2577" i="2" s="1"/>
  <c r="R2578" i="2"/>
  <c r="H2578" i="2" s="1"/>
  <c r="S2578" i="2"/>
  <c r="J2578" i="2" s="1"/>
  <c r="R2579" i="2"/>
  <c r="H2579" i="2" s="1"/>
  <c r="S2579" i="2"/>
  <c r="J2579" i="2" s="1"/>
  <c r="R2580" i="2"/>
  <c r="H2580" i="2" s="1"/>
  <c r="S2580" i="2"/>
  <c r="J2580" i="2" s="1"/>
  <c r="R2581" i="2"/>
  <c r="H2581" i="2" s="1"/>
  <c r="S2581" i="2"/>
  <c r="J2581" i="2" s="1"/>
  <c r="R2582" i="2"/>
  <c r="H2582" i="2" s="1"/>
  <c r="S2582" i="2"/>
  <c r="J2582" i="2" s="1"/>
  <c r="R2583" i="2"/>
  <c r="H2583" i="2" s="1"/>
  <c r="S2583" i="2"/>
  <c r="J2583" i="2" s="1"/>
  <c r="R2584" i="2"/>
  <c r="H2584" i="2" s="1"/>
  <c r="S2584" i="2"/>
  <c r="J2584" i="2" s="1"/>
  <c r="R2585" i="2"/>
  <c r="H2585" i="2" s="1"/>
  <c r="S2585" i="2"/>
  <c r="J2585" i="2" s="1"/>
  <c r="R2586" i="2"/>
  <c r="H2586" i="2" s="1"/>
  <c r="S2586" i="2"/>
  <c r="J2586" i="2" s="1"/>
  <c r="R2587" i="2"/>
  <c r="H2587" i="2" s="1"/>
  <c r="S2587" i="2"/>
  <c r="J2587" i="2" s="1"/>
  <c r="R2588" i="2"/>
  <c r="H2588" i="2" s="1"/>
  <c r="S2588" i="2"/>
  <c r="J2588" i="2" s="1"/>
  <c r="R2589" i="2"/>
  <c r="H2589" i="2" s="1"/>
  <c r="S2589" i="2"/>
  <c r="J2589" i="2" s="1"/>
  <c r="R2590" i="2"/>
  <c r="H2590" i="2" s="1"/>
  <c r="S2590" i="2"/>
  <c r="J2590" i="2" s="1"/>
  <c r="R2591" i="2"/>
  <c r="H2591" i="2" s="1"/>
  <c r="S2591" i="2"/>
  <c r="J2591" i="2" s="1"/>
  <c r="R2592" i="2"/>
  <c r="H2592" i="2" s="1"/>
  <c r="S2592" i="2"/>
  <c r="J2592" i="2" s="1"/>
  <c r="R2593" i="2"/>
  <c r="H2593" i="2" s="1"/>
  <c r="S2593" i="2"/>
  <c r="J2593" i="2" s="1"/>
  <c r="R2594" i="2"/>
  <c r="H2594" i="2" s="1"/>
  <c r="S2594" i="2"/>
  <c r="J2594" i="2" s="1"/>
  <c r="R2595" i="2"/>
  <c r="H2595" i="2" s="1"/>
  <c r="S2595" i="2"/>
  <c r="J2595" i="2" s="1"/>
  <c r="R2596" i="2"/>
  <c r="H2596" i="2" s="1"/>
  <c r="S2596" i="2"/>
  <c r="J2596" i="2" s="1"/>
  <c r="R2597" i="2"/>
  <c r="H2597" i="2" s="1"/>
  <c r="S2597" i="2"/>
  <c r="J2597" i="2" s="1"/>
  <c r="R2598" i="2"/>
  <c r="H2598" i="2" s="1"/>
  <c r="S2598" i="2"/>
  <c r="J2598" i="2" s="1"/>
  <c r="R2599" i="2"/>
  <c r="H2599" i="2" s="1"/>
  <c r="S2599" i="2"/>
  <c r="J2599" i="2" s="1"/>
  <c r="R2600" i="2"/>
  <c r="H2600" i="2" s="1"/>
  <c r="S2600" i="2"/>
  <c r="J2600" i="2" s="1"/>
  <c r="R2601" i="2"/>
  <c r="H2601" i="2" s="1"/>
  <c r="S2601" i="2"/>
  <c r="J2601" i="2" s="1"/>
  <c r="R2602" i="2"/>
  <c r="H2602" i="2" s="1"/>
  <c r="S2602" i="2"/>
  <c r="J2602" i="2" s="1"/>
  <c r="R2603" i="2"/>
  <c r="H2603" i="2" s="1"/>
  <c r="S2603" i="2"/>
  <c r="J2603" i="2" s="1"/>
  <c r="R2604" i="2"/>
  <c r="H2604" i="2" s="1"/>
  <c r="S2604" i="2"/>
  <c r="J2604" i="2" s="1"/>
  <c r="R2605" i="2"/>
  <c r="H2605" i="2" s="1"/>
  <c r="S2605" i="2"/>
  <c r="J2605" i="2" s="1"/>
  <c r="R2606" i="2"/>
  <c r="H2606" i="2" s="1"/>
  <c r="S2606" i="2"/>
  <c r="J2606" i="2" s="1"/>
  <c r="R2607" i="2"/>
  <c r="H2607" i="2" s="1"/>
  <c r="S2607" i="2"/>
  <c r="J2607" i="2" s="1"/>
  <c r="R2608" i="2"/>
  <c r="H2608" i="2" s="1"/>
  <c r="S2608" i="2"/>
  <c r="J2608" i="2" s="1"/>
  <c r="R2609" i="2"/>
  <c r="H2609" i="2" s="1"/>
  <c r="S2609" i="2"/>
  <c r="J2609" i="2" s="1"/>
  <c r="R2610" i="2"/>
  <c r="H2610" i="2" s="1"/>
  <c r="S2610" i="2"/>
  <c r="J2610" i="2" s="1"/>
  <c r="R2611" i="2"/>
  <c r="H2611" i="2" s="1"/>
  <c r="S2611" i="2"/>
  <c r="J2611" i="2" s="1"/>
  <c r="R2612" i="2"/>
  <c r="H2612" i="2" s="1"/>
  <c r="S2612" i="2"/>
  <c r="J2612" i="2" s="1"/>
  <c r="R2613" i="2"/>
  <c r="H2613" i="2" s="1"/>
  <c r="S2613" i="2"/>
  <c r="J2613" i="2" s="1"/>
  <c r="R2614" i="2"/>
  <c r="H2614" i="2" s="1"/>
  <c r="S2614" i="2"/>
  <c r="J2614" i="2" s="1"/>
  <c r="R2615" i="2"/>
  <c r="H2615" i="2" s="1"/>
  <c r="S2615" i="2"/>
  <c r="J2615" i="2" s="1"/>
  <c r="R2616" i="2"/>
  <c r="H2616" i="2" s="1"/>
  <c r="S2616" i="2"/>
  <c r="J2616" i="2" s="1"/>
  <c r="R2617" i="2"/>
  <c r="H2617" i="2" s="1"/>
  <c r="S2617" i="2"/>
  <c r="J2617" i="2" s="1"/>
  <c r="R2618" i="2"/>
  <c r="H2618" i="2" s="1"/>
  <c r="S2618" i="2"/>
  <c r="J2618" i="2" s="1"/>
  <c r="R2619" i="2"/>
  <c r="H2619" i="2" s="1"/>
  <c r="S2619" i="2"/>
  <c r="J2619" i="2" s="1"/>
  <c r="R2620" i="2"/>
  <c r="H2620" i="2" s="1"/>
  <c r="S2620" i="2"/>
  <c r="J2620" i="2" s="1"/>
  <c r="R2621" i="2"/>
  <c r="H2621" i="2" s="1"/>
  <c r="S2621" i="2"/>
  <c r="J2621" i="2" s="1"/>
  <c r="R2622" i="2"/>
  <c r="H2622" i="2" s="1"/>
  <c r="S2622" i="2"/>
  <c r="J2622" i="2" s="1"/>
  <c r="R2623" i="2"/>
  <c r="H2623" i="2" s="1"/>
  <c r="S2623" i="2"/>
  <c r="J2623" i="2" s="1"/>
  <c r="R2624" i="2"/>
  <c r="H2624" i="2" s="1"/>
  <c r="S2624" i="2"/>
  <c r="J2624" i="2" s="1"/>
  <c r="R2625" i="2"/>
  <c r="H2625" i="2" s="1"/>
  <c r="S2625" i="2"/>
  <c r="J2625" i="2" s="1"/>
  <c r="R2626" i="2"/>
  <c r="H2626" i="2" s="1"/>
  <c r="S2626" i="2"/>
  <c r="J2626" i="2" s="1"/>
  <c r="R2627" i="2"/>
  <c r="H2627" i="2" s="1"/>
  <c r="S2627" i="2"/>
  <c r="J2627" i="2" s="1"/>
  <c r="R2628" i="2"/>
  <c r="H2628" i="2" s="1"/>
  <c r="S2628" i="2"/>
  <c r="J2628" i="2" s="1"/>
  <c r="R2629" i="2"/>
  <c r="H2629" i="2" s="1"/>
  <c r="S2629" i="2"/>
  <c r="J2629" i="2" s="1"/>
  <c r="R2630" i="2"/>
  <c r="H2630" i="2" s="1"/>
  <c r="S2630" i="2"/>
  <c r="J2630" i="2" s="1"/>
  <c r="R2631" i="2"/>
  <c r="H2631" i="2" s="1"/>
  <c r="S2631" i="2"/>
  <c r="J2631" i="2" s="1"/>
  <c r="R2632" i="2"/>
  <c r="H2632" i="2" s="1"/>
  <c r="S2632" i="2"/>
  <c r="J2632" i="2" s="1"/>
  <c r="R2633" i="2"/>
  <c r="H2633" i="2" s="1"/>
  <c r="S2633" i="2"/>
  <c r="J2633" i="2" s="1"/>
  <c r="R2634" i="2"/>
  <c r="H2634" i="2" s="1"/>
  <c r="S2634" i="2"/>
  <c r="J2634" i="2" s="1"/>
  <c r="R2635" i="2"/>
  <c r="H2635" i="2" s="1"/>
  <c r="S2635" i="2"/>
  <c r="J2635" i="2" s="1"/>
  <c r="R2636" i="2"/>
  <c r="H2636" i="2" s="1"/>
  <c r="S2636" i="2"/>
  <c r="J2636" i="2" s="1"/>
  <c r="R2637" i="2"/>
  <c r="H2637" i="2" s="1"/>
  <c r="S2637" i="2"/>
  <c r="J2637" i="2" s="1"/>
  <c r="R2638" i="2"/>
  <c r="H2638" i="2" s="1"/>
  <c r="S2638" i="2"/>
  <c r="J2638" i="2" s="1"/>
  <c r="R2639" i="2"/>
  <c r="H2639" i="2" s="1"/>
  <c r="S2639" i="2"/>
  <c r="J2639" i="2" s="1"/>
  <c r="R2640" i="2"/>
  <c r="H2640" i="2" s="1"/>
  <c r="S2640" i="2"/>
  <c r="J2640" i="2" s="1"/>
  <c r="R2641" i="2"/>
  <c r="H2641" i="2" s="1"/>
  <c r="S2641" i="2"/>
  <c r="J2641" i="2" s="1"/>
  <c r="R2642" i="2"/>
  <c r="H2642" i="2" s="1"/>
  <c r="S2642" i="2"/>
  <c r="J2642" i="2" s="1"/>
  <c r="R2643" i="2"/>
  <c r="H2643" i="2" s="1"/>
  <c r="S2643" i="2"/>
  <c r="J2643" i="2" s="1"/>
  <c r="R2644" i="2"/>
  <c r="H2644" i="2" s="1"/>
  <c r="S2644" i="2"/>
  <c r="J2644" i="2" s="1"/>
  <c r="R2645" i="2"/>
  <c r="H2645" i="2" s="1"/>
  <c r="S2645" i="2"/>
  <c r="J2645" i="2" s="1"/>
  <c r="R2646" i="2"/>
  <c r="H2646" i="2" s="1"/>
  <c r="S2646" i="2"/>
  <c r="J2646" i="2" s="1"/>
  <c r="R2647" i="2"/>
  <c r="H2647" i="2" s="1"/>
  <c r="S2647" i="2"/>
  <c r="J2647" i="2" s="1"/>
  <c r="R2648" i="2"/>
  <c r="H2648" i="2" s="1"/>
  <c r="S2648" i="2"/>
  <c r="J2648" i="2" s="1"/>
  <c r="R2649" i="2"/>
  <c r="H2649" i="2" s="1"/>
  <c r="S2649" i="2"/>
  <c r="J2649" i="2" s="1"/>
  <c r="R2650" i="2"/>
  <c r="H2650" i="2" s="1"/>
  <c r="S2650" i="2"/>
  <c r="J2650" i="2" s="1"/>
  <c r="R2651" i="2"/>
  <c r="H2651" i="2" s="1"/>
  <c r="S2651" i="2"/>
  <c r="J2651" i="2" s="1"/>
  <c r="R2652" i="2"/>
  <c r="H2652" i="2" s="1"/>
  <c r="S2652" i="2"/>
  <c r="J2652" i="2" s="1"/>
  <c r="R2653" i="2"/>
  <c r="H2653" i="2" s="1"/>
  <c r="S2653" i="2"/>
  <c r="J2653" i="2" s="1"/>
  <c r="R2654" i="2"/>
  <c r="H2654" i="2" s="1"/>
  <c r="S2654" i="2"/>
  <c r="J2654" i="2" s="1"/>
  <c r="R2655" i="2"/>
  <c r="H2655" i="2" s="1"/>
  <c r="S2655" i="2"/>
  <c r="J2655" i="2" s="1"/>
  <c r="R2656" i="2"/>
  <c r="H2656" i="2" s="1"/>
  <c r="S2656" i="2"/>
  <c r="J2656" i="2" s="1"/>
  <c r="R2657" i="2"/>
  <c r="H2657" i="2" s="1"/>
  <c r="S2657" i="2"/>
  <c r="J2657" i="2" s="1"/>
  <c r="R2658" i="2"/>
  <c r="H2658" i="2" s="1"/>
  <c r="S2658" i="2"/>
  <c r="J2658" i="2" s="1"/>
  <c r="R2659" i="2"/>
  <c r="H2659" i="2" s="1"/>
  <c r="S2659" i="2"/>
  <c r="J2659" i="2" s="1"/>
  <c r="R2660" i="2"/>
  <c r="H2660" i="2" s="1"/>
  <c r="S2660" i="2"/>
  <c r="J2660" i="2" s="1"/>
  <c r="R2661" i="2"/>
  <c r="H2661" i="2" s="1"/>
  <c r="S2661" i="2"/>
  <c r="J2661" i="2" s="1"/>
  <c r="R2662" i="2"/>
  <c r="H2662" i="2" s="1"/>
  <c r="S2662" i="2"/>
  <c r="J2662" i="2" s="1"/>
  <c r="R2663" i="2"/>
  <c r="H2663" i="2" s="1"/>
  <c r="S2663" i="2"/>
  <c r="J2663" i="2" s="1"/>
  <c r="R2664" i="2"/>
  <c r="H2664" i="2" s="1"/>
  <c r="S2664" i="2"/>
  <c r="J2664" i="2" s="1"/>
  <c r="R2665" i="2"/>
  <c r="H2665" i="2" s="1"/>
  <c r="S2665" i="2"/>
  <c r="J2665" i="2" s="1"/>
  <c r="R2666" i="2"/>
  <c r="H2666" i="2" s="1"/>
  <c r="S2666" i="2"/>
  <c r="J2666" i="2" s="1"/>
  <c r="R2667" i="2"/>
  <c r="H2667" i="2" s="1"/>
  <c r="S2667" i="2"/>
  <c r="J2667" i="2" s="1"/>
  <c r="R2668" i="2"/>
  <c r="H2668" i="2" s="1"/>
  <c r="S2668" i="2"/>
  <c r="J2668" i="2" s="1"/>
  <c r="R2669" i="2"/>
  <c r="H2669" i="2" s="1"/>
  <c r="S2669" i="2"/>
  <c r="J2669" i="2" s="1"/>
  <c r="R2670" i="2"/>
  <c r="H2670" i="2" s="1"/>
  <c r="S2670" i="2"/>
  <c r="J2670" i="2" s="1"/>
  <c r="R2671" i="2"/>
  <c r="H2671" i="2" s="1"/>
  <c r="S2671" i="2"/>
  <c r="J2671" i="2" s="1"/>
  <c r="R2672" i="2"/>
  <c r="H2672" i="2" s="1"/>
  <c r="S2672" i="2"/>
  <c r="J2672" i="2" s="1"/>
  <c r="R2673" i="2"/>
  <c r="H2673" i="2" s="1"/>
  <c r="S2673" i="2"/>
  <c r="J2673" i="2" s="1"/>
  <c r="R2674" i="2"/>
  <c r="H2674" i="2" s="1"/>
  <c r="S2674" i="2"/>
  <c r="J2674" i="2" s="1"/>
  <c r="R2675" i="2"/>
  <c r="H2675" i="2" s="1"/>
  <c r="S2675" i="2"/>
  <c r="J2675" i="2" s="1"/>
  <c r="R2676" i="2"/>
  <c r="H2676" i="2" s="1"/>
  <c r="S2676" i="2"/>
  <c r="J2676" i="2" s="1"/>
  <c r="R2677" i="2"/>
  <c r="H2677" i="2" s="1"/>
  <c r="S2677" i="2"/>
  <c r="J2677" i="2" s="1"/>
  <c r="R2678" i="2"/>
  <c r="H2678" i="2" s="1"/>
  <c r="S2678" i="2"/>
  <c r="J2678" i="2" s="1"/>
  <c r="R2679" i="2"/>
  <c r="H2679" i="2" s="1"/>
  <c r="S2679" i="2"/>
  <c r="J2679" i="2" s="1"/>
  <c r="R2680" i="2"/>
  <c r="H2680" i="2" s="1"/>
  <c r="S2680" i="2"/>
  <c r="J2680" i="2" s="1"/>
  <c r="R2681" i="2"/>
  <c r="H2681" i="2" s="1"/>
  <c r="S2681" i="2"/>
  <c r="J2681" i="2" s="1"/>
  <c r="R2682" i="2"/>
  <c r="H2682" i="2" s="1"/>
  <c r="S2682" i="2"/>
  <c r="J2682" i="2" s="1"/>
  <c r="R2683" i="2"/>
  <c r="H2683" i="2" s="1"/>
  <c r="S2683" i="2"/>
  <c r="J2683" i="2" s="1"/>
  <c r="R2684" i="2"/>
  <c r="H2684" i="2" s="1"/>
  <c r="S2684" i="2"/>
  <c r="J2684" i="2" s="1"/>
  <c r="R2685" i="2"/>
  <c r="H2685" i="2" s="1"/>
  <c r="S2685" i="2"/>
  <c r="J2685" i="2" s="1"/>
  <c r="R2686" i="2"/>
  <c r="H2686" i="2" s="1"/>
  <c r="S2686" i="2"/>
  <c r="J2686" i="2" s="1"/>
  <c r="R2687" i="2"/>
  <c r="H2687" i="2" s="1"/>
  <c r="S2687" i="2"/>
  <c r="J2687" i="2" s="1"/>
  <c r="R2688" i="2"/>
  <c r="H2688" i="2" s="1"/>
  <c r="S2688" i="2"/>
  <c r="J2688" i="2" s="1"/>
  <c r="R2689" i="2"/>
  <c r="H2689" i="2" s="1"/>
  <c r="S2689" i="2"/>
  <c r="J2689" i="2" s="1"/>
  <c r="R2690" i="2"/>
  <c r="H2690" i="2" s="1"/>
  <c r="S2690" i="2"/>
  <c r="J2690" i="2" s="1"/>
  <c r="R2691" i="2"/>
  <c r="H2691" i="2" s="1"/>
  <c r="S2691" i="2"/>
  <c r="J2691" i="2" s="1"/>
  <c r="R2692" i="2"/>
  <c r="H2692" i="2" s="1"/>
  <c r="S2692" i="2"/>
  <c r="J2692" i="2" s="1"/>
  <c r="R2693" i="2"/>
  <c r="H2693" i="2" s="1"/>
  <c r="S2693" i="2"/>
  <c r="J2693" i="2" s="1"/>
  <c r="R2694" i="2"/>
  <c r="H2694" i="2" s="1"/>
  <c r="S2694" i="2"/>
  <c r="J2694" i="2" s="1"/>
  <c r="R2695" i="2"/>
  <c r="H2695" i="2" s="1"/>
  <c r="S2695" i="2"/>
  <c r="J2695" i="2" s="1"/>
  <c r="R2696" i="2"/>
  <c r="H2696" i="2" s="1"/>
  <c r="S2696" i="2"/>
  <c r="J2696" i="2" s="1"/>
  <c r="R2697" i="2"/>
  <c r="H2697" i="2" s="1"/>
  <c r="S2697" i="2"/>
  <c r="J2697" i="2" s="1"/>
  <c r="R2698" i="2"/>
  <c r="H2698" i="2" s="1"/>
  <c r="S2698" i="2"/>
  <c r="J2698" i="2" s="1"/>
  <c r="R2699" i="2"/>
  <c r="H2699" i="2" s="1"/>
  <c r="S2699" i="2"/>
  <c r="J2699" i="2" s="1"/>
  <c r="R2700" i="2"/>
  <c r="H2700" i="2" s="1"/>
  <c r="S2700" i="2"/>
  <c r="J2700" i="2" s="1"/>
  <c r="R2701" i="2"/>
  <c r="H2701" i="2" s="1"/>
  <c r="S2701" i="2"/>
  <c r="J2701" i="2" s="1"/>
  <c r="R2702" i="2"/>
  <c r="H2702" i="2" s="1"/>
  <c r="S2702" i="2"/>
  <c r="J2702" i="2" s="1"/>
  <c r="R2703" i="2"/>
  <c r="H2703" i="2" s="1"/>
  <c r="S2703" i="2"/>
  <c r="J2703" i="2" s="1"/>
  <c r="R2704" i="2"/>
  <c r="H2704" i="2" s="1"/>
  <c r="S2704" i="2"/>
  <c r="J2704" i="2" s="1"/>
  <c r="R2705" i="2"/>
  <c r="H2705" i="2" s="1"/>
  <c r="S2705" i="2"/>
  <c r="J2705" i="2" s="1"/>
  <c r="R2706" i="2"/>
  <c r="H2706" i="2" s="1"/>
  <c r="S2706" i="2"/>
  <c r="J2706" i="2" s="1"/>
  <c r="R2707" i="2"/>
  <c r="H2707" i="2" s="1"/>
  <c r="S2707" i="2"/>
  <c r="J2707" i="2" s="1"/>
  <c r="R2708" i="2"/>
  <c r="H2708" i="2" s="1"/>
  <c r="S2708" i="2"/>
  <c r="J2708" i="2" s="1"/>
  <c r="R2709" i="2"/>
  <c r="H2709" i="2" s="1"/>
  <c r="S2709" i="2"/>
  <c r="J2709" i="2" s="1"/>
  <c r="R2710" i="2"/>
  <c r="H2710" i="2" s="1"/>
  <c r="S2710" i="2"/>
  <c r="J2710" i="2" s="1"/>
  <c r="R2711" i="2"/>
  <c r="H2711" i="2" s="1"/>
  <c r="S2711" i="2"/>
  <c r="J2711" i="2" s="1"/>
  <c r="R2712" i="2"/>
  <c r="H2712" i="2" s="1"/>
  <c r="S2712" i="2"/>
  <c r="J2712" i="2" s="1"/>
  <c r="R2713" i="2"/>
  <c r="H2713" i="2" s="1"/>
  <c r="S2713" i="2"/>
  <c r="J2713" i="2" s="1"/>
  <c r="R2714" i="2"/>
  <c r="H2714" i="2" s="1"/>
  <c r="S2714" i="2"/>
  <c r="J2714" i="2" s="1"/>
  <c r="R2715" i="2"/>
  <c r="H2715" i="2" s="1"/>
  <c r="S2715" i="2"/>
  <c r="J2715" i="2" s="1"/>
  <c r="R2716" i="2"/>
  <c r="H2716" i="2" s="1"/>
  <c r="S2716" i="2"/>
  <c r="J2716" i="2" s="1"/>
  <c r="R2717" i="2"/>
  <c r="H2717" i="2" s="1"/>
  <c r="S2717" i="2"/>
  <c r="J2717" i="2" s="1"/>
  <c r="R2718" i="2"/>
  <c r="H2718" i="2" s="1"/>
  <c r="S2718" i="2"/>
  <c r="J2718" i="2" s="1"/>
  <c r="R2719" i="2"/>
  <c r="H2719" i="2" s="1"/>
  <c r="S2719" i="2"/>
  <c r="J2719" i="2" s="1"/>
  <c r="R2720" i="2"/>
  <c r="H2720" i="2" s="1"/>
  <c r="S2720" i="2"/>
  <c r="J2720" i="2" s="1"/>
  <c r="R2721" i="2"/>
  <c r="H2721" i="2" s="1"/>
  <c r="S2721" i="2"/>
  <c r="J2721" i="2" s="1"/>
  <c r="R2722" i="2"/>
  <c r="H2722" i="2" s="1"/>
  <c r="S2722" i="2"/>
  <c r="J2722" i="2" s="1"/>
  <c r="R2723" i="2"/>
  <c r="H2723" i="2" s="1"/>
  <c r="S2723" i="2"/>
  <c r="J2723" i="2" s="1"/>
  <c r="R2724" i="2"/>
  <c r="H2724" i="2" s="1"/>
  <c r="S2724" i="2"/>
  <c r="J2724" i="2" s="1"/>
  <c r="R2725" i="2"/>
  <c r="H2725" i="2" s="1"/>
  <c r="S2725" i="2"/>
  <c r="J2725" i="2" s="1"/>
  <c r="R2726" i="2"/>
  <c r="H2726" i="2" s="1"/>
  <c r="S2726" i="2"/>
  <c r="J2726" i="2" s="1"/>
  <c r="R2727" i="2"/>
  <c r="H2727" i="2" s="1"/>
  <c r="S2727" i="2"/>
  <c r="J2727" i="2" s="1"/>
  <c r="R2728" i="2"/>
  <c r="H2728" i="2" s="1"/>
  <c r="S2728" i="2"/>
  <c r="J2728" i="2" s="1"/>
  <c r="R2729" i="2"/>
  <c r="H2729" i="2" s="1"/>
  <c r="S2729" i="2"/>
  <c r="J2729" i="2" s="1"/>
  <c r="R2730" i="2"/>
  <c r="H2730" i="2" s="1"/>
  <c r="S2730" i="2"/>
  <c r="J2730" i="2" s="1"/>
  <c r="R2731" i="2"/>
  <c r="H2731" i="2" s="1"/>
  <c r="S2731" i="2"/>
  <c r="J2731" i="2" s="1"/>
  <c r="R2732" i="2"/>
  <c r="H2732" i="2" s="1"/>
  <c r="S2732" i="2"/>
  <c r="J2732" i="2" s="1"/>
  <c r="R2733" i="2"/>
  <c r="H2733" i="2" s="1"/>
  <c r="S2733" i="2"/>
  <c r="J2733" i="2" s="1"/>
  <c r="R2734" i="2"/>
  <c r="H2734" i="2" s="1"/>
  <c r="S2734" i="2"/>
  <c r="J2734" i="2" s="1"/>
  <c r="R2735" i="2"/>
  <c r="H2735" i="2" s="1"/>
  <c r="S2735" i="2"/>
  <c r="J2735" i="2" s="1"/>
  <c r="R2736" i="2"/>
  <c r="H2736" i="2" s="1"/>
  <c r="S2736" i="2"/>
  <c r="J2736" i="2" s="1"/>
  <c r="R2737" i="2"/>
  <c r="H2737" i="2" s="1"/>
  <c r="S2737" i="2"/>
  <c r="J2737" i="2" s="1"/>
  <c r="R2738" i="2"/>
  <c r="H2738" i="2" s="1"/>
  <c r="S2738" i="2"/>
  <c r="J2738" i="2" s="1"/>
  <c r="R2739" i="2"/>
  <c r="H2739" i="2" s="1"/>
  <c r="S2739" i="2"/>
  <c r="J2739" i="2" s="1"/>
  <c r="R2740" i="2"/>
  <c r="H2740" i="2" s="1"/>
  <c r="S2740" i="2"/>
  <c r="J2740" i="2" s="1"/>
  <c r="R2741" i="2"/>
  <c r="H2741" i="2" s="1"/>
  <c r="S2741" i="2"/>
  <c r="J2741" i="2" s="1"/>
  <c r="R2742" i="2"/>
  <c r="H2742" i="2" s="1"/>
  <c r="S2742" i="2"/>
  <c r="J2742" i="2" s="1"/>
  <c r="R2743" i="2"/>
  <c r="H2743" i="2" s="1"/>
  <c r="S2743" i="2"/>
  <c r="J2743" i="2" s="1"/>
  <c r="R2744" i="2"/>
  <c r="H2744" i="2" s="1"/>
  <c r="S2744" i="2"/>
  <c r="J2744" i="2" s="1"/>
  <c r="R2745" i="2"/>
  <c r="H2745" i="2" s="1"/>
  <c r="S2745" i="2"/>
  <c r="J2745" i="2" s="1"/>
  <c r="R2746" i="2"/>
  <c r="H2746" i="2" s="1"/>
  <c r="S2746" i="2"/>
  <c r="J2746" i="2" s="1"/>
  <c r="R2747" i="2"/>
  <c r="H2747" i="2" s="1"/>
  <c r="S2747" i="2"/>
  <c r="J2747" i="2" s="1"/>
  <c r="R2748" i="2"/>
  <c r="H2748" i="2" s="1"/>
  <c r="S2748" i="2"/>
  <c r="J2748" i="2" s="1"/>
  <c r="R2749" i="2"/>
  <c r="H2749" i="2" s="1"/>
  <c r="S2749" i="2"/>
  <c r="J2749" i="2" s="1"/>
  <c r="R2750" i="2"/>
  <c r="H2750" i="2" s="1"/>
  <c r="S2750" i="2"/>
  <c r="J2750" i="2" s="1"/>
  <c r="R2751" i="2"/>
  <c r="H2751" i="2" s="1"/>
  <c r="S2751" i="2"/>
  <c r="J2751" i="2" s="1"/>
  <c r="R2752" i="2"/>
  <c r="H2752" i="2" s="1"/>
  <c r="S2752" i="2"/>
  <c r="J2752" i="2" s="1"/>
  <c r="R2753" i="2"/>
  <c r="H2753" i="2" s="1"/>
  <c r="S2753" i="2"/>
  <c r="J2753" i="2" s="1"/>
  <c r="R2754" i="2"/>
  <c r="H2754" i="2" s="1"/>
  <c r="S2754" i="2"/>
  <c r="J2754" i="2" s="1"/>
  <c r="R2755" i="2"/>
  <c r="H2755" i="2" s="1"/>
  <c r="S2755" i="2"/>
  <c r="J2755" i="2" s="1"/>
  <c r="R2756" i="2"/>
  <c r="H2756" i="2" s="1"/>
  <c r="S2756" i="2"/>
  <c r="J2756" i="2" s="1"/>
  <c r="R2757" i="2"/>
  <c r="H2757" i="2" s="1"/>
  <c r="S2757" i="2"/>
  <c r="J2757" i="2" s="1"/>
  <c r="R2758" i="2"/>
  <c r="H2758" i="2" s="1"/>
  <c r="S2758" i="2"/>
  <c r="J2758" i="2" s="1"/>
  <c r="R2759" i="2"/>
  <c r="H2759" i="2" s="1"/>
  <c r="S2759" i="2"/>
  <c r="J2759" i="2" s="1"/>
  <c r="R2760" i="2"/>
  <c r="H2760" i="2" s="1"/>
  <c r="S2760" i="2"/>
  <c r="J2760" i="2" s="1"/>
  <c r="R2761" i="2"/>
  <c r="H2761" i="2" s="1"/>
  <c r="S2761" i="2"/>
  <c r="J2761" i="2" s="1"/>
  <c r="R2762" i="2"/>
  <c r="H2762" i="2" s="1"/>
  <c r="S2762" i="2"/>
  <c r="J2762" i="2" s="1"/>
  <c r="R2763" i="2"/>
  <c r="H2763" i="2" s="1"/>
  <c r="S2763" i="2"/>
  <c r="J2763" i="2" s="1"/>
  <c r="R2764" i="2"/>
  <c r="H2764" i="2" s="1"/>
  <c r="S2764" i="2"/>
  <c r="J2764" i="2" s="1"/>
  <c r="R2765" i="2"/>
  <c r="H2765" i="2" s="1"/>
  <c r="S2765" i="2"/>
  <c r="J2765" i="2" s="1"/>
  <c r="R2766" i="2"/>
  <c r="H2766" i="2" s="1"/>
  <c r="S2766" i="2"/>
  <c r="J2766" i="2" s="1"/>
  <c r="R2767" i="2"/>
  <c r="H2767" i="2" s="1"/>
  <c r="S2767" i="2"/>
  <c r="J2767" i="2" s="1"/>
  <c r="R2768" i="2"/>
  <c r="H2768" i="2" s="1"/>
  <c r="S2768" i="2"/>
  <c r="J2768" i="2" s="1"/>
  <c r="R2769" i="2"/>
  <c r="H2769" i="2" s="1"/>
  <c r="S2769" i="2"/>
  <c r="J2769" i="2" s="1"/>
  <c r="R2770" i="2"/>
  <c r="H2770" i="2" s="1"/>
  <c r="S2770" i="2"/>
  <c r="J2770" i="2" s="1"/>
  <c r="R2771" i="2"/>
  <c r="H2771" i="2" s="1"/>
  <c r="S2771" i="2"/>
  <c r="J2771" i="2" s="1"/>
  <c r="R2772" i="2"/>
  <c r="H2772" i="2" s="1"/>
  <c r="S2772" i="2"/>
  <c r="J2772" i="2" s="1"/>
  <c r="R2773" i="2"/>
  <c r="H2773" i="2" s="1"/>
  <c r="S2773" i="2"/>
  <c r="J2773" i="2" s="1"/>
  <c r="R2774" i="2"/>
  <c r="H2774" i="2" s="1"/>
  <c r="S2774" i="2"/>
  <c r="J2774" i="2" s="1"/>
  <c r="R2775" i="2"/>
  <c r="H2775" i="2" s="1"/>
  <c r="S2775" i="2"/>
  <c r="J2775" i="2" s="1"/>
  <c r="R2776" i="2"/>
  <c r="H2776" i="2" s="1"/>
  <c r="S2776" i="2"/>
  <c r="J2776" i="2" s="1"/>
  <c r="R2777" i="2"/>
  <c r="H2777" i="2" s="1"/>
  <c r="S2777" i="2"/>
  <c r="J2777" i="2" s="1"/>
  <c r="R2778" i="2"/>
  <c r="H2778" i="2" s="1"/>
  <c r="S2778" i="2"/>
  <c r="J2778" i="2" s="1"/>
  <c r="R2779" i="2"/>
  <c r="H2779" i="2" s="1"/>
  <c r="S2779" i="2"/>
  <c r="J2779" i="2" s="1"/>
  <c r="R2780" i="2"/>
  <c r="H2780" i="2" s="1"/>
  <c r="S2780" i="2"/>
  <c r="J2780" i="2" s="1"/>
  <c r="R2781" i="2"/>
  <c r="H2781" i="2" s="1"/>
  <c r="S2781" i="2"/>
  <c r="J2781" i="2" s="1"/>
  <c r="R2782" i="2"/>
  <c r="H2782" i="2" s="1"/>
  <c r="S2782" i="2"/>
  <c r="J2782" i="2" s="1"/>
  <c r="R2783" i="2"/>
  <c r="H2783" i="2" s="1"/>
  <c r="S2783" i="2"/>
  <c r="J2783" i="2" s="1"/>
  <c r="R2784" i="2"/>
  <c r="H2784" i="2" s="1"/>
  <c r="S2784" i="2"/>
  <c r="J2784" i="2" s="1"/>
  <c r="R2785" i="2"/>
  <c r="H2785" i="2" s="1"/>
  <c r="S2785" i="2"/>
  <c r="J2785" i="2" s="1"/>
  <c r="R2786" i="2"/>
  <c r="H2786" i="2" s="1"/>
  <c r="S2786" i="2"/>
  <c r="J2786" i="2" s="1"/>
  <c r="R2787" i="2"/>
  <c r="H2787" i="2" s="1"/>
  <c r="S2787" i="2"/>
  <c r="J2787" i="2" s="1"/>
  <c r="R2788" i="2"/>
  <c r="H2788" i="2" s="1"/>
  <c r="S2788" i="2"/>
  <c r="J2788" i="2" s="1"/>
  <c r="R2789" i="2"/>
  <c r="H2789" i="2" s="1"/>
  <c r="S2789" i="2"/>
  <c r="J2789" i="2" s="1"/>
  <c r="R2790" i="2"/>
  <c r="H2790" i="2" s="1"/>
  <c r="S2790" i="2"/>
  <c r="J2790" i="2" s="1"/>
  <c r="R2791" i="2"/>
  <c r="H2791" i="2" s="1"/>
  <c r="S2791" i="2"/>
  <c r="J2791" i="2" s="1"/>
  <c r="R2792" i="2"/>
  <c r="H2792" i="2" s="1"/>
  <c r="S2792" i="2"/>
  <c r="J2792" i="2" s="1"/>
  <c r="R2793" i="2"/>
  <c r="H2793" i="2" s="1"/>
  <c r="S2793" i="2"/>
  <c r="J2793" i="2" s="1"/>
  <c r="R2794" i="2"/>
  <c r="H2794" i="2" s="1"/>
  <c r="S2794" i="2"/>
  <c r="J2794" i="2" s="1"/>
  <c r="R2795" i="2"/>
  <c r="H2795" i="2" s="1"/>
  <c r="S2795" i="2"/>
  <c r="J2795" i="2" s="1"/>
  <c r="R2796" i="2"/>
  <c r="H2796" i="2" s="1"/>
  <c r="S2796" i="2"/>
  <c r="J2796" i="2" s="1"/>
  <c r="R2797" i="2"/>
  <c r="H2797" i="2" s="1"/>
  <c r="S2797" i="2"/>
  <c r="J2797" i="2" s="1"/>
  <c r="R2798" i="2"/>
  <c r="H2798" i="2" s="1"/>
  <c r="S2798" i="2"/>
  <c r="J2798" i="2" s="1"/>
  <c r="R2799" i="2"/>
  <c r="H2799" i="2" s="1"/>
  <c r="S2799" i="2"/>
  <c r="J2799" i="2" s="1"/>
  <c r="R2800" i="2"/>
  <c r="H2800" i="2" s="1"/>
  <c r="S2800" i="2"/>
  <c r="J2800" i="2" s="1"/>
  <c r="R2801" i="2"/>
  <c r="H2801" i="2" s="1"/>
  <c r="S2801" i="2"/>
  <c r="J2801" i="2" s="1"/>
  <c r="R2802" i="2"/>
  <c r="H2802" i="2" s="1"/>
  <c r="S2802" i="2"/>
  <c r="J2802" i="2" s="1"/>
  <c r="R2803" i="2"/>
  <c r="H2803" i="2" s="1"/>
  <c r="S2803" i="2"/>
  <c r="J2803" i="2" s="1"/>
  <c r="R2804" i="2"/>
  <c r="H2804" i="2" s="1"/>
  <c r="S2804" i="2"/>
  <c r="J2804" i="2" s="1"/>
  <c r="R2805" i="2"/>
  <c r="H2805" i="2" s="1"/>
  <c r="S2805" i="2"/>
  <c r="J2805" i="2" s="1"/>
  <c r="R2806" i="2"/>
  <c r="H2806" i="2" s="1"/>
  <c r="S2806" i="2"/>
  <c r="J2806" i="2" s="1"/>
  <c r="R2807" i="2"/>
  <c r="H2807" i="2" s="1"/>
  <c r="S2807" i="2"/>
  <c r="J2807" i="2" s="1"/>
  <c r="R2808" i="2"/>
  <c r="H2808" i="2" s="1"/>
  <c r="S2808" i="2"/>
  <c r="J2808" i="2" s="1"/>
  <c r="R2809" i="2"/>
  <c r="H2809" i="2" s="1"/>
  <c r="S2809" i="2"/>
  <c r="J2809" i="2" s="1"/>
  <c r="R2810" i="2"/>
  <c r="H2810" i="2" s="1"/>
  <c r="S2810" i="2"/>
  <c r="J2810" i="2" s="1"/>
  <c r="R2811" i="2"/>
  <c r="H2811" i="2" s="1"/>
  <c r="S2811" i="2"/>
  <c r="J2811" i="2" s="1"/>
  <c r="R2812" i="2"/>
  <c r="H2812" i="2" s="1"/>
  <c r="S2812" i="2"/>
  <c r="J2812" i="2" s="1"/>
  <c r="R2813" i="2"/>
  <c r="H2813" i="2" s="1"/>
  <c r="S2813" i="2"/>
  <c r="J2813" i="2" s="1"/>
  <c r="R2814" i="2"/>
  <c r="H2814" i="2" s="1"/>
  <c r="S2814" i="2"/>
  <c r="J2814" i="2" s="1"/>
  <c r="R2815" i="2"/>
  <c r="H2815" i="2" s="1"/>
  <c r="S2815" i="2"/>
  <c r="J2815" i="2" s="1"/>
  <c r="R2816" i="2"/>
  <c r="H2816" i="2" s="1"/>
  <c r="S2816" i="2"/>
  <c r="J2816" i="2" s="1"/>
  <c r="R2817" i="2"/>
  <c r="H2817" i="2" s="1"/>
  <c r="S2817" i="2"/>
  <c r="J2817" i="2" s="1"/>
  <c r="R2818" i="2"/>
  <c r="H2818" i="2" s="1"/>
  <c r="S2818" i="2"/>
  <c r="J2818" i="2" s="1"/>
  <c r="R2819" i="2"/>
  <c r="H2819" i="2" s="1"/>
  <c r="S2819" i="2"/>
  <c r="J2819" i="2" s="1"/>
  <c r="R2820" i="2"/>
  <c r="H2820" i="2" s="1"/>
  <c r="S2820" i="2"/>
  <c r="J2820" i="2" s="1"/>
  <c r="R2821" i="2"/>
  <c r="H2821" i="2" s="1"/>
  <c r="S2821" i="2"/>
  <c r="J2821" i="2" s="1"/>
  <c r="R2822" i="2"/>
  <c r="H2822" i="2" s="1"/>
  <c r="S2822" i="2"/>
  <c r="J2822" i="2" s="1"/>
  <c r="R2823" i="2"/>
  <c r="H2823" i="2" s="1"/>
  <c r="S2823" i="2"/>
  <c r="J2823" i="2" s="1"/>
  <c r="R2824" i="2"/>
  <c r="H2824" i="2" s="1"/>
  <c r="S2824" i="2"/>
  <c r="J2824" i="2" s="1"/>
  <c r="R2825" i="2"/>
  <c r="H2825" i="2" s="1"/>
  <c r="S2825" i="2"/>
  <c r="J2825" i="2" s="1"/>
  <c r="R2826" i="2"/>
  <c r="H2826" i="2" s="1"/>
  <c r="S2826" i="2"/>
  <c r="J2826" i="2" s="1"/>
  <c r="R2827" i="2"/>
  <c r="H2827" i="2" s="1"/>
  <c r="S2827" i="2"/>
  <c r="J2827" i="2" s="1"/>
  <c r="R2828" i="2"/>
  <c r="H2828" i="2" s="1"/>
  <c r="S2828" i="2"/>
  <c r="J2828" i="2" s="1"/>
  <c r="R2829" i="2"/>
  <c r="H2829" i="2" s="1"/>
  <c r="S2829" i="2"/>
  <c r="J2829" i="2" s="1"/>
  <c r="R2830" i="2"/>
  <c r="H2830" i="2" s="1"/>
  <c r="S2830" i="2"/>
  <c r="J2830" i="2" s="1"/>
  <c r="R2831" i="2"/>
  <c r="H2831" i="2" s="1"/>
  <c r="S2831" i="2"/>
  <c r="J2831" i="2" s="1"/>
  <c r="R2832" i="2"/>
  <c r="H2832" i="2" s="1"/>
  <c r="S2832" i="2"/>
  <c r="J2832" i="2" s="1"/>
  <c r="R2833" i="2"/>
  <c r="H2833" i="2" s="1"/>
  <c r="S2833" i="2"/>
  <c r="J2833" i="2" s="1"/>
  <c r="R2834" i="2"/>
  <c r="H2834" i="2" s="1"/>
  <c r="S2834" i="2"/>
  <c r="J2834" i="2" s="1"/>
  <c r="R2835" i="2"/>
  <c r="H2835" i="2" s="1"/>
  <c r="S2835" i="2"/>
  <c r="J2835" i="2" s="1"/>
  <c r="R2836" i="2"/>
  <c r="H2836" i="2" s="1"/>
  <c r="S2836" i="2"/>
  <c r="J2836" i="2" s="1"/>
  <c r="R2837" i="2"/>
  <c r="H2837" i="2" s="1"/>
  <c r="S2837" i="2"/>
  <c r="J2837" i="2" s="1"/>
  <c r="R2838" i="2"/>
  <c r="H2838" i="2" s="1"/>
  <c r="S2838" i="2"/>
  <c r="J2838" i="2" s="1"/>
  <c r="R2839" i="2"/>
  <c r="H2839" i="2" s="1"/>
  <c r="S2839" i="2"/>
  <c r="J2839" i="2" s="1"/>
  <c r="R2840" i="2"/>
  <c r="H2840" i="2" s="1"/>
  <c r="S2840" i="2"/>
  <c r="J2840" i="2" s="1"/>
  <c r="R2841" i="2"/>
  <c r="H2841" i="2" s="1"/>
  <c r="S2841" i="2"/>
  <c r="J2841" i="2" s="1"/>
  <c r="R2842" i="2"/>
  <c r="H2842" i="2" s="1"/>
  <c r="S2842" i="2"/>
  <c r="J2842" i="2" s="1"/>
  <c r="R2843" i="2"/>
  <c r="H2843" i="2" s="1"/>
  <c r="S2843" i="2"/>
  <c r="J2843" i="2" s="1"/>
  <c r="R2844" i="2"/>
  <c r="H2844" i="2" s="1"/>
  <c r="S2844" i="2"/>
  <c r="J2844" i="2" s="1"/>
  <c r="R2845" i="2"/>
  <c r="H2845" i="2" s="1"/>
  <c r="S2845" i="2"/>
  <c r="J2845" i="2" s="1"/>
  <c r="R2846" i="2"/>
  <c r="H2846" i="2" s="1"/>
  <c r="S2846" i="2"/>
  <c r="J2846" i="2" s="1"/>
  <c r="R2847" i="2"/>
  <c r="H2847" i="2" s="1"/>
  <c r="S2847" i="2"/>
  <c r="J2847" i="2" s="1"/>
  <c r="R2848" i="2"/>
  <c r="H2848" i="2" s="1"/>
  <c r="S2848" i="2"/>
  <c r="J2848" i="2" s="1"/>
  <c r="R2849" i="2"/>
  <c r="H2849" i="2" s="1"/>
  <c r="S2849" i="2"/>
  <c r="J2849" i="2" s="1"/>
  <c r="R2850" i="2"/>
  <c r="H2850" i="2" s="1"/>
  <c r="S2850" i="2"/>
  <c r="J2850" i="2" s="1"/>
  <c r="R2851" i="2"/>
  <c r="H2851" i="2" s="1"/>
  <c r="S2851" i="2"/>
  <c r="J2851" i="2" s="1"/>
  <c r="R2852" i="2"/>
  <c r="H2852" i="2" s="1"/>
  <c r="S2852" i="2"/>
  <c r="J2852" i="2" s="1"/>
  <c r="R2853" i="2"/>
  <c r="H2853" i="2" s="1"/>
  <c r="S2853" i="2"/>
  <c r="J2853" i="2" s="1"/>
  <c r="R2854" i="2"/>
  <c r="H2854" i="2" s="1"/>
  <c r="S2854" i="2"/>
  <c r="J2854" i="2" s="1"/>
  <c r="R2855" i="2"/>
  <c r="H2855" i="2" s="1"/>
  <c r="S2855" i="2"/>
  <c r="J2855" i="2" s="1"/>
  <c r="R2856" i="2"/>
  <c r="H2856" i="2" s="1"/>
  <c r="S2856" i="2"/>
  <c r="J2856" i="2" s="1"/>
  <c r="R2857" i="2"/>
  <c r="H2857" i="2" s="1"/>
  <c r="S2857" i="2"/>
  <c r="J2857" i="2" s="1"/>
  <c r="R2858" i="2"/>
  <c r="H2858" i="2" s="1"/>
  <c r="S2858" i="2"/>
  <c r="J2858" i="2" s="1"/>
  <c r="R2859" i="2"/>
  <c r="H2859" i="2" s="1"/>
  <c r="S2859" i="2"/>
  <c r="J2859" i="2" s="1"/>
  <c r="R2860" i="2"/>
  <c r="H2860" i="2" s="1"/>
  <c r="S2860" i="2"/>
  <c r="J2860" i="2" s="1"/>
  <c r="R2861" i="2"/>
  <c r="H2861" i="2" s="1"/>
  <c r="S2861" i="2"/>
  <c r="J2861" i="2" s="1"/>
  <c r="R2862" i="2"/>
  <c r="H2862" i="2" s="1"/>
  <c r="S2862" i="2"/>
  <c r="J2862" i="2" s="1"/>
  <c r="R2863" i="2"/>
  <c r="H2863" i="2" s="1"/>
  <c r="S2863" i="2"/>
  <c r="J2863" i="2" s="1"/>
  <c r="R2864" i="2"/>
  <c r="H2864" i="2" s="1"/>
  <c r="S2864" i="2"/>
  <c r="J2864" i="2" s="1"/>
  <c r="R2865" i="2"/>
  <c r="H2865" i="2" s="1"/>
  <c r="S2865" i="2"/>
  <c r="J2865" i="2" s="1"/>
  <c r="R2866" i="2"/>
  <c r="H2866" i="2" s="1"/>
  <c r="S2866" i="2"/>
  <c r="J2866" i="2" s="1"/>
  <c r="R2867" i="2"/>
  <c r="H2867" i="2" s="1"/>
  <c r="S2867" i="2"/>
  <c r="J2867" i="2" s="1"/>
  <c r="R2868" i="2"/>
  <c r="H2868" i="2" s="1"/>
  <c r="S2868" i="2"/>
  <c r="J2868" i="2" s="1"/>
  <c r="R2869" i="2"/>
  <c r="H2869" i="2" s="1"/>
  <c r="S2869" i="2"/>
  <c r="J2869" i="2" s="1"/>
  <c r="R2870" i="2"/>
  <c r="H2870" i="2" s="1"/>
  <c r="S2870" i="2"/>
  <c r="J2870" i="2" s="1"/>
  <c r="R2871" i="2"/>
  <c r="H2871" i="2" s="1"/>
  <c r="S2871" i="2"/>
  <c r="J2871" i="2" s="1"/>
  <c r="R2872" i="2"/>
  <c r="H2872" i="2" s="1"/>
  <c r="S2872" i="2"/>
  <c r="J2872" i="2" s="1"/>
  <c r="R2873" i="2"/>
  <c r="H2873" i="2" s="1"/>
  <c r="S2873" i="2"/>
  <c r="J2873" i="2" s="1"/>
  <c r="R2874" i="2"/>
  <c r="H2874" i="2" s="1"/>
  <c r="S2874" i="2"/>
  <c r="J2874" i="2" s="1"/>
  <c r="R2875" i="2"/>
  <c r="H2875" i="2" s="1"/>
  <c r="S2875" i="2"/>
  <c r="J2875" i="2" s="1"/>
  <c r="R2876" i="2"/>
  <c r="H2876" i="2" s="1"/>
  <c r="S2876" i="2"/>
  <c r="J2876" i="2" s="1"/>
  <c r="R2877" i="2"/>
  <c r="H2877" i="2" s="1"/>
  <c r="S2877" i="2"/>
  <c r="J2877" i="2" s="1"/>
  <c r="R2878" i="2"/>
  <c r="H2878" i="2" s="1"/>
  <c r="S2878" i="2"/>
  <c r="J2878" i="2" s="1"/>
  <c r="R2879" i="2"/>
  <c r="H2879" i="2" s="1"/>
  <c r="S2879" i="2"/>
  <c r="J2879" i="2" s="1"/>
  <c r="R2880" i="2"/>
  <c r="H2880" i="2" s="1"/>
  <c r="S2880" i="2"/>
  <c r="J2880" i="2" s="1"/>
  <c r="R2881" i="2"/>
  <c r="H2881" i="2" s="1"/>
  <c r="S2881" i="2"/>
  <c r="J2881" i="2" s="1"/>
  <c r="R2882" i="2"/>
  <c r="H2882" i="2" s="1"/>
  <c r="S2882" i="2"/>
  <c r="J2882" i="2" s="1"/>
  <c r="R2883" i="2"/>
  <c r="H2883" i="2" s="1"/>
  <c r="S2883" i="2"/>
  <c r="J2883" i="2" s="1"/>
  <c r="R2884" i="2"/>
  <c r="H2884" i="2" s="1"/>
  <c r="S2884" i="2"/>
  <c r="J2884" i="2" s="1"/>
  <c r="R2885" i="2"/>
  <c r="H2885" i="2" s="1"/>
  <c r="S2885" i="2"/>
  <c r="J2885" i="2" s="1"/>
  <c r="R2886" i="2"/>
  <c r="H2886" i="2" s="1"/>
  <c r="S2886" i="2"/>
  <c r="J2886" i="2" s="1"/>
  <c r="R2887" i="2"/>
  <c r="H2887" i="2" s="1"/>
  <c r="S2887" i="2"/>
  <c r="J2887" i="2" s="1"/>
  <c r="R2888" i="2"/>
  <c r="H2888" i="2" s="1"/>
  <c r="S2888" i="2"/>
  <c r="J2888" i="2" s="1"/>
  <c r="R2889" i="2"/>
  <c r="H2889" i="2" s="1"/>
  <c r="S2889" i="2"/>
  <c r="J2889" i="2" s="1"/>
  <c r="R2890" i="2"/>
  <c r="H2890" i="2" s="1"/>
  <c r="S2890" i="2"/>
  <c r="J2890" i="2" s="1"/>
  <c r="R2891" i="2"/>
  <c r="H2891" i="2" s="1"/>
  <c r="S2891" i="2"/>
  <c r="J2891" i="2" s="1"/>
  <c r="R2892" i="2"/>
  <c r="H2892" i="2" s="1"/>
  <c r="S2892" i="2"/>
  <c r="J2892" i="2" s="1"/>
  <c r="R2893" i="2"/>
  <c r="H2893" i="2" s="1"/>
  <c r="S2893" i="2"/>
  <c r="J2893" i="2" s="1"/>
  <c r="R2894" i="2"/>
  <c r="H2894" i="2" s="1"/>
  <c r="S2894" i="2"/>
  <c r="J2894" i="2" s="1"/>
  <c r="R2895" i="2"/>
  <c r="H2895" i="2" s="1"/>
  <c r="S2895" i="2"/>
  <c r="J2895" i="2" s="1"/>
  <c r="R2896" i="2"/>
  <c r="H2896" i="2" s="1"/>
  <c r="S2896" i="2"/>
  <c r="J2896" i="2" s="1"/>
  <c r="R2897" i="2"/>
  <c r="H2897" i="2" s="1"/>
  <c r="S2897" i="2"/>
  <c r="J2897" i="2" s="1"/>
  <c r="R2898" i="2"/>
  <c r="H2898" i="2" s="1"/>
  <c r="S2898" i="2"/>
  <c r="J2898" i="2" s="1"/>
  <c r="R2899" i="2"/>
  <c r="H2899" i="2" s="1"/>
  <c r="S2899" i="2"/>
  <c r="J2899" i="2" s="1"/>
  <c r="R2900" i="2"/>
  <c r="H2900" i="2" s="1"/>
  <c r="S2900" i="2"/>
  <c r="J2900" i="2" s="1"/>
  <c r="R2901" i="2"/>
  <c r="H2901" i="2" s="1"/>
  <c r="S2901" i="2"/>
  <c r="J2901" i="2" s="1"/>
  <c r="R2902" i="2"/>
  <c r="H2902" i="2" s="1"/>
  <c r="S2902" i="2"/>
  <c r="J2902" i="2" s="1"/>
  <c r="R2903" i="2"/>
  <c r="H2903" i="2" s="1"/>
  <c r="S2903" i="2"/>
  <c r="J2903" i="2" s="1"/>
  <c r="R2904" i="2"/>
  <c r="H2904" i="2" s="1"/>
  <c r="S2904" i="2"/>
  <c r="J2904" i="2" s="1"/>
  <c r="R2905" i="2"/>
  <c r="H2905" i="2" s="1"/>
  <c r="S2905" i="2"/>
  <c r="J2905" i="2" s="1"/>
  <c r="R2906" i="2"/>
  <c r="H2906" i="2" s="1"/>
  <c r="S2906" i="2"/>
  <c r="J2906" i="2" s="1"/>
  <c r="R2907" i="2"/>
  <c r="H2907" i="2" s="1"/>
  <c r="S2907" i="2"/>
  <c r="J2907" i="2" s="1"/>
  <c r="R2908" i="2"/>
  <c r="H2908" i="2" s="1"/>
  <c r="S2908" i="2"/>
  <c r="J2908" i="2" s="1"/>
  <c r="R2909" i="2"/>
  <c r="H2909" i="2" s="1"/>
  <c r="S2909" i="2"/>
  <c r="J2909" i="2" s="1"/>
  <c r="R2910" i="2"/>
  <c r="H2910" i="2" s="1"/>
  <c r="S2910" i="2"/>
  <c r="J2910" i="2" s="1"/>
  <c r="R2911" i="2"/>
  <c r="H2911" i="2" s="1"/>
  <c r="S2911" i="2"/>
  <c r="J2911" i="2" s="1"/>
  <c r="R2912" i="2"/>
  <c r="H2912" i="2" s="1"/>
  <c r="S2912" i="2"/>
  <c r="J2912" i="2" s="1"/>
  <c r="R2913" i="2"/>
  <c r="H2913" i="2" s="1"/>
  <c r="S2913" i="2"/>
  <c r="J2913" i="2" s="1"/>
  <c r="R2914" i="2"/>
  <c r="H2914" i="2" s="1"/>
  <c r="S2914" i="2"/>
  <c r="J2914" i="2" s="1"/>
  <c r="R2915" i="2"/>
  <c r="H2915" i="2" s="1"/>
  <c r="S2915" i="2"/>
  <c r="J2915" i="2" s="1"/>
  <c r="R2916" i="2"/>
  <c r="H2916" i="2" s="1"/>
  <c r="S2916" i="2"/>
  <c r="J2916" i="2" s="1"/>
  <c r="R2917" i="2"/>
  <c r="H2917" i="2" s="1"/>
  <c r="S2917" i="2"/>
  <c r="J2917" i="2" s="1"/>
  <c r="R2918" i="2"/>
  <c r="H2918" i="2" s="1"/>
  <c r="S2918" i="2"/>
  <c r="J2918" i="2" s="1"/>
  <c r="R2919" i="2"/>
  <c r="H2919" i="2" s="1"/>
  <c r="S2919" i="2"/>
  <c r="J2919" i="2" s="1"/>
  <c r="R2920" i="2"/>
  <c r="H2920" i="2" s="1"/>
  <c r="S2920" i="2"/>
  <c r="J2920" i="2" s="1"/>
  <c r="R2921" i="2"/>
  <c r="H2921" i="2" s="1"/>
  <c r="S2921" i="2"/>
  <c r="J2921" i="2" s="1"/>
  <c r="R2922" i="2"/>
  <c r="H2922" i="2" s="1"/>
  <c r="S2922" i="2"/>
  <c r="J2922" i="2" s="1"/>
  <c r="R2923" i="2"/>
  <c r="H2923" i="2" s="1"/>
  <c r="S2923" i="2"/>
  <c r="J2923" i="2" s="1"/>
  <c r="R2924" i="2"/>
  <c r="H2924" i="2" s="1"/>
  <c r="S2924" i="2"/>
  <c r="J2924" i="2" s="1"/>
  <c r="R2925" i="2"/>
  <c r="H2925" i="2" s="1"/>
  <c r="S2925" i="2"/>
  <c r="J2925" i="2" s="1"/>
  <c r="R2926" i="2"/>
  <c r="H2926" i="2" s="1"/>
  <c r="S2926" i="2"/>
  <c r="J2926" i="2" s="1"/>
  <c r="R2927" i="2"/>
  <c r="H2927" i="2" s="1"/>
  <c r="S2927" i="2"/>
  <c r="J2927" i="2" s="1"/>
  <c r="R2928" i="2"/>
  <c r="H2928" i="2" s="1"/>
  <c r="S2928" i="2"/>
  <c r="J2928" i="2" s="1"/>
  <c r="R2929" i="2"/>
  <c r="H2929" i="2" s="1"/>
  <c r="S2929" i="2"/>
  <c r="J2929" i="2" s="1"/>
  <c r="R2930" i="2"/>
  <c r="H2930" i="2" s="1"/>
  <c r="S2930" i="2"/>
  <c r="J2930" i="2" s="1"/>
  <c r="R2931" i="2"/>
  <c r="H2931" i="2" s="1"/>
  <c r="S2931" i="2"/>
  <c r="J2931" i="2" s="1"/>
  <c r="R2932" i="2"/>
  <c r="H2932" i="2" s="1"/>
  <c r="S2932" i="2"/>
  <c r="J2932" i="2" s="1"/>
  <c r="R2933" i="2"/>
  <c r="H2933" i="2" s="1"/>
  <c r="S2933" i="2"/>
  <c r="J2933" i="2" s="1"/>
  <c r="R2934" i="2"/>
  <c r="H2934" i="2" s="1"/>
  <c r="S2934" i="2"/>
  <c r="J2934" i="2" s="1"/>
  <c r="R2935" i="2"/>
  <c r="H2935" i="2" s="1"/>
  <c r="S2935" i="2"/>
  <c r="J2935" i="2" s="1"/>
  <c r="R2936" i="2"/>
  <c r="H2936" i="2" s="1"/>
  <c r="S2936" i="2"/>
  <c r="J2936" i="2" s="1"/>
  <c r="R2937" i="2"/>
  <c r="H2937" i="2" s="1"/>
  <c r="S2937" i="2"/>
  <c r="J2937" i="2" s="1"/>
  <c r="R2938" i="2"/>
  <c r="H2938" i="2" s="1"/>
  <c r="S2938" i="2"/>
  <c r="J2938" i="2" s="1"/>
  <c r="R2939" i="2"/>
  <c r="H2939" i="2" s="1"/>
  <c r="S2939" i="2"/>
  <c r="J2939" i="2" s="1"/>
  <c r="R2940" i="2"/>
  <c r="H2940" i="2" s="1"/>
  <c r="S2940" i="2"/>
  <c r="J2940" i="2" s="1"/>
  <c r="R2941" i="2"/>
  <c r="H2941" i="2" s="1"/>
  <c r="S2941" i="2"/>
  <c r="J2941" i="2" s="1"/>
  <c r="R2942" i="2"/>
  <c r="H2942" i="2" s="1"/>
  <c r="S2942" i="2"/>
  <c r="J2942" i="2" s="1"/>
  <c r="R2943" i="2"/>
  <c r="H2943" i="2" s="1"/>
  <c r="S2943" i="2"/>
  <c r="J2943" i="2" s="1"/>
  <c r="R2944" i="2"/>
  <c r="H2944" i="2" s="1"/>
  <c r="S2944" i="2"/>
  <c r="J2944" i="2" s="1"/>
  <c r="R2945" i="2"/>
  <c r="H2945" i="2" s="1"/>
  <c r="S2945" i="2"/>
  <c r="J2945" i="2" s="1"/>
  <c r="R2946" i="2"/>
  <c r="H2946" i="2" s="1"/>
  <c r="S2946" i="2"/>
  <c r="J2946" i="2" s="1"/>
  <c r="R2947" i="2"/>
  <c r="H2947" i="2" s="1"/>
  <c r="S2947" i="2"/>
  <c r="J2947" i="2" s="1"/>
  <c r="R2948" i="2"/>
  <c r="H2948" i="2" s="1"/>
  <c r="S2948" i="2"/>
  <c r="J2948" i="2" s="1"/>
  <c r="R2949" i="2"/>
  <c r="H2949" i="2" s="1"/>
  <c r="S2949" i="2"/>
  <c r="J2949" i="2" s="1"/>
  <c r="R2950" i="2"/>
  <c r="H2950" i="2" s="1"/>
  <c r="S2950" i="2"/>
  <c r="J2950" i="2" s="1"/>
  <c r="R2951" i="2"/>
  <c r="H2951" i="2" s="1"/>
  <c r="S2951" i="2"/>
  <c r="J2951" i="2" s="1"/>
  <c r="R2952" i="2"/>
  <c r="H2952" i="2" s="1"/>
  <c r="S2952" i="2"/>
  <c r="J2952" i="2" s="1"/>
  <c r="R2953" i="2"/>
  <c r="H2953" i="2" s="1"/>
  <c r="S2953" i="2"/>
  <c r="J2953" i="2" s="1"/>
  <c r="R2954" i="2"/>
  <c r="H2954" i="2" s="1"/>
  <c r="S2954" i="2"/>
  <c r="J2954" i="2" s="1"/>
  <c r="R2955" i="2"/>
  <c r="H2955" i="2" s="1"/>
  <c r="S2955" i="2"/>
  <c r="J2955" i="2" s="1"/>
  <c r="R2956" i="2"/>
  <c r="H2956" i="2" s="1"/>
  <c r="S2956" i="2"/>
  <c r="J2956" i="2" s="1"/>
  <c r="R2957" i="2"/>
  <c r="H2957" i="2" s="1"/>
  <c r="S2957" i="2"/>
  <c r="J2957" i="2" s="1"/>
  <c r="R2958" i="2"/>
  <c r="H2958" i="2" s="1"/>
  <c r="S2958" i="2"/>
  <c r="J2958" i="2" s="1"/>
  <c r="R2959" i="2"/>
  <c r="H2959" i="2" s="1"/>
  <c r="S2959" i="2"/>
  <c r="J2959" i="2" s="1"/>
  <c r="R2960" i="2"/>
  <c r="H2960" i="2" s="1"/>
  <c r="S2960" i="2"/>
  <c r="J2960" i="2" s="1"/>
  <c r="R2961" i="2"/>
  <c r="H2961" i="2" s="1"/>
  <c r="S2961" i="2"/>
  <c r="J2961" i="2" s="1"/>
  <c r="R2962" i="2"/>
  <c r="H2962" i="2" s="1"/>
  <c r="S2962" i="2"/>
  <c r="J2962" i="2" s="1"/>
  <c r="R2963" i="2"/>
  <c r="H2963" i="2" s="1"/>
  <c r="S2963" i="2"/>
  <c r="J2963" i="2" s="1"/>
  <c r="R2964" i="2"/>
  <c r="H2964" i="2" s="1"/>
  <c r="S2964" i="2"/>
  <c r="J2964" i="2" s="1"/>
  <c r="R2965" i="2"/>
  <c r="H2965" i="2" s="1"/>
  <c r="S2965" i="2"/>
  <c r="J2965" i="2" s="1"/>
  <c r="R2966" i="2"/>
  <c r="H2966" i="2" s="1"/>
  <c r="S2966" i="2"/>
  <c r="J2966" i="2" s="1"/>
  <c r="R2967" i="2"/>
  <c r="H2967" i="2" s="1"/>
  <c r="S2967" i="2"/>
  <c r="J2967" i="2" s="1"/>
  <c r="R2968" i="2"/>
  <c r="H2968" i="2" s="1"/>
  <c r="S2968" i="2"/>
  <c r="J2968" i="2" s="1"/>
  <c r="R2969" i="2"/>
  <c r="H2969" i="2" s="1"/>
  <c r="S2969" i="2"/>
  <c r="J2969" i="2" s="1"/>
  <c r="R2970" i="2"/>
  <c r="H2970" i="2" s="1"/>
  <c r="S2970" i="2"/>
  <c r="J2970" i="2" s="1"/>
  <c r="R2971" i="2"/>
  <c r="H2971" i="2" s="1"/>
  <c r="S2971" i="2"/>
  <c r="J2971" i="2" s="1"/>
  <c r="R2972" i="2"/>
  <c r="H2972" i="2" s="1"/>
  <c r="S2972" i="2"/>
  <c r="J2972" i="2" s="1"/>
  <c r="R2973" i="2"/>
  <c r="H2973" i="2" s="1"/>
  <c r="S2973" i="2"/>
  <c r="J2973" i="2" s="1"/>
  <c r="R2974" i="2"/>
  <c r="H2974" i="2" s="1"/>
  <c r="S2974" i="2"/>
  <c r="J2974" i="2" s="1"/>
  <c r="R2975" i="2"/>
  <c r="H2975" i="2" s="1"/>
  <c r="S2975" i="2"/>
  <c r="J2975" i="2" s="1"/>
  <c r="R2976" i="2"/>
  <c r="H2976" i="2" s="1"/>
  <c r="S2976" i="2"/>
  <c r="J2976" i="2" s="1"/>
  <c r="R2977" i="2"/>
  <c r="H2977" i="2" s="1"/>
  <c r="S2977" i="2"/>
  <c r="J2977" i="2" s="1"/>
  <c r="R2978" i="2"/>
  <c r="H2978" i="2" s="1"/>
  <c r="S2978" i="2"/>
  <c r="J2978" i="2" s="1"/>
  <c r="R2979" i="2"/>
  <c r="H2979" i="2" s="1"/>
  <c r="S2979" i="2"/>
  <c r="J2979" i="2" s="1"/>
  <c r="R2980" i="2"/>
  <c r="H2980" i="2" s="1"/>
  <c r="S2980" i="2"/>
  <c r="J2980" i="2" s="1"/>
  <c r="R2981" i="2"/>
  <c r="H2981" i="2" s="1"/>
  <c r="S2981" i="2"/>
  <c r="J2981" i="2" s="1"/>
  <c r="R2982" i="2"/>
  <c r="H2982" i="2" s="1"/>
  <c r="S2982" i="2"/>
  <c r="J2982" i="2" s="1"/>
  <c r="R2983" i="2"/>
  <c r="H2983" i="2" s="1"/>
  <c r="S2983" i="2"/>
  <c r="J2983" i="2" s="1"/>
  <c r="R2984" i="2"/>
  <c r="H2984" i="2" s="1"/>
  <c r="S2984" i="2"/>
  <c r="J2984" i="2" s="1"/>
  <c r="R2985" i="2"/>
  <c r="H2985" i="2" s="1"/>
  <c r="S2985" i="2"/>
  <c r="J2985" i="2" s="1"/>
  <c r="R2986" i="2"/>
  <c r="H2986" i="2" s="1"/>
  <c r="S2986" i="2"/>
  <c r="J2986" i="2" s="1"/>
  <c r="R2987" i="2"/>
  <c r="H2987" i="2" s="1"/>
  <c r="S2987" i="2"/>
  <c r="J2987" i="2" s="1"/>
  <c r="R2988" i="2"/>
  <c r="H2988" i="2" s="1"/>
  <c r="S2988" i="2"/>
  <c r="J2988" i="2" s="1"/>
  <c r="R2989" i="2"/>
  <c r="H2989" i="2" s="1"/>
  <c r="S2989" i="2"/>
  <c r="J2989" i="2" s="1"/>
  <c r="R2990" i="2"/>
  <c r="H2990" i="2" s="1"/>
  <c r="S2990" i="2"/>
  <c r="J2990" i="2" s="1"/>
  <c r="R2991" i="2"/>
  <c r="H2991" i="2" s="1"/>
  <c r="S2991" i="2"/>
  <c r="J2991" i="2" s="1"/>
  <c r="R2992" i="2"/>
  <c r="H2992" i="2" s="1"/>
  <c r="S2992" i="2"/>
  <c r="J2992" i="2" s="1"/>
  <c r="R2993" i="2"/>
  <c r="H2993" i="2" s="1"/>
  <c r="S2993" i="2"/>
  <c r="J2993" i="2" s="1"/>
  <c r="R2994" i="2"/>
  <c r="H2994" i="2" s="1"/>
  <c r="S2994" i="2"/>
  <c r="J2994" i="2" s="1"/>
  <c r="R2995" i="2"/>
  <c r="H2995" i="2" s="1"/>
  <c r="S2995" i="2"/>
  <c r="J2995" i="2" s="1"/>
  <c r="R2996" i="2"/>
  <c r="H2996" i="2" s="1"/>
  <c r="S2996" i="2"/>
  <c r="J2996" i="2" s="1"/>
  <c r="R2997" i="2"/>
  <c r="H2997" i="2" s="1"/>
  <c r="S2997" i="2"/>
  <c r="J2997" i="2" s="1"/>
  <c r="R2998" i="2"/>
  <c r="H2998" i="2" s="1"/>
  <c r="S2998" i="2"/>
  <c r="J2998" i="2" s="1"/>
  <c r="R2999" i="2"/>
  <c r="H2999" i="2" s="1"/>
  <c r="S2999" i="2"/>
  <c r="J2999" i="2" s="1"/>
  <c r="R3000" i="2"/>
  <c r="H3000" i="2" s="1"/>
  <c r="S3000" i="2"/>
  <c r="J3000" i="2" s="1"/>
  <c r="R3001" i="2"/>
  <c r="H3001" i="2" s="1"/>
  <c r="S3001" i="2"/>
  <c r="J3001" i="2" s="1"/>
  <c r="R3002" i="2"/>
  <c r="H3002" i="2" s="1"/>
  <c r="S3002" i="2"/>
  <c r="J3002" i="2" s="1"/>
  <c r="R3003" i="2"/>
  <c r="H3003" i="2" s="1"/>
  <c r="S3003" i="2"/>
  <c r="J3003" i="2" s="1"/>
  <c r="R3004" i="2"/>
  <c r="H3004" i="2" s="1"/>
  <c r="S3004" i="2"/>
  <c r="J3004" i="2" s="1"/>
  <c r="R3005" i="2"/>
  <c r="H3005" i="2" s="1"/>
  <c r="S3005" i="2"/>
  <c r="J3005" i="2" s="1"/>
  <c r="R3006" i="2"/>
  <c r="H3006" i="2" s="1"/>
  <c r="S3006" i="2"/>
  <c r="J3006" i="2" s="1"/>
  <c r="R3007" i="2"/>
  <c r="H3007" i="2" s="1"/>
  <c r="S3007" i="2"/>
  <c r="J3007" i="2" s="1"/>
  <c r="R3008" i="2"/>
  <c r="H3008" i="2" s="1"/>
  <c r="S3008" i="2"/>
  <c r="J3008" i="2" s="1"/>
  <c r="R3009" i="2"/>
  <c r="H3009" i="2" s="1"/>
  <c r="S3009" i="2"/>
  <c r="J3009" i="2" s="1"/>
  <c r="R3010" i="2"/>
  <c r="H3010" i="2" s="1"/>
  <c r="S3010" i="2"/>
  <c r="J3010" i="2" s="1"/>
  <c r="R3011" i="2"/>
  <c r="H3011" i="2" s="1"/>
  <c r="S3011" i="2"/>
  <c r="J3011" i="2" s="1"/>
  <c r="R3012" i="2"/>
  <c r="H3012" i="2" s="1"/>
  <c r="S3012" i="2"/>
  <c r="J3012" i="2" s="1"/>
  <c r="R3013" i="2"/>
  <c r="H3013" i="2" s="1"/>
  <c r="S3013" i="2"/>
  <c r="J3013" i="2" s="1"/>
  <c r="R3014" i="2"/>
  <c r="H3014" i="2" s="1"/>
  <c r="S3014" i="2"/>
  <c r="J3014" i="2" s="1"/>
  <c r="R3015" i="2"/>
  <c r="H3015" i="2" s="1"/>
  <c r="S3015" i="2"/>
  <c r="J3015" i="2" s="1"/>
  <c r="R3016" i="2"/>
  <c r="H3016" i="2" s="1"/>
  <c r="S3016" i="2"/>
  <c r="J3016" i="2" s="1"/>
  <c r="R3017" i="2"/>
  <c r="H3017" i="2" s="1"/>
  <c r="S3017" i="2"/>
  <c r="J3017" i="2" s="1"/>
  <c r="R3018" i="2"/>
  <c r="H3018" i="2" s="1"/>
  <c r="S3018" i="2"/>
  <c r="J3018" i="2" s="1"/>
  <c r="R3019" i="2"/>
  <c r="H3019" i="2" s="1"/>
  <c r="S3019" i="2"/>
  <c r="J3019" i="2" s="1"/>
  <c r="R3020" i="2"/>
  <c r="H3020" i="2" s="1"/>
  <c r="S3020" i="2"/>
  <c r="J3020" i="2" s="1"/>
  <c r="R3021" i="2"/>
  <c r="H3021" i="2" s="1"/>
  <c r="S3021" i="2"/>
  <c r="J3021" i="2" s="1"/>
  <c r="R3022" i="2"/>
  <c r="H3022" i="2" s="1"/>
  <c r="S3022" i="2"/>
  <c r="J3022" i="2" s="1"/>
  <c r="R3023" i="2"/>
  <c r="H3023" i="2" s="1"/>
  <c r="S3023" i="2"/>
  <c r="J3023" i="2" s="1"/>
  <c r="R3024" i="2"/>
  <c r="H3024" i="2" s="1"/>
  <c r="S3024" i="2"/>
  <c r="J3024" i="2" s="1"/>
  <c r="R3025" i="2"/>
  <c r="H3025" i="2" s="1"/>
  <c r="S3025" i="2"/>
  <c r="J3025" i="2" s="1"/>
  <c r="R3026" i="2"/>
  <c r="H3026" i="2" s="1"/>
  <c r="S3026" i="2"/>
  <c r="J3026" i="2" s="1"/>
  <c r="R3027" i="2"/>
  <c r="H3027" i="2" s="1"/>
  <c r="S3027" i="2"/>
  <c r="J3027" i="2" s="1"/>
  <c r="R3028" i="2"/>
  <c r="H3028" i="2" s="1"/>
  <c r="S3028" i="2"/>
  <c r="J3028" i="2" s="1"/>
  <c r="R3029" i="2"/>
  <c r="H3029" i="2" s="1"/>
  <c r="S3029" i="2"/>
  <c r="J3029" i="2" s="1"/>
  <c r="R3030" i="2"/>
  <c r="H3030" i="2" s="1"/>
  <c r="S3030" i="2"/>
  <c r="J3030" i="2" s="1"/>
  <c r="R3031" i="2"/>
  <c r="H3031" i="2" s="1"/>
  <c r="S3031" i="2"/>
  <c r="J3031" i="2" s="1"/>
  <c r="R3032" i="2"/>
  <c r="H3032" i="2" s="1"/>
  <c r="S3032" i="2"/>
  <c r="J3032" i="2" s="1"/>
  <c r="R3033" i="2"/>
  <c r="H3033" i="2" s="1"/>
  <c r="S3033" i="2"/>
  <c r="J3033" i="2" s="1"/>
  <c r="R3034" i="2"/>
  <c r="H3034" i="2" s="1"/>
  <c r="S3034" i="2"/>
  <c r="J3034" i="2" s="1"/>
  <c r="R3035" i="2"/>
  <c r="H3035" i="2" s="1"/>
  <c r="S3035" i="2"/>
  <c r="J3035" i="2" s="1"/>
  <c r="R3036" i="2"/>
  <c r="H3036" i="2" s="1"/>
  <c r="S3036" i="2"/>
  <c r="J3036" i="2" s="1"/>
  <c r="R3037" i="2"/>
  <c r="H3037" i="2" s="1"/>
  <c r="S3037" i="2"/>
  <c r="J3037" i="2" s="1"/>
  <c r="R3038" i="2"/>
  <c r="H3038" i="2" s="1"/>
  <c r="S3038" i="2"/>
  <c r="J3038" i="2" s="1"/>
  <c r="R3039" i="2"/>
  <c r="H3039" i="2" s="1"/>
  <c r="S3039" i="2"/>
  <c r="J3039" i="2" s="1"/>
  <c r="R3040" i="2"/>
  <c r="H3040" i="2" s="1"/>
  <c r="S3040" i="2"/>
  <c r="J3040" i="2" s="1"/>
  <c r="R3041" i="2"/>
  <c r="H3041" i="2" s="1"/>
  <c r="S3041" i="2"/>
  <c r="J3041" i="2" s="1"/>
  <c r="R3042" i="2"/>
  <c r="H3042" i="2" s="1"/>
  <c r="S3042" i="2"/>
  <c r="J3042" i="2" s="1"/>
  <c r="R3043" i="2"/>
  <c r="H3043" i="2" s="1"/>
  <c r="S3043" i="2"/>
  <c r="J3043" i="2" s="1"/>
  <c r="R3044" i="2"/>
  <c r="H3044" i="2" s="1"/>
  <c r="S3044" i="2"/>
  <c r="J3044" i="2" s="1"/>
  <c r="R3045" i="2"/>
  <c r="H3045" i="2" s="1"/>
  <c r="S3045" i="2"/>
  <c r="J3045" i="2" s="1"/>
  <c r="R3046" i="2"/>
  <c r="H3046" i="2" s="1"/>
  <c r="S3046" i="2"/>
  <c r="J3046" i="2" s="1"/>
  <c r="R3047" i="2"/>
  <c r="H3047" i="2" s="1"/>
  <c r="S3047" i="2"/>
  <c r="J3047" i="2" s="1"/>
  <c r="R3048" i="2"/>
  <c r="H3048" i="2" s="1"/>
  <c r="S3048" i="2"/>
  <c r="J3048" i="2" s="1"/>
  <c r="R3049" i="2"/>
  <c r="H3049" i="2" s="1"/>
  <c r="S3049" i="2"/>
  <c r="J3049" i="2" s="1"/>
  <c r="R3050" i="2"/>
  <c r="H3050" i="2" s="1"/>
  <c r="S3050" i="2"/>
  <c r="J3050" i="2" s="1"/>
  <c r="R3051" i="2"/>
  <c r="H3051" i="2" s="1"/>
  <c r="S3051" i="2"/>
  <c r="J3051" i="2" s="1"/>
  <c r="R3052" i="2"/>
  <c r="H3052" i="2" s="1"/>
  <c r="S3052" i="2"/>
  <c r="J3052" i="2" s="1"/>
  <c r="R3053" i="2"/>
  <c r="H3053" i="2" s="1"/>
  <c r="S3053" i="2"/>
  <c r="J3053" i="2" s="1"/>
  <c r="R3054" i="2"/>
  <c r="H3054" i="2" s="1"/>
  <c r="S3054" i="2"/>
  <c r="J3054" i="2" s="1"/>
  <c r="R3055" i="2"/>
  <c r="H3055" i="2" s="1"/>
  <c r="S3055" i="2"/>
  <c r="J3055" i="2" s="1"/>
  <c r="R3056" i="2"/>
  <c r="H3056" i="2" s="1"/>
  <c r="S3056" i="2"/>
  <c r="J3056" i="2" s="1"/>
  <c r="R3057" i="2"/>
  <c r="H3057" i="2" s="1"/>
  <c r="S3057" i="2"/>
  <c r="J3057" i="2" s="1"/>
  <c r="R3058" i="2"/>
  <c r="H3058" i="2" s="1"/>
  <c r="S3058" i="2"/>
  <c r="J3058" i="2" s="1"/>
  <c r="R3059" i="2"/>
  <c r="H3059" i="2" s="1"/>
  <c r="S3059" i="2"/>
  <c r="J3059" i="2" s="1"/>
  <c r="R3060" i="2"/>
  <c r="H3060" i="2" s="1"/>
  <c r="S3060" i="2"/>
  <c r="J3060" i="2" s="1"/>
  <c r="R3061" i="2"/>
  <c r="H3061" i="2" s="1"/>
  <c r="S3061" i="2"/>
  <c r="J3061" i="2" s="1"/>
  <c r="R3062" i="2"/>
  <c r="H3062" i="2" s="1"/>
  <c r="S3062" i="2"/>
  <c r="J3062" i="2" s="1"/>
  <c r="R3063" i="2"/>
  <c r="H3063" i="2" s="1"/>
  <c r="S3063" i="2"/>
  <c r="J3063" i="2" s="1"/>
  <c r="R3064" i="2"/>
  <c r="H3064" i="2" s="1"/>
  <c r="S3064" i="2"/>
  <c r="J3064" i="2" s="1"/>
  <c r="R3065" i="2"/>
  <c r="H3065" i="2" s="1"/>
  <c r="S3065" i="2"/>
  <c r="J3065" i="2" s="1"/>
  <c r="R3066" i="2"/>
  <c r="H3066" i="2" s="1"/>
  <c r="S3066" i="2"/>
  <c r="J3066" i="2" s="1"/>
  <c r="R3067" i="2"/>
  <c r="H3067" i="2" s="1"/>
  <c r="S3067" i="2"/>
  <c r="J3067" i="2" s="1"/>
  <c r="R3068" i="2"/>
  <c r="H3068" i="2" s="1"/>
  <c r="S3068" i="2"/>
  <c r="J3068" i="2" s="1"/>
  <c r="R3069" i="2"/>
  <c r="H3069" i="2" s="1"/>
  <c r="S3069" i="2"/>
  <c r="J3069" i="2" s="1"/>
  <c r="R3070" i="2"/>
  <c r="H3070" i="2" s="1"/>
  <c r="S3070" i="2"/>
  <c r="J3070" i="2" s="1"/>
  <c r="R3071" i="2"/>
  <c r="H3071" i="2" s="1"/>
  <c r="S3071" i="2"/>
  <c r="J3071" i="2" s="1"/>
  <c r="R3072" i="2"/>
  <c r="H3072" i="2" s="1"/>
  <c r="S3072" i="2"/>
  <c r="J3072" i="2" s="1"/>
  <c r="R3073" i="2"/>
  <c r="H3073" i="2" s="1"/>
  <c r="S3073" i="2"/>
  <c r="J3073" i="2" s="1"/>
  <c r="R3074" i="2"/>
  <c r="H3074" i="2" s="1"/>
  <c r="S3074" i="2"/>
  <c r="J3074" i="2" s="1"/>
  <c r="R3075" i="2"/>
  <c r="H3075" i="2" s="1"/>
  <c r="S3075" i="2"/>
  <c r="J3075" i="2" s="1"/>
  <c r="R3076" i="2"/>
  <c r="H3076" i="2" s="1"/>
  <c r="S3076" i="2"/>
  <c r="J3076" i="2" s="1"/>
  <c r="R3077" i="2"/>
  <c r="H3077" i="2" s="1"/>
  <c r="S3077" i="2"/>
  <c r="J3077" i="2" s="1"/>
  <c r="R3078" i="2"/>
  <c r="H3078" i="2" s="1"/>
  <c r="S3078" i="2"/>
  <c r="J3078" i="2" s="1"/>
  <c r="R3079" i="2"/>
  <c r="H3079" i="2" s="1"/>
  <c r="S3079" i="2"/>
  <c r="J3079" i="2" s="1"/>
  <c r="R3080" i="2"/>
  <c r="H3080" i="2" s="1"/>
  <c r="S3080" i="2"/>
  <c r="J3080" i="2" s="1"/>
  <c r="R3081" i="2"/>
  <c r="H3081" i="2" s="1"/>
  <c r="S3081" i="2"/>
  <c r="J3081" i="2" s="1"/>
  <c r="R3082" i="2"/>
  <c r="H3082" i="2" s="1"/>
  <c r="S3082" i="2"/>
  <c r="J3082" i="2" s="1"/>
  <c r="R3083" i="2"/>
  <c r="H3083" i="2" s="1"/>
  <c r="S3083" i="2"/>
  <c r="J3083" i="2" s="1"/>
  <c r="R3084" i="2"/>
  <c r="H3084" i="2" s="1"/>
  <c r="S3084" i="2"/>
  <c r="J3084" i="2" s="1"/>
  <c r="R3085" i="2"/>
  <c r="H3085" i="2" s="1"/>
  <c r="S3085" i="2"/>
  <c r="J3085" i="2" s="1"/>
  <c r="R3086" i="2"/>
  <c r="H3086" i="2" s="1"/>
  <c r="S3086" i="2"/>
  <c r="J3086" i="2" s="1"/>
  <c r="R3087" i="2"/>
  <c r="H3087" i="2" s="1"/>
  <c r="S3087" i="2"/>
  <c r="J3087" i="2" s="1"/>
  <c r="R3088" i="2"/>
  <c r="H3088" i="2" s="1"/>
  <c r="S3088" i="2"/>
  <c r="J3088" i="2" s="1"/>
  <c r="R3089" i="2"/>
  <c r="H3089" i="2" s="1"/>
  <c r="S3089" i="2"/>
  <c r="J3089" i="2" s="1"/>
  <c r="R3090" i="2"/>
  <c r="H3090" i="2" s="1"/>
  <c r="S3090" i="2"/>
  <c r="J3090" i="2" s="1"/>
  <c r="R3091" i="2"/>
  <c r="H3091" i="2" s="1"/>
  <c r="S3091" i="2"/>
  <c r="J3091" i="2" s="1"/>
  <c r="R3092" i="2"/>
  <c r="H3092" i="2" s="1"/>
  <c r="S3092" i="2"/>
  <c r="J3092" i="2" s="1"/>
  <c r="R3093" i="2"/>
  <c r="H3093" i="2" s="1"/>
  <c r="S3093" i="2"/>
  <c r="J3093" i="2" s="1"/>
  <c r="R3094" i="2"/>
  <c r="H3094" i="2" s="1"/>
  <c r="S3094" i="2"/>
  <c r="J3094" i="2" s="1"/>
  <c r="R3095" i="2"/>
  <c r="H3095" i="2" s="1"/>
  <c r="S3095" i="2"/>
  <c r="J3095" i="2" s="1"/>
  <c r="R3096" i="2"/>
  <c r="H3096" i="2" s="1"/>
  <c r="S3096" i="2"/>
  <c r="J3096" i="2" s="1"/>
  <c r="R3097" i="2"/>
  <c r="H3097" i="2" s="1"/>
  <c r="S3097" i="2"/>
  <c r="J3097" i="2" s="1"/>
  <c r="R3098" i="2"/>
  <c r="H3098" i="2" s="1"/>
  <c r="S3098" i="2"/>
  <c r="J3098" i="2" s="1"/>
  <c r="R3099" i="2"/>
  <c r="H3099" i="2" s="1"/>
  <c r="S3099" i="2"/>
  <c r="J3099" i="2" s="1"/>
  <c r="R3100" i="2"/>
  <c r="H3100" i="2" s="1"/>
  <c r="S3100" i="2"/>
  <c r="J3100" i="2" s="1"/>
  <c r="R3101" i="2"/>
  <c r="H3101" i="2" s="1"/>
  <c r="S3101" i="2"/>
  <c r="J3101" i="2" s="1"/>
  <c r="R3102" i="2"/>
  <c r="H3102" i="2" s="1"/>
  <c r="S3102" i="2"/>
  <c r="J3102" i="2" s="1"/>
  <c r="R3103" i="2"/>
  <c r="H3103" i="2" s="1"/>
  <c r="S3103" i="2"/>
  <c r="J3103" i="2" s="1"/>
  <c r="R3104" i="2"/>
  <c r="H3104" i="2" s="1"/>
  <c r="S3104" i="2"/>
  <c r="J3104" i="2" s="1"/>
  <c r="R3105" i="2"/>
  <c r="H3105" i="2" s="1"/>
  <c r="S3105" i="2"/>
  <c r="J3105" i="2" s="1"/>
  <c r="R3106" i="2"/>
  <c r="H3106" i="2" s="1"/>
  <c r="S3106" i="2"/>
  <c r="J3106" i="2" s="1"/>
  <c r="R3107" i="2"/>
  <c r="H3107" i="2" s="1"/>
  <c r="S3107" i="2"/>
  <c r="J3107" i="2" s="1"/>
  <c r="R3108" i="2"/>
  <c r="H3108" i="2" s="1"/>
  <c r="S3108" i="2"/>
  <c r="J3108" i="2" s="1"/>
  <c r="R3109" i="2"/>
  <c r="H3109" i="2" s="1"/>
  <c r="S3109" i="2"/>
  <c r="J3109" i="2" s="1"/>
  <c r="R3110" i="2"/>
  <c r="H3110" i="2" s="1"/>
  <c r="S3110" i="2"/>
  <c r="J3110" i="2" s="1"/>
  <c r="R3111" i="2"/>
  <c r="H3111" i="2" s="1"/>
  <c r="S3111" i="2"/>
  <c r="J3111" i="2" s="1"/>
  <c r="R3112" i="2"/>
  <c r="H3112" i="2" s="1"/>
  <c r="S3112" i="2"/>
  <c r="J3112" i="2" s="1"/>
  <c r="R3113" i="2"/>
  <c r="H3113" i="2" s="1"/>
  <c r="S3113" i="2"/>
  <c r="J3113" i="2" s="1"/>
  <c r="R3114" i="2"/>
  <c r="H3114" i="2" s="1"/>
  <c r="S3114" i="2"/>
  <c r="J3114" i="2" s="1"/>
  <c r="R3115" i="2"/>
  <c r="H3115" i="2" s="1"/>
  <c r="S3115" i="2"/>
  <c r="J3115" i="2" s="1"/>
  <c r="R3116" i="2"/>
  <c r="H3116" i="2" s="1"/>
  <c r="S3116" i="2"/>
  <c r="J3116" i="2" s="1"/>
  <c r="R3117" i="2"/>
  <c r="H3117" i="2" s="1"/>
  <c r="S3117" i="2"/>
  <c r="J3117" i="2" s="1"/>
  <c r="R3118" i="2"/>
  <c r="H3118" i="2" s="1"/>
  <c r="S3118" i="2"/>
  <c r="J3118" i="2" s="1"/>
  <c r="R3119" i="2"/>
  <c r="H3119" i="2" s="1"/>
  <c r="S3119" i="2"/>
  <c r="J3119" i="2" s="1"/>
  <c r="R3120" i="2"/>
  <c r="H3120" i="2" s="1"/>
  <c r="S3120" i="2"/>
  <c r="J3120" i="2" s="1"/>
  <c r="R3121" i="2"/>
  <c r="H3121" i="2" s="1"/>
  <c r="S3121" i="2"/>
  <c r="J3121" i="2" s="1"/>
  <c r="R3122" i="2"/>
  <c r="H3122" i="2" s="1"/>
  <c r="S3122" i="2"/>
  <c r="J3122" i="2" s="1"/>
  <c r="R3123" i="2"/>
  <c r="H3123" i="2" s="1"/>
  <c r="S3123" i="2"/>
  <c r="J3123" i="2" s="1"/>
  <c r="R3124" i="2"/>
  <c r="H3124" i="2" s="1"/>
  <c r="S3124" i="2"/>
  <c r="J3124" i="2" s="1"/>
  <c r="R3125" i="2"/>
  <c r="H3125" i="2" s="1"/>
  <c r="S3125" i="2"/>
  <c r="J3125" i="2" s="1"/>
  <c r="R3126" i="2"/>
  <c r="H3126" i="2" s="1"/>
  <c r="S3126" i="2"/>
  <c r="J3126" i="2" s="1"/>
  <c r="R3127" i="2"/>
  <c r="H3127" i="2" s="1"/>
  <c r="S3127" i="2"/>
  <c r="J3127" i="2" s="1"/>
  <c r="R3128" i="2"/>
  <c r="H3128" i="2" s="1"/>
  <c r="S3128" i="2"/>
  <c r="J3128" i="2" s="1"/>
  <c r="R3129" i="2"/>
  <c r="H3129" i="2" s="1"/>
  <c r="S3129" i="2"/>
  <c r="J3129" i="2" s="1"/>
  <c r="R3130" i="2"/>
  <c r="H3130" i="2" s="1"/>
  <c r="S3130" i="2"/>
  <c r="J3130" i="2" s="1"/>
  <c r="R3131" i="2"/>
  <c r="H3131" i="2" s="1"/>
  <c r="S3131" i="2"/>
  <c r="J3131" i="2" s="1"/>
  <c r="R3132" i="2"/>
  <c r="H3132" i="2" s="1"/>
  <c r="S3132" i="2"/>
  <c r="J3132" i="2" s="1"/>
  <c r="R3133" i="2"/>
  <c r="H3133" i="2" s="1"/>
  <c r="S3133" i="2"/>
  <c r="J3133" i="2" s="1"/>
  <c r="R3134" i="2"/>
  <c r="H3134" i="2" s="1"/>
  <c r="S3134" i="2"/>
  <c r="J3134" i="2" s="1"/>
  <c r="R3135" i="2"/>
  <c r="H3135" i="2" s="1"/>
  <c r="S3135" i="2"/>
  <c r="J3135" i="2" s="1"/>
  <c r="R3136" i="2"/>
  <c r="H3136" i="2" s="1"/>
  <c r="S3136" i="2"/>
  <c r="J3136" i="2" s="1"/>
  <c r="R3137" i="2"/>
  <c r="H3137" i="2" s="1"/>
  <c r="S3137" i="2"/>
  <c r="J3137" i="2" s="1"/>
  <c r="R3138" i="2"/>
  <c r="H3138" i="2" s="1"/>
  <c r="S3138" i="2"/>
  <c r="J3138" i="2" s="1"/>
  <c r="R3139" i="2"/>
  <c r="H3139" i="2" s="1"/>
  <c r="S3139" i="2"/>
  <c r="J3139" i="2" s="1"/>
  <c r="R3140" i="2"/>
  <c r="H3140" i="2" s="1"/>
  <c r="S3140" i="2"/>
  <c r="J3140" i="2" s="1"/>
  <c r="R3141" i="2"/>
  <c r="H3141" i="2" s="1"/>
  <c r="S3141" i="2"/>
  <c r="J3141" i="2" s="1"/>
  <c r="R3142" i="2"/>
  <c r="H3142" i="2" s="1"/>
  <c r="S3142" i="2"/>
  <c r="J3142" i="2" s="1"/>
  <c r="R3143" i="2"/>
  <c r="H3143" i="2" s="1"/>
  <c r="S3143" i="2"/>
  <c r="J3143" i="2" s="1"/>
  <c r="R3144" i="2"/>
  <c r="H3144" i="2" s="1"/>
  <c r="S3144" i="2"/>
  <c r="J3144" i="2" s="1"/>
  <c r="R3145" i="2"/>
  <c r="H3145" i="2" s="1"/>
  <c r="S3145" i="2"/>
  <c r="J3145" i="2" s="1"/>
  <c r="R3146" i="2"/>
  <c r="H3146" i="2" s="1"/>
  <c r="S3146" i="2"/>
  <c r="J3146" i="2" s="1"/>
  <c r="R3147" i="2"/>
  <c r="H3147" i="2" s="1"/>
  <c r="S3147" i="2"/>
  <c r="J3147" i="2" s="1"/>
  <c r="R3148" i="2"/>
  <c r="H3148" i="2" s="1"/>
  <c r="S3148" i="2"/>
  <c r="J3148" i="2" s="1"/>
  <c r="R3149" i="2"/>
  <c r="H3149" i="2" s="1"/>
  <c r="S3149" i="2"/>
  <c r="J3149" i="2" s="1"/>
  <c r="R3150" i="2"/>
  <c r="H3150" i="2" s="1"/>
  <c r="S3150" i="2"/>
  <c r="J3150" i="2" s="1"/>
  <c r="R3151" i="2"/>
  <c r="H3151" i="2" s="1"/>
  <c r="S3151" i="2"/>
  <c r="J3151" i="2" s="1"/>
  <c r="R3152" i="2"/>
  <c r="H3152" i="2" s="1"/>
  <c r="S3152" i="2"/>
  <c r="J3152" i="2" s="1"/>
  <c r="R3153" i="2"/>
  <c r="H3153" i="2" s="1"/>
  <c r="S3153" i="2"/>
  <c r="J3153" i="2" s="1"/>
  <c r="R3154" i="2"/>
  <c r="H3154" i="2" s="1"/>
  <c r="S3154" i="2"/>
  <c r="J3154" i="2" s="1"/>
  <c r="R3155" i="2"/>
  <c r="H3155" i="2" s="1"/>
  <c r="S3155" i="2"/>
  <c r="J3155" i="2" s="1"/>
  <c r="R3156" i="2"/>
  <c r="H3156" i="2" s="1"/>
  <c r="S3156" i="2"/>
  <c r="J3156" i="2" s="1"/>
  <c r="R3157" i="2"/>
  <c r="H3157" i="2" s="1"/>
  <c r="S3157" i="2"/>
  <c r="J3157" i="2" s="1"/>
  <c r="R3158" i="2"/>
  <c r="H3158" i="2" s="1"/>
  <c r="S3158" i="2"/>
  <c r="J3158" i="2" s="1"/>
  <c r="R3159" i="2"/>
  <c r="H3159" i="2" s="1"/>
  <c r="S3159" i="2"/>
  <c r="J3159" i="2" s="1"/>
  <c r="R3160" i="2"/>
  <c r="H3160" i="2" s="1"/>
  <c r="S3160" i="2"/>
  <c r="J3160" i="2" s="1"/>
  <c r="R3161" i="2"/>
  <c r="H3161" i="2" s="1"/>
  <c r="S3161" i="2"/>
  <c r="J3161" i="2" s="1"/>
  <c r="R3162" i="2"/>
  <c r="H3162" i="2" s="1"/>
  <c r="S3162" i="2"/>
  <c r="J3162" i="2" s="1"/>
  <c r="R3163" i="2"/>
  <c r="H3163" i="2" s="1"/>
  <c r="S3163" i="2"/>
  <c r="J3163" i="2" s="1"/>
  <c r="R3164" i="2"/>
  <c r="H3164" i="2" s="1"/>
  <c r="S3164" i="2"/>
  <c r="J3164" i="2" s="1"/>
  <c r="R3165" i="2"/>
  <c r="H3165" i="2" s="1"/>
  <c r="S3165" i="2"/>
  <c r="J3165" i="2" s="1"/>
  <c r="R3166" i="2"/>
  <c r="H3166" i="2" s="1"/>
  <c r="S3166" i="2"/>
  <c r="J3166" i="2" s="1"/>
  <c r="R3167" i="2"/>
  <c r="H3167" i="2" s="1"/>
  <c r="S3167" i="2"/>
  <c r="J3167" i="2" s="1"/>
  <c r="R3168" i="2"/>
  <c r="H3168" i="2" s="1"/>
  <c r="S3168" i="2"/>
  <c r="J3168" i="2" s="1"/>
  <c r="R3169" i="2"/>
  <c r="H3169" i="2" s="1"/>
  <c r="S3169" i="2"/>
  <c r="J3169" i="2" s="1"/>
  <c r="R3170" i="2"/>
  <c r="H3170" i="2" s="1"/>
  <c r="S3170" i="2"/>
  <c r="J3170" i="2" s="1"/>
  <c r="R3171" i="2"/>
  <c r="H3171" i="2" s="1"/>
  <c r="S3171" i="2"/>
  <c r="J3171" i="2" s="1"/>
  <c r="R3172" i="2"/>
  <c r="H3172" i="2" s="1"/>
  <c r="S3172" i="2"/>
  <c r="J3172" i="2" s="1"/>
  <c r="R3173" i="2"/>
  <c r="H3173" i="2" s="1"/>
  <c r="S3173" i="2"/>
  <c r="J3173" i="2" s="1"/>
  <c r="R3174" i="2"/>
  <c r="H3174" i="2" s="1"/>
  <c r="S3174" i="2"/>
  <c r="J3174" i="2" s="1"/>
  <c r="R3175" i="2"/>
  <c r="H3175" i="2" s="1"/>
  <c r="S3175" i="2"/>
  <c r="J3175" i="2" s="1"/>
  <c r="R3176" i="2"/>
  <c r="H3176" i="2" s="1"/>
  <c r="S3176" i="2"/>
  <c r="J3176" i="2" s="1"/>
  <c r="R3177" i="2"/>
  <c r="H3177" i="2" s="1"/>
  <c r="S3177" i="2"/>
  <c r="J3177" i="2" s="1"/>
  <c r="R3178" i="2"/>
  <c r="H3178" i="2" s="1"/>
  <c r="S3178" i="2"/>
  <c r="J3178" i="2" s="1"/>
  <c r="R3179" i="2"/>
  <c r="H3179" i="2" s="1"/>
  <c r="S3179" i="2"/>
  <c r="J3179" i="2" s="1"/>
  <c r="R3180" i="2"/>
  <c r="H3180" i="2" s="1"/>
  <c r="S3180" i="2"/>
  <c r="J3180" i="2" s="1"/>
  <c r="R3181" i="2"/>
  <c r="H3181" i="2" s="1"/>
  <c r="S3181" i="2"/>
  <c r="J3181" i="2" s="1"/>
  <c r="R3182" i="2"/>
  <c r="H3182" i="2" s="1"/>
  <c r="S3182" i="2"/>
  <c r="J3182" i="2" s="1"/>
  <c r="R3183" i="2"/>
  <c r="H3183" i="2" s="1"/>
  <c r="S3183" i="2"/>
  <c r="J3183" i="2" s="1"/>
  <c r="R3184" i="2"/>
  <c r="H3184" i="2" s="1"/>
  <c r="S3184" i="2"/>
  <c r="J3184" i="2" s="1"/>
  <c r="R3185" i="2"/>
  <c r="H3185" i="2" s="1"/>
  <c r="S3185" i="2"/>
  <c r="J3185" i="2" s="1"/>
  <c r="R3186" i="2"/>
  <c r="H3186" i="2" s="1"/>
  <c r="S3186" i="2"/>
  <c r="J3186" i="2" s="1"/>
  <c r="R3187" i="2"/>
  <c r="H3187" i="2" s="1"/>
  <c r="S3187" i="2"/>
  <c r="J3187" i="2" s="1"/>
  <c r="R3188" i="2"/>
  <c r="H3188" i="2" s="1"/>
  <c r="S3188" i="2"/>
  <c r="J3188" i="2" s="1"/>
  <c r="R3189" i="2"/>
  <c r="H3189" i="2" s="1"/>
  <c r="S3189" i="2"/>
  <c r="J3189" i="2" s="1"/>
  <c r="R3190" i="2"/>
  <c r="H3190" i="2" s="1"/>
  <c r="S3190" i="2"/>
  <c r="J3190" i="2" s="1"/>
  <c r="R3191" i="2"/>
  <c r="H3191" i="2" s="1"/>
  <c r="S3191" i="2"/>
  <c r="J3191" i="2" s="1"/>
  <c r="R3192" i="2"/>
  <c r="H3192" i="2" s="1"/>
  <c r="S3192" i="2"/>
  <c r="J3192" i="2" s="1"/>
  <c r="R3193" i="2"/>
  <c r="H3193" i="2" s="1"/>
  <c r="S3193" i="2"/>
  <c r="J3193" i="2" s="1"/>
  <c r="R3194" i="2"/>
  <c r="H3194" i="2" s="1"/>
  <c r="S3194" i="2"/>
  <c r="J3194" i="2" s="1"/>
  <c r="R3195" i="2"/>
  <c r="H3195" i="2" s="1"/>
  <c r="S3195" i="2"/>
  <c r="J3195" i="2" s="1"/>
  <c r="R3196" i="2"/>
  <c r="H3196" i="2" s="1"/>
  <c r="S3196" i="2"/>
  <c r="J3196" i="2" s="1"/>
  <c r="R3197" i="2"/>
  <c r="H3197" i="2" s="1"/>
  <c r="S3197" i="2"/>
  <c r="J3197" i="2" s="1"/>
  <c r="R3198" i="2"/>
  <c r="H3198" i="2" s="1"/>
  <c r="S3198" i="2"/>
  <c r="J3198" i="2" s="1"/>
  <c r="R3199" i="2"/>
  <c r="H3199" i="2" s="1"/>
  <c r="S3199" i="2"/>
  <c r="J3199" i="2" s="1"/>
  <c r="R3200" i="2"/>
  <c r="H3200" i="2" s="1"/>
  <c r="S3200" i="2"/>
  <c r="J3200" i="2" s="1"/>
  <c r="R3201" i="2"/>
  <c r="H3201" i="2" s="1"/>
  <c r="S3201" i="2"/>
  <c r="J3201" i="2" s="1"/>
  <c r="R3202" i="2"/>
  <c r="H3202" i="2" s="1"/>
  <c r="S3202" i="2"/>
  <c r="J3202" i="2" s="1"/>
  <c r="R3203" i="2"/>
  <c r="H3203" i="2" s="1"/>
  <c r="S3203" i="2"/>
  <c r="J3203" i="2" s="1"/>
  <c r="R3204" i="2"/>
  <c r="H3204" i="2" s="1"/>
  <c r="S3204" i="2"/>
  <c r="J3204" i="2" s="1"/>
  <c r="R3205" i="2"/>
  <c r="H3205" i="2" s="1"/>
  <c r="S3205" i="2"/>
  <c r="J3205" i="2" s="1"/>
  <c r="R3206" i="2"/>
  <c r="H3206" i="2" s="1"/>
  <c r="S3206" i="2"/>
  <c r="J3206" i="2" s="1"/>
  <c r="R3207" i="2"/>
  <c r="H3207" i="2" s="1"/>
  <c r="S3207" i="2"/>
  <c r="J3207" i="2" s="1"/>
  <c r="R3208" i="2"/>
  <c r="H3208" i="2" s="1"/>
  <c r="S3208" i="2"/>
  <c r="J3208" i="2" s="1"/>
  <c r="R3209" i="2"/>
  <c r="H3209" i="2" s="1"/>
  <c r="S3209" i="2"/>
  <c r="J3209" i="2" s="1"/>
  <c r="R3210" i="2"/>
  <c r="H3210" i="2" s="1"/>
  <c r="S3210" i="2"/>
  <c r="J3210" i="2" s="1"/>
  <c r="R3211" i="2"/>
  <c r="H3211" i="2" s="1"/>
  <c r="S3211" i="2"/>
  <c r="J3211" i="2" s="1"/>
  <c r="R3212" i="2"/>
  <c r="H3212" i="2" s="1"/>
  <c r="S3212" i="2"/>
  <c r="J3212" i="2" s="1"/>
  <c r="R3213" i="2"/>
  <c r="H3213" i="2" s="1"/>
  <c r="S3213" i="2"/>
  <c r="J3213" i="2" s="1"/>
  <c r="R3214" i="2"/>
  <c r="H3214" i="2" s="1"/>
  <c r="S3214" i="2"/>
  <c r="J3214" i="2" s="1"/>
  <c r="R3215" i="2"/>
  <c r="H3215" i="2" s="1"/>
  <c r="S3215" i="2"/>
  <c r="J3215" i="2" s="1"/>
  <c r="R3216" i="2"/>
  <c r="H3216" i="2" s="1"/>
  <c r="S3216" i="2"/>
  <c r="J3216" i="2" s="1"/>
  <c r="R3217" i="2"/>
  <c r="H3217" i="2" s="1"/>
  <c r="S3217" i="2"/>
  <c r="J3217" i="2" s="1"/>
  <c r="R3218" i="2"/>
  <c r="H3218" i="2" s="1"/>
  <c r="S3218" i="2"/>
  <c r="J3218" i="2" s="1"/>
  <c r="R3219" i="2"/>
  <c r="H3219" i="2" s="1"/>
  <c r="S3219" i="2"/>
  <c r="J3219" i="2" s="1"/>
  <c r="R3220" i="2"/>
  <c r="H3220" i="2" s="1"/>
  <c r="S3220" i="2"/>
  <c r="J3220" i="2" s="1"/>
  <c r="R3221" i="2"/>
  <c r="H3221" i="2" s="1"/>
  <c r="S3221" i="2"/>
  <c r="J3221" i="2" s="1"/>
  <c r="R3222" i="2"/>
  <c r="H3222" i="2" s="1"/>
  <c r="S3222" i="2"/>
  <c r="J3222" i="2" s="1"/>
  <c r="R3223" i="2"/>
  <c r="H3223" i="2" s="1"/>
  <c r="S3223" i="2"/>
  <c r="J3223" i="2" s="1"/>
  <c r="R3224" i="2"/>
  <c r="H3224" i="2" s="1"/>
  <c r="S3224" i="2"/>
  <c r="J3224" i="2" s="1"/>
  <c r="R3225" i="2"/>
  <c r="H3225" i="2" s="1"/>
  <c r="S3225" i="2"/>
  <c r="J3225" i="2" s="1"/>
  <c r="R3226" i="2"/>
  <c r="H3226" i="2" s="1"/>
  <c r="S3226" i="2"/>
  <c r="J3226" i="2" s="1"/>
  <c r="R3227" i="2"/>
  <c r="H3227" i="2" s="1"/>
  <c r="S3227" i="2"/>
  <c r="J3227" i="2" s="1"/>
  <c r="R3228" i="2"/>
  <c r="H3228" i="2" s="1"/>
  <c r="S3228" i="2"/>
  <c r="J3228" i="2" s="1"/>
  <c r="R3229" i="2"/>
  <c r="H3229" i="2" s="1"/>
  <c r="S3229" i="2"/>
  <c r="J3229" i="2" s="1"/>
  <c r="R3230" i="2"/>
  <c r="H3230" i="2" s="1"/>
  <c r="S3230" i="2"/>
  <c r="J3230" i="2" s="1"/>
  <c r="R3231" i="2"/>
  <c r="H3231" i="2" s="1"/>
  <c r="S3231" i="2"/>
  <c r="J3231" i="2" s="1"/>
  <c r="R3232" i="2"/>
  <c r="H3232" i="2" s="1"/>
  <c r="S3232" i="2"/>
  <c r="J3232" i="2" s="1"/>
  <c r="R3233" i="2"/>
  <c r="H3233" i="2" s="1"/>
  <c r="S3233" i="2"/>
  <c r="J3233" i="2" s="1"/>
  <c r="R3234" i="2"/>
  <c r="H3234" i="2" s="1"/>
  <c r="S3234" i="2"/>
  <c r="J3234" i="2" s="1"/>
  <c r="R3235" i="2"/>
  <c r="H3235" i="2" s="1"/>
  <c r="S3235" i="2"/>
  <c r="J3235" i="2" s="1"/>
  <c r="R3236" i="2"/>
  <c r="H3236" i="2" s="1"/>
  <c r="S3236" i="2"/>
  <c r="J3236" i="2" s="1"/>
  <c r="R3237" i="2"/>
  <c r="H3237" i="2" s="1"/>
  <c r="S3237" i="2"/>
  <c r="J3237" i="2" s="1"/>
  <c r="R3238" i="2"/>
  <c r="H3238" i="2" s="1"/>
  <c r="S3238" i="2"/>
  <c r="J3238" i="2" s="1"/>
  <c r="R3239" i="2"/>
  <c r="H3239" i="2" s="1"/>
  <c r="S3239" i="2"/>
  <c r="J3239" i="2" s="1"/>
  <c r="R3240" i="2"/>
  <c r="H3240" i="2" s="1"/>
  <c r="S3240" i="2"/>
  <c r="J3240" i="2" s="1"/>
  <c r="R3241" i="2"/>
  <c r="H3241" i="2" s="1"/>
  <c r="S3241" i="2"/>
  <c r="J3241" i="2" s="1"/>
  <c r="R3242" i="2"/>
  <c r="H3242" i="2" s="1"/>
  <c r="S3242" i="2"/>
  <c r="J3242" i="2" s="1"/>
  <c r="R3243" i="2"/>
  <c r="H3243" i="2" s="1"/>
  <c r="S3243" i="2"/>
  <c r="J3243" i="2" s="1"/>
  <c r="R3244" i="2"/>
  <c r="H3244" i="2" s="1"/>
  <c r="S3244" i="2"/>
  <c r="J3244" i="2" s="1"/>
  <c r="R3245" i="2"/>
  <c r="H3245" i="2" s="1"/>
  <c r="S3245" i="2"/>
  <c r="J3245" i="2" s="1"/>
  <c r="R3246" i="2"/>
  <c r="H3246" i="2" s="1"/>
  <c r="S3246" i="2"/>
  <c r="J3246" i="2" s="1"/>
  <c r="R3247" i="2"/>
  <c r="H3247" i="2" s="1"/>
  <c r="S3247" i="2"/>
  <c r="J3247" i="2" s="1"/>
  <c r="R3248" i="2"/>
  <c r="H3248" i="2" s="1"/>
  <c r="S3248" i="2"/>
  <c r="J3248" i="2" s="1"/>
  <c r="R3249" i="2"/>
  <c r="H3249" i="2" s="1"/>
  <c r="S3249" i="2"/>
  <c r="J3249" i="2" s="1"/>
  <c r="R3250" i="2"/>
  <c r="H3250" i="2" s="1"/>
  <c r="S3250" i="2"/>
  <c r="J3250" i="2" s="1"/>
  <c r="R3251" i="2"/>
  <c r="H3251" i="2" s="1"/>
  <c r="S3251" i="2"/>
  <c r="J3251" i="2" s="1"/>
  <c r="R3252" i="2"/>
  <c r="H3252" i="2" s="1"/>
  <c r="S3252" i="2"/>
  <c r="J3252" i="2" s="1"/>
  <c r="R3253" i="2"/>
  <c r="H3253" i="2" s="1"/>
  <c r="S3253" i="2"/>
  <c r="J3253" i="2" s="1"/>
  <c r="R3254" i="2"/>
  <c r="H3254" i="2" s="1"/>
  <c r="S3254" i="2"/>
  <c r="J3254" i="2" s="1"/>
  <c r="R3255" i="2"/>
  <c r="H3255" i="2" s="1"/>
  <c r="S3255" i="2"/>
  <c r="J3255" i="2" s="1"/>
  <c r="R3256" i="2"/>
  <c r="H3256" i="2" s="1"/>
  <c r="S3256" i="2"/>
  <c r="J3256" i="2" s="1"/>
  <c r="R3257" i="2"/>
  <c r="H3257" i="2" s="1"/>
  <c r="S3257" i="2"/>
  <c r="J3257" i="2" s="1"/>
  <c r="R3258" i="2"/>
  <c r="H3258" i="2" s="1"/>
  <c r="S3258" i="2"/>
  <c r="J3258" i="2" s="1"/>
  <c r="R3259" i="2"/>
  <c r="H3259" i="2" s="1"/>
  <c r="S3259" i="2"/>
  <c r="J3259" i="2" s="1"/>
  <c r="R3260" i="2"/>
  <c r="H3260" i="2" s="1"/>
  <c r="S3260" i="2"/>
  <c r="J3260" i="2" s="1"/>
  <c r="R3261" i="2"/>
  <c r="H3261" i="2" s="1"/>
  <c r="S3261" i="2"/>
  <c r="J3261" i="2" s="1"/>
  <c r="R3262" i="2"/>
  <c r="H3262" i="2" s="1"/>
  <c r="S3262" i="2"/>
  <c r="J3262" i="2" s="1"/>
  <c r="R3263" i="2"/>
  <c r="H3263" i="2" s="1"/>
  <c r="S3263" i="2"/>
  <c r="J3263" i="2" s="1"/>
  <c r="R3264" i="2"/>
  <c r="H3264" i="2" s="1"/>
  <c r="S3264" i="2"/>
  <c r="J3264" i="2" s="1"/>
  <c r="R3265" i="2"/>
  <c r="H3265" i="2" s="1"/>
  <c r="S3265" i="2"/>
  <c r="J3265" i="2" s="1"/>
  <c r="R3266" i="2"/>
  <c r="H3266" i="2" s="1"/>
  <c r="S3266" i="2"/>
  <c r="J3266" i="2" s="1"/>
  <c r="R3267" i="2"/>
  <c r="H3267" i="2" s="1"/>
  <c r="S3267" i="2"/>
  <c r="J3267" i="2" s="1"/>
  <c r="R3268" i="2"/>
  <c r="H3268" i="2" s="1"/>
  <c r="S3268" i="2"/>
  <c r="J3268" i="2" s="1"/>
  <c r="R3269" i="2"/>
  <c r="H3269" i="2" s="1"/>
  <c r="S3269" i="2"/>
  <c r="J3269" i="2" s="1"/>
  <c r="R3270" i="2"/>
  <c r="H3270" i="2" s="1"/>
  <c r="S3270" i="2"/>
  <c r="J3270" i="2" s="1"/>
  <c r="R3271" i="2"/>
  <c r="H3271" i="2" s="1"/>
  <c r="S3271" i="2"/>
  <c r="J3271" i="2" s="1"/>
  <c r="R3272" i="2"/>
  <c r="H3272" i="2" s="1"/>
  <c r="S3272" i="2"/>
  <c r="J3272" i="2" s="1"/>
  <c r="R3273" i="2"/>
  <c r="H3273" i="2" s="1"/>
  <c r="S3273" i="2"/>
  <c r="J3273" i="2" s="1"/>
  <c r="R3274" i="2"/>
  <c r="H3274" i="2" s="1"/>
  <c r="S3274" i="2"/>
  <c r="J3274" i="2" s="1"/>
  <c r="R3275" i="2"/>
  <c r="H3275" i="2" s="1"/>
  <c r="S3275" i="2"/>
  <c r="J3275" i="2" s="1"/>
  <c r="R3276" i="2"/>
  <c r="H3276" i="2" s="1"/>
  <c r="S3276" i="2"/>
  <c r="J3276" i="2" s="1"/>
  <c r="R3277" i="2"/>
  <c r="H3277" i="2" s="1"/>
  <c r="S3277" i="2"/>
  <c r="J3277" i="2" s="1"/>
  <c r="R3278" i="2"/>
  <c r="H3278" i="2" s="1"/>
  <c r="S3278" i="2"/>
  <c r="J3278" i="2" s="1"/>
  <c r="R3279" i="2"/>
  <c r="H3279" i="2" s="1"/>
  <c r="S3279" i="2"/>
  <c r="J3279" i="2" s="1"/>
  <c r="R3280" i="2"/>
  <c r="H3280" i="2" s="1"/>
  <c r="S3280" i="2"/>
  <c r="J3280" i="2" s="1"/>
  <c r="R3281" i="2"/>
  <c r="H3281" i="2" s="1"/>
  <c r="S3281" i="2"/>
  <c r="J3281" i="2" s="1"/>
  <c r="R3282" i="2"/>
  <c r="H3282" i="2" s="1"/>
  <c r="S3282" i="2"/>
  <c r="J3282" i="2" s="1"/>
  <c r="R3283" i="2"/>
  <c r="H3283" i="2" s="1"/>
  <c r="S3283" i="2"/>
  <c r="J3283" i="2" s="1"/>
  <c r="R3284" i="2"/>
  <c r="H3284" i="2" s="1"/>
  <c r="S3284" i="2"/>
  <c r="J3284" i="2" s="1"/>
  <c r="R3285" i="2"/>
  <c r="H3285" i="2" s="1"/>
  <c r="S3285" i="2"/>
  <c r="J3285" i="2" s="1"/>
  <c r="R3286" i="2"/>
  <c r="H3286" i="2" s="1"/>
  <c r="S3286" i="2"/>
  <c r="J3286" i="2" s="1"/>
  <c r="R3287" i="2"/>
  <c r="H3287" i="2" s="1"/>
  <c r="S3287" i="2"/>
  <c r="J3287" i="2" s="1"/>
  <c r="R3288" i="2"/>
  <c r="H3288" i="2" s="1"/>
  <c r="S3288" i="2"/>
  <c r="J3288" i="2" s="1"/>
  <c r="R3289" i="2"/>
  <c r="H3289" i="2" s="1"/>
  <c r="S3289" i="2"/>
  <c r="J3289" i="2" s="1"/>
  <c r="R3290" i="2"/>
  <c r="H3290" i="2" s="1"/>
  <c r="S3290" i="2"/>
  <c r="J3290" i="2" s="1"/>
  <c r="R3291" i="2"/>
  <c r="H3291" i="2" s="1"/>
  <c r="S3291" i="2"/>
  <c r="J3291" i="2" s="1"/>
  <c r="R3292" i="2"/>
  <c r="H3292" i="2" s="1"/>
  <c r="S3292" i="2"/>
  <c r="J3292" i="2" s="1"/>
  <c r="R3293" i="2"/>
  <c r="H3293" i="2" s="1"/>
  <c r="S3293" i="2"/>
  <c r="J3293" i="2" s="1"/>
  <c r="R3294" i="2"/>
  <c r="H3294" i="2" s="1"/>
  <c r="S3294" i="2"/>
  <c r="J3294" i="2" s="1"/>
  <c r="R3295" i="2"/>
  <c r="H3295" i="2" s="1"/>
  <c r="S3295" i="2"/>
  <c r="J3295" i="2" s="1"/>
  <c r="R3296" i="2"/>
  <c r="H3296" i="2" s="1"/>
  <c r="S3296" i="2"/>
  <c r="J3296" i="2" s="1"/>
  <c r="R3297" i="2"/>
  <c r="H3297" i="2" s="1"/>
  <c r="S3297" i="2"/>
  <c r="J3297" i="2" s="1"/>
  <c r="R3298" i="2"/>
  <c r="H3298" i="2" s="1"/>
  <c r="S3298" i="2"/>
  <c r="J3298" i="2" s="1"/>
  <c r="R3299" i="2"/>
  <c r="H3299" i="2" s="1"/>
  <c r="S3299" i="2"/>
  <c r="J3299" i="2" s="1"/>
  <c r="R3300" i="2"/>
  <c r="H3300" i="2" s="1"/>
  <c r="S3300" i="2"/>
  <c r="J3300" i="2" s="1"/>
  <c r="R3301" i="2"/>
  <c r="H3301" i="2" s="1"/>
  <c r="S3301" i="2"/>
  <c r="J3301" i="2" s="1"/>
  <c r="R3302" i="2"/>
  <c r="H3302" i="2" s="1"/>
  <c r="S3302" i="2"/>
  <c r="J3302" i="2" s="1"/>
  <c r="R3303" i="2"/>
  <c r="H3303" i="2" s="1"/>
  <c r="S3303" i="2"/>
  <c r="J3303" i="2" s="1"/>
  <c r="R3304" i="2"/>
  <c r="H3304" i="2" s="1"/>
  <c r="S3304" i="2"/>
  <c r="J3304" i="2" s="1"/>
  <c r="R3305" i="2"/>
  <c r="H3305" i="2" s="1"/>
  <c r="S3305" i="2"/>
  <c r="J3305" i="2" s="1"/>
  <c r="R3306" i="2"/>
  <c r="H3306" i="2" s="1"/>
  <c r="S3306" i="2"/>
  <c r="J3306" i="2" s="1"/>
  <c r="R3307" i="2"/>
  <c r="H3307" i="2" s="1"/>
  <c r="S3307" i="2"/>
  <c r="J3307" i="2" s="1"/>
  <c r="R3308" i="2"/>
  <c r="H3308" i="2" s="1"/>
  <c r="S3308" i="2"/>
  <c r="J3308" i="2" s="1"/>
  <c r="R3309" i="2"/>
  <c r="H3309" i="2" s="1"/>
  <c r="S3309" i="2"/>
  <c r="J3309" i="2" s="1"/>
  <c r="R3310" i="2"/>
  <c r="H3310" i="2" s="1"/>
  <c r="S3310" i="2"/>
  <c r="J3310" i="2" s="1"/>
  <c r="R3311" i="2"/>
  <c r="H3311" i="2" s="1"/>
  <c r="S3311" i="2"/>
  <c r="J3311" i="2" s="1"/>
  <c r="R3312" i="2"/>
  <c r="H3312" i="2" s="1"/>
  <c r="S3312" i="2"/>
  <c r="J3312" i="2" s="1"/>
  <c r="R3313" i="2"/>
  <c r="H3313" i="2" s="1"/>
  <c r="S3313" i="2"/>
  <c r="J3313" i="2" s="1"/>
  <c r="R3314" i="2"/>
  <c r="H3314" i="2" s="1"/>
  <c r="S3314" i="2"/>
  <c r="J3314" i="2" s="1"/>
  <c r="R3315" i="2"/>
  <c r="H3315" i="2" s="1"/>
  <c r="S3315" i="2"/>
  <c r="J3315" i="2" s="1"/>
  <c r="R3316" i="2"/>
  <c r="H3316" i="2" s="1"/>
  <c r="S3316" i="2"/>
  <c r="J3316" i="2" s="1"/>
  <c r="R3317" i="2"/>
  <c r="H3317" i="2" s="1"/>
  <c r="S3317" i="2"/>
  <c r="J3317" i="2" s="1"/>
  <c r="R3318" i="2"/>
  <c r="H3318" i="2" s="1"/>
  <c r="S3318" i="2"/>
  <c r="J3318" i="2" s="1"/>
  <c r="R3319" i="2"/>
  <c r="H3319" i="2" s="1"/>
  <c r="S3319" i="2"/>
  <c r="J3319" i="2" s="1"/>
  <c r="R3320" i="2"/>
  <c r="H3320" i="2" s="1"/>
  <c r="S3320" i="2"/>
  <c r="J3320" i="2" s="1"/>
  <c r="R3321" i="2"/>
  <c r="H3321" i="2" s="1"/>
  <c r="S3321" i="2"/>
  <c r="J3321" i="2" s="1"/>
  <c r="R3322" i="2"/>
  <c r="H3322" i="2" s="1"/>
  <c r="S3322" i="2"/>
  <c r="J3322" i="2" s="1"/>
  <c r="R3323" i="2"/>
  <c r="H3323" i="2" s="1"/>
  <c r="S3323" i="2"/>
  <c r="J3323" i="2" s="1"/>
  <c r="R3324" i="2"/>
  <c r="H3324" i="2" s="1"/>
  <c r="S3324" i="2"/>
  <c r="J3324" i="2" s="1"/>
  <c r="R3325" i="2"/>
  <c r="H3325" i="2" s="1"/>
  <c r="S3325" i="2"/>
  <c r="J3325" i="2" s="1"/>
  <c r="R3326" i="2"/>
  <c r="H3326" i="2" s="1"/>
  <c r="S3326" i="2"/>
  <c r="J3326" i="2" s="1"/>
  <c r="R3327" i="2"/>
  <c r="H3327" i="2" s="1"/>
  <c r="S3327" i="2"/>
  <c r="J3327" i="2" s="1"/>
  <c r="R3328" i="2"/>
  <c r="H3328" i="2" s="1"/>
  <c r="S3328" i="2"/>
  <c r="J3328" i="2" s="1"/>
  <c r="R3329" i="2"/>
  <c r="H3329" i="2" s="1"/>
  <c r="S3329" i="2"/>
  <c r="J3329" i="2" s="1"/>
  <c r="R3330" i="2"/>
  <c r="H3330" i="2" s="1"/>
  <c r="S3330" i="2"/>
  <c r="J3330" i="2" s="1"/>
  <c r="R3331" i="2"/>
  <c r="H3331" i="2" s="1"/>
  <c r="S3331" i="2"/>
  <c r="J3331" i="2" s="1"/>
  <c r="R3332" i="2"/>
  <c r="H3332" i="2" s="1"/>
  <c r="S3332" i="2"/>
  <c r="J3332" i="2" s="1"/>
  <c r="R3333" i="2"/>
  <c r="H3333" i="2" s="1"/>
  <c r="S3333" i="2"/>
  <c r="J3333" i="2" s="1"/>
  <c r="R3334" i="2"/>
  <c r="H3334" i="2" s="1"/>
  <c r="S3334" i="2"/>
  <c r="J3334" i="2" s="1"/>
  <c r="R3335" i="2"/>
  <c r="H3335" i="2" s="1"/>
  <c r="S3335" i="2"/>
  <c r="J3335" i="2" s="1"/>
  <c r="R3336" i="2"/>
  <c r="H3336" i="2" s="1"/>
  <c r="S3336" i="2"/>
  <c r="J3336" i="2" s="1"/>
  <c r="R3337" i="2"/>
  <c r="H3337" i="2" s="1"/>
  <c r="S3337" i="2"/>
  <c r="J3337" i="2" s="1"/>
  <c r="R3338" i="2"/>
  <c r="H3338" i="2" s="1"/>
  <c r="S3338" i="2"/>
  <c r="J3338" i="2" s="1"/>
  <c r="R3339" i="2"/>
  <c r="H3339" i="2" s="1"/>
  <c r="S3339" i="2"/>
  <c r="J3339" i="2" s="1"/>
  <c r="R3340" i="2"/>
  <c r="H3340" i="2" s="1"/>
  <c r="S3340" i="2"/>
  <c r="J3340" i="2" s="1"/>
  <c r="R3341" i="2"/>
  <c r="H3341" i="2" s="1"/>
  <c r="S3341" i="2"/>
  <c r="J3341" i="2" s="1"/>
  <c r="R3342" i="2"/>
  <c r="H3342" i="2" s="1"/>
  <c r="S3342" i="2"/>
  <c r="J3342" i="2" s="1"/>
  <c r="R3343" i="2"/>
  <c r="H3343" i="2" s="1"/>
  <c r="S3343" i="2"/>
  <c r="J3343" i="2" s="1"/>
  <c r="R3344" i="2"/>
  <c r="H3344" i="2" s="1"/>
  <c r="S3344" i="2"/>
  <c r="J3344" i="2" s="1"/>
  <c r="R3345" i="2"/>
  <c r="H3345" i="2" s="1"/>
  <c r="S3345" i="2"/>
  <c r="J3345" i="2" s="1"/>
  <c r="R3346" i="2"/>
  <c r="H3346" i="2" s="1"/>
  <c r="S3346" i="2"/>
  <c r="J3346" i="2" s="1"/>
  <c r="R3347" i="2"/>
  <c r="H3347" i="2" s="1"/>
  <c r="S3347" i="2"/>
  <c r="J3347" i="2" s="1"/>
  <c r="R3348" i="2"/>
  <c r="H3348" i="2" s="1"/>
  <c r="S3348" i="2"/>
  <c r="J3348" i="2" s="1"/>
  <c r="R3349" i="2"/>
  <c r="H3349" i="2" s="1"/>
  <c r="S3349" i="2"/>
  <c r="J3349" i="2" s="1"/>
  <c r="R3350" i="2"/>
  <c r="H3350" i="2" s="1"/>
  <c r="S3350" i="2"/>
  <c r="J3350" i="2" s="1"/>
  <c r="R3351" i="2"/>
  <c r="H3351" i="2" s="1"/>
  <c r="S3351" i="2"/>
  <c r="J3351" i="2" s="1"/>
  <c r="R3352" i="2"/>
  <c r="H3352" i="2" s="1"/>
  <c r="S3352" i="2"/>
  <c r="J3352" i="2" s="1"/>
  <c r="R3353" i="2"/>
  <c r="H3353" i="2" s="1"/>
  <c r="S3353" i="2"/>
  <c r="J3353" i="2" s="1"/>
  <c r="R3354" i="2"/>
  <c r="H3354" i="2" s="1"/>
  <c r="S3354" i="2"/>
  <c r="J3354" i="2" s="1"/>
  <c r="R3355" i="2"/>
  <c r="H3355" i="2" s="1"/>
  <c r="S3355" i="2"/>
  <c r="J3355" i="2" s="1"/>
  <c r="R3356" i="2"/>
  <c r="H3356" i="2" s="1"/>
  <c r="S3356" i="2"/>
  <c r="J3356" i="2" s="1"/>
  <c r="R3357" i="2"/>
  <c r="H3357" i="2" s="1"/>
  <c r="S3357" i="2"/>
  <c r="J3357" i="2" s="1"/>
  <c r="R3358" i="2"/>
  <c r="H3358" i="2" s="1"/>
  <c r="S3358" i="2"/>
  <c r="J3358" i="2" s="1"/>
  <c r="R3359" i="2"/>
  <c r="H3359" i="2" s="1"/>
  <c r="S3359" i="2"/>
  <c r="J3359" i="2" s="1"/>
  <c r="R3360" i="2"/>
  <c r="H3360" i="2" s="1"/>
  <c r="S3360" i="2"/>
  <c r="J3360" i="2" s="1"/>
  <c r="R3361" i="2"/>
  <c r="H3361" i="2" s="1"/>
  <c r="S3361" i="2"/>
  <c r="J3361" i="2" s="1"/>
  <c r="R3362" i="2"/>
  <c r="H3362" i="2" s="1"/>
  <c r="S3362" i="2"/>
  <c r="J3362" i="2" s="1"/>
  <c r="R3363" i="2"/>
  <c r="H3363" i="2" s="1"/>
  <c r="S3363" i="2"/>
  <c r="J3363" i="2" s="1"/>
  <c r="R3364" i="2"/>
  <c r="H3364" i="2" s="1"/>
  <c r="S3364" i="2"/>
  <c r="J3364" i="2" s="1"/>
  <c r="R3365" i="2"/>
  <c r="H3365" i="2" s="1"/>
  <c r="S3365" i="2"/>
  <c r="J3365" i="2" s="1"/>
  <c r="R3366" i="2"/>
  <c r="H3366" i="2" s="1"/>
  <c r="S3366" i="2"/>
  <c r="J3366" i="2" s="1"/>
  <c r="R3367" i="2"/>
  <c r="H3367" i="2" s="1"/>
  <c r="S3367" i="2"/>
  <c r="J3367" i="2" s="1"/>
  <c r="R3368" i="2"/>
  <c r="H3368" i="2" s="1"/>
  <c r="S3368" i="2"/>
  <c r="J3368" i="2" s="1"/>
  <c r="R3369" i="2"/>
  <c r="H3369" i="2" s="1"/>
  <c r="S3369" i="2"/>
  <c r="J3369" i="2" s="1"/>
  <c r="R3370" i="2"/>
  <c r="H3370" i="2" s="1"/>
  <c r="S3370" i="2"/>
  <c r="J3370" i="2" s="1"/>
  <c r="R3371" i="2"/>
  <c r="H3371" i="2" s="1"/>
  <c r="S3371" i="2"/>
  <c r="J3371" i="2" s="1"/>
  <c r="R3372" i="2"/>
  <c r="H3372" i="2" s="1"/>
  <c r="S3372" i="2"/>
  <c r="J3372" i="2" s="1"/>
  <c r="R3373" i="2"/>
  <c r="H3373" i="2" s="1"/>
  <c r="S3373" i="2"/>
  <c r="J3373" i="2" s="1"/>
  <c r="R3374" i="2"/>
  <c r="H3374" i="2" s="1"/>
  <c r="S3374" i="2"/>
  <c r="J3374" i="2" s="1"/>
  <c r="R3375" i="2"/>
  <c r="H3375" i="2" s="1"/>
  <c r="S3375" i="2"/>
  <c r="J3375" i="2" s="1"/>
  <c r="R3376" i="2"/>
  <c r="H3376" i="2" s="1"/>
  <c r="S3376" i="2"/>
  <c r="J3376" i="2" s="1"/>
  <c r="R3377" i="2"/>
  <c r="H3377" i="2" s="1"/>
  <c r="S3377" i="2"/>
  <c r="J3377" i="2" s="1"/>
  <c r="R3378" i="2"/>
  <c r="H3378" i="2" s="1"/>
  <c r="S3378" i="2"/>
  <c r="J3378" i="2" s="1"/>
  <c r="R3379" i="2"/>
  <c r="H3379" i="2" s="1"/>
  <c r="S3379" i="2"/>
  <c r="J3379" i="2" s="1"/>
  <c r="R3380" i="2"/>
  <c r="H3380" i="2" s="1"/>
  <c r="S3380" i="2"/>
  <c r="J3380" i="2" s="1"/>
  <c r="R3381" i="2"/>
  <c r="H3381" i="2" s="1"/>
  <c r="S3381" i="2"/>
  <c r="J3381" i="2" s="1"/>
  <c r="R3382" i="2"/>
  <c r="H3382" i="2" s="1"/>
  <c r="S3382" i="2"/>
  <c r="J3382" i="2" s="1"/>
  <c r="R3383" i="2"/>
  <c r="H3383" i="2" s="1"/>
  <c r="S3383" i="2"/>
  <c r="J3383" i="2" s="1"/>
  <c r="R3384" i="2"/>
  <c r="H3384" i="2" s="1"/>
  <c r="S3384" i="2"/>
  <c r="J3384" i="2" s="1"/>
  <c r="R3385" i="2"/>
  <c r="H3385" i="2" s="1"/>
  <c r="S3385" i="2"/>
  <c r="J3385" i="2" s="1"/>
  <c r="R3386" i="2"/>
  <c r="H3386" i="2" s="1"/>
  <c r="S3386" i="2"/>
  <c r="J3386" i="2" s="1"/>
  <c r="R3387" i="2"/>
  <c r="H3387" i="2" s="1"/>
  <c r="S3387" i="2"/>
  <c r="J3387" i="2" s="1"/>
  <c r="R3388" i="2"/>
  <c r="H3388" i="2" s="1"/>
  <c r="S3388" i="2"/>
  <c r="J3388" i="2" s="1"/>
  <c r="R3389" i="2"/>
  <c r="H3389" i="2" s="1"/>
  <c r="S3389" i="2"/>
  <c r="J3389" i="2" s="1"/>
  <c r="R3390" i="2"/>
  <c r="H3390" i="2" s="1"/>
  <c r="S3390" i="2"/>
  <c r="J3390" i="2" s="1"/>
  <c r="R3391" i="2"/>
  <c r="H3391" i="2" s="1"/>
  <c r="S3391" i="2"/>
  <c r="J3391" i="2" s="1"/>
  <c r="R3392" i="2"/>
  <c r="H3392" i="2" s="1"/>
  <c r="S3392" i="2"/>
  <c r="J3392" i="2" s="1"/>
  <c r="R3393" i="2"/>
  <c r="H3393" i="2" s="1"/>
  <c r="S3393" i="2"/>
  <c r="J3393" i="2" s="1"/>
  <c r="R3394" i="2"/>
  <c r="H3394" i="2" s="1"/>
  <c r="S3394" i="2"/>
  <c r="J3394" i="2" s="1"/>
  <c r="R3395" i="2"/>
  <c r="H3395" i="2" s="1"/>
  <c r="S3395" i="2"/>
  <c r="J3395" i="2" s="1"/>
  <c r="R3396" i="2"/>
  <c r="H3396" i="2" s="1"/>
  <c r="S3396" i="2"/>
  <c r="J3396" i="2" s="1"/>
  <c r="R3397" i="2"/>
  <c r="H3397" i="2" s="1"/>
  <c r="S3397" i="2"/>
  <c r="J3397" i="2" s="1"/>
  <c r="R3398" i="2"/>
  <c r="H3398" i="2" s="1"/>
  <c r="S3398" i="2"/>
  <c r="J3398" i="2" s="1"/>
  <c r="R3399" i="2"/>
  <c r="H3399" i="2" s="1"/>
  <c r="S3399" i="2"/>
  <c r="J3399" i="2" s="1"/>
  <c r="R3400" i="2"/>
  <c r="H3400" i="2" s="1"/>
  <c r="S3400" i="2"/>
  <c r="J3400" i="2" s="1"/>
  <c r="R3401" i="2"/>
  <c r="H3401" i="2" s="1"/>
  <c r="S3401" i="2"/>
  <c r="J3401" i="2" s="1"/>
  <c r="R3402" i="2"/>
  <c r="H3402" i="2" s="1"/>
  <c r="S3402" i="2"/>
  <c r="J3402" i="2" s="1"/>
  <c r="R3403" i="2"/>
  <c r="H3403" i="2" s="1"/>
  <c r="S3403" i="2"/>
  <c r="J3403" i="2" s="1"/>
  <c r="R3404" i="2"/>
  <c r="H3404" i="2" s="1"/>
  <c r="S3404" i="2"/>
  <c r="J3404" i="2" s="1"/>
  <c r="R3405" i="2"/>
  <c r="H3405" i="2" s="1"/>
  <c r="S3405" i="2"/>
  <c r="J3405" i="2" s="1"/>
  <c r="R3406" i="2"/>
  <c r="H3406" i="2" s="1"/>
  <c r="S3406" i="2"/>
  <c r="J3406" i="2" s="1"/>
  <c r="R3407" i="2"/>
  <c r="H3407" i="2" s="1"/>
  <c r="S3407" i="2"/>
  <c r="J3407" i="2" s="1"/>
  <c r="R3408" i="2"/>
  <c r="H3408" i="2" s="1"/>
  <c r="S3408" i="2"/>
  <c r="J3408" i="2" s="1"/>
  <c r="R3409" i="2"/>
  <c r="H3409" i="2" s="1"/>
  <c r="S3409" i="2"/>
  <c r="J3409" i="2" s="1"/>
  <c r="R3410" i="2"/>
  <c r="H3410" i="2" s="1"/>
  <c r="S3410" i="2"/>
  <c r="J3410" i="2" s="1"/>
  <c r="R3411" i="2"/>
  <c r="H3411" i="2" s="1"/>
  <c r="S3411" i="2"/>
  <c r="J3411" i="2" s="1"/>
  <c r="R3412" i="2"/>
  <c r="H3412" i="2" s="1"/>
  <c r="S3412" i="2"/>
  <c r="J3412" i="2" s="1"/>
  <c r="R3413" i="2"/>
  <c r="H3413" i="2" s="1"/>
  <c r="S3413" i="2"/>
  <c r="J3413" i="2" s="1"/>
  <c r="R3414" i="2"/>
  <c r="H3414" i="2" s="1"/>
  <c r="S3414" i="2"/>
  <c r="J3414" i="2" s="1"/>
  <c r="R3415" i="2"/>
  <c r="H3415" i="2" s="1"/>
  <c r="S3415" i="2"/>
  <c r="J3415" i="2" s="1"/>
  <c r="R3416" i="2"/>
  <c r="H3416" i="2" s="1"/>
  <c r="S3416" i="2"/>
  <c r="J3416" i="2" s="1"/>
  <c r="R3417" i="2"/>
  <c r="H3417" i="2" s="1"/>
  <c r="S3417" i="2"/>
  <c r="J3417" i="2" s="1"/>
  <c r="R3418" i="2"/>
  <c r="H3418" i="2" s="1"/>
  <c r="S3418" i="2"/>
  <c r="J3418" i="2" s="1"/>
  <c r="R3419" i="2"/>
  <c r="H3419" i="2" s="1"/>
  <c r="S3419" i="2"/>
  <c r="J3419" i="2" s="1"/>
  <c r="R3420" i="2"/>
  <c r="H3420" i="2" s="1"/>
  <c r="S3420" i="2"/>
  <c r="J3420" i="2" s="1"/>
  <c r="R3421" i="2"/>
  <c r="H3421" i="2" s="1"/>
  <c r="S3421" i="2"/>
  <c r="J3421" i="2" s="1"/>
  <c r="R3422" i="2"/>
  <c r="H3422" i="2" s="1"/>
  <c r="S3422" i="2"/>
  <c r="J3422" i="2" s="1"/>
  <c r="R3423" i="2"/>
  <c r="H3423" i="2" s="1"/>
  <c r="S3423" i="2"/>
  <c r="J3423" i="2" s="1"/>
  <c r="R3424" i="2"/>
  <c r="H3424" i="2" s="1"/>
  <c r="S3424" i="2"/>
  <c r="J3424" i="2" s="1"/>
  <c r="R3425" i="2"/>
  <c r="H3425" i="2" s="1"/>
  <c r="S3425" i="2"/>
  <c r="J3425" i="2" s="1"/>
  <c r="R3426" i="2"/>
  <c r="H3426" i="2" s="1"/>
  <c r="S3426" i="2"/>
  <c r="J3426" i="2" s="1"/>
  <c r="R3427" i="2"/>
  <c r="H3427" i="2" s="1"/>
  <c r="S3427" i="2"/>
  <c r="J3427" i="2" s="1"/>
  <c r="R3428" i="2"/>
  <c r="H3428" i="2" s="1"/>
  <c r="S3428" i="2"/>
  <c r="J3428" i="2" s="1"/>
  <c r="R3429" i="2"/>
  <c r="H3429" i="2" s="1"/>
  <c r="S3429" i="2"/>
  <c r="J3429" i="2" s="1"/>
  <c r="R3430" i="2"/>
  <c r="H3430" i="2" s="1"/>
  <c r="S3430" i="2"/>
  <c r="J3430" i="2" s="1"/>
  <c r="R3431" i="2"/>
  <c r="H3431" i="2" s="1"/>
  <c r="S3431" i="2"/>
  <c r="J3431" i="2" s="1"/>
  <c r="R3432" i="2"/>
  <c r="H3432" i="2" s="1"/>
  <c r="S3432" i="2"/>
  <c r="J3432" i="2" s="1"/>
  <c r="R3433" i="2"/>
  <c r="H3433" i="2" s="1"/>
  <c r="S3433" i="2"/>
  <c r="J3433" i="2" s="1"/>
  <c r="R3434" i="2"/>
  <c r="H3434" i="2" s="1"/>
  <c r="S3434" i="2"/>
  <c r="J3434" i="2" s="1"/>
  <c r="R3435" i="2"/>
  <c r="H3435" i="2" s="1"/>
  <c r="S3435" i="2"/>
  <c r="J3435" i="2" s="1"/>
  <c r="R3436" i="2"/>
  <c r="H3436" i="2" s="1"/>
  <c r="S3436" i="2"/>
  <c r="J3436" i="2" s="1"/>
  <c r="R3437" i="2"/>
  <c r="H3437" i="2" s="1"/>
  <c r="S3437" i="2"/>
  <c r="J3437" i="2" s="1"/>
  <c r="R3438" i="2"/>
  <c r="H3438" i="2" s="1"/>
  <c r="S3438" i="2"/>
  <c r="J3438" i="2" s="1"/>
  <c r="R3439" i="2"/>
  <c r="H3439" i="2" s="1"/>
  <c r="S3439" i="2"/>
  <c r="J3439" i="2" s="1"/>
  <c r="R3440" i="2"/>
  <c r="H3440" i="2" s="1"/>
  <c r="S3440" i="2"/>
  <c r="J3440" i="2" s="1"/>
  <c r="R3441" i="2"/>
  <c r="H3441" i="2" s="1"/>
  <c r="S3441" i="2"/>
  <c r="J3441" i="2" s="1"/>
  <c r="R3442" i="2"/>
  <c r="H3442" i="2" s="1"/>
  <c r="S3442" i="2"/>
  <c r="J3442" i="2" s="1"/>
  <c r="R3443" i="2"/>
  <c r="H3443" i="2" s="1"/>
  <c r="S3443" i="2"/>
  <c r="J3443" i="2" s="1"/>
  <c r="R3444" i="2"/>
  <c r="H3444" i="2" s="1"/>
  <c r="S3444" i="2"/>
  <c r="J3444" i="2" s="1"/>
  <c r="R3445" i="2"/>
  <c r="H3445" i="2" s="1"/>
  <c r="S3445" i="2"/>
  <c r="J3445" i="2" s="1"/>
  <c r="R3446" i="2"/>
  <c r="H3446" i="2" s="1"/>
  <c r="S3446" i="2"/>
  <c r="J3446" i="2" s="1"/>
  <c r="R3447" i="2"/>
  <c r="H3447" i="2" s="1"/>
  <c r="S3447" i="2"/>
  <c r="J3447" i="2" s="1"/>
  <c r="R3448" i="2"/>
  <c r="H3448" i="2" s="1"/>
  <c r="S3448" i="2"/>
  <c r="J3448" i="2" s="1"/>
  <c r="R3449" i="2"/>
  <c r="H3449" i="2" s="1"/>
  <c r="S3449" i="2"/>
  <c r="J3449" i="2" s="1"/>
  <c r="R3450" i="2"/>
  <c r="H3450" i="2" s="1"/>
  <c r="S3450" i="2"/>
  <c r="J3450" i="2" s="1"/>
  <c r="R3451" i="2"/>
  <c r="H3451" i="2" s="1"/>
  <c r="S3451" i="2"/>
  <c r="J3451" i="2" s="1"/>
  <c r="R3452" i="2"/>
  <c r="H3452" i="2" s="1"/>
  <c r="S3452" i="2"/>
  <c r="J3452" i="2" s="1"/>
  <c r="R3453" i="2"/>
  <c r="H3453" i="2" s="1"/>
  <c r="S3453" i="2"/>
  <c r="J3453" i="2" s="1"/>
  <c r="R3454" i="2"/>
  <c r="H3454" i="2" s="1"/>
  <c r="S3454" i="2"/>
  <c r="J3454" i="2" s="1"/>
  <c r="R3455" i="2"/>
  <c r="H3455" i="2" s="1"/>
  <c r="S3455" i="2"/>
  <c r="J3455" i="2" s="1"/>
  <c r="R3456" i="2"/>
  <c r="H3456" i="2" s="1"/>
  <c r="S3456" i="2"/>
  <c r="J3456" i="2" s="1"/>
  <c r="R3457" i="2"/>
  <c r="H3457" i="2" s="1"/>
  <c r="S3457" i="2"/>
  <c r="J3457" i="2" s="1"/>
  <c r="R3458" i="2"/>
  <c r="H3458" i="2" s="1"/>
  <c r="S3458" i="2"/>
  <c r="J3458" i="2" s="1"/>
  <c r="R3459" i="2"/>
  <c r="H3459" i="2" s="1"/>
  <c r="S3459" i="2"/>
  <c r="J3459" i="2" s="1"/>
  <c r="R3460" i="2"/>
  <c r="H3460" i="2" s="1"/>
  <c r="S3460" i="2"/>
  <c r="J3460" i="2" s="1"/>
  <c r="R3461" i="2"/>
  <c r="H3461" i="2" s="1"/>
  <c r="S3461" i="2"/>
  <c r="J3461" i="2" s="1"/>
  <c r="R3462" i="2"/>
  <c r="H3462" i="2" s="1"/>
  <c r="S3462" i="2"/>
  <c r="J3462" i="2" s="1"/>
  <c r="R3463" i="2"/>
  <c r="H3463" i="2" s="1"/>
  <c r="S3463" i="2"/>
  <c r="J3463" i="2" s="1"/>
  <c r="R3464" i="2"/>
  <c r="H3464" i="2" s="1"/>
  <c r="S3464" i="2"/>
  <c r="J3464" i="2" s="1"/>
  <c r="R3465" i="2"/>
  <c r="H3465" i="2" s="1"/>
  <c r="S3465" i="2"/>
  <c r="J3465" i="2" s="1"/>
  <c r="R3466" i="2"/>
  <c r="H3466" i="2" s="1"/>
  <c r="S3466" i="2"/>
  <c r="J3466" i="2" s="1"/>
  <c r="R3467" i="2"/>
  <c r="H3467" i="2" s="1"/>
  <c r="S3467" i="2"/>
  <c r="J3467" i="2" s="1"/>
  <c r="R3468" i="2"/>
  <c r="H3468" i="2" s="1"/>
  <c r="S3468" i="2"/>
  <c r="J3468" i="2" s="1"/>
  <c r="R3469" i="2"/>
  <c r="H3469" i="2" s="1"/>
  <c r="S3469" i="2"/>
  <c r="J3469" i="2" s="1"/>
  <c r="R3470" i="2"/>
  <c r="H3470" i="2" s="1"/>
  <c r="S3470" i="2"/>
  <c r="J3470" i="2" s="1"/>
  <c r="R3471" i="2"/>
  <c r="H3471" i="2" s="1"/>
  <c r="S3471" i="2"/>
  <c r="J3471" i="2" s="1"/>
  <c r="R3472" i="2"/>
  <c r="H3472" i="2" s="1"/>
  <c r="S3472" i="2"/>
  <c r="J3472" i="2" s="1"/>
  <c r="R3473" i="2"/>
  <c r="H3473" i="2" s="1"/>
  <c r="S3473" i="2"/>
  <c r="J3473" i="2" s="1"/>
  <c r="R3474" i="2"/>
  <c r="H3474" i="2" s="1"/>
  <c r="S3474" i="2"/>
  <c r="J3474" i="2" s="1"/>
  <c r="R3475" i="2"/>
  <c r="H3475" i="2" s="1"/>
  <c r="S3475" i="2"/>
  <c r="J3475" i="2" s="1"/>
  <c r="R3476" i="2"/>
  <c r="H3476" i="2" s="1"/>
  <c r="S3476" i="2"/>
  <c r="J3476" i="2" s="1"/>
  <c r="R3477" i="2"/>
  <c r="H3477" i="2" s="1"/>
  <c r="S3477" i="2"/>
  <c r="J3477" i="2" s="1"/>
  <c r="R3478" i="2"/>
  <c r="H3478" i="2" s="1"/>
  <c r="S3478" i="2"/>
  <c r="J3478" i="2" s="1"/>
  <c r="R3479" i="2"/>
  <c r="H3479" i="2" s="1"/>
  <c r="S3479" i="2"/>
  <c r="J3479" i="2" s="1"/>
  <c r="R3480" i="2"/>
  <c r="H3480" i="2" s="1"/>
  <c r="S3480" i="2"/>
  <c r="J3480" i="2" s="1"/>
  <c r="R3481" i="2"/>
  <c r="H3481" i="2" s="1"/>
  <c r="S3481" i="2"/>
  <c r="J3481" i="2" s="1"/>
  <c r="R3482" i="2"/>
  <c r="H3482" i="2" s="1"/>
  <c r="S3482" i="2"/>
  <c r="J3482" i="2" s="1"/>
  <c r="R3483" i="2"/>
  <c r="H3483" i="2" s="1"/>
  <c r="S3483" i="2"/>
  <c r="J3483" i="2" s="1"/>
  <c r="R3484" i="2"/>
  <c r="H3484" i="2" s="1"/>
  <c r="S3484" i="2"/>
  <c r="J3484" i="2" s="1"/>
  <c r="R3485" i="2"/>
  <c r="H3485" i="2" s="1"/>
  <c r="S3485" i="2"/>
  <c r="J3485" i="2" s="1"/>
  <c r="R3486" i="2"/>
  <c r="H3486" i="2" s="1"/>
  <c r="S3486" i="2"/>
  <c r="J3486" i="2" s="1"/>
  <c r="R3487" i="2"/>
  <c r="H3487" i="2" s="1"/>
  <c r="S3487" i="2"/>
  <c r="J3487" i="2" s="1"/>
  <c r="R3488" i="2"/>
  <c r="H3488" i="2" s="1"/>
  <c r="S3488" i="2"/>
  <c r="J3488" i="2" s="1"/>
  <c r="R3489" i="2"/>
  <c r="H3489" i="2" s="1"/>
  <c r="S3489" i="2"/>
  <c r="J3489" i="2" s="1"/>
  <c r="R3490" i="2"/>
  <c r="H3490" i="2" s="1"/>
  <c r="S3490" i="2"/>
  <c r="J3490" i="2" s="1"/>
  <c r="R3491" i="2"/>
  <c r="H3491" i="2" s="1"/>
  <c r="S3491" i="2"/>
  <c r="J3491" i="2" s="1"/>
  <c r="R3492" i="2"/>
  <c r="H3492" i="2" s="1"/>
  <c r="S3492" i="2"/>
  <c r="J3492" i="2" s="1"/>
  <c r="R3493" i="2"/>
  <c r="H3493" i="2" s="1"/>
  <c r="S3493" i="2"/>
  <c r="J3493" i="2" s="1"/>
  <c r="R3494" i="2"/>
  <c r="H3494" i="2" s="1"/>
  <c r="S3494" i="2"/>
  <c r="J3494" i="2" s="1"/>
  <c r="R3495" i="2"/>
  <c r="H3495" i="2" s="1"/>
  <c r="S3495" i="2"/>
  <c r="J3495" i="2" s="1"/>
  <c r="R3496" i="2"/>
  <c r="H3496" i="2" s="1"/>
  <c r="S3496" i="2"/>
  <c r="J3496" i="2" s="1"/>
  <c r="R3497" i="2"/>
  <c r="H3497" i="2" s="1"/>
  <c r="S3497" i="2"/>
  <c r="J3497" i="2" s="1"/>
  <c r="R11" i="2"/>
  <c r="S11" i="2"/>
  <c r="I1193" i="2" l="1"/>
  <c r="L1193" i="2"/>
  <c r="BE1165" i="2"/>
  <c r="BE1163" i="2"/>
  <c r="BE1160" i="2"/>
  <c r="H1020" i="2"/>
  <c r="H663" i="2"/>
  <c r="BE663" i="2" s="1"/>
  <c r="H745" i="2"/>
  <c r="BE745" i="2" s="1"/>
  <c r="H1064" i="2"/>
  <c r="BE1064" i="2" s="1"/>
  <c r="J303" i="2"/>
  <c r="I482" i="2"/>
  <c r="H168" i="2"/>
  <c r="BE168" i="2" s="1"/>
  <c r="I168" i="2"/>
  <c r="H718" i="2"/>
  <c r="R7" i="2"/>
  <c r="S7" i="2"/>
  <c r="L1020" i="2" l="1"/>
  <c r="BB718" i="2"/>
  <c r="BE718" i="2" s="1"/>
  <c r="I849" i="2"/>
  <c r="I753" i="2"/>
  <c r="I746" i="2"/>
  <c r="I742" i="2"/>
  <c r="I738" i="2"/>
  <c r="I723" i="2"/>
  <c r="I698" i="2"/>
  <c r="I693" i="2"/>
  <c r="I687" i="2"/>
  <c r="I683" i="2"/>
  <c r="I669" i="2"/>
  <c r="I667" i="2"/>
  <c r="I657" i="2"/>
  <c r="I621" i="2"/>
  <c r="I612" i="2"/>
  <c r="I607" i="2"/>
  <c r="I604" i="2"/>
  <c r="I601" i="2"/>
  <c r="I596" i="2"/>
  <c r="I593" i="2"/>
  <c r="I590" i="2"/>
  <c r="I589" i="2"/>
  <c r="I587" i="2"/>
  <c r="I568" i="2"/>
  <c r="I549" i="2"/>
  <c r="I545" i="2"/>
  <c r="I544" i="2"/>
  <c r="I453" i="2"/>
  <c r="I443" i="2"/>
  <c r="I439" i="2"/>
  <c r="I429" i="2"/>
  <c r="I414" i="2"/>
  <c r="I406" i="2"/>
  <c r="I389" i="2"/>
  <c r="I386" i="2"/>
  <c r="I369" i="2"/>
  <c r="I363" i="2"/>
  <c r="I343" i="2"/>
  <c r="I330" i="2"/>
  <c r="I324" i="2"/>
  <c r="I318" i="2"/>
  <c r="I310" i="2"/>
  <c r="I308" i="2"/>
  <c r="I299" i="2"/>
  <c r="I291" i="2"/>
  <c r="I285" i="2"/>
  <c r="I274" i="2"/>
  <c r="I272" i="2"/>
  <c r="I252" i="2"/>
  <c r="I213" i="2"/>
  <c r="I184" i="2"/>
  <c r="B7" i="2"/>
  <c r="C7" i="2"/>
  <c r="D7" i="2"/>
  <c r="E7" i="2"/>
  <c r="BA1019" i="2" l="1"/>
  <c r="BA555" i="2"/>
  <c r="BA553" i="2"/>
  <c r="BA551" i="2"/>
  <c r="BA406" i="2"/>
  <c r="BA404" i="2"/>
  <c r="BB404" i="2" s="1"/>
  <c r="BE404" i="2" s="1"/>
  <c r="BA389" i="2"/>
  <c r="BA388" i="2"/>
  <c r="BA386" i="2"/>
  <c r="BA369" i="2"/>
  <c r="BA363" i="2"/>
  <c r="BA103" i="2"/>
  <c r="BA568" i="2"/>
  <c r="BA549" i="2"/>
  <c r="BA429" i="2"/>
  <c r="BA330" i="2"/>
  <c r="BA414" i="2"/>
  <c r="BA443" i="2"/>
  <c r="BA303" i="2"/>
  <c r="BB303" i="2" s="1"/>
  <c r="BE303" i="2" s="1"/>
  <c r="BA299" i="2"/>
  <c r="BA310" i="2"/>
  <c r="BA308" i="2"/>
  <c r="BA291" i="2"/>
  <c r="BA285" i="2"/>
  <c r="BA281" i="2"/>
  <c r="BE281" i="2" s="1"/>
  <c r="BA471" i="2"/>
  <c r="BE471" i="2" s="1"/>
  <c r="BA467" i="2"/>
  <c r="BE467" i="2" s="1"/>
  <c r="BA445" i="2"/>
  <c r="BE445" i="2" s="1"/>
  <c r="BA441" i="2"/>
  <c r="BE441" i="2" s="1"/>
  <c r="BA435" i="2"/>
  <c r="BA453" i="2"/>
  <c r="BA75" i="2"/>
  <c r="BA189" i="2"/>
  <c r="BB189" i="2" s="1"/>
  <c r="BE189" i="2" s="1"/>
  <c r="BA669" i="2"/>
  <c r="BA184" i="2"/>
  <c r="BB388" i="2" l="1"/>
  <c r="BE388" i="2" s="1"/>
  <c r="BB1019" i="2"/>
  <c r="BE1019" i="2" s="1"/>
  <c r="BB551" i="2"/>
  <c r="BE551" i="2" s="1"/>
  <c r="BB553" i="2"/>
  <c r="BE553" i="2" s="1"/>
  <c r="BB555" i="2"/>
  <c r="BE555" i="2" s="1"/>
  <c r="P7" i="2"/>
  <c r="BN7" i="2"/>
  <c r="BO7" i="2"/>
  <c r="BP7" i="2"/>
  <c r="BQ7" i="2"/>
  <c r="BM7" i="2"/>
  <c r="BJ7" i="2"/>
  <c r="BL7" i="2"/>
  <c r="K3044" i="2"/>
  <c r="K1502" i="2"/>
  <c r="L1502" i="2"/>
  <c r="N1502" i="2"/>
  <c r="K1503" i="2"/>
  <c r="L1503" i="2"/>
  <c r="N1503" i="2"/>
  <c r="K1504" i="2"/>
  <c r="L1504" i="2"/>
  <c r="N1504" i="2"/>
  <c r="K1505" i="2"/>
  <c r="L1505" i="2"/>
  <c r="N1505" i="2"/>
  <c r="K1506" i="2"/>
  <c r="L1506" i="2"/>
  <c r="N1506" i="2"/>
  <c r="K1507" i="2"/>
  <c r="L1507" i="2"/>
  <c r="N1507" i="2"/>
  <c r="K1508" i="2"/>
  <c r="L1508" i="2"/>
  <c r="N1508" i="2"/>
  <c r="K1509" i="2"/>
  <c r="L1509" i="2"/>
  <c r="N1509" i="2"/>
  <c r="K1510" i="2"/>
  <c r="L1510" i="2"/>
  <c r="N1510" i="2"/>
  <c r="K1511" i="2"/>
  <c r="L1511" i="2"/>
  <c r="N1511" i="2"/>
  <c r="K1512" i="2"/>
  <c r="L1512" i="2"/>
  <c r="N1512" i="2"/>
  <c r="K1513" i="2"/>
  <c r="L1513" i="2"/>
  <c r="N1513" i="2"/>
  <c r="K1514" i="2"/>
  <c r="L1514" i="2"/>
  <c r="N1514" i="2"/>
  <c r="K1515" i="2"/>
  <c r="L1515" i="2"/>
  <c r="N1515" i="2"/>
  <c r="K1516" i="2"/>
  <c r="L1516" i="2"/>
  <c r="N1516" i="2"/>
  <c r="K1517" i="2"/>
  <c r="L1517" i="2"/>
  <c r="N1517" i="2"/>
  <c r="K1518" i="2"/>
  <c r="L1518" i="2"/>
  <c r="N1518" i="2"/>
  <c r="K1519" i="2"/>
  <c r="L1519" i="2"/>
  <c r="N1519" i="2"/>
  <c r="K1520" i="2"/>
  <c r="L1520" i="2"/>
  <c r="N1520" i="2"/>
  <c r="K1521" i="2"/>
  <c r="L1521" i="2"/>
  <c r="N1521" i="2"/>
  <c r="K1522" i="2"/>
  <c r="L1522" i="2"/>
  <c r="N1522" i="2"/>
  <c r="K1523" i="2"/>
  <c r="L1523" i="2"/>
  <c r="N1523" i="2"/>
  <c r="K1524" i="2"/>
  <c r="L1524" i="2"/>
  <c r="N1524" i="2"/>
  <c r="K1525" i="2"/>
  <c r="L1525" i="2"/>
  <c r="N1525" i="2"/>
  <c r="K1526" i="2"/>
  <c r="L1526" i="2"/>
  <c r="N1526" i="2"/>
  <c r="K1527" i="2"/>
  <c r="L1527" i="2"/>
  <c r="N1527" i="2"/>
  <c r="K1528" i="2"/>
  <c r="L1528" i="2"/>
  <c r="N1528" i="2"/>
  <c r="K1529" i="2"/>
  <c r="L1529" i="2"/>
  <c r="N1529" i="2"/>
  <c r="K1530" i="2"/>
  <c r="L1530" i="2"/>
  <c r="N1530" i="2"/>
  <c r="K1531" i="2"/>
  <c r="L1531" i="2"/>
  <c r="N1531" i="2"/>
  <c r="K1532" i="2"/>
  <c r="L1532" i="2"/>
  <c r="N1532" i="2"/>
  <c r="K1533" i="2"/>
  <c r="L1533" i="2"/>
  <c r="N1533" i="2"/>
  <c r="K1534" i="2"/>
  <c r="L1534" i="2"/>
  <c r="N1534" i="2"/>
  <c r="K1535" i="2"/>
  <c r="L1535" i="2"/>
  <c r="N1535" i="2"/>
  <c r="K1536" i="2"/>
  <c r="L1536" i="2"/>
  <c r="N1536" i="2"/>
  <c r="K1537" i="2"/>
  <c r="L1537" i="2"/>
  <c r="N1537" i="2"/>
  <c r="K1538" i="2"/>
  <c r="L1538" i="2"/>
  <c r="N1538" i="2"/>
  <c r="K1539" i="2"/>
  <c r="L1539" i="2"/>
  <c r="N1539" i="2"/>
  <c r="K1540" i="2"/>
  <c r="L1540" i="2"/>
  <c r="N1540" i="2"/>
  <c r="K1541" i="2"/>
  <c r="L1541" i="2"/>
  <c r="N1541" i="2"/>
  <c r="K1542" i="2"/>
  <c r="L1542" i="2"/>
  <c r="N1542" i="2"/>
  <c r="K1543" i="2"/>
  <c r="L1543" i="2"/>
  <c r="N1543" i="2"/>
  <c r="K1544" i="2"/>
  <c r="L1544" i="2"/>
  <c r="N1544" i="2"/>
  <c r="K1545" i="2"/>
  <c r="L1545" i="2"/>
  <c r="N1545" i="2"/>
  <c r="K1546" i="2"/>
  <c r="L1546" i="2"/>
  <c r="N1546" i="2"/>
  <c r="K1547" i="2"/>
  <c r="L1547" i="2"/>
  <c r="N1547" i="2"/>
  <c r="K1548" i="2"/>
  <c r="L1548" i="2"/>
  <c r="N1548" i="2"/>
  <c r="K1549" i="2"/>
  <c r="L1549" i="2"/>
  <c r="N1549" i="2"/>
  <c r="K1550" i="2"/>
  <c r="L1550" i="2"/>
  <c r="N1550" i="2"/>
  <c r="K1551" i="2"/>
  <c r="L1551" i="2"/>
  <c r="N1551" i="2"/>
  <c r="K1552" i="2"/>
  <c r="L1552" i="2"/>
  <c r="N1552" i="2"/>
  <c r="K1553" i="2"/>
  <c r="L1553" i="2"/>
  <c r="N1553" i="2"/>
  <c r="K1554" i="2"/>
  <c r="L1554" i="2"/>
  <c r="N1554" i="2"/>
  <c r="K1555" i="2"/>
  <c r="L1555" i="2"/>
  <c r="N1555" i="2"/>
  <c r="K1556" i="2"/>
  <c r="L1556" i="2"/>
  <c r="N1556" i="2"/>
  <c r="K1557" i="2"/>
  <c r="L1557" i="2"/>
  <c r="N1557" i="2"/>
  <c r="K1558" i="2"/>
  <c r="L1558" i="2"/>
  <c r="N1558" i="2"/>
  <c r="K1559" i="2"/>
  <c r="L1559" i="2"/>
  <c r="N1559" i="2"/>
  <c r="K1560" i="2"/>
  <c r="L1560" i="2"/>
  <c r="N1560" i="2"/>
  <c r="K1561" i="2"/>
  <c r="L1561" i="2"/>
  <c r="N1561" i="2"/>
  <c r="K1562" i="2"/>
  <c r="L1562" i="2"/>
  <c r="N1562" i="2"/>
  <c r="K1563" i="2"/>
  <c r="L1563" i="2"/>
  <c r="N1563" i="2"/>
  <c r="K1564" i="2"/>
  <c r="L1564" i="2"/>
  <c r="N1564" i="2"/>
  <c r="K1565" i="2"/>
  <c r="L1565" i="2"/>
  <c r="N1565" i="2"/>
  <c r="K1566" i="2"/>
  <c r="L1566" i="2"/>
  <c r="N1566" i="2"/>
  <c r="K1567" i="2"/>
  <c r="L1567" i="2"/>
  <c r="N1567" i="2"/>
  <c r="K1568" i="2"/>
  <c r="L1568" i="2"/>
  <c r="N1568" i="2"/>
  <c r="K1569" i="2"/>
  <c r="L1569" i="2"/>
  <c r="N1569" i="2"/>
  <c r="K1570" i="2"/>
  <c r="L1570" i="2"/>
  <c r="N1570" i="2"/>
  <c r="K1571" i="2"/>
  <c r="L1571" i="2"/>
  <c r="N1571" i="2"/>
  <c r="K1572" i="2"/>
  <c r="L1572" i="2"/>
  <c r="N1572" i="2"/>
  <c r="K1573" i="2"/>
  <c r="L1573" i="2"/>
  <c r="N1573" i="2"/>
  <c r="K1574" i="2"/>
  <c r="L1574" i="2"/>
  <c r="N1574" i="2"/>
  <c r="K1575" i="2"/>
  <c r="L1575" i="2"/>
  <c r="N1575" i="2"/>
  <c r="K1576" i="2"/>
  <c r="L1576" i="2"/>
  <c r="N1576" i="2"/>
  <c r="K1577" i="2"/>
  <c r="L1577" i="2"/>
  <c r="N1577" i="2"/>
  <c r="K1578" i="2"/>
  <c r="L1578" i="2"/>
  <c r="N1578" i="2"/>
  <c r="K1579" i="2"/>
  <c r="L1579" i="2"/>
  <c r="N1579" i="2"/>
  <c r="K1580" i="2"/>
  <c r="L1580" i="2"/>
  <c r="N1580" i="2"/>
  <c r="K1581" i="2"/>
  <c r="L1581" i="2"/>
  <c r="N1581" i="2"/>
  <c r="K1582" i="2"/>
  <c r="L1582" i="2"/>
  <c r="N1582" i="2"/>
  <c r="K1583" i="2"/>
  <c r="L1583" i="2"/>
  <c r="N1583" i="2"/>
  <c r="K1584" i="2"/>
  <c r="L1584" i="2"/>
  <c r="N1584" i="2"/>
  <c r="K1585" i="2"/>
  <c r="L1585" i="2"/>
  <c r="N1585" i="2"/>
  <c r="K1586" i="2"/>
  <c r="L1586" i="2"/>
  <c r="N1586" i="2"/>
  <c r="K1587" i="2"/>
  <c r="L1587" i="2"/>
  <c r="N1587" i="2"/>
  <c r="K1588" i="2"/>
  <c r="L1588" i="2"/>
  <c r="N1588" i="2"/>
  <c r="K1589" i="2"/>
  <c r="L1589" i="2"/>
  <c r="N1589" i="2"/>
  <c r="K1590" i="2"/>
  <c r="L1590" i="2"/>
  <c r="N1590" i="2"/>
  <c r="K1591" i="2"/>
  <c r="L1591" i="2"/>
  <c r="N1591" i="2"/>
  <c r="K1592" i="2"/>
  <c r="L1592" i="2"/>
  <c r="N1592" i="2"/>
  <c r="K1593" i="2"/>
  <c r="L1593" i="2"/>
  <c r="N1593" i="2"/>
  <c r="K1594" i="2"/>
  <c r="L1594" i="2"/>
  <c r="N1594" i="2"/>
  <c r="K1595" i="2"/>
  <c r="L1595" i="2"/>
  <c r="N1595" i="2"/>
  <c r="K1596" i="2"/>
  <c r="L1596" i="2"/>
  <c r="N1596" i="2"/>
  <c r="K1597" i="2"/>
  <c r="L1597" i="2"/>
  <c r="N1597" i="2"/>
  <c r="K1598" i="2"/>
  <c r="L1598" i="2"/>
  <c r="N1598" i="2"/>
  <c r="K1599" i="2"/>
  <c r="L1599" i="2"/>
  <c r="N1599" i="2"/>
  <c r="K1600" i="2"/>
  <c r="L1600" i="2"/>
  <c r="N1600" i="2"/>
  <c r="K1601" i="2"/>
  <c r="L1601" i="2"/>
  <c r="N1601" i="2"/>
  <c r="K1602" i="2"/>
  <c r="L1602" i="2"/>
  <c r="N1602" i="2"/>
  <c r="K1603" i="2"/>
  <c r="L1603" i="2"/>
  <c r="N1603" i="2"/>
  <c r="K1604" i="2"/>
  <c r="L1604" i="2"/>
  <c r="N1604" i="2"/>
  <c r="K1605" i="2"/>
  <c r="L1605" i="2"/>
  <c r="N1605" i="2"/>
  <c r="K1606" i="2"/>
  <c r="L1606" i="2"/>
  <c r="N1606" i="2"/>
  <c r="K1607" i="2"/>
  <c r="L1607" i="2"/>
  <c r="N1607" i="2"/>
  <c r="K1608" i="2"/>
  <c r="L1608" i="2"/>
  <c r="N1608" i="2"/>
  <c r="K1609" i="2"/>
  <c r="L1609" i="2"/>
  <c r="N1609" i="2"/>
  <c r="K1610" i="2"/>
  <c r="L1610" i="2"/>
  <c r="N1610" i="2"/>
  <c r="K1611" i="2"/>
  <c r="L1611" i="2"/>
  <c r="N1611" i="2"/>
  <c r="K1612" i="2"/>
  <c r="L1612" i="2"/>
  <c r="N1612" i="2"/>
  <c r="K1613" i="2"/>
  <c r="L1613" i="2"/>
  <c r="N1613" i="2"/>
  <c r="K1614" i="2"/>
  <c r="L1614" i="2"/>
  <c r="N1614" i="2"/>
  <c r="K1615" i="2"/>
  <c r="L1615" i="2"/>
  <c r="N1615" i="2"/>
  <c r="K1616" i="2"/>
  <c r="L1616" i="2"/>
  <c r="N1616" i="2"/>
  <c r="K1617" i="2"/>
  <c r="L1617" i="2"/>
  <c r="N1617" i="2"/>
  <c r="K1618" i="2"/>
  <c r="L1618" i="2"/>
  <c r="N1618" i="2"/>
  <c r="K1619" i="2"/>
  <c r="L1619" i="2"/>
  <c r="N1619" i="2"/>
  <c r="K1620" i="2"/>
  <c r="L1620" i="2"/>
  <c r="N1620" i="2"/>
  <c r="K1621" i="2"/>
  <c r="L1621" i="2"/>
  <c r="N1621" i="2"/>
  <c r="K1622" i="2"/>
  <c r="L1622" i="2"/>
  <c r="N1622" i="2"/>
  <c r="K1623" i="2"/>
  <c r="L1623" i="2"/>
  <c r="N1623" i="2"/>
  <c r="K1624" i="2"/>
  <c r="L1624" i="2"/>
  <c r="N1624" i="2"/>
  <c r="K1625" i="2"/>
  <c r="L1625" i="2"/>
  <c r="N1625" i="2"/>
  <c r="K1626" i="2"/>
  <c r="L1626" i="2"/>
  <c r="N1626" i="2"/>
  <c r="K1627" i="2"/>
  <c r="L1627" i="2"/>
  <c r="N1627" i="2"/>
  <c r="K1628" i="2"/>
  <c r="L1628" i="2"/>
  <c r="N1628" i="2"/>
  <c r="K1629" i="2"/>
  <c r="L1629" i="2"/>
  <c r="N1629" i="2"/>
  <c r="K1630" i="2"/>
  <c r="L1630" i="2"/>
  <c r="N1630" i="2"/>
  <c r="K1631" i="2"/>
  <c r="L1631" i="2"/>
  <c r="N1631" i="2"/>
  <c r="K1632" i="2"/>
  <c r="L1632" i="2"/>
  <c r="N1632" i="2"/>
  <c r="K1633" i="2"/>
  <c r="L1633" i="2"/>
  <c r="N1633" i="2"/>
  <c r="K1634" i="2"/>
  <c r="L1634" i="2"/>
  <c r="N1634" i="2"/>
  <c r="K1635" i="2"/>
  <c r="L1635" i="2"/>
  <c r="N1635" i="2"/>
  <c r="K1636" i="2"/>
  <c r="L1636" i="2"/>
  <c r="N1636" i="2"/>
  <c r="K1637" i="2"/>
  <c r="L1637" i="2"/>
  <c r="N1637" i="2"/>
  <c r="K1638" i="2"/>
  <c r="L1638" i="2"/>
  <c r="N1638" i="2"/>
  <c r="K1639" i="2"/>
  <c r="L1639" i="2"/>
  <c r="N1639" i="2"/>
  <c r="K1640" i="2"/>
  <c r="L1640" i="2"/>
  <c r="N1640" i="2"/>
  <c r="K1641" i="2"/>
  <c r="L1641" i="2"/>
  <c r="N1641" i="2"/>
  <c r="K1642" i="2"/>
  <c r="L1642" i="2"/>
  <c r="N1642" i="2"/>
  <c r="K1643" i="2"/>
  <c r="L1643" i="2"/>
  <c r="N1643" i="2"/>
  <c r="K1644" i="2"/>
  <c r="L1644" i="2"/>
  <c r="N1644" i="2"/>
  <c r="K1645" i="2"/>
  <c r="L1645" i="2"/>
  <c r="N1645" i="2"/>
  <c r="K1646" i="2"/>
  <c r="L1646" i="2"/>
  <c r="N1646" i="2"/>
  <c r="K1647" i="2"/>
  <c r="L1647" i="2"/>
  <c r="N1647" i="2"/>
  <c r="K1648" i="2"/>
  <c r="L1648" i="2"/>
  <c r="N1648" i="2"/>
  <c r="K1649" i="2"/>
  <c r="L1649" i="2"/>
  <c r="N1649" i="2"/>
  <c r="K1650" i="2"/>
  <c r="L1650" i="2"/>
  <c r="N1650" i="2"/>
  <c r="K1651" i="2"/>
  <c r="L1651" i="2"/>
  <c r="N1651" i="2"/>
  <c r="K1652" i="2"/>
  <c r="L1652" i="2"/>
  <c r="N1652" i="2"/>
  <c r="K1653" i="2"/>
  <c r="L1653" i="2"/>
  <c r="N1653" i="2"/>
  <c r="K1654" i="2"/>
  <c r="L1654" i="2"/>
  <c r="N1654" i="2"/>
  <c r="K1655" i="2"/>
  <c r="L1655" i="2"/>
  <c r="N1655" i="2"/>
  <c r="K1656" i="2"/>
  <c r="L1656" i="2"/>
  <c r="N1656" i="2"/>
  <c r="K1657" i="2"/>
  <c r="L1657" i="2"/>
  <c r="N1657" i="2"/>
  <c r="K1658" i="2"/>
  <c r="L1658" i="2"/>
  <c r="N1658" i="2"/>
  <c r="K1659" i="2"/>
  <c r="L1659" i="2"/>
  <c r="N1659" i="2"/>
  <c r="K1660" i="2"/>
  <c r="L1660" i="2"/>
  <c r="N1660" i="2"/>
  <c r="K1661" i="2"/>
  <c r="L1661" i="2"/>
  <c r="N1661" i="2"/>
  <c r="K1662" i="2"/>
  <c r="L1662" i="2"/>
  <c r="N1662" i="2"/>
  <c r="K1663" i="2"/>
  <c r="L1663" i="2"/>
  <c r="N1663" i="2"/>
  <c r="K1664" i="2"/>
  <c r="L1664" i="2"/>
  <c r="N1664" i="2"/>
  <c r="K1665" i="2"/>
  <c r="L1665" i="2"/>
  <c r="N1665" i="2"/>
  <c r="K1666" i="2"/>
  <c r="L1666" i="2"/>
  <c r="N1666" i="2"/>
  <c r="K1667" i="2"/>
  <c r="L1667" i="2"/>
  <c r="N1667" i="2"/>
  <c r="K1668" i="2"/>
  <c r="L1668" i="2"/>
  <c r="N1668" i="2"/>
  <c r="K1669" i="2"/>
  <c r="L1669" i="2"/>
  <c r="N1669" i="2"/>
  <c r="K1670" i="2"/>
  <c r="L1670" i="2"/>
  <c r="N1670" i="2"/>
  <c r="K1671" i="2"/>
  <c r="L1671" i="2"/>
  <c r="N1671" i="2"/>
  <c r="K1672" i="2"/>
  <c r="L1672" i="2"/>
  <c r="N1672" i="2"/>
  <c r="K1673" i="2"/>
  <c r="L1673" i="2"/>
  <c r="N1673" i="2"/>
  <c r="K1674" i="2"/>
  <c r="L1674" i="2"/>
  <c r="N1674" i="2"/>
  <c r="K1675" i="2"/>
  <c r="L1675" i="2"/>
  <c r="N1675" i="2"/>
  <c r="K1676" i="2"/>
  <c r="L1676" i="2"/>
  <c r="N1676" i="2"/>
  <c r="K1677" i="2"/>
  <c r="L1677" i="2"/>
  <c r="N1677" i="2"/>
  <c r="K1678" i="2"/>
  <c r="L1678" i="2"/>
  <c r="N1678" i="2"/>
  <c r="K1679" i="2"/>
  <c r="L1679" i="2"/>
  <c r="N1679" i="2"/>
  <c r="K1680" i="2"/>
  <c r="L1680" i="2"/>
  <c r="N1680" i="2"/>
  <c r="K1681" i="2"/>
  <c r="L1681" i="2"/>
  <c r="N1681" i="2"/>
  <c r="K1682" i="2"/>
  <c r="L1682" i="2"/>
  <c r="N1682" i="2"/>
  <c r="K1683" i="2"/>
  <c r="L1683" i="2"/>
  <c r="N1683" i="2"/>
  <c r="K1684" i="2"/>
  <c r="L1684" i="2"/>
  <c r="N1684" i="2"/>
  <c r="K1685" i="2"/>
  <c r="L1685" i="2"/>
  <c r="N1685" i="2"/>
  <c r="K1686" i="2"/>
  <c r="L1686" i="2"/>
  <c r="N1686" i="2"/>
  <c r="K1687" i="2"/>
  <c r="L1687" i="2"/>
  <c r="N1687" i="2"/>
  <c r="K1688" i="2"/>
  <c r="L1688" i="2"/>
  <c r="N1688" i="2"/>
  <c r="K1689" i="2"/>
  <c r="L1689" i="2"/>
  <c r="N1689" i="2"/>
  <c r="K1690" i="2"/>
  <c r="L1690" i="2"/>
  <c r="N1690" i="2"/>
  <c r="K1691" i="2"/>
  <c r="L1691" i="2"/>
  <c r="N1691" i="2"/>
  <c r="K1692" i="2"/>
  <c r="L1692" i="2"/>
  <c r="N1692" i="2"/>
  <c r="K1693" i="2"/>
  <c r="L1693" i="2"/>
  <c r="N1693" i="2"/>
  <c r="K1694" i="2"/>
  <c r="L1694" i="2"/>
  <c r="N1694" i="2"/>
  <c r="K1695" i="2"/>
  <c r="L1695" i="2"/>
  <c r="N1695" i="2"/>
  <c r="K1696" i="2"/>
  <c r="L1696" i="2"/>
  <c r="N1696" i="2"/>
  <c r="K1697" i="2"/>
  <c r="L1697" i="2"/>
  <c r="N1697" i="2"/>
  <c r="K1698" i="2"/>
  <c r="L1698" i="2"/>
  <c r="N1698" i="2"/>
  <c r="K1699" i="2"/>
  <c r="L1699" i="2"/>
  <c r="N1699" i="2"/>
  <c r="K1700" i="2"/>
  <c r="L1700" i="2"/>
  <c r="N1700" i="2"/>
  <c r="K1701" i="2"/>
  <c r="L1701" i="2"/>
  <c r="N1701" i="2"/>
  <c r="K1702" i="2"/>
  <c r="L1702" i="2"/>
  <c r="N1702" i="2"/>
  <c r="K1703" i="2"/>
  <c r="L1703" i="2"/>
  <c r="N1703" i="2"/>
  <c r="K1704" i="2"/>
  <c r="L1704" i="2"/>
  <c r="N1704" i="2"/>
  <c r="K1705" i="2"/>
  <c r="L1705" i="2"/>
  <c r="N1705" i="2"/>
  <c r="K1706" i="2"/>
  <c r="L1706" i="2"/>
  <c r="N1706" i="2"/>
  <c r="K1707" i="2"/>
  <c r="L1707" i="2"/>
  <c r="N1707" i="2"/>
  <c r="K1708" i="2"/>
  <c r="L1708" i="2"/>
  <c r="N1708" i="2"/>
  <c r="K1709" i="2"/>
  <c r="L1709" i="2"/>
  <c r="N1709" i="2"/>
  <c r="K1710" i="2"/>
  <c r="L1710" i="2"/>
  <c r="N1710" i="2"/>
  <c r="K1711" i="2"/>
  <c r="L1711" i="2"/>
  <c r="N1711" i="2"/>
  <c r="K1712" i="2"/>
  <c r="L1712" i="2"/>
  <c r="N1712" i="2"/>
  <c r="K1713" i="2"/>
  <c r="L1713" i="2"/>
  <c r="N1713" i="2"/>
  <c r="K1714" i="2"/>
  <c r="L1714" i="2"/>
  <c r="N1714" i="2"/>
  <c r="K1715" i="2"/>
  <c r="L1715" i="2"/>
  <c r="N1715" i="2"/>
  <c r="K1716" i="2"/>
  <c r="L1716" i="2"/>
  <c r="N1716" i="2"/>
  <c r="K1717" i="2"/>
  <c r="L1717" i="2"/>
  <c r="N1717" i="2"/>
  <c r="K1718" i="2"/>
  <c r="L1718" i="2"/>
  <c r="N1718" i="2"/>
  <c r="K1719" i="2"/>
  <c r="L1719" i="2"/>
  <c r="N1719" i="2"/>
  <c r="K1720" i="2"/>
  <c r="L1720" i="2"/>
  <c r="N1720" i="2"/>
  <c r="K1721" i="2"/>
  <c r="L1721" i="2"/>
  <c r="N1721" i="2"/>
  <c r="K1722" i="2"/>
  <c r="L1722" i="2"/>
  <c r="N1722" i="2"/>
  <c r="K1723" i="2"/>
  <c r="L1723" i="2"/>
  <c r="N1723" i="2"/>
  <c r="K1724" i="2"/>
  <c r="L1724" i="2"/>
  <c r="N1724" i="2"/>
  <c r="K1725" i="2"/>
  <c r="L1725" i="2"/>
  <c r="N1725" i="2"/>
  <c r="K1726" i="2"/>
  <c r="L1726" i="2"/>
  <c r="N1726" i="2"/>
  <c r="K1727" i="2"/>
  <c r="L1727" i="2"/>
  <c r="N1727" i="2"/>
  <c r="K1728" i="2"/>
  <c r="L1728" i="2"/>
  <c r="N1728" i="2"/>
  <c r="K1729" i="2"/>
  <c r="L1729" i="2"/>
  <c r="N1729" i="2"/>
  <c r="K1730" i="2"/>
  <c r="L1730" i="2"/>
  <c r="N1730" i="2"/>
  <c r="K1731" i="2"/>
  <c r="L1731" i="2"/>
  <c r="N1731" i="2"/>
  <c r="K1732" i="2"/>
  <c r="L1732" i="2"/>
  <c r="N1732" i="2"/>
  <c r="K1733" i="2"/>
  <c r="L1733" i="2"/>
  <c r="N1733" i="2"/>
  <c r="K1734" i="2"/>
  <c r="L1734" i="2"/>
  <c r="N1734" i="2"/>
  <c r="K1735" i="2"/>
  <c r="L1735" i="2"/>
  <c r="N1735" i="2"/>
  <c r="K1736" i="2"/>
  <c r="L1736" i="2"/>
  <c r="N1736" i="2"/>
  <c r="K1737" i="2"/>
  <c r="L1737" i="2"/>
  <c r="N1737" i="2"/>
  <c r="K1738" i="2"/>
  <c r="L1738" i="2"/>
  <c r="N1738" i="2"/>
  <c r="K1739" i="2"/>
  <c r="L1739" i="2"/>
  <c r="N1739" i="2"/>
  <c r="K1740" i="2"/>
  <c r="L1740" i="2"/>
  <c r="N1740" i="2"/>
  <c r="K1741" i="2"/>
  <c r="L1741" i="2"/>
  <c r="N1741" i="2"/>
  <c r="K1742" i="2"/>
  <c r="L1742" i="2"/>
  <c r="N1742" i="2"/>
  <c r="K1743" i="2"/>
  <c r="L1743" i="2"/>
  <c r="N1743" i="2"/>
  <c r="K1744" i="2"/>
  <c r="L1744" i="2"/>
  <c r="N1744" i="2"/>
  <c r="K1745" i="2"/>
  <c r="L1745" i="2"/>
  <c r="N1745" i="2"/>
  <c r="K1746" i="2"/>
  <c r="L1746" i="2"/>
  <c r="N1746" i="2"/>
  <c r="K1747" i="2"/>
  <c r="L1747" i="2"/>
  <c r="N1747" i="2"/>
  <c r="K1748" i="2"/>
  <c r="L1748" i="2"/>
  <c r="N1748" i="2"/>
  <c r="K1749" i="2"/>
  <c r="L1749" i="2"/>
  <c r="N1749" i="2"/>
  <c r="K1750" i="2"/>
  <c r="L1750" i="2"/>
  <c r="N1750" i="2"/>
  <c r="K1751" i="2"/>
  <c r="L1751" i="2"/>
  <c r="N1751" i="2"/>
  <c r="K1752" i="2"/>
  <c r="L1752" i="2"/>
  <c r="N1752" i="2"/>
  <c r="K1753" i="2"/>
  <c r="L1753" i="2"/>
  <c r="N1753" i="2"/>
  <c r="K1754" i="2"/>
  <c r="L1754" i="2"/>
  <c r="N1754" i="2"/>
  <c r="K1755" i="2"/>
  <c r="L1755" i="2"/>
  <c r="N1755" i="2"/>
  <c r="K1756" i="2"/>
  <c r="L1756" i="2"/>
  <c r="N1756" i="2"/>
  <c r="K1757" i="2"/>
  <c r="L1757" i="2"/>
  <c r="N1757" i="2"/>
  <c r="K1758" i="2"/>
  <c r="L1758" i="2"/>
  <c r="N1758" i="2"/>
  <c r="K1759" i="2"/>
  <c r="L1759" i="2"/>
  <c r="N1759" i="2"/>
  <c r="K1760" i="2"/>
  <c r="L1760" i="2"/>
  <c r="N1760" i="2"/>
  <c r="K1761" i="2"/>
  <c r="L1761" i="2"/>
  <c r="N1761" i="2"/>
  <c r="K1762" i="2"/>
  <c r="L1762" i="2"/>
  <c r="N1762" i="2"/>
  <c r="K1763" i="2"/>
  <c r="L1763" i="2"/>
  <c r="N1763" i="2"/>
  <c r="K1764" i="2"/>
  <c r="L1764" i="2"/>
  <c r="N1764" i="2"/>
  <c r="K1765" i="2"/>
  <c r="L1765" i="2"/>
  <c r="N1765" i="2"/>
  <c r="K1766" i="2"/>
  <c r="L1766" i="2"/>
  <c r="N1766" i="2"/>
  <c r="K1767" i="2"/>
  <c r="L1767" i="2"/>
  <c r="N1767" i="2"/>
  <c r="K1768" i="2"/>
  <c r="L1768" i="2"/>
  <c r="N1768" i="2"/>
  <c r="K1769" i="2"/>
  <c r="L1769" i="2"/>
  <c r="N1769" i="2"/>
  <c r="K1770" i="2"/>
  <c r="L1770" i="2"/>
  <c r="N1770" i="2"/>
  <c r="K1771" i="2"/>
  <c r="L1771" i="2"/>
  <c r="N1771" i="2"/>
  <c r="K1772" i="2"/>
  <c r="L1772" i="2"/>
  <c r="N1772" i="2"/>
  <c r="K1773" i="2"/>
  <c r="L1773" i="2"/>
  <c r="N1773" i="2"/>
  <c r="K1774" i="2"/>
  <c r="L1774" i="2"/>
  <c r="N1774" i="2"/>
  <c r="K1775" i="2"/>
  <c r="L1775" i="2"/>
  <c r="N1775" i="2"/>
  <c r="K1776" i="2"/>
  <c r="L1776" i="2"/>
  <c r="N1776" i="2"/>
  <c r="K1777" i="2"/>
  <c r="L1777" i="2"/>
  <c r="N1777" i="2"/>
  <c r="K1778" i="2"/>
  <c r="L1778" i="2"/>
  <c r="N1778" i="2"/>
  <c r="K1779" i="2"/>
  <c r="L1779" i="2"/>
  <c r="N1779" i="2"/>
  <c r="K1780" i="2"/>
  <c r="L1780" i="2"/>
  <c r="N1780" i="2"/>
  <c r="K1781" i="2"/>
  <c r="L1781" i="2"/>
  <c r="N1781" i="2"/>
  <c r="K1782" i="2"/>
  <c r="L1782" i="2"/>
  <c r="N1782" i="2"/>
  <c r="K1783" i="2"/>
  <c r="L1783" i="2"/>
  <c r="N1783" i="2"/>
  <c r="K1784" i="2"/>
  <c r="L1784" i="2"/>
  <c r="N1784" i="2"/>
  <c r="K1785" i="2"/>
  <c r="L1785" i="2"/>
  <c r="N1785" i="2"/>
  <c r="K1786" i="2"/>
  <c r="L1786" i="2"/>
  <c r="N1786" i="2"/>
  <c r="K1787" i="2"/>
  <c r="L1787" i="2"/>
  <c r="N1787" i="2"/>
  <c r="K1788" i="2"/>
  <c r="L1788" i="2"/>
  <c r="N1788" i="2"/>
  <c r="K1789" i="2"/>
  <c r="L1789" i="2"/>
  <c r="N1789" i="2"/>
  <c r="K1790" i="2"/>
  <c r="L1790" i="2"/>
  <c r="N1790" i="2"/>
  <c r="K1791" i="2"/>
  <c r="L1791" i="2"/>
  <c r="N1791" i="2"/>
  <c r="K1792" i="2"/>
  <c r="L1792" i="2"/>
  <c r="N1792" i="2"/>
  <c r="K1793" i="2"/>
  <c r="L1793" i="2"/>
  <c r="N1793" i="2"/>
  <c r="K1794" i="2"/>
  <c r="L1794" i="2"/>
  <c r="N1794" i="2"/>
  <c r="K1795" i="2"/>
  <c r="L1795" i="2"/>
  <c r="N1795" i="2"/>
  <c r="K1796" i="2"/>
  <c r="L1796" i="2"/>
  <c r="N1796" i="2"/>
  <c r="K1797" i="2"/>
  <c r="L1797" i="2"/>
  <c r="N1797" i="2"/>
  <c r="K1798" i="2"/>
  <c r="L1798" i="2"/>
  <c r="N1798" i="2"/>
  <c r="K1799" i="2"/>
  <c r="L1799" i="2"/>
  <c r="N1799" i="2"/>
  <c r="K1800" i="2"/>
  <c r="L1800" i="2"/>
  <c r="N1800" i="2"/>
  <c r="K1801" i="2"/>
  <c r="L1801" i="2"/>
  <c r="N1801" i="2"/>
  <c r="K1802" i="2"/>
  <c r="L1802" i="2"/>
  <c r="N1802" i="2"/>
  <c r="K1803" i="2"/>
  <c r="L1803" i="2"/>
  <c r="N1803" i="2"/>
  <c r="K1804" i="2"/>
  <c r="L1804" i="2"/>
  <c r="N1804" i="2"/>
  <c r="K1805" i="2"/>
  <c r="L1805" i="2"/>
  <c r="N1805" i="2"/>
  <c r="K1806" i="2"/>
  <c r="L1806" i="2"/>
  <c r="N1806" i="2"/>
  <c r="K1807" i="2"/>
  <c r="L1807" i="2"/>
  <c r="N1807" i="2"/>
  <c r="K1808" i="2"/>
  <c r="L1808" i="2"/>
  <c r="N1808" i="2"/>
  <c r="K1809" i="2"/>
  <c r="L1809" i="2"/>
  <c r="N1809" i="2"/>
  <c r="K1810" i="2"/>
  <c r="L1810" i="2"/>
  <c r="N1810" i="2"/>
  <c r="K1811" i="2"/>
  <c r="L1811" i="2"/>
  <c r="N1811" i="2"/>
  <c r="K1812" i="2"/>
  <c r="L1812" i="2"/>
  <c r="N1812" i="2"/>
  <c r="K1813" i="2"/>
  <c r="L1813" i="2"/>
  <c r="N1813" i="2"/>
  <c r="K1814" i="2"/>
  <c r="L1814" i="2"/>
  <c r="N1814" i="2"/>
  <c r="K1815" i="2"/>
  <c r="L1815" i="2"/>
  <c r="N1815" i="2"/>
  <c r="K1816" i="2"/>
  <c r="L1816" i="2"/>
  <c r="N1816" i="2"/>
  <c r="K1817" i="2"/>
  <c r="L1817" i="2"/>
  <c r="N1817" i="2"/>
  <c r="K1818" i="2"/>
  <c r="L1818" i="2"/>
  <c r="N1818" i="2"/>
  <c r="K1819" i="2"/>
  <c r="L1819" i="2"/>
  <c r="N1819" i="2"/>
  <c r="K1820" i="2"/>
  <c r="L1820" i="2"/>
  <c r="N1820" i="2"/>
  <c r="K1821" i="2"/>
  <c r="L1821" i="2"/>
  <c r="N1821" i="2"/>
  <c r="K1822" i="2"/>
  <c r="L1822" i="2"/>
  <c r="N1822" i="2"/>
  <c r="K1823" i="2"/>
  <c r="L1823" i="2"/>
  <c r="N1823" i="2"/>
  <c r="K1824" i="2"/>
  <c r="L1824" i="2"/>
  <c r="N1824" i="2"/>
  <c r="K1825" i="2"/>
  <c r="L1825" i="2"/>
  <c r="N1825" i="2"/>
  <c r="K1826" i="2"/>
  <c r="L1826" i="2"/>
  <c r="N1826" i="2"/>
  <c r="K1827" i="2"/>
  <c r="L1827" i="2"/>
  <c r="N1827" i="2"/>
  <c r="K1828" i="2"/>
  <c r="L1828" i="2"/>
  <c r="N1828" i="2"/>
  <c r="K1829" i="2"/>
  <c r="L1829" i="2"/>
  <c r="N1829" i="2"/>
  <c r="K1830" i="2"/>
  <c r="L1830" i="2"/>
  <c r="N1830" i="2"/>
  <c r="K1831" i="2"/>
  <c r="L1831" i="2"/>
  <c r="N1831" i="2"/>
  <c r="K1832" i="2"/>
  <c r="L1832" i="2"/>
  <c r="N1832" i="2"/>
  <c r="K1833" i="2"/>
  <c r="L1833" i="2"/>
  <c r="N1833" i="2"/>
  <c r="K1834" i="2"/>
  <c r="L1834" i="2"/>
  <c r="N1834" i="2"/>
  <c r="K1835" i="2"/>
  <c r="L1835" i="2"/>
  <c r="N1835" i="2"/>
  <c r="K1836" i="2"/>
  <c r="L1836" i="2"/>
  <c r="N1836" i="2"/>
  <c r="K1837" i="2"/>
  <c r="L1837" i="2"/>
  <c r="N1837" i="2"/>
  <c r="K1838" i="2"/>
  <c r="L1838" i="2"/>
  <c r="N1838" i="2"/>
  <c r="K1839" i="2"/>
  <c r="L1839" i="2"/>
  <c r="N1839" i="2"/>
  <c r="K1840" i="2"/>
  <c r="L1840" i="2"/>
  <c r="N1840" i="2"/>
  <c r="K1841" i="2"/>
  <c r="L1841" i="2"/>
  <c r="N1841" i="2"/>
  <c r="K1842" i="2"/>
  <c r="L1842" i="2"/>
  <c r="N1842" i="2"/>
  <c r="K1843" i="2"/>
  <c r="L1843" i="2"/>
  <c r="N1843" i="2"/>
  <c r="K1844" i="2"/>
  <c r="L1844" i="2"/>
  <c r="N1844" i="2"/>
  <c r="K1845" i="2"/>
  <c r="L1845" i="2"/>
  <c r="N1845" i="2"/>
  <c r="K1846" i="2"/>
  <c r="L1846" i="2"/>
  <c r="N1846" i="2"/>
  <c r="K1847" i="2"/>
  <c r="L1847" i="2"/>
  <c r="N1847" i="2"/>
  <c r="K1848" i="2"/>
  <c r="L1848" i="2"/>
  <c r="N1848" i="2"/>
  <c r="K1849" i="2"/>
  <c r="L1849" i="2"/>
  <c r="N1849" i="2"/>
  <c r="K1850" i="2"/>
  <c r="L1850" i="2"/>
  <c r="N1850" i="2"/>
  <c r="K1851" i="2"/>
  <c r="L1851" i="2"/>
  <c r="N1851" i="2"/>
  <c r="K1852" i="2"/>
  <c r="L1852" i="2"/>
  <c r="N1852" i="2"/>
  <c r="K1853" i="2"/>
  <c r="L1853" i="2"/>
  <c r="N1853" i="2"/>
  <c r="K1854" i="2"/>
  <c r="L1854" i="2"/>
  <c r="N1854" i="2"/>
  <c r="K1855" i="2"/>
  <c r="L1855" i="2"/>
  <c r="N1855" i="2"/>
  <c r="K1856" i="2"/>
  <c r="L1856" i="2"/>
  <c r="N1856" i="2"/>
  <c r="K1857" i="2"/>
  <c r="L1857" i="2"/>
  <c r="N1857" i="2"/>
  <c r="K1858" i="2"/>
  <c r="L1858" i="2"/>
  <c r="N1858" i="2"/>
  <c r="K1859" i="2"/>
  <c r="L1859" i="2"/>
  <c r="N1859" i="2"/>
  <c r="K1860" i="2"/>
  <c r="L1860" i="2"/>
  <c r="N1860" i="2"/>
  <c r="K1861" i="2"/>
  <c r="L1861" i="2"/>
  <c r="N1861" i="2"/>
  <c r="K1862" i="2"/>
  <c r="L1862" i="2"/>
  <c r="N1862" i="2"/>
  <c r="K1863" i="2"/>
  <c r="L1863" i="2"/>
  <c r="N1863" i="2"/>
  <c r="K1864" i="2"/>
  <c r="L1864" i="2"/>
  <c r="N1864" i="2"/>
  <c r="K1865" i="2"/>
  <c r="L1865" i="2"/>
  <c r="N1865" i="2"/>
  <c r="K1866" i="2"/>
  <c r="L1866" i="2"/>
  <c r="N1866" i="2"/>
  <c r="K1867" i="2"/>
  <c r="L1867" i="2"/>
  <c r="N1867" i="2"/>
  <c r="K1868" i="2"/>
  <c r="L1868" i="2"/>
  <c r="N1868" i="2"/>
  <c r="K1869" i="2"/>
  <c r="L1869" i="2"/>
  <c r="N1869" i="2"/>
  <c r="K1870" i="2"/>
  <c r="L1870" i="2"/>
  <c r="N1870" i="2"/>
  <c r="K1871" i="2"/>
  <c r="L1871" i="2"/>
  <c r="N1871" i="2"/>
  <c r="K1872" i="2"/>
  <c r="L1872" i="2"/>
  <c r="N1872" i="2"/>
  <c r="K1873" i="2"/>
  <c r="L1873" i="2"/>
  <c r="N1873" i="2"/>
  <c r="K1874" i="2"/>
  <c r="L1874" i="2"/>
  <c r="N1874" i="2"/>
  <c r="K1875" i="2"/>
  <c r="L1875" i="2"/>
  <c r="N1875" i="2"/>
  <c r="K1876" i="2"/>
  <c r="L1876" i="2"/>
  <c r="N1876" i="2"/>
  <c r="K1877" i="2"/>
  <c r="L1877" i="2"/>
  <c r="N1877" i="2"/>
  <c r="K1878" i="2"/>
  <c r="L1878" i="2"/>
  <c r="N1878" i="2"/>
  <c r="K1879" i="2"/>
  <c r="L1879" i="2"/>
  <c r="N1879" i="2"/>
  <c r="K1880" i="2"/>
  <c r="L1880" i="2"/>
  <c r="N1880" i="2"/>
  <c r="K1881" i="2"/>
  <c r="L1881" i="2"/>
  <c r="N1881" i="2"/>
  <c r="K1882" i="2"/>
  <c r="L1882" i="2"/>
  <c r="N1882" i="2"/>
  <c r="K1883" i="2"/>
  <c r="L1883" i="2"/>
  <c r="N1883" i="2"/>
  <c r="K1884" i="2"/>
  <c r="L1884" i="2"/>
  <c r="N1884" i="2"/>
  <c r="K1885" i="2"/>
  <c r="L1885" i="2"/>
  <c r="N1885" i="2"/>
  <c r="K1886" i="2"/>
  <c r="L1886" i="2"/>
  <c r="N1886" i="2"/>
  <c r="K1887" i="2"/>
  <c r="L1887" i="2"/>
  <c r="N1887" i="2"/>
  <c r="K1888" i="2"/>
  <c r="L1888" i="2"/>
  <c r="N1888" i="2"/>
  <c r="K1889" i="2"/>
  <c r="L1889" i="2"/>
  <c r="N1889" i="2"/>
  <c r="K1890" i="2"/>
  <c r="L1890" i="2"/>
  <c r="N1890" i="2"/>
  <c r="K1891" i="2"/>
  <c r="L1891" i="2"/>
  <c r="N1891" i="2"/>
  <c r="K1892" i="2"/>
  <c r="L1892" i="2"/>
  <c r="N1892" i="2"/>
  <c r="K1893" i="2"/>
  <c r="L1893" i="2"/>
  <c r="N1893" i="2"/>
  <c r="K1894" i="2"/>
  <c r="L1894" i="2"/>
  <c r="N1894" i="2"/>
  <c r="K1895" i="2"/>
  <c r="L1895" i="2"/>
  <c r="N1895" i="2"/>
  <c r="K1896" i="2"/>
  <c r="L1896" i="2"/>
  <c r="N1896" i="2"/>
  <c r="K1897" i="2"/>
  <c r="L1897" i="2"/>
  <c r="N1897" i="2"/>
  <c r="K1898" i="2"/>
  <c r="L1898" i="2"/>
  <c r="N1898" i="2"/>
  <c r="K1899" i="2"/>
  <c r="L1899" i="2"/>
  <c r="N1899" i="2"/>
  <c r="K1900" i="2"/>
  <c r="L1900" i="2"/>
  <c r="N1900" i="2"/>
  <c r="K1901" i="2"/>
  <c r="L1901" i="2"/>
  <c r="N1901" i="2"/>
  <c r="K1902" i="2"/>
  <c r="L1902" i="2"/>
  <c r="N1902" i="2"/>
  <c r="K1903" i="2"/>
  <c r="L1903" i="2"/>
  <c r="N1903" i="2"/>
  <c r="K1904" i="2"/>
  <c r="L1904" i="2"/>
  <c r="N1904" i="2"/>
  <c r="K1905" i="2"/>
  <c r="L1905" i="2"/>
  <c r="N1905" i="2"/>
  <c r="K1906" i="2"/>
  <c r="L1906" i="2"/>
  <c r="N1906" i="2"/>
  <c r="K1907" i="2"/>
  <c r="L1907" i="2"/>
  <c r="N1907" i="2"/>
  <c r="K1908" i="2"/>
  <c r="L1908" i="2"/>
  <c r="N1908" i="2"/>
  <c r="K1909" i="2"/>
  <c r="L1909" i="2"/>
  <c r="N1909" i="2"/>
  <c r="K1910" i="2"/>
  <c r="L1910" i="2"/>
  <c r="N1910" i="2"/>
  <c r="K1911" i="2"/>
  <c r="L1911" i="2"/>
  <c r="N1911" i="2"/>
  <c r="K1912" i="2"/>
  <c r="L1912" i="2"/>
  <c r="N1912" i="2"/>
  <c r="K1913" i="2"/>
  <c r="L1913" i="2"/>
  <c r="N1913" i="2"/>
  <c r="K1914" i="2"/>
  <c r="L1914" i="2"/>
  <c r="N1914" i="2"/>
  <c r="K1915" i="2"/>
  <c r="L1915" i="2"/>
  <c r="N1915" i="2"/>
  <c r="K1916" i="2"/>
  <c r="L1916" i="2"/>
  <c r="N1916" i="2"/>
  <c r="K1917" i="2"/>
  <c r="L1917" i="2"/>
  <c r="N1917" i="2"/>
  <c r="K1918" i="2"/>
  <c r="L1918" i="2"/>
  <c r="N1918" i="2"/>
  <c r="K1919" i="2"/>
  <c r="L1919" i="2"/>
  <c r="N1919" i="2"/>
  <c r="K1920" i="2"/>
  <c r="L1920" i="2"/>
  <c r="N1920" i="2"/>
  <c r="K1921" i="2"/>
  <c r="L1921" i="2"/>
  <c r="N1921" i="2"/>
  <c r="K1922" i="2"/>
  <c r="L1922" i="2"/>
  <c r="N1922" i="2"/>
  <c r="K1923" i="2"/>
  <c r="L1923" i="2"/>
  <c r="N1923" i="2"/>
  <c r="K1924" i="2"/>
  <c r="L1924" i="2"/>
  <c r="N1924" i="2"/>
  <c r="K1925" i="2"/>
  <c r="L1925" i="2"/>
  <c r="N1925" i="2"/>
  <c r="K1926" i="2"/>
  <c r="L1926" i="2"/>
  <c r="N1926" i="2"/>
  <c r="K1927" i="2"/>
  <c r="L1927" i="2"/>
  <c r="N1927" i="2"/>
  <c r="K1928" i="2"/>
  <c r="L1928" i="2"/>
  <c r="N1928" i="2"/>
  <c r="K1929" i="2"/>
  <c r="L1929" i="2"/>
  <c r="N1929" i="2"/>
  <c r="K1930" i="2"/>
  <c r="L1930" i="2"/>
  <c r="N1930" i="2"/>
  <c r="K1931" i="2"/>
  <c r="L1931" i="2"/>
  <c r="N1931" i="2"/>
  <c r="K1932" i="2"/>
  <c r="L1932" i="2"/>
  <c r="N1932" i="2"/>
  <c r="K1933" i="2"/>
  <c r="L1933" i="2"/>
  <c r="N1933" i="2"/>
  <c r="K1934" i="2"/>
  <c r="L1934" i="2"/>
  <c r="N1934" i="2"/>
  <c r="K1935" i="2"/>
  <c r="L1935" i="2"/>
  <c r="N1935" i="2"/>
  <c r="K1936" i="2"/>
  <c r="L1936" i="2"/>
  <c r="N1936" i="2"/>
  <c r="K1937" i="2"/>
  <c r="L1937" i="2"/>
  <c r="N1937" i="2"/>
  <c r="K1938" i="2"/>
  <c r="L1938" i="2"/>
  <c r="N1938" i="2"/>
  <c r="K1939" i="2"/>
  <c r="L1939" i="2"/>
  <c r="N1939" i="2"/>
  <c r="K1940" i="2"/>
  <c r="L1940" i="2"/>
  <c r="N1940" i="2"/>
  <c r="K1941" i="2"/>
  <c r="L1941" i="2"/>
  <c r="N1941" i="2"/>
  <c r="K1942" i="2"/>
  <c r="L1942" i="2"/>
  <c r="N1942" i="2"/>
  <c r="K1943" i="2"/>
  <c r="L1943" i="2"/>
  <c r="N1943" i="2"/>
  <c r="K1944" i="2"/>
  <c r="L1944" i="2"/>
  <c r="N1944" i="2"/>
  <c r="K1945" i="2"/>
  <c r="L1945" i="2"/>
  <c r="N1945" i="2"/>
  <c r="K1946" i="2"/>
  <c r="L1946" i="2"/>
  <c r="N1946" i="2"/>
  <c r="K1947" i="2"/>
  <c r="L1947" i="2"/>
  <c r="N1947" i="2"/>
  <c r="K1948" i="2"/>
  <c r="L1948" i="2"/>
  <c r="N1948" i="2"/>
  <c r="K1949" i="2"/>
  <c r="L1949" i="2"/>
  <c r="N1949" i="2"/>
  <c r="K1950" i="2"/>
  <c r="L1950" i="2"/>
  <c r="N1950" i="2"/>
  <c r="K1951" i="2"/>
  <c r="L1951" i="2"/>
  <c r="N1951" i="2"/>
  <c r="K1952" i="2"/>
  <c r="L1952" i="2"/>
  <c r="N1952" i="2"/>
  <c r="K1953" i="2"/>
  <c r="L1953" i="2"/>
  <c r="N1953" i="2"/>
  <c r="K1954" i="2"/>
  <c r="L1954" i="2"/>
  <c r="N1954" i="2"/>
  <c r="K1955" i="2"/>
  <c r="L1955" i="2"/>
  <c r="N1955" i="2"/>
  <c r="K1956" i="2"/>
  <c r="L1956" i="2"/>
  <c r="N1956" i="2"/>
  <c r="K1957" i="2"/>
  <c r="L1957" i="2"/>
  <c r="N1957" i="2"/>
  <c r="K1958" i="2"/>
  <c r="L1958" i="2"/>
  <c r="N1958" i="2"/>
  <c r="K1959" i="2"/>
  <c r="L1959" i="2"/>
  <c r="N1959" i="2"/>
  <c r="K1960" i="2"/>
  <c r="L1960" i="2"/>
  <c r="N1960" i="2"/>
  <c r="K1961" i="2"/>
  <c r="L1961" i="2"/>
  <c r="N1961" i="2"/>
  <c r="K1962" i="2"/>
  <c r="L1962" i="2"/>
  <c r="N1962" i="2"/>
  <c r="K1963" i="2"/>
  <c r="L1963" i="2"/>
  <c r="N1963" i="2"/>
  <c r="K1964" i="2"/>
  <c r="L1964" i="2"/>
  <c r="N1964" i="2"/>
  <c r="K1965" i="2"/>
  <c r="L1965" i="2"/>
  <c r="N1965" i="2"/>
  <c r="K1966" i="2"/>
  <c r="L1966" i="2"/>
  <c r="N1966" i="2"/>
  <c r="K1967" i="2"/>
  <c r="L1967" i="2"/>
  <c r="N1967" i="2"/>
  <c r="K1968" i="2"/>
  <c r="L1968" i="2"/>
  <c r="N1968" i="2"/>
  <c r="K1969" i="2"/>
  <c r="L1969" i="2"/>
  <c r="N1969" i="2"/>
  <c r="K1970" i="2"/>
  <c r="L1970" i="2"/>
  <c r="N1970" i="2"/>
  <c r="K1971" i="2"/>
  <c r="L1971" i="2"/>
  <c r="N1971" i="2"/>
  <c r="K1972" i="2"/>
  <c r="L1972" i="2"/>
  <c r="N1972" i="2"/>
  <c r="K1973" i="2"/>
  <c r="L1973" i="2"/>
  <c r="N1973" i="2"/>
  <c r="K1974" i="2"/>
  <c r="L1974" i="2"/>
  <c r="N1974" i="2"/>
  <c r="K1975" i="2"/>
  <c r="L1975" i="2"/>
  <c r="N1975" i="2"/>
  <c r="K1976" i="2"/>
  <c r="L1976" i="2"/>
  <c r="N1976" i="2"/>
  <c r="K1977" i="2"/>
  <c r="L1977" i="2"/>
  <c r="N1977" i="2"/>
  <c r="K1978" i="2"/>
  <c r="L1978" i="2"/>
  <c r="N1978" i="2"/>
  <c r="K1979" i="2"/>
  <c r="L1979" i="2"/>
  <c r="N1979" i="2"/>
  <c r="K1980" i="2"/>
  <c r="L1980" i="2"/>
  <c r="N1980" i="2"/>
  <c r="K1981" i="2"/>
  <c r="L1981" i="2"/>
  <c r="N1981" i="2"/>
  <c r="K1982" i="2"/>
  <c r="L1982" i="2"/>
  <c r="N1982" i="2"/>
  <c r="K1983" i="2"/>
  <c r="L1983" i="2"/>
  <c r="N1983" i="2"/>
  <c r="K1984" i="2"/>
  <c r="L1984" i="2"/>
  <c r="N1984" i="2"/>
  <c r="K1985" i="2"/>
  <c r="L1985" i="2"/>
  <c r="N1985" i="2"/>
  <c r="K1986" i="2"/>
  <c r="L1986" i="2"/>
  <c r="N1986" i="2"/>
  <c r="K1987" i="2"/>
  <c r="L1987" i="2"/>
  <c r="N1987" i="2"/>
  <c r="K1988" i="2"/>
  <c r="L1988" i="2"/>
  <c r="N1988" i="2"/>
  <c r="K1989" i="2"/>
  <c r="L1989" i="2"/>
  <c r="N1989" i="2"/>
  <c r="K1990" i="2"/>
  <c r="L1990" i="2"/>
  <c r="N1990" i="2"/>
  <c r="K1991" i="2"/>
  <c r="L1991" i="2"/>
  <c r="N1991" i="2"/>
  <c r="K1992" i="2"/>
  <c r="L1992" i="2"/>
  <c r="N1992" i="2"/>
  <c r="K1993" i="2"/>
  <c r="L1993" i="2"/>
  <c r="N1993" i="2"/>
  <c r="K1994" i="2"/>
  <c r="L1994" i="2"/>
  <c r="N1994" i="2"/>
  <c r="K1995" i="2"/>
  <c r="L1995" i="2"/>
  <c r="N1995" i="2"/>
  <c r="K1996" i="2"/>
  <c r="L1996" i="2"/>
  <c r="N1996" i="2"/>
  <c r="K1997" i="2"/>
  <c r="L1997" i="2"/>
  <c r="N1997" i="2"/>
  <c r="K1998" i="2"/>
  <c r="L1998" i="2"/>
  <c r="N1998" i="2"/>
  <c r="K1999" i="2"/>
  <c r="L1999" i="2"/>
  <c r="N1999" i="2"/>
  <c r="K2000" i="2"/>
  <c r="L2000" i="2"/>
  <c r="N2000" i="2"/>
  <c r="K2001" i="2"/>
  <c r="L2001" i="2"/>
  <c r="N2001" i="2"/>
  <c r="K2002" i="2"/>
  <c r="L2002" i="2"/>
  <c r="N2002" i="2"/>
  <c r="K2003" i="2"/>
  <c r="L2003" i="2"/>
  <c r="N2003" i="2"/>
  <c r="K2004" i="2"/>
  <c r="L2004" i="2"/>
  <c r="N2004" i="2"/>
  <c r="K2005" i="2"/>
  <c r="L2005" i="2"/>
  <c r="N2005" i="2"/>
  <c r="K2006" i="2"/>
  <c r="L2006" i="2"/>
  <c r="N2006" i="2"/>
  <c r="K2007" i="2"/>
  <c r="L2007" i="2"/>
  <c r="N2007" i="2"/>
  <c r="K2008" i="2"/>
  <c r="L2008" i="2"/>
  <c r="N2008" i="2"/>
  <c r="K2009" i="2"/>
  <c r="L2009" i="2"/>
  <c r="N2009" i="2"/>
  <c r="K2010" i="2"/>
  <c r="L2010" i="2"/>
  <c r="N2010" i="2"/>
  <c r="K2011" i="2"/>
  <c r="L2011" i="2"/>
  <c r="N2011" i="2"/>
  <c r="K2012" i="2"/>
  <c r="L2012" i="2"/>
  <c r="N2012" i="2"/>
  <c r="K2013" i="2"/>
  <c r="L2013" i="2"/>
  <c r="N2013" i="2"/>
  <c r="K2014" i="2"/>
  <c r="L2014" i="2"/>
  <c r="N2014" i="2"/>
  <c r="K2015" i="2"/>
  <c r="L2015" i="2"/>
  <c r="N2015" i="2"/>
  <c r="K2016" i="2"/>
  <c r="L2016" i="2"/>
  <c r="N2016" i="2"/>
  <c r="K2017" i="2"/>
  <c r="L2017" i="2"/>
  <c r="N2017" i="2"/>
  <c r="K2018" i="2"/>
  <c r="L2018" i="2"/>
  <c r="N2018" i="2"/>
  <c r="K2019" i="2"/>
  <c r="L2019" i="2"/>
  <c r="N2019" i="2"/>
  <c r="K2020" i="2"/>
  <c r="L2020" i="2"/>
  <c r="N2020" i="2"/>
  <c r="K2021" i="2"/>
  <c r="L2021" i="2"/>
  <c r="N2021" i="2"/>
  <c r="K2022" i="2"/>
  <c r="L2022" i="2"/>
  <c r="N2022" i="2"/>
  <c r="K2023" i="2"/>
  <c r="L2023" i="2"/>
  <c r="N2023" i="2"/>
  <c r="K2024" i="2"/>
  <c r="L2024" i="2"/>
  <c r="N2024" i="2"/>
  <c r="K2025" i="2"/>
  <c r="L2025" i="2"/>
  <c r="N2025" i="2"/>
  <c r="K2026" i="2"/>
  <c r="L2026" i="2"/>
  <c r="N2026" i="2"/>
  <c r="K2027" i="2"/>
  <c r="L2027" i="2"/>
  <c r="N2027" i="2"/>
  <c r="K2028" i="2"/>
  <c r="L2028" i="2"/>
  <c r="N2028" i="2"/>
  <c r="K2029" i="2"/>
  <c r="L2029" i="2"/>
  <c r="N2029" i="2"/>
  <c r="K2030" i="2"/>
  <c r="L2030" i="2"/>
  <c r="N2030" i="2"/>
  <c r="K2031" i="2"/>
  <c r="L2031" i="2"/>
  <c r="N2031" i="2"/>
  <c r="K2032" i="2"/>
  <c r="L2032" i="2"/>
  <c r="N2032" i="2"/>
  <c r="K2033" i="2"/>
  <c r="L2033" i="2"/>
  <c r="N2033" i="2"/>
  <c r="K2034" i="2"/>
  <c r="L2034" i="2"/>
  <c r="N2034" i="2"/>
  <c r="K2035" i="2"/>
  <c r="L2035" i="2"/>
  <c r="N2035" i="2"/>
  <c r="K2036" i="2"/>
  <c r="L2036" i="2"/>
  <c r="N2036" i="2"/>
  <c r="K2037" i="2"/>
  <c r="L2037" i="2"/>
  <c r="N2037" i="2"/>
  <c r="K2038" i="2"/>
  <c r="L2038" i="2"/>
  <c r="N2038" i="2"/>
  <c r="K2039" i="2"/>
  <c r="L2039" i="2"/>
  <c r="N2039" i="2"/>
  <c r="K2040" i="2"/>
  <c r="L2040" i="2"/>
  <c r="N2040" i="2"/>
  <c r="K2041" i="2"/>
  <c r="L2041" i="2"/>
  <c r="N2041" i="2"/>
  <c r="K2042" i="2"/>
  <c r="L2042" i="2"/>
  <c r="N2042" i="2"/>
  <c r="K2043" i="2"/>
  <c r="L2043" i="2"/>
  <c r="N2043" i="2"/>
  <c r="K2044" i="2"/>
  <c r="L2044" i="2"/>
  <c r="N2044" i="2"/>
  <c r="K2045" i="2"/>
  <c r="L2045" i="2"/>
  <c r="N2045" i="2"/>
  <c r="K2046" i="2"/>
  <c r="L2046" i="2"/>
  <c r="N2046" i="2"/>
  <c r="K2047" i="2"/>
  <c r="L2047" i="2"/>
  <c r="N2047" i="2"/>
  <c r="K2048" i="2"/>
  <c r="L2048" i="2"/>
  <c r="N2048" i="2"/>
  <c r="K2049" i="2"/>
  <c r="L2049" i="2"/>
  <c r="N2049" i="2"/>
  <c r="K2050" i="2"/>
  <c r="L2050" i="2"/>
  <c r="N2050" i="2"/>
  <c r="K2051" i="2"/>
  <c r="L2051" i="2"/>
  <c r="N2051" i="2"/>
  <c r="K2052" i="2"/>
  <c r="L2052" i="2"/>
  <c r="N2052" i="2"/>
  <c r="K2053" i="2"/>
  <c r="L2053" i="2"/>
  <c r="N2053" i="2"/>
  <c r="K2054" i="2"/>
  <c r="L2054" i="2"/>
  <c r="N2054" i="2"/>
  <c r="K2055" i="2"/>
  <c r="L2055" i="2"/>
  <c r="N2055" i="2"/>
  <c r="K2056" i="2"/>
  <c r="L2056" i="2"/>
  <c r="N2056" i="2"/>
  <c r="K2057" i="2"/>
  <c r="L2057" i="2"/>
  <c r="N2057" i="2"/>
  <c r="K2058" i="2"/>
  <c r="L2058" i="2"/>
  <c r="N2058" i="2"/>
  <c r="K2059" i="2"/>
  <c r="L2059" i="2"/>
  <c r="N2059" i="2"/>
  <c r="K2060" i="2"/>
  <c r="L2060" i="2"/>
  <c r="N2060" i="2"/>
  <c r="K2061" i="2"/>
  <c r="L2061" i="2"/>
  <c r="N2061" i="2"/>
  <c r="K2062" i="2"/>
  <c r="L2062" i="2"/>
  <c r="N2062" i="2"/>
  <c r="K2063" i="2"/>
  <c r="L2063" i="2"/>
  <c r="N2063" i="2"/>
  <c r="K2064" i="2"/>
  <c r="L2064" i="2"/>
  <c r="N2064" i="2"/>
  <c r="K2065" i="2"/>
  <c r="L2065" i="2"/>
  <c r="N2065" i="2"/>
  <c r="K2066" i="2"/>
  <c r="L2066" i="2"/>
  <c r="N2066" i="2"/>
  <c r="K2067" i="2"/>
  <c r="L2067" i="2"/>
  <c r="N2067" i="2"/>
  <c r="K2068" i="2"/>
  <c r="L2068" i="2"/>
  <c r="N2068" i="2"/>
  <c r="K2069" i="2"/>
  <c r="L2069" i="2"/>
  <c r="N2069" i="2"/>
  <c r="K2070" i="2"/>
  <c r="L2070" i="2"/>
  <c r="N2070" i="2"/>
  <c r="K2071" i="2"/>
  <c r="L2071" i="2"/>
  <c r="N2071" i="2"/>
  <c r="K2072" i="2"/>
  <c r="L2072" i="2"/>
  <c r="N2072" i="2"/>
  <c r="K2073" i="2"/>
  <c r="L2073" i="2"/>
  <c r="N2073" i="2"/>
  <c r="K2074" i="2"/>
  <c r="L2074" i="2"/>
  <c r="N2074" i="2"/>
  <c r="K2075" i="2"/>
  <c r="L2075" i="2"/>
  <c r="N2075" i="2"/>
  <c r="K2076" i="2"/>
  <c r="L2076" i="2"/>
  <c r="N2076" i="2"/>
  <c r="K2077" i="2"/>
  <c r="L2077" i="2"/>
  <c r="N2077" i="2"/>
  <c r="K2078" i="2"/>
  <c r="L2078" i="2"/>
  <c r="N2078" i="2"/>
  <c r="K2079" i="2"/>
  <c r="L2079" i="2"/>
  <c r="N2079" i="2"/>
  <c r="K2080" i="2"/>
  <c r="L2080" i="2"/>
  <c r="N2080" i="2"/>
  <c r="K2081" i="2"/>
  <c r="L2081" i="2"/>
  <c r="N2081" i="2"/>
  <c r="K2082" i="2"/>
  <c r="L2082" i="2"/>
  <c r="N2082" i="2"/>
  <c r="K2083" i="2"/>
  <c r="L2083" i="2"/>
  <c r="N2083" i="2"/>
  <c r="K2084" i="2"/>
  <c r="L2084" i="2"/>
  <c r="N2084" i="2"/>
  <c r="K2085" i="2"/>
  <c r="L2085" i="2"/>
  <c r="N2085" i="2"/>
  <c r="K2086" i="2"/>
  <c r="L2086" i="2"/>
  <c r="N2086" i="2"/>
  <c r="K2087" i="2"/>
  <c r="L2087" i="2"/>
  <c r="N2087" i="2"/>
  <c r="K2088" i="2"/>
  <c r="L2088" i="2"/>
  <c r="N2088" i="2"/>
  <c r="K2089" i="2"/>
  <c r="L2089" i="2"/>
  <c r="N2089" i="2"/>
  <c r="K2090" i="2"/>
  <c r="L2090" i="2"/>
  <c r="N2090" i="2"/>
  <c r="K2091" i="2"/>
  <c r="L2091" i="2"/>
  <c r="N2091" i="2"/>
  <c r="K2092" i="2"/>
  <c r="L2092" i="2"/>
  <c r="N2092" i="2"/>
  <c r="K2093" i="2"/>
  <c r="L2093" i="2"/>
  <c r="N2093" i="2"/>
  <c r="K2094" i="2"/>
  <c r="L2094" i="2"/>
  <c r="N2094" i="2"/>
  <c r="K2095" i="2"/>
  <c r="L2095" i="2"/>
  <c r="N2095" i="2"/>
  <c r="K2096" i="2"/>
  <c r="L2096" i="2"/>
  <c r="N2096" i="2"/>
  <c r="K2097" i="2"/>
  <c r="L2097" i="2"/>
  <c r="N2097" i="2"/>
  <c r="K2098" i="2"/>
  <c r="L2098" i="2"/>
  <c r="N2098" i="2"/>
  <c r="K2099" i="2"/>
  <c r="L2099" i="2"/>
  <c r="N2099" i="2"/>
  <c r="K2100" i="2"/>
  <c r="L2100" i="2"/>
  <c r="N2100" i="2"/>
  <c r="K2101" i="2"/>
  <c r="L2101" i="2"/>
  <c r="N2101" i="2"/>
  <c r="K2102" i="2"/>
  <c r="L2102" i="2"/>
  <c r="N2102" i="2"/>
  <c r="K2103" i="2"/>
  <c r="L2103" i="2"/>
  <c r="N2103" i="2"/>
  <c r="K2104" i="2"/>
  <c r="L2104" i="2"/>
  <c r="N2104" i="2"/>
  <c r="K2105" i="2"/>
  <c r="L2105" i="2"/>
  <c r="N2105" i="2"/>
  <c r="K2106" i="2"/>
  <c r="L2106" i="2"/>
  <c r="N2106" i="2"/>
  <c r="K2107" i="2"/>
  <c r="L2107" i="2"/>
  <c r="N2107" i="2"/>
  <c r="K2108" i="2"/>
  <c r="L2108" i="2"/>
  <c r="N2108" i="2"/>
  <c r="K2109" i="2"/>
  <c r="L2109" i="2"/>
  <c r="N2109" i="2"/>
  <c r="K2110" i="2"/>
  <c r="L2110" i="2"/>
  <c r="N2110" i="2"/>
  <c r="K2111" i="2"/>
  <c r="L2111" i="2"/>
  <c r="N2111" i="2"/>
  <c r="K2112" i="2"/>
  <c r="L2112" i="2"/>
  <c r="N2112" i="2"/>
  <c r="K2113" i="2"/>
  <c r="L2113" i="2"/>
  <c r="N2113" i="2"/>
  <c r="K2114" i="2"/>
  <c r="L2114" i="2"/>
  <c r="N2114" i="2"/>
  <c r="K2115" i="2"/>
  <c r="L2115" i="2"/>
  <c r="N2115" i="2"/>
  <c r="K2116" i="2"/>
  <c r="L2116" i="2"/>
  <c r="N2116" i="2"/>
  <c r="K2117" i="2"/>
  <c r="L2117" i="2"/>
  <c r="N2117" i="2"/>
  <c r="K2118" i="2"/>
  <c r="L2118" i="2"/>
  <c r="N2118" i="2"/>
  <c r="K2119" i="2"/>
  <c r="L2119" i="2"/>
  <c r="N2119" i="2"/>
  <c r="K2120" i="2"/>
  <c r="L2120" i="2"/>
  <c r="N2120" i="2"/>
  <c r="K2121" i="2"/>
  <c r="L2121" i="2"/>
  <c r="N2121" i="2"/>
  <c r="K2122" i="2"/>
  <c r="L2122" i="2"/>
  <c r="N2122" i="2"/>
  <c r="K2123" i="2"/>
  <c r="L2123" i="2"/>
  <c r="N2123" i="2"/>
  <c r="K2124" i="2"/>
  <c r="L2124" i="2"/>
  <c r="N2124" i="2"/>
  <c r="K2125" i="2"/>
  <c r="L2125" i="2"/>
  <c r="N2125" i="2"/>
  <c r="K2126" i="2"/>
  <c r="L2126" i="2"/>
  <c r="N2126" i="2"/>
  <c r="K2127" i="2"/>
  <c r="L2127" i="2"/>
  <c r="N2127" i="2"/>
  <c r="K2128" i="2"/>
  <c r="L2128" i="2"/>
  <c r="N2128" i="2"/>
  <c r="K2129" i="2"/>
  <c r="L2129" i="2"/>
  <c r="N2129" i="2"/>
  <c r="K2130" i="2"/>
  <c r="L2130" i="2"/>
  <c r="N2130" i="2"/>
  <c r="K2131" i="2"/>
  <c r="L2131" i="2"/>
  <c r="N2131" i="2"/>
  <c r="K2132" i="2"/>
  <c r="L2132" i="2"/>
  <c r="N2132" i="2"/>
  <c r="K2133" i="2"/>
  <c r="L2133" i="2"/>
  <c r="N2133" i="2"/>
  <c r="K2134" i="2"/>
  <c r="L2134" i="2"/>
  <c r="N2134" i="2"/>
  <c r="K2135" i="2"/>
  <c r="L2135" i="2"/>
  <c r="N2135" i="2"/>
  <c r="K2136" i="2"/>
  <c r="L2136" i="2"/>
  <c r="N2136" i="2"/>
  <c r="K2137" i="2"/>
  <c r="L2137" i="2"/>
  <c r="N2137" i="2"/>
  <c r="K2138" i="2"/>
  <c r="L2138" i="2"/>
  <c r="N2138" i="2"/>
  <c r="K2139" i="2"/>
  <c r="L2139" i="2"/>
  <c r="N2139" i="2"/>
  <c r="K2140" i="2"/>
  <c r="L2140" i="2"/>
  <c r="N2140" i="2"/>
  <c r="K2141" i="2"/>
  <c r="L2141" i="2"/>
  <c r="N2141" i="2"/>
  <c r="K2142" i="2"/>
  <c r="L2142" i="2"/>
  <c r="N2142" i="2"/>
  <c r="K2143" i="2"/>
  <c r="L2143" i="2"/>
  <c r="N2143" i="2"/>
  <c r="K2144" i="2"/>
  <c r="L2144" i="2"/>
  <c r="N2144" i="2"/>
  <c r="K2145" i="2"/>
  <c r="L2145" i="2"/>
  <c r="N2145" i="2"/>
  <c r="K2146" i="2"/>
  <c r="L2146" i="2"/>
  <c r="N2146" i="2"/>
  <c r="K2147" i="2"/>
  <c r="L2147" i="2"/>
  <c r="N2147" i="2"/>
  <c r="K2148" i="2"/>
  <c r="L2148" i="2"/>
  <c r="N2148" i="2"/>
  <c r="K2149" i="2"/>
  <c r="L2149" i="2"/>
  <c r="N2149" i="2"/>
  <c r="K2150" i="2"/>
  <c r="L2150" i="2"/>
  <c r="N2150" i="2"/>
  <c r="K2151" i="2"/>
  <c r="L2151" i="2"/>
  <c r="N2151" i="2"/>
  <c r="K2152" i="2"/>
  <c r="L2152" i="2"/>
  <c r="N2152" i="2"/>
  <c r="K2153" i="2"/>
  <c r="L2153" i="2"/>
  <c r="N2153" i="2"/>
  <c r="K2154" i="2"/>
  <c r="L2154" i="2"/>
  <c r="N2154" i="2"/>
  <c r="K2155" i="2"/>
  <c r="L2155" i="2"/>
  <c r="N2155" i="2"/>
  <c r="K2156" i="2"/>
  <c r="L2156" i="2"/>
  <c r="N2156" i="2"/>
  <c r="K2157" i="2"/>
  <c r="L2157" i="2"/>
  <c r="N2157" i="2"/>
  <c r="K2158" i="2"/>
  <c r="L2158" i="2"/>
  <c r="N2158" i="2"/>
  <c r="K2159" i="2"/>
  <c r="L2159" i="2"/>
  <c r="N2159" i="2"/>
  <c r="K2160" i="2"/>
  <c r="L2160" i="2"/>
  <c r="N2160" i="2"/>
  <c r="K2161" i="2"/>
  <c r="L2161" i="2"/>
  <c r="N2161" i="2"/>
  <c r="K2162" i="2"/>
  <c r="L2162" i="2"/>
  <c r="N2162" i="2"/>
  <c r="K2163" i="2"/>
  <c r="L2163" i="2"/>
  <c r="N2163" i="2"/>
  <c r="K2164" i="2"/>
  <c r="L2164" i="2"/>
  <c r="N2164" i="2"/>
  <c r="K2165" i="2"/>
  <c r="L2165" i="2"/>
  <c r="N2165" i="2"/>
  <c r="K2166" i="2"/>
  <c r="L2166" i="2"/>
  <c r="N2166" i="2"/>
  <c r="K2167" i="2"/>
  <c r="L2167" i="2"/>
  <c r="N2167" i="2"/>
  <c r="K2168" i="2"/>
  <c r="L2168" i="2"/>
  <c r="N2168" i="2"/>
  <c r="K2169" i="2"/>
  <c r="L2169" i="2"/>
  <c r="N2169" i="2"/>
  <c r="K2170" i="2"/>
  <c r="L2170" i="2"/>
  <c r="N2170" i="2"/>
  <c r="K2171" i="2"/>
  <c r="L2171" i="2"/>
  <c r="N2171" i="2"/>
  <c r="K2172" i="2"/>
  <c r="L2172" i="2"/>
  <c r="N2172" i="2"/>
  <c r="K2173" i="2"/>
  <c r="L2173" i="2"/>
  <c r="N2173" i="2"/>
  <c r="K2174" i="2"/>
  <c r="L2174" i="2"/>
  <c r="N2174" i="2"/>
  <c r="K2175" i="2"/>
  <c r="L2175" i="2"/>
  <c r="N2175" i="2"/>
  <c r="K2176" i="2"/>
  <c r="L2176" i="2"/>
  <c r="N2176" i="2"/>
  <c r="K2177" i="2"/>
  <c r="L2177" i="2"/>
  <c r="N2177" i="2"/>
  <c r="K2178" i="2"/>
  <c r="L2178" i="2"/>
  <c r="N2178" i="2"/>
  <c r="K2179" i="2"/>
  <c r="L2179" i="2"/>
  <c r="N2179" i="2"/>
  <c r="K2180" i="2"/>
  <c r="L2180" i="2"/>
  <c r="N2180" i="2"/>
  <c r="K2181" i="2"/>
  <c r="L2181" i="2"/>
  <c r="N2181" i="2"/>
  <c r="K2182" i="2"/>
  <c r="L2182" i="2"/>
  <c r="N2182" i="2"/>
  <c r="K2183" i="2"/>
  <c r="L2183" i="2"/>
  <c r="N2183" i="2"/>
  <c r="K2184" i="2"/>
  <c r="L2184" i="2"/>
  <c r="N2184" i="2"/>
  <c r="K2185" i="2"/>
  <c r="L2185" i="2"/>
  <c r="N2185" i="2"/>
  <c r="K2186" i="2"/>
  <c r="L2186" i="2"/>
  <c r="N2186" i="2"/>
  <c r="K2187" i="2"/>
  <c r="L2187" i="2"/>
  <c r="N2187" i="2"/>
  <c r="K2188" i="2"/>
  <c r="L2188" i="2"/>
  <c r="N2188" i="2"/>
  <c r="K2189" i="2"/>
  <c r="L2189" i="2"/>
  <c r="N2189" i="2"/>
  <c r="K2190" i="2"/>
  <c r="L2190" i="2"/>
  <c r="N2190" i="2"/>
  <c r="K2191" i="2"/>
  <c r="L2191" i="2"/>
  <c r="N2191" i="2"/>
  <c r="K2192" i="2"/>
  <c r="L2192" i="2"/>
  <c r="N2192" i="2"/>
  <c r="K2193" i="2"/>
  <c r="L2193" i="2"/>
  <c r="N2193" i="2"/>
  <c r="K2194" i="2"/>
  <c r="L2194" i="2"/>
  <c r="N2194" i="2"/>
  <c r="K2195" i="2"/>
  <c r="L2195" i="2"/>
  <c r="N2195" i="2"/>
  <c r="K2196" i="2"/>
  <c r="L2196" i="2"/>
  <c r="N2196" i="2"/>
  <c r="K2197" i="2"/>
  <c r="L2197" i="2"/>
  <c r="N2197" i="2"/>
  <c r="K2198" i="2"/>
  <c r="L2198" i="2"/>
  <c r="N2198" i="2"/>
  <c r="K2199" i="2"/>
  <c r="L2199" i="2"/>
  <c r="N2199" i="2"/>
  <c r="K2200" i="2"/>
  <c r="L2200" i="2"/>
  <c r="N2200" i="2"/>
  <c r="K2201" i="2"/>
  <c r="L2201" i="2"/>
  <c r="N2201" i="2"/>
  <c r="K2202" i="2"/>
  <c r="L2202" i="2"/>
  <c r="N2202" i="2"/>
  <c r="K2203" i="2"/>
  <c r="L2203" i="2"/>
  <c r="N2203" i="2"/>
  <c r="K2204" i="2"/>
  <c r="L2204" i="2"/>
  <c r="N2204" i="2"/>
  <c r="K2205" i="2"/>
  <c r="L2205" i="2"/>
  <c r="N2205" i="2"/>
  <c r="K2206" i="2"/>
  <c r="L2206" i="2"/>
  <c r="N2206" i="2"/>
  <c r="K2207" i="2"/>
  <c r="L2207" i="2"/>
  <c r="N2207" i="2"/>
  <c r="K2208" i="2"/>
  <c r="L2208" i="2"/>
  <c r="N2208" i="2"/>
  <c r="K2209" i="2"/>
  <c r="L2209" i="2"/>
  <c r="N2209" i="2"/>
  <c r="K2210" i="2"/>
  <c r="L2210" i="2"/>
  <c r="N2210" i="2"/>
  <c r="K2211" i="2"/>
  <c r="L2211" i="2"/>
  <c r="N2211" i="2"/>
  <c r="K2212" i="2"/>
  <c r="L2212" i="2"/>
  <c r="N2212" i="2"/>
  <c r="K2213" i="2"/>
  <c r="L2213" i="2"/>
  <c r="N2213" i="2"/>
  <c r="K2214" i="2"/>
  <c r="L2214" i="2"/>
  <c r="N2214" i="2"/>
  <c r="K2215" i="2"/>
  <c r="L2215" i="2"/>
  <c r="N2215" i="2"/>
  <c r="K2216" i="2"/>
  <c r="L2216" i="2"/>
  <c r="N2216" i="2"/>
  <c r="K2217" i="2"/>
  <c r="L2217" i="2"/>
  <c r="N2217" i="2"/>
  <c r="K2218" i="2"/>
  <c r="L2218" i="2"/>
  <c r="N2218" i="2"/>
  <c r="K2219" i="2"/>
  <c r="L2219" i="2"/>
  <c r="N2219" i="2"/>
  <c r="K2220" i="2"/>
  <c r="L2220" i="2"/>
  <c r="N2220" i="2"/>
  <c r="K2221" i="2"/>
  <c r="L2221" i="2"/>
  <c r="N2221" i="2"/>
  <c r="K2222" i="2"/>
  <c r="L2222" i="2"/>
  <c r="N2222" i="2"/>
  <c r="K2223" i="2"/>
  <c r="L2223" i="2"/>
  <c r="N2223" i="2"/>
  <c r="K2224" i="2"/>
  <c r="L2224" i="2"/>
  <c r="N2224" i="2"/>
  <c r="K2225" i="2"/>
  <c r="L2225" i="2"/>
  <c r="N2225" i="2"/>
  <c r="K2226" i="2"/>
  <c r="L2226" i="2"/>
  <c r="N2226" i="2"/>
  <c r="K2227" i="2"/>
  <c r="L2227" i="2"/>
  <c r="N2227" i="2"/>
  <c r="K2228" i="2"/>
  <c r="L2228" i="2"/>
  <c r="N2228" i="2"/>
  <c r="K2229" i="2"/>
  <c r="L2229" i="2"/>
  <c r="N2229" i="2"/>
  <c r="K2230" i="2"/>
  <c r="L2230" i="2"/>
  <c r="N2230" i="2"/>
  <c r="K2231" i="2"/>
  <c r="L2231" i="2"/>
  <c r="N2231" i="2"/>
  <c r="K2232" i="2"/>
  <c r="L2232" i="2"/>
  <c r="N2232" i="2"/>
  <c r="K2233" i="2"/>
  <c r="L2233" i="2"/>
  <c r="N2233" i="2"/>
  <c r="K2234" i="2"/>
  <c r="L2234" i="2"/>
  <c r="N2234" i="2"/>
  <c r="K2235" i="2"/>
  <c r="L2235" i="2"/>
  <c r="N2235" i="2"/>
  <c r="K2236" i="2"/>
  <c r="L2236" i="2"/>
  <c r="N2236" i="2"/>
  <c r="K2237" i="2"/>
  <c r="L2237" i="2"/>
  <c r="N2237" i="2"/>
  <c r="K2238" i="2"/>
  <c r="L2238" i="2"/>
  <c r="N2238" i="2"/>
  <c r="K2239" i="2"/>
  <c r="L2239" i="2"/>
  <c r="N2239" i="2"/>
  <c r="K2240" i="2"/>
  <c r="L2240" i="2"/>
  <c r="N2240" i="2"/>
  <c r="K2241" i="2"/>
  <c r="L2241" i="2"/>
  <c r="N2241" i="2"/>
  <c r="K2242" i="2"/>
  <c r="L2242" i="2"/>
  <c r="N2242" i="2"/>
  <c r="K2243" i="2"/>
  <c r="L2243" i="2"/>
  <c r="N2243" i="2"/>
  <c r="K2244" i="2"/>
  <c r="L2244" i="2"/>
  <c r="N2244" i="2"/>
  <c r="K2245" i="2"/>
  <c r="L2245" i="2"/>
  <c r="N2245" i="2"/>
  <c r="K2246" i="2"/>
  <c r="L2246" i="2"/>
  <c r="N2246" i="2"/>
  <c r="K2247" i="2"/>
  <c r="L2247" i="2"/>
  <c r="N2247" i="2"/>
  <c r="K2248" i="2"/>
  <c r="L2248" i="2"/>
  <c r="N2248" i="2"/>
  <c r="K2249" i="2"/>
  <c r="L2249" i="2"/>
  <c r="N2249" i="2"/>
  <c r="K2250" i="2"/>
  <c r="L2250" i="2"/>
  <c r="N2250" i="2"/>
  <c r="K2251" i="2"/>
  <c r="L2251" i="2"/>
  <c r="N2251" i="2"/>
  <c r="K2252" i="2"/>
  <c r="L2252" i="2"/>
  <c r="N2252" i="2"/>
  <c r="K2253" i="2"/>
  <c r="L2253" i="2"/>
  <c r="N2253" i="2"/>
  <c r="K2254" i="2"/>
  <c r="L2254" i="2"/>
  <c r="N2254" i="2"/>
  <c r="K2255" i="2"/>
  <c r="L2255" i="2"/>
  <c r="N2255" i="2"/>
  <c r="K2256" i="2"/>
  <c r="L2256" i="2"/>
  <c r="N2256" i="2"/>
  <c r="K2257" i="2"/>
  <c r="L2257" i="2"/>
  <c r="N2257" i="2"/>
  <c r="K2258" i="2"/>
  <c r="L2258" i="2"/>
  <c r="N2258" i="2"/>
  <c r="K2259" i="2"/>
  <c r="L2259" i="2"/>
  <c r="N2259" i="2"/>
  <c r="K2260" i="2"/>
  <c r="L2260" i="2"/>
  <c r="N2260" i="2"/>
  <c r="K2261" i="2"/>
  <c r="L2261" i="2"/>
  <c r="N2261" i="2"/>
  <c r="K2262" i="2"/>
  <c r="L2262" i="2"/>
  <c r="N2262" i="2"/>
  <c r="K2263" i="2"/>
  <c r="L2263" i="2"/>
  <c r="N2263" i="2"/>
  <c r="K2264" i="2"/>
  <c r="L2264" i="2"/>
  <c r="N2264" i="2"/>
  <c r="K2265" i="2"/>
  <c r="L2265" i="2"/>
  <c r="N2265" i="2"/>
  <c r="K2266" i="2"/>
  <c r="L2266" i="2"/>
  <c r="N2266" i="2"/>
  <c r="K2267" i="2"/>
  <c r="L2267" i="2"/>
  <c r="N2267" i="2"/>
  <c r="K2268" i="2"/>
  <c r="L2268" i="2"/>
  <c r="N2268" i="2"/>
  <c r="K2269" i="2"/>
  <c r="L2269" i="2"/>
  <c r="N2269" i="2"/>
  <c r="K2270" i="2"/>
  <c r="L2270" i="2"/>
  <c r="N2270" i="2"/>
  <c r="K2271" i="2"/>
  <c r="L2271" i="2"/>
  <c r="N2271" i="2"/>
  <c r="K2272" i="2"/>
  <c r="L2272" i="2"/>
  <c r="N2272" i="2"/>
  <c r="K2273" i="2"/>
  <c r="L2273" i="2"/>
  <c r="N2273" i="2"/>
  <c r="K2274" i="2"/>
  <c r="L2274" i="2"/>
  <c r="N2274" i="2"/>
  <c r="K2275" i="2"/>
  <c r="L2275" i="2"/>
  <c r="N2275" i="2"/>
  <c r="K2276" i="2"/>
  <c r="L2276" i="2"/>
  <c r="N2276" i="2"/>
  <c r="K2277" i="2"/>
  <c r="L2277" i="2"/>
  <c r="N2277" i="2"/>
  <c r="K2278" i="2"/>
  <c r="L2278" i="2"/>
  <c r="N2278" i="2"/>
  <c r="K2279" i="2"/>
  <c r="L2279" i="2"/>
  <c r="N2279" i="2"/>
  <c r="K2280" i="2"/>
  <c r="L2280" i="2"/>
  <c r="N2280" i="2"/>
  <c r="K2281" i="2"/>
  <c r="L2281" i="2"/>
  <c r="N2281" i="2"/>
  <c r="K2282" i="2"/>
  <c r="L2282" i="2"/>
  <c r="N2282" i="2"/>
  <c r="K2283" i="2"/>
  <c r="L2283" i="2"/>
  <c r="N2283" i="2"/>
  <c r="K2284" i="2"/>
  <c r="L2284" i="2"/>
  <c r="N2284" i="2"/>
  <c r="K2285" i="2"/>
  <c r="L2285" i="2"/>
  <c r="N2285" i="2"/>
  <c r="K2286" i="2"/>
  <c r="L2286" i="2"/>
  <c r="N2286" i="2"/>
  <c r="K2287" i="2"/>
  <c r="L2287" i="2"/>
  <c r="N2287" i="2"/>
  <c r="K2288" i="2"/>
  <c r="L2288" i="2"/>
  <c r="N2288" i="2"/>
  <c r="K2289" i="2"/>
  <c r="L2289" i="2"/>
  <c r="N2289" i="2"/>
  <c r="K2290" i="2"/>
  <c r="L2290" i="2"/>
  <c r="N2290" i="2"/>
  <c r="K2291" i="2"/>
  <c r="L2291" i="2"/>
  <c r="N2291" i="2"/>
  <c r="K2292" i="2"/>
  <c r="L2292" i="2"/>
  <c r="N2292" i="2"/>
  <c r="K2293" i="2"/>
  <c r="L2293" i="2"/>
  <c r="N2293" i="2"/>
  <c r="K2294" i="2"/>
  <c r="L2294" i="2"/>
  <c r="N2294" i="2"/>
  <c r="K2295" i="2"/>
  <c r="L2295" i="2"/>
  <c r="N2295" i="2"/>
  <c r="K2296" i="2"/>
  <c r="L2296" i="2"/>
  <c r="N2296" i="2"/>
  <c r="K2297" i="2"/>
  <c r="L2297" i="2"/>
  <c r="N2297" i="2"/>
  <c r="K2298" i="2"/>
  <c r="L2298" i="2"/>
  <c r="N2298" i="2"/>
  <c r="K2299" i="2"/>
  <c r="L2299" i="2"/>
  <c r="N2299" i="2"/>
  <c r="K2300" i="2"/>
  <c r="L2300" i="2"/>
  <c r="N2300" i="2"/>
  <c r="K2301" i="2"/>
  <c r="L2301" i="2"/>
  <c r="N2301" i="2"/>
  <c r="K2302" i="2"/>
  <c r="L2302" i="2"/>
  <c r="N2302" i="2"/>
  <c r="K2303" i="2"/>
  <c r="L2303" i="2"/>
  <c r="N2303" i="2"/>
  <c r="K2304" i="2"/>
  <c r="L2304" i="2"/>
  <c r="N2304" i="2"/>
  <c r="K2305" i="2"/>
  <c r="L2305" i="2"/>
  <c r="N2305" i="2"/>
  <c r="K2306" i="2"/>
  <c r="L2306" i="2"/>
  <c r="N2306" i="2"/>
  <c r="K2307" i="2"/>
  <c r="L2307" i="2"/>
  <c r="N2307" i="2"/>
  <c r="K2308" i="2"/>
  <c r="L2308" i="2"/>
  <c r="N2308" i="2"/>
  <c r="K2309" i="2"/>
  <c r="L2309" i="2"/>
  <c r="N2309" i="2"/>
  <c r="K2310" i="2"/>
  <c r="L2310" i="2"/>
  <c r="N2310" i="2"/>
  <c r="K2311" i="2"/>
  <c r="L2311" i="2"/>
  <c r="N2311" i="2"/>
  <c r="K2312" i="2"/>
  <c r="L2312" i="2"/>
  <c r="N2312" i="2"/>
  <c r="K2313" i="2"/>
  <c r="L2313" i="2"/>
  <c r="N2313" i="2"/>
  <c r="K2314" i="2"/>
  <c r="L2314" i="2"/>
  <c r="N2314" i="2"/>
  <c r="K2315" i="2"/>
  <c r="L2315" i="2"/>
  <c r="N2315" i="2"/>
  <c r="K2316" i="2"/>
  <c r="L2316" i="2"/>
  <c r="N2316" i="2"/>
  <c r="K2317" i="2"/>
  <c r="L2317" i="2"/>
  <c r="N2317" i="2"/>
  <c r="K2318" i="2"/>
  <c r="L2318" i="2"/>
  <c r="N2318" i="2"/>
  <c r="K2319" i="2"/>
  <c r="L2319" i="2"/>
  <c r="N2319" i="2"/>
  <c r="K2320" i="2"/>
  <c r="L2320" i="2"/>
  <c r="N2320" i="2"/>
  <c r="K2321" i="2"/>
  <c r="L2321" i="2"/>
  <c r="N2321" i="2"/>
  <c r="K2322" i="2"/>
  <c r="L2322" i="2"/>
  <c r="N2322" i="2"/>
  <c r="K2323" i="2"/>
  <c r="L2323" i="2"/>
  <c r="N2323" i="2"/>
  <c r="K2324" i="2"/>
  <c r="L2324" i="2"/>
  <c r="N2324" i="2"/>
  <c r="K2325" i="2"/>
  <c r="L2325" i="2"/>
  <c r="N2325" i="2"/>
  <c r="K2326" i="2"/>
  <c r="L2326" i="2"/>
  <c r="N2326" i="2"/>
  <c r="K2327" i="2"/>
  <c r="L2327" i="2"/>
  <c r="N2327" i="2"/>
  <c r="K2328" i="2"/>
  <c r="L2328" i="2"/>
  <c r="N2328" i="2"/>
  <c r="K2329" i="2"/>
  <c r="L2329" i="2"/>
  <c r="N2329" i="2"/>
  <c r="K2330" i="2"/>
  <c r="L2330" i="2"/>
  <c r="N2330" i="2"/>
  <c r="K2331" i="2"/>
  <c r="L2331" i="2"/>
  <c r="N2331" i="2"/>
  <c r="K2332" i="2"/>
  <c r="L2332" i="2"/>
  <c r="N2332" i="2"/>
  <c r="K2333" i="2"/>
  <c r="L2333" i="2"/>
  <c r="N2333" i="2"/>
  <c r="K2334" i="2"/>
  <c r="L2334" i="2"/>
  <c r="N2334" i="2"/>
  <c r="K2335" i="2"/>
  <c r="L2335" i="2"/>
  <c r="N2335" i="2"/>
  <c r="K2336" i="2"/>
  <c r="L2336" i="2"/>
  <c r="N2336" i="2"/>
  <c r="K2337" i="2"/>
  <c r="L2337" i="2"/>
  <c r="N2337" i="2"/>
  <c r="K2338" i="2"/>
  <c r="L2338" i="2"/>
  <c r="N2338" i="2"/>
  <c r="K2339" i="2"/>
  <c r="L2339" i="2"/>
  <c r="N2339" i="2"/>
  <c r="K2340" i="2"/>
  <c r="L2340" i="2"/>
  <c r="N2340" i="2"/>
  <c r="K2341" i="2"/>
  <c r="L2341" i="2"/>
  <c r="N2341" i="2"/>
  <c r="K2342" i="2"/>
  <c r="L2342" i="2"/>
  <c r="N2342" i="2"/>
  <c r="K2343" i="2"/>
  <c r="L2343" i="2"/>
  <c r="N2343" i="2"/>
  <c r="K2344" i="2"/>
  <c r="L2344" i="2"/>
  <c r="N2344" i="2"/>
  <c r="K2345" i="2"/>
  <c r="L2345" i="2"/>
  <c r="N2345" i="2"/>
  <c r="K2346" i="2"/>
  <c r="L2346" i="2"/>
  <c r="N2346" i="2"/>
  <c r="K2347" i="2"/>
  <c r="L2347" i="2"/>
  <c r="N2347" i="2"/>
  <c r="K2348" i="2"/>
  <c r="L2348" i="2"/>
  <c r="N2348" i="2"/>
  <c r="K2349" i="2"/>
  <c r="L2349" i="2"/>
  <c r="N2349" i="2"/>
  <c r="K2350" i="2"/>
  <c r="L2350" i="2"/>
  <c r="N2350" i="2"/>
  <c r="K2351" i="2"/>
  <c r="L2351" i="2"/>
  <c r="N2351" i="2"/>
  <c r="K2352" i="2"/>
  <c r="L2352" i="2"/>
  <c r="N2352" i="2"/>
  <c r="K2353" i="2"/>
  <c r="L2353" i="2"/>
  <c r="N2353" i="2"/>
  <c r="K2354" i="2"/>
  <c r="L2354" i="2"/>
  <c r="N2354" i="2"/>
  <c r="K2355" i="2"/>
  <c r="L2355" i="2"/>
  <c r="N2355" i="2"/>
  <c r="K2356" i="2"/>
  <c r="L2356" i="2"/>
  <c r="N2356" i="2"/>
  <c r="K2357" i="2"/>
  <c r="L2357" i="2"/>
  <c r="N2357" i="2"/>
  <c r="K2358" i="2"/>
  <c r="L2358" i="2"/>
  <c r="N2358" i="2"/>
  <c r="K2359" i="2"/>
  <c r="L2359" i="2"/>
  <c r="N2359" i="2"/>
  <c r="K2360" i="2"/>
  <c r="L2360" i="2"/>
  <c r="N2360" i="2"/>
  <c r="K2361" i="2"/>
  <c r="L2361" i="2"/>
  <c r="N2361" i="2"/>
  <c r="K2362" i="2"/>
  <c r="L2362" i="2"/>
  <c r="N2362" i="2"/>
  <c r="K2363" i="2"/>
  <c r="L2363" i="2"/>
  <c r="N2363" i="2"/>
  <c r="K2364" i="2"/>
  <c r="L2364" i="2"/>
  <c r="N2364" i="2"/>
  <c r="K2365" i="2"/>
  <c r="L2365" i="2"/>
  <c r="N2365" i="2"/>
  <c r="K2366" i="2"/>
  <c r="L2366" i="2"/>
  <c r="N2366" i="2"/>
  <c r="K2367" i="2"/>
  <c r="L2367" i="2"/>
  <c r="N2367" i="2"/>
  <c r="K2368" i="2"/>
  <c r="L2368" i="2"/>
  <c r="N2368" i="2"/>
  <c r="K2369" i="2"/>
  <c r="L2369" i="2"/>
  <c r="N2369" i="2"/>
  <c r="K2370" i="2"/>
  <c r="L2370" i="2"/>
  <c r="N2370" i="2"/>
  <c r="K2371" i="2"/>
  <c r="L2371" i="2"/>
  <c r="N2371" i="2"/>
  <c r="K2372" i="2"/>
  <c r="L2372" i="2"/>
  <c r="N2372" i="2"/>
  <c r="K2373" i="2"/>
  <c r="L2373" i="2"/>
  <c r="N2373" i="2"/>
  <c r="K2374" i="2"/>
  <c r="L2374" i="2"/>
  <c r="N2374" i="2"/>
  <c r="K2375" i="2"/>
  <c r="L2375" i="2"/>
  <c r="N2375" i="2"/>
  <c r="K2376" i="2"/>
  <c r="L2376" i="2"/>
  <c r="N2376" i="2"/>
  <c r="K2377" i="2"/>
  <c r="L2377" i="2"/>
  <c r="N2377" i="2"/>
  <c r="K2378" i="2"/>
  <c r="L2378" i="2"/>
  <c r="N2378" i="2"/>
  <c r="K2379" i="2"/>
  <c r="L2379" i="2"/>
  <c r="N2379" i="2"/>
  <c r="K2380" i="2"/>
  <c r="L2380" i="2"/>
  <c r="N2380" i="2"/>
  <c r="K2381" i="2"/>
  <c r="L2381" i="2"/>
  <c r="N2381" i="2"/>
  <c r="K2382" i="2"/>
  <c r="L2382" i="2"/>
  <c r="N2382" i="2"/>
  <c r="K2383" i="2"/>
  <c r="L2383" i="2"/>
  <c r="N2383" i="2"/>
  <c r="K2384" i="2"/>
  <c r="L2384" i="2"/>
  <c r="N2384" i="2"/>
  <c r="K2385" i="2"/>
  <c r="L2385" i="2"/>
  <c r="N2385" i="2"/>
  <c r="K2386" i="2"/>
  <c r="L2386" i="2"/>
  <c r="N2386" i="2"/>
  <c r="K2387" i="2"/>
  <c r="L2387" i="2"/>
  <c r="N2387" i="2"/>
  <c r="K2388" i="2"/>
  <c r="L2388" i="2"/>
  <c r="N2388" i="2"/>
  <c r="K2389" i="2"/>
  <c r="L2389" i="2"/>
  <c r="N2389" i="2"/>
  <c r="K2390" i="2"/>
  <c r="L2390" i="2"/>
  <c r="N2390" i="2"/>
  <c r="K2391" i="2"/>
  <c r="L2391" i="2"/>
  <c r="N2391" i="2"/>
  <c r="K2392" i="2"/>
  <c r="L2392" i="2"/>
  <c r="N2392" i="2"/>
  <c r="K2393" i="2"/>
  <c r="L2393" i="2"/>
  <c r="N2393" i="2"/>
  <c r="K2394" i="2"/>
  <c r="L2394" i="2"/>
  <c r="N2394" i="2"/>
  <c r="K2395" i="2"/>
  <c r="L2395" i="2"/>
  <c r="N2395" i="2"/>
  <c r="K2396" i="2"/>
  <c r="L2396" i="2"/>
  <c r="N2396" i="2"/>
  <c r="K2397" i="2"/>
  <c r="L2397" i="2"/>
  <c r="N2397" i="2"/>
  <c r="K2398" i="2"/>
  <c r="L2398" i="2"/>
  <c r="N2398" i="2"/>
  <c r="K2399" i="2"/>
  <c r="L2399" i="2"/>
  <c r="N2399" i="2"/>
  <c r="K2400" i="2"/>
  <c r="L2400" i="2"/>
  <c r="N2400" i="2"/>
  <c r="K2401" i="2"/>
  <c r="L2401" i="2"/>
  <c r="N2401" i="2"/>
  <c r="K2402" i="2"/>
  <c r="L2402" i="2"/>
  <c r="N2402" i="2"/>
  <c r="K2403" i="2"/>
  <c r="L2403" i="2"/>
  <c r="N2403" i="2"/>
  <c r="K2404" i="2"/>
  <c r="L2404" i="2"/>
  <c r="N2404" i="2"/>
  <c r="K2405" i="2"/>
  <c r="L2405" i="2"/>
  <c r="N2405" i="2"/>
  <c r="K2406" i="2"/>
  <c r="L2406" i="2"/>
  <c r="N2406" i="2"/>
  <c r="K2407" i="2"/>
  <c r="L2407" i="2"/>
  <c r="N2407" i="2"/>
  <c r="K2408" i="2"/>
  <c r="L2408" i="2"/>
  <c r="N2408" i="2"/>
  <c r="K2409" i="2"/>
  <c r="L2409" i="2"/>
  <c r="N2409" i="2"/>
  <c r="K2410" i="2"/>
  <c r="L2410" i="2"/>
  <c r="N2410" i="2"/>
  <c r="K2411" i="2"/>
  <c r="L2411" i="2"/>
  <c r="N2411" i="2"/>
  <c r="K2412" i="2"/>
  <c r="L2412" i="2"/>
  <c r="N2412" i="2"/>
  <c r="K2413" i="2"/>
  <c r="L2413" i="2"/>
  <c r="N2413" i="2"/>
  <c r="K2414" i="2"/>
  <c r="L2414" i="2"/>
  <c r="N2414" i="2"/>
  <c r="K2415" i="2"/>
  <c r="L2415" i="2"/>
  <c r="N2415" i="2"/>
  <c r="K2416" i="2"/>
  <c r="L2416" i="2"/>
  <c r="N2416" i="2"/>
  <c r="K2417" i="2"/>
  <c r="L2417" i="2"/>
  <c r="N2417" i="2"/>
  <c r="K2418" i="2"/>
  <c r="L2418" i="2"/>
  <c r="N2418" i="2"/>
  <c r="K2419" i="2"/>
  <c r="L2419" i="2"/>
  <c r="N2419" i="2"/>
  <c r="K2420" i="2"/>
  <c r="L2420" i="2"/>
  <c r="N2420" i="2"/>
  <c r="K2421" i="2"/>
  <c r="L2421" i="2"/>
  <c r="N2421" i="2"/>
  <c r="K2422" i="2"/>
  <c r="L2422" i="2"/>
  <c r="N2422" i="2"/>
  <c r="K2423" i="2"/>
  <c r="L2423" i="2"/>
  <c r="N2423" i="2"/>
  <c r="K2424" i="2"/>
  <c r="L2424" i="2"/>
  <c r="N2424" i="2"/>
  <c r="K2425" i="2"/>
  <c r="L2425" i="2"/>
  <c r="N2425" i="2"/>
  <c r="K2426" i="2"/>
  <c r="L2426" i="2"/>
  <c r="N2426" i="2"/>
  <c r="K2427" i="2"/>
  <c r="L2427" i="2"/>
  <c r="N2427" i="2"/>
  <c r="K2428" i="2"/>
  <c r="L2428" i="2"/>
  <c r="N2428" i="2"/>
  <c r="K2429" i="2"/>
  <c r="L2429" i="2"/>
  <c r="N2429" i="2"/>
  <c r="K2430" i="2"/>
  <c r="L2430" i="2"/>
  <c r="N2430" i="2"/>
  <c r="K2431" i="2"/>
  <c r="L2431" i="2"/>
  <c r="N2431" i="2"/>
  <c r="K2432" i="2"/>
  <c r="L2432" i="2"/>
  <c r="N2432" i="2"/>
  <c r="K2433" i="2"/>
  <c r="L2433" i="2"/>
  <c r="N2433" i="2"/>
  <c r="K2434" i="2"/>
  <c r="L2434" i="2"/>
  <c r="N2434" i="2"/>
  <c r="K2435" i="2"/>
  <c r="L2435" i="2"/>
  <c r="N2435" i="2"/>
  <c r="K2436" i="2"/>
  <c r="L2436" i="2"/>
  <c r="N2436" i="2"/>
  <c r="K2437" i="2"/>
  <c r="L2437" i="2"/>
  <c r="N2437" i="2"/>
  <c r="K2438" i="2"/>
  <c r="L2438" i="2"/>
  <c r="N2438" i="2"/>
  <c r="K2439" i="2"/>
  <c r="L2439" i="2"/>
  <c r="N2439" i="2"/>
  <c r="K2440" i="2"/>
  <c r="L2440" i="2"/>
  <c r="N2440" i="2"/>
  <c r="K2441" i="2"/>
  <c r="L2441" i="2"/>
  <c r="N2441" i="2"/>
  <c r="K2442" i="2"/>
  <c r="L2442" i="2"/>
  <c r="N2442" i="2"/>
  <c r="K2443" i="2"/>
  <c r="L2443" i="2"/>
  <c r="N2443" i="2"/>
  <c r="K2444" i="2"/>
  <c r="L2444" i="2"/>
  <c r="N2444" i="2"/>
  <c r="K2445" i="2"/>
  <c r="L2445" i="2"/>
  <c r="N2445" i="2"/>
  <c r="K2446" i="2"/>
  <c r="L2446" i="2"/>
  <c r="N2446" i="2"/>
  <c r="K2447" i="2"/>
  <c r="L2447" i="2"/>
  <c r="N2447" i="2"/>
  <c r="K2448" i="2"/>
  <c r="L2448" i="2"/>
  <c r="N2448" i="2"/>
  <c r="K2449" i="2"/>
  <c r="L2449" i="2"/>
  <c r="N2449" i="2"/>
  <c r="K2450" i="2"/>
  <c r="L2450" i="2"/>
  <c r="N2450" i="2"/>
  <c r="K2451" i="2"/>
  <c r="L2451" i="2"/>
  <c r="N2451" i="2"/>
  <c r="K2452" i="2"/>
  <c r="L2452" i="2"/>
  <c r="N2452" i="2"/>
  <c r="K2453" i="2"/>
  <c r="L2453" i="2"/>
  <c r="N2453" i="2"/>
  <c r="K2454" i="2"/>
  <c r="L2454" i="2"/>
  <c r="N2454" i="2"/>
  <c r="K2455" i="2"/>
  <c r="L2455" i="2"/>
  <c r="N2455" i="2"/>
  <c r="K2456" i="2"/>
  <c r="L2456" i="2"/>
  <c r="N2456" i="2"/>
  <c r="K2457" i="2"/>
  <c r="L2457" i="2"/>
  <c r="N2457" i="2"/>
  <c r="K2458" i="2"/>
  <c r="L2458" i="2"/>
  <c r="N2458" i="2"/>
  <c r="K2459" i="2"/>
  <c r="L2459" i="2"/>
  <c r="N2459" i="2"/>
  <c r="K2460" i="2"/>
  <c r="L2460" i="2"/>
  <c r="N2460" i="2"/>
  <c r="K2461" i="2"/>
  <c r="L2461" i="2"/>
  <c r="N2461" i="2"/>
  <c r="K2462" i="2"/>
  <c r="L2462" i="2"/>
  <c r="N2462" i="2"/>
  <c r="K2463" i="2"/>
  <c r="L2463" i="2"/>
  <c r="N2463" i="2"/>
  <c r="K2464" i="2"/>
  <c r="L2464" i="2"/>
  <c r="N2464" i="2"/>
  <c r="K2465" i="2"/>
  <c r="L2465" i="2"/>
  <c r="N2465" i="2"/>
  <c r="K2466" i="2"/>
  <c r="L2466" i="2"/>
  <c r="N2466" i="2"/>
  <c r="K2467" i="2"/>
  <c r="L2467" i="2"/>
  <c r="N2467" i="2"/>
  <c r="K2468" i="2"/>
  <c r="L2468" i="2"/>
  <c r="N2468" i="2"/>
  <c r="K2469" i="2"/>
  <c r="L2469" i="2"/>
  <c r="N2469" i="2"/>
  <c r="K2470" i="2"/>
  <c r="L2470" i="2"/>
  <c r="N2470" i="2"/>
  <c r="K2471" i="2"/>
  <c r="L2471" i="2"/>
  <c r="N2471" i="2"/>
  <c r="K2472" i="2"/>
  <c r="L2472" i="2"/>
  <c r="N2472" i="2"/>
  <c r="K2473" i="2"/>
  <c r="L2473" i="2"/>
  <c r="N2473" i="2"/>
  <c r="K2474" i="2"/>
  <c r="L2474" i="2"/>
  <c r="N2474" i="2"/>
  <c r="K2475" i="2"/>
  <c r="L2475" i="2"/>
  <c r="N2475" i="2"/>
  <c r="K2476" i="2"/>
  <c r="L2476" i="2"/>
  <c r="N2476" i="2"/>
  <c r="K2477" i="2"/>
  <c r="L2477" i="2"/>
  <c r="N2477" i="2"/>
  <c r="K2478" i="2"/>
  <c r="L2478" i="2"/>
  <c r="N2478" i="2"/>
  <c r="K2479" i="2"/>
  <c r="L2479" i="2"/>
  <c r="N2479" i="2"/>
  <c r="K2480" i="2"/>
  <c r="L2480" i="2"/>
  <c r="N2480" i="2"/>
  <c r="K2481" i="2"/>
  <c r="L2481" i="2"/>
  <c r="N2481" i="2"/>
  <c r="K2482" i="2"/>
  <c r="L2482" i="2"/>
  <c r="N2482" i="2"/>
  <c r="K2483" i="2"/>
  <c r="L2483" i="2"/>
  <c r="N2483" i="2"/>
  <c r="K2484" i="2"/>
  <c r="L2484" i="2"/>
  <c r="N2484" i="2"/>
  <c r="K2485" i="2"/>
  <c r="L2485" i="2"/>
  <c r="N2485" i="2"/>
  <c r="K2486" i="2"/>
  <c r="L2486" i="2"/>
  <c r="N2486" i="2"/>
  <c r="K2487" i="2"/>
  <c r="L2487" i="2"/>
  <c r="N2487" i="2"/>
  <c r="K2488" i="2"/>
  <c r="L2488" i="2"/>
  <c r="N2488" i="2"/>
  <c r="K2489" i="2"/>
  <c r="L2489" i="2"/>
  <c r="N2489" i="2"/>
  <c r="K2490" i="2"/>
  <c r="L2490" i="2"/>
  <c r="N2490" i="2"/>
  <c r="K2491" i="2"/>
  <c r="L2491" i="2"/>
  <c r="N2491" i="2"/>
  <c r="K2492" i="2"/>
  <c r="L2492" i="2"/>
  <c r="N2492" i="2"/>
  <c r="K2493" i="2"/>
  <c r="L2493" i="2"/>
  <c r="N2493" i="2"/>
  <c r="K2494" i="2"/>
  <c r="L2494" i="2"/>
  <c r="N2494" i="2"/>
  <c r="K2495" i="2"/>
  <c r="L2495" i="2"/>
  <c r="N2495" i="2"/>
  <c r="K2496" i="2"/>
  <c r="L2496" i="2"/>
  <c r="N2496" i="2"/>
  <c r="K2497" i="2"/>
  <c r="L2497" i="2"/>
  <c r="N2497" i="2"/>
  <c r="K2498" i="2"/>
  <c r="L2498" i="2"/>
  <c r="N2498" i="2"/>
  <c r="K2499" i="2"/>
  <c r="L2499" i="2"/>
  <c r="N2499" i="2"/>
  <c r="K2500" i="2"/>
  <c r="L2500" i="2"/>
  <c r="N2500" i="2"/>
  <c r="K2501" i="2"/>
  <c r="L2501" i="2"/>
  <c r="N2501" i="2"/>
  <c r="K2502" i="2"/>
  <c r="L2502" i="2"/>
  <c r="N2502" i="2"/>
  <c r="K2503" i="2"/>
  <c r="L2503" i="2"/>
  <c r="N2503" i="2"/>
  <c r="K2504" i="2"/>
  <c r="L2504" i="2"/>
  <c r="N2504" i="2"/>
  <c r="K2505" i="2"/>
  <c r="L2505" i="2"/>
  <c r="N2505" i="2"/>
  <c r="K2506" i="2"/>
  <c r="L2506" i="2"/>
  <c r="N2506" i="2"/>
  <c r="K2507" i="2"/>
  <c r="L2507" i="2"/>
  <c r="N2507" i="2"/>
  <c r="K2508" i="2"/>
  <c r="L2508" i="2"/>
  <c r="N2508" i="2"/>
  <c r="K2509" i="2"/>
  <c r="L2509" i="2"/>
  <c r="N2509" i="2"/>
  <c r="K2510" i="2"/>
  <c r="L2510" i="2"/>
  <c r="N2510" i="2"/>
  <c r="K2511" i="2"/>
  <c r="L2511" i="2"/>
  <c r="N2511" i="2"/>
  <c r="K2512" i="2"/>
  <c r="L2512" i="2"/>
  <c r="N2512" i="2"/>
  <c r="K2513" i="2"/>
  <c r="L2513" i="2"/>
  <c r="N2513" i="2"/>
  <c r="K2514" i="2"/>
  <c r="L2514" i="2"/>
  <c r="N2514" i="2"/>
  <c r="K2515" i="2"/>
  <c r="L2515" i="2"/>
  <c r="N2515" i="2"/>
  <c r="K2516" i="2"/>
  <c r="L2516" i="2"/>
  <c r="N2516" i="2"/>
  <c r="K2517" i="2"/>
  <c r="L2517" i="2"/>
  <c r="N2517" i="2"/>
  <c r="K2518" i="2"/>
  <c r="L2518" i="2"/>
  <c r="N2518" i="2"/>
  <c r="K2519" i="2"/>
  <c r="L2519" i="2"/>
  <c r="N2519" i="2"/>
  <c r="K2520" i="2"/>
  <c r="L2520" i="2"/>
  <c r="N2520" i="2"/>
  <c r="K2521" i="2"/>
  <c r="L2521" i="2"/>
  <c r="N2521" i="2"/>
  <c r="K2522" i="2"/>
  <c r="L2522" i="2"/>
  <c r="N2522" i="2"/>
  <c r="K2523" i="2"/>
  <c r="L2523" i="2"/>
  <c r="N2523" i="2"/>
  <c r="K2524" i="2"/>
  <c r="L2524" i="2"/>
  <c r="N2524" i="2"/>
  <c r="K2525" i="2"/>
  <c r="L2525" i="2"/>
  <c r="N2525" i="2"/>
  <c r="K2526" i="2"/>
  <c r="L2526" i="2"/>
  <c r="N2526" i="2"/>
  <c r="K2527" i="2"/>
  <c r="L2527" i="2"/>
  <c r="N2527" i="2"/>
  <c r="K2528" i="2"/>
  <c r="L2528" i="2"/>
  <c r="N2528" i="2"/>
  <c r="K2529" i="2"/>
  <c r="L2529" i="2"/>
  <c r="N2529" i="2"/>
  <c r="K2530" i="2"/>
  <c r="L2530" i="2"/>
  <c r="N2530" i="2"/>
  <c r="K2531" i="2"/>
  <c r="L2531" i="2"/>
  <c r="N2531" i="2"/>
  <c r="K2532" i="2"/>
  <c r="L2532" i="2"/>
  <c r="N2532" i="2"/>
  <c r="K2533" i="2"/>
  <c r="L2533" i="2"/>
  <c r="N2533" i="2"/>
  <c r="K2534" i="2"/>
  <c r="L2534" i="2"/>
  <c r="N2534" i="2"/>
  <c r="K2535" i="2"/>
  <c r="L2535" i="2"/>
  <c r="N2535" i="2"/>
  <c r="K2536" i="2"/>
  <c r="L2536" i="2"/>
  <c r="N2536" i="2"/>
  <c r="K2537" i="2"/>
  <c r="L2537" i="2"/>
  <c r="N2537" i="2"/>
  <c r="K2538" i="2"/>
  <c r="L2538" i="2"/>
  <c r="N2538" i="2"/>
  <c r="K2539" i="2"/>
  <c r="L2539" i="2"/>
  <c r="N2539" i="2"/>
  <c r="K2540" i="2"/>
  <c r="L2540" i="2"/>
  <c r="N2540" i="2"/>
  <c r="K2541" i="2"/>
  <c r="L2541" i="2"/>
  <c r="N2541" i="2"/>
  <c r="K2542" i="2"/>
  <c r="L2542" i="2"/>
  <c r="N2542" i="2"/>
  <c r="K2543" i="2"/>
  <c r="L2543" i="2"/>
  <c r="N2543" i="2"/>
  <c r="K2544" i="2"/>
  <c r="L2544" i="2"/>
  <c r="N2544" i="2"/>
  <c r="K2545" i="2"/>
  <c r="L2545" i="2"/>
  <c r="N2545" i="2"/>
  <c r="K2546" i="2"/>
  <c r="L2546" i="2"/>
  <c r="N2546" i="2"/>
  <c r="K2547" i="2"/>
  <c r="L2547" i="2"/>
  <c r="N2547" i="2"/>
  <c r="K2548" i="2"/>
  <c r="L2548" i="2"/>
  <c r="N2548" i="2"/>
  <c r="K2549" i="2"/>
  <c r="L2549" i="2"/>
  <c r="N2549" i="2"/>
  <c r="K2550" i="2"/>
  <c r="L2550" i="2"/>
  <c r="N2550" i="2"/>
  <c r="K2551" i="2"/>
  <c r="L2551" i="2"/>
  <c r="N2551" i="2"/>
  <c r="K2552" i="2"/>
  <c r="L2552" i="2"/>
  <c r="N2552" i="2"/>
  <c r="K2553" i="2"/>
  <c r="L2553" i="2"/>
  <c r="N2553" i="2"/>
  <c r="K2554" i="2"/>
  <c r="L2554" i="2"/>
  <c r="N2554" i="2"/>
  <c r="K2555" i="2"/>
  <c r="L2555" i="2"/>
  <c r="N2555" i="2"/>
  <c r="K2556" i="2"/>
  <c r="L2556" i="2"/>
  <c r="N2556" i="2"/>
  <c r="K2557" i="2"/>
  <c r="L2557" i="2"/>
  <c r="N2557" i="2"/>
  <c r="K2558" i="2"/>
  <c r="L2558" i="2"/>
  <c r="N2558" i="2"/>
  <c r="K2559" i="2"/>
  <c r="L2559" i="2"/>
  <c r="N2559" i="2"/>
  <c r="K2560" i="2"/>
  <c r="L2560" i="2"/>
  <c r="N2560" i="2"/>
  <c r="K2561" i="2"/>
  <c r="L2561" i="2"/>
  <c r="N2561" i="2"/>
  <c r="K2562" i="2"/>
  <c r="L2562" i="2"/>
  <c r="N2562" i="2"/>
  <c r="K2563" i="2"/>
  <c r="L2563" i="2"/>
  <c r="N2563" i="2"/>
  <c r="K2564" i="2"/>
  <c r="L2564" i="2"/>
  <c r="N2564" i="2"/>
  <c r="K2565" i="2"/>
  <c r="L2565" i="2"/>
  <c r="N2565" i="2"/>
  <c r="K2566" i="2"/>
  <c r="L2566" i="2"/>
  <c r="N2566" i="2"/>
  <c r="K2567" i="2"/>
  <c r="L2567" i="2"/>
  <c r="N2567" i="2"/>
  <c r="K2568" i="2"/>
  <c r="L2568" i="2"/>
  <c r="N2568" i="2"/>
  <c r="K2569" i="2"/>
  <c r="L2569" i="2"/>
  <c r="N2569" i="2"/>
  <c r="K2570" i="2"/>
  <c r="L2570" i="2"/>
  <c r="N2570" i="2"/>
  <c r="K2571" i="2"/>
  <c r="L2571" i="2"/>
  <c r="N2571" i="2"/>
  <c r="K2572" i="2"/>
  <c r="L2572" i="2"/>
  <c r="N2572" i="2"/>
  <c r="K2573" i="2"/>
  <c r="L2573" i="2"/>
  <c r="N2573" i="2"/>
  <c r="K2574" i="2"/>
  <c r="L2574" i="2"/>
  <c r="N2574" i="2"/>
  <c r="K2575" i="2"/>
  <c r="L2575" i="2"/>
  <c r="N2575" i="2"/>
  <c r="K2576" i="2"/>
  <c r="L2576" i="2"/>
  <c r="N2576" i="2"/>
  <c r="K2577" i="2"/>
  <c r="L2577" i="2"/>
  <c r="N2577" i="2"/>
  <c r="K2578" i="2"/>
  <c r="L2578" i="2"/>
  <c r="N2578" i="2"/>
  <c r="K2579" i="2"/>
  <c r="L2579" i="2"/>
  <c r="N2579" i="2"/>
  <c r="K2580" i="2"/>
  <c r="L2580" i="2"/>
  <c r="N2580" i="2"/>
  <c r="K2581" i="2"/>
  <c r="L2581" i="2"/>
  <c r="N2581" i="2"/>
  <c r="K2582" i="2"/>
  <c r="L2582" i="2"/>
  <c r="N2582" i="2"/>
  <c r="K2583" i="2"/>
  <c r="L2583" i="2"/>
  <c r="N2583" i="2"/>
  <c r="K2584" i="2"/>
  <c r="L2584" i="2"/>
  <c r="N2584" i="2"/>
  <c r="K2585" i="2"/>
  <c r="L2585" i="2"/>
  <c r="N2585" i="2"/>
  <c r="K2586" i="2"/>
  <c r="L2586" i="2"/>
  <c r="N2586" i="2"/>
  <c r="K2587" i="2"/>
  <c r="L2587" i="2"/>
  <c r="N2587" i="2"/>
  <c r="K2588" i="2"/>
  <c r="L2588" i="2"/>
  <c r="N2588" i="2"/>
  <c r="K2589" i="2"/>
  <c r="L2589" i="2"/>
  <c r="N2589" i="2"/>
  <c r="K2590" i="2"/>
  <c r="L2590" i="2"/>
  <c r="N2590" i="2"/>
  <c r="K2591" i="2"/>
  <c r="L2591" i="2"/>
  <c r="N2591" i="2"/>
  <c r="K2592" i="2"/>
  <c r="L2592" i="2"/>
  <c r="N2592" i="2"/>
  <c r="K2593" i="2"/>
  <c r="L2593" i="2"/>
  <c r="N2593" i="2"/>
  <c r="K2594" i="2"/>
  <c r="L2594" i="2"/>
  <c r="N2594" i="2"/>
  <c r="K2595" i="2"/>
  <c r="L2595" i="2"/>
  <c r="N2595" i="2"/>
  <c r="K2596" i="2"/>
  <c r="L2596" i="2"/>
  <c r="N2596" i="2"/>
  <c r="K2597" i="2"/>
  <c r="L2597" i="2"/>
  <c r="N2597" i="2"/>
  <c r="K2598" i="2"/>
  <c r="L2598" i="2"/>
  <c r="N2598" i="2"/>
  <c r="K2599" i="2"/>
  <c r="L2599" i="2"/>
  <c r="N2599" i="2"/>
  <c r="K2600" i="2"/>
  <c r="L2600" i="2"/>
  <c r="N2600" i="2"/>
  <c r="K2601" i="2"/>
  <c r="L2601" i="2"/>
  <c r="N2601" i="2"/>
  <c r="K2602" i="2"/>
  <c r="L2602" i="2"/>
  <c r="N2602" i="2"/>
  <c r="K2603" i="2"/>
  <c r="L2603" i="2"/>
  <c r="N2603" i="2"/>
  <c r="K2604" i="2"/>
  <c r="L2604" i="2"/>
  <c r="N2604" i="2"/>
  <c r="K2605" i="2"/>
  <c r="L2605" i="2"/>
  <c r="N2605" i="2"/>
  <c r="K2606" i="2"/>
  <c r="L2606" i="2"/>
  <c r="N2606" i="2"/>
  <c r="K2607" i="2"/>
  <c r="L2607" i="2"/>
  <c r="N2607" i="2"/>
  <c r="K2608" i="2"/>
  <c r="L2608" i="2"/>
  <c r="N2608" i="2"/>
  <c r="K2609" i="2"/>
  <c r="L2609" i="2"/>
  <c r="N2609" i="2"/>
  <c r="K2610" i="2"/>
  <c r="L2610" i="2"/>
  <c r="N2610" i="2"/>
  <c r="K2611" i="2"/>
  <c r="L2611" i="2"/>
  <c r="N2611" i="2"/>
  <c r="K2612" i="2"/>
  <c r="L2612" i="2"/>
  <c r="N2612" i="2"/>
  <c r="K2613" i="2"/>
  <c r="L2613" i="2"/>
  <c r="N2613" i="2"/>
  <c r="K2614" i="2"/>
  <c r="L2614" i="2"/>
  <c r="N2614" i="2"/>
  <c r="K2615" i="2"/>
  <c r="L2615" i="2"/>
  <c r="N2615" i="2"/>
  <c r="K2616" i="2"/>
  <c r="L2616" i="2"/>
  <c r="N2616" i="2"/>
  <c r="K2617" i="2"/>
  <c r="L2617" i="2"/>
  <c r="N2617" i="2"/>
  <c r="K2618" i="2"/>
  <c r="L2618" i="2"/>
  <c r="N2618" i="2"/>
  <c r="K2619" i="2"/>
  <c r="L2619" i="2"/>
  <c r="N2619" i="2"/>
  <c r="K2620" i="2"/>
  <c r="L2620" i="2"/>
  <c r="N2620" i="2"/>
  <c r="K2621" i="2"/>
  <c r="L2621" i="2"/>
  <c r="N2621" i="2"/>
  <c r="K2622" i="2"/>
  <c r="L2622" i="2"/>
  <c r="N2622" i="2"/>
  <c r="K2623" i="2"/>
  <c r="L2623" i="2"/>
  <c r="N2623" i="2"/>
  <c r="K2624" i="2"/>
  <c r="L2624" i="2"/>
  <c r="N2624" i="2"/>
  <c r="K2625" i="2"/>
  <c r="L2625" i="2"/>
  <c r="N2625" i="2"/>
  <c r="K2626" i="2"/>
  <c r="L2626" i="2"/>
  <c r="N2626" i="2"/>
  <c r="K2627" i="2"/>
  <c r="L2627" i="2"/>
  <c r="N2627" i="2"/>
  <c r="K2628" i="2"/>
  <c r="L2628" i="2"/>
  <c r="N2628" i="2"/>
  <c r="K2629" i="2"/>
  <c r="L2629" i="2"/>
  <c r="N2629" i="2"/>
  <c r="K2630" i="2"/>
  <c r="L2630" i="2"/>
  <c r="N2630" i="2"/>
  <c r="K2631" i="2"/>
  <c r="L2631" i="2"/>
  <c r="N2631" i="2"/>
  <c r="K2632" i="2"/>
  <c r="L2632" i="2"/>
  <c r="N2632" i="2"/>
  <c r="K2633" i="2"/>
  <c r="L2633" i="2"/>
  <c r="N2633" i="2"/>
  <c r="K2634" i="2"/>
  <c r="L2634" i="2"/>
  <c r="N2634" i="2"/>
  <c r="K2635" i="2"/>
  <c r="L2635" i="2"/>
  <c r="N2635" i="2"/>
  <c r="K2636" i="2"/>
  <c r="L2636" i="2"/>
  <c r="N2636" i="2"/>
  <c r="K2637" i="2"/>
  <c r="L2637" i="2"/>
  <c r="N2637" i="2"/>
  <c r="K2638" i="2"/>
  <c r="L2638" i="2"/>
  <c r="N2638" i="2"/>
  <c r="K2639" i="2"/>
  <c r="L2639" i="2"/>
  <c r="N2639" i="2"/>
  <c r="K2640" i="2"/>
  <c r="L2640" i="2"/>
  <c r="N2640" i="2"/>
  <c r="K2641" i="2"/>
  <c r="L2641" i="2"/>
  <c r="N2641" i="2"/>
  <c r="K2642" i="2"/>
  <c r="L2642" i="2"/>
  <c r="N2642" i="2"/>
  <c r="K2643" i="2"/>
  <c r="L2643" i="2"/>
  <c r="N2643" i="2"/>
  <c r="K2644" i="2"/>
  <c r="L2644" i="2"/>
  <c r="N2644" i="2"/>
  <c r="K2645" i="2"/>
  <c r="L2645" i="2"/>
  <c r="N2645" i="2"/>
  <c r="K2646" i="2"/>
  <c r="L2646" i="2"/>
  <c r="N2646" i="2"/>
  <c r="K2647" i="2"/>
  <c r="L2647" i="2"/>
  <c r="N2647" i="2"/>
  <c r="K2648" i="2"/>
  <c r="L2648" i="2"/>
  <c r="N2648" i="2"/>
  <c r="K2649" i="2"/>
  <c r="L2649" i="2"/>
  <c r="N2649" i="2"/>
  <c r="K2650" i="2"/>
  <c r="L2650" i="2"/>
  <c r="N2650" i="2"/>
  <c r="K2651" i="2"/>
  <c r="L2651" i="2"/>
  <c r="N2651" i="2"/>
  <c r="K2652" i="2"/>
  <c r="L2652" i="2"/>
  <c r="N2652" i="2"/>
  <c r="K2653" i="2"/>
  <c r="L2653" i="2"/>
  <c r="N2653" i="2"/>
  <c r="K2654" i="2"/>
  <c r="L2654" i="2"/>
  <c r="N2654" i="2"/>
  <c r="K2655" i="2"/>
  <c r="L2655" i="2"/>
  <c r="N2655" i="2"/>
  <c r="K2656" i="2"/>
  <c r="L2656" i="2"/>
  <c r="N2656" i="2"/>
  <c r="K2657" i="2"/>
  <c r="L2657" i="2"/>
  <c r="N2657" i="2"/>
  <c r="K2658" i="2"/>
  <c r="L2658" i="2"/>
  <c r="N2658" i="2"/>
  <c r="K2659" i="2"/>
  <c r="L2659" i="2"/>
  <c r="N2659" i="2"/>
  <c r="K2660" i="2"/>
  <c r="L2660" i="2"/>
  <c r="N2660" i="2"/>
  <c r="K2661" i="2"/>
  <c r="L2661" i="2"/>
  <c r="N2661" i="2"/>
  <c r="K2662" i="2"/>
  <c r="L2662" i="2"/>
  <c r="N2662" i="2"/>
  <c r="K2663" i="2"/>
  <c r="L2663" i="2"/>
  <c r="N2663" i="2"/>
  <c r="K2664" i="2"/>
  <c r="L2664" i="2"/>
  <c r="N2664" i="2"/>
  <c r="K2665" i="2"/>
  <c r="L2665" i="2"/>
  <c r="N2665" i="2"/>
  <c r="K2666" i="2"/>
  <c r="L2666" i="2"/>
  <c r="N2666" i="2"/>
  <c r="K2667" i="2"/>
  <c r="L2667" i="2"/>
  <c r="N2667" i="2"/>
  <c r="K2668" i="2"/>
  <c r="L2668" i="2"/>
  <c r="N2668" i="2"/>
  <c r="K2669" i="2"/>
  <c r="L2669" i="2"/>
  <c r="N2669" i="2"/>
  <c r="K2670" i="2"/>
  <c r="L2670" i="2"/>
  <c r="N2670" i="2"/>
  <c r="K2671" i="2"/>
  <c r="L2671" i="2"/>
  <c r="N2671" i="2"/>
  <c r="K2672" i="2"/>
  <c r="L2672" i="2"/>
  <c r="N2672" i="2"/>
  <c r="K2673" i="2"/>
  <c r="L2673" i="2"/>
  <c r="N2673" i="2"/>
  <c r="K2674" i="2"/>
  <c r="L2674" i="2"/>
  <c r="N2674" i="2"/>
  <c r="K2675" i="2"/>
  <c r="L2675" i="2"/>
  <c r="N2675" i="2"/>
  <c r="K2676" i="2"/>
  <c r="L2676" i="2"/>
  <c r="N2676" i="2"/>
  <c r="K2677" i="2"/>
  <c r="L2677" i="2"/>
  <c r="N2677" i="2"/>
  <c r="K2678" i="2"/>
  <c r="L2678" i="2"/>
  <c r="N2678" i="2"/>
  <c r="K2679" i="2"/>
  <c r="L2679" i="2"/>
  <c r="N2679" i="2"/>
  <c r="K2680" i="2"/>
  <c r="L2680" i="2"/>
  <c r="N2680" i="2"/>
  <c r="K2681" i="2"/>
  <c r="L2681" i="2"/>
  <c r="N2681" i="2"/>
  <c r="K2682" i="2"/>
  <c r="L2682" i="2"/>
  <c r="N2682" i="2"/>
  <c r="K2683" i="2"/>
  <c r="L2683" i="2"/>
  <c r="N2683" i="2"/>
  <c r="K2684" i="2"/>
  <c r="L2684" i="2"/>
  <c r="N2684" i="2"/>
  <c r="K2685" i="2"/>
  <c r="L2685" i="2"/>
  <c r="N2685" i="2"/>
  <c r="K2686" i="2"/>
  <c r="L2686" i="2"/>
  <c r="N2686" i="2"/>
  <c r="K2687" i="2"/>
  <c r="L2687" i="2"/>
  <c r="N2687" i="2"/>
  <c r="K2688" i="2"/>
  <c r="L2688" i="2"/>
  <c r="N2688" i="2"/>
  <c r="K2689" i="2"/>
  <c r="L2689" i="2"/>
  <c r="N2689" i="2"/>
  <c r="K2690" i="2"/>
  <c r="L2690" i="2"/>
  <c r="N2690" i="2"/>
  <c r="K2691" i="2"/>
  <c r="L2691" i="2"/>
  <c r="N2691" i="2"/>
  <c r="K2692" i="2"/>
  <c r="L2692" i="2"/>
  <c r="N2692" i="2"/>
  <c r="K2693" i="2"/>
  <c r="L2693" i="2"/>
  <c r="N2693" i="2"/>
  <c r="K2694" i="2"/>
  <c r="L2694" i="2"/>
  <c r="N2694" i="2"/>
  <c r="K2695" i="2"/>
  <c r="L2695" i="2"/>
  <c r="N2695" i="2"/>
  <c r="K2696" i="2"/>
  <c r="L2696" i="2"/>
  <c r="N2696" i="2"/>
  <c r="K2697" i="2"/>
  <c r="L2697" i="2"/>
  <c r="N2697" i="2"/>
  <c r="K2698" i="2"/>
  <c r="L2698" i="2"/>
  <c r="N2698" i="2"/>
  <c r="K2699" i="2"/>
  <c r="L2699" i="2"/>
  <c r="N2699" i="2"/>
  <c r="K2700" i="2"/>
  <c r="L2700" i="2"/>
  <c r="N2700" i="2"/>
  <c r="K2701" i="2"/>
  <c r="L2701" i="2"/>
  <c r="N2701" i="2"/>
  <c r="K2702" i="2"/>
  <c r="L2702" i="2"/>
  <c r="N2702" i="2"/>
  <c r="K2703" i="2"/>
  <c r="L2703" i="2"/>
  <c r="N2703" i="2"/>
  <c r="K2704" i="2"/>
  <c r="L2704" i="2"/>
  <c r="N2704" i="2"/>
  <c r="K2705" i="2"/>
  <c r="L2705" i="2"/>
  <c r="N2705" i="2"/>
  <c r="K2706" i="2"/>
  <c r="L2706" i="2"/>
  <c r="N2706" i="2"/>
  <c r="K2707" i="2"/>
  <c r="L2707" i="2"/>
  <c r="N2707" i="2"/>
  <c r="K2708" i="2"/>
  <c r="L2708" i="2"/>
  <c r="N2708" i="2"/>
  <c r="K2709" i="2"/>
  <c r="L2709" i="2"/>
  <c r="N2709" i="2"/>
  <c r="K2710" i="2"/>
  <c r="L2710" i="2"/>
  <c r="N2710" i="2"/>
  <c r="K2711" i="2"/>
  <c r="L2711" i="2"/>
  <c r="N2711" i="2"/>
  <c r="K2712" i="2"/>
  <c r="L2712" i="2"/>
  <c r="N2712" i="2"/>
  <c r="K2713" i="2"/>
  <c r="L2713" i="2"/>
  <c r="N2713" i="2"/>
  <c r="K2714" i="2"/>
  <c r="L2714" i="2"/>
  <c r="N2714" i="2"/>
  <c r="K2715" i="2"/>
  <c r="L2715" i="2"/>
  <c r="N2715" i="2"/>
  <c r="K2716" i="2"/>
  <c r="L2716" i="2"/>
  <c r="N2716" i="2"/>
  <c r="K2717" i="2"/>
  <c r="L2717" i="2"/>
  <c r="N2717" i="2"/>
  <c r="K2718" i="2"/>
  <c r="L2718" i="2"/>
  <c r="N2718" i="2"/>
  <c r="K2719" i="2"/>
  <c r="L2719" i="2"/>
  <c r="N2719" i="2"/>
  <c r="K2720" i="2"/>
  <c r="L2720" i="2"/>
  <c r="N2720" i="2"/>
  <c r="K2721" i="2"/>
  <c r="L2721" i="2"/>
  <c r="N2721" i="2"/>
  <c r="K2722" i="2"/>
  <c r="L2722" i="2"/>
  <c r="N2722" i="2"/>
  <c r="K2723" i="2"/>
  <c r="L2723" i="2"/>
  <c r="N2723" i="2"/>
  <c r="K2724" i="2"/>
  <c r="L2724" i="2"/>
  <c r="N2724" i="2"/>
  <c r="K2725" i="2"/>
  <c r="L2725" i="2"/>
  <c r="N2725" i="2"/>
  <c r="K2726" i="2"/>
  <c r="L2726" i="2"/>
  <c r="N2726" i="2"/>
  <c r="K2727" i="2"/>
  <c r="L2727" i="2"/>
  <c r="N2727" i="2"/>
  <c r="K2728" i="2"/>
  <c r="L2728" i="2"/>
  <c r="N2728" i="2"/>
  <c r="K2729" i="2"/>
  <c r="L2729" i="2"/>
  <c r="N2729" i="2"/>
  <c r="K2730" i="2"/>
  <c r="L2730" i="2"/>
  <c r="N2730" i="2"/>
  <c r="K2731" i="2"/>
  <c r="L2731" i="2"/>
  <c r="N2731" i="2"/>
  <c r="K2732" i="2"/>
  <c r="L2732" i="2"/>
  <c r="N2732" i="2"/>
  <c r="K2733" i="2"/>
  <c r="L2733" i="2"/>
  <c r="N2733" i="2"/>
  <c r="K2734" i="2"/>
  <c r="L2734" i="2"/>
  <c r="N2734" i="2"/>
  <c r="K2735" i="2"/>
  <c r="L2735" i="2"/>
  <c r="N2735" i="2"/>
  <c r="K2736" i="2"/>
  <c r="L2736" i="2"/>
  <c r="N2736" i="2"/>
  <c r="K2737" i="2"/>
  <c r="L2737" i="2"/>
  <c r="N2737" i="2"/>
  <c r="K2738" i="2"/>
  <c r="L2738" i="2"/>
  <c r="N2738" i="2"/>
  <c r="K2739" i="2"/>
  <c r="L2739" i="2"/>
  <c r="N2739" i="2"/>
  <c r="K2740" i="2"/>
  <c r="L2740" i="2"/>
  <c r="N2740" i="2"/>
  <c r="K2741" i="2"/>
  <c r="L2741" i="2"/>
  <c r="N2741" i="2"/>
  <c r="K2742" i="2"/>
  <c r="L2742" i="2"/>
  <c r="N2742" i="2"/>
  <c r="K2743" i="2"/>
  <c r="L2743" i="2"/>
  <c r="N2743" i="2"/>
  <c r="K2744" i="2"/>
  <c r="L2744" i="2"/>
  <c r="N2744" i="2"/>
  <c r="K2745" i="2"/>
  <c r="L2745" i="2"/>
  <c r="N2745" i="2"/>
  <c r="K2746" i="2"/>
  <c r="L2746" i="2"/>
  <c r="N2746" i="2"/>
  <c r="K2747" i="2"/>
  <c r="L2747" i="2"/>
  <c r="N2747" i="2"/>
  <c r="K2748" i="2"/>
  <c r="L2748" i="2"/>
  <c r="N2748" i="2"/>
  <c r="K2749" i="2"/>
  <c r="L2749" i="2"/>
  <c r="N2749" i="2"/>
  <c r="K2750" i="2"/>
  <c r="L2750" i="2"/>
  <c r="N2750" i="2"/>
  <c r="K2751" i="2"/>
  <c r="L2751" i="2"/>
  <c r="N2751" i="2"/>
  <c r="K2752" i="2"/>
  <c r="L2752" i="2"/>
  <c r="N2752" i="2"/>
  <c r="K2753" i="2"/>
  <c r="L2753" i="2"/>
  <c r="N2753" i="2"/>
  <c r="K2754" i="2"/>
  <c r="L2754" i="2"/>
  <c r="N2754" i="2"/>
  <c r="K2755" i="2"/>
  <c r="L2755" i="2"/>
  <c r="N2755" i="2"/>
  <c r="K2756" i="2"/>
  <c r="L2756" i="2"/>
  <c r="N2756" i="2"/>
  <c r="K2757" i="2"/>
  <c r="L2757" i="2"/>
  <c r="N2757" i="2"/>
  <c r="K2758" i="2"/>
  <c r="L2758" i="2"/>
  <c r="N2758" i="2"/>
  <c r="K2759" i="2"/>
  <c r="L2759" i="2"/>
  <c r="N2759" i="2"/>
  <c r="K2760" i="2"/>
  <c r="L2760" i="2"/>
  <c r="N2760" i="2"/>
  <c r="K2761" i="2"/>
  <c r="L2761" i="2"/>
  <c r="N2761" i="2"/>
  <c r="K2762" i="2"/>
  <c r="L2762" i="2"/>
  <c r="N2762" i="2"/>
  <c r="K2763" i="2"/>
  <c r="L2763" i="2"/>
  <c r="N2763" i="2"/>
  <c r="K2764" i="2"/>
  <c r="L2764" i="2"/>
  <c r="N2764" i="2"/>
  <c r="K2765" i="2"/>
  <c r="L2765" i="2"/>
  <c r="N2765" i="2"/>
  <c r="K2766" i="2"/>
  <c r="L2766" i="2"/>
  <c r="N2766" i="2"/>
  <c r="K2767" i="2"/>
  <c r="L2767" i="2"/>
  <c r="N2767" i="2"/>
  <c r="K2768" i="2"/>
  <c r="L2768" i="2"/>
  <c r="N2768" i="2"/>
  <c r="K2769" i="2"/>
  <c r="L2769" i="2"/>
  <c r="N2769" i="2"/>
  <c r="K2770" i="2"/>
  <c r="L2770" i="2"/>
  <c r="N2770" i="2"/>
  <c r="K2771" i="2"/>
  <c r="L2771" i="2"/>
  <c r="N2771" i="2"/>
  <c r="K2772" i="2"/>
  <c r="L2772" i="2"/>
  <c r="N2772" i="2"/>
  <c r="K2773" i="2"/>
  <c r="L2773" i="2"/>
  <c r="N2773" i="2"/>
  <c r="K2774" i="2"/>
  <c r="L2774" i="2"/>
  <c r="N2774" i="2"/>
  <c r="K2775" i="2"/>
  <c r="L2775" i="2"/>
  <c r="N2775" i="2"/>
  <c r="K2776" i="2"/>
  <c r="L2776" i="2"/>
  <c r="N2776" i="2"/>
  <c r="K2777" i="2"/>
  <c r="L2777" i="2"/>
  <c r="N2777" i="2"/>
  <c r="K2778" i="2"/>
  <c r="L2778" i="2"/>
  <c r="N2778" i="2"/>
  <c r="K2779" i="2"/>
  <c r="L2779" i="2"/>
  <c r="N2779" i="2"/>
  <c r="K2780" i="2"/>
  <c r="L2780" i="2"/>
  <c r="N2780" i="2"/>
  <c r="K2781" i="2"/>
  <c r="L2781" i="2"/>
  <c r="N2781" i="2"/>
  <c r="K2782" i="2"/>
  <c r="L2782" i="2"/>
  <c r="N2782" i="2"/>
  <c r="K2783" i="2"/>
  <c r="L2783" i="2"/>
  <c r="N2783" i="2"/>
  <c r="K2784" i="2"/>
  <c r="L2784" i="2"/>
  <c r="N2784" i="2"/>
  <c r="K2785" i="2"/>
  <c r="L2785" i="2"/>
  <c r="N2785" i="2"/>
  <c r="K2786" i="2"/>
  <c r="L2786" i="2"/>
  <c r="N2786" i="2"/>
  <c r="K2787" i="2"/>
  <c r="L2787" i="2"/>
  <c r="N2787" i="2"/>
  <c r="K2788" i="2"/>
  <c r="L2788" i="2"/>
  <c r="N2788" i="2"/>
  <c r="K2789" i="2"/>
  <c r="L2789" i="2"/>
  <c r="N2789" i="2"/>
  <c r="K2790" i="2"/>
  <c r="L2790" i="2"/>
  <c r="N2790" i="2"/>
  <c r="K2791" i="2"/>
  <c r="L2791" i="2"/>
  <c r="N2791" i="2"/>
  <c r="K2792" i="2"/>
  <c r="L2792" i="2"/>
  <c r="N2792" i="2"/>
  <c r="K2793" i="2"/>
  <c r="L2793" i="2"/>
  <c r="N2793" i="2"/>
  <c r="K2794" i="2"/>
  <c r="L2794" i="2"/>
  <c r="N2794" i="2"/>
  <c r="K2795" i="2"/>
  <c r="L2795" i="2"/>
  <c r="N2795" i="2"/>
  <c r="K2796" i="2"/>
  <c r="L2796" i="2"/>
  <c r="N2796" i="2"/>
  <c r="K2797" i="2"/>
  <c r="L2797" i="2"/>
  <c r="N2797" i="2"/>
  <c r="K2798" i="2"/>
  <c r="L2798" i="2"/>
  <c r="N2798" i="2"/>
  <c r="K2799" i="2"/>
  <c r="L2799" i="2"/>
  <c r="N2799" i="2"/>
  <c r="K2800" i="2"/>
  <c r="L2800" i="2"/>
  <c r="N2800" i="2"/>
  <c r="K2801" i="2"/>
  <c r="L2801" i="2"/>
  <c r="N2801" i="2"/>
  <c r="K2802" i="2"/>
  <c r="L2802" i="2"/>
  <c r="N2802" i="2"/>
  <c r="K2803" i="2"/>
  <c r="L2803" i="2"/>
  <c r="N2803" i="2"/>
  <c r="K2804" i="2"/>
  <c r="L2804" i="2"/>
  <c r="N2804" i="2"/>
  <c r="K2805" i="2"/>
  <c r="L2805" i="2"/>
  <c r="N2805" i="2"/>
  <c r="K2806" i="2"/>
  <c r="L2806" i="2"/>
  <c r="N2806" i="2"/>
  <c r="K2807" i="2"/>
  <c r="L2807" i="2"/>
  <c r="N2807" i="2"/>
  <c r="K2808" i="2"/>
  <c r="L2808" i="2"/>
  <c r="N2808" i="2"/>
  <c r="K2809" i="2"/>
  <c r="L2809" i="2"/>
  <c r="N2809" i="2"/>
  <c r="K2810" i="2"/>
  <c r="L2810" i="2"/>
  <c r="N2810" i="2"/>
  <c r="K2811" i="2"/>
  <c r="L2811" i="2"/>
  <c r="N2811" i="2"/>
  <c r="K2812" i="2"/>
  <c r="L2812" i="2"/>
  <c r="N2812" i="2"/>
  <c r="K2813" i="2"/>
  <c r="L2813" i="2"/>
  <c r="N2813" i="2"/>
  <c r="K2814" i="2"/>
  <c r="L2814" i="2"/>
  <c r="N2814" i="2"/>
  <c r="K2815" i="2"/>
  <c r="L2815" i="2"/>
  <c r="N2815" i="2"/>
  <c r="K2816" i="2"/>
  <c r="L2816" i="2"/>
  <c r="N2816" i="2"/>
  <c r="K2817" i="2"/>
  <c r="L2817" i="2"/>
  <c r="N2817" i="2"/>
  <c r="K2818" i="2"/>
  <c r="L2818" i="2"/>
  <c r="N2818" i="2"/>
  <c r="K2819" i="2"/>
  <c r="L2819" i="2"/>
  <c r="N2819" i="2"/>
  <c r="K2820" i="2"/>
  <c r="L2820" i="2"/>
  <c r="N2820" i="2"/>
  <c r="K2821" i="2"/>
  <c r="L2821" i="2"/>
  <c r="N2821" i="2"/>
  <c r="K2822" i="2"/>
  <c r="L2822" i="2"/>
  <c r="N2822" i="2"/>
  <c r="K2823" i="2"/>
  <c r="L2823" i="2"/>
  <c r="N2823" i="2"/>
  <c r="K2824" i="2"/>
  <c r="L2824" i="2"/>
  <c r="N2824" i="2"/>
  <c r="K2825" i="2"/>
  <c r="L2825" i="2"/>
  <c r="N2825" i="2"/>
  <c r="K2826" i="2"/>
  <c r="L2826" i="2"/>
  <c r="N2826" i="2"/>
  <c r="K2827" i="2"/>
  <c r="L2827" i="2"/>
  <c r="N2827" i="2"/>
  <c r="K2828" i="2"/>
  <c r="L2828" i="2"/>
  <c r="N2828" i="2"/>
  <c r="K2829" i="2"/>
  <c r="L2829" i="2"/>
  <c r="N2829" i="2"/>
  <c r="K2830" i="2"/>
  <c r="L2830" i="2"/>
  <c r="N2830" i="2"/>
  <c r="K2831" i="2"/>
  <c r="L2831" i="2"/>
  <c r="N2831" i="2"/>
  <c r="K2832" i="2"/>
  <c r="L2832" i="2"/>
  <c r="N2832" i="2"/>
  <c r="K2833" i="2"/>
  <c r="L2833" i="2"/>
  <c r="N2833" i="2"/>
  <c r="K2834" i="2"/>
  <c r="L2834" i="2"/>
  <c r="N2834" i="2"/>
  <c r="K2835" i="2"/>
  <c r="L2835" i="2"/>
  <c r="N2835" i="2"/>
  <c r="K2836" i="2"/>
  <c r="L2836" i="2"/>
  <c r="N2836" i="2"/>
  <c r="K2837" i="2"/>
  <c r="L2837" i="2"/>
  <c r="N2837" i="2"/>
  <c r="K2838" i="2"/>
  <c r="L2838" i="2"/>
  <c r="N2838" i="2"/>
  <c r="K2839" i="2"/>
  <c r="L2839" i="2"/>
  <c r="N2839" i="2"/>
  <c r="K2840" i="2"/>
  <c r="L2840" i="2"/>
  <c r="N2840" i="2"/>
  <c r="K2841" i="2"/>
  <c r="L2841" i="2"/>
  <c r="N2841" i="2"/>
  <c r="K2842" i="2"/>
  <c r="L2842" i="2"/>
  <c r="N2842" i="2"/>
  <c r="K2843" i="2"/>
  <c r="L2843" i="2"/>
  <c r="N2843" i="2"/>
  <c r="K2844" i="2"/>
  <c r="L2844" i="2"/>
  <c r="N2844" i="2"/>
  <c r="K2845" i="2"/>
  <c r="L2845" i="2"/>
  <c r="N2845" i="2"/>
  <c r="K2846" i="2"/>
  <c r="L2846" i="2"/>
  <c r="N2846" i="2"/>
  <c r="K2847" i="2"/>
  <c r="L2847" i="2"/>
  <c r="N2847" i="2"/>
  <c r="K2848" i="2"/>
  <c r="L2848" i="2"/>
  <c r="N2848" i="2"/>
  <c r="K2849" i="2"/>
  <c r="L2849" i="2"/>
  <c r="N2849" i="2"/>
  <c r="K2850" i="2"/>
  <c r="L2850" i="2"/>
  <c r="N2850" i="2"/>
  <c r="K2851" i="2"/>
  <c r="L2851" i="2"/>
  <c r="N2851" i="2"/>
  <c r="K2852" i="2"/>
  <c r="L2852" i="2"/>
  <c r="N2852" i="2"/>
  <c r="K2853" i="2"/>
  <c r="L2853" i="2"/>
  <c r="N2853" i="2"/>
  <c r="K2854" i="2"/>
  <c r="L2854" i="2"/>
  <c r="N2854" i="2"/>
  <c r="K2855" i="2"/>
  <c r="L2855" i="2"/>
  <c r="N2855" i="2"/>
  <c r="K2856" i="2"/>
  <c r="L2856" i="2"/>
  <c r="N2856" i="2"/>
  <c r="K2857" i="2"/>
  <c r="L2857" i="2"/>
  <c r="N2857" i="2"/>
  <c r="K2858" i="2"/>
  <c r="L2858" i="2"/>
  <c r="N2858" i="2"/>
  <c r="K2859" i="2"/>
  <c r="L2859" i="2"/>
  <c r="N2859" i="2"/>
  <c r="K2860" i="2"/>
  <c r="L2860" i="2"/>
  <c r="N2860" i="2"/>
  <c r="K2861" i="2"/>
  <c r="L2861" i="2"/>
  <c r="N2861" i="2"/>
  <c r="K2862" i="2"/>
  <c r="L2862" i="2"/>
  <c r="N2862" i="2"/>
  <c r="K2863" i="2"/>
  <c r="L2863" i="2"/>
  <c r="N2863" i="2"/>
  <c r="K2864" i="2"/>
  <c r="L2864" i="2"/>
  <c r="N2864" i="2"/>
  <c r="K2865" i="2"/>
  <c r="L2865" i="2"/>
  <c r="N2865" i="2"/>
  <c r="K2866" i="2"/>
  <c r="L2866" i="2"/>
  <c r="N2866" i="2"/>
  <c r="K2867" i="2"/>
  <c r="L2867" i="2"/>
  <c r="N2867" i="2"/>
  <c r="K2868" i="2"/>
  <c r="L2868" i="2"/>
  <c r="N2868" i="2"/>
  <c r="K2869" i="2"/>
  <c r="L2869" i="2"/>
  <c r="N2869" i="2"/>
  <c r="K2870" i="2"/>
  <c r="L2870" i="2"/>
  <c r="N2870" i="2"/>
  <c r="K2871" i="2"/>
  <c r="L2871" i="2"/>
  <c r="N2871" i="2"/>
  <c r="K2872" i="2"/>
  <c r="L2872" i="2"/>
  <c r="N2872" i="2"/>
  <c r="K2873" i="2"/>
  <c r="L2873" i="2"/>
  <c r="N2873" i="2"/>
  <c r="K2874" i="2"/>
  <c r="L2874" i="2"/>
  <c r="N2874" i="2"/>
  <c r="K2875" i="2"/>
  <c r="L2875" i="2"/>
  <c r="N2875" i="2"/>
  <c r="K2876" i="2"/>
  <c r="L2876" i="2"/>
  <c r="N2876" i="2"/>
  <c r="K2877" i="2"/>
  <c r="L2877" i="2"/>
  <c r="N2877" i="2"/>
  <c r="K2878" i="2"/>
  <c r="L2878" i="2"/>
  <c r="N2878" i="2"/>
  <c r="K2879" i="2"/>
  <c r="L2879" i="2"/>
  <c r="N2879" i="2"/>
  <c r="K2880" i="2"/>
  <c r="L2880" i="2"/>
  <c r="N2880" i="2"/>
  <c r="K2881" i="2"/>
  <c r="L2881" i="2"/>
  <c r="N2881" i="2"/>
  <c r="K2882" i="2"/>
  <c r="L2882" i="2"/>
  <c r="N2882" i="2"/>
  <c r="K2883" i="2"/>
  <c r="L2883" i="2"/>
  <c r="N2883" i="2"/>
  <c r="K2884" i="2"/>
  <c r="L2884" i="2"/>
  <c r="N2884" i="2"/>
  <c r="K2885" i="2"/>
  <c r="L2885" i="2"/>
  <c r="N2885" i="2"/>
  <c r="K2886" i="2"/>
  <c r="L2886" i="2"/>
  <c r="N2886" i="2"/>
  <c r="K2887" i="2"/>
  <c r="L2887" i="2"/>
  <c r="N2887" i="2"/>
  <c r="K2888" i="2"/>
  <c r="L2888" i="2"/>
  <c r="N2888" i="2"/>
  <c r="K2889" i="2"/>
  <c r="L2889" i="2"/>
  <c r="N2889" i="2"/>
  <c r="K2890" i="2"/>
  <c r="L2890" i="2"/>
  <c r="N2890" i="2"/>
  <c r="K2891" i="2"/>
  <c r="L2891" i="2"/>
  <c r="N2891" i="2"/>
  <c r="K2892" i="2"/>
  <c r="L2892" i="2"/>
  <c r="N2892" i="2"/>
  <c r="K2893" i="2"/>
  <c r="L2893" i="2"/>
  <c r="N2893" i="2"/>
  <c r="K2894" i="2"/>
  <c r="L2894" i="2"/>
  <c r="N2894" i="2"/>
  <c r="K2895" i="2"/>
  <c r="L2895" i="2"/>
  <c r="N2895" i="2"/>
  <c r="K2896" i="2"/>
  <c r="L2896" i="2"/>
  <c r="N2896" i="2"/>
  <c r="K2897" i="2"/>
  <c r="L2897" i="2"/>
  <c r="N2897" i="2"/>
  <c r="K2898" i="2"/>
  <c r="L2898" i="2"/>
  <c r="N2898" i="2"/>
  <c r="K2899" i="2"/>
  <c r="L2899" i="2"/>
  <c r="N2899" i="2"/>
  <c r="K2900" i="2"/>
  <c r="L2900" i="2"/>
  <c r="N2900" i="2"/>
  <c r="K2901" i="2"/>
  <c r="L2901" i="2"/>
  <c r="N2901" i="2"/>
  <c r="K2902" i="2"/>
  <c r="L2902" i="2"/>
  <c r="N2902" i="2"/>
  <c r="K2903" i="2"/>
  <c r="L2903" i="2"/>
  <c r="N2903" i="2"/>
  <c r="K2904" i="2"/>
  <c r="L2904" i="2"/>
  <c r="N2904" i="2"/>
  <c r="K2905" i="2"/>
  <c r="L2905" i="2"/>
  <c r="N2905" i="2"/>
  <c r="K2906" i="2"/>
  <c r="L2906" i="2"/>
  <c r="N2906" i="2"/>
  <c r="K2907" i="2"/>
  <c r="L2907" i="2"/>
  <c r="N2907" i="2"/>
  <c r="K2908" i="2"/>
  <c r="L2908" i="2"/>
  <c r="N2908" i="2"/>
  <c r="K2909" i="2"/>
  <c r="L2909" i="2"/>
  <c r="N2909" i="2"/>
  <c r="K2910" i="2"/>
  <c r="L2910" i="2"/>
  <c r="N2910" i="2"/>
  <c r="K2911" i="2"/>
  <c r="L2911" i="2"/>
  <c r="N2911" i="2"/>
  <c r="K2912" i="2"/>
  <c r="L2912" i="2"/>
  <c r="N2912" i="2"/>
  <c r="K2913" i="2"/>
  <c r="L2913" i="2"/>
  <c r="N2913" i="2"/>
  <c r="K2914" i="2"/>
  <c r="L2914" i="2"/>
  <c r="N2914" i="2"/>
  <c r="K2915" i="2"/>
  <c r="L2915" i="2"/>
  <c r="N2915" i="2"/>
  <c r="K2916" i="2"/>
  <c r="L2916" i="2"/>
  <c r="N2916" i="2"/>
  <c r="K2917" i="2"/>
  <c r="L2917" i="2"/>
  <c r="N2917" i="2"/>
  <c r="K2918" i="2"/>
  <c r="L2918" i="2"/>
  <c r="N2918" i="2"/>
  <c r="K2919" i="2"/>
  <c r="L2919" i="2"/>
  <c r="N2919" i="2"/>
  <c r="K2920" i="2"/>
  <c r="L2920" i="2"/>
  <c r="N2920" i="2"/>
  <c r="K2921" i="2"/>
  <c r="L2921" i="2"/>
  <c r="N2921" i="2"/>
  <c r="K2922" i="2"/>
  <c r="L2922" i="2"/>
  <c r="N2922" i="2"/>
  <c r="K2923" i="2"/>
  <c r="L2923" i="2"/>
  <c r="N2923" i="2"/>
  <c r="K2924" i="2"/>
  <c r="L2924" i="2"/>
  <c r="N2924" i="2"/>
  <c r="K2925" i="2"/>
  <c r="L2925" i="2"/>
  <c r="N2925" i="2"/>
  <c r="K2926" i="2"/>
  <c r="L2926" i="2"/>
  <c r="N2926" i="2"/>
  <c r="K2927" i="2"/>
  <c r="L2927" i="2"/>
  <c r="N2927" i="2"/>
  <c r="K2928" i="2"/>
  <c r="L2928" i="2"/>
  <c r="N2928" i="2"/>
  <c r="K2929" i="2"/>
  <c r="L2929" i="2"/>
  <c r="N2929" i="2"/>
  <c r="K2930" i="2"/>
  <c r="L2930" i="2"/>
  <c r="N2930" i="2"/>
  <c r="K2931" i="2"/>
  <c r="L2931" i="2"/>
  <c r="N2931" i="2"/>
  <c r="K2932" i="2"/>
  <c r="L2932" i="2"/>
  <c r="N2932" i="2"/>
  <c r="K2933" i="2"/>
  <c r="L2933" i="2"/>
  <c r="N2933" i="2"/>
  <c r="K2934" i="2"/>
  <c r="L2934" i="2"/>
  <c r="N2934" i="2"/>
  <c r="K2935" i="2"/>
  <c r="L2935" i="2"/>
  <c r="N2935" i="2"/>
  <c r="K2936" i="2"/>
  <c r="L2936" i="2"/>
  <c r="N2936" i="2"/>
  <c r="K2937" i="2"/>
  <c r="L2937" i="2"/>
  <c r="N2937" i="2"/>
  <c r="K2938" i="2"/>
  <c r="L2938" i="2"/>
  <c r="N2938" i="2"/>
  <c r="K2939" i="2"/>
  <c r="L2939" i="2"/>
  <c r="N2939" i="2"/>
  <c r="K2940" i="2"/>
  <c r="L2940" i="2"/>
  <c r="N2940" i="2"/>
  <c r="K2941" i="2"/>
  <c r="L2941" i="2"/>
  <c r="N2941" i="2"/>
  <c r="K2942" i="2"/>
  <c r="L2942" i="2"/>
  <c r="N2942" i="2"/>
  <c r="K2943" i="2"/>
  <c r="L2943" i="2"/>
  <c r="N2943" i="2"/>
  <c r="K2944" i="2"/>
  <c r="L2944" i="2"/>
  <c r="N2944" i="2"/>
  <c r="K2945" i="2"/>
  <c r="L2945" i="2"/>
  <c r="N2945" i="2"/>
  <c r="K2946" i="2"/>
  <c r="L2946" i="2"/>
  <c r="N2946" i="2"/>
  <c r="K2947" i="2"/>
  <c r="L2947" i="2"/>
  <c r="N2947" i="2"/>
  <c r="K2948" i="2"/>
  <c r="L2948" i="2"/>
  <c r="N2948" i="2"/>
  <c r="K2949" i="2"/>
  <c r="L2949" i="2"/>
  <c r="N2949" i="2"/>
  <c r="K2950" i="2"/>
  <c r="L2950" i="2"/>
  <c r="N2950" i="2"/>
  <c r="K2951" i="2"/>
  <c r="L2951" i="2"/>
  <c r="N2951" i="2"/>
  <c r="K2952" i="2"/>
  <c r="L2952" i="2"/>
  <c r="N2952" i="2"/>
  <c r="K2953" i="2"/>
  <c r="L2953" i="2"/>
  <c r="N2953" i="2"/>
  <c r="K2954" i="2"/>
  <c r="L2954" i="2"/>
  <c r="N2954" i="2"/>
  <c r="K2955" i="2"/>
  <c r="L2955" i="2"/>
  <c r="N2955" i="2"/>
  <c r="K2956" i="2"/>
  <c r="L2956" i="2"/>
  <c r="N2956" i="2"/>
  <c r="K2957" i="2"/>
  <c r="L2957" i="2"/>
  <c r="N2957" i="2"/>
  <c r="K2958" i="2"/>
  <c r="L2958" i="2"/>
  <c r="N2958" i="2"/>
  <c r="K2959" i="2"/>
  <c r="L2959" i="2"/>
  <c r="N2959" i="2"/>
  <c r="K2960" i="2"/>
  <c r="L2960" i="2"/>
  <c r="N2960" i="2"/>
  <c r="K2961" i="2"/>
  <c r="L2961" i="2"/>
  <c r="N2961" i="2"/>
  <c r="K2962" i="2"/>
  <c r="L2962" i="2"/>
  <c r="N2962" i="2"/>
  <c r="K2963" i="2"/>
  <c r="L2963" i="2"/>
  <c r="N2963" i="2"/>
  <c r="K2964" i="2"/>
  <c r="L2964" i="2"/>
  <c r="N2964" i="2"/>
  <c r="K2965" i="2"/>
  <c r="L2965" i="2"/>
  <c r="N2965" i="2"/>
  <c r="K2966" i="2"/>
  <c r="L2966" i="2"/>
  <c r="N2966" i="2"/>
  <c r="K2967" i="2"/>
  <c r="L2967" i="2"/>
  <c r="N2967" i="2"/>
  <c r="K2968" i="2"/>
  <c r="L2968" i="2"/>
  <c r="N2968" i="2"/>
  <c r="K2969" i="2"/>
  <c r="L2969" i="2"/>
  <c r="N2969" i="2"/>
  <c r="K2970" i="2"/>
  <c r="L2970" i="2"/>
  <c r="N2970" i="2"/>
  <c r="K2971" i="2"/>
  <c r="L2971" i="2"/>
  <c r="N2971" i="2"/>
  <c r="K2972" i="2"/>
  <c r="L2972" i="2"/>
  <c r="N2972" i="2"/>
  <c r="K2973" i="2"/>
  <c r="L2973" i="2"/>
  <c r="N2973" i="2"/>
  <c r="K2974" i="2"/>
  <c r="L2974" i="2"/>
  <c r="N2974" i="2"/>
  <c r="K2975" i="2"/>
  <c r="L2975" i="2"/>
  <c r="N2975" i="2"/>
  <c r="K2976" i="2"/>
  <c r="L2976" i="2"/>
  <c r="N2976" i="2"/>
  <c r="K2977" i="2"/>
  <c r="L2977" i="2"/>
  <c r="N2977" i="2"/>
  <c r="K2978" i="2"/>
  <c r="L2978" i="2"/>
  <c r="N2978" i="2"/>
  <c r="K2979" i="2"/>
  <c r="L2979" i="2"/>
  <c r="N2979" i="2"/>
  <c r="K2980" i="2"/>
  <c r="L2980" i="2"/>
  <c r="N2980" i="2"/>
  <c r="K2981" i="2"/>
  <c r="L2981" i="2"/>
  <c r="N2981" i="2"/>
  <c r="K2982" i="2"/>
  <c r="L2982" i="2"/>
  <c r="N2982" i="2"/>
  <c r="K2983" i="2"/>
  <c r="L2983" i="2"/>
  <c r="N2983" i="2"/>
  <c r="K2984" i="2"/>
  <c r="L2984" i="2"/>
  <c r="N2984" i="2"/>
  <c r="K2985" i="2"/>
  <c r="L2985" i="2"/>
  <c r="N2985" i="2"/>
  <c r="K2986" i="2"/>
  <c r="L2986" i="2"/>
  <c r="N2986" i="2"/>
  <c r="K2987" i="2"/>
  <c r="L2987" i="2"/>
  <c r="N2987" i="2"/>
  <c r="K2988" i="2"/>
  <c r="L2988" i="2"/>
  <c r="N2988" i="2"/>
  <c r="K2989" i="2"/>
  <c r="L2989" i="2"/>
  <c r="N2989" i="2"/>
  <c r="K2990" i="2"/>
  <c r="L2990" i="2"/>
  <c r="N2990" i="2"/>
  <c r="K2991" i="2"/>
  <c r="L2991" i="2"/>
  <c r="N2991" i="2"/>
  <c r="K2992" i="2"/>
  <c r="L2992" i="2"/>
  <c r="N2992" i="2"/>
  <c r="K2993" i="2"/>
  <c r="L2993" i="2"/>
  <c r="N2993" i="2"/>
  <c r="K2994" i="2"/>
  <c r="L2994" i="2"/>
  <c r="N2994" i="2"/>
  <c r="K2995" i="2"/>
  <c r="L2995" i="2"/>
  <c r="N2995" i="2"/>
  <c r="K2996" i="2"/>
  <c r="L2996" i="2"/>
  <c r="N2996" i="2"/>
  <c r="K2997" i="2"/>
  <c r="L2997" i="2"/>
  <c r="N2997" i="2"/>
  <c r="K2998" i="2"/>
  <c r="L2998" i="2"/>
  <c r="N2998" i="2"/>
  <c r="K2999" i="2"/>
  <c r="L2999" i="2"/>
  <c r="N2999" i="2"/>
  <c r="K3000" i="2"/>
  <c r="L3000" i="2"/>
  <c r="N3000" i="2"/>
  <c r="K3001" i="2"/>
  <c r="L3001" i="2"/>
  <c r="N3001" i="2"/>
  <c r="K3002" i="2"/>
  <c r="L3002" i="2"/>
  <c r="N3002" i="2"/>
  <c r="K3003" i="2"/>
  <c r="L3003" i="2"/>
  <c r="N3003" i="2"/>
  <c r="K3004" i="2"/>
  <c r="L3004" i="2"/>
  <c r="N3004" i="2"/>
  <c r="K3005" i="2"/>
  <c r="L3005" i="2"/>
  <c r="N3005" i="2"/>
  <c r="K3006" i="2"/>
  <c r="L3006" i="2"/>
  <c r="N3006" i="2"/>
  <c r="K3007" i="2"/>
  <c r="L3007" i="2"/>
  <c r="N3007" i="2"/>
  <c r="K3008" i="2"/>
  <c r="L3008" i="2"/>
  <c r="N3008" i="2"/>
  <c r="K3009" i="2"/>
  <c r="L3009" i="2"/>
  <c r="N3009" i="2"/>
  <c r="K3010" i="2"/>
  <c r="L3010" i="2"/>
  <c r="N3010" i="2"/>
  <c r="K3011" i="2"/>
  <c r="L3011" i="2"/>
  <c r="N3011" i="2"/>
  <c r="K3012" i="2"/>
  <c r="L3012" i="2"/>
  <c r="N3012" i="2"/>
  <c r="K3013" i="2"/>
  <c r="L3013" i="2"/>
  <c r="N3013" i="2"/>
  <c r="K3014" i="2"/>
  <c r="L3014" i="2"/>
  <c r="N3014" i="2"/>
  <c r="K3015" i="2"/>
  <c r="L3015" i="2"/>
  <c r="N3015" i="2"/>
  <c r="K3016" i="2"/>
  <c r="L3016" i="2"/>
  <c r="N3016" i="2"/>
  <c r="K3017" i="2"/>
  <c r="L3017" i="2"/>
  <c r="N3017" i="2"/>
  <c r="K3018" i="2"/>
  <c r="L3018" i="2"/>
  <c r="N3018" i="2"/>
  <c r="K3019" i="2"/>
  <c r="L3019" i="2"/>
  <c r="N3019" i="2"/>
  <c r="K3020" i="2"/>
  <c r="L3020" i="2"/>
  <c r="N3020" i="2"/>
  <c r="K3021" i="2"/>
  <c r="L3021" i="2"/>
  <c r="N3021" i="2"/>
  <c r="K3022" i="2"/>
  <c r="L3022" i="2"/>
  <c r="N3022" i="2"/>
  <c r="K3023" i="2"/>
  <c r="L3023" i="2"/>
  <c r="N3023" i="2"/>
  <c r="K3024" i="2"/>
  <c r="L3024" i="2"/>
  <c r="N3024" i="2"/>
  <c r="K3025" i="2"/>
  <c r="L3025" i="2"/>
  <c r="N3025" i="2"/>
  <c r="K3026" i="2"/>
  <c r="L3026" i="2"/>
  <c r="N3026" i="2"/>
  <c r="K3027" i="2"/>
  <c r="L3027" i="2"/>
  <c r="N3027" i="2"/>
  <c r="K3028" i="2"/>
  <c r="L3028" i="2"/>
  <c r="N3028" i="2"/>
  <c r="K3029" i="2"/>
  <c r="L3029" i="2"/>
  <c r="N3029" i="2"/>
  <c r="K3030" i="2"/>
  <c r="L3030" i="2"/>
  <c r="N3030" i="2"/>
  <c r="K3031" i="2"/>
  <c r="L3031" i="2"/>
  <c r="N3031" i="2"/>
  <c r="K3032" i="2"/>
  <c r="L3032" i="2"/>
  <c r="N3032" i="2"/>
  <c r="K3033" i="2"/>
  <c r="L3033" i="2"/>
  <c r="N3033" i="2"/>
  <c r="K3034" i="2"/>
  <c r="L3034" i="2"/>
  <c r="N3034" i="2"/>
  <c r="K3035" i="2"/>
  <c r="L3035" i="2"/>
  <c r="N3035" i="2"/>
  <c r="K3036" i="2"/>
  <c r="L3036" i="2"/>
  <c r="N3036" i="2"/>
  <c r="K3037" i="2"/>
  <c r="L3037" i="2"/>
  <c r="N3037" i="2"/>
  <c r="K3038" i="2"/>
  <c r="L3038" i="2"/>
  <c r="N3038" i="2"/>
  <c r="K3039" i="2"/>
  <c r="L3039" i="2"/>
  <c r="N3039" i="2"/>
  <c r="K3040" i="2"/>
  <c r="L3040" i="2"/>
  <c r="N3040" i="2"/>
  <c r="K3041" i="2"/>
  <c r="L3041" i="2"/>
  <c r="N3041" i="2"/>
  <c r="K3042" i="2"/>
  <c r="L3042" i="2"/>
  <c r="N3042" i="2"/>
  <c r="K3043" i="2"/>
  <c r="L3043" i="2"/>
  <c r="N3043" i="2"/>
  <c r="L3044" i="2"/>
  <c r="N3044" i="2"/>
  <c r="K3045" i="2"/>
  <c r="L3045" i="2"/>
  <c r="N3045" i="2"/>
  <c r="K3046" i="2"/>
  <c r="L3046" i="2"/>
  <c r="N3046" i="2"/>
  <c r="K3047" i="2"/>
  <c r="L3047" i="2"/>
  <c r="N3047" i="2"/>
  <c r="K3048" i="2"/>
  <c r="L3048" i="2"/>
  <c r="N3048" i="2"/>
  <c r="K3049" i="2"/>
  <c r="L3049" i="2"/>
  <c r="N3049" i="2"/>
  <c r="K3050" i="2"/>
  <c r="L3050" i="2"/>
  <c r="N3050" i="2"/>
  <c r="K3051" i="2"/>
  <c r="L3051" i="2"/>
  <c r="N3051" i="2"/>
  <c r="K3052" i="2"/>
  <c r="L3052" i="2"/>
  <c r="N3052" i="2"/>
  <c r="K3053" i="2"/>
  <c r="L3053" i="2"/>
  <c r="N3053" i="2"/>
  <c r="K3054" i="2"/>
  <c r="L3054" i="2"/>
  <c r="N3054" i="2"/>
  <c r="K3055" i="2"/>
  <c r="L3055" i="2"/>
  <c r="N3055" i="2"/>
  <c r="K3056" i="2"/>
  <c r="L3056" i="2"/>
  <c r="N3056" i="2"/>
  <c r="K3057" i="2"/>
  <c r="L3057" i="2"/>
  <c r="N3057" i="2"/>
  <c r="K3058" i="2"/>
  <c r="L3058" i="2"/>
  <c r="N3058" i="2"/>
  <c r="K3059" i="2"/>
  <c r="L3059" i="2"/>
  <c r="N3059" i="2"/>
  <c r="K3060" i="2"/>
  <c r="L3060" i="2"/>
  <c r="N3060" i="2"/>
  <c r="K3061" i="2"/>
  <c r="L3061" i="2"/>
  <c r="N3061" i="2"/>
  <c r="K3062" i="2"/>
  <c r="L3062" i="2"/>
  <c r="N3062" i="2"/>
  <c r="K3063" i="2"/>
  <c r="L3063" i="2"/>
  <c r="N3063" i="2"/>
  <c r="K3064" i="2"/>
  <c r="L3064" i="2"/>
  <c r="N3064" i="2"/>
  <c r="K3065" i="2"/>
  <c r="L3065" i="2"/>
  <c r="N3065" i="2"/>
  <c r="K3066" i="2"/>
  <c r="L3066" i="2"/>
  <c r="N3066" i="2"/>
  <c r="K3067" i="2"/>
  <c r="L3067" i="2"/>
  <c r="N3067" i="2"/>
  <c r="K3068" i="2"/>
  <c r="L3068" i="2"/>
  <c r="N3068" i="2"/>
  <c r="K3069" i="2"/>
  <c r="L3069" i="2"/>
  <c r="N3069" i="2"/>
  <c r="K3070" i="2"/>
  <c r="L3070" i="2"/>
  <c r="N3070" i="2"/>
  <c r="K3071" i="2"/>
  <c r="L3071" i="2"/>
  <c r="N3071" i="2"/>
  <c r="K3072" i="2"/>
  <c r="L3072" i="2"/>
  <c r="N3072" i="2"/>
  <c r="K3073" i="2"/>
  <c r="L3073" i="2"/>
  <c r="N3073" i="2"/>
  <c r="K3074" i="2"/>
  <c r="L3074" i="2"/>
  <c r="N3074" i="2"/>
  <c r="K3075" i="2"/>
  <c r="L3075" i="2"/>
  <c r="N3075" i="2"/>
  <c r="K3076" i="2"/>
  <c r="L3076" i="2"/>
  <c r="N3076" i="2"/>
  <c r="K3077" i="2"/>
  <c r="L3077" i="2"/>
  <c r="N3077" i="2"/>
  <c r="K3078" i="2"/>
  <c r="L3078" i="2"/>
  <c r="N3078" i="2"/>
  <c r="K3079" i="2"/>
  <c r="L3079" i="2"/>
  <c r="N3079" i="2"/>
  <c r="K3080" i="2"/>
  <c r="L3080" i="2"/>
  <c r="N3080" i="2"/>
  <c r="K3081" i="2"/>
  <c r="L3081" i="2"/>
  <c r="N3081" i="2"/>
  <c r="K3082" i="2"/>
  <c r="L3082" i="2"/>
  <c r="N3082" i="2"/>
  <c r="K3083" i="2"/>
  <c r="L3083" i="2"/>
  <c r="N3083" i="2"/>
  <c r="K3084" i="2"/>
  <c r="L3084" i="2"/>
  <c r="N3084" i="2"/>
  <c r="K3085" i="2"/>
  <c r="L3085" i="2"/>
  <c r="N3085" i="2"/>
  <c r="K3086" i="2"/>
  <c r="L3086" i="2"/>
  <c r="N3086" i="2"/>
  <c r="K3087" i="2"/>
  <c r="L3087" i="2"/>
  <c r="N3087" i="2"/>
  <c r="K3088" i="2"/>
  <c r="L3088" i="2"/>
  <c r="N3088" i="2"/>
  <c r="K3089" i="2"/>
  <c r="L3089" i="2"/>
  <c r="N3089" i="2"/>
  <c r="K3090" i="2"/>
  <c r="L3090" i="2"/>
  <c r="N3090" i="2"/>
  <c r="K3091" i="2"/>
  <c r="L3091" i="2"/>
  <c r="N3091" i="2"/>
  <c r="K3092" i="2"/>
  <c r="L3092" i="2"/>
  <c r="N3092" i="2"/>
  <c r="K3093" i="2"/>
  <c r="L3093" i="2"/>
  <c r="N3093" i="2"/>
  <c r="K3094" i="2"/>
  <c r="L3094" i="2"/>
  <c r="N3094" i="2"/>
  <c r="K3095" i="2"/>
  <c r="L3095" i="2"/>
  <c r="N3095" i="2"/>
  <c r="K3096" i="2"/>
  <c r="L3096" i="2"/>
  <c r="N3096" i="2"/>
  <c r="K3097" i="2"/>
  <c r="L3097" i="2"/>
  <c r="N3097" i="2"/>
  <c r="K3098" i="2"/>
  <c r="L3098" i="2"/>
  <c r="N3098" i="2"/>
  <c r="K3099" i="2"/>
  <c r="L3099" i="2"/>
  <c r="N3099" i="2"/>
  <c r="K3100" i="2"/>
  <c r="L3100" i="2"/>
  <c r="N3100" i="2"/>
  <c r="K3101" i="2"/>
  <c r="L3101" i="2"/>
  <c r="N3101" i="2"/>
  <c r="K3102" i="2"/>
  <c r="L3102" i="2"/>
  <c r="N3102" i="2"/>
  <c r="K3103" i="2"/>
  <c r="L3103" i="2"/>
  <c r="N3103" i="2"/>
  <c r="K3104" i="2"/>
  <c r="L3104" i="2"/>
  <c r="N3104" i="2"/>
  <c r="K3105" i="2"/>
  <c r="L3105" i="2"/>
  <c r="N3105" i="2"/>
  <c r="K3106" i="2"/>
  <c r="L3106" i="2"/>
  <c r="N3106" i="2"/>
  <c r="K3107" i="2"/>
  <c r="L3107" i="2"/>
  <c r="N3107" i="2"/>
  <c r="K3108" i="2"/>
  <c r="L3108" i="2"/>
  <c r="N3108" i="2"/>
  <c r="K3109" i="2"/>
  <c r="L3109" i="2"/>
  <c r="N3109" i="2"/>
  <c r="K3110" i="2"/>
  <c r="L3110" i="2"/>
  <c r="N3110" i="2"/>
  <c r="K3111" i="2"/>
  <c r="L3111" i="2"/>
  <c r="N3111" i="2"/>
  <c r="K3112" i="2"/>
  <c r="L3112" i="2"/>
  <c r="N3112" i="2"/>
  <c r="K3113" i="2"/>
  <c r="L3113" i="2"/>
  <c r="N3113" i="2"/>
  <c r="K3114" i="2"/>
  <c r="L3114" i="2"/>
  <c r="N3114" i="2"/>
  <c r="K3115" i="2"/>
  <c r="L3115" i="2"/>
  <c r="N3115" i="2"/>
  <c r="K3116" i="2"/>
  <c r="L3116" i="2"/>
  <c r="N3116" i="2"/>
  <c r="K3117" i="2"/>
  <c r="L3117" i="2"/>
  <c r="N3117" i="2"/>
  <c r="K3118" i="2"/>
  <c r="L3118" i="2"/>
  <c r="N3118" i="2"/>
  <c r="K3119" i="2"/>
  <c r="L3119" i="2"/>
  <c r="N3119" i="2"/>
  <c r="K3120" i="2"/>
  <c r="L3120" i="2"/>
  <c r="N3120" i="2"/>
  <c r="K3121" i="2"/>
  <c r="L3121" i="2"/>
  <c r="N3121" i="2"/>
  <c r="K3122" i="2"/>
  <c r="L3122" i="2"/>
  <c r="N3122" i="2"/>
  <c r="K3123" i="2"/>
  <c r="L3123" i="2"/>
  <c r="N3123" i="2"/>
  <c r="K3124" i="2"/>
  <c r="L3124" i="2"/>
  <c r="N3124" i="2"/>
  <c r="K3125" i="2"/>
  <c r="L3125" i="2"/>
  <c r="N3125" i="2"/>
  <c r="K3126" i="2"/>
  <c r="L3126" i="2"/>
  <c r="N3126" i="2"/>
  <c r="K3127" i="2"/>
  <c r="L3127" i="2"/>
  <c r="N3127" i="2"/>
  <c r="K3128" i="2"/>
  <c r="L3128" i="2"/>
  <c r="N3128" i="2"/>
  <c r="K3129" i="2"/>
  <c r="L3129" i="2"/>
  <c r="N3129" i="2"/>
  <c r="K3130" i="2"/>
  <c r="L3130" i="2"/>
  <c r="N3130" i="2"/>
  <c r="K3131" i="2"/>
  <c r="L3131" i="2"/>
  <c r="N3131" i="2"/>
  <c r="K3132" i="2"/>
  <c r="L3132" i="2"/>
  <c r="N3132" i="2"/>
  <c r="K3133" i="2"/>
  <c r="L3133" i="2"/>
  <c r="N3133" i="2"/>
  <c r="K3134" i="2"/>
  <c r="L3134" i="2"/>
  <c r="N3134" i="2"/>
  <c r="K3135" i="2"/>
  <c r="L3135" i="2"/>
  <c r="N3135" i="2"/>
  <c r="K3136" i="2"/>
  <c r="L3136" i="2"/>
  <c r="N3136" i="2"/>
  <c r="K3137" i="2"/>
  <c r="L3137" i="2"/>
  <c r="N3137" i="2"/>
  <c r="K3138" i="2"/>
  <c r="L3138" i="2"/>
  <c r="N3138" i="2"/>
  <c r="K3139" i="2"/>
  <c r="L3139" i="2"/>
  <c r="N3139" i="2"/>
  <c r="K3140" i="2"/>
  <c r="L3140" i="2"/>
  <c r="N3140" i="2"/>
  <c r="K3141" i="2"/>
  <c r="L3141" i="2"/>
  <c r="N3141" i="2"/>
  <c r="K3142" i="2"/>
  <c r="L3142" i="2"/>
  <c r="N3142" i="2"/>
  <c r="K3143" i="2"/>
  <c r="L3143" i="2"/>
  <c r="N3143" i="2"/>
  <c r="K3144" i="2"/>
  <c r="L3144" i="2"/>
  <c r="N3144" i="2"/>
  <c r="K3145" i="2"/>
  <c r="L3145" i="2"/>
  <c r="N3145" i="2"/>
  <c r="K3146" i="2"/>
  <c r="L3146" i="2"/>
  <c r="N3146" i="2"/>
  <c r="K3147" i="2"/>
  <c r="L3147" i="2"/>
  <c r="N3147" i="2"/>
  <c r="K3148" i="2"/>
  <c r="L3148" i="2"/>
  <c r="N3148" i="2"/>
  <c r="K3149" i="2"/>
  <c r="L3149" i="2"/>
  <c r="N3149" i="2"/>
  <c r="K3150" i="2"/>
  <c r="L3150" i="2"/>
  <c r="N3150" i="2"/>
  <c r="K3151" i="2"/>
  <c r="L3151" i="2"/>
  <c r="N3151" i="2"/>
  <c r="K3152" i="2"/>
  <c r="L3152" i="2"/>
  <c r="N3152" i="2"/>
  <c r="K3153" i="2"/>
  <c r="L3153" i="2"/>
  <c r="N3153" i="2"/>
  <c r="K3154" i="2"/>
  <c r="L3154" i="2"/>
  <c r="N3154" i="2"/>
  <c r="K3155" i="2"/>
  <c r="L3155" i="2"/>
  <c r="N3155" i="2"/>
  <c r="K3156" i="2"/>
  <c r="L3156" i="2"/>
  <c r="N3156" i="2"/>
  <c r="K3157" i="2"/>
  <c r="L3157" i="2"/>
  <c r="N3157" i="2"/>
  <c r="K3158" i="2"/>
  <c r="L3158" i="2"/>
  <c r="N3158" i="2"/>
  <c r="K3159" i="2"/>
  <c r="L3159" i="2"/>
  <c r="N3159" i="2"/>
  <c r="K3160" i="2"/>
  <c r="L3160" i="2"/>
  <c r="N3160" i="2"/>
  <c r="K3161" i="2"/>
  <c r="L3161" i="2"/>
  <c r="N3161" i="2"/>
  <c r="K3162" i="2"/>
  <c r="L3162" i="2"/>
  <c r="N3162" i="2"/>
  <c r="K3163" i="2"/>
  <c r="L3163" i="2"/>
  <c r="N3163" i="2"/>
  <c r="K3164" i="2"/>
  <c r="L3164" i="2"/>
  <c r="N3164" i="2"/>
  <c r="K3165" i="2"/>
  <c r="L3165" i="2"/>
  <c r="N3165" i="2"/>
  <c r="K3166" i="2"/>
  <c r="L3166" i="2"/>
  <c r="N3166" i="2"/>
  <c r="K3167" i="2"/>
  <c r="L3167" i="2"/>
  <c r="N3167" i="2"/>
  <c r="K3168" i="2"/>
  <c r="L3168" i="2"/>
  <c r="N3168" i="2"/>
  <c r="K3169" i="2"/>
  <c r="L3169" i="2"/>
  <c r="N3169" i="2"/>
  <c r="K3170" i="2"/>
  <c r="L3170" i="2"/>
  <c r="N3170" i="2"/>
  <c r="K3171" i="2"/>
  <c r="L3171" i="2"/>
  <c r="N3171" i="2"/>
  <c r="K3172" i="2"/>
  <c r="L3172" i="2"/>
  <c r="N3172" i="2"/>
  <c r="K3173" i="2"/>
  <c r="L3173" i="2"/>
  <c r="N3173" i="2"/>
  <c r="K3174" i="2"/>
  <c r="L3174" i="2"/>
  <c r="N3174" i="2"/>
  <c r="K3175" i="2"/>
  <c r="L3175" i="2"/>
  <c r="N3175" i="2"/>
  <c r="K3176" i="2"/>
  <c r="L3176" i="2"/>
  <c r="N3176" i="2"/>
  <c r="K3177" i="2"/>
  <c r="L3177" i="2"/>
  <c r="N3177" i="2"/>
  <c r="K3178" i="2"/>
  <c r="L3178" i="2"/>
  <c r="N3178" i="2"/>
  <c r="K3179" i="2"/>
  <c r="L3179" i="2"/>
  <c r="N3179" i="2"/>
  <c r="K3180" i="2"/>
  <c r="L3180" i="2"/>
  <c r="N3180" i="2"/>
  <c r="K3181" i="2"/>
  <c r="L3181" i="2"/>
  <c r="N3181" i="2"/>
  <c r="K3182" i="2"/>
  <c r="L3182" i="2"/>
  <c r="N3182" i="2"/>
  <c r="K3183" i="2"/>
  <c r="L3183" i="2"/>
  <c r="N3183" i="2"/>
  <c r="K3184" i="2"/>
  <c r="L3184" i="2"/>
  <c r="N3184" i="2"/>
  <c r="K3185" i="2"/>
  <c r="L3185" i="2"/>
  <c r="N3185" i="2"/>
  <c r="K3186" i="2"/>
  <c r="L3186" i="2"/>
  <c r="N3186" i="2"/>
  <c r="K3187" i="2"/>
  <c r="L3187" i="2"/>
  <c r="N3187" i="2"/>
  <c r="K3188" i="2"/>
  <c r="L3188" i="2"/>
  <c r="N3188" i="2"/>
  <c r="K3189" i="2"/>
  <c r="L3189" i="2"/>
  <c r="N3189" i="2"/>
  <c r="K3190" i="2"/>
  <c r="L3190" i="2"/>
  <c r="N3190" i="2"/>
  <c r="K3191" i="2"/>
  <c r="L3191" i="2"/>
  <c r="N3191" i="2"/>
  <c r="K3192" i="2"/>
  <c r="L3192" i="2"/>
  <c r="N3192" i="2"/>
  <c r="K3193" i="2"/>
  <c r="L3193" i="2"/>
  <c r="N3193" i="2"/>
  <c r="K3194" i="2"/>
  <c r="L3194" i="2"/>
  <c r="N3194" i="2"/>
  <c r="K3195" i="2"/>
  <c r="L3195" i="2"/>
  <c r="N3195" i="2"/>
  <c r="K3196" i="2"/>
  <c r="L3196" i="2"/>
  <c r="N3196" i="2"/>
  <c r="K3197" i="2"/>
  <c r="L3197" i="2"/>
  <c r="N3197" i="2"/>
  <c r="K3198" i="2"/>
  <c r="L3198" i="2"/>
  <c r="N3198" i="2"/>
  <c r="K3199" i="2"/>
  <c r="L3199" i="2"/>
  <c r="N3199" i="2"/>
  <c r="K3200" i="2"/>
  <c r="L3200" i="2"/>
  <c r="N3200" i="2"/>
  <c r="K3201" i="2"/>
  <c r="L3201" i="2"/>
  <c r="N3201" i="2"/>
  <c r="K3202" i="2"/>
  <c r="L3202" i="2"/>
  <c r="N3202" i="2"/>
  <c r="K3203" i="2"/>
  <c r="L3203" i="2"/>
  <c r="N3203" i="2"/>
  <c r="K3204" i="2"/>
  <c r="L3204" i="2"/>
  <c r="N3204" i="2"/>
  <c r="K3205" i="2"/>
  <c r="L3205" i="2"/>
  <c r="N3205" i="2"/>
  <c r="K3206" i="2"/>
  <c r="L3206" i="2"/>
  <c r="N3206" i="2"/>
  <c r="K3207" i="2"/>
  <c r="L3207" i="2"/>
  <c r="N3207" i="2"/>
  <c r="K3208" i="2"/>
  <c r="L3208" i="2"/>
  <c r="N3208" i="2"/>
  <c r="K3209" i="2"/>
  <c r="L3209" i="2"/>
  <c r="N3209" i="2"/>
  <c r="K3210" i="2"/>
  <c r="L3210" i="2"/>
  <c r="N3210" i="2"/>
  <c r="K3211" i="2"/>
  <c r="L3211" i="2"/>
  <c r="N3211" i="2"/>
  <c r="K3212" i="2"/>
  <c r="L3212" i="2"/>
  <c r="N3212" i="2"/>
  <c r="K3213" i="2"/>
  <c r="L3213" i="2"/>
  <c r="N3213" i="2"/>
  <c r="K3214" i="2"/>
  <c r="L3214" i="2"/>
  <c r="N3214" i="2"/>
  <c r="K3215" i="2"/>
  <c r="L3215" i="2"/>
  <c r="N3215" i="2"/>
  <c r="K3216" i="2"/>
  <c r="L3216" i="2"/>
  <c r="N3216" i="2"/>
  <c r="K3217" i="2"/>
  <c r="L3217" i="2"/>
  <c r="N3217" i="2"/>
  <c r="K3218" i="2"/>
  <c r="L3218" i="2"/>
  <c r="N3218" i="2"/>
  <c r="K3219" i="2"/>
  <c r="L3219" i="2"/>
  <c r="N3219" i="2"/>
  <c r="K3220" i="2"/>
  <c r="L3220" i="2"/>
  <c r="N3220" i="2"/>
  <c r="K3221" i="2"/>
  <c r="L3221" i="2"/>
  <c r="N3221" i="2"/>
  <c r="K3222" i="2"/>
  <c r="L3222" i="2"/>
  <c r="N3222" i="2"/>
  <c r="K3223" i="2"/>
  <c r="L3223" i="2"/>
  <c r="N3223" i="2"/>
  <c r="K3224" i="2"/>
  <c r="L3224" i="2"/>
  <c r="N3224" i="2"/>
  <c r="K3225" i="2"/>
  <c r="L3225" i="2"/>
  <c r="N3225" i="2"/>
  <c r="K3226" i="2"/>
  <c r="L3226" i="2"/>
  <c r="N3226" i="2"/>
  <c r="K3227" i="2"/>
  <c r="L3227" i="2"/>
  <c r="N3227" i="2"/>
  <c r="K3228" i="2"/>
  <c r="L3228" i="2"/>
  <c r="N3228" i="2"/>
  <c r="K3229" i="2"/>
  <c r="L3229" i="2"/>
  <c r="N3229" i="2"/>
  <c r="K3230" i="2"/>
  <c r="L3230" i="2"/>
  <c r="N3230" i="2"/>
  <c r="K3231" i="2"/>
  <c r="L3231" i="2"/>
  <c r="N3231" i="2"/>
  <c r="K3232" i="2"/>
  <c r="L3232" i="2"/>
  <c r="N3232" i="2"/>
  <c r="K3233" i="2"/>
  <c r="L3233" i="2"/>
  <c r="N3233" i="2"/>
  <c r="K3234" i="2"/>
  <c r="L3234" i="2"/>
  <c r="N3234" i="2"/>
  <c r="K3235" i="2"/>
  <c r="L3235" i="2"/>
  <c r="N3235" i="2"/>
  <c r="K3236" i="2"/>
  <c r="L3236" i="2"/>
  <c r="N3236" i="2"/>
  <c r="K3237" i="2"/>
  <c r="L3237" i="2"/>
  <c r="N3237" i="2"/>
  <c r="K3238" i="2"/>
  <c r="L3238" i="2"/>
  <c r="N3238" i="2"/>
  <c r="K3239" i="2"/>
  <c r="L3239" i="2"/>
  <c r="N3239" i="2"/>
  <c r="K3240" i="2"/>
  <c r="L3240" i="2"/>
  <c r="N3240" i="2"/>
  <c r="K3241" i="2"/>
  <c r="L3241" i="2"/>
  <c r="N3241" i="2"/>
  <c r="K3242" i="2"/>
  <c r="L3242" i="2"/>
  <c r="N3242" i="2"/>
  <c r="K3243" i="2"/>
  <c r="L3243" i="2"/>
  <c r="N3243" i="2"/>
  <c r="K3244" i="2"/>
  <c r="L3244" i="2"/>
  <c r="N3244" i="2"/>
  <c r="K3245" i="2"/>
  <c r="L3245" i="2"/>
  <c r="N3245" i="2"/>
  <c r="K3246" i="2"/>
  <c r="L3246" i="2"/>
  <c r="N3246" i="2"/>
  <c r="K3247" i="2"/>
  <c r="L3247" i="2"/>
  <c r="N3247" i="2"/>
  <c r="K3248" i="2"/>
  <c r="L3248" i="2"/>
  <c r="N3248" i="2"/>
  <c r="K3249" i="2"/>
  <c r="L3249" i="2"/>
  <c r="N3249" i="2"/>
  <c r="K3250" i="2"/>
  <c r="L3250" i="2"/>
  <c r="N3250" i="2"/>
  <c r="K3251" i="2"/>
  <c r="L3251" i="2"/>
  <c r="N3251" i="2"/>
  <c r="K3252" i="2"/>
  <c r="L3252" i="2"/>
  <c r="N3252" i="2"/>
  <c r="K3253" i="2"/>
  <c r="L3253" i="2"/>
  <c r="N3253" i="2"/>
  <c r="K3254" i="2"/>
  <c r="L3254" i="2"/>
  <c r="N3254" i="2"/>
  <c r="K3255" i="2"/>
  <c r="L3255" i="2"/>
  <c r="N3255" i="2"/>
  <c r="K3256" i="2"/>
  <c r="L3256" i="2"/>
  <c r="N3256" i="2"/>
  <c r="K3257" i="2"/>
  <c r="L3257" i="2"/>
  <c r="N3257" i="2"/>
  <c r="K3258" i="2"/>
  <c r="L3258" i="2"/>
  <c r="N3258" i="2"/>
  <c r="K3259" i="2"/>
  <c r="L3259" i="2"/>
  <c r="N3259" i="2"/>
  <c r="K3260" i="2"/>
  <c r="L3260" i="2"/>
  <c r="N3260" i="2"/>
  <c r="K3261" i="2"/>
  <c r="L3261" i="2"/>
  <c r="N3261" i="2"/>
  <c r="K3262" i="2"/>
  <c r="L3262" i="2"/>
  <c r="N3262" i="2"/>
  <c r="K3263" i="2"/>
  <c r="L3263" i="2"/>
  <c r="N3263" i="2"/>
  <c r="K3264" i="2"/>
  <c r="L3264" i="2"/>
  <c r="N3264" i="2"/>
  <c r="K3265" i="2"/>
  <c r="L3265" i="2"/>
  <c r="N3265" i="2"/>
  <c r="K3266" i="2"/>
  <c r="L3266" i="2"/>
  <c r="N3266" i="2"/>
  <c r="K3267" i="2"/>
  <c r="L3267" i="2"/>
  <c r="N3267" i="2"/>
  <c r="K3268" i="2"/>
  <c r="L3268" i="2"/>
  <c r="N3268" i="2"/>
  <c r="K3269" i="2"/>
  <c r="L3269" i="2"/>
  <c r="N3269" i="2"/>
  <c r="K3270" i="2"/>
  <c r="L3270" i="2"/>
  <c r="N3270" i="2"/>
  <c r="K3271" i="2"/>
  <c r="L3271" i="2"/>
  <c r="N3271" i="2"/>
  <c r="K3272" i="2"/>
  <c r="L3272" i="2"/>
  <c r="N3272" i="2"/>
  <c r="K3273" i="2"/>
  <c r="L3273" i="2"/>
  <c r="N3273" i="2"/>
  <c r="K3274" i="2"/>
  <c r="L3274" i="2"/>
  <c r="N3274" i="2"/>
  <c r="K3275" i="2"/>
  <c r="L3275" i="2"/>
  <c r="N3275" i="2"/>
  <c r="K3276" i="2"/>
  <c r="L3276" i="2"/>
  <c r="N3276" i="2"/>
  <c r="K3277" i="2"/>
  <c r="L3277" i="2"/>
  <c r="N3277" i="2"/>
  <c r="K3278" i="2"/>
  <c r="L3278" i="2"/>
  <c r="N3278" i="2"/>
  <c r="K3279" i="2"/>
  <c r="L3279" i="2"/>
  <c r="N3279" i="2"/>
  <c r="K3280" i="2"/>
  <c r="L3280" i="2"/>
  <c r="N3280" i="2"/>
  <c r="K3281" i="2"/>
  <c r="L3281" i="2"/>
  <c r="N3281" i="2"/>
  <c r="K3282" i="2"/>
  <c r="L3282" i="2"/>
  <c r="N3282" i="2"/>
  <c r="K3283" i="2"/>
  <c r="L3283" i="2"/>
  <c r="N3283" i="2"/>
  <c r="K3284" i="2"/>
  <c r="L3284" i="2"/>
  <c r="N3284" i="2"/>
  <c r="K3285" i="2"/>
  <c r="L3285" i="2"/>
  <c r="N3285" i="2"/>
  <c r="K3286" i="2"/>
  <c r="L3286" i="2"/>
  <c r="N3286" i="2"/>
  <c r="K3287" i="2"/>
  <c r="L3287" i="2"/>
  <c r="N3287" i="2"/>
  <c r="K3288" i="2"/>
  <c r="L3288" i="2"/>
  <c r="N3288" i="2"/>
  <c r="K3289" i="2"/>
  <c r="L3289" i="2"/>
  <c r="N3289" i="2"/>
  <c r="K3290" i="2"/>
  <c r="L3290" i="2"/>
  <c r="N3290" i="2"/>
  <c r="K3291" i="2"/>
  <c r="L3291" i="2"/>
  <c r="N3291" i="2"/>
  <c r="K3292" i="2"/>
  <c r="L3292" i="2"/>
  <c r="N3292" i="2"/>
  <c r="K3293" i="2"/>
  <c r="L3293" i="2"/>
  <c r="N3293" i="2"/>
  <c r="K3294" i="2"/>
  <c r="L3294" i="2"/>
  <c r="N3294" i="2"/>
  <c r="K3295" i="2"/>
  <c r="L3295" i="2"/>
  <c r="N3295" i="2"/>
  <c r="K3296" i="2"/>
  <c r="L3296" i="2"/>
  <c r="N3296" i="2"/>
  <c r="K3297" i="2"/>
  <c r="L3297" i="2"/>
  <c r="N3297" i="2"/>
  <c r="K3298" i="2"/>
  <c r="L3298" i="2"/>
  <c r="N3298" i="2"/>
  <c r="K3299" i="2"/>
  <c r="L3299" i="2"/>
  <c r="N3299" i="2"/>
  <c r="K3300" i="2"/>
  <c r="L3300" i="2"/>
  <c r="N3300" i="2"/>
  <c r="K3301" i="2"/>
  <c r="L3301" i="2"/>
  <c r="N3301" i="2"/>
  <c r="K3302" i="2"/>
  <c r="L3302" i="2"/>
  <c r="N3302" i="2"/>
  <c r="K3303" i="2"/>
  <c r="L3303" i="2"/>
  <c r="N3303" i="2"/>
  <c r="K3304" i="2"/>
  <c r="L3304" i="2"/>
  <c r="N3304" i="2"/>
  <c r="K3305" i="2"/>
  <c r="L3305" i="2"/>
  <c r="N3305" i="2"/>
  <c r="K3306" i="2"/>
  <c r="L3306" i="2"/>
  <c r="N3306" i="2"/>
  <c r="K3307" i="2"/>
  <c r="L3307" i="2"/>
  <c r="N3307" i="2"/>
  <c r="K3308" i="2"/>
  <c r="L3308" i="2"/>
  <c r="N3308" i="2"/>
  <c r="K3309" i="2"/>
  <c r="L3309" i="2"/>
  <c r="N3309" i="2"/>
  <c r="K3310" i="2"/>
  <c r="L3310" i="2"/>
  <c r="N3310" i="2"/>
  <c r="K3311" i="2"/>
  <c r="L3311" i="2"/>
  <c r="N3311" i="2"/>
  <c r="K3312" i="2"/>
  <c r="L3312" i="2"/>
  <c r="N3312" i="2"/>
  <c r="K3313" i="2"/>
  <c r="L3313" i="2"/>
  <c r="N3313" i="2"/>
  <c r="K3314" i="2"/>
  <c r="L3314" i="2"/>
  <c r="N3314" i="2"/>
  <c r="K3315" i="2"/>
  <c r="L3315" i="2"/>
  <c r="N3315" i="2"/>
  <c r="K3316" i="2"/>
  <c r="L3316" i="2"/>
  <c r="N3316" i="2"/>
  <c r="K3317" i="2"/>
  <c r="L3317" i="2"/>
  <c r="N3317" i="2"/>
  <c r="K3318" i="2"/>
  <c r="L3318" i="2"/>
  <c r="N3318" i="2"/>
  <c r="K3319" i="2"/>
  <c r="L3319" i="2"/>
  <c r="N3319" i="2"/>
  <c r="K3320" i="2"/>
  <c r="L3320" i="2"/>
  <c r="N3320" i="2"/>
  <c r="K3321" i="2"/>
  <c r="L3321" i="2"/>
  <c r="N3321" i="2"/>
  <c r="K3322" i="2"/>
  <c r="L3322" i="2"/>
  <c r="N3322" i="2"/>
  <c r="K3323" i="2"/>
  <c r="L3323" i="2"/>
  <c r="N3323" i="2"/>
  <c r="K3324" i="2"/>
  <c r="L3324" i="2"/>
  <c r="N3324" i="2"/>
  <c r="K3325" i="2"/>
  <c r="L3325" i="2"/>
  <c r="N3325" i="2"/>
  <c r="K3326" i="2"/>
  <c r="L3326" i="2"/>
  <c r="N3326" i="2"/>
  <c r="K3327" i="2"/>
  <c r="L3327" i="2"/>
  <c r="N3327" i="2"/>
  <c r="K3328" i="2"/>
  <c r="L3328" i="2"/>
  <c r="N3328" i="2"/>
  <c r="K3329" i="2"/>
  <c r="L3329" i="2"/>
  <c r="N3329" i="2"/>
  <c r="K3330" i="2"/>
  <c r="L3330" i="2"/>
  <c r="N3330" i="2"/>
  <c r="K3331" i="2"/>
  <c r="L3331" i="2"/>
  <c r="N3331" i="2"/>
  <c r="K3332" i="2"/>
  <c r="L3332" i="2"/>
  <c r="N3332" i="2"/>
  <c r="K3333" i="2"/>
  <c r="L3333" i="2"/>
  <c r="N3333" i="2"/>
  <c r="K3334" i="2"/>
  <c r="L3334" i="2"/>
  <c r="N3334" i="2"/>
  <c r="K3335" i="2"/>
  <c r="L3335" i="2"/>
  <c r="N3335" i="2"/>
  <c r="K3336" i="2"/>
  <c r="L3336" i="2"/>
  <c r="N3336" i="2"/>
  <c r="K3337" i="2"/>
  <c r="L3337" i="2"/>
  <c r="N3337" i="2"/>
  <c r="K3338" i="2"/>
  <c r="L3338" i="2"/>
  <c r="N3338" i="2"/>
  <c r="K3339" i="2"/>
  <c r="L3339" i="2"/>
  <c r="N3339" i="2"/>
  <c r="K3340" i="2"/>
  <c r="L3340" i="2"/>
  <c r="N3340" i="2"/>
  <c r="K3341" i="2"/>
  <c r="L3341" i="2"/>
  <c r="N3341" i="2"/>
  <c r="K3342" i="2"/>
  <c r="L3342" i="2"/>
  <c r="N3342" i="2"/>
  <c r="K3343" i="2"/>
  <c r="L3343" i="2"/>
  <c r="N3343" i="2"/>
  <c r="K3344" i="2"/>
  <c r="L3344" i="2"/>
  <c r="N3344" i="2"/>
  <c r="K3345" i="2"/>
  <c r="L3345" i="2"/>
  <c r="N3345" i="2"/>
  <c r="K3346" i="2"/>
  <c r="L3346" i="2"/>
  <c r="N3346" i="2"/>
  <c r="K3347" i="2"/>
  <c r="L3347" i="2"/>
  <c r="N3347" i="2"/>
  <c r="K3348" i="2"/>
  <c r="L3348" i="2"/>
  <c r="N3348" i="2"/>
  <c r="K3349" i="2"/>
  <c r="L3349" i="2"/>
  <c r="N3349" i="2"/>
  <c r="K3350" i="2"/>
  <c r="L3350" i="2"/>
  <c r="N3350" i="2"/>
  <c r="K3351" i="2"/>
  <c r="L3351" i="2"/>
  <c r="N3351" i="2"/>
  <c r="K3352" i="2"/>
  <c r="L3352" i="2"/>
  <c r="N3352" i="2"/>
  <c r="K3353" i="2"/>
  <c r="L3353" i="2"/>
  <c r="N3353" i="2"/>
  <c r="K3354" i="2"/>
  <c r="L3354" i="2"/>
  <c r="N3354" i="2"/>
  <c r="K3355" i="2"/>
  <c r="L3355" i="2"/>
  <c r="N3355" i="2"/>
  <c r="K3356" i="2"/>
  <c r="L3356" i="2"/>
  <c r="N3356" i="2"/>
  <c r="K3357" i="2"/>
  <c r="L3357" i="2"/>
  <c r="N3357" i="2"/>
  <c r="K3358" i="2"/>
  <c r="L3358" i="2"/>
  <c r="N3358" i="2"/>
  <c r="K3359" i="2"/>
  <c r="L3359" i="2"/>
  <c r="N3359" i="2"/>
  <c r="K3360" i="2"/>
  <c r="L3360" i="2"/>
  <c r="N3360" i="2"/>
  <c r="K3361" i="2"/>
  <c r="L3361" i="2"/>
  <c r="N3361" i="2"/>
  <c r="K3362" i="2"/>
  <c r="L3362" i="2"/>
  <c r="N3362" i="2"/>
  <c r="K3363" i="2"/>
  <c r="L3363" i="2"/>
  <c r="N3363" i="2"/>
  <c r="K3364" i="2"/>
  <c r="L3364" i="2"/>
  <c r="N3364" i="2"/>
  <c r="K3365" i="2"/>
  <c r="L3365" i="2"/>
  <c r="N3365" i="2"/>
  <c r="K3366" i="2"/>
  <c r="L3366" i="2"/>
  <c r="N3366" i="2"/>
  <c r="K3367" i="2"/>
  <c r="L3367" i="2"/>
  <c r="N3367" i="2"/>
  <c r="K3368" i="2"/>
  <c r="L3368" i="2"/>
  <c r="N3368" i="2"/>
  <c r="K3369" i="2"/>
  <c r="L3369" i="2"/>
  <c r="N3369" i="2"/>
  <c r="K3370" i="2"/>
  <c r="L3370" i="2"/>
  <c r="N3370" i="2"/>
  <c r="K3371" i="2"/>
  <c r="L3371" i="2"/>
  <c r="N3371" i="2"/>
  <c r="K3372" i="2"/>
  <c r="L3372" i="2"/>
  <c r="N3372" i="2"/>
  <c r="K3373" i="2"/>
  <c r="L3373" i="2"/>
  <c r="N3373" i="2"/>
  <c r="K3374" i="2"/>
  <c r="L3374" i="2"/>
  <c r="N3374" i="2"/>
  <c r="K3375" i="2"/>
  <c r="L3375" i="2"/>
  <c r="N3375" i="2"/>
  <c r="K3376" i="2"/>
  <c r="L3376" i="2"/>
  <c r="N3376" i="2"/>
  <c r="K3377" i="2"/>
  <c r="L3377" i="2"/>
  <c r="N3377" i="2"/>
  <c r="K3378" i="2"/>
  <c r="L3378" i="2"/>
  <c r="N3378" i="2"/>
  <c r="K3379" i="2"/>
  <c r="L3379" i="2"/>
  <c r="N3379" i="2"/>
  <c r="K3380" i="2"/>
  <c r="L3380" i="2"/>
  <c r="N3380" i="2"/>
  <c r="K3381" i="2"/>
  <c r="L3381" i="2"/>
  <c r="N3381" i="2"/>
  <c r="K3382" i="2"/>
  <c r="L3382" i="2"/>
  <c r="N3382" i="2"/>
  <c r="K3383" i="2"/>
  <c r="L3383" i="2"/>
  <c r="N3383" i="2"/>
  <c r="K3384" i="2"/>
  <c r="L3384" i="2"/>
  <c r="N3384" i="2"/>
  <c r="K3385" i="2"/>
  <c r="L3385" i="2"/>
  <c r="N3385" i="2"/>
  <c r="K3386" i="2"/>
  <c r="L3386" i="2"/>
  <c r="N3386" i="2"/>
  <c r="K3387" i="2"/>
  <c r="L3387" i="2"/>
  <c r="N3387" i="2"/>
  <c r="K3388" i="2"/>
  <c r="L3388" i="2"/>
  <c r="N3388" i="2"/>
  <c r="K3389" i="2"/>
  <c r="L3389" i="2"/>
  <c r="N3389" i="2"/>
  <c r="K3390" i="2"/>
  <c r="L3390" i="2"/>
  <c r="N3390" i="2"/>
  <c r="K3391" i="2"/>
  <c r="L3391" i="2"/>
  <c r="N3391" i="2"/>
  <c r="K3392" i="2"/>
  <c r="L3392" i="2"/>
  <c r="N3392" i="2"/>
  <c r="K3393" i="2"/>
  <c r="L3393" i="2"/>
  <c r="N3393" i="2"/>
  <c r="K3394" i="2"/>
  <c r="L3394" i="2"/>
  <c r="N3394" i="2"/>
  <c r="K3395" i="2"/>
  <c r="L3395" i="2"/>
  <c r="N3395" i="2"/>
  <c r="K3396" i="2"/>
  <c r="L3396" i="2"/>
  <c r="N3396" i="2"/>
  <c r="K3397" i="2"/>
  <c r="L3397" i="2"/>
  <c r="N3397" i="2"/>
  <c r="K3398" i="2"/>
  <c r="L3398" i="2"/>
  <c r="N3398" i="2"/>
  <c r="K3399" i="2"/>
  <c r="L3399" i="2"/>
  <c r="N3399" i="2"/>
  <c r="K3400" i="2"/>
  <c r="L3400" i="2"/>
  <c r="N3400" i="2"/>
  <c r="K3401" i="2"/>
  <c r="L3401" i="2"/>
  <c r="N3401" i="2"/>
  <c r="K3402" i="2"/>
  <c r="L3402" i="2"/>
  <c r="N3402" i="2"/>
  <c r="K3403" i="2"/>
  <c r="L3403" i="2"/>
  <c r="N3403" i="2"/>
  <c r="K3404" i="2"/>
  <c r="L3404" i="2"/>
  <c r="N3404" i="2"/>
  <c r="K3405" i="2"/>
  <c r="L3405" i="2"/>
  <c r="N3405" i="2"/>
  <c r="K3406" i="2"/>
  <c r="L3406" i="2"/>
  <c r="N3406" i="2"/>
  <c r="K3407" i="2"/>
  <c r="L3407" i="2"/>
  <c r="N3407" i="2"/>
  <c r="K3408" i="2"/>
  <c r="L3408" i="2"/>
  <c r="N3408" i="2"/>
  <c r="K3409" i="2"/>
  <c r="L3409" i="2"/>
  <c r="N3409" i="2"/>
  <c r="K3410" i="2"/>
  <c r="L3410" i="2"/>
  <c r="N3410" i="2"/>
  <c r="K3411" i="2"/>
  <c r="L3411" i="2"/>
  <c r="N3411" i="2"/>
  <c r="K3412" i="2"/>
  <c r="L3412" i="2"/>
  <c r="N3412" i="2"/>
  <c r="K3413" i="2"/>
  <c r="L3413" i="2"/>
  <c r="N3413" i="2"/>
  <c r="K3414" i="2"/>
  <c r="L3414" i="2"/>
  <c r="N3414" i="2"/>
  <c r="K3415" i="2"/>
  <c r="L3415" i="2"/>
  <c r="N3415" i="2"/>
  <c r="K3416" i="2"/>
  <c r="L3416" i="2"/>
  <c r="N3416" i="2"/>
  <c r="K3417" i="2"/>
  <c r="L3417" i="2"/>
  <c r="N3417" i="2"/>
  <c r="K3418" i="2"/>
  <c r="L3418" i="2"/>
  <c r="N3418" i="2"/>
  <c r="K3419" i="2"/>
  <c r="L3419" i="2"/>
  <c r="N3419" i="2"/>
  <c r="K3420" i="2"/>
  <c r="L3420" i="2"/>
  <c r="N3420" i="2"/>
  <c r="K3421" i="2"/>
  <c r="L3421" i="2"/>
  <c r="N3421" i="2"/>
  <c r="K3422" i="2"/>
  <c r="L3422" i="2"/>
  <c r="N3422" i="2"/>
  <c r="K3423" i="2"/>
  <c r="L3423" i="2"/>
  <c r="N3423" i="2"/>
  <c r="K3424" i="2"/>
  <c r="L3424" i="2"/>
  <c r="N3424" i="2"/>
  <c r="K3425" i="2"/>
  <c r="L3425" i="2"/>
  <c r="N3425" i="2"/>
  <c r="K3426" i="2"/>
  <c r="L3426" i="2"/>
  <c r="N3426" i="2"/>
  <c r="K3427" i="2"/>
  <c r="L3427" i="2"/>
  <c r="N3427" i="2"/>
  <c r="K3428" i="2"/>
  <c r="L3428" i="2"/>
  <c r="N3428" i="2"/>
  <c r="K3429" i="2"/>
  <c r="L3429" i="2"/>
  <c r="N3429" i="2"/>
  <c r="K3430" i="2"/>
  <c r="L3430" i="2"/>
  <c r="N3430" i="2"/>
  <c r="K3431" i="2"/>
  <c r="L3431" i="2"/>
  <c r="N3431" i="2"/>
  <c r="K3432" i="2"/>
  <c r="L3432" i="2"/>
  <c r="N3432" i="2"/>
  <c r="K3433" i="2"/>
  <c r="L3433" i="2"/>
  <c r="N3433" i="2"/>
  <c r="K3434" i="2"/>
  <c r="L3434" i="2"/>
  <c r="N3434" i="2"/>
  <c r="K3435" i="2"/>
  <c r="L3435" i="2"/>
  <c r="N3435" i="2"/>
  <c r="K3436" i="2"/>
  <c r="L3436" i="2"/>
  <c r="N3436" i="2"/>
  <c r="K3437" i="2"/>
  <c r="L3437" i="2"/>
  <c r="N3437" i="2"/>
  <c r="K3438" i="2"/>
  <c r="L3438" i="2"/>
  <c r="N3438" i="2"/>
  <c r="K3439" i="2"/>
  <c r="L3439" i="2"/>
  <c r="N3439" i="2"/>
  <c r="K3440" i="2"/>
  <c r="L3440" i="2"/>
  <c r="N3440" i="2"/>
  <c r="K3441" i="2"/>
  <c r="L3441" i="2"/>
  <c r="N3441" i="2"/>
  <c r="K3442" i="2"/>
  <c r="L3442" i="2"/>
  <c r="N3442" i="2"/>
  <c r="K3443" i="2"/>
  <c r="L3443" i="2"/>
  <c r="N3443" i="2"/>
  <c r="K3444" i="2"/>
  <c r="L3444" i="2"/>
  <c r="N3444" i="2"/>
  <c r="K3445" i="2"/>
  <c r="L3445" i="2"/>
  <c r="N3445" i="2"/>
  <c r="K3446" i="2"/>
  <c r="L3446" i="2"/>
  <c r="N3446" i="2"/>
  <c r="K3447" i="2"/>
  <c r="L3447" i="2"/>
  <c r="N3447" i="2"/>
  <c r="K3448" i="2"/>
  <c r="L3448" i="2"/>
  <c r="N3448" i="2"/>
  <c r="K3449" i="2"/>
  <c r="L3449" i="2"/>
  <c r="N3449" i="2"/>
  <c r="K3450" i="2"/>
  <c r="L3450" i="2"/>
  <c r="N3450" i="2"/>
  <c r="K3451" i="2"/>
  <c r="L3451" i="2"/>
  <c r="N3451" i="2"/>
  <c r="K3452" i="2"/>
  <c r="L3452" i="2"/>
  <c r="N3452" i="2"/>
  <c r="K3453" i="2"/>
  <c r="L3453" i="2"/>
  <c r="N3453" i="2"/>
  <c r="K3454" i="2"/>
  <c r="L3454" i="2"/>
  <c r="N3454" i="2"/>
  <c r="K3455" i="2"/>
  <c r="L3455" i="2"/>
  <c r="N3455" i="2"/>
  <c r="K3456" i="2"/>
  <c r="L3456" i="2"/>
  <c r="N3456" i="2"/>
  <c r="K3457" i="2"/>
  <c r="L3457" i="2"/>
  <c r="N3457" i="2"/>
  <c r="K3458" i="2"/>
  <c r="L3458" i="2"/>
  <c r="N3458" i="2"/>
  <c r="K3459" i="2"/>
  <c r="L3459" i="2"/>
  <c r="N3459" i="2"/>
  <c r="K3460" i="2"/>
  <c r="L3460" i="2"/>
  <c r="N3460" i="2"/>
  <c r="K3461" i="2"/>
  <c r="L3461" i="2"/>
  <c r="N3461" i="2"/>
  <c r="K3462" i="2"/>
  <c r="L3462" i="2"/>
  <c r="N3462" i="2"/>
  <c r="K3463" i="2"/>
  <c r="L3463" i="2"/>
  <c r="N3463" i="2"/>
  <c r="K3464" i="2"/>
  <c r="L3464" i="2"/>
  <c r="N3464" i="2"/>
  <c r="K3465" i="2"/>
  <c r="L3465" i="2"/>
  <c r="N3465" i="2"/>
  <c r="K3466" i="2"/>
  <c r="L3466" i="2"/>
  <c r="N3466" i="2"/>
  <c r="K3467" i="2"/>
  <c r="L3467" i="2"/>
  <c r="N3467" i="2"/>
  <c r="K3468" i="2"/>
  <c r="L3468" i="2"/>
  <c r="N3468" i="2"/>
  <c r="K3469" i="2"/>
  <c r="L3469" i="2"/>
  <c r="N3469" i="2"/>
  <c r="K3470" i="2"/>
  <c r="L3470" i="2"/>
  <c r="N3470" i="2"/>
  <c r="K3471" i="2"/>
  <c r="L3471" i="2"/>
  <c r="N3471" i="2"/>
  <c r="K3472" i="2"/>
  <c r="L3472" i="2"/>
  <c r="N3472" i="2"/>
  <c r="K3473" i="2"/>
  <c r="L3473" i="2"/>
  <c r="N3473" i="2"/>
  <c r="K3474" i="2"/>
  <c r="L3474" i="2"/>
  <c r="N3474" i="2"/>
  <c r="K3475" i="2"/>
  <c r="L3475" i="2"/>
  <c r="N3475" i="2"/>
  <c r="K3476" i="2"/>
  <c r="L3476" i="2"/>
  <c r="N3476" i="2"/>
  <c r="K3477" i="2"/>
  <c r="L3477" i="2"/>
  <c r="N3477" i="2"/>
  <c r="K3478" i="2"/>
  <c r="L3478" i="2"/>
  <c r="N3478" i="2"/>
  <c r="K3479" i="2"/>
  <c r="L3479" i="2"/>
  <c r="N3479" i="2"/>
  <c r="K3480" i="2"/>
  <c r="L3480" i="2"/>
  <c r="N3480" i="2"/>
  <c r="K3481" i="2"/>
  <c r="L3481" i="2"/>
  <c r="N3481" i="2"/>
  <c r="K3482" i="2"/>
  <c r="L3482" i="2"/>
  <c r="N3482" i="2"/>
  <c r="K3483" i="2"/>
  <c r="L3483" i="2"/>
  <c r="N3483" i="2"/>
  <c r="K3484" i="2"/>
  <c r="L3484" i="2"/>
  <c r="N3484" i="2"/>
  <c r="K3485" i="2"/>
  <c r="L3485" i="2"/>
  <c r="N3485" i="2"/>
  <c r="K3486" i="2"/>
  <c r="L3486" i="2"/>
  <c r="N3486" i="2"/>
  <c r="K3487" i="2"/>
  <c r="L3487" i="2"/>
  <c r="N3487" i="2"/>
  <c r="K3488" i="2"/>
  <c r="L3488" i="2"/>
  <c r="N3488" i="2"/>
  <c r="K3489" i="2"/>
  <c r="L3489" i="2"/>
  <c r="N3489" i="2"/>
  <c r="K3490" i="2"/>
  <c r="L3490" i="2"/>
  <c r="N3490" i="2"/>
  <c r="K3491" i="2"/>
  <c r="L3491" i="2"/>
  <c r="N3491" i="2"/>
  <c r="K3492" i="2"/>
  <c r="L3492" i="2"/>
  <c r="N3492" i="2"/>
  <c r="K3493" i="2"/>
  <c r="L3493" i="2"/>
  <c r="N3493" i="2"/>
  <c r="K3494" i="2"/>
  <c r="L3494" i="2"/>
  <c r="N3494" i="2"/>
  <c r="K3495" i="2"/>
  <c r="L3495" i="2"/>
  <c r="N3495" i="2"/>
  <c r="K3496" i="2"/>
  <c r="L3496" i="2"/>
  <c r="N3496" i="2"/>
  <c r="K3497" i="2"/>
  <c r="L3497" i="2"/>
  <c r="N3497" i="2"/>
  <c r="K237" i="40" l="1"/>
  <c r="K236" i="40"/>
  <c r="K235" i="40"/>
  <c r="K234" i="40"/>
  <c r="K233" i="40"/>
  <c r="K232" i="40"/>
  <c r="K231" i="40"/>
  <c r="K230" i="40"/>
  <c r="K229" i="40"/>
  <c r="K228" i="40"/>
  <c r="K227" i="40"/>
  <c r="J250" i="2"/>
  <c r="J249" i="2"/>
  <c r="J667" i="2"/>
  <c r="K225" i="40"/>
  <c r="J330" i="2"/>
  <c r="J272" i="2"/>
  <c r="J80" i="2"/>
  <c r="J299" i="2"/>
  <c r="J915" i="2"/>
  <c r="J900" i="2"/>
  <c r="J878" i="2"/>
  <c r="J914" i="2"/>
  <c r="J11" i="2"/>
  <c r="J596" i="2" l="1"/>
  <c r="J587" i="2"/>
  <c r="J1025" i="2"/>
  <c r="J1023" i="2"/>
  <c r="J584" i="2"/>
  <c r="J582" i="2"/>
  <c r="J1021" i="2" l="1"/>
  <c r="L1021" i="2" s="1"/>
  <c r="J1028" i="2"/>
  <c r="J634" i="2"/>
  <c r="J629" i="2"/>
  <c r="J628" i="2"/>
  <c r="J830" i="2"/>
  <c r="J849" i="2"/>
  <c r="H898" i="39" l="1"/>
  <c r="I264" i="40"/>
  <c r="O915" i="39" l="1"/>
  <c r="N913" i="39" l="1"/>
  <c r="I261" i="40" l="1"/>
  <c r="AF261" i="40" s="1"/>
  <c r="I263" i="40"/>
  <c r="AG263" i="40" s="1"/>
  <c r="H897" i="39"/>
  <c r="H896" i="39"/>
  <c r="I262" i="40"/>
  <c r="H895" i="39"/>
  <c r="H894" i="39"/>
  <c r="I260" i="40"/>
  <c r="AF263" i="40" l="1"/>
  <c r="AG261" i="40"/>
  <c r="AF260" i="40"/>
  <c r="AG260" i="40"/>
  <c r="F1021" i="2"/>
  <c r="H893" i="39"/>
  <c r="AF259" i="40"/>
  <c r="AG259" i="40"/>
  <c r="I258" i="40"/>
  <c r="H892" i="39" l="1"/>
  <c r="H891" i="39"/>
  <c r="I226" i="40"/>
  <c r="H890" i="39" l="1"/>
  <c r="H926" i="2"/>
  <c r="H889" i="39"/>
  <c r="H908" i="2"/>
  <c r="H840" i="2"/>
  <c r="H888" i="39"/>
  <c r="H887" i="39"/>
  <c r="H836" i="2"/>
  <c r="H886" i="39"/>
  <c r="H892" i="2"/>
  <c r="H885" i="39" l="1"/>
  <c r="H824" i="2"/>
  <c r="H884" i="39"/>
  <c r="H906" i="2"/>
  <c r="H898" i="2"/>
  <c r="H883" i="39"/>
  <c r="H882" i="39"/>
  <c r="H808" i="2"/>
  <c r="H881" i="39" l="1"/>
  <c r="H886" i="2"/>
  <c r="H802" i="2"/>
  <c r="H880" i="39"/>
  <c r="H723" i="2" l="1"/>
  <c r="AZ723" i="2"/>
  <c r="AY723" i="2"/>
  <c r="J723" i="2" s="1"/>
  <c r="H879" i="39"/>
  <c r="BB723" i="2" l="1"/>
  <c r="BE723" i="2" s="1"/>
  <c r="H742" i="2"/>
  <c r="AZ742" i="2" l="1"/>
  <c r="BB742" i="2" s="1"/>
  <c r="BE742" i="2" s="1"/>
  <c r="AY742" i="2"/>
  <c r="J742" i="2" s="1"/>
  <c r="L742" i="2" s="1"/>
  <c r="H878" i="39"/>
  <c r="H877" i="39" l="1"/>
  <c r="H738" i="2"/>
  <c r="AZ738" i="2" l="1"/>
  <c r="BB738" i="2" s="1"/>
  <c r="BE738" i="2" s="1"/>
  <c r="AY738" i="2"/>
  <c r="J738" i="2" s="1"/>
  <c r="H876" i="39" l="1"/>
  <c r="H746" i="2"/>
  <c r="AZ746" i="2" l="1"/>
  <c r="BB746" i="2" s="1"/>
  <c r="BE746" i="2" s="1"/>
  <c r="AY746" i="2"/>
  <c r="J746" i="2" s="1"/>
  <c r="H875" i="39" l="1"/>
  <c r="H343" i="2" l="1"/>
  <c r="AZ343" i="2"/>
  <c r="AY343" i="2"/>
  <c r="J343" i="2" s="1"/>
  <c r="BB343" i="2" l="1"/>
  <c r="BE343" i="2" s="1"/>
  <c r="H874" i="39"/>
  <c r="H369" i="2"/>
  <c r="AZ369" i="2" l="1"/>
  <c r="BB369" i="2" s="1"/>
  <c r="BE369" i="2" s="1"/>
  <c r="AY369" i="2"/>
  <c r="J369" i="2" s="1"/>
  <c r="H873" i="39" l="1"/>
  <c r="AZ484" i="2" l="1"/>
  <c r="AW484" i="2"/>
  <c r="AY484" i="2"/>
  <c r="AY549" i="2"/>
  <c r="J549" i="2" s="1"/>
  <c r="BB484" i="2" l="1"/>
  <c r="BE484" i="2" s="1"/>
  <c r="H872" i="39"/>
  <c r="H549" i="2"/>
  <c r="AZ549" i="2"/>
  <c r="BB549" i="2" s="1"/>
  <c r="BE549" i="2" s="1"/>
  <c r="H871" i="39" l="1"/>
  <c r="H870" i="39"/>
  <c r="AZ590" i="2" l="1"/>
  <c r="AY590" i="2" l="1"/>
  <c r="J590" i="2" s="1"/>
  <c r="H590" i="2" l="1"/>
  <c r="BB590" i="2" s="1"/>
  <c r="BE590" i="2" s="1"/>
  <c r="H869" i="39"/>
  <c r="H695" i="2" l="1"/>
  <c r="G2" i="39"/>
  <c r="N914" i="39" s="1"/>
  <c r="H868" i="39"/>
  <c r="H867" i="39"/>
  <c r="H702" i="2"/>
  <c r="H866" i="39"/>
  <c r="H689" i="2"/>
  <c r="H865" i="39" l="1"/>
  <c r="H674" i="2"/>
  <c r="K240" i="40" l="1"/>
  <c r="K218" i="40"/>
  <c r="K215" i="40"/>
  <c r="K217" i="40"/>
  <c r="K216" i="40"/>
  <c r="K223" i="40" l="1"/>
  <c r="K209" i="40"/>
  <c r="K184" i="40"/>
  <c r="K238" i="40"/>
  <c r="K239" i="40"/>
  <c r="K226" i="40"/>
  <c r="H849" i="39" l="1"/>
  <c r="H850" i="39"/>
  <c r="H851" i="39"/>
  <c r="H852" i="39"/>
  <c r="H853" i="39"/>
  <c r="H854" i="39"/>
  <c r="H855" i="39"/>
  <c r="H856" i="39"/>
  <c r="H857" i="39"/>
  <c r="H858" i="39"/>
  <c r="H859" i="39"/>
  <c r="H860" i="39"/>
  <c r="H861" i="39"/>
  <c r="H862" i="39"/>
  <c r="H863" i="39"/>
  <c r="H864" i="39"/>
  <c r="I257" i="40" l="1"/>
  <c r="AG257" i="40" s="1"/>
  <c r="I256" i="40"/>
  <c r="AG256" i="40" s="1"/>
  <c r="I255" i="40"/>
  <c r="AG255" i="40" s="1"/>
  <c r="I254" i="40"/>
  <c r="AG254" i="40" s="1"/>
  <c r="I253" i="40"/>
  <c r="AG253" i="40" s="1"/>
  <c r="AF254" i="40" l="1"/>
  <c r="AF255" i="40"/>
  <c r="AF253" i="40"/>
  <c r="AF256" i="40"/>
  <c r="AF257" i="40"/>
  <c r="I252" i="40"/>
  <c r="AF252" i="40" s="1"/>
  <c r="I251" i="40"/>
  <c r="AG251" i="40" s="1"/>
  <c r="I250" i="40"/>
  <c r="AF250" i="40" s="1"/>
  <c r="I249" i="40"/>
  <c r="AF249" i="40" s="1"/>
  <c r="I248" i="40"/>
  <c r="AG248" i="40" s="1"/>
  <c r="I247" i="40"/>
  <c r="AF247" i="40" s="1"/>
  <c r="I246" i="40"/>
  <c r="I245" i="40"/>
  <c r="I244" i="40"/>
  <c r="AG244" i="40" s="1"/>
  <c r="I243" i="40"/>
  <c r="I242" i="40"/>
  <c r="AF251" i="40" l="1"/>
  <c r="AG249" i="40"/>
  <c r="AG250" i="40"/>
  <c r="AF248" i="40"/>
  <c r="AG252" i="40"/>
  <c r="AG247" i="40"/>
  <c r="AF244" i="40"/>
  <c r="H848" i="39" l="1"/>
  <c r="K14" i="39" l="1"/>
  <c r="H83" i="2"/>
  <c r="I83" i="2" s="1"/>
  <c r="F432" i="2" l="1"/>
  <c r="F413" i="2"/>
  <c r="H847" i="39" l="1"/>
  <c r="AZ493" i="2" l="1"/>
  <c r="AW493" i="2"/>
  <c r="AY493" i="2"/>
  <c r="AV493" i="2"/>
  <c r="J493" i="2" s="1"/>
  <c r="H846" i="39" l="1"/>
  <c r="K2" i="39"/>
  <c r="H910" i="2" l="1"/>
  <c r="H845" i="39"/>
  <c r="H936" i="2"/>
  <c r="H844" i="39"/>
  <c r="H843" i="39"/>
  <c r="H918" i="2"/>
  <c r="H842" i="39"/>
  <c r="H942" i="2"/>
  <c r="H870" i="2" l="1"/>
  <c r="H841" i="39"/>
  <c r="H928" i="2"/>
  <c r="H840" i="39"/>
  <c r="H940" i="2"/>
  <c r="H839" i="39"/>
  <c r="H838" i="39" l="1"/>
  <c r="H860" i="2"/>
  <c r="H930" i="2"/>
  <c r="H837" i="39"/>
  <c r="H836" i="39"/>
  <c r="H922" i="2"/>
  <c r="H835" i="39"/>
  <c r="H904" i="2"/>
  <c r="H834" i="39" l="1"/>
  <c r="H856" i="2"/>
  <c r="I210" i="40" l="1"/>
  <c r="H1" i="40" s="1"/>
  <c r="H833" i="39" l="1"/>
  <c r="I224" i="40"/>
  <c r="Z224" i="40" l="1"/>
  <c r="AB224" i="40" s="1"/>
  <c r="Y224" i="40"/>
  <c r="K224" i="40" s="1"/>
  <c r="Z210" i="40"/>
  <c r="AB210" i="40" s="1"/>
  <c r="H832" i="39"/>
  <c r="Y210" i="40" l="1"/>
  <c r="K210" i="40" s="1"/>
  <c r="I211" i="40" l="1"/>
  <c r="H831" i="39"/>
  <c r="Z211" i="40"/>
  <c r="AB211" i="40" s="1"/>
  <c r="Y211" i="40" l="1"/>
  <c r="K211" i="40" s="1"/>
  <c r="H830" i="39" l="1"/>
  <c r="I175" i="40"/>
  <c r="Z175" i="40"/>
  <c r="AB175" i="40" s="1"/>
  <c r="Y175" i="40"/>
  <c r="K175" i="40" s="1"/>
  <c r="Z208" i="40" l="1"/>
  <c r="AB208" i="40" s="1"/>
  <c r="I208" i="40"/>
  <c r="Y208" i="40"/>
  <c r="K208" i="40" s="1"/>
  <c r="H829" i="39"/>
  <c r="I212" i="40" l="1"/>
  <c r="H828" i="39"/>
  <c r="Z212" i="40"/>
  <c r="AB212" i="40" s="1"/>
  <c r="Y212" i="40"/>
  <c r="K212" i="40" s="1"/>
  <c r="I209" i="40" l="1"/>
  <c r="H827" i="39"/>
  <c r="H826" i="39"/>
  <c r="I184" i="40"/>
  <c r="H825" i="39" l="1"/>
  <c r="I223" i="40"/>
  <c r="H824" i="39" l="1"/>
  <c r="J693" i="2" l="1"/>
  <c r="J683" i="2"/>
  <c r="J184" i="2"/>
  <c r="H823" i="39" l="1"/>
  <c r="H822" i="39"/>
  <c r="I240" i="40"/>
  <c r="H821" i="39"/>
  <c r="I218" i="40"/>
  <c r="I215" i="40"/>
  <c r="H820" i="39"/>
  <c r="I217" i="40"/>
  <c r="H819" i="39"/>
  <c r="H818" i="39" l="1"/>
  <c r="I216" i="40"/>
  <c r="H817" i="39" l="1"/>
  <c r="H816" i="39"/>
  <c r="H815" i="39"/>
  <c r="H814" i="39"/>
  <c r="H431" i="2"/>
  <c r="H813" i="39"/>
  <c r="H812" i="39"/>
  <c r="H811" i="39"/>
  <c r="H810" i="39"/>
  <c r="H809" i="39"/>
  <c r="H808" i="39"/>
  <c r="H807" i="39"/>
  <c r="H806" i="39"/>
  <c r="H805" i="39" l="1"/>
  <c r="H804" i="39"/>
  <c r="H803" i="39" l="1"/>
  <c r="H802" i="39" l="1"/>
  <c r="H582" i="2"/>
  <c r="H801" i="39"/>
  <c r="H584" i="2"/>
  <c r="H800" i="39" l="1"/>
  <c r="H1025" i="2"/>
  <c r="H799" i="39" l="1"/>
  <c r="H11" i="2"/>
  <c r="H798" i="39" l="1"/>
  <c r="H667" i="2" l="1"/>
  <c r="BB667" i="2" s="1"/>
  <c r="BE667" i="2" s="1"/>
  <c r="H797" i="39" l="1"/>
  <c r="F628" i="2"/>
  <c r="H628" i="2" l="1"/>
  <c r="H796" i="39" l="1"/>
  <c r="H795" i="39"/>
  <c r="H794" i="39" l="1"/>
  <c r="H587" i="2" l="1"/>
  <c r="BB587" i="2" s="1"/>
  <c r="BE587" i="2" s="1"/>
  <c r="H793" i="39" l="1"/>
  <c r="H792" i="39" l="1"/>
  <c r="H791" i="39" l="1"/>
  <c r="H250" i="2"/>
  <c r="H790" i="39" l="1"/>
  <c r="H249" i="2"/>
  <c r="H789" i="39" l="1"/>
  <c r="H248" i="2" l="1"/>
  <c r="H788" i="39"/>
  <c r="H601" i="2"/>
  <c r="AZ601" i="2"/>
  <c r="AY601" i="2"/>
  <c r="J601" i="2" s="1"/>
  <c r="BB601" i="2" l="1"/>
  <c r="BE601" i="2" s="1"/>
  <c r="H787" i="39"/>
  <c r="H596" i="2"/>
  <c r="BB596" i="2" s="1"/>
  <c r="BE596" i="2" s="1"/>
  <c r="H786" i="39" l="1"/>
  <c r="H285" i="2"/>
  <c r="AZ285" i="2"/>
  <c r="AY285" i="2"/>
  <c r="J285" i="2" s="1"/>
  <c r="BB285" i="2" l="1"/>
  <c r="BE285" i="2" s="1"/>
  <c r="AZ291" i="2"/>
  <c r="H291" i="2"/>
  <c r="AY291" i="2"/>
  <c r="J291" i="2" s="1"/>
  <c r="BB291" i="2" l="1"/>
  <c r="BE291" i="2" s="1"/>
  <c r="H785" i="39"/>
  <c r="H299" i="2" l="1"/>
  <c r="H784" i="39"/>
  <c r="BB299" i="2" l="1"/>
  <c r="BE299" i="2" s="1"/>
  <c r="H783" i="39"/>
  <c r="H272" i="2"/>
  <c r="BB272" i="2" l="1"/>
  <c r="BE272" i="2" s="1"/>
  <c r="H782" i="39"/>
  <c r="H781" i="39"/>
  <c r="H780" i="39"/>
  <c r="H779" i="39"/>
  <c r="H778" i="39"/>
  <c r="H738" i="39"/>
  <c r="H739" i="39"/>
  <c r="H740" i="39"/>
  <c r="H741" i="39"/>
  <c r="H742" i="39"/>
  <c r="H743" i="39"/>
  <c r="H744" i="39"/>
  <c r="H745" i="39"/>
  <c r="H746" i="39"/>
  <c r="H747" i="39"/>
  <c r="H748" i="39"/>
  <c r="H749" i="39"/>
  <c r="H750" i="39"/>
  <c r="H751" i="39"/>
  <c r="H752" i="39"/>
  <c r="H753" i="39"/>
  <c r="H754" i="39"/>
  <c r="H755" i="39"/>
  <c r="H756" i="39"/>
  <c r="H757" i="39"/>
  <c r="H758" i="39"/>
  <c r="H759" i="39"/>
  <c r="H760" i="39"/>
  <c r="H761" i="39"/>
  <c r="H762" i="39"/>
  <c r="H763" i="39"/>
  <c r="H764" i="39"/>
  <c r="H765" i="39"/>
  <c r="H766" i="39"/>
  <c r="H767" i="39"/>
  <c r="H768" i="39"/>
  <c r="H769" i="39"/>
  <c r="H770" i="39"/>
  <c r="H771" i="39"/>
  <c r="H772" i="39"/>
  <c r="H773" i="39"/>
  <c r="H774" i="39"/>
  <c r="H775" i="39"/>
  <c r="H776" i="39"/>
  <c r="H330" i="2" l="1"/>
  <c r="BB330" i="2" l="1"/>
  <c r="BE330" i="2" s="1"/>
  <c r="H453" i="2"/>
  <c r="AZ453" i="2"/>
  <c r="AY453" i="2"/>
  <c r="J453" i="2" s="1"/>
  <c r="BB453" i="2" l="1"/>
  <c r="BE453" i="2" s="1"/>
  <c r="H849" i="2"/>
  <c r="BB849" i="2" l="1"/>
  <c r="BE849" i="2" s="1"/>
  <c r="N849" i="2"/>
  <c r="H777" i="39" l="1"/>
  <c r="K213" i="40" l="1"/>
  <c r="I239" i="40" l="1"/>
  <c r="H98" i="2"/>
  <c r="I238" i="40" l="1"/>
  <c r="I237" i="40"/>
  <c r="I236" i="40"/>
  <c r="AG236" i="40" s="1"/>
  <c r="I235" i="40"/>
  <c r="AF235" i="40" s="1"/>
  <c r="I234" i="40"/>
  <c r="AF234" i="40" s="1"/>
  <c r="I233" i="40"/>
  <c r="AF233" i="40" s="1"/>
  <c r="I232" i="40"/>
  <c r="AF232" i="40" s="1"/>
  <c r="I231" i="40"/>
  <c r="AG231" i="40" s="1"/>
  <c r="I230" i="40"/>
  <c r="AG230" i="40" s="1"/>
  <c r="I229" i="40"/>
  <c r="AF229" i="40"/>
  <c r="I228" i="40"/>
  <c r="AG228" i="40" s="1"/>
  <c r="I227" i="40"/>
  <c r="AG233" i="40" l="1"/>
  <c r="AF228" i="40"/>
  <c r="AG232" i="40"/>
  <c r="AF236" i="40"/>
  <c r="AG235" i="40"/>
  <c r="AG234" i="40"/>
  <c r="AF231" i="40"/>
  <c r="AF230" i="40"/>
  <c r="AG229" i="40"/>
  <c r="H830" i="2" l="1"/>
  <c r="H900" i="2"/>
  <c r="H878" i="2"/>
  <c r="I225" i="40"/>
  <c r="J225" i="40" s="1"/>
  <c r="H737" i="39"/>
  <c r="H914" i="2"/>
  <c r="H736" i="39" l="1"/>
  <c r="H1023" i="2" l="1"/>
  <c r="H310" i="2" l="1"/>
  <c r="BB310" i="2" l="1"/>
  <c r="BE310" i="2" s="1"/>
  <c r="H735" i="39"/>
  <c r="I213" i="40"/>
  <c r="H734" i="39" l="1"/>
  <c r="H955" i="2"/>
  <c r="H733" i="39" l="1"/>
  <c r="J310" i="2" l="1"/>
  <c r="J308" i="2"/>
  <c r="J753" i="2" l="1"/>
  <c r="AZ40" i="2" l="1"/>
  <c r="AY40" i="2"/>
  <c r="J40" i="2" s="1"/>
  <c r="H732" i="39" l="1"/>
  <c r="H40" i="2"/>
  <c r="I40" i="2"/>
  <c r="H731" i="39" l="1"/>
  <c r="H953" i="2"/>
  <c r="H730" i="39" l="1"/>
  <c r="H804" i="2"/>
  <c r="H693" i="2"/>
  <c r="BB693" i="2" s="1"/>
  <c r="BE693" i="2" s="1"/>
  <c r="H729" i="39" l="1"/>
  <c r="H728" i="39" l="1"/>
  <c r="H184" i="2"/>
  <c r="BB184" i="2" s="1"/>
  <c r="BE184" i="2" s="1"/>
  <c r="F183" i="2"/>
  <c r="H727" i="39" l="1"/>
  <c r="H657" i="2" l="1"/>
  <c r="AZ657" i="2" l="1"/>
  <c r="BB657" i="2" s="1"/>
  <c r="BE657" i="2" s="1"/>
  <c r="AY657" i="2"/>
  <c r="J657" i="2" s="1"/>
  <c r="H726" i="39"/>
  <c r="H683" i="2" l="1"/>
  <c r="BB683" i="2" s="1"/>
  <c r="BE683" i="2" s="1"/>
  <c r="H725" i="39"/>
  <c r="L40" i="2"/>
  <c r="H724" i="39" l="1"/>
  <c r="L45" i="2"/>
  <c r="AT44" i="2"/>
  <c r="H723" i="39" l="1"/>
  <c r="H44" i="2"/>
  <c r="H722" i="39" l="1"/>
  <c r="H580" i="2"/>
  <c r="H721" i="39"/>
  <c r="H578" i="2"/>
  <c r="H720" i="39" l="1"/>
  <c r="H719" i="39"/>
  <c r="H718" i="39"/>
  <c r="H717" i="39" l="1"/>
  <c r="H716" i="39"/>
  <c r="H715" i="39"/>
  <c r="H714" i="39" l="1"/>
  <c r="I98" i="2" l="1"/>
  <c r="H712" i="39"/>
  <c r="AF224" i="40"/>
  <c r="AG224" i="40"/>
  <c r="H713" i="39"/>
  <c r="H711" i="39"/>
  <c r="H710" i="39"/>
  <c r="AF223" i="40"/>
  <c r="H709" i="39"/>
  <c r="H708" i="39"/>
  <c r="H707" i="39"/>
  <c r="H706" i="39"/>
  <c r="H705" i="39"/>
  <c r="I222" i="40"/>
  <c r="AF222" i="40" s="1"/>
  <c r="I221" i="40"/>
  <c r="AF221" i="40" s="1"/>
  <c r="H704" i="39"/>
  <c r="H703" i="39"/>
  <c r="H702" i="39"/>
  <c r="H701" i="39"/>
  <c r="H700" i="39"/>
  <c r="H699" i="39"/>
  <c r="H698" i="39"/>
  <c r="AG223" i="40" l="1"/>
  <c r="AG222" i="40"/>
  <c r="AG221" i="40"/>
  <c r="H697" i="39"/>
  <c r="I44" i="2"/>
  <c r="H308" i="2" l="1"/>
  <c r="H696" i="39"/>
  <c r="BB308" i="2" l="1"/>
  <c r="BE308" i="2" s="1"/>
  <c r="H695" i="39"/>
  <c r="H694" i="39" l="1"/>
  <c r="H693" i="39" l="1"/>
  <c r="AY784" i="2" l="1"/>
  <c r="J784" i="2" s="1"/>
  <c r="H692" i="39" l="1"/>
  <c r="H639" i="2"/>
  <c r="H691" i="39"/>
  <c r="H626" i="2"/>
  <c r="H690" i="39"/>
  <c r="H622" i="2"/>
  <c r="H689" i="39"/>
  <c r="H637" i="2"/>
  <c r="H688" i="39"/>
  <c r="H1027" i="2"/>
  <c r="H687" i="39" l="1"/>
  <c r="H686" i="39"/>
  <c r="I220" i="40"/>
  <c r="I219" i="40"/>
  <c r="H965" i="2" l="1"/>
  <c r="H685" i="39"/>
  <c r="H684" i="39"/>
  <c r="H960" i="2"/>
  <c r="H683" i="39"/>
  <c r="H963" i="2"/>
  <c r="H976" i="2"/>
  <c r="H682" i="39"/>
  <c r="H681" i="39" l="1"/>
  <c r="H972" i="2"/>
  <c r="H680" i="39"/>
  <c r="H979" i="2"/>
  <c r="H679" i="39"/>
  <c r="H990" i="2"/>
  <c r="H678" i="39"/>
  <c r="H988" i="2"/>
  <c r="H677" i="39"/>
  <c r="H966" i="2"/>
  <c r="H676" i="39"/>
  <c r="H959" i="2"/>
  <c r="H675" i="39"/>
  <c r="N2" i="39"/>
  <c r="M2" i="39"/>
  <c r="L2" i="39"/>
  <c r="J2" i="39"/>
  <c r="F2" i="39"/>
  <c r="P2" i="39" l="1"/>
  <c r="H348" i="2" l="1"/>
  <c r="K214" i="40" l="1"/>
  <c r="I130" i="40" l="1"/>
  <c r="H674" i="39"/>
  <c r="Z130" i="40"/>
  <c r="AB130" i="40" s="1"/>
  <c r="Y130" i="40"/>
  <c r="K130" i="40" s="1"/>
  <c r="H673" i="39" l="1"/>
  <c r="I121" i="40"/>
  <c r="Z121" i="40" l="1"/>
  <c r="AB121" i="40" s="1"/>
  <c r="Y121" i="40"/>
  <c r="K121" i="40" s="1"/>
  <c r="I129" i="40" l="1"/>
  <c r="Z129" i="40" l="1"/>
  <c r="AB129" i="40" s="1"/>
  <c r="Y129" i="40"/>
  <c r="K129" i="40" s="1"/>
  <c r="H672" i="39"/>
  <c r="I185" i="40" l="1"/>
  <c r="H671" i="39"/>
  <c r="Z185" i="40" l="1"/>
  <c r="AB185" i="40" s="1"/>
  <c r="Y185" i="40"/>
  <c r="K185" i="40" s="1"/>
  <c r="H568" i="2" l="1"/>
  <c r="H670" i="39"/>
  <c r="AZ568" i="2"/>
  <c r="BB568" i="2" s="1"/>
  <c r="AY568" i="2"/>
  <c r="J568" i="2" s="1"/>
  <c r="BE568" i="2" l="1"/>
  <c r="I176" i="40"/>
  <c r="Z176" i="40" l="1"/>
  <c r="AB176" i="40" s="1"/>
  <c r="Y176" i="40"/>
  <c r="K176" i="40" s="1"/>
  <c r="H669" i="39"/>
  <c r="H668" i="39" l="1"/>
  <c r="I174" i="40"/>
  <c r="Z174" i="40" l="1"/>
  <c r="AB174" i="40" s="1"/>
  <c r="Y174" i="40"/>
  <c r="K174" i="40" s="1"/>
  <c r="H201" i="39" l="1"/>
  <c r="H232" i="39"/>
  <c r="J1007" i="2" l="1"/>
  <c r="J716" i="2"/>
  <c r="J710" i="2"/>
  <c r="J698" i="2"/>
  <c r="J274" i="2"/>
  <c r="J863" i="2"/>
  <c r="J604" i="2" l="1"/>
  <c r="J607" i="2"/>
  <c r="J443" i="2"/>
  <c r="J588" i="2" l="1"/>
  <c r="J1018" i="2"/>
  <c r="J1017" i="2"/>
  <c r="J655" i="2"/>
  <c r="J649" i="2"/>
  <c r="J645" i="2"/>
  <c r="J621" i="2"/>
  <c r="J200" i="2"/>
  <c r="J429" i="2"/>
  <c r="J428" i="2"/>
  <c r="H604" i="2" l="1"/>
  <c r="BB604" i="2" s="1"/>
  <c r="BE604" i="2" s="1"/>
  <c r="I561" i="2" l="1"/>
  <c r="H753" i="2"/>
  <c r="BB753" i="2" l="1"/>
  <c r="BE753" i="2" s="1"/>
  <c r="H667" i="39"/>
  <c r="H666" i="39"/>
  <c r="H665" i="39"/>
  <c r="H406" i="2" l="1"/>
  <c r="H664" i="39" l="1"/>
  <c r="H663" i="39"/>
  <c r="H662" i="39"/>
  <c r="H661" i="39"/>
  <c r="H649" i="39"/>
  <c r="H797" i="2"/>
  <c r="H660" i="39"/>
  <c r="H659" i="39"/>
  <c r="H820" i="2"/>
  <c r="H658" i="39"/>
  <c r="H848" i="2"/>
  <c r="H657" i="39" l="1"/>
  <c r="H792" i="2"/>
  <c r="H645" i="39" l="1"/>
  <c r="H589" i="2" l="1"/>
  <c r="AZ589" i="2" l="1"/>
  <c r="BB589" i="2" s="1"/>
  <c r="BE589" i="2" s="1"/>
  <c r="AY589" i="2"/>
  <c r="J589" i="2" s="1"/>
  <c r="H656" i="39"/>
  <c r="H655" i="39" l="1"/>
  <c r="H593" i="2"/>
  <c r="AZ593" i="2"/>
  <c r="AY593" i="2"/>
  <c r="J593" i="2" s="1"/>
  <c r="BB593" i="2" l="1"/>
  <c r="BE593" i="2" s="1"/>
  <c r="H654" i="39"/>
  <c r="H653" i="39"/>
  <c r="H652" i="39"/>
  <c r="H651" i="39"/>
  <c r="H650" i="39"/>
  <c r="H607" i="2"/>
  <c r="BB607" i="2" s="1"/>
  <c r="BE607" i="2" s="1"/>
  <c r="H648" i="39"/>
  <c r="H647" i="39" l="1"/>
  <c r="H646" i="39"/>
  <c r="H644" i="39"/>
  <c r="H443" i="2" l="1"/>
  <c r="H643" i="39"/>
  <c r="BB443" i="2" l="1"/>
  <c r="BE443" i="2" s="1"/>
  <c r="H669" i="2"/>
  <c r="AZ669" i="2"/>
  <c r="AY669" i="2"/>
  <c r="J669" i="2" s="1"/>
  <c r="BB669" i="2" l="1"/>
  <c r="BE669" i="2" s="1"/>
  <c r="H642" i="39"/>
  <c r="AF217" i="40"/>
  <c r="AG217" i="40"/>
  <c r="AF216" i="40"/>
  <c r="AG216" i="40"/>
  <c r="AF215" i="40"/>
  <c r="AG215" i="40"/>
  <c r="H641" i="39"/>
  <c r="H640" i="39"/>
  <c r="H639" i="39"/>
  <c r="H638" i="39"/>
  <c r="H637" i="39"/>
  <c r="H636" i="39"/>
  <c r="H635" i="39" l="1"/>
  <c r="H687" i="2"/>
  <c r="BB687" i="2" s="1"/>
  <c r="BE687" i="2" s="1"/>
  <c r="H634" i="39" l="1"/>
  <c r="H633" i="39" l="1"/>
  <c r="H632" i="39" l="1"/>
  <c r="H631" i="39"/>
  <c r="H630" i="39"/>
  <c r="H629" i="39"/>
  <c r="H628" i="39" l="1"/>
  <c r="H627" i="39"/>
  <c r="H626" i="39"/>
  <c r="H625" i="39"/>
  <c r="H624" i="39"/>
  <c r="H623" i="39" l="1"/>
  <c r="H622" i="39"/>
  <c r="H621" i="39"/>
  <c r="H620" i="39"/>
  <c r="H619" i="39"/>
  <c r="H618" i="39"/>
  <c r="H613" i="39" l="1"/>
  <c r="H614" i="39"/>
  <c r="H615" i="39"/>
  <c r="H616" i="39"/>
  <c r="H617" i="39"/>
  <c r="H952" i="2"/>
  <c r="H951" i="2"/>
  <c r="H950" i="2"/>
  <c r="H949" i="2"/>
  <c r="H948" i="2"/>
  <c r="H612" i="39"/>
  <c r="H946" i="2"/>
  <c r="H611" i="39"/>
  <c r="F563" i="2"/>
  <c r="H599" i="39" l="1"/>
  <c r="H600" i="39"/>
  <c r="H601" i="39"/>
  <c r="H602" i="39"/>
  <c r="H603" i="39"/>
  <c r="H604" i="39"/>
  <c r="H605" i="39"/>
  <c r="H606" i="39"/>
  <c r="H607" i="39"/>
  <c r="H608" i="39"/>
  <c r="H609" i="39"/>
  <c r="H610" i="39"/>
  <c r="H391" i="2"/>
  <c r="H566" i="2" l="1"/>
  <c r="H598" i="39" l="1"/>
  <c r="H597" i="39" l="1"/>
  <c r="AY570" i="2" l="1"/>
  <c r="J570" i="2" s="1"/>
  <c r="H575" i="39" l="1"/>
  <c r="H576" i="39"/>
  <c r="H577" i="39"/>
  <c r="H578" i="39"/>
  <c r="H579" i="39"/>
  <c r="H580" i="39"/>
  <c r="H581" i="39"/>
  <c r="H582" i="39"/>
  <c r="H583" i="39"/>
  <c r="H584" i="39"/>
  <c r="H585" i="39"/>
  <c r="H586" i="39"/>
  <c r="H587" i="39"/>
  <c r="H588" i="39"/>
  <c r="H589" i="39"/>
  <c r="H590" i="39"/>
  <c r="H591" i="39"/>
  <c r="H592" i="39"/>
  <c r="H593" i="39"/>
  <c r="H594" i="39"/>
  <c r="H595" i="39"/>
  <c r="H596" i="39"/>
  <c r="H207" i="40"/>
  <c r="I207" i="40"/>
  <c r="AG207" i="40" s="1"/>
  <c r="H206" i="40"/>
  <c r="H205" i="40"/>
  <c r="H204" i="40"/>
  <c r="I206" i="40"/>
  <c r="AF206" i="40" s="1"/>
  <c r="I205" i="40"/>
  <c r="AF205" i="40" s="1"/>
  <c r="I204" i="40"/>
  <c r="AF204" i="40" s="1"/>
  <c r="H203" i="40"/>
  <c r="I203" i="40"/>
  <c r="AG203" i="40" s="1"/>
  <c r="H202" i="40"/>
  <c r="H201" i="40"/>
  <c r="I202" i="40"/>
  <c r="AF202" i="40" s="1"/>
  <c r="I201" i="40"/>
  <c r="AF201" i="40" s="1"/>
  <c r="H200" i="40"/>
  <c r="H199" i="40"/>
  <c r="I200" i="40"/>
  <c r="AF200" i="40" s="1"/>
  <c r="I199" i="40"/>
  <c r="AF199" i="40" s="1"/>
  <c r="H198" i="40"/>
  <c r="I198" i="40"/>
  <c r="AF198" i="40" s="1"/>
  <c r="H197" i="40"/>
  <c r="I197" i="40"/>
  <c r="AF197" i="40" s="1"/>
  <c r="H196" i="40"/>
  <c r="H195" i="40"/>
  <c r="H194" i="40"/>
  <c r="I196" i="40"/>
  <c r="AF196" i="40" s="1"/>
  <c r="I195" i="40"/>
  <c r="AF195" i="40" s="1"/>
  <c r="I194" i="40"/>
  <c r="AG194" i="40" s="1"/>
  <c r="H193" i="40"/>
  <c r="I193" i="40"/>
  <c r="AF193" i="40" s="1"/>
  <c r="H192" i="40"/>
  <c r="I192" i="40"/>
  <c r="H191" i="40"/>
  <c r="H189" i="40"/>
  <c r="H190" i="40"/>
  <c r="H188" i="40"/>
  <c r="I191" i="40"/>
  <c r="I190" i="40"/>
  <c r="I189" i="40"/>
  <c r="I188" i="40"/>
  <c r="H187" i="40"/>
  <c r="I187" i="40"/>
  <c r="H186" i="40"/>
  <c r="I186" i="40"/>
  <c r="F1010" i="2"/>
  <c r="H574" i="39"/>
  <c r="H573" i="39"/>
  <c r="H572" i="39"/>
  <c r="H571" i="39"/>
  <c r="H1015" i="2"/>
  <c r="H1014" i="2"/>
  <c r="H1013" i="2"/>
  <c r="H1010" i="2"/>
  <c r="H570" i="39"/>
  <c r="F1007" i="2"/>
  <c r="H1007" i="2"/>
  <c r="AG195" i="40" l="1"/>
  <c r="AG197" i="40"/>
  <c r="AG201" i="40"/>
  <c r="AG193" i="40"/>
  <c r="AF194" i="40"/>
  <c r="AF203" i="40"/>
  <c r="AG199" i="40"/>
  <c r="AG205" i="40"/>
  <c r="AG204" i="40"/>
  <c r="AG196" i="40"/>
  <c r="AG198" i="40"/>
  <c r="AG200" i="40"/>
  <c r="AG202" i="40"/>
  <c r="AG206" i="40"/>
  <c r="AF207" i="40"/>
  <c r="I542" i="2"/>
  <c r="H569" i="39" l="1"/>
  <c r="H568" i="39" l="1"/>
  <c r="H567" i="39" l="1"/>
  <c r="AY687" i="2" l="1"/>
  <c r="J687" i="2" s="1"/>
  <c r="H621" i="2" l="1"/>
  <c r="BB621" i="2" s="1"/>
  <c r="BE621" i="2" s="1"/>
  <c r="H566" i="39"/>
  <c r="H565" i="39" l="1"/>
  <c r="H698" i="2"/>
  <c r="BB698" i="2" s="1"/>
  <c r="BE698" i="2" s="1"/>
  <c r="H564" i="39" l="1"/>
  <c r="H563" i="39" l="1"/>
  <c r="H562" i="39" l="1"/>
  <c r="H561" i="39" l="1"/>
  <c r="H560" i="39"/>
  <c r="H559" i="39"/>
  <c r="H558" i="39"/>
  <c r="H365" i="2"/>
  <c r="H557" i="39"/>
  <c r="H556" i="39"/>
  <c r="H555" i="39"/>
  <c r="H554" i="39"/>
  <c r="H553" i="39"/>
  <c r="H552" i="39"/>
  <c r="H551" i="39"/>
  <c r="H550" i="39"/>
  <c r="H549" i="39"/>
  <c r="H795" i="2" l="1"/>
  <c r="H548" i="39"/>
  <c r="H547" i="39"/>
  <c r="F1018" i="2" l="1"/>
  <c r="H1018" i="2"/>
  <c r="H546" i="39"/>
  <c r="H545" i="39"/>
  <c r="F1017" i="2"/>
  <c r="H1017" i="2"/>
  <c r="H544" i="39"/>
  <c r="H543" i="39"/>
  <c r="F863" i="2"/>
  <c r="H863" i="2"/>
  <c r="H542" i="39"/>
  <c r="H783" i="2"/>
  <c r="H541" i="39"/>
  <c r="AB45" i="40"/>
  <c r="AB46" i="40"/>
  <c r="AB47" i="40"/>
  <c r="AB48" i="40"/>
  <c r="AB49" i="40"/>
  <c r="AB50" i="40"/>
  <c r="AB51" i="40"/>
  <c r="AB52" i="40"/>
  <c r="AB53" i="40"/>
  <c r="AB54" i="40"/>
  <c r="AB55" i="40"/>
  <c r="AB56" i="40"/>
  <c r="AB57" i="40"/>
  <c r="AB58" i="40"/>
  <c r="AB59" i="40"/>
  <c r="AB60" i="40"/>
  <c r="AB61" i="40"/>
  <c r="AB62" i="40"/>
  <c r="AB63" i="40"/>
  <c r="AB64" i="40"/>
  <c r="AB65" i="40"/>
  <c r="AB66" i="40"/>
  <c r="AB67" i="40"/>
  <c r="AB68" i="40"/>
  <c r="AB69" i="40"/>
  <c r="AB70" i="40"/>
  <c r="AB71" i="40"/>
  <c r="AB72" i="40"/>
  <c r="AB73" i="40"/>
  <c r="AB74" i="40"/>
  <c r="AB75" i="40"/>
  <c r="AB76" i="40"/>
  <c r="AB77" i="40"/>
  <c r="AB78" i="40"/>
  <c r="AB79" i="40"/>
  <c r="AB80" i="40"/>
  <c r="AB81" i="40"/>
  <c r="AB82" i="40"/>
  <c r="AB83" i="40"/>
  <c r="AB84" i="40"/>
  <c r="AB85" i="40"/>
  <c r="AB86" i="40"/>
  <c r="AB87" i="40"/>
  <c r="AB88" i="40"/>
  <c r="AB89" i="40"/>
  <c r="AB92" i="40"/>
  <c r="AB93" i="40"/>
  <c r="AB94" i="40"/>
  <c r="AB95" i="40"/>
  <c r="AB96" i="40"/>
  <c r="AB97" i="40"/>
  <c r="AB98" i="40"/>
  <c r="AB99" i="40"/>
  <c r="AB100" i="40"/>
  <c r="AB101" i="40"/>
  <c r="AB102" i="40"/>
  <c r="AB103" i="40"/>
  <c r="AB104" i="40"/>
  <c r="AB105" i="40"/>
  <c r="AB106" i="40"/>
  <c r="AB107" i="40"/>
  <c r="AB108" i="40"/>
  <c r="AB109" i="40"/>
  <c r="AB110" i="40"/>
  <c r="AB111" i="40"/>
  <c r="AB112" i="40"/>
  <c r="AB113" i="40"/>
  <c r="AB114" i="40"/>
  <c r="AB131" i="40"/>
  <c r="AB132" i="40"/>
  <c r="AB133" i="40"/>
  <c r="AB134" i="40"/>
  <c r="AB135" i="40"/>
  <c r="AB136" i="40"/>
  <c r="AB137" i="40"/>
  <c r="AB138" i="40"/>
  <c r="AB139" i="40"/>
  <c r="AB140" i="40"/>
  <c r="AB141" i="40"/>
  <c r="AB142" i="40"/>
  <c r="AB143" i="40"/>
  <c r="AB144" i="40"/>
  <c r="AB145" i="40"/>
  <c r="AB146" i="40"/>
  <c r="AB147" i="40"/>
  <c r="AB148" i="40"/>
  <c r="AB149" i="40"/>
  <c r="AB150" i="40"/>
  <c r="AB151" i="40"/>
  <c r="AB152" i="40"/>
  <c r="AB153" i="40"/>
  <c r="AB154" i="40"/>
  <c r="AB155" i="40"/>
  <c r="AB156" i="40"/>
  <c r="AB157" i="40"/>
  <c r="AB158" i="40"/>
  <c r="AB159" i="40"/>
  <c r="AB160" i="40"/>
  <c r="AB161" i="40"/>
  <c r="AB162" i="40"/>
  <c r="AB163" i="40"/>
  <c r="AB164" i="40"/>
  <c r="AB165" i="40"/>
  <c r="AB166" i="40"/>
  <c r="AB167" i="40"/>
  <c r="AB168" i="40"/>
  <c r="AB169" i="40"/>
  <c r="AB170" i="40"/>
  <c r="AB171" i="40"/>
  <c r="AB172" i="40"/>
  <c r="AB179" i="40"/>
  <c r="AB180" i="40"/>
  <c r="AB181" i="40"/>
  <c r="AB182" i="40"/>
  <c r="AB183" i="40"/>
  <c r="K128" i="40" l="1"/>
  <c r="K126" i="40"/>
  <c r="K125" i="40"/>
  <c r="K124" i="40"/>
  <c r="K123" i="40"/>
  <c r="K122" i="40"/>
  <c r="K117" i="40"/>
  <c r="J545" i="2"/>
  <c r="J544" i="2"/>
  <c r="J324" i="2"/>
  <c r="BA324" i="2"/>
  <c r="J318" i="2"/>
  <c r="BA318" i="2"/>
  <c r="BA612" i="2" l="1"/>
  <c r="J612" i="2"/>
  <c r="J611" i="2"/>
  <c r="J439" i="2"/>
  <c r="BA439" i="2"/>
  <c r="J386" i="2"/>
  <c r="BA252" i="2"/>
  <c r="J118" i="2"/>
  <c r="H540" i="39" l="1"/>
  <c r="H539" i="39"/>
  <c r="H538" i="39"/>
  <c r="H537" i="39"/>
  <c r="H784" i="2"/>
  <c r="H536" i="39"/>
  <c r="H535" i="39"/>
  <c r="AV253" i="2"/>
  <c r="J253" i="2" s="1"/>
  <c r="H534" i="39" l="1"/>
  <c r="H533" i="39" l="1"/>
  <c r="AZ406" i="2" l="1"/>
  <c r="BB406" i="2" s="1"/>
  <c r="BE406" i="2" s="1"/>
  <c r="AY406" i="2" l="1"/>
  <c r="J406" i="2" s="1"/>
  <c r="H532" i="39" l="1"/>
  <c r="H531" i="39"/>
  <c r="H429" i="2"/>
  <c r="BB429" i="2" l="1"/>
  <c r="BE429" i="2" s="1"/>
  <c r="H530" i="39"/>
  <c r="H274" i="2"/>
  <c r="BA274" i="2"/>
  <c r="BB274" i="2" l="1"/>
  <c r="BE274" i="2" s="1"/>
  <c r="H588" i="2"/>
  <c r="BB588" i="2" s="1"/>
  <c r="BE588" i="2" s="1"/>
  <c r="H529" i="39"/>
  <c r="H528" i="39" l="1"/>
  <c r="H527" i="39"/>
  <c r="H526" i="39"/>
  <c r="H525" i="39"/>
  <c r="H524" i="39"/>
  <c r="J806" i="2" l="1"/>
  <c r="J800" i="2"/>
  <c r="AY801" i="2"/>
  <c r="J801" i="2" s="1"/>
  <c r="AY431" i="2"/>
  <c r="J431" i="2" s="1"/>
  <c r="AY445" i="2"/>
  <c r="J445" i="2" s="1"/>
  <c r="H523" i="39" l="1"/>
  <c r="H522" i="39"/>
  <c r="H521" i="39"/>
  <c r="H514" i="39"/>
  <c r="H515" i="39"/>
  <c r="H516" i="39"/>
  <c r="H517" i="39"/>
  <c r="H518" i="39"/>
  <c r="H519" i="39"/>
  <c r="H520" i="39"/>
  <c r="H700" i="2" l="1"/>
  <c r="H510" i="39" l="1"/>
  <c r="H511" i="39"/>
  <c r="H512" i="39"/>
  <c r="H513" i="39"/>
  <c r="H618" i="2"/>
  <c r="H624" i="2"/>
  <c r="H650" i="2"/>
  <c r="H633" i="2"/>
  <c r="I183" i="40"/>
  <c r="I182" i="40"/>
  <c r="I181" i="40"/>
  <c r="H682" i="2"/>
  <c r="H680" i="2"/>
  <c r="H670" i="2"/>
  <c r="H691" i="2"/>
  <c r="H664" i="2"/>
  <c r="H662" i="2"/>
  <c r="AF182" i="40" l="1"/>
  <c r="AG182" i="40"/>
  <c r="AF181" i="40"/>
  <c r="AG181" i="40"/>
  <c r="AF183" i="40"/>
  <c r="AG183" i="40"/>
  <c r="H509" i="39"/>
  <c r="H545" i="2" l="1"/>
  <c r="BB545" i="2" l="1"/>
  <c r="BE545" i="2" s="1"/>
  <c r="H508" i="39"/>
  <c r="H386" i="2" l="1"/>
  <c r="H507" i="39"/>
  <c r="BB386" i="2" l="1"/>
  <c r="BE386" i="2" s="1"/>
  <c r="H363" i="2"/>
  <c r="H506" i="39"/>
  <c r="AW363" i="2" l="1"/>
  <c r="BB363" i="2" s="1"/>
  <c r="BE363" i="2" s="1"/>
  <c r="AV363" i="2" l="1"/>
  <c r="J363" i="2" s="1"/>
  <c r="H505" i="39"/>
  <c r="H389" i="2"/>
  <c r="AZ389" i="2" l="1"/>
  <c r="BB389" i="2" s="1"/>
  <c r="BE389" i="2" s="1"/>
  <c r="AY389" i="2"/>
  <c r="J389" i="2" s="1"/>
  <c r="H504" i="39" l="1"/>
  <c r="H418" i="2"/>
  <c r="H503" i="39" l="1"/>
  <c r="H502" i="39" l="1"/>
  <c r="H501" i="39" l="1"/>
  <c r="H500" i="39" l="1"/>
  <c r="H499" i="39"/>
  <c r="H498" i="39" l="1"/>
  <c r="J72" i="2" l="1"/>
  <c r="J34" i="2"/>
  <c r="J35" i="2"/>
  <c r="F868" i="2"/>
  <c r="H497" i="39" l="1"/>
  <c r="H496" i="39" l="1"/>
  <c r="H324" i="2"/>
  <c r="BB324" i="2" l="1"/>
  <c r="BE324" i="2" s="1"/>
  <c r="H318" i="2"/>
  <c r="H495" i="39"/>
  <c r="BB318" i="2" l="1"/>
  <c r="BE318" i="2" s="1"/>
  <c r="H494" i="39"/>
  <c r="H544" i="2"/>
  <c r="BB544" i="2" l="1"/>
  <c r="BE544" i="2" s="1"/>
  <c r="H493" i="39"/>
  <c r="H492" i="39" l="1"/>
  <c r="H491" i="39"/>
  <c r="F880" i="2"/>
  <c r="H880" i="2"/>
  <c r="I115" i="40" l="1"/>
  <c r="H490" i="39"/>
  <c r="Y115" i="40"/>
  <c r="K115" i="40" s="1"/>
  <c r="Z115" i="40"/>
  <c r="AB115" i="40" s="1"/>
  <c r="H489" i="39" l="1"/>
  <c r="I126" i="40"/>
  <c r="H488" i="39" l="1"/>
  <c r="I116" i="40"/>
  <c r="Y116" i="40"/>
  <c r="K116" i="40" s="1"/>
  <c r="Z116" i="40"/>
  <c r="AB116" i="40" s="1"/>
  <c r="I128" i="40" l="1"/>
  <c r="H487" i="39" l="1"/>
  <c r="H486" i="39"/>
  <c r="I120" i="40"/>
  <c r="Z120" i="40"/>
  <c r="AB120" i="40" s="1"/>
  <c r="Y120" i="40"/>
  <c r="K120" i="40" s="1"/>
  <c r="I123" i="40" l="1"/>
  <c r="H485" i="39"/>
  <c r="I122" i="40" l="1"/>
  <c r="H484" i="39"/>
  <c r="I125" i="40" l="1"/>
  <c r="H483" i="39"/>
  <c r="H482" i="39" l="1"/>
  <c r="I117" i="40"/>
  <c r="H481" i="39" l="1"/>
  <c r="I119" i="40"/>
  <c r="Z119" i="40"/>
  <c r="AB119" i="40" s="1"/>
  <c r="Y119" i="40"/>
  <c r="K119" i="40" s="1"/>
  <c r="I124" i="40" l="1"/>
  <c r="H480" i="39" l="1"/>
  <c r="I118" i="40"/>
  <c r="H479" i="39"/>
  <c r="Z118" i="40"/>
  <c r="AB118" i="40" s="1"/>
  <c r="Y118" i="40"/>
  <c r="K118" i="40" s="1"/>
  <c r="H478" i="39" l="1"/>
  <c r="H477" i="39" l="1"/>
  <c r="AW414" i="2" l="1"/>
  <c r="AV414" i="2"/>
  <c r="J414" i="2" s="1"/>
  <c r="H476" i="39" l="1"/>
  <c r="H414" i="2"/>
  <c r="BB414" i="2" l="1"/>
  <c r="BE414" i="2" s="1"/>
  <c r="H475" i="39"/>
  <c r="H439" i="2"/>
  <c r="BB439" i="2" l="1"/>
  <c r="BE439" i="2" s="1"/>
  <c r="H474" i="39"/>
  <c r="H473" i="39" l="1"/>
  <c r="AW252" i="2" l="1"/>
  <c r="AZ252" i="2"/>
  <c r="AZ7" i="2" s="1"/>
  <c r="AY252" i="2"/>
  <c r="AV252" i="2"/>
  <c r="H252" i="2"/>
  <c r="H472" i="39"/>
  <c r="BB252" i="2" l="1"/>
  <c r="BE252" i="2" s="1"/>
  <c r="J252" i="2"/>
  <c r="H471" i="39" l="1"/>
  <c r="H470" i="39"/>
  <c r="H469" i="39" l="1"/>
  <c r="H468" i="39" l="1"/>
  <c r="I588" i="2" l="1"/>
  <c r="H467" i="39"/>
  <c r="H466" i="39" l="1"/>
  <c r="F800" i="2"/>
  <c r="H800" i="2"/>
  <c r="H465" i="39" l="1"/>
  <c r="H464" i="39" l="1"/>
  <c r="H463" i="39" l="1"/>
  <c r="H612" i="2"/>
  <c r="BB612" i="2" s="1"/>
  <c r="BE612" i="2" s="1"/>
  <c r="H462" i="39" l="1"/>
  <c r="I238" i="2"/>
  <c r="H238" i="2"/>
  <c r="BB238" i="2" s="1"/>
  <c r="BE238" i="2" s="1"/>
  <c r="H118" i="2" l="1"/>
  <c r="I118" i="2" s="1"/>
  <c r="H461" i="39"/>
  <c r="BB118" i="2" l="1"/>
  <c r="BE118" i="2" s="1"/>
  <c r="H460" i="39"/>
  <c r="F806" i="2"/>
  <c r="H806" i="2"/>
  <c r="H459" i="39"/>
  <c r="F866" i="2"/>
  <c r="H866" i="2"/>
  <c r="AY7" i="2" l="1"/>
  <c r="K127" i="40"/>
  <c r="H458" i="39" l="1"/>
  <c r="H457" i="39"/>
  <c r="H456" i="39"/>
  <c r="H455" i="39"/>
  <c r="H454" i="39"/>
  <c r="H453" i="39"/>
  <c r="H452" i="39"/>
  <c r="H451" i="39"/>
  <c r="H450" i="39"/>
  <c r="H449" i="39"/>
  <c r="H448" i="39"/>
  <c r="H447" i="39"/>
  <c r="H446" i="39"/>
  <c r="H445" i="39"/>
  <c r="H444" i="39"/>
  <c r="H443" i="39"/>
  <c r="H442" i="39"/>
  <c r="H441" i="39"/>
  <c r="H759" i="2"/>
  <c r="H440" i="39" l="1"/>
  <c r="H439" i="39"/>
  <c r="H438" i="39"/>
  <c r="H437" i="39"/>
  <c r="H436" i="39"/>
  <c r="H435" i="39"/>
  <c r="H434" i="39"/>
  <c r="H433" i="39"/>
  <c r="H432" i="39" l="1"/>
  <c r="H431" i="39"/>
  <c r="H430" i="39"/>
  <c r="H1000" i="2"/>
  <c r="F973" i="2"/>
  <c r="H973" i="2"/>
  <c r="H977" i="2" l="1"/>
  <c r="H429" i="39"/>
  <c r="H428" i="39"/>
  <c r="H983" i="2"/>
  <c r="H978" i="2"/>
  <c r="H427" i="39"/>
  <c r="H426" i="39"/>
  <c r="I180" i="40"/>
  <c r="AG180" i="40" s="1"/>
  <c r="I179" i="40"/>
  <c r="AG179" i="40" s="1"/>
  <c r="AF180" i="40" l="1"/>
  <c r="AF179" i="40"/>
  <c r="H425" i="39"/>
  <c r="I178" i="40"/>
  <c r="I177" i="40"/>
  <c r="H424" i="39"/>
  <c r="H423" i="39"/>
  <c r="H422" i="39"/>
  <c r="H421" i="39"/>
  <c r="H420" i="39"/>
  <c r="I173" i="40"/>
  <c r="H419" i="39"/>
  <c r="H418" i="39"/>
  <c r="H417" i="39"/>
  <c r="H416" i="39"/>
  <c r="H415" i="39"/>
  <c r="H414" i="39" l="1"/>
  <c r="H413" i="39" l="1"/>
  <c r="J954" i="2" l="1"/>
  <c r="H412" i="39" l="1"/>
  <c r="H411" i="39" l="1"/>
  <c r="H410" i="39" l="1"/>
  <c r="H409" i="39"/>
  <c r="H408" i="39"/>
  <c r="H699" i="2"/>
  <c r="H407" i="39"/>
  <c r="H406" i="39"/>
  <c r="H405" i="39"/>
  <c r="H404" i="39"/>
  <c r="H403" i="39"/>
  <c r="H402" i="39" l="1"/>
  <c r="H417" i="2"/>
  <c r="H379" i="39"/>
  <c r="H380" i="39"/>
  <c r="H381" i="39"/>
  <c r="H382" i="39"/>
  <c r="H383" i="39"/>
  <c r="H384" i="39"/>
  <c r="H385" i="39"/>
  <c r="H386" i="39"/>
  <c r="H387" i="39"/>
  <c r="H388" i="39"/>
  <c r="H389" i="39"/>
  <c r="H390" i="39"/>
  <c r="H391" i="39"/>
  <c r="H392" i="39"/>
  <c r="H393" i="39"/>
  <c r="H394" i="39"/>
  <c r="H395" i="39"/>
  <c r="H396" i="39"/>
  <c r="H397" i="39"/>
  <c r="H398" i="39"/>
  <c r="H399" i="39"/>
  <c r="H400" i="39"/>
  <c r="H401" i="39"/>
  <c r="I171" i="40"/>
  <c r="AF171" i="40" s="1"/>
  <c r="I170" i="40"/>
  <c r="AG170" i="40" s="1"/>
  <c r="I169" i="40"/>
  <c r="AF169" i="40" s="1"/>
  <c r="I168" i="40"/>
  <c r="AF168" i="40" s="1"/>
  <c r="I167" i="40"/>
  <c r="AF167" i="40" s="1"/>
  <c r="I172" i="40"/>
  <c r="AF172" i="40" s="1"/>
  <c r="I166" i="40"/>
  <c r="I165" i="40"/>
  <c r="I164" i="40"/>
  <c r="AG172" i="40" l="1"/>
  <c r="AF170" i="40"/>
  <c r="AG168" i="40"/>
  <c r="AG169" i="40"/>
  <c r="AG171" i="40"/>
  <c r="AG167" i="40"/>
  <c r="I163" i="40" l="1"/>
  <c r="I162" i="40"/>
  <c r="I161" i="40"/>
  <c r="I160" i="40"/>
  <c r="I159" i="40"/>
  <c r="I158" i="40"/>
  <c r="I157" i="40"/>
  <c r="I156" i="40"/>
  <c r="I155" i="40"/>
  <c r="I154" i="40"/>
  <c r="I153" i="40"/>
  <c r="I152" i="40"/>
  <c r="I151" i="40"/>
  <c r="I150" i="40"/>
  <c r="AG150" i="40" s="1"/>
  <c r="H42" i="40"/>
  <c r="H41" i="40"/>
  <c r="H36" i="40"/>
  <c r="H35" i="40"/>
  <c r="H34" i="40"/>
  <c r="H33" i="40"/>
  <c r="AF150" i="40" l="1"/>
  <c r="AF156" i="40"/>
  <c r="AG156" i="40"/>
  <c r="AG157" i="40"/>
  <c r="AF157" i="40"/>
  <c r="AF158" i="40"/>
  <c r="AG158" i="40"/>
  <c r="AF151" i="40"/>
  <c r="AG151" i="40"/>
  <c r="AF159" i="40"/>
  <c r="AG159" i="40"/>
  <c r="AG152" i="40"/>
  <c r="AF152" i="40"/>
  <c r="AG161" i="40"/>
  <c r="AF161" i="40"/>
  <c r="AG160" i="40"/>
  <c r="AF160" i="40"/>
  <c r="AG153" i="40"/>
  <c r="AF153" i="40"/>
  <c r="AF154" i="40"/>
  <c r="AG154" i="40"/>
  <c r="AF162" i="40"/>
  <c r="AG162" i="40"/>
  <c r="AG155" i="40"/>
  <c r="AF155" i="40"/>
  <c r="AG163" i="40"/>
  <c r="AF163" i="40"/>
  <c r="H644" i="2"/>
  <c r="H648" i="2"/>
  <c r="H654" i="2"/>
  <c r="H378" i="39"/>
  <c r="F709" i="2"/>
  <c r="H709" i="2"/>
  <c r="H360" i="39"/>
  <c r="H361" i="39"/>
  <c r="H362" i="39"/>
  <c r="H363" i="39"/>
  <c r="H364" i="39"/>
  <c r="H365" i="39"/>
  <c r="H366" i="39"/>
  <c r="H367" i="39"/>
  <c r="H368" i="39"/>
  <c r="H369" i="39"/>
  <c r="H370" i="39"/>
  <c r="H371" i="39"/>
  <c r="H372" i="39"/>
  <c r="H373" i="39"/>
  <c r="H374" i="39"/>
  <c r="H375" i="39"/>
  <c r="H376" i="39"/>
  <c r="H377" i="39"/>
  <c r="H359" i="39"/>
  <c r="H132" i="40"/>
  <c r="H149" i="40"/>
  <c r="H148" i="40"/>
  <c r="H147" i="40"/>
  <c r="H146" i="40"/>
  <c r="H145" i="40"/>
  <c r="H144" i="40"/>
  <c r="H143" i="40"/>
  <c r="H142" i="40"/>
  <c r="H141" i="40"/>
  <c r="H140" i="40"/>
  <c r="H139" i="40"/>
  <c r="H138" i="40"/>
  <c r="H137" i="40"/>
  <c r="H136" i="40"/>
  <c r="H135" i="40"/>
  <c r="H134" i="40"/>
  <c r="H133" i="40"/>
  <c r="H131" i="40"/>
  <c r="I149" i="40"/>
  <c r="AF149" i="40" s="1"/>
  <c r="I148" i="40"/>
  <c r="AF148" i="40" s="1"/>
  <c r="I147" i="40"/>
  <c r="AG147" i="40" s="1"/>
  <c r="I146" i="40"/>
  <c r="AF146" i="40" s="1"/>
  <c r="I145" i="40"/>
  <c r="AG145" i="40" s="1"/>
  <c r="I144" i="40"/>
  <c r="AF144" i="40" s="1"/>
  <c r="I143" i="40"/>
  <c r="AG143" i="40" s="1"/>
  <c r="I142" i="40"/>
  <c r="AF142" i="40" s="1"/>
  <c r="I141" i="40"/>
  <c r="AF141" i="40" s="1"/>
  <c r="I140" i="40"/>
  <c r="AF140" i="40" s="1"/>
  <c r="I139" i="40"/>
  <c r="AF139" i="40" s="1"/>
  <c r="I138" i="40"/>
  <c r="AF138" i="40" s="1"/>
  <c r="I137" i="40"/>
  <c r="AF137" i="40" s="1"/>
  <c r="I136" i="40"/>
  <c r="AF136" i="40" s="1"/>
  <c r="I135" i="40"/>
  <c r="AG135" i="40" s="1"/>
  <c r="I134" i="40"/>
  <c r="AF134" i="40" s="1"/>
  <c r="I133" i="40"/>
  <c r="AF133" i="40" s="1"/>
  <c r="I132" i="40"/>
  <c r="AF132" i="40" s="1"/>
  <c r="I131" i="40"/>
  <c r="H356" i="39"/>
  <c r="H357" i="39"/>
  <c r="H358" i="39"/>
  <c r="F654" i="2"/>
  <c r="F648" i="2"/>
  <c r="F644" i="2"/>
  <c r="AG133" i="40" l="1"/>
  <c r="AG146" i="40"/>
  <c r="AF135" i="40"/>
  <c r="AF145" i="40"/>
  <c r="AF143" i="40"/>
  <c r="AG141" i="40"/>
  <c r="AG149" i="40"/>
  <c r="AG138" i="40"/>
  <c r="AG137" i="40"/>
  <c r="AF147" i="40"/>
  <c r="AG148" i="40"/>
  <c r="AG144" i="40"/>
  <c r="AG140" i="40"/>
  <c r="AG136" i="40"/>
  <c r="AG132" i="40"/>
  <c r="AG139" i="40"/>
  <c r="AG142" i="40"/>
  <c r="AG134" i="40"/>
  <c r="H355" i="39"/>
  <c r="J796" i="2" l="1"/>
  <c r="J794" i="2"/>
  <c r="J470" i="2"/>
  <c r="J440" i="2"/>
  <c r="J430" i="2"/>
  <c r="J413" i="2"/>
  <c r="J656" i="2"/>
  <c r="J652" i="2"/>
  <c r="J642" i="2"/>
  <c r="J620" i="2"/>
  <c r="J617" i="2"/>
  <c r="J613" i="2"/>
  <c r="J237" i="2"/>
  <c r="J196" i="2"/>
  <c r="K114" i="40" l="1"/>
  <c r="K113" i="40"/>
  <c r="K112" i="40"/>
  <c r="K111" i="40"/>
  <c r="K110" i="40"/>
  <c r="K109" i="40"/>
  <c r="K108" i="40"/>
  <c r="K107" i="40"/>
  <c r="K106" i="40"/>
  <c r="K105" i="40"/>
  <c r="K104" i="40"/>
  <c r="K103" i="40"/>
  <c r="K102" i="40"/>
  <c r="K101" i="40"/>
  <c r="K100" i="40"/>
  <c r="K99" i="40"/>
  <c r="K98" i="40"/>
  <c r="K97" i="40"/>
  <c r="K96" i="40"/>
  <c r="K95" i="40"/>
  <c r="K94" i="40"/>
  <c r="K93" i="40"/>
  <c r="K92" i="40"/>
  <c r="J868" i="2"/>
  <c r="J715" i="2"/>
  <c r="J686" i="2"/>
  <c r="J668" i="2"/>
  <c r="J666" i="2"/>
  <c r="BA557" i="2" l="1"/>
  <c r="BA244" i="2"/>
  <c r="BA232" i="2"/>
  <c r="BA230" i="2"/>
  <c r="BA228" i="2"/>
  <c r="BA215" i="2"/>
  <c r="BA209" i="2"/>
  <c r="BA207" i="2"/>
  <c r="BA204" i="2"/>
  <c r="BA202" i="2"/>
  <c r="BA198" i="2"/>
  <c r="BB196" i="2"/>
  <c r="BE196" i="2" s="1"/>
  <c r="BA560" i="2"/>
  <c r="BA559" i="2"/>
  <c r="BA558" i="2"/>
  <c r="BA534" i="2"/>
  <c r="BA533" i="2"/>
  <c r="BA532" i="2"/>
  <c r="BA531" i="2"/>
  <c r="BA530" i="2"/>
  <c r="BA529" i="2"/>
  <c r="BA528" i="2"/>
  <c r="BA527" i="2"/>
  <c r="BA526" i="2"/>
  <c r="BA525" i="2"/>
  <c r="BB527" i="2" l="1"/>
  <c r="BE527" i="2" s="1"/>
  <c r="BB559" i="2"/>
  <c r="BE559" i="2" s="1"/>
  <c r="BB215" i="2"/>
  <c r="BE215" i="2" s="1"/>
  <c r="BB526" i="2"/>
  <c r="BE526" i="2" s="1"/>
  <c r="BB209" i="2"/>
  <c r="BE209" i="2" s="1"/>
  <c r="BB530" i="2"/>
  <c r="BE530" i="2" s="1"/>
  <c r="BB230" i="2"/>
  <c r="BE230" i="2" s="1"/>
  <c r="BB558" i="2"/>
  <c r="BE558" i="2" s="1"/>
  <c r="BB228" i="2"/>
  <c r="BE228" i="2" s="1"/>
  <c r="BB531" i="2"/>
  <c r="BE531" i="2" s="1"/>
  <c r="BB198" i="2"/>
  <c r="BE198" i="2" s="1"/>
  <c r="BB232" i="2"/>
  <c r="BE232" i="2" s="1"/>
  <c r="BB207" i="2"/>
  <c r="BE207" i="2" s="1"/>
  <c r="BB529" i="2"/>
  <c r="BE529" i="2" s="1"/>
  <c r="BB560" i="2"/>
  <c r="BE560" i="2" s="1"/>
  <c r="BB532" i="2"/>
  <c r="BE532" i="2" s="1"/>
  <c r="BB202" i="2"/>
  <c r="BE202" i="2" s="1"/>
  <c r="BB244" i="2"/>
  <c r="BE244" i="2" s="1"/>
  <c r="BB204" i="2"/>
  <c r="BE204" i="2" s="1"/>
  <c r="BB557" i="2"/>
  <c r="BE557" i="2" s="1"/>
  <c r="BA332" i="2"/>
  <c r="BA312" i="2"/>
  <c r="BA297" i="2"/>
  <c r="BA276" i="2"/>
  <c r="I399" i="2"/>
  <c r="I92" i="2"/>
  <c r="BB297" i="2" l="1"/>
  <c r="BE297" i="2" s="1"/>
  <c r="BB276" i="2"/>
  <c r="BE276" i="2" s="1"/>
  <c r="BB312" i="2"/>
  <c r="BE312" i="2" s="1"/>
  <c r="BB332" i="2"/>
  <c r="BE332" i="2" s="1"/>
  <c r="X7" i="40"/>
  <c r="I423" i="2" l="1"/>
  <c r="I293" i="2"/>
  <c r="BA293" i="2" s="1"/>
  <c r="H56" i="2"/>
  <c r="I56" i="2" s="1"/>
  <c r="BB293" i="2" l="1"/>
  <c r="BA56" i="2"/>
  <c r="BA543" i="2"/>
  <c r="BB543" i="2" l="1"/>
  <c r="BE543" i="2" s="1"/>
  <c r="BB56" i="2"/>
  <c r="BE56" i="2" s="1"/>
  <c r="H354" i="39"/>
  <c r="H169" i="2"/>
  <c r="I169" i="2" l="1"/>
  <c r="AW169" i="2"/>
  <c r="BA169" i="2" s="1"/>
  <c r="AV168" i="2"/>
  <c r="J168" i="2" s="1"/>
  <c r="AV169" i="2"/>
  <c r="J169" i="2" s="1"/>
  <c r="BB169" i="2" l="1"/>
  <c r="BE169" i="2" s="1"/>
  <c r="H353" i="39"/>
  <c r="H352" i="39"/>
  <c r="H351" i="39"/>
  <c r="H350" i="39"/>
  <c r="H349" i="39"/>
  <c r="H348" i="39"/>
  <c r="I127" i="40"/>
  <c r="AG127" i="40" s="1"/>
  <c r="H347" i="39"/>
  <c r="H346" i="39"/>
  <c r="H345" i="39"/>
  <c r="H344" i="39"/>
  <c r="H343" i="39"/>
  <c r="H342" i="39"/>
  <c r="H267" i="39"/>
  <c r="H340" i="39"/>
  <c r="AF127" i="40" l="1"/>
  <c r="H16" i="39"/>
  <c r="H339" i="39" l="1"/>
  <c r="H338" i="39"/>
  <c r="H337" i="39"/>
  <c r="H336" i="39"/>
  <c r="F864" i="2"/>
  <c r="H864" i="2"/>
  <c r="H335" i="39"/>
  <c r="F865" i="2"/>
  <c r="H865" i="2"/>
  <c r="H334" i="39" l="1"/>
  <c r="F862" i="2"/>
  <c r="H862" i="2"/>
  <c r="H310" i="39"/>
  <c r="H311" i="39"/>
  <c r="H312" i="39"/>
  <c r="H313" i="39"/>
  <c r="H314" i="39"/>
  <c r="H315" i="39"/>
  <c r="H316" i="39"/>
  <c r="H317" i="39"/>
  <c r="H318" i="39"/>
  <c r="H319" i="39"/>
  <c r="H320" i="39"/>
  <c r="H321" i="39"/>
  <c r="H322" i="39"/>
  <c r="H323" i="39"/>
  <c r="H324" i="39"/>
  <c r="H325" i="39"/>
  <c r="H326" i="39"/>
  <c r="H327" i="39"/>
  <c r="H328" i="39"/>
  <c r="H329" i="39"/>
  <c r="H330" i="39"/>
  <c r="H331" i="39"/>
  <c r="H332" i="39"/>
  <c r="H333" i="39"/>
  <c r="H992" i="2"/>
  <c r="H995" i="2"/>
  <c r="H971" i="2"/>
  <c r="H1004" i="2"/>
  <c r="H996" i="2"/>
  <c r="H993" i="2"/>
  <c r="H998" i="2"/>
  <c r="H1003" i="2"/>
  <c r="F968" i="2"/>
  <c r="H968" i="2"/>
  <c r="F985" i="2"/>
  <c r="H985" i="2"/>
  <c r="F997" i="2"/>
  <c r="H997" i="2"/>
  <c r="H982" i="2"/>
  <c r="F958" i="2"/>
  <c r="H958" i="2"/>
  <c r="H994" i="2"/>
  <c r="H970" i="2"/>
  <c r="H987" i="2"/>
  <c r="H975" i="2"/>
  <c r="H981" i="2"/>
  <c r="H1001" i="2"/>
  <c r="H980" i="2"/>
  <c r="H984" i="2"/>
  <c r="H961" i="2"/>
  <c r="H1002" i="2"/>
  <c r="H999" i="2"/>
  <c r="H309" i="39"/>
  <c r="H308" i="39"/>
  <c r="H307" i="39"/>
  <c r="H956" i="2"/>
  <c r="H306" i="39" l="1"/>
  <c r="H305" i="39"/>
  <c r="H304" i="39"/>
  <c r="H303" i="39" l="1"/>
  <c r="H302" i="39"/>
  <c r="H301" i="39"/>
  <c r="H300" i="39" l="1"/>
  <c r="F168" i="2"/>
  <c r="H299" i="39"/>
  <c r="H298" i="39"/>
  <c r="H297" i="39"/>
  <c r="J1016" i="2" l="1"/>
  <c r="H213" i="2" l="1"/>
  <c r="F430" i="2" l="1"/>
  <c r="H296" i="39"/>
  <c r="H430" i="2"/>
  <c r="H295" i="39"/>
  <c r="F440" i="2"/>
  <c r="H440" i="2"/>
  <c r="H294" i="39"/>
  <c r="F470" i="2"/>
  <c r="H470" i="2"/>
  <c r="H293" i="39"/>
  <c r="F466" i="2"/>
  <c r="H292" i="39"/>
  <c r="F444" i="2"/>
  <c r="H444" i="2"/>
  <c r="H466" i="2" l="1"/>
  <c r="H291" i="39" l="1"/>
  <c r="AW213" i="2" l="1"/>
  <c r="BA213" i="2" s="1"/>
  <c r="AV213" i="2"/>
  <c r="J213" i="2" s="1"/>
  <c r="BB213" i="2" l="1"/>
  <c r="BE213" i="2" s="1"/>
  <c r="H290" i="39"/>
  <c r="F237" i="2"/>
  <c r="H237" i="2"/>
  <c r="H289" i="39"/>
  <c r="H288" i="39" l="1"/>
  <c r="H287" i="39" l="1"/>
  <c r="F794" i="2"/>
  <c r="H794" i="2"/>
  <c r="H286" i="39"/>
  <c r="F462" i="2"/>
  <c r="H462" i="2"/>
  <c r="H263" i="39" l="1"/>
  <c r="H284" i="39" l="1"/>
  <c r="F611" i="2"/>
  <c r="H611" i="2"/>
  <c r="H283" i="39" l="1"/>
  <c r="H282" i="39"/>
  <c r="H12" i="39" l="1"/>
  <c r="H199" i="39" l="1"/>
  <c r="H279" i="39"/>
  <c r="H278" i="39"/>
  <c r="H277" i="39"/>
  <c r="H276" i="39" l="1"/>
  <c r="H275" i="39"/>
  <c r="H274" i="39"/>
  <c r="H5" i="39" l="1"/>
  <c r="H262" i="39"/>
  <c r="H198" i="39"/>
  <c r="H154" i="39"/>
  <c r="H167" i="39"/>
  <c r="H52" i="39"/>
  <c r="H153" i="39"/>
  <c r="H203" i="39"/>
  <c r="H152" i="39"/>
  <c r="H54" i="39"/>
  <c r="H65" i="39"/>
  <c r="H31" i="39"/>
  <c r="H613" i="2" l="1"/>
  <c r="AW249" i="2" l="1"/>
  <c r="AW248" i="2"/>
  <c r="H261" i="39" l="1"/>
  <c r="F185" i="2"/>
  <c r="H185" i="2"/>
  <c r="H260" i="39"/>
  <c r="F686" i="2"/>
  <c r="H686" i="2"/>
  <c r="F666" i="2"/>
  <c r="H259" i="39"/>
  <c r="H666" i="2"/>
  <c r="H258" i="39"/>
  <c r="F620" i="2"/>
  <c r="H620" i="2"/>
  <c r="H257" i="39" l="1"/>
  <c r="F642" i="2"/>
  <c r="H642" i="2"/>
  <c r="H256" i="39"/>
  <c r="F656" i="2"/>
  <c r="H656" i="2"/>
  <c r="H255" i="39"/>
  <c r="F652" i="2"/>
  <c r="H652" i="2"/>
  <c r="H254" i="39"/>
  <c r="F635" i="2"/>
  <c r="H635" i="2"/>
  <c r="H253" i="39"/>
  <c r="F617" i="2"/>
  <c r="H617" i="2"/>
  <c r="H252" i="39"/>
  <c r="F613" i="2"/>
  <c r="F715" i="2" l="1"/>
  <c r="F713" i="2"/>
  <c r="F668" i="2"/>
  <c r="H251" i="39"/>
  <c r="H250" i="39"/>
  <c r="H249" i="39"/>
  <c r="H715" i="2"/>
  <c r="H713" i="2"/>
  <c r="H668" i="2"/>
  <c r="H248" i="39"/>
  <c r="H247" i="39" l="1"/>
  <c r="H246" i="39"/>
  <c r="H245" i="39"/>
  <c r="H244" i="39"/>
  <c r="H243" i="39" l="1"/>
  <c r="H46" i="2"/>
  <c r="H242" i="39" l="1"/>
  <c r="H241" i="39" l="1"/>
  <c r="H240" i="39"/>
  <c r="H239" i="39"/>
  <c r="H238" i="39"/>
  <c r="H237" i="39"/>
  <c r="H236" i="39"/>
  <c r="L115" i="40"/>
  <c r="H235" i="39" l="1"/>
  <c r="I46" i="2" l="1"/>
  <c r="AT46" i="2" l="1"/>
  <c r="H234" i="39" l="1"/>
  <c r="J560" i="2" l="1"/>
  <c r="J559" i="2"/>
  <c r="J558" i="2"/>
  <c r="J534" i="2"/>
  <c r="J533" i="2"/>
  <c r="J532" i="2"/>
  <c r="J531" i="2"/>
  <c r="J530" i="2"/>
  <c r="J529" i="2"/>
  <c r="J528" i="2"/>
  <c r="J527" i="2"/>
  <c r="J526" i="2"/>
  <c r="J525" i="2"/>
  <c r="J399" i="2"/>
  <c r="J209" i="2"/>
  <c r="J204" i="2"/>
  <c r="J202" i="2"/>
  <c r="J198" i="2"/>
  <c r="J215" i="2"/>
  <c r="J557" i="2"/>
  <c r="J56" i="2"/>
  <c r="J550" i="2"/>
  <c r="J556" i="2"/>
  <c r="J442" i="2"/>
  <c r="H40" i="40" l="1"/>
  <c r="H38" i="40"/>
  <c r="H37" i="40"/>
  <c r="H24" i="40"/>
  <c r="K91" i="40"/>
  <c r="K38" i="40"/>
  <c r="K40" i="40"/>
  <c r="K31" i="40"/>
  <c r="K25" i="40"/>
  <c r="K44" i="40"/>
  <c r="K39" i="40"/>
  <c r="K29" i="40"/>
  <c r="K27" i="40"/>
  <c r="K28" i="40"/>
  <c r="K36" i="40"/>
  <c r="K42" i="40"/>
  <c r="K41" i="40"/>
  <c r="K35" i="40"/>
  <c r="K34" i="40"/>
  <c r="K30" i="40"/>
  <c r="K33" i="40"/>
  <c r="K22" i="40"/>
  <c r="J554" i="2"/>
  <c r="K89" i="40"/>
  <c r="K88" i="40"/>
  <c r="K87" i="40"/>
  <c r="K86" i="40"/>
  <c r="K85" i="40"/>
  <c r="K84" i="40"/>
  <c r="K83" i="40"/>
  <c r="K82" i="40"/>
  <c r="K81" i="40"/>
  <c r="K80" i="40"/>
  <c r="K79" i="40"/>
  <c r="K78" i="40"/>
  <c r="K77" i="40"/>
  <c r="K76" i="40"/>
  <c r="K75" i="40"/>
  <c r="K74" i="40"/>
  <c r="K73" i="40"/>
  <c r="K72" i="40"/>
  <c r="K71" i="40"/>
  <c r="K70" i="40"/>
  <c r="K69" i="40"/>
  <c r="K68" i="40"/>
  <c r="K50" i="40"/>
  <c r="K49" i="40"/>
  <c r="K48" i="40"/>
  <c r="K47" i="40"/>
  <c r="K46" i="40"/>
  <c r="K45" i="40"/>
  <c r="J293" i="2"/>
  <c r="K32" i="40"/>
  <c r="H32" i="40"/>
  <c r="D20" i="35"/>
  <c r="D21" i="35"/>
  <c r="D22" i="35"/>
  <c r="D23" i="35"/>
  <c r="D19" i="35"/>
  <c r="L32" i="40" l="1"/>
  <c r="D5" i="35"/>
  <c r="D6" i="35"/>
  <c r="D7" i="35"/>
  <c r="D8" i="35"/>
  <c r="D4" i="35"/>
  <c r="D13" i="35"/>
  <c r="D14" i="35"/>
  <c r="D15" i="35"/>
  <c r="D16" i="35"/>
  <c r="D12" i="35"/>
  <c r="J315" i="2"/>
  <c r="J271" i="2"/>
  <c r="H233" i="39" l="1"/>
  <c r="I196" i="2"/>
  <c r="M481" i="2" l="1"/>
  <c r="H481" i="2"/>
  <c r="I481" i="2" l="1"/>
  <c r="AW481" i="2" l="1"/>
  <c r="BA481" i="2" s="1"/>
  <c r="BB481" i="2" l="1"/>
  <c r="BE481" i="2" s="1"/>
  <c r="H231" i="39"/>
  <c r="H868" i="2"/>
  <c r="H230" i="39"/>
  <c r="F796" i="2"/>
  <c r="H796" i="2"/>
  <c r="H229" i="39"/>
  <c r="H413" i="2"/>
  <c r="H228" i="39" l="1"/>
  <c r="H227" i="39"/>
  <c r="H226" i="39"/>
  <c r="H225" i="39"/>
  <c r="H224" i="39"/>
  <c r="H223" i="39"/>
  <c r="H222" i="39"/>
  <c r="H221" i="39"/>
  <c r="H220" i="39"/>
  <c r="H219" i="39"/>
  <c r="H218" i="39"/>
  <c r="H217" i="39"/>
  <c r="H216" i="39"/>
  <c r="H215" i="39"/>
  <c r="H214" i="39"/>
  <c r="H213" i="39"/>
  <c r="H212" i="39"/>
  <c r="H211" i="39"/>
  <c r="H210" i="39"/>
  <c r="H209" i="39"/>
  <c r="H208" i="39"/>
  <c r="H207" i="39"/>
  <c r="H206" i="39"/>
  <c r="AG114" i="40"/>
  <c r="AF114" i="40"/>
  <c r="AG113" i="40"/>
  <c r="AF113" i="40"/>
  <c r="AG112" i="40"/>
  <c r="AF112" i="40"/>
  <c r="AG111" i="40"/>
  <c r="AF111" i="40"/>
  <c r="AG110" i="40"/>
  <c r="AF110" i="40"/>
  <c r="AG109" i="40"/>
  <c r="AF109" i="40"/>
  <c r="AG108" i="40"/>
  <c r="AF108" i="40"/>
  <c r="AG107" i="40"/>
  <c r="AF107" i="40"/>
  <c r="AG106" i="40"/>
  <c r="AF106" i="40"/>
  <c r="AG105" i="40"/>
  <c r="AF105" i="40"/>
  <c r="AG104" i="40"/>
  <c r="AF104" i="40"/>
  <c r="AG103" i="40"/>
  <c r="AF103" i="40"/>
  <c r="AG102" i="40"/>
  <c r="AF102" i="40"/>
  <c r="AG101" i="40"/>
  <c r="AF101" i="40"/>
  <c r="AG100" i="40"/>
  <c r="AF100" i="40"/>
  <c r="AG99" i="40"/>
  <c r="AF99" i="40"/>
  <c r="AG98" i="40"/>
  <c r="AF98" i="40"/>
  <c r="AG97" i="40"/>
  <c r="AF97" i="40"/>
  <c r="AG96" i="40"/>
  <c r="AF96" i="40"/>
  <c r="AG95" i="40"/>
  <c r="AF95" i="40"/>
  <c r="AG94" i="40"/>
  <c r="AF94" i="40"/>
  <c r="AG93" i="40"/>
  <c r="AF93" i="40"/>
  <c r="AG92" i="40"/>
  <c r="AF92" i="40"/>
  <c r="H205" i="39"/>
  <c r="H204" i="39"/>
  <c r="H151" i="39" l="1"/>
  <c r="H202" i="39" l="1"/>
  <c r="H480" i="2" l="1"/>
  <c r="BA480" i="2" s="1"/>
  <c r="BB480" i="2" l="1"/>
  <c r="BE480" i="2" s="1"/>
  <c r="I480" i="2"/>
  <c r="AV248" i="2"/>
  <c r="J248" i="2" s="1"/>
  <c r="H32" i="39" l="1"/>
  <c r="H51" i="39"/>
  <c r="H46" i="39"/>
  <c r="H197" i="39" l="1"/>
  <c r="F954" i="2"/>
  <c r="H954" i="2"/>
  <c r="I43" i="40" l="1"/>
  <c r="I39" i="40" l="1"/>
  <c r="J39" i="40" s="1"/>
  <c r="I32" i="40"/>
  <c r="J32" i="40" s="1"/>
  <c r="AA39" i="40" l="1"/>
  <c r="AB39" i="40" s="1"/>
  <c r="AA32" i="40"/>
  <c r="AB32" i="40" s="1"/>
  <c r="H196" i="39" l="1"/>
  <c r="I103" i="2" l="1"/>
  <c r="H195" i="39"/>
  <c r="H194" i="39"/>
  <c r="H193" i="39"/>
  <c r="H192" i="39"/>
  <c r="BB103" i="2" l="1"/>
  <c r="BE103" i="2" s="1"/>
  <c r="H191" i="39"/>
  <c r="H190" i="39" l="1"/>
  <c r="H189" i="39" l="1"/>
  <c r="H188" i="39" l="1"/>
  <c r="H187" i="39" l="1"/>
  <c r="I38" i="40"/>
  <c r="J38" i="40"/>
  <c r="AA38" i="40" l="1"/>
  <c r="AB38" i="40" s="1"/>
  <c r="I35" i="40"/>
  <c r="H186" i="39" l="1"/>
  <c r="J35" i="40"/>
  <c r="AA35" i="40" l="1"/>
  <c r="AB35" i="40" s="1"/>
  <c r="I34" i="40"/>
  <c r="J34" i="40"/>
  <c r="H185" i="39"/>
  <c r="AA34" i="40" l="1"/>
  <c r="AB34" i="40" s="1"/>
  <c r="I36" i="40"/>
  <c r="J36" i="40" s="1"/>
  <c r="H184" i="39"/>
  <c r="AA36" i="40" l="1"/>
  <c r="AB36" i="40" s="1"/>
  <c r="I33" i="40"/>
  <c r="J33" i="40" l="1"/>
  <c r="H183" i="39"/>
  <c r="AA33" i="40" l="1"/>
  <c r="AB33" i="40" s="1"/>
  <c r="H182" i="39"/>
  <c r="I37" i="40"/>
  <c r="Z37" i="40"/>
  <c r="Y37" i="40"/>
  <c r="K37" i="40" s="1"/>
  <c r="I40" i="40" l="1"/>
  <c r="J40" i="40" s="1"/>
  <c r="H181" i="39"/>
  <c r="AA40" i="40" l="1"/>
  <c r="AB40" i="40" s="1"/>
  <c r="I24" i="40"/>
  <c r="Z24" i="40"/>
  <c r="Y24" i="40"/>
  <c r="H180" i="39"/>
  <c r="K24" i="40" l="1"/>
  <c r="I42" i="40"/>
  <c r="J42" i="40" s="1"/>
  <c r="H179" i="39"/>
  <c r="AA42" i="40" l="1"/>
  <c r="AB42" i="40" s="1"/>
  <c r="I41" i="40"/>
  <c r="H178" i="39"/>
  <c r="J41" i="40" l="1"/>
  <c r="H177" i="39"/>
  <c r="I26" i="40"/>
  <c r="AA41" i="40" l="1"/>
  <c r="AB41" i="40" s="1"/>
  <c r="Z26" i="40"/>
  <c r="Z7" i="40" s="1"/>
  <c r="Y26" i="40"/>
  <c r="Y7" i="40" s="1"/>
  <c r="V26" i="40"/>
  <c r="K26" i="40" s="1"/>
  <c r="H176" i="39" l="1"/>
  <c r="H175" i="39" l="1"/>
  <c r="H174" i="39" l="1"/>
  <c r="H173" i="39"/>
  <c r="H172" i="39" l="1"/>
  <c r="H171" i="39" l="1"/>
  <c r="H170" i="39" l="1"/>
  <c r="H169" i="39"/>
  <c r="H168" i="39"/>
  <c r="H150" i="39" l="1"/>
  <c r="H200" i="39" l="1"/>
  <c r="H165" i="39" l="1"/>
  <c r="F442" i="2"/>
  <c r="H442" i="2"/>
  <c r="H15" i="39" l="1"/>
  <c r="F271" i="2" l="1"/>
  <c r="H271" i="2"/>
  <c r="H163" i="39"/>
  <c r="H162" i="39"/>
  <c r="F315" i="2"/>
  <c r="H315" i="2"/>
  <c r="H161" i="39"/>
  <c r="F321" i="2"/>
  <c r="H321" i="2"/>
  <c r="H341" i="39" l="1"/>
  <c r="H159" i="39" l="1"/>
  <c r="H158" i="39"/>
  <c r="H157" i="39" l="1"/>
  <c r="H156" i="39" l="1"/>
  <c r="H155" i="39" l="1"/>
  <c r="H149" i="39" l="1"/>
  <c r="H66" i="39"/>
  <c r="H30" i="39"/>
  <c r="H13" i="39"/>
  <c r="H29" i="39"/>
  <c r="H166" i="39"/>
  <c r="H148" i="39"/>
  <c r="F556" i="2"/>
  <c r="H556" i="2"/>
  <c r="I29" i="40" l="1"/>
  <c r="H147" i="39" l="1"/>
  <c r="H146" i="39"/>
  <c r="I27" i="40"/>
  <c r="H27" i="40"/>
  <c r="H28" i="40" l="1"/>
  <c r="I28" i="40"/>
  <c r="H145" i="39"/>
  <c r="H90" i="40" l="1"/>
  <c r="I90" i="40"/>
  <c r="H23" i="40"/>
  <c r="I23" i="40"/>
  <c r="H91" i="40"/>
  <c r="H22" i="40"/>
  <c r="I22" i="40"/>
  <c r="I91" i="40"/>
  <c r="J91" i="40" l="1"/>
  <c r="AG91" i="40"/>
  <c r="AF91" i="40"/>
  <c r="H144" i="39"/>
  <c r="J22" i="40"/>
  <c r="H143" i="39"/>
  <c r="AA91" i="40" l="1"/>
  <c r="AB91" i="40" s="1"/>
  <c r="AA22" i="40"/>
  <c r="AB22" i="40" s="1"/>
  <c r="H142" i="39"/>
  <c r="W23" i="40"/>
  <c r="V23" i="40"/>
  <c r="K23" i="40" s="1"/>
  <c r="V90" i="40" l="1"/>
  <c r="K90" i="40" s="1"/>
  <c r="W90" i="40"/>
  <c r="J90" i="40" l="1"/>
  <c r="H141" i="39"/>
  <c r="H96" i="39"/>
  <c r="H97" i="39"/>
  <c r="H98" i="39"/>
  <c r="H99" i="39"/>
  <c r="H100" i="39"/>
  <c r="H101" i="39"/>
  <c r="H102" i="39"/>
  <c r="H103" i="39"/>
  <c r="H104" i="39"/>
  <c r="H105" i="39"/>
  <c r="H106" i="39"/>
  <c r="H107" i="39"/>
  <c r="H108" i="39"/>
  <c r="H109" i="39"/>
  <c r="H110" i="39"/>
  <c r="H111" i="39"/>
  <c r="H112" i="39"/>
  <c r="H113" i="39"/>
  <c r="H114" i="39"/>
  <c r="H115" i="39"/>
  <c r="H116" i="39"/>
  <c r="H117" i="39"/>
  <c r="H118" i="39"/>
  <c r="H119" i="39"/>
  <c r="H120" i="39"/>
  <c r="H121" i="39"/>
  <c r="H122" i="39"/>
  <c r="H123" i="39"/>
  <c r="H124" i="39"/>
  <c r="H125" i="39"/>
  <c r="H126" i="39"/>
  <c r="H127" i="39"/>
  <c r="H128" i="39"/>
  <c r="H129" i="39"/>
  <c r="H130" i="39"/>
  <c r="H131" i="39"/>
  <c r="H132" i="39"/>
  <c r="H133" i="39"/>
  <c r="H134" i="39"/>
  <c r="H135" i="39"/>
  <c r="H136" i="39"/>
  <c r="H137" i="39"/>
  <c r="H138" i="39"/>
  <c r="H139" i="39"/>
  <c r="H140" i="39"/>
  <c r="AF89" i="40"/>
  <c r="AG89" i="40"/>
  <c r="AF46" i="40"/>
  <c r="AG46" i="40"/>
  <c r="AF47" i="40"/>
  <c r="AG47" i="40"/>
  <c r="AF48" i="40"/>
  <c r="AG48" i="40"/>
  <c r="AF49" i="40"/>
  <c r="AG49" i="40"/>
  <c r="AF50" i="40"/>
  <c r="AG50" i="40"/>
  <c r="AF51" i="40"/>
  <c r="AG51" i="40"/>
  <c r="AF52" i="40"/>
  <c r="AG52" i="40"/>
  <c r="AF53" i="40"/>
  <c r="AG53" i="40"/>
  <c r="AF54" i="40"/>
  <c r="AG54" i="40"/>
  <c r="AF55" i="40"/>
  <c r="AG55" i="40"/>
  <c r="AF56" i="40"/>
  <c r="AG56" i="40"/>
  <c r="AF57" i="40"/>
  <c r="AG57" i="40"/>
  <c r="AF58" i="40"/>
  <c r="AG58" i="40"/>
  <c r="AF59" i="40"/>
  <c r="AG59" i="40"/>
  <c r="AF60" i="40"/>
  <c r="AG60" i="40"/>
  <c r="AF61" i="40"/>
  <c r="AG61" i="40"/>
  <c r="AF62" i="40"/>
  <c r="AG62" i="40"/>
  <c r="AF63" i="40"/>
  <c r="AG63" i="40"/>
  <c r="AF64" i="40"/>
  <c r="AG64" i="40"/>
  <c r="AF65" i="40"/>
  <c r="AG65" i="40"/>
  <c r="AF66" i="40"/>
  <c r="AG66" i="40"/>
  <c r="AF67" i="40"/>
  <c r="AG67" i="40"/>
  <c r="AF68" i="40"/>
  <c r="AG68" i="40"/>
  <c r="AF69" i="40"/>
  <c r="AG69" i="40"/>
  <c r="AF70" i="40"/>
  <c r="AG70" i="40"/>
  <c r="AF71" i="40"/>
  <c r="AG71" i="40"/>
  <c r="AF72" i="40"/>
  <c r="AG72" i="40"/>
  <c r="AF73" i="40"/>
  <c r="AG73" i="40"/>
  <c r="AF74" i="40"/>
  <c r="AG74" i="40"/>
  <c r="AF75" i="40"/>
  <c r="AG75" i="40"/>
  <c r="AF76" i="40"/>
  <c r="AG76" i="40"/>
  <c r="AF77" i="40"/>
  <c r="AG77" i="40"/>
  <c r="AF78" i="40"/>
  <c r="AG78" i="40"/>
  <c r="AF79" i="40"/>
  <c r="AG79" i="40"/>
  <c r="AF80" i="40"/>
  <c r="AG80" i="40"/>
  <c r="AF81" i="40"/>
  <c r="AG81" i="40"/>
  <c r="AF82" i="40"/>
  <c r="AG82" i="40"/>
  <c r="AF83" i="40"/>
  <c r="AG83" i="40"/>
  <c r="AF84" i="40"/>
  <c r="AG84" i="40"/>
  <c r="AF85" i="40"/>
  <c r="AG85" i="40"/>
  <c r="AF86" i="40"/>
  <c r="AG86" i="40"/>
  <c r="AF87" i="40"/>
  <c r="AG87" i="40"/>
  <c r="AF88" i="40"/>
  <c r="AG88" i="40"/>
  <c r="AA90" i="40" l="1"/>
  <c r="AB90" i="40" s="1"/>
  <c r="H95" i="39"/>
  <c r="H94" i="39"/>
  <c r="H93" i="39"/>
  <c r="H92" i="39"/>
  <c r="H91" i="39"/>
  <c r="F550" i="2"/>
  <c r="H90" i="39" l="1"/>
  <c r="H89" i="39"/>
  <c r="F554" i="2"/>
  <c r="H554" i="2"/>
  <c r="F552" i="2"/>
  <c r="J83" i="2" l="1"/>
  <c r="K399" i="2" l="1"/>
  <c r="I209" i="2"/>
  <c r="I30" i="40" l="1"/>
  <c r="H30" i="40"/>
  <c r="H88" i="39"/>
  <c r="H25" i="40" l="1"/>
  <c r="I25" i="40"/>
  <c r="J25" i="40" s="1"/>
  <c r="H87" i="39"/>
  <c r="AA25" i="40" l="1"/>
  <c r="AB25" i="40" s="1"/>
  <c r="H86" i="39"/>
  <c r="H31" i="40"/>
  <c r="I31" i="40"/>
  <c r="H44" i="40" l="1"/>
  <c r="I44" i="40"/>
  <c r="J44" i="40" s="1"/>
  <c r="H85" i="39"/>
  <c r="AA44" i="40" l="1"/>
  <c r="AB44" i="40" s="1"/>
  <c r="H43" i="40"/>
  <c r="W43" i="40"/>
  <c r="J43" i="40" l="1"/>
  <c r="V43" i="40"/>
  <c r="K43" i="40" s="1"/>
  <c r="H84" i="39"/>
  <c r="AA43" i="40" l="1"/>
  <c r="AB43" i="40" s="1"/>
  <c r="H66" i="2"/>
  <c r="I66" i="2" s="1"/>
  <c r="H69" i="2" l="1"/>
  <c r="I69" i="2" s="1"/>
  <c r="H83" i="39" l="1"/>
  <c r="H82" i="39"/>
  <c r="H81" i="39" l="1"/>
  <c r="I534" i="2"/>
  <c r="BB534" i="2" s="1"/>
  <c r="BE534" i="2" s="1"/>
  <c r="H80" i="39"/>
  <c r="I528" i="2"/>
  <c r="BB528" i="2" s="1"/>
  <c r="BE528" i="2" s="1"/>
  <c r="H79" i="39" l="1"/>
  <c r="I525" i="2"/>
  <c r="BB525" i="2" s="1"/>
  <c r="BE525" i="2" s="1"/>
  <c r="I533" i="2" l="1"/>
  <c r="BB533" i="2" s="1"/>
  <c r="BE533" i="2" s="1"/>
  <c r="H78" i="39"/>
  <c r="H77" i="39" l="1"/>
  <c r="I204" i="2"/>
  <c r="H76" i="39" l="1"/>
  <c r="I215" i="2"/>
  <c r="I198" i="2" l="1"/>
  <c r="H75" i="39"/>
  <c r="H74" i="39" l="1"/>
  <c r="H73" i="39" l="1"/>
  <c r="AG42" i="40"/>
  <c r="H72" i="39"/>
  <c r="H71" i="39"/>
  <c r="H70" i="39"/>
  <c r="H69" i="39"/>
  <c r="AF41" i="40" l="1"/>
  <c r="AG41" i="40"/>
  <c r="AF42" i="40"/>
  <c r="H68" i="39"/>
  <c r="H67" i="39"/>
  <c r="H220" i="2"/>
  <c r="AW220" i="2"/>
  <c r="AV220" i="2"/>
  <c r="J220" i="2" s="1"/>
  <c r="I220" i="2" l="1"/>
  <c r="BA220" i="2"/>
  <c r="H11" i="39"/>
  <c r="H7" i="39"/>
  <c r="BB220" i="2" l="1"/>
  <c r="BE220" i="2" s="1"/>
  <c r="H64" i="39"/>
  <c r="H39" i="40"/>
  <c r="H63" i="39" l="1"/>
  <c r="H399" i="2"/>
  <c r="BA399" i="2" l="1"/>
  <c r="L399" i="2"/>
  <c r="H62" i="39"/>
  <c r="AG38" i="40"/>
  <c r="H177" i="2"/>
  <c r="BB399" i="2" l="1"/>
  <c r="BE399" i="2" s="1"/>
  <c r="AF38" i="40"/>
  <c r="H61" i="39"/>
  <c r="AF37" i="40" l="1"/>
  <c r="H60" i="39"/>
  <c r="AG37" i="40" l="1"/>
  <c r="J37" i="40"/>
  <c r="H59" i="39"/>
  <c r="H58" i="39"/>
  <c r="H57" i="39"/>
  <c r="H56" i="39"/>
  <c r="AA37" i="40" l="1"/>
  <c r="AB37" i="40" s="1"/>
  <c r="H293" i="2"/>
  <c r="BE293" i="2" s="1"/>
  <c r="H270" i="39"/>
  <c r="H160" i="39" l="1"/>
  <c r="H280" i="39" l="1"/>
  <c r="H55" i="39" l="1"/>
  <c r="H50" i="39" l="1"/>
  <c r="I543" i="2"/>
  <c r="J244" i="2" l="1"/>
  <c r="J232" i="2"/>
  <c r="J230" i="2"/>
  <c r="J228" i="2"/>
  <c r="J207" i="2"/>
  <c r="J390" i="2"/>
  <c r="J372" i="2"/>
  <c r="J53" i="2"/>
  <c r="J312" i="2" l="1"/>
  <c r="J276" i="2"/>
  <c r="K21" i="40"/>
  <c r="K20" i="40"/>
  <c r="K19" i="40"/>
  <c r="K18" i="40"/>
  <c r="K17" i="40"/>
  <c r="K16" i="40"/>
  <c r="K15" i="40"/>
  <c r="K13" i="40"/>
  <c r="K12" i="40"/>
  <c r="K11" i="40"/>
  <c r="J92" i="2"/>
  <c r="H43" i="2" l="1"/>
  <c r="H49" i="39" l="1"/>
  <c r="H48" i="39" l="1"/>
  <c r="I43" i="2"/>
  <c r="H21" i="40" l="1"/>
  <c r="I21" i="40"/>
  <c r="J21" i="40" s="1"/>
  <c r="H20" i="40"/>
  <c r="I20" i="40"/>
  <c r="J20" i="40" s="1"/>
  <c r="H19" i="40"/>
  <c r="I19" i="40"/>
  <c r="J19" i="40" s="1"/>
  <c r="I18" i="40"/>
  <c r="J18" i="40" s="1"/>
  <c r="H18" i="40"/>
  <c r="I17" i="40"/>
  <c r="J17" i="40" s="1"/>
  <c r="H17" i="40"/>
  <c r="J263" i="2"/>
  <c r="J262" i="2"/>
  <c r="H16" i="40"/>
  <c r="I16" i="40"/>
  <c r="J4" i="40" l="1"/>
  <c r="AA18" i="40"/>
  <c r="AB18" i="40" s="1"/>
  <c r="AA19" i="40"/>
  <c r="AB19" i="40" s="1"/>
  <c r="AA20" i="40"/>
  <c r="AB20" i="40" s="1"/>
  <c r="AA17" i="40"/>
  <c r="AB17" i="40" s="1"/>
  <c r="AA21" i="40"/>
  <c r="AB21" i="40" s="1"/>
  <c r="H13" i="40"/>
  <c r="I13" i="40"/>
  <c r="H12" i="40"/>
  <c r="I12" i="40"/>
  <c r="J12" i="40"/>
  <c r="AA12" i="40" s="1"/>
  <c r="AB12" i="40" s="1"/>
  <c r="H11" i="40"/>
  <c r="I11" i="40"/>
  <c r="H15" i="40" l="1"/>
  <c r="I15" i="40"/>
  <c r="H14" i="40"/>
  <c r="I14" i="40"/>
  <c r="J14" i="40"/>
  <c r="J296" i="2" l="1"/>
  <c r="H47" i="39" l="1"/>
  <c r="H34" i="39" l="1"/>
  <c r="J31" i="40" l="1"/>
  <c r="H45" i="39"/>
  <c r="J30" i="40"/>
  <c r="H44" i="39"/>
  <c r="H29" i="40"/>
  <c r="J29" i="40"/>
  <c r="H43" i="39"/>
  <c r="H42" i="39"/>
  <c r="J28" i="40"/>
  <c r="H41" i="39"/>
  <c r="J27" i="40"/>
  <c r="H40" i="39"/>
  <c r="H26" i="40"/>
  <c r="J26" i="40"/>
  <c r="AA28" i="40" l="1"/>
  <c r="AB28" i="40" s="1"/>
  <c r="AA26" i="40"/>
  <c r="AB26" i="40" s="1"/>
  <c r="AA29" i="40"/>
  <c r="AB29" i="40" s="1"/>
  <c r="AA27" i="40"/>
  <c r="AB27" i="40" s="1"/>
  <c r="AA30" i="40"/>
  <c r="AB30" i="40" s="1"/>
  <c r="AA31" i="40"/>
  <c r="AB31" i="40" s="1"/>
  <c r="AF30" i="40"/>
  <c r="AG30" i="40"/>
  <c r="AF29" i="40"/>
  <c r="AG29" i="40"/>
  <c r="AG28" i="40"/>
  <c r="AF28" i="40"/>
  <c r="AG27" i="40"/>
  <c r="AF27" i="40"/>
  <c r="H39" i="39"/>
  <c r="J24" i="40"/>
  <c r="H38" i="39"/>
  <c r="H37" i="39"/>
  <c r="J23" i="40"/>
  <c r="H36" i="39"/>
  <c r="H35" i="39"/>
  <c r="AV484" i="2"/>
  <c r="J484" i="2" s="1"/>
  <c r="H285" i="39"/>
  <c r="F296" i="2"/>
  <c r="H296" i="2"/>
  <c r="H269" i="39"/>
  <c r="AA24" i="40" l="1"/>
  <c r="AB24" i="40" s="1"/>
  <c r="AA23" i="40"/>
  <c r="AB23" i="40" s="1"/>
  <c r="L23" i="40"/>
  <c r="H271" i="39"/>
  <c r="H264" i="39"/>
  <c r="H266" i="39"/>
  <c r="H265" i="39" l="1"/>
  <c r="H28" i="39" l="1"/>
  <c r="J16" i="40"/>
  <c r="AA16" i="40" s="1"/>
  <c r="AB16" i="40" s="1"/>
  <c r="J15" i="40" l="1"/>
  <c r="AA15" i="40" s="1"/>
  <c r="AB15" i="40" s="1"/>
  <c r="H27" i="39"/>
  <c r="J11" i="40" l="1"/>
  <c r="J13" i="40"/>
  <c r="AA13" i="40" s="1"/>
  <c r="AB13" i="40" s="1"/>
  <c r="H26" i="39"/>
  <c r="W14" i="40"/>
  <c r="AA14" i="40" s="1"/>
  <c r="AB14" i="40" s="1"/>
  <c r="V14" i="40"/>
  <c r="K14" i="40" s="1"/>
  <c r="J7" i="40" l="1"/>
  <c r="J5" i="40" s="1"/>
  <c r="AA11" i="40"/>
  <c r="AB11" i="40" s="1"/>
  <c r="H25" i="39"/>
  <c r="AA7" i="40" l="1"/>
  <c r="AA1" i="40" s="1"/>
  <c r="AB7" i="40"/>
  <c r="H24" i="39"/>
  <c r="M12" i="40" l="1"/>
  <c r="K7" i="40"/>
  <c r="H23" i="39" l="1"/>
  <c r="AG961" i="40" l="1"/>
  <c r="AF961" i="40"/>
  <c r="O961" i="40"/>
  <c r="M961" i="40"/>
  <c r="L961" i="40"/>
  <c r="AG960" i="40"/>
  <c r="AF960" i="40"/>
  <c r="O960" i="40"/>
  <c r="M960" i="40"/>
  <c r="L960" i="40"/>
  <c r="AG959" i="40"/>
  <c r="AF959" i="40"/>
  <c r="O959" i="40"/>
  <c r="M959" i="40"/>
  <c r="L959" i="40"/>
  <c r="AG958" i="40"/>
  <c r="AF958" i="40"/>
  <c r="O958" i="40"/>
  <c r="M958" i="40"/>
  <c r="L958" i="40"/>
  <c r="AG957" i="40"/>
  <c r="AF957" i="40"/>
  <c r="O957" i="40"/>
  <c r="M957" i="40"/>
  <c r="L957" i="40"/>
  <c r="AG956" i="40"/>
  <c r="AF956" i="40"/>
  <c r="O956" i="40"/>
  <c r="M956" i="40"/>
  <c r="L956" i="40"/>
  <c r="AG955" i="40"/>
  <c r="AF955" i="40"/>
  <c r="O955" i="40"/>
  <c r="M955" i="40"/>
  <c r="L955" i="40"/>
  <c r="AG954" i="40"/>
  <c r="AF954" i="40"/>
  <c r="O954" i="40"/>
  <c r="M954" i="40"/>
  <c r="L954" i="40"/>
  <c r="AG953" i="40"/>
  <c r="AF953" i="40"/>
  <c r="O953" i="40"/>
  <c r="M953" i="40"/>
  <c r="L953" i="40"/>
  <c r="AG952" i="40"/>
  <c r="AF952" i="40"/>
  <c r="O952" i="40"/>
  <c r="M952" i="40"/>
  <c r="L952" i="40"/>
  <c r="AG951" i="40"/>
  <c r="AF951" i="40"/>
  <c r="O951" i="40"/>
  <c r="M951" i="40"/>
  <c r="L951" i="40"/>
  <c r="AG950" i="40"/>
  <c r="AF950" i="40"/>
  <c r="O950" i="40"/>
  <c r="M950" i="40"/>
  <c r="L950" i="40"/>
  <c r="AG949" i="40"/>
  <c r="AF949" i="40"/>
  <c r="O949" i="40"/>
  <c r="M949" i="40"/>
  <c r="L949" i="40"/>
  <c r="AG948" i="40"/>
  <c r="AF948" i="40"/>
  <c r="O948" i="40"/>
  <c r="M948" i="40"/>
  <c r="L948" i="40"/>
  <c r="AG947" i="40"/>
  <c r="AF947" i="40"/>
  <c r="O947" i="40"/>
  <c r="M947" i="40"/>
  <c r="L947" i="40"/>
  <c r="AG946" i="40"/>
  <c r="AF946" i="40"/>
  <c r="O946" i="40"/>
  <c r="M946" i="40"/>
  <c r="L946" i="40"/>
  <c r="AG945" i="40"/>
  <c r="AF945" i="40"/>
  <c r="O945" i="40"/>
  <c r="M945" i="40"/>
  <c r="L945" i="40"/>
  <c r="AG944" i="40"/>
  <c r="AF944" i="40"/>
  <c r="O944" i="40"/>
  <c r="M944" i="40"/>
  <c r="L944" i="40"/>
  <c r="AG943" i="40"/>
  <c r="AF943" i="40"/>
  <c r="O943" i="40"/>
  <c r="M943" i="40"/>
  <c r="L943" i="40"/>
  <c r="AG942" i="40"/>
  <c r="AF942" i="40"/>
  <c r="O942" i="40"/>
  <c r="M942" i="40"/>
  <c r="L942" i="40"/>
  <c r="AG941" i="40"/>
  <c r="AF941" i="40"/>
  <c r="O941" i="40"/>
  <c r="M941" i="40"/>
  <c r="L941" i="40"/>
  <c r="AG940" i="40"/>
  <c r="AF940" i="40"/>
  <c r="O940" i="40"/>
  <c r="M940" i="40"/>
  <c r="L940" i="40"/>
  <c r="AG939" i="40"/>
  <c r="AF939" i="40"/>
  <c r="O939" i="40"/>
  <c r="M939" i="40"/>
  <c r="L939" i="40"/>
  <c r="AG938" i="40"/>
  <c r="AF938" i="40"/>
  <c r="O938" i="40"/>
  <c r="M938" i="40"/>
  <c r="L938" i="40"/>
  <c r="AG937" i="40"/>
  <c r="AF937" i="40"/>
  <c r="O937" i="40"/>
  <c r="M937" i="40"/>
  <c r="L937" i="40"/>
  <c r="AG936" i="40"/>
  <c r="AF936" i="40"/>
  <c r="O936" i="40"/>
  <c r="M936" i="40"/>
  <c r="L936" i="40"/>
  <c r="AG935" i="40"/>
  <c r="AF935" i="40"/>
  <c r="O935" i="40"/>
  <c r="M935" i="40"/>
  <c r="L935" i="40"/>
  <c r="AG934" i="40"/>
  <c r="AF934" i="40"/>
  <c r="O934" i="40"/>
  <c r="M934" i="40"/>
  <c r="L934" i="40"/>
  <c r="AG933" i="40"/>
  <c r="AF933" i="40"/>
  <c r="O933" i="40"/>
  <c r="M933" i="40"/>
  <c r="L933" i="40"/>
  <c r="AG932" i="40"/>
  <c r="AF932" i="40"/>
  <c r="O932" i="40"/>
  <c r="M932" i="40"/>
  <c r="L932" i="40"/>
  <c r="AG931" i="40"/>
  <c r="AF931" i="40"/>
  <c r="O931" i="40"/>
  <c r="M931" i="40"/>
  <c r="L931" i="40"/>
  <c r="AG930" i="40"/>
  <c r="AF930" i="40"/>
  <c r="O930" i="40"/>
  <c r="M930" i="40"/>
  <c r="L930" i="40"/>
  <c r="AG929" i="40"/>
  <c r="AF929" i="40"/>
  <c r="O929" i="40"/>
  <c r="M929" i="40"/>
  <c r="L929" i="40"/>
  <c r="AG928" i="40"/>
  <c r="AF928" i="40"/>
  <c r="O928" i="40"/>
  <c r="M928" i="40"/>
  <c r="L928" i="40"/>
  <c r="AG927" i="40"/>
  <c r="AF927" i="40"/>
  <c r="O927" i="40"/>
  <c r="M927" i="40"/>
  <c r="L927" i="40"/>
  <c r="AG926" i="40"/>
  <c r="AF926" i="40"/>
  <c r="O926" i="40"/>
  <c r="M926" i="40"/>
  <c r="L926" i="40"/>
  <c r="AG925" i="40"/>
  <c r="AF925" i="40"/>
  <c r="O925" i="40"/>
  <c r="M925" i="40"/>
  <c r="L925" i="40"/>
  <c r="AG924" i="40"/>
  <c r="AF924" i="40"/>
  <c r="O924" i="40"/>
  <c r="M924" i="40"/>
  <c r="L924" i="40"/>
  <c r="AG923" i="40"/>
  <c r="AF923" i="40"/>
  <c r="O923" i="40"/>
  <c r="M923" i="40"/>
  <c r="L923" i="40"/>
  <c r="AG922" i="40"/>
  <c r="AF922" i="40"/>
  <c r="O922" i="40"/>
  <c r="M922" i="40"/>
  <c r="L922" i="40"/>
  <c r="AG921" i="40"/>
  <c r="AF921" i="40"/>
  <c r="O921" i="40"/>
  <c r="M921" i="40"/>
  <c r="L921" i="40"/>
  <c r="AG920" i="40"/>
  <c r="AF920" i="40"/>
  <c r="O920" i="40"/>
  <c r="M920" i="40"/>
  <c r="L920" i="40"/>
  <c r="AG919" i="40"/>
  <c r="AF919" i="40"/>
  <c r="O919" i="40"/>
  <c r="M919" i="40"/>
  <c r="L919" i="40"/>
  <c r="AG918" i="40"/>
  <c r="AF918" i="40"/>
  <c r="O918" i="40"/>
  <c r="M918" i="40"/>
  <c r="L918" i="40"/>
  <c r="AG917" i="40"/>
  <c r="AF917" i="40"/>
  <c r="O917" i="40"/>
  <c r="M917" i="40"/>
  <c r="L917" i="40"/>
  <c r="AG916" i="40"/>
  <c r="AF916" i="40"/>
  <c r="O916" i="40"/>
  <c r="M916" i="40"/>
  <c r="L916" i="40"/>
  <c r="AG915" i="40"/>
  <c r="AF915" i="40"/>
  <c r="O915" i="40"/>
  <c r="M915" i="40"/>
  <c r="L915" i="40"/>
  <c r="AG914" i="40"/>
  <c r="AF914" i="40"/>
  <c r="O914" i="40"/>
  <c r="M914" i="40"/>
  <c r="L914" i="40"/>
  <c r="AG913" i="40"/>
  <c r="AF913" i="40"/>
  <c r="O913" i="40"/>
  <c r="M913" i="40"/>
  <c r="L913" i="40"/>
  <c r="AG912" i="40"/>
  <c r="AF912" i="40"/>
  <c r="O912" i="40"/>
  <c r="M912" i="40"/>
  <c r="L912" i="40"/>
  <c r="AG911" i="40"/>
  <c r="AF911" i="40"/>
  <c r="O911" i="40"/>
  <c r="M911" i="40"/>
  <c r="L911" i="40"/>
  <c r="AG910" i="40"/>
  <c r="AF910" i="40"/>
  <c r="O910" i="40"/>
  <c r="M910" i="40"/>
  <c r="L910" i="40"/>
  <c r="AG909" i="40"/>
  <c r="AF909" i="40"/>
  <c r="O909" i="40"/>
  <c r="M909" i="40"/>
  <c r="L909" i="40"/>
  <c r="AG908" i="40"/>
  <c r="AF908" i="40"/>
  <c r="O908" i="40"/>
  <c r="M908" i="40"/>
  <c r="L908" i="40"/>
  <c r="AG907" i="40"/>
  <c r="AF907" i="40"/>
  <c r="O907" i="40"/>
  <c r="M907" i="40"/>
  <c r="L907" i="40"/>
  <c r="AG906" i="40"/>
  <c r="AF906" i="40"/>
  <c r="O906" i="40"/>
  <c r="M906" i="40"/>
  <c r="L906" i="40"/>
  <c r="AG905" i="40"/>
  <c r="AF905" i="40"/>
  <c r="O905" i="40"/>
  <c r="M905" i="40"/>
  <c r="L905" i="40"/>
  <c r="AG904" i="40"/>
  <c r="AF904" i="40"/>
  <c r="O904" i="40"/>
  <c r="M904" i="40"/>
  <c r="L904" i="40"/>
  <c r="AG903" i="40"/>
  <c r="AF903" i="40"/>
  <c r="O903" i="40"/>
  <c r="M903" i="40"/>
  <c r="L903" i="40"/>
  <c r="AG902" i="40"/>
  <c r="AF902" i="40"/>
  <c r="O902" i="40"/>
  <c r="M902" i="40"/>
  <c r="L902" i="40"/>
  <c r="AG901" i="40"/>
  <c r="AF901" i="40"/>
  <c r="O901" i="40"/>
  <c r="M901" i="40"/>
  <c r="L901" i="40"/>
  <c r="AG900" i="40"/>
  <c r="AF900" i="40"/>
  <c r="O900" i="40"/>
  <c r="M900" i="40"/>
  <c r="L900" i="40"/>
  <c r="AG899" i="40"/>
  <c r="AF899" i="40"/>
  <c r="O899" i="40"/>
  <c r="M899" i="40"/>
  <c r="L899" i="40"/>
  <c r="AG898" i="40"/>
  <c r="AF898" i="40"/>
  <c r="O898" i="40"/>
  <c r="M898" i="40"/>
  <c r="L898" i="40"/>
  <c r="AG897" i="40"/>
  <c r="AF897" i="40"/>
  <c r="O897" i="40"/>
  <c r="M897" i="40"/>
  <c r="L897" i="40"/>
  <c r="AG896" i="40"/>
  <c r="AF896" i="40"/>
  <c r="O896" i="40"/>
  <c r="M896" i="40"/>
  <c r="L896" i="40"/>
  <c r="AG895" i="40"/>
  <c r="AF895" i="40"/>
  <c r="O895" i="40"/>
  <c r="M895" i="40"/>
  <c r="L895" i="40"/>
  <c r="AG894" i="40"/>
  <c r="AF894" i="40"/>
  <c r="O894" i="40"/>
  <c r="M894" i="40"/>
  <c r="L894" i="40"/>
  <c r="AG893" i="40"/>
  <c r="AF893" i="40"/>
  <c r="O893" i="40"/>
  <c r="M893" i="40"/>
  <c r="L893" i="40"/>
  <c r="AG892" i="40"/>
  <c r="AF892" i="40"/>
  <c r="O892" i="40"/>
  <c r="M892" i="40"/>
  <c r="L892" i="40"/>
  <c r="AG891" i="40"/>
  <c r="AF891" i="40"/>
  <c r="O891" i="40"/>
  <c r="M891" i="40"/>
  <c r="L891" i="40"/>
  <c r="AG890" i="40"/>
  <c r="AF890" i="40"/>
  <c r="O890" i="40"/>
  <c r="M890" i="40"/>
  <c r="L890" i="40"/>
  <c r="AG889" i="40"/>
  <c r="AF889" i="40"/>
  <c r="O889" i="40"/>
  <c r="M889" i="40"/>
  <c r="L889" i="40"/>
  <c r="AG888" i="40"/>
  <c r="AF888" i="40"/>
  <c r="O888" i="40"/>
  <c r="M888" i="40"/>
  <c r="L888" i="40"/>
  <c r="AG887" i="40"/>
  <c r="AF887" i="40"/>
  <c r="O887" i="40"/>
  <c r="M887" i="40"/>
  <c r="L887" i="40"/>
  <c r="AG886" i="40"/>
  <c r="AF886" i="40"/>
  <c r="O886" i="40"/>
  <c r="M886" i="40"/>
  <c r="L886" i="40"/>
  <c r="AG885" i="40"/>
  <c r="AF885" i="40"/>
  <c r="O885" i="40"/>
  <c r="M885" i="40"/>
  <c r="L885" i="40"/>
  <c r="AG884" i="40"/>
  <c r="AF884" i="40"/>
  <c r="O884" i="40"/>
  <c r="M884" i="40"/>
  <c r="L884" i="40"/>
  <c r="AG883" i="40"/>
  <c r="AF883" i="40"/>
  <c r="O883" i="40"/>
  <c r="M883" i="40"/>
  <c r="L883" i="40"/>
  <c r="AG882" i="40"/>
  <c r="AF882" i="40"/>
  <c r="O882" i="40"/>
  <c r="M882" i="40"/>
  <c r="L882" i="40"/>
  <c r="AG881" i="40"/>
  <c r="AF881" i="40"/>
  <c r="O881" i="40"/>
  <c r="M881" i="40"/>
  <c r="L881" i="40"/>
  <c r="AG880" i="40"/>
  <c r="AF880" i="40"/>
  <c r="O880" i="40"/>
  <c r="M880" i="40"/>
  <c r="L880" i="40"/>
  <c r="AG879" i="40"/>
  <c r="AF879" i="40"/>
  <c r="O879" i="40"/>
  <c r="M879" i="40"/>
  <c r="L879" i="40"/>
  <c r="AG878" i="40"/>
  <c r="AF878" i="40"/>
  <c r="O878" i="40"/>
  <c r="M878" i="40"/>
  <c r="L878" i="40"/>
  <c r="AG877" i="40"/>
  <c r="AF877" i="40"/>
  <c r="O877" i="40"/>
  <c r="M877" i="40"/>
  <c r="L877" i="40"/>
  <c r="AG876" i="40"/>
  <c r="AF876" i="40"/>
  <c r="O876" i="40"/>
  <c r="M876" i="40"/>
  <c r="L876" i="40"/>
  <c r="AG875" i="40"/>
  <c r="AF875" i="40"/>
  <c r="O875" i="40"/>
  <c r="M875" i="40"/>
  <c r="L875" i="40"/>
  <c r="AG874" i="40"/>
  <c r="AF874" i="40"/>
  <c r="O874" i="40"/>
  <c r="M874" i="40"/>
  <c r="L874" i="40"/>
  <c r="AG873" i="40"/>
  <c r="AF873" i="40"/>
  <c r="O873" i="40"/>
  <c r="M873" i="40"/>
  <c r="L873" i="40"/>
  <c r="AG872" i="40"/>
  <c r="AF872" i="40"/>
  <c r="O872" i="40"/>
  <c r="M872" i="40"/>
  <c r="L872" i="40"/>
  <c r="AG871" i="40"/>
  <c r="AF871" i="40"/>
  <c r="O871" i="40"/>
  <c r="M871" i="40"/>
  <c r="L871" i="40"/>
  <c r="AG870" i="40"/>
  <c r="AF870" i="40"/>
  <c r="O870" i="40"/>
  <c r="M870" i="40"/>
  <c r="L870" i="40"/>
  <c r="AG869" i="40"/>
  <c r="AF869" i="40"/>
  <c r="O869" i="40"/>
  <c r="M869" i="40"/>
  <c r="L869" i="40"/>
  <c r="AG868" i="40"/>
  <c r="AF868" i="40"/>
  <c r="O868" i="40"/>
  <c r="M868" i="40"/>
  <c r="L868" i="40"/>
  <c r="AG867" i="40"/>
  <c r="AF867" i="40"/>
  <c r="O867" i="40"/>
  <c r="M867" i="40"/>
  <c r="L867" i="40"/>
  <c r="AG866" i="40"/>
  <c r="AF866" i="40"/>
  <c r="O866" i="40"/>
  <c r="M866" i="40"/>
  <c r="L866" i="40"/>
  <c r="AG865" i="40"/>
  <c r="AF865" i="40"/>
  <c r="O865" i="40"/>
  <c r="M865" i="40"/>
  <c r="L865" i="40"/>
  <c r="AG864" i="40"/>
  <c r="AF864" i="40"/>
  <c r="O864" i="40"/>
  <c r="M864" i="40"/>
  <c r="L864" i="40"/>
  <c r="AG863" i="40"/>
  <c r="AF863" i="40"/>
  <c r="O863" i="40"/>
  <c r="M863" i="40"/>
  <c r="L863" i="40"/>
  <c r="AG862" i="40"/>
  <c r="AF862" i="40"/>
  <c r="O862" i="40"/>
  <c r="M862" i="40"/>
  <c r="L862" i="40"/>
  <c r="AG861" i="40"/>
  <c r="AF861" i="40"/>
  <c r="O861" i="40"/>
  <c r="M861" i="40"/>
  <c r="L861" i="40"/>
  <c r="AG860" i="40"/>
  <c r="AF860" i="40"/>
  <c r="O860" i="40"/>
  <c r="M860" i="40"/>
  <c r="L860" i="40"/>
  <c r="AG859" i="40"/>
  <c r="AF859" i="40"/>
  <c r="O859" i="40"/>
  <c r="M859" i="40"/>
  <c r="L859" i="40"/>
  <c r="AG858" i="40"/>
  <c r="AF858" i="40"/>
  <c r="O858" i="40"/>
  <c r="M858" i="40"/>
  <c r="L858" i="40"/>
  <c r="AG857" i="40"/>
  <c r="AF857" i="40"/>
  <c r="O857" i="40"/>
  <c r="M857" i="40"/>
  <c r="L857" i="40"/>
  <c r="AG856" i="40"/>
  <c r="AF856" i="40"/>
  <c r="O856" i="40"/>
  <c r="M856" i="40"/>
  <c r="L856" i="40"/>
  <c r="AG855" i="40"/>
  <c r="AF855" i="40"/>
  <c r="O855" i="40"/>
  <c r="M855" i="40"/>
  <c r="L855" i="40"/>
  <c r="AG854" i="40"/>
  <c r="AF854" i="40"/>
  <c r="O854" i="40"/>
  <c r="M854" i="40"/>
  <c r="L854" i="40"/>
  <c r="AG853" i="40"/>
  <c r="AF853" i="40"/>
  <c r="O853" i="40"/>
  <c r="M853" i="40"/>
  <c r="L853" i="40"/>
  <c r="AG852" i="40"/>
  <c r="AF852" i="40"/>
  <c r="O852" i="40"/>
  <c r="M852" i="40"/>
  <c r="L852" i="40"/>
  <c r="AG851" i="40"/>
  <c r="AF851" i="40"/>
  <c r="O851" i="40"/>
  <c r="M851" i="40"/>
  <c r="L851" i="40"/>
  <c r="AG850" i="40"/>
  <c r="AF850" i="40"/>
  <c r="O850" i="40"/>
  <c r="M850" i="40"/>
  <c r="L850" i="40"/>
  <c r="AG849" i="40"/>
  <c r="AF849" i="40"/>
  <c r="O849" i="40"/>
  <c r="M849" i="40"/>
  <c r="L849" i="40"/>
  <c r="AG848" i="40"/>
  <c r="AF848" i="40"/>
  <c r="O848" i="40"/>
  <c r="M848" i="40"/>
  <c r="L848" i="40"/>
  <c r="AG847" i="40"/>
  <c r="AF847" i="40"/>
  <c r="O847" i="40"/>
  <c r="M847" i="40"/>
  <c r="L847" i="40"/>
  <c r="AG846" i="40"/>
  <c r="AF846" i="40"/>
  <c r="O846" i="40"/>
  <c r="M846" i="40"/>
  <c r="L846" i="40"/>
  <c r="AG845" i="40"/>
  <c r="AF845" i="40"/>
  <c r="O845" i="40"/>
  <c r="M845" i="40"/>
  <c r="L845" i="40"/>
  <c r="AG844" i="40"/>
  <c r="AF844" i="40"/>
  <c r="O844" i="40"/>
  <c r="M844" i="40"/>
  <c r="L844" i="40"/>
  <c r="AG843" i="40"/>
  <c r="AF843" i="40"/>
  <c r="O843" i="40"/>
  <c r="M843" i="40"/>
  <c r="L843" i="40"/>
  <c r="AG842" i="40"/>
  <c r="AF842" i="40"/>
  <c r="O842" i="40"/>
  <c r="M842" i="40"/>
  <c r="L842" i="40"/>
  <c r="AG841" i="40"/>
  <c r="AF841" i="40"/>
  <c r="O841" i="40"/>
  <c r="M841" i="40"/>
  <c r="L841" i="40"/>
  <c r="AG840" i="40"/>
  <c r="AF840" i="40"/>
  <c r="O840" i="40"/>
  <c r="M840" i="40"/>
  <c r="L840" i="40"/>
  <c r="AG839" i="40"/>
  <c r="AF839" i="40"/>
  <c r="O839" i="40"/>
  <c r="M839" i="40"/>
  <c r="L839" i="40"/>
  <c r="AG838" i="40"/>
  <c r="AF838" i="40"/>
  <c r="O838" i="40"/>
  <c r="M838" i="40"/>
  <c r="L838" i="40"/>
  <c r="AG837" i="40"/>
  <c r="AF837" i="40"/>
  <c r="O837" i="40"/>
  <c r="M837" i="40"/>
  <c r="L837" i="40"/>
  <c r="AG836" i="40"/>
  <c r="AF836" i="40"/>
  <c r="O836" i="40"/>
  <c r="M836" i="40"/>
  <c r="L836" i="40"/>
  <c r="AG835" i="40"/>
  <c r="AF835" i="40"/>
  <c r="O835" i="40"/>
  <c r="M835" i="40"/>
  <c r="L835" i="40"/>
  <c r="AG834" i="40"/>
  <c r="AF834" i="40"/>
  <c r="O834" i="40"/>
  <c r="M834" i="40"/>
  <c r="L834" i="40"/>
  <c r="AG833" i="40"/>
  <c r="AF833" i="40"/>
  <c r="O833" i="40"/>
  <c r="M833" i="40"/>
  <c r="L833" i="40"/>
  <c r="AG832" i="40"/>
  <c r="AF832" i="40"/>
  <c r="O832" i="40"/>
  <c r="M832" i="40"/>
  <c r="L832" i="40"/>
  <c r="AG831" i="40"/>
  <c r="AF831" i="40"/>
  <c r="O831" i="40"/>
  <c r="M831" i="40"/>
  <c r="L831" i="40"/>
  <c r="AG830" i="40"/>
  <c r="AF830" i="40"/>
  <c r="O830" i="40"/>
  <c r="M830" i="40"/>
  <c r="L830" i="40"/>
  <c r="AG829" i="40"/>
  <c r="AF829" i="40"/>
  <c r="O829" i="40"/>
  <c r="M829" i="40"/>
  <c r="L829" i="40"/>
  <c r="AG828" i="40"/>
  <c r="AF828" i="40"/>
  <c r="O828" i="40"/>
  <c r="M828" i="40"/>
  <c r="L828" i="40"/>
  <c r="AG827" i="40"/>
  <c r="AF827" i="40"/>
  <c r="O827" i="40"/>
  <c r="M827" i="40"/>
  <c r="L827" i="40"/>
  <c r="AG826" i="40"/>
  <c r="AF826" i="40"/>
  <c r="O826" i="40"/>
  <c r="M826" i="40"/>
  <c r="L826" i="40"/>
  <c r="AG825" i="40"/>
  <c r="AF825" i="40"/>
  <c r="O825" i="40"/>
  <c r="M825" i="40"/>
  <c r="L825" i="40"/>
  <c r="AG824" i="40"/>
  <c r="AF824" i="40"/>
  <c r="O824" i="40"/>
  <c r="M824" i="40"/>
  <c r="L824" i="40"/>
  <c r="AG823" i="40"/>
  <c r="AF823" i="40"/>
  <c r="O823" i="40"/>
  <c r="M823" i="40"/>
  <c r="L823" i="40"/>
  <c r="AG822" i="40"/>
  <c r="AF822" i="40"/>
  <c r="O822" i="40"/>
  <c r="M822" i="40"/>
  <c r="L822" i="40"/>
  <c r="AG821" i="40"/>
  <c r="AF821" i="40"/>
  <c r="O821" i="40"/>
  <c r="M821" i="40"/>
  <c r="L821" i="40"/>
  <c r="AG820" i="40"/>
  <c r="AF820" i="40"/>
  <c r="O820" i="40"/>
  <c r="M820" i="40"/>
  <c r="L820" i="40"/>
  <c r="AG819" i="40"/>
  <c r="AF819" i="40"/>
  <c r="O819" i="40"/>
  <c r="M819" i="40"/>
  <c r="L819" i="40"/>
  <c r="AG818" i="40"/>
  <c r="AF818" i="40"/>
  <c r="O818" i="40"/>
  <c r="M818" i="40"/>
  <c r="L818" i="40"/>
  <c r="AG817" i="40"/>
  <c r="AF817" i="40"/>
  <c r="O817" i="40"/>
  <c r="M817" i="40"/>
  <c r="L817" i="40"/>
  <c r="AG816" i="40"/>
  <c r="AF816" i="40"/>
  <c r="O816" i="40"/>
  <c r="M816" i="40"/>
  <c r="L816" i="40"/>
  <c r="AG815" i="40"/>
  <c r="AF815" i="40"/>
  <c r="O815" i="40"/>
  <c r="M815" i="40"/>
  <c r="L815" i="40"/>
  <c r="AG814" i="40"/>
  <c r="AF814" i="40"/>
  <c r="O814" i="40"/>
  <c r="M814" i="40"/>
  <c r="L814" i="40"/>
  <c r="AG813" i="40"/>
  <c r="AF813" i="40"/>
  <c r="O813" i="40"/>
  <c r="M813" i="40"/>
  <c r="L813" i="40"/>
  <c r="AG812" i="40"/>
  <c r="AF812" i="40"/>
  <c r="O812" i="40"/>
  <c r="M812" i="40"/>
  <c r="L812" i="40"/>
  <c r="AG811" i="40"/>
  <c r="AF811" i="40"/>
  <c r="O811" i="40"/>
  <c r="M811" i="40"/>
  <c r="L811" i="40"/>
  <c r="AG810" i="40"/>
  <c r="AF810" i="40"/>
  <c r="O810" i="40"/>
  <c r="M810" i="40"/>
  <c r="L810" i="40"/>
  <c r="AG809" i="40"/>
  <c r="AF809" i="40"/>
  <c r="O809" i="40"/>
  <c r="M809" i="40"/>
  <c r="L809" i="40"/>
  <c r="AG808" i="40"/>
  <c r="AF808" i="40"/>
  <c r="O808" i="40"/>
  <c r="M808" i="40"/>
  <c r="L808" i="40"/>
  <c r="AG807" i="40"/>
  <c r="AF807" i="40"/>
  <c r="O807" i="40"/>
  <c r="M807" i="40"/>
  <c r="L807" i="40"/>
  <c r="AG806" i="40"/>
  <c r="AF806" i="40"/>
  <c r="O806" i="40"/>
  <c r="M806" i="40"/>
  <c r="L806" i="40"/>
  <c r="AG805" i="40"/>
  <c r="AF805" i="40"/>
  <c r="O805" i="40"/>
  <c r="M805" i="40"/>
  <c r="L805" i="40"/>
  <c r="AG804" i="40"/>
  <c r="AF804" i="40"/>
  <c r="O804" i="40"/>
  <c r="M804" i="40"/>
  <c r="L804" i="40"/>
  <c r="AG803" i="40"/>
  <c r="AF803" i="40"/>
  <c r="O803" i="40"/>
  <c r="M803" i="40"/>
  <c r="L803" i="40"/>
  <c r="AG802" i="40"/>
  <c r="AF802" i="40"/>
  <c r="O802" i="40"/>
  <c r="M802" i="40"/>
  <c r="L802" i="40"/>
  <c r="AG801" i="40"/>
  <c r="AF801" i="40"/>
  <c r="O801" i="40"/>
  <c r="M801" i="40"/>
  <c r="L801" i="40"/>
  <c r="AG800" i="40"/>
  <c r="AF800" i="40"/>
  <c r="O800" i="40"/>
  <c r="M800" i="40"/>
  <c r="L800" i="40"/>
  <c r="AG799" i="40"/>
  <c r="AF799" i="40"/>
  <c r="O799" i="40"/>
  <c r="M799" i="40"/>
  <c r="L799" i="40"/>
  <c r="AG798" i="40"/>
  <c r="AF798" i="40"/>
  <c r="O798" i="40"/>
  <c r="M798" i="40"/>
  <c r="L798" i="40"/>
  <c r="AG797" i="40"/>
  <c r="AF797" i="40"/>
  <c r="O797" i="40"/>
  <c r="M797" i="40"/>
  <c r="L797" i="40"/>
  <c r="AG796" i="40"/>
  <c r="AF796" i="40"/>
  <c r="O796" i="40"/>
  <c r="M796" i="40"/>
  <c r="L796" i="40"/>
  <c r="AG795" i="40"/>
  <c r="AF795" i="40"/>
  <c r="O795" i="40"/>
  <c r="M795" i="40"/>
  <c r="L795" i="40"/>
  <c r="AG794" i="40"/>
  <c r="AF794" i="40"/>
  <c r="O794" i="40"/>
  <c r="M794" i="40"/>
  <c r="L794" i="40"/>
  <c r="AG793" i="40"/>
  <c r="AF793" i="40"/>
  <c r="O793" i="40"/>
  <c r="M793" i="40"/>
  <c r="L793" i="40"/>
  <c r="AG792" i="40"/>
  <c r="AF792" i="40"/>
  <c r="O792" i="40"/>
  <c r="M792" i="40"/>
  <c r="L792" i="40"/>
  <c r="AG791" i="40"/>
  <c r="AF791" i="40"/>
  <c r="O791" i="40"/>
  <c r="M791" i="40"/>
  <c r="L791" i="40"/>
  <c r="AG790" i="40"/>
  <c r="AF790" i="40"/>
  <c r="O790" i="40"/>
  <c r="M790" i="40"/>
  <c r="L790" i="40"/>
  <c r="AG789" i="40"/>
  <c r="AF789" i="40"/>
  <c r="O789" i="40"/>
  <c r="M789" i="40"/>
  <c r="L789" i="40"/>
  <c r="AG788" i="40"/>
  <c r="AF788" i="40"/>
  <c r="O788" i="40"/>
  <c r="M788" i="40"/>
  <c r="L788" i="40"/>
  <c r="AG787" i="40"/>
  <c r="AF787" i="40"/>
  <c r="O787" i="40"/>
  <c r="M787" i="40"/>
  <c r="L787" i="40"/>
  <c r="AG786" i="40"/>
  <c r="AF786" i="40"/>
  <c r="O786" i="40"/>
  <c r="M786" i="40"/>
  <c r="L786" i="40"/>
  <c r="AG785" i="40"/>
  <c r="AF785" i="40"/>
  <c r="O785" i="40"/>
  <c r="M785" i="40"/>
  <c r="L785" i="40"/>
  <c r="AG784" i="40"/>
  <c r="AF784" i="40"/>
  <c r="O784" i="40"/>
  <c r="M784" i="40"/>
  <c r="L784" i="40"/>
  <c r="AG783" i="40"/>
  <c r="AF783" i="40"/>
  <c r="O783" i="40"/>
  <c r="M783" i="40"/>
  <c r="L783" i="40"/>
  <c r="AG782" i="40"/>
  <c r="AF782" i="40"/>
  <c r="O782" i="40"/>
  <c r="M782" i="40"/>
  <c r="L782" i="40"/>
  <c r="AG781" i="40"/>
  <c r="AF781" i="40"/>
  <c r="O781" i="40"/>
  <c r="M781" i="40"/>
  <c r="L781" i="40"/>
  <c r="AG780" i="40"/>
  <c r="AF780" i="40"/>
  <c r="O780" i="40"/>
  <c r="M780" i="40"/>
  <c r="L780" i="40"/>
  <c r="AG779" i="40"/>
  <c r="AF779" i="40"/>
  <c r="O779" i="40"/>
  <c r="M779" i="40"/>
  <c r="L779" i="40"/>
  <c r="AG778" i="40"/>
  <c r="AF778" i="40"/>
  <c r="O778" i="40"/>
  <c r="M778" i="40"/>
  <c r="L778" i="40"/>
  <c r="AG777" i="40"/>
  <c r="AF777" i="40"/>
  <c r="O777" i="40"/>
  <c r="M777" i="40"/>
  <c r="L777" i="40"/>
  <c r="AG776" i="40"/>
  <c r="AF776" i="40"/>
  <c r="O776" i="40"/>
  <c r="M776" i="40"/>
  <c r="L776" i="40"/>
  <c r="AG775" i="40"/>
  <c r="AF775" i="40"/>
  <c r="O775" i="40"/>
  <c r="M775" i="40"/>
  <c r="L775" i="40"/>
  <c r="AG774" i="40"/>
  <c r="AF774" i="40"/>
  <c r="O774" i="40"/>
  <c r="M774" i="40"/>
  <c r="L774" i="40"/>
  <c r="AG773" i="40"/>
  <c r="AF773" i="40"/>
  <c r="O773" i="40"/>
  <c r="M773" i="40"/>
  <c r="L773" i="40"/>
  <c r="AG772" i="40"/>
  <c r="AF772" i="40"/>
  <c r="O772" i="40"/>
  <c r="M772" i="40"/>
  <c r="L772" i="40"/>
  <c r="AG771" i="40"/>
  <c r="AF771" i="40"/>
  <c r="O771" i="40"/>
  <c r="M771" i="40"/>
  <c r="L771" i="40"/>
  <c r="AG770" i="40"/>
  <c r="AF770" i="40"/>
  <c r="O770" i="40"/>
  <c r="M770" i="40"/>
  <c r="L770" i="40"/>
  <c r="AG769" i="40"/>
  <c r="AF769" i="40"/>
  <c r="O769" i="40"/>
  <c r="M769" i="40"/>
  <c r="L769" i="40"/>
  <c r="AG768" i="40"/>
  <c r="AF768" i="40"/>
  <c r="O768" i="40"/>
  <c r="M768" i="40"/>
  <c r="L768" i="40"/>
  <c r="AG767" i="40"/>
  <c r="AF767" i="40"/>
  <c r="O767" i="40"/>
  <c r="M767" i="40"/>
  <c r="L767" i="40"/>
  <c r="AG766" i="40"/>
  <c r="AF766" i="40"/>
  <c r="O766" i="40"/>
  <c r="M766" i="40"/>
  <c r="L766" i="40"/>
  <c r="AG765" i="40"/>
  <c r="AF765" i="40"/>
  <c r="O765" i="40"/>
  <c r="M765" i="40"/>
  <c r="L765" i="40"/>
  <c r="AG764" i="40"/>
  <c r="AF764" i="40"/>
  <c r="O764" i="40"/>
  <c r="M764" i="40"/>
  <c r="L764" i="40"/>
  <c r="AG763" i="40"/>
  <c r="AF763" i="40"/>
  <c r="O763" i="40"/>
  <c r="M763" i="40"/>
  <c r="L763" i="40"/>
  <c r="AG762" i="40"/>
  <c r="AF762" i="40"/>
  <c r="O762" i="40"/>
  <c r="M762" i="40"/>
  <c r="L762" i="40"/>
  <c r="AG761" i="40"/>
  <c r="AF761" i="40"/>
  <c r="O761" i="40"/>
  <c r="M761" i="40"/>
  <c r="L761" i="40"/>
  <c r="AG760" i="40"/>
  <c r="AF760" i="40"/>
  <c r="O760" i="40"/>
  <c r="M760" i="40"/>
  <c r="L760" i="40"/>
  <c r="AG759" i="40"/>
  <c r="AF759" i="40"/>
  <c r="O759" i="40"/>
  <c r="M759" i="40"/>
  <c r="L759" i="40"/>
  <c r="AG758" i="40"/>
  <c r="AF758" i="40"/>
  <c r="O758" i="40"/>
  <c r="M758" i="40"/>
  <c r="L758" i="40"/>
  <c r="AG757" i="40"/>
  <c r="AF757" i="40"/>
  <c r="O757" i="40"/>
  <c r="M757" i="40"/>
  <c r="L757" i="40"/>
  <c r="AG756" i="40"/>
  <c r="AF756" i="40"/>
  <c r="O756" i="40"/>
  <c r="M756" i="40"/>
  <c r="L756" i="40"/>
  <c r="AG755" i="40"/>
  <c r="AF755" i="40"/>
  <c r="O755" i="40"/>
  <c r="M755" i="40"/>
  <c r="L755" i="40"/>
  <c r="AG754" i="40"/>
  <c r="AF754" i="40"/>
  <c r="O754" i="40"/>
  <c r="M754" i="40"/>
  <c r="L754" i="40"/>
  <c r="AG753" i="40"/>
  <c r="AF753" i="40"/>
  <c r="O753" i="40"/>
  <c r="M753" i="40"/>
  <c r="L753" i="40"/>
  <c r="AG752" i="40"/>
  <c r="AF752" i="40"/>
  <c r="O752" i="40"/>
  <c r="M752" i="40"/>
  <c r="L752" i="40"/>
  <c r="AG751" i="40"/>
  <c r="AF751" i="40"/>
  <c r="O751" i="40"/>
  <c r="M751" i="40"/>
  <c r="L751" i="40"/>
  <c r="AG750" i="40"/>
  <c r="AF750" i="40"/>
  <c r="O750" i="40"/>
  <c r="M750" i="40"/>
  <c r="L750" i="40"/>
  <c r="AG749" i="40"/>
  <c r="AF749" i="40"/>
  <c r="O749" i="40"/>
  <c r="M749" i="40"/>
  <c r="L749" i="40"/>
  <c r="AG748" i="40"/>
  <c r="AF748" i="40"/>
  <c r="O748" i="40"/>
  <c r="M748" i="40"/>
  <c r="L748" i="40"/>
  <c r="AG747" i="40"/>
  <c r="AF747" i="40"/>
  <c r="O747" i="40"/>
  <c r="M747" i="40"/>
  <c r="L747" i="40"/>
  <c r="AG746" i="40"/>
  <c r="AF746" i="40"/>
  <c r="O746" i="40"/>
  <c r="M746" i="40"/>
  <c r="L746" i="40"/>
  <c r="AG745" i="40"/>
  <c r="AF745" i="40"/>
  <c r="O745" i="40"/>
  <c r="M745" i="40"/>
  <c r="L745" i="40"/>
  <c r="AG744" i="40"/>
  <c r="AF744" i="40"/>
  <c r="O744" i="40"/>
  <c r="M744" i="40"/>
  <c r="L744" i="40"/>
  <c r="AG743" i="40"/>
  <c r="AF743" i="40"/>
  <c r="O743" i="40"/>
  <c r="M743" i="40"/>
  <c r="L743" i="40"/>
  <c r="AG742" i="40"/>
  <c r="AF742" i="40"/>
  <c r="O742" i="40"/>
  <c r="M742" i="40"/>
  <c r="L742" i="40"/>
  <c r="AG741" i="40"/>
  <c r="AF741" i="40"/>
  <c r="O741" i="40"/>
  <c r="M741" i="40"/>
  <c r="L741" i="40"/>
  <c r="AG740" i="40"/>
  <c r="AF740" i="40"/>
  <c r="O740" i="40"/>
  <c r="M740" i="40"/>
  <c r="L740" i="40"/>
  <c r="AG739" i="40"/>
  <c r="AF739" i="40"/>
  <c r="O739" i="40"/>
  <c r="M739" i="40"/>
  <c r="L739" i="40"/>
  <c r="AG738" i="40"/>
  <c r="AF738" i="40"/>
  <c r="O738" i="40"/>
  <c r="M738" i="40"/>
  <c r="L738" i="40"/>
  <c r="AG737" i="40"/>
  <c r="AF737" i="40"/>
  <c r="O737" i="40"/>
  <c r="M737" i="40"/>
  <c r="L737" i="40"/>
  <c r="AG736" i="40"/>
  <c r="AF736" i="40"/>
  <c r="O736" i="40"/>
  <c r="M736" i="40"/>
  <c r="L736" i="40"/>
  <c r="AG735" i="40"/>
  <c r="AF735" i="40"/>
  <c r="O735" i="40"/>
  <c r="M735" i="40"/>
  <c r="L735" i="40"/>
  <c r="AG734" i="40"/>
  <c r="AF734" i="40"/>
  <c r="O734" i="40"/>
  <c r="M734" i="40"/>
  <c r="L734" i="40"/>
  <c r="AG733" i="40"/>
  <c r="AF733" i="40"/>
  <c r="O733" i="40"/>
  <c r="M733" i="40"/>
  <c r="L733" i="40"/>
  <c r="AG732" i="40"/>
  <c r="AF732" i="40"/>
  <c r="O732" i="40"/>
  <c r="M732" i="40"/>
  <c r="L732" i="40"/>
  <c r="AG731" i="40"/>
  <c r="AF731" i="40"/>
  <c r="O731" i="40"/>
  <c r="M731" i="40"/>
  <c r="L731" i="40"/>
  <c r="AG730" i="40"/>
  <c r="AF730" i="40"/>
  <c r="O730" i="40"/>
  <c r="M730" i="40"/>
  <c r="L730" i="40"/>
  <c r="AG729" i="40"/>
  <c r="AF729" i="40"/>
  <c r="O729" i="40"/>
  <c r="M729" i="40"/>
  <c r="L729" i="40"/>
  <c r="AG728" i="40"/>
  <c r="AF728" i="40"/>
  <c r="O728" i="40"/>
  <c r="M728" i="40"/>
  <c r="L728" i="40"/>
  <c r="AG727" i="40"/>
  <c r="AF727" i="40"/>
  <c r="O727" i="40"/>
  <c r="M727" i="40"/>
  <c r="L727" i="40"/>
  <c r="AG726" i="40"/>
  <c r="AF726" i="40"/>
  <c r="O726" i="40"/>
  <c r="M726" i="40"/>
  <c r="L726" i="40"/>
  <c r="AG725" i="40"/>
  <c r="AF725" i="40"/>
  <c r="O725" i="40"/>
  <c r="M725" i="40"/>
  <c r="L725" i="40"/>
  <c r="AG724" i="40"/>
  <c r="AF724" i="40"/>
  <c r="O724" i="40"/>
  <c r="M724" i="40"/>
  <c r="L724" i="40"/>
  <c r="AG723" i="40"/>
  <c r="AF723" i="40"/>
  <c r="O723" i="40"/>
  <c r="M723" i="40"/>
  <c r="L723" i="40"/>
  <c r="AG722" i="40"/>
  <c r="AF722" i="40"/>
  <c r="O722" i="40"/>
  <c r="M722" i="40"/>
  <c r="L722" i="40"/>
  <c r="AG721" i="40"/>
  <c r="AF721" i="40"/>
  <c r="O721" i="40"/>
  <c r="M721" i="40"/>
  <c r="L721" i="40"/>
  <c r="AG720" i="40"/>
  <c r="AF720" i="40"/>
  <c r="O720" i="40"/>
  <c r="M720" i="40"/>
  <c r="L720" i="40"/>
  <c r="AG719" i="40"/>
  <c r="AF719" i="40"/>
  <c r="O719" i="40"/>
  <c r="M719" i="40"/>
  <c r="L719" i="40"/>
  <c r="AG718" i="40"/>
  <c r="AF718" i="40"/>
  <c r="O718" i="40"/>
  <c r="M718" i="40"/>
  <c r="L718" i="40"/>
  <c r="AG717" i="40"/>
  <c r="AF717" i="40"/>
  <c r="O717" i="40"/>
  <c r="M717" i="40"/>
  <c r="L717" i="40"/>
  <c r="AG716" i="40"/>
  <c r="AF716" i="40"/>
  <c r="O716" i="40"/>
  <c r="M716" i="40"/>
  <c r="L716" i="40"/>
  <c r="AG715" i="40"/>
  <c r="AF715" i="40"/>
  <c r="O715" i="40"/>
  <c r="M715" i="40"/>
  <c r="L715" i="40"/>
  <c r="AG714" i="40"/>
  <c r="AF714" i="40"/>
  <c r="O714" i="40"/>
  <c r="M714" i="40"/>
  <c r="L714" i="40"/>
  <c r="AG713" i="40"/>
  <c r="AF713" i="40"/>
  <c r="O713" i="40"/>
  <c r="M713" i="40"/>
  <c r="L713" i="40"/>
  <c r="AG712" i="40"/>
  <c r="AF712" i="40"/>
  <c r="O712" i="40"/>
  <c r="M712" i="40"/>
  <c r="L712" i="40"/>
  <c r="AG711" i="40"/>
  <c r="AF711" i="40"/>
  <c r="O711" i="40"/>
  <c r="M711" i="40"/>
  <c r="L711" i="40"/>
  <c r="AG710" i="40"/>
  <c r="AF710" i="40"/>
  <c r="O710" i="40"/>
  <c r="M710" i="40"/>
  <c r="L710" i="40"/>
  <c r="AG709" i="40"/>
  <c r="AF709" i="40"/>
  <c r="O709" i="40"/>
  <c r="M709" i="40"/>
  <c r="L709" i="40"/>
  <c r="AG708" i="40"/>
  <c r="AF708" i="40"/>
  <c r="O708" i="40"/>
  <c r="M708" i="40"/>
  <c r="L708" i="40"/>
  <c r="AG707" i="40"/>
  <c r="AF707" i="40"/>
  <c r="O707" i="40"/>
  <c r="M707" i="40"/>
  <c r="L707" i="40"/>
  <c r="AG706" i="40"/>
  <c r="AF706" i="40"/>
  <c r="O706" i="40"/>
  <c r="M706" i="40"/>
  <c r="L706" i="40"/>
  <c r="AG705" i="40"/>
  <c r="AF705" i="40"/>
  <c r="O705" i="40"/>
  <c r="M705" i="40"/>
  <c r="L705" i="40"/>
  <c r="AG704" i="40"/>
  <c r="AF704" i="40"/>
  <c r="O704" i="40"/>
  <c r="M704" i="40"/>
  <c r="L704" i="40"/>
  <c r="AG703" i="40"/>
  <c r="AF703" i="40"/>
  <c r="O703" i="40"/>
  <c r="M703" i="40"/>
  <c r="L703" i="40"/>
  <c r="AG702" i="40"/>
  <c r="AF702" i="40"/>
  <c r="O702" i="40"/>
  <c r="M702" i="40"/>
  <c r="L702" i="40"/>
  <c r="AG701" i="40"/>
  <c r="AF701" i="40"/>
  <c r="O701" i="40"/>
  <c r="M701" i="40"/>
  <c r="L701" i="40"/>
  <c r="AG700" i="40"/>
  <c r="AF700" i="40"/>
  <c r="O700" i="40"/>
  <c r="M700" i="40"/>
  <c r="L700" i="40"/>
  <c r="AG699" i="40"/>
  <c r="AF699" i="40"/>
  <c r="O699" i="40"/>
  <c r="M699" i="40"/>
  <c r="L699" i="40"/>
  <c r="AG698" i="40"/>
  <c r="AF698" i="40"/>
  <c r="O698" i="40"/>
  <c r="M698" i="40"/>
  <c r="L698" i="40"/>
  <c r="AG697" i="40"/>
  <c r="AF697" i="40"/>
  <c r="O697" i="40"/>
  <c r="M697" i="40"/>
  <c r="L697" i="40"/>
  <c r="AG696" i="40"/>
  <c r="AF696" i="40"/>
  <c r="O696" i="40"/>
  <c r="M696" i="40"/>
  <c r="L696" i="40"/>
  <c r="AG695" i="40"/>
  <c r="AF695" i="40"/>
  <c r="O695" i="40"/>
  <c r="M695" i="40"/>
  <c r="L695" i="40"/>
  <c r="AG694" i="40"/>
  <c r="AF694" i="40"/>
  <c r="O694" i="40"/>
  <c r="M694" i="40"/>
  <c r="L694" i="40"/>
  <c r="AG693" i="40"/>
  <c r="AF693" i="40"/>
  <c r="O693" i="40"/>
  <c r="M693" i="40"/>
  <c r="L693" i="40"/>
  <c r="AG692" i="40"/>
  <c r="AF692" i="40"/>
  <c r="O692" i="40"/>
  <c r="M692" i="40"/>
  <c r="L692" i="40"/>
  <c r="AG691" i="40"/>
  <c r="AF691" i="40"/>
  <c r="O691" i="40"/>
  <c r="M691" i="40"/>
  <c r="L691" i="40"/>
  <c r="AG690" i="40"/>
  <c r="AF690" i="40"/>
  <c r="O690" i="40"/>
  <c r="M690" i="40"/>
  <c r="L690" i="40"/>
  <c r="AG689" i="40"/>
  <c r="AF689" i="40"/>
  <c r="O689" i="40"/>
  <c r="M689" i="40"/>
  <c r="L689" i="40"/>
  <c r="AG688" i="40"/>
  <c r="AF688" i="40"/>
  <c r="O688" i="40"/>
  <c r="M688" i="40"/>
  <c r="L688" i="40"/>
  <c r="AG687" i="40"/>
  <c r="AF687" i="40"/>
  <c r="O687" i="40"/>
  <c r="M687" i="40"/>
  <c r="L687" i="40"/>
  <c r="AG686" i="40"/>
  <c r="AF686" i="40"/>
  <c r="O686" i="40"/>
  <c r="M686" i="40"/>
  <c r="L686" i="40"/>
  <c r="AG685" i="40"/>
  <c r="AF685" i="40"/>
  <c r="O685" i="40"/>
  <c r="M685" i="40"/>
  <c r="L685" i="40"/>
  <c r="AG684" i="40"/>
  <c r="AF684" i="40"/>
  <c r="O684" i="40"/>
  <c r="M684" i="40"/>
  <c r="L684" i="40"/>
  <c r="AG683" i="40"/>
  <c r="AF683" i="40"/>
  <c r="O683" i="40"/>
  <c r="M683" i="40"/>
  <c r="L683" i="40"/>
  <c r="AG682" i="40"/>
  <c r="AF682" i="40"/>
  <c r="O682" i="40"/>
  <c r="M682" i="40"/>
  <c r="L682" i="40"/>
  <c r="AG681" i="40"/>
  <c r="AF681" i="40"/>
  <c r="O681" i="40"/>
  <c r="M681" i="40"/>
  <c r="L681" i="40"/>
  <c r="AG680" i="40"/>
  <c r="AF680" i="40"/>
  <c r="O680" i="40"/>
  <c r="M680" i="40"/>
  <c r="L680" i="40"/>
  <c r="AG679" i="40"/>
  <c r="AF679" i="40"/>
  <c r="O679" i="40"/>
  <c r="M679" i="40"/>
  <c r="L679" i="40"/>
  <c r="AG678" i="40"/>
  <c r="AF678" i="40"/>
  <c r="O678" i="40"/>
  <c r="M678" i="40"/>
  <c r="L678" i="40"/>
  <c r="AG677" i="40"/>
  <c r="AF677" i="40"/>
  <c r="O677" i="40"/>
  <c r="M677" i="40"/>
  <c r="L677" i="40"/>
  <c r="AG676" i="40"/>
  <c r="AF676" i="40"/>
  <c r="O676" i="40"/>
  <c r="M676" i="40"/>
  <c r="L676" i="40"/>
  <c r="AG675" i="40"/>
  <c r="AF675" i="40"/>
  <c r="O675" i="40"/>
  <c r="M675" i="40"/>
  <c r="L675" i="40"/>
  <c r="AG674" i="40"/>
  <c r="AF674" i="40"/>
  <c r="O674" i="40"/>
  <c r="M674" i="40"/>
  <c r="L674" i="40"/>
  <c r="AG673" i="40"/>
  <c r="AF673" i="40"/>
  <c r="O673" i="40"/>
  <c r="M673" i="40"/>
  <c r="L673" i="40"/>
  <c r="AG672" i="40"/>
  <c r="AF672" i="40"/>
  <c r="O672" i="40"/>
  <c r="M672" i="40"/>
  <c r="L672" i="40"/>
  <c r="AG671" i="40"/>
  <c r="AF671" i="40"/>
  <c r="O671" i="40"/>
  <c r="M671" i="40"/>
  <c r="L671" i="40"/>
  <c r="AG670" i="40"/>
  <c r="AF670" i="40"/>
  <c r="O670" i="40"/>
  <c r="M670" i="40"/>
  <c r="L670" i="40"/>
  <c r="AG669" i="40"/>
  <c r="AF669" i="40"/>
  <c r="O669" i="40"/>
  <c r="M669" i="40"/>
  <c r="L669" i="40"/>
  <c r="AG668" i="40"/>
  <c r="AF668" i="40"/>
  <c r="O668" i="40"/>
  <c r="M668" i="40"/>
  <c r="L668" i="40"/>
  <c r="AG667" i="40"/>
  <c r="AF667" i="40"/>
  <c r="O667" i="40"/>
  <c r="M667" i="40"/>
  <c r="L667" i="40"/>
  <c r="AG666" i="40"/>
  <c r="AF666" i="40"/>
  <c r="O666" i="40"/>
  <c r="M666" i="40"/>
  <c r="L666" i="40"/>
  <c r="AG665" i="40"/>
  <c r="AF665" i="40"/>
  <c r="O665" i="40"/>
  <c r="M665" i="40"/>
  <c r="L665" i="40"/>
  <c r="AG664" i="40"/>
  <c r="AF664" i="40"/>
  <c r="O664" i="40"/>
  <c r="M664" i="40"/>
  <c r="L664" i="40"/>
  <c r="AG663" i="40"/>
  <c r="AF663" i="40"/>
  <c r="O663" i="40"/>
  <c r="M663" i="40"/>
  <c r="L663" i="40"/>
  <c r="AG662" i="40"/>
  <c r="AF662" i="40"/>
  <c r="O662" i="40"/>
  <c r="M662" i="40"/>
  <c r="L662" i="40"/>
  <c r="AG661" i="40"/>
  <c r="AF661" i="40"/>
  <c r="O661" i="40"/>
  <c r="M661" i="40"/>
  <c r="L661" i="40"/>
  <c r="AG660" i="40"/>
  <c r="AF660" i="40"/>
  <c r="O660" i="40"/>
  <c r="M660" i="40"/>
  <c r="L660" i="40"/>
  <c r="AG659" i="40"/>
  <c r="AF659" i="40"/>
  <c r="O659" i="40"/>
  <c r="M659" i="40"/>
  <c r="L659" i="40"/>
  <c r="AG658" i="40"/>
  <c r="AF658" i="40"/>
  <c r="O658" i="40"/>
  <c r="M658" i="40"/>
  <c r="L658" i="40"/>
  <c r="AG657" i="40"/>
  <c r="AF657" i="40"/>
  <c r="O657" i="40"/>
  <c r="M657" i="40"/>
  <c r="L657" i="40"/>
  <c r="AG656" i="40"/>
  <c r="AF656" i="40"/>
  <c r="O656" i="40"/>
  <c r="M656" i="40"/>
  <c r="L656" i="40"/>
  <c r="AG655" i="40"/>
  <c r="AF655" i="40"/>
  <c r="O655" i="40"/>
  <c r="M655" i="40"/>
  <c r="L655" i="40"/>
  <c r="AG654" i="40"/>
  <c r="AF654" i="40"/>
  <c r="O654" i="40"/>
  <c r="M654" i="40"/>
  <c r="L654" i="40"/>
  <c r="AG653" i="40"/>
  <c r="AF653" i="40"/>
  <c r="O653" i="40"/>
  <c r="M653" i="40"/>
  <c r="L653" i="40"/>
  <c r="AG652" i="40"/>
  <c r="AF652" i="40"/>
  <c r="O652" i="40"/>
  <c r="M652" i="40"/>
  <c r="L652" i="40"/>
  <c r="AG651" i="40"/>
  <c r="AF651" i="40"/>
  <c r="O651" i="40"/>
  <c r="M651" i="40"/>
  <c r="L651" i="40"/>
  <c r="AG650" i="40"/>
  <c r="AF650" i="40"/>
  <c r="O650" i="40"/>
  <c r="M650" i="40"/>
  <c r="L650" i="40"/>
  <c r="AG649" i="40"/>
  <c r="AF649" i="40"/>
  <c r="O649" i="40"/>
  <c r="M649" i="40"/>
  <c r="L649" i="40"/>
  <c r="AG648" i="40"/>
  <c r="AF648" i="40"/>
  <c r="O648" i="40"/>
  <c r="M648" i="40"/>
  <c r="L648" i="40"/>
  <c r="AG647" i="40"/>
  <c r="AF647" i="40"/>
  <c r="O647" i="40"/>
  <c r="M647" i="40"/>
  <c r="L647" i="40"/>
  <c r="AG646" i="40"/>
  <c r="AF646" i="40"/>
  <c r="O646" i="40"/>
  <c r="M646" i="40"/>
  <c r="L646" i="40"/>
  <c r="AG645" i="40"/>
  <c r="AF645" i="40"/>
  <c r="O645" i="40"/>
  <c r="M645" i="40"/>
  <c r="L645" i="40"/>
  <c r="AG644" i="40"/>
  <c r="AF644" i="40"/>
  <c r="O644" i="40"/>
  <c r="M644" i="40"/>
  <c r="L644" i="40"/>
  <c r="AG643" i="40"/>
  <c r="AF643" i="40"/>
  <c r="O643" i="40"/>
  <c r="M643" i="40"/>
  <c r="L643" i="40"/>
  <c r="AG642" i="40"/>
  <c r="AF642" i="40"/>
  <c r="O642" i="40"/>
  <c r="M642" i="40"/>
  <c r="L642" i="40"/>
  <c r="AG641" i="40"/>
  <c r="AF641" i="40"/>
  <c r="O641" i="40"/>
  <c r="M641" i="40"/>
  <c r="L641" i="40"/>
  <c r="AG640" i="40"/>
  <c r="AF640" i="40"/>
  <c r="O640" i="40"/>
  <c r="M640" i="40"/>
  <c r="L640" i="40"/>
  <c r="AG639" i="40"/>
  <c r="AF639" i="40"/>
  <c r="O639" i="40"/>
  <c r="M639" i="40"/>
  <c r="L639" i="40"/>
  <c r="AG638" i="40"/>
  <c r="AF638" i="40"/>
  <c r="O638" i="40"/>
  <c r="M638" i="40"/>
  <c r="L638" i="40"/>
  <c r="AG637" i="40"/>
  <c r="AF637" i="40"/>
  <c r="O637" i="40"/>
  <c r="M637" i="40"/>
  <c r="L637" i="40"/>
  <c r="AG636" i="40"/>
  <c r="AF636" i="40"/>
  <c r="O636" i="40"/>
  <c r="M636" i="40"/>
  <c r="L636" i="40"/>
  <c r="AG635" i="40"/>
  <c r="AF635" i="40"/>
  <c r="O635" i="40"/>
  <c r="M635" i="40"/>
  <c r="L635" i="40"/>
  <c r="AG634" i="40"/>
  <c r="AF634" i="40"/>
  <c r="O634" i="40"/>
  <c r="M634" i="40"/>
  <c r="L634" i="40"/>
  <c r="AG633" i="40"/>
  <c r="AF633" i="40"/>
  <c r="O633" i="40"/>
  <c r="M633" i="40"/>
  <c r="L633" i="40"/>
  <c r="AG632" i="40"/>
  <c r="AF632" i="40"/>
  <c r="O632" i="40"/>
  <c r="M632" i="40"/>
  <c r="L632" i="40"/>
  <c r="AG631" i="40"/>
  <c r="AF631" i="40"/>
  <c r="O631" i="40"/>
  <c r="M631" i="40"/>
  <c r="L631" i="40"/>
  <c r="AG630" i="40"/>
  <c r="AF630" i="40"/>
  <c r="O630" i="40"/>
  <c r="M630" i="40"/>
  <c r="L630" i="40"/>
  <c r="AG629" i="40"/>
  <c r="AF629" i="40"/>
  <c r="O629" i="40"/>
  <c r="M629" i="40"/>
  <c r="L629" i="40"/>
  <c r="AG628" i="40"/>
  <c r="AF628" i="40"/>
  <c r="O628" i="40"/>
  <c r="M628" i="40"/>
  <c r="L628" i="40"/>
  <c r="AG627" i="40"/>
  <c r="AF627" i="40"/>
  <c r="O627" i="40"/>
  <c r="M627" i="40"/>
  <c r="L627" i="40"/>
  <c r="AG626" i="40"/>
  <c r="AF626" i="40"/>
  <c r="O626" i="40"/>
  <c r="M626" i="40"/>
  <c r="L626" i="40"/>
  <c r="AG625" i="40"/>
  <c r="AF625" i="40"/>
  <c r="O625" i="40"/>
  <c r="M625" i="40"/>
  <c r="L625" i="40"/>
  <c r="AG624" i="40"/>
  <c r="AF624" i="40"/>
  <c r="O624" i="40"/>
  <c r="M624" i="40"/>
  <c r="L624" i="40"/>
  <c r="AG623" i="40"/>
  <c r="AF623" i="40"/>
  <c r="O623" i="40"/>
  <c r="M623" i="40"/>
  <c r="L623" i="40"/>
  <c r="AG622" i="40"/>
  <c r="AF622" i="40"/>
  <c r="O622" i="40"/>
  <c r="M622" i="40"/>
  <c r="L622" i="40"/>
  <c r="AG621" i="40"/>
  <c r="AF621" i="40"/>
  <c r="O621" i="40"/>
  <c r="M621" i="40"/>
  <c r="L621" i="40"/>
  <c r="AG620" i="40"/>
  <c r="AF620" i="40"/>
  <c r="O620" i="40"/>
  <c r="M620" i="40"/>
  <c r="L620" i="40"/>
  <c r="AG619" i="40"/>
  <c r="AF619" i="40"/>
  <c r="O619" i="40"/>
  <c r="M619" i="40"/>
  <c r="L619" i="40"/>
  <c r="AG618" i="40"/>
  <c r="AF618" i="40"/>
  <c r="O618" i="40"/>
  <c r="M618" i="40"/>
  <c r="L618" i="40"/>
  <c r="AG617" i="40"/>
  <c r="AF617" i="40"/>
  <c r="O617" i="40"/>
  <c r="M617" i="40"/>
  <c r="L617" i="40"/>
  <c r="AG616" i="40"/>
  <c r="AF616" i="40"/>
  <c r="O616" i="40"/>
  <c r="M616" i="40"/>
  <c r="L616" i="40"/>
  <c r="AG615" i="40"/>
  <c r="AF615" i="40"/>
  <c r="O615" i="40"/>
  <c r="M615" i="40"/>
  <c r="L615" i="40"/>
  <c r="AG614" i="40"/>
  <c r="AF614" i="40"/>
  <c r="O614" i="40"/>
  <c r="M614" i="40"/>
  <c r="L614" i="40"/>
  <c r="AG613" i="40"/>
  <c r="AF613" i="40"/>
  <c r="O613" i="40"/>
  <c r="M613" i="40"/>
  <c r="L613" i="40"/>
  <c r="AG612" i="40"/>
  <c r="AF612" i="40"/>
  <c r="O612" i="40"/>
  <c r="M612" i="40"/>
  <c r="L612" i="40"/>
  <c r="AG611" i="40"/>
  <c r="AF611" i="40"/>
  <c r="O611" i="40"/>
  <c r="M611" i="40"/>
  <c r="L611" i="40"/>
  <c r="AG610" i="40"/>
  <c r="AF610" i="40"/>
  <c r="O610" i="40"/>
  <c r="M610" i="40"/>
  <c r="L610" i="40"/>
  <c r="AG609" i="40"/>
  <c r="AF609" i="40"/>
  <c r="O609" i="40"/>
  <c r="M609" i="40"/>
  <c r="L609" i="40"/>
  <c r="AG608" i="40"/>
  <c r="AF608" i="40"/>
  <c r="O608" i="40"/>
  <c r="M608" i="40"/>
  <c r="L608" i="40"/>
  <c r="AG607" i="40"/>
  <c r="AF607" i="40"/>
  <c r="O607" i="40"/>
  <c r="M607" i="40"/>
  <c r="L607" i="40"/>
  <c r="AG606" i="40"/>
  <c r="AF606" i="40"/>
  <c r="O606" i="40"/>
  <c r="M606" i="40"/>
  <c r="L606" i="40"/>
  <c r="AG605" i="40"/>
  <c r="AF605" i="40"/>
  <c r="O605" i="40"/>
  <c r="M605" i="40"/>
  <c r="L605" i="40"/>
  <c r="AG604" i="40"/>
  <c r="AF604" i="40"/>
  <c r="O604" i="40"/>
  <c r="M604" i="40"/>
  <c r="L604" i="40"/>
  <c r="AG603" i="40"/>
  <c r="AF603" i="40"/>
  <c r="O603" i="40"/>
  <c r="M603" i="40"/>
  <c r="L603" i="40"/>
  <c r="AG602" i="40"/>
  <c r="AF602" i="40"/>
  <c r="O602" i="40"/>
  <c r="M602" i="40"/>
  <c r="L602" i="40"/>
  <c r="AG601" i="40"/>
  <c r="AF601" i="40"/>
  <c r="O601" i="40"/>
  <c r="M601" i="40"/>
  <c r="L601" i="40"/>
  <c r="AG600" i="40"/>
  <c r="AF600" i="40"/>
  <c r="O600" i="40"/>
  <c r="M600" i="40"/>
  <c r="L600" i="40"/>
  <c r="AG599" i="40"/>
  <c r="AF599" i="40"/>
  <c r="O599" i="40"/>
  <c r="M599" i="40"/>
  <c r="L599" i="40"/>
  <c r="AG598" i="40"/>
  <c r="AF598" i="40"/>
  <c r="O598" i="40"/>
  <c r="M598" i="40"/>
  <c r="L598" i="40"/>
  <c r="AG597" i="40"/>
  <c r="AF597" i="40"/>
  <c r="O597" i="40"/>
  <c r="M597" i="40"/>
  <c r="L597" i="40"/>
  <c r="AG596" i="40"/>
  <c r="AF596" i="40"/>
  <c r="O596" i="40"/>
  <c r="M596" i="40"/>
  <c r="L596" i="40"/>
  <c r="AG595" i="40"/>
  <c r="AF595" i="40"/>
  <c r="O595" i="40"/>
  <c r="M595" i="40"/>
  <c r="L595" i="40"/>
  <c r="AG594" i="40"/>
  <c r="AF594" i="40"/>
  <c r="O594" i="40"/>
  <c r="M594" i="40"/>
  <c r="L594" i="40"/>
  <c r="AG593" i="40"/>
  <c r="AF593" i="40"/>
  <c r="O593" i="40"/>
  <c r="M593" i="40"/>
  <c r="L593" i="40"/>
  <c r="AG592" i="40"/>
  <c r="AF592" i="40"/>
  <c r="O592" i="40"/>
  <c r="M592" i="40"/>
  <c r="L592" i="40"/>
  <c r="AG591" i="40"/>
  <c r="AF591" i="40"/>
  <c r="O591" i="40"/>
  <c r="M591" i="40"/>
  <c r="L591" i="40"/>
  <c r="AG590" i="40"/>
  <c r="AF590" i="40"/>
  <c r="O590" i="40"/>
  <c r="M590" i="40"/>
  <c r="L590" i="40"/>
  <c r="AG589" i="40"/>
  <c r="AF589" i="40"/>
  <c r="O589" i="40"/>
  <c r="M589" i="40"/>
  <c r="L589" i="40"/>
  <c r="AG588" i="40"/>
  <c r="AF588" i="40"/>
  <c r="O588" i="40"/>
  <c r="M588" i="40"/>
  <c r="L588" i="40"/>
  <c r="AG587" i="40"/>
  <c r="AF587" i="40"/>
  <c r="O587" i="40"/>
  <c r="M587" i="40"/>
  <c r="L587" i="40"/>
  <c r="AG586" i="40"/>
  <c r="AF586" i="40"/>
  <c r="O586" i="40"/>
  <c r="M586" i="40"/>
  <c r="L586" i="40"/>
  <c r="AG585" i="40"/>
  <c r="AF585" i="40"/>
  <c r="O585" i="40"/>
  <c r="M585" i="40"/>
  <c r="L585" i="40"/>
  <c r="AG584" i="40"/>
  <c r="AF584" i="40"/>
  <c r="O584" i="40"/>
  <c r="M584" i="40"/>
  <c r="L584" i="40"/>
  <c r="AG583" i="40"/>
  <c r="AF583" i="40"/>
  <c r="O583" i="40"/>
  <c r="M583" i="40"/>
  <c r="L583" i="40"/>
  <c r="AG582" i="40"/>
  <c r="AF582" i="40"/>
  <c r="O582" i="40"/>
  <c r="M582" i="40"/>
  <c r="L582" i="40"/>
  <c r="AG581" i="40"/>
  <c r="AF581" i="40"/>
  <c r="O581" i="40"/>
  <c r="M581" i="40"/>
  <c r="L581" i="40"/>
  <c r="AG580" i="40"/>
  <c r="AF580" i="40"/>
  <c r="O580" i="40"/>
  <c r="M580" i="40"/>
  <c r="L580" i="40"/>
  <c r="AG579" i="40"/>
  <c r="AF579" i="40"/>
  <c r="O579" i="40"/>
  <c r="M579" i="40"/>
  <c r="L579" i="40"/>
  <c r="AG578" i="40"/>
  <c r="AF578" i="40"/>
  <c r="O578" i="40"/>
  <c r="M578" i="40"/>
  <c r="L578" i="40"/>
  <c r="AG577" i="40"/>
  <c r="AF577" i="40"/>
  <c r="O577" i="40"/>
  <c r="M577" i="40"/>
  <c r="L577" i="40"/>
  <c r="AG576" i="40"/>
  <c r="AF576" i="40"/>
  <c r="O576" i="40"/>
  <c r="M576" i="40"/>
  <c r="L576" i="40"/>
  <c r="AG575" i="40"/>
  <c r="AF575" i="40"/>
  <c r="O575" i="40"/>
  <c r="M575" i="40"/>
  <c r="L575" i="40"/>
  <c r="AG574" i="40"/>
  <c r="AF574" i="40"/>
  <c r="O574" i="40"/>
  <c r="M574" i="40"/>
  <c r="L574" i="40"/>
  <c r="AG573" i="40"/>
  <c r="AF573" i="40"/>
  <c r="O573" i="40"/>
  <c r="M573" i="40"/>
  <c r="L573" i="40"/>
  <c r="AG572" i="40"/>
  <c r="AF572" i="40"/>
  <c r="O572" i="40"/>
  <c r="M572" i="40"/>
  <c r="L572" i="40"/>
  <c r="AG571" i="40"/>
  <c r="AF571" i="40"/>
  <c r="O571" i="40"/>
  <c r="M571" i="40"/>
  <c r="L571" i="40"/>
  <c r="AG570" i="40"/>
  <c r="AF570" i="40"/>
  <c r="O570" i="40"/>
  <c r="M570" i="40"/>
  <c r="L570" i="40"/>
  <c r="AG569" i="40"/>
  <c r="AF569" i="40"/>
  <c r="O569" i="40"/>
  <c r="M569" i="40"/>
  <c r="L569" i="40"/>
  <c r="AG568" i="40"/>
  <c r="AF568" i="40"/>
  <c r="O568" i="40"/>
  <c r="M568" i="40"/>
  <c r="L568" i="40"/>
  <c r="AG567" i="40"/>
  <c r="AF567" i="40"/>
  <c r="O567" i="40"/>
  <c r="M567" i="40"/>
  <c r="L567" i="40"/>
  <c r="AG566" i="40"/>
  <c r="AF566" i="40"/>
  <c r="O566" i="40"/>
  <c r="M566" i="40"/>
  <c r="L566" i="40"/>
  <c r="AG565" i="40"/>
  <c r="AF565" i="40"/>
  <c r="O565" i="40"/>
  <c r="M565" i="40"/>
  <c r="L565" i="40"/>
  <c r="AG564" i="40"/>
  <c r="AF564" i="40"/>
  <c r="O564" i="40"/>
  <c r="M564" i="40"/>
  <c r="L564" i="40"/>
  <c r="AG563" i="40"/>
  <c r="AF563" i="40"/>
  <c r="O563" i="40"/>
  <c r="M563" i="40"/>
  <c r="L563" i="40"/>
  <c r="AG562" i="40"/>
  <c r="AF562" i="40"/>
  <c r="O562" i="40"/>
  <c r="M562" i="40"/>
  <c r="L562" i="40"/>
  <c r="AG561" i="40"/>
  <c r="AF561" i="40"/>
  <c r="O561" i="40"/>
  <c r="M561" i="40"/>
  <c r="L561" i="40"/>
  <c r="AG560" i="40"/>
  <c r="AF560" i="40"/>
  <c r="O560" i="40"/>
  <c r="M560" i="40"/>
  <c r="L560" i="40"/>
  <c r="AG559" i="40"/>
  <c r="AF559" i="40"/>
  <c r="O559" i="40"/>
  <c r="M559" i="40"/>
  <c r="L559" i="40"/>
  <c r="AG558" i="40"/>
  <c r="AF558" i="40"/>
  <c r="O558" i="40"/>
  <c r="M558" i="40"/>
  <c r="L558" i="40"/>
  <c r="AG557" i="40"/>
  <c r="AF557" i="40"/>
  <c r="O557" i="40"/>
  <c r="M557" i="40"/>
  <c r="L557" i="40"/>
  <c r="AG556" i="40"/>
  <c r="AF556" i="40"/>
  <c r="O556" i="40"/>
  <c r="M556" i="40"/>
  <c r="L556" i="40"/>
  <c r="AG555" i="40"/>
  <c r="AF555" i="40"/>
  <c r="O555" i="40"/>
  <c r="M555" i="40"/>
  <c r="L555" i="40"/>
  <c r="AG554" i="40"/>
  <c r="AF554" i="40"/>
  <c r="O554" i="40"/>
  <c r="M554" i="40"/>
  <c r="L554" i="40"/>
  <c r="AG553" i="40"/>
  <c r="AF553" i="40"/>
  <c r="O553" i="40"/>
  <c r="M553" i="40"/>
  <c r="L553" i="40"/>
  <c r="AG552" i="40"/>
  <c r="AF552" i="40"/>
  <c r="O552" i="40"/>
  <c r="M552" i="40"/>
  <c r="L552" i="40"/>
  <c r="AG551" i="40"/>
  <c r="AF551" i="40"/>
  <c r="O551" i="40"/>
  <c r="M551" i="40"/>
  <c r="L551" i="40"/>
  <c r="AG550" i="40"/>
  <c r="AF550" i="40"/>
  <c r="O550" i="40"/>
  <c r="M550" i="40"/>
  <c r="L550" i="40"/>
  <c r="AG549" i="40"/>
  <c r="AF549" i="40"/>
  <c r="O549" i="40"/>
  <c r="M549" i="40"/>
  <c r="L549" i="40"/>
  <c r="AG548" i="40"/>
  <c r="AF548" i="40"/>
  <c r="O548" i="40"/>
  <c r="M548" i="40"/>
  <c r="L548" i="40"/>
  <c r="AG547" i="40"/>
  <c r="AF547" i="40"/>
  <c r="O547" i="40"/>
  <c r="M547" i="40"/>
  <c r="L547" i="40"/>
  <c r="AG546" i="40"/>
  <c r="AF546" i="40"/>
  <c r="O546" i="40"/>
  <c r="M546" i="40"/>
  <c r="L546" i="40"/>
  <c r="AG545" i="40"/>
  <c r="AF545" i="40"/>
  <c r="O545" i="40"/>
  <c r="M545" i="40"/>
  <c r="L545" i="40"/>
  <c r="AG544" i="40"/>
  <c r="AF544" i="40"/>
  <c r="O544" i="40"/>
  <c r="M544" i="40"/>
  <c r="L544" i="40"/>
  <c r="AG543" i="40"/>
  <c r="AF543" i="40"/>
  <c r="O543" i="40"/>
  <c r="M543" i="40"/>
  <c r="L543" i="40"/>
  <c r="AG542" i="40"/>
  <c r="AF542" i="40"/>
  <c r="O542" i="40"/>
  <c r="M542" i="40"/>
  <c r="L542" i="40"/>
  <c r="AG541" i="40"/>
  <c r="AF541" i="40"/>
  <c r="O541" i="40"/>
  <c r="M541" i="40"/>
  <c r="L541" i="40"/>
  <c r="AG540" i="40"/>
  <c r="AF540" i="40"/>
  <c r="O540" i="40"/>
  <c r="M540" i="40"/>
  <c r="L540" i="40"/>
  <c r="AG539" i="40"/>
  <c r="AF539" i="40"/>
  <c r="O539" i="40"/>
  <c r="M539" i="40"/>
  <c r="L539" i="40"/>
  <c r="AG538" i="40"/>
  <c r="AF538" i="40"/>
  <c r="O538" i="40"/>
  <c r="M538" i="40"/>
  <c r="L538" i="40"/>
  <c r="AG537" i="40"/>
  <c r="AF537" i="40"/>
  <c r="O537" i="40"/>
  <c r="M537" i="40"/>
  <c r="L537" i="40"/>
  <c r="AG536" i="40"/>
  <c r="AF536" i="40"/>
  <c r="O536" i="40"/>
  <c r="M536" i="40"/>
  <c r="L536" i="40"/>
  <c r="AG535" i="40"/>
  <c r="AF535" i="40"/>
  <c r="O535" i="40"/>
  <c r="M535" i="40"/>
  <c r="L535" i="40"/>
  <c r="AG534" i="40"/>
  <c r="AF534" i="40"/>
  <c r="O534" i="40"/>
  <c r="M534" i="40"/>
  <c r="L534" i="40"/>
  <c r="AG533" i="40"/>
  <c r="AF533" i="40"/>
  <c r="O533" i="40"/>
  <c r="M533" i="40"/>
  <c r="L533" i="40"/>
  <c r="AG532" i="40"/>
  <c r="AF532" i="40"/>
  <c r="O532" i="40"/>
  <c r="M532" i="40"/>
  <c r="L532" i="40"/>
  <c r="AG531" i="40"/>
  <c r="AF531" i="40"/>
  <c r="O531" i="40"/>
  <c r="M531" i="40"/>
  <c r="L531" i="40"/>
  <c r="AG530" i="40"/>
  <c r="AF530" i="40"/>
  <c r="O530" i="40"/>
  <c r="M530" i="40"/>
  <c r="L530" i="40"/>
  <c r="AG529" i="40"/>
  <c r="AF529" i="40"/>
  <c r="O529" i="40"/>
  <c r="M529" i="40"/>
  <c r="L529" i="40"/>
  <c r="AG528" i="40"/>
  <c r="AF528" i="40"/>
  <c r="O528" i="40"/>
  <c r="M528" i="40"/>
  <c r="L528" i="40"/>
  <c r="AG527" i="40"/>
  <c r="AF527" i="40"/>
  <c r="O527" i="40"/>
  <c r="M527" i="40"/>
  <c r="L527" i="40"/>
  <c r="AG526" i="40"/>
  <c r="AF526" i="40"/>
  <c r="O526" i="40"/>
  <c r="M526" i="40"/>
  <c r="L526" i="40"/>
  <c r="AG525" i="40"/>
  <c r="AF525" i="40"/>
  <c r="O525" i="40"/>
  <c r="M525" i="40"/>
  <c r="L525" i="40"/>
  <c r="AG524" i="40"/>
  <c r="AF524" i="40"/>
  <c r="O524" i="40"/>
  <c r="M524" i="40"/>
  <c r="L524" i="40"/>
  <c r="AG523" i="40"/>
  <c r="AF523" i="40"/>
  <c r="O523" i="40"/>
  <c r="M523" i="40"/>
  <c r="L523" i="40"/>
  <c r="AG522" i="40"/>
  <c r="AF522" i="40"/>
  <c r="O522" i="40"/>
  <c r="M522" i="40"/>
  <c r="L522" i="40"/>
  <c r="AG521" i="40"/>
  <c r="AF521" i="40"/>
  <c r="O521" i="40"/>
  <c r="M521" i="40"/>
  <c r="L521" i="40"/>
  <c r="AG520" i="40"/>
  <c r="AF520" i="40"/>
  <c r="O520" i="40"/>
  <c r="M520" i="40"/>
  <c r="L520" i="40"/>
  <c r="AG519" i="40"/>
  <c r="AF519" i="40"/>
  <c r="O519" i="40"/>
  <c r="M519" i="40"/>
  <c r="L519" i="40"/>
  <c r="AG518" i="40"/>
  <c r="AF518" i="40"/>
  <c r="O518" i="40"/>
  <c r="M518" i="40"/>
  <c r="L518" i="40"/>
  <c r="AG517" i="40"/>
  <c r="AF517" i="40"/>
  <c r="O517" i="40"/>
  <c r="M517" i="40"/>
  <c r="L517" i="40"/>
  <c r="AG516" i="40"/>
  <c r="AF516" i="40"/>
  <c r="O516" i="40"/>
  <c r="M516" i="40"/>
  <c r="L516" i="40"/>
  <c r="AG515" i="40"/>
  <c r="AF515" i="40"/>
  <c r="O515" i="40"/>
  <c r="M515" i="40"/>
  <c r="L515" i="40"/>
  <c r="AG514" i="40"/>
  <c r="AF514" i="40"/>
  <c r="O514" i="40"/>
  <c r="M514" i="40"/>
  <c r="L514" i="40"/>
  <c r="AG513" i="40"/>
  <c r="AF513" i="40"/>
  <c r="O513" i="40"/>
  <c r="M513" i="40"/>
  <c r="L513" i="40"/>
  <c r="AG512" i="40"/>
  <c r="AF512" i="40"/>
  <c r="O512" i="40"/>
  <c r="M512" i="40"/>
  <c r="L512" i="40"/>
  <c r="AG511" i="40"/>
  <c r="AF511" i="40"/>
  <c r="O511" i="40"/>
  <c r="M511" i="40"/>
  <c r="L511" i="40"/>
  <c r="AG510" i="40"/>
  <c r="AF510" i="40"/>
  <c r="O510" i="40"/>
  <c r="M510" i="40"/>
  <c r="L510" i="40"/>
  <c r="AG509" i="40"/>
  <c r="AF509" i="40"/>
  <c r="O509" i="40"/>
  <c r="M509" i="40"/>
  <c r="L509" i="40"/>
  <c r="AG508" i="40"/>
  <c r="AF508" i="40"/>
  <c r="O508" i="40"/>
  <c r="M508" i="40"/>
  <c r="L508" i="40"/>
  <c r="AG507" i="40"/>
  <c r="AF507" i="40"/>
  <c r="O507" i="40"/>
  <c r="M507" i="40"/>
  <c r="L507" i="40"/>
  <c r="AG506" i="40"/>
  <c r="AF506" i="40"/>
  <c r="O506" i="40"/>
  <c r="M506" i="40"/>
  <c r="L506" i="40"/>
  <c r="AG505" i="40"/>
  <c r="AF505" i="40"/>
  <c r="O505" i="40"/>
  <c r="M505" i="40"/>
  <c r="L505" i="40"/>
  <c r="AG504" i="40"/>
  <c r="AF504" i="40"/>
  <c r="O504" i="40"/>
  <c r="M504" i="40"/>
  <c r="L504" i="40"/>
  <c r="AG503" i="40"/>
  <c r="AF503" i="40"/>
  <c r="O503" i="40"/>
  <c r="M503" i="40"/>
  <c r="L503" i="40"/>
  <c r="AG502" i="40"/>
  <c r="AF502" i="40"/>
  <c r="O502" i="40"/>
  <c r="M502" i="40"/>
  <c r="L502" i="40"/>
  <c r="AG501" i="40"/>
  <c r="AF501" i="40"/>
  <c r="O501" i="40"/>
  <c r="M501" i="40"/>
  <c r="L501" i="40"/>
  <c r="AG500" i="40"/>
  <c r="AF500" i="40"/>
  <c r="O500" i="40"/>
  <c r="M500" i="40"/>
  <c r="L500" i="40"/>
  <c r="AG499" i="40"/>
  <c r="AF499" i="40"/>
  <c r="O499" i="40"/>
  <c r="M499" i="40"/>
  <c r="L499" i="40"/>
  <c r="AG498" i="40"/>
  <c r="AF498" i="40"/>
  <c r="O498" i="40"/>
  <c r="M498" i="40"/>
  <c r="L498" i="40"/>
  <c r="AG497" i="40"/>
  <c r="AF497" i="40"/>
  <c r="O497" i="40"/>
  <c r="M497" i="40"/>
  <c r="L497" i="40"/>
  <c r="AG496" i="40"/>
  <c r="AF496" i="40"/>
  <c r="O496" i="40"/>
  <c r="M496" i="40"/>
  <c r="L496" i="40"/>
  <c r="AG495" i="40"/>
  <c r="AF495" i="40"/>
  <c r="O495" i="40"/>
  <c r="M495" i="40"/>
  <c r="L495" i="40"/>
  <c r="AG494" i="40"/>
  <c r="AF494" i="40"/>
  <c r="O494" i="40"/>
  <c r="M494" i="40"/>
  <c r="L494" i="40"/>
  <c r="AG493" i="40"/>
  <c r="AF493" i="40"/>
  <c r="O493" i="40"/>
  <c r="M493" i="40"/>
  <c r="L493" i="40"/>
  <c r="AG492" i="40"/>
  <c r="AF492" i="40"/>
  <c r="O492" i="40"/>
  <c r="M492" i="40"/>
  <c r="L492" i="40"/>
  <c r="AG491" i="40"/>
  <c r="AF491" i="40"/>
  <c r="O491" i="40"/>
  <c r="M491" i="40"/>
  <c r="L491" i="40"/>
  <c r="AG490" i="40"/>
  <c r="AF490" i="40"/>
  <c r="O490" i="40"/>
  <c r="M490" i="40"/>
  <c r="L490" i="40"/>
  <c r="AG489" i="40"/>
  <c r="AF489" i="40"/>
  <c r="O489" i="40"/>
  <c r="M489" i="40"/>
  <c r="L489" i="40"/>
  <c r="AG488" i="40"/>
  <c r="AF488" i="40"/>
  <c r="O488" i="40"/>
  <c r="M488" i="40"/>
  <c r="L488" i="40"/>
  <c r="AG487" i="40"/>
  <c r="AF487" i="40"/>
  <c r="O487" i="40"/>
  <c r="M487" i="40"/>
  <c r="L487" i="40"/>
  <c r="AG486" i="40"/>
  <c r="AF486" i="40"/>
  <c r="O486" i="40"/>
  <c r="M486" i="40"/>
  <c r="L486" i="40"/>
  <c r="AG485" i="40"/>
  <c r="AF485" i="40"/>
  <c r="O485" i="40"/>
  <c r="M485" i="40"/>
  <c r="L485" i="40"/>
  <c r="AG484" i="40"/>
  <c r="AF484" i="40"/>
  <c r="O484" i="40"/>
  <c r="M484" i="40"/>
  <c r="L484" i="40"/>
  <c r="AG483" i="40"/>
  <c r="AF483" i="40"/>
  <c r="O483" i="40"/>
  <c r="M483" i="40"/>
  <c r="L483" i="40"/>
  <c r="AG482" i="40"/>
  <c r="AF482" i="40"/>
  <c r="O482" i="40"/>
  <c r="M482" i="40"/>
  <c r="L482" i="40"/>
  <c r="AG481" i="40"/>
  <c r="AF481" i="40"/>
  <c r="O481" i="40"/>
  <c r="M481" i="40"/>
  <c r="L481" i="40"/>
  <c r="AG480" i="40"/>
  <c r="AF480" i="40"/>
  <c r="O480" i="40"/>
  <c r="M480" i="40"/>
  <c r="L480" i="40"/>
  <c r="AG479" i="40"/>
  <c r="AF479" i="40"/>
  <c r="O479" i="40"/>
  <c r="M479" i="40"/>
  <c r="L479" i="40"/>
  <c r="AG478" i="40"/>
  <c r="AF478" i="40"/>
  <c r="O478" i="40"/>
  <c r="M478" i="40"/>
  <c r="L478" i="40"/>
  <c r="AG477" i="40"/>
  <c r="AF477" i="40"/>
  <c r="O477" i="40"/>
  <c r="M477" i="40"/>
  <c r="L477" i="40"/>
  <c r="AG476" i="40"/>
  <c r="AF476" i="40"/>
  <c r="O476" i="40"/>
  <c r="M476" i="40"/>
  <c r="L476" i="40"/>
  <c r="AG475" i="40"/>
  <c r="AF475" i="40"/>
  <c r="O475" i="40"/>
  <c r="M475" i="40"/>
  <c r="L475" i="40"/>
  <c r="AG474" i="40"/>
  <c r="AF474" i="40"/>
  <c r="O474" i="40"/>
  <c r="M474" i="40"/>
  <c r="L474" i="40"/>
  <c r="AG473" i="40"/>
  <c r="AF473" i="40"/>
  <c r="O473" i="40"/>
  <c r="M473" i="40"/>
  <c r="L473" i="40"/>
  <c r="AG472" i="40"/>
  <c r="AF472" i="40"/>
  <c r="O472" i="40"/>
  <c r="M472" i="40"/>
  <c r="L472" i="40"/>
  <c r="AG471" i="40"/>
  <c r="AF471" i="40"/>
  <c r="O471" i="40"/>
  <c r="M471" i="40"/>
  <c r="L471" i="40"/>
  <c r="AG470" i="40"/>
  <c r="AF470" i="40"/>
  <c r="O470" i="40"/>
  <c r="M470" i="40"/>
  <c r="L470" i="40"/>
  <c r="AG469" i="40"/>
  <c r="AF469" i="40"/>
  <c r="O469" i="40"/>
  <c r="M469" i="40"/>
  <c r="L469" i="40"/>
  <c r="AG468" i="40"/>
  <c r="AF468" i="40"/>
  <c r="O468" i="40"/>
  <c r="M468" i="40"/>
  <c r="L468" i="40"/>
  <c r="AG467" i="40"/>
  <c r="AF467" i="40"/>
  <c r="O467" i="40"/>
  <c r="M467" i="40"/>
  <c r="L467" i="40"/>
  <c r="AG466" i="40"/>
  <c r="AF466" i="40"/>
  <c r="O466" i="40"/>
  <c r="M466" i="40"/>
  <c r="L466" i="40"/>
  <c r="AG465" i="40"/>
  <c r="AF465" i="40"/>
  <c r="O465" i="40"/>
  <c r="M465" i="40"/>
  <c r="L465" i="40"/>
  <c r="AG464" i="40"/>
  <c r="AF464" i="40"/>
  <c r="O464" i="40"/>
  <c r="M464" i="40"/>
  <c r="L464" i="40"/>
  <c r="AG463" i="40"/>
  <c r="AF463" i="40"/>
  <c r="O463" i="40"/>
  <c r="M463" i="40"/>
  <c r="L463" i="40"/>
  <c r="AG462" i="40"/>
  <c r="AF462" i="40"/>
  <c r="O462" i="40"/>
  <c r="M462" i="40"/>
  <c r="L462" i="40"/>
  <c r="AG461" i="40"/>
  <c r="AF461" i="40"/>
  <c r="O461" i="40"/>
  <c r="M461" i="40"/>
  <c r="L461" i="40"/>
  <c r="AG460" i="40"/>
  <c r="AF460" i="40"/>
  <c r="O460" i="40"/>
  <c r="M460" i="40"/>
  <c r="L460" i="40"/>
  <c r="AG459" i="40"/>
  <c r="AF459" i="40"/>
  <c r="O459" i="40"/>
  <c r="M459" i="40"/>
  <c r="L459" i="40"/>
  <c r="AG458" i="40"/>
  <c r="AF458" i="40"/>
  <c r="O458" i="40"/>
  <c r="M458" i="40"/>
  <c r="L458" i="40"/>
  <c r="AG457" i="40"/>
  <c r="AF457" i="40"/>
  <c r="O457" i="40"/>
  <c r="M457" i="40"/>
  <c r="L457" i="40"/>
  <c r="AG456" i="40"/>
  <c r="AF456" i="40"/>
  <c r="O456" i="40"/>
  <c r="M456" i="40"/>
  <c r="L456" i="40"/>
  <c r="AG455" i="40"/>
  <c r="AF455" i="40"/>
  <c r="O455" i="40"/>
  <c r="M455" i="40"/>
  <c r="L455" i="40"/>
  <c r="AG454" i="40"/>
  <c r="AF454" i="40"/>
  <c r="O454" i="40"/>
  <c r="M454" i="40"/>
  <c r="L454" i="40"/>
  <c r="AG453" i="40"/>
  <c r="AF453" i="40"/>
  <c r="O453" i="40"/>
  <c r="M453" i="40"/>
  <c r="L453" i="40"/>
  <c r="AG452" i="40"/>
  <c r="AF452" i="40"/>
  <c r="O452" i="40"/>
  <c r="M452" i="40"/>
  <c r="L452" i="40"/>
  <c r="AG451" i="40"/>
  <c r="AF451" i="40"/>
  <c r="O451" i="40"/>
  <c r="M451" i="40"/>
  <c r="L451" i="40"/>
  <c r="AG450" i="40"/>
  <c r="AF450" i="40"/>
  <c r="O450" i="40"/>
  <c r="M450" i="40"/>
  <c r="L450" i="40"/>
  <c r="AG449" i="40"/>
  <c r="AF449" i="40"/>
  <c r="O449" i="40"/>
  <c r="M449" i="40"/>
  <c r="L449" i="40"/>
  <c r="AG448" i="40"/>
  <c r="AF448" i="40"/>
  <c r="O448" i="40"/>
  <c r="M448" i="40"/>
  <c r="L448" i="40"/>
  <c r="AG447" i="40"/>
  <c r="AF447" i="40"/>
  <c r="O447" i="40"/>
  <c r="M447" i="40"/>
  <c r="L447" i="40"/>
  <c r="AG446" i="40"/>
  <c r="AF446" i="40"/>
  <c r="O446" i="40"/>
  <c r="M446" i="40"/>
  <c r="L446" i="40"/>
  <c r="AG445" i="40"/>
  <c r="AF445" i="40"/>
  <c r="O445" i="40"/>
  <c r="M445" i="40"/>
  <c r="L445" i="40"/>
  <c r="AG444" i="40"/>
  <c r="AF444" i="40"/>
  <c r="O444" i="40"/>
  <c r="M444" i="40"/>
  <c r="L444" i="40"/>
  <c r="AG443" i="40"/>
  <c r="AF443" i="40"/>
  <c r="O443" i="40"/>
  <c r="M443" i="40"/>
  <c r="L443" i="40"/>
  <c r="AG442" i="40"/>
  <c r="AF442" i="40"/>
  <c r="O442" i="40"/>
  <c r="M442" i="40"/>
  <c r="L442" i="40"/>
  <c r="AG441" i="40"/>
  <c r="AF441" i="40"/>
  <c r="O441" i="40"/>
  <c r="M441" i="40"/>
  <c r="L441" i="40"/>
  <c r="AG440" i="40"/>
  <c r="AF440" i="40"/>
  <c r="O440" i="40"/>
  <c r="M440" i="40"/>
  <c r="L440" i="40"/>
  <c r="AG439" i="40"/>
  <c r="AF439" i="40"/>
  <c r="O439" i="40"/>
  <c r="M439" i="40"/>
  <c r="L439" i="40"/>
  <c r="AG438" i="40"/>
  <c r="AF438" i="40"/>
  <c r="O438" i="40"/>
  <c r="M438" i="40"/>
  <c r="L438" i="40"/>
  <c r="AG437" i="40"/>
  <c r="AF437" i="40"/>
  <c r="O437" i="40"/>
  <c r="M437" i="40"/>
  <c r="L437" i="40"/>
  <c r="AG436" i="40"/>
  <c r="AF436" i="40"/>
  <c r="O436" i="40"/>
  <c r="M436" i="40"/>
  <c r="L436" i="40"/>
  <c r="AG435" i="40"/>
  <c r="AF435" i="40"/>
  <c r="O435" i="40"/>
  <c r="M435" i="40"/>
  <c r="L435" i="40"/>
  <c r="AG434" i="40"/>
  <c r="AF434" i="40"/>
  <c r="O434" i="40"/>
  <c r="M434" i="40"/>
  <c r="L434" i="40"/>
  <c r="AG433" i="40"/>
  <c r="AF433" i="40"/>
  <c r="O433" i="40"/>
  <c r="M433" i="40"/>
  <c r="L433" i="40"/>
  <c r="AG432" i="40"/>
  <c r="AF432" i="40"/>
  <c r="O432" i="40"/>
  <c r="M432" i="40"/>
  <c r="L432" i="40"/>
  <c r="AG431" i="40"/>
  <c r="AF431" i="40"/>
  <c r="O431" i="40"/>
  <c r="M431" i="40"/>
  <c r="L431" i="40"/>
  <c r="AG430" i="40"/>
  <c r="AF430" i="40"/>
  <c r="O430" i="40"/>
  <c r="M430" i="40"/>
  <c r="L430" i="40"/>
  <c r="AG429" i="40"/>
  <c r="AF429" i="40"/>
  <c r="O429" i="40"/>
  <c r="M429" i="40"/>
  <c r="L429" i="40"/>
  <c r="AG428" i="40"/>
  <c r="AF428" i="40"/>
  <c r="O428" i="40"/>
  <c r="M428" i="40"/>
  <c r="L428" i="40"/>
  <c r="AG427" i="40"/>
  <c r="AF427" i="40"/>
  <c r="O427" i="40"/>
  <c r="M427" i="40"/>
  <c r="L427" i="40"/>
  <c r="AG426" i="40"/>
  <c r="AF426" i="40"/>
  <c r="O426" i="40"/>
  <c r="M426" i="40"/>
  <c r="L426" i="40"/>
  <c r="AG425" i="40"/>
  <c r="AF425" i="40"/>
  <c r="O425" i="40"/>
  <c r="M425" i="40"/>
  <c r="L425" i="40"/>
  <c r="AG424" i="40"/>
  <c r="AF424" i="40"/>
  <c r="O424" i="40"/>
  <c r="M424" i="40"/>
  <c r="L424" i="40"/>
  <c r="AG423" i="40"/>
  <c r="AF423" i="40"/>
  <c r="O423" i="40"/>
  <c r="M423" i="40"/>
  <c r="L423" i="40"/>
  <c r="AG422" i="40"/>
  <c r="AF422" i="40"/>
  <c r="O422" i="40"/>
  <c r="M422" i="40"/>
  <c r="L422" i="40"/>
  <c r="AG421" i="40"/>
  <c r="AF421" i="40"/>
  <c r="O421" i="40"/>
  <c r="M421" i="40"/>
  <c r="L421" i="40"/>
  <c r="AG420" i="40"/>
  <c r="AF420" i="40"/>
  <c r="O420" i="40"/>
  <c r="M420" i="40"/>
  <c r="L420" i="40"/>
  <c r="AG419" i="40"/>
  <c r="AF419" i="40"/>
  <c r="O419" i="40"/>
  <c r="M419" i="40"/>
  <c r="L419" i="40"/>
  <c r="AG418" i="40"/>
  <c r="AF418" i="40"/>
  <c r="O418" i="40"/>
  <c r="M418" i="40"/>
  <c r="L418" i="40"/>
  <c r="AG417" i="40"/>
  <c r="AF417" i="40"/>
  <c r="O417" i="40"/>
  <c r="M417" i="40"/>
  <c r="L417" i="40"/>
  <c r="AG416" i="40"/>
  <c r="AF416" i="40"/>
  <c r="O416" i="40"/>
  <c r="M416" i="40"/>
  <c r="L416" i="40"/>
  <c r="AG415" i="40"/>
  <c r="AF415" i="40"/>
  <c r="O415" i="40"/>
  <c r="M415" i="40"/>
  <c r="L415" i="40"/>
  <c r="AG414" i="40"/>
  <c r="AF414" i="40"/>
  <c r="O414" i="40"/>
  <c r="M414" i="40"/>
  <c r="L414" i="40"/>
  <c r="AG413" i="40"/>
  <c r="AF413" i="40"/>
  <c r="O413" i="40"/>
  <c r="M413" i="40"/>
  <c r="L413" i="40"/>
  <c r="AG412" i="40"/>
  <c r="AF412" i="40"/>
  <c r="O412" i="40"/>
  <c r="M412" i="40"/>
  <c r="L412" i="40"/>
  <c r="AG411" i="40"/>
  <c r="AF411" i="40"/>
  <c r="O411" i="40"/>
  <c r="M411" i="40"/>
  <c r="L411" i="40"/>
  <c r="AG410" i="40"/>
  <c r="AF410" i="40"/>
  <c r="O410" i="40"/>
  <c r="M410" i="40"/>
  <c r="L410" i="40"/>
  <c r="AG409" i="40"/>
  <c r="AF409" i="40"/>
  <c r="O409" i="40"/>
  <c r="M409" i="40"/>
  <c r="L409" i="40"/>
  <c r="AG408" i="40"/>
  <c r="AF408" i="40"/>
  <c r="O408" i="40"/>
  <c r="M408" i="40"/>
  <c r="L408" i="40"/>
  <c r="AG407" i="40"/>
  <c r="AF407" i="40"/>
  <c r="O407" i="40"/>
  <c r="M407" i="40"/>
  <c r="L407" i="40"/>
  <c r="AG406" i="40"/>
  <c r="AF406" i="40"/>
  <c r="O406" i="40"/>
  <c r="M406" i="40"/>
  <c r="L406" i="40"/>
  <c r="AG405" i="40"/>
  <c r="AF405" i="40"/>
  <c r="O405" i="40"/>
  <c r="M405" i="40"/>
  <c r="L405" i="40"/>
  <c r="AG404" i="40"/>
  <c r="AF404" i="40"/>
  <c r="O404" i="40"/>
  <c r="M404" i="40"/>
  <c r="L404" i="40"/>
  <c r="AG403" i="40"/>
  <c r="AF403" i="40"/>
  <c r="O403" i="40"/>
  <c r="M403" i="40"/>
  <c r="L403" i="40"/>
  <c r="AG402" i="40"/>
  <c r="AF402" i="40"/>
  <c r="O402" i="40"/>
  <c r="M402" i="40"/>
  <c r="L402" i="40"/>
  <c r="AG401" i="40"/>
  <c r="AF401" i="40"/>
  <c r="O401" i="40"/>
  <c r="M401" i="40"/>
  <c r="L401" i="40"/>
  <c r="AG400" i="40"/>
  <c r="AF400" i="40"/>
  <c r="O400" i="40"/>
  <c r="M400" i="40"/>
  <c r="L400" i="40"/>
  <c r="AG399" i="40"/>
  <c r="AF399" i="40"/>
  <c r="O399" i="40"/>
  <c r="M399" i="40"/>
  <c r="L399" i="40"/>
  <c r="AG398" i="40"/>
  <c r="AF398" i="40"/>
  <c r="O398" i="40"/>
  <c r="M398" i="40"/>
  <c r="L398" i="40"/>
  <c r="AG397" i="40"/>
  <c r="AF397" i="40"/>
  <c r="O397" i="40"/>
  <c r="M397" i="40"/>
  <c r="L397" i="40"/>
  <c r="AG396" i="40"/>
  <c r="AF396" i="40"/>
  <c r="O396" i="40"/>
  <c r="M396" i="40"/>
  <c r="L396" i="40"/>
  <c r="AG395" i="40"/>
  <c r="AF395" i="40"/>
  <c r="O395" i="40"/>
  <c r="M395" i="40"/>
  <c r="L395" i="40"/>
  <c r="AG394" i="40"/>
  <c r="AF394" i="40"/>
  <c r="O394" i="40"/>
  <c r="M394" i="40"/>
  <c r="L394" i="40"/>
  <c r="AG393" i="40"/>
  <c r="AF393" i="40"/>
  <c r="O393" i="40"/>
  <c r="M393" i="40"/>
  <c r="L393" i="40"/>
  <c r="AG392" i="40"/>
  <c r="AF392" i="40"/>
  <c r="O392" i="40"/>
  <c r="M392" i="40"/>
  <c r="L392" i="40"/>
  <c r="AG391" i="40"/>
  <c r="AF391" i="40"/>
  <c r="O391" i="40"/>
  <c r="M391" i="40"/>
  <c r="L391" i="40"/>
  <c r="AG390" i="40"/>
  <c r="AF390" i="40"/>
  <c r="O390" i="40"/>
  <c r="M390" i="40"/>
  <c r="L390" i="40"/>
  <c r="AG389" i="40"/>
  <c r="AF389" i="40"/>
  <c r="O389" i="40"/>
  <c r="M389" i="40"/>
  <c r="L389" i="40"/>
  <c r="AG388" i="40"/>
  <c r="AF388" i="40"/>
  <c r="O388" i="40"/>
  <c r="M388" i="40"/>
  <c r="L388" i="40"/>
  <c r="AG387" i="40"/>
  <c r="AF387" i="40"/>
  <c r="O387" i="40"/>
  <c r="M387" i="40"/>
  <c r="L387" i="40"/>
  <c r="AG386" i="40"/>
  <c r="AF386" i="40"/>
  <c r="O386" i="40"/>
  <c r="M386" i="40"/>
  <c r="L386" i="40"/>
  <c r="AG385" i="40"/>
  <c r="AF385" i="40"/>
  <c r="O385" i="40"/>
  <c r="M385" i="40"/>
  <c r="L385" i="40"/>
  <c r="AG384" i="40"/>
  <c r="AF384" i="40"/>
  <c r="O384" i="40"/>
  <c r="M384" i="40"/>
  <c r="L384" i="40"/>
  <c r="AG383" i="40"/>
  <c r="AF383" i="40"/>
  <c r="O383" i="40"/>
  <c r="M383" i="40"/>
  <c r="L383" i="40"/>
  <c r="AG382" i="40"/>
  <c r="AF382" i="40"/>
  <c r="O382" i="40"/>
  <c r="M382" i="40"/>
  <c r="L382" i="40"/>
  <c r="AG381" i="40"/>
  <c r="AF381" i="40"/>
  <c r="O381" i="40"/>
  <c r="M381" i="40"/>
  <c r="L381" i="40"/>
  <c r="AG380" i="40"/>
  <c r="AF380" i="40"/>
  <c r="O380" i="40"/>
  <c r="M380" i="40"/>
  <c r="L380" i="40"/>
  <c r="AG379" i="40"/>
  <c r="AF379" i="40"/>
  <c r="O379" i="40"/>
  <c r="M379" i="40"/>
  <c r="L379" i="40"/>
  <c r="AG378" i="40"/>
  <c r="AF378" i="40"/>
  <c r="O378" i="40"/>
  <c r="M378" i="40"/>
  <c r="L378" i="40"/>
  <c r="AG377" i="40"/>
  <c r="AF377" i="40"/>
  <c r="O377" i="40"/>
  <c r="M377" i="40"/>
  <c r="L377" i="40"/>
  <c r="AG376" i="40"/>
  <c r="AF376" i="40"/>
  <c r="O376" i="40"/>
  <c r="M376" i="40"/>
  <c r="L376" i="40"/>
  <c r="AG375" i="40"/>
  <c r="AF375" i="40"/>
  <c r="O375" i="40"/>
  <c r="M375" i="40"/>
  <c r="L375" i="40"/>
  <c r="AG374" i="40"/>
  <c r="AF374" i="40"/>
  <c r="O374" i="40"/>
  <c r="M374" i="40"/>
  <c r="L374" i="40"/>
  <c r="AG373" i="40"/>
  <c r="AF373" i="40"/>
  <c r="O373" i="40"/>
  <c r="M373" i="40"/>
  <c r="L373" i="40"/>
  <c r="AG372" i="40"/>
  <c r="AF372" i="40"/>
  <c r="O372" i="40"/>
  <c r="M372" i="40"/>
  <c r="L372" i="40"/>
  <c r="AG371" i="40"/>
  <c r="AF371" i="40"/>
  <c r="O371" i="40"/>
  <c r="M371" i="40"/>
  <c r="L371" i="40"/>
  <c r="AG370" i="40"/>
  <c r="AF370" i="40"/>
  <c r="O370" i="40"/>
  <c r="M370" i="40"/>
  <c r="L370" i="40"/>
  <c r="AG369" i="40"/>
  <c r="AF369" i="40"/>
  <c r="O369" i="40"/>
  <c r="M369" i="40"/>
  <c r="L369" i="40"/>
  <c r="AG368" i="40"/>
  <c r="AF368" i="40"/>
  <c r="O368" i="40"/>
  <c r="M368" i="40"/>
  <c r="L368" i="40"/>
  <c r="AG367" i="40"/>
  <c r="AF367" i="40"/>
  <c r="O367" i="40"/>
  <c r="M367" i="40"/>
  <c r="L367" i="40"/>
  <c r="AG366" i="40"/>
  <c r="AF366" i="40"/>
  <c r="O366" i="40"/>
  <c r="M366" i="40"/>
  <c r="L366" i="40"/>
  <c r="AG365" i="40"/>
  <c r="AF365" i="40"/>
  <c r="O365" i="40"/>
  <c r="M365" i="40"/>
  <c r="L365" i="40"/>
  <c r="AG364" i="40"/>
  <c r="AF364" i="40"/>
  <c r="O364" i="40"/>
  <c r="M364" i="40"/>
  <c r="L364" i="40"/>
  <c r="AG363" i="40"/>
  <c r="AF363" i="40"/>
  <c r="O363" i="40"/>
  <c r="M363" i="40"/>
  <c r="L363" i="40"/>
  <c r="AG362" i="40"/>
  <c r="AF362" i="40"/>
  <c r="O362" i="40"/>
  <c r="M362" i="40"/>
  <c r="L362" i="40"/>
  <c r="AG361" i="40"/>
  <c r="AF361" i="40"/>
  <c r="O361" i="40"/>
  <c r="M361" i="40"/>
  <c r="L361" i="40"/>
  <c r="AG360" i="40"/>
  <c r="AF360" i="40"/>
  <c r="O360" i="40"/>
  <c r="M360" i="40"/>
  <c r="L360" i="40"/>
  <c r="AG359" i="40"/>
  <c r="AF359" i="40"/>
  <c r="O359" i="40"/>
  <c r="M359" i="40"/>
  <c r="L359" i="40"/>
  <c r="AG358" i="40"/>
  <c r="AF358" i="40"/>
  <c r="O358" i="40"/>
  <c r="M358" i="40"/>
  <c r="L358" i="40"/>
  <c r="AG357" i="40"/>
  <c r="AF357" i="40"/>
  <c r="O357" i="40"/>
  <c r="M357" i="40"/>
  <c r="L357" i="40"/>
  <c r="AG356" i="40"/>
  <c r="AF356" i="40"/>
  <c r="O356" i="40"/>
  <c r="M356" i="40"/>
  <c r="L356" i="40"/>
  <c r="AG355" i="40"/>
  <c r="AF355" i="40"/>
  <c r="O355" i="40"/>
  <c r="M355" i="40"/>
  <c r="L355" i="40"/>
  <c r="AG354" i="40"/>
  <c r="AF354" i="40"/>
  <c r="O354" i="40"/>
  <c r="M354" i="40"/>
  <c r="L354" i="40"/>
  <c r="AG353" i="40"/>
  <c r="AF353" i="40"/>
  <c r="O353" i="40"/>
  <c r="M353" i="40"/>
  <c r="L353" i="40"/>
  <c r="AG352" i="40"/>
  <c r="AF352" i="40"/>
  <c r="O352" i="40"/>
  <c r="M352" i="40"/>
  <c r="L352" i="40"/>
  <c r="AG351" i="40"/>
  <c r="AF351" i="40"/>
  <c r="O351" i="40"/>
  <c r="M351" i="40"/>
  <c r="L351" i="40"/>
  <c r="AG350" i="40"/>
  <c r="AF350" i="40"/>
  <c r="O350" i="40"/>
  <c r="M350" i="40"/>
  <c r="L350" i="40"/>
  <c r="AG349" i="40"/>
  <c r="AF349" i="40"/>
  <c r="O349" i="40"/>
  <c r="M349" i="40"/>
  <c r="L349" i="40"/>
  <c r="AG348" i="40"/>
  <c r="AF348" i="40"/>
  <c r="O348" i="40"/>
  <c r="M348" i="40"/>
  <c r="L348" i="40"/>
  <c r="AG347" i="40"/>
  <c r="AF347" i="40"/>
  <c r="O347" i="40"/>
  <c r="M347" i="40"/>
  <c r="L347" i="40"/>
  <c r="AG346" i="40"/>
  <c r="AF346" i="40"/>
  <c r="O346" i="40"/>
  <c r="M346" i="40"/>
  <c r="L346" i="40"/>
  <c r="AG345" i="40"/>
  <c r="AF345" i="40"/>
  <c r="O345" i="40"/>
  <c r="M345" i="40"/>
  <c r="L345" i="40"/>
  <c r="AG344" i="40"/>
  <c r="AF344" i="40"/>
  <c r="O344" i="40"/>
  <c r="M344" i="40"/>
  <c r="L344" i="40"/>
  <c r="AG343" i="40"/>
  <c r="AF343" i="40"/>
  <c r="O343" i="40"/>
  <c r="M343" i="40"/>
  <c r="L343" i="40"/>
  <c r="AG342" i="40"/>
  <c r="AF342" i="40"/>
  <c r="O342" i="40"/>
  <c r="M342" i="40"/>
  <c r="L342" i="40"/>
  <c r="AG341" i="40"/>
  <c r="AF341" i="40"/>
  <c r="O341" i="40"/>
  <c r="M341" i="40"/>
  <c r="L341" i="40"/>
  <c r="AG340" i="40"/>
  <c r="AF340" i="40"/>
  <c r="O340" i="40"/>
  <c r="M340" i="40"/>
  <c r="L340" i="40"/>
  <c r="AG339" i="40"/>
  <c r="AF339" i="40"/>
  <c r="O339" i="40"/>
  <c r="M339" i="40"/>
  <c r="L339" i="40"/>
  <c r="AG338" i="40"/>
  <c r="AF338" i="40"/>
  <c r="O338" i="40"/>
  <c r="M338" i="40"/>
  <c r="L338" i="40"/>
  <c r="AG337" i="40"/>
  <c r="AF337" i="40"/>
  <c r="O337" i="40"/>
  <c r="M337" i="40"/>
  <c r="L337" i="40"/>
  <c r="AG336" i="40"/>
  <c r="AF336" i="40"/>
  <c r="O336" i="40"/>
  <c r="M336" i="40"/>
  <c r="L336" i="40"/>
  <c r="AG335" i="40"/>
  <c r="AF335" i="40"/>
  <c r="O335" i="40"/>
  <c r="M335" i="40"/>
  <c r="L335" i="40"/>
  <c r="AG334" i="40"/>
  <c r="AF334" i="40"/>
  <c r="O334" i="40"/>
  <c r="M334" i="40"/>
  <c r="L334" i="40"/>
  <c r="AG333" i="40"/>
  <c r="AF333" i="40"/>
  <c r="O333" i="40"/>
  <c r="M333" i="40"/>
  <c r="L333" i="40"/>
  <c r="AG332" i="40"/>
  <c r="AF332" i="40"/>
  <c r="O332" i="40"/>
  <c r="M332" i="40"/>
  <c r="L332" i="40"/>
  <c r="AG331" i="40"/>
  <c r="AF331" i="40"/>
  <c r="O331" i="40"/>
  <c r="M331" i="40"/>
  <c r="L331" i="40"/>
  <c r="AG330" i="40"/>
  <c r="AF330" i="40"/>
  <c r="O330" i="40"/>
  <c r="M330" i="40"/>
  <c r="L330" i="40"/>
  <c r="AG329" i="40"/>
  <c r="AF329" i="40"/>
  <c r="O329" i="40"/>
  <c r="M329" i="40"/>
  <c r="L329" i="40"/>
  <c r="AG328" i="40"/>
  <c r="AF328" i="40"/>
  <c r="O328" i="40"/>
  <c r="M328" i="40"/>
  <c r="L328" i="40"/>
  <c r="AG327" i="40"/>
  <c r="AF327" i="40"/>
  <c r="O327" i="40"/>
  <c r="M327" i="40"/>
  <c r="L327" i="40"/>
  <c r="AG326" i="40"/>
  <c r="AF326" i="40"/>
  <c r="O326" i="40"/>
  <c r="M326" i="40"/>
  <c r="L326" i="40"/>
  <c r="AG325" i="40"/>
  <c r="AF325" i="40"/>
  <c r="O325" i="40"/>
  <c r="M325" i="40"/>
  <c r="L325" i="40"/>
  <c r="AG324" i="40"/>
  <c r="AF324" i="40"/>
  <c r="O324" i="40"/>
  <c r="M324" i="40"/>
  <c r="L324" i="40"/>
  <c r="AG323" i="40"/>
  <c r="AF323" i="40"/>
  <c r="O323" i="40"/>
  <c r="M323" i="40"/>
  <c r="L323" i="40"/>
  <c r="AG322" i="40"/>
  <c r="AF322" i="40"/>
  <c r="O322" i="40"/>
  <c r="M322" i="40"/>
  <c r="L322" i="40"/>
  <c r="AG321" i="40"/>
  <c r="AF321" i="40"/>
  <c r="O321" i="40"/>
  <c r="M321" i="40"/>
  <c r="L321" i="40"/>
  <c r="AG320" i="40"/>
  <c r="AF320" i="40"/>
  <c r="O320" i="40"/>
  <c r="M320" i="40"/>
  <c r="L320" i="40"/>
  <c r="AG319" i="40"/>
  <c r="AF319" i="40"/>
  <c r="O319" i="40"/>
  <c r="M319" i="40"/>
  <c r="L319" i="40"/>
  <c r="AG318" i="40"/>
  <c r="AF318" i="40"/>
  <c r="O318" i="40"/>
  <c r="M318" i="40"/>
  <c r="L318" i="40"/>
  <c r="AG317" i="40"/>
  <c r="AF317" i="40"/>
  <c r="O317" i="40"/>
  <c r="M317" i="40"/>
  <c r="L317" i="40"/>
  <c r="AG316" i="40"/>
  <c r="AF316" i="40"/>
  <c r="O316" i="40"/>
  <c r="M316" i="40"/>
  <c r="L316" i="40"/>
  <c r="AG315" i="40"/>
  <c r="AF315" i="40"/>
  <c r="O315" i="40"/>
  <c r="M315" i="40"/>
  <c r="L315" i="40"/>
  <c r="AG314" i="40"/>
  <c r="AF314" i="40"/>
  <c r="O314" i="40"/>
  <c r="M314" i="40"/>
  <c r="L314" i="40"/>
  <c r="AG313" i="40"/>
  <c r="AF313" i="40"/>
  <c r="O313" i="40"/>
  <c r="M313" i="40"/>
  <c r="L313" i="40"/>
  <c r="AG312" i="40"/>
  <c r="AF312" i="40"/>
  <c r="O312" i="40"/>
  <c r="M312" i="40"/>
  <c r="L312" i="40"/>
  <c r="AG311" i="40"/>
  <c r="AF311" i="40"/>
  <c r="O311" i="40"/>
  <c r="M311" i="40"/>
  <c r="L311" i="40"/>
  <c r="AG310" i="40"/>
  <c r="AF310" i="40"/>
  <c r="O310" i="40"/>
  <c r="M310" i="40"/>
  <c r="L310" i="40"/>
  <c r="AG309" i="40"/>
  <c r="AF309" i="40"/>
  <c r="O309" i="40"/>
  <c r="M309" i="40"/>
  <c r="L309" i="40"/>
  <c r="AG308" i="40"/>
  <c r="AF308" i="40"/>
  <c r="O308" i="40"/>
  <c r="M308" i="40"/>
  <c r="L308" i="40"/>
  <c r="AG307" i="40"/>
  <c r="AF307" i="40"/>
  <c r="O307" i="40"/>
  <c r="M307" i="40"/>
  <c r="L307" i="40"/>
  <c r="AG306" i="40"/>
  <c r="AF306" i="40"/>
  <c r="O306" i="40"/>
  <c r="M306" i="40"/>
  <c r="L306" i="40"/>
  <c r="AG305" i="40"/>
  <c r="AF305" i="40"/>
  <c r="O305" i="40"/>
  <c r="M305" i="40"/>
  <c r="L305" i="40"/>
  <c r="AG304" i="40"/>
  <c r="AF304" i="40"/>
  <c r="O304" i="40"/>
  <c r="M304" i="40"/>
  <c r="L304" i="40"/>
  <c r="AG303" i="40"/>
  <c r="AF303" i="40"/>
  <c r="O303" i="40"/>
  <c r="M303" i="40"/>
  <c r="L303" i="40"/>
  <c r="AG302" i="40"/>
  <c r="AF302" i="40"/>
  <c r="O302" i="40"/>
  <c r="M302" i="40"/>
  <c r="L302" i="40"/>
  <c r="AG301" i="40"/>
  <c r="AF301" i="40"/>
  <c r="O301" i="40"/>
  <c r="M301" i="40"/>
  <c r="L301" i="40"/>
  <c r="AG300" i="40"/>
  <c r="AF300" i="40"/>
  <c r="O300" i="40"/>
  <c r="M300" i="40"/>
  <c r="L300" i="40"/>
  <c r="AG299" i="40"/>
  <c r="AF299" i="40"/>
  <c r="O299" i="40"/>
  <c r="M299" i="40"/>
  <c r="L299" i="40"/>
  <c r="AG298" i="40"/>
  <c r="AF298" i="40"/>
  <c r="O298" i="40"/>
  <c r="M298" i="40"/>
  <c r="L298" i="40"/>
  <c r="AG297" i="40"/>
  <c r="AF297" i="40"/>
  <c r="O297" i="40"/>
  <c r="M297" i="40"/>
  <c r="L297" i="40"/>
  <c r="AG296" i="40"/>
  <c r="AF296" i="40"/>
  <c r="O296" i="40"/>
  <c r="M296" i="40"/>
  <c r="L296" i="40"/>
  <c r="AG295" i="40"/>
  <c r="AF295" i="40"/>
  <c r="O295" i="40"/>
  <c r="M295" i="40"/>
  <c r="L295" i="40"/>
  <c r="AG294" i="40"/>
  <c r="AF294" i="40"/>
  <c r="O294" i="40"/>
  <c r="M294" i="40"/>
  <c r="L294" i="40"/>
  <c r="AG293" i="40"/>
  <c r="AF293" i="40"/>
  <c r="O293" i="40"/>
  <c r="M293" i="40"/>
  <c r="L293" i="40"/>
  <c r="AG292" i="40"/>
  <c r="AF292" i="40"/>
  <c r="O292" i="40"/>
  <c r="M292" i="40"/>
  <c r="L292" i="40"/>
  <c r="AG291" i="40"/>
  <c r="AF291" i="40"/>
  <c r="O291" i="40"/>
  <c r="M291" i="40"/>
  <c r="L291" i="40"/>
  <c r="AG290" i="40"/>
  <c r="AF290" i="40"/>
  <c r="O290" i="40"/>
  <c r="M290" i="40"/>
  <c r="L290" i="40"/>
  <c r="AG289" i="40"/>
  <c r="AF289" i="40"/>
  <c r="O289" i="40"/>
  <c r="M289" i="40"/>
  <c r="L289" i="40"/>
  <c r="AG288" i="40"/>
  <c r="AF288" i="40"/>
  <c r="O288" i="40"/>
  <c r="M288" i="40"/>
  <c r="L288" i="40"/>
  <c r="AG287" i="40"/>
  <c r="AF287" i="40"/>
  <c r="O287" i="40"/>
  <c r="M287" i="40"/>
  <c r="L287" i="40"/>
  <c r="AG286" i="40"/>
  <c r="AF286" i="40"/>
  <c r="O286" i="40"/>
  <c r="M286" i="40"/>
  <c r="L286" i="40"/>
  <c r="AG285" i="40"/>
  <c r="AF285" i="40"/>
  <c r="O285" i="40"/>
  <c r="M285" i="40"/>
  <c r="L285" i="40"/>
  <c r="AG284" i="40"/>
  <c r="AF284" i="40"/>
  <c r="O284" i="40"/>
  <c r="M284" i="40"/>
  <c r="L284" i="40"/>
  <c r="AG283" i="40"/>
  <c r="AF283" i="40"/>
  <c r="O283" i="40"/>
  <c r="M283" i="40"/>
  <c r="L283" i="40"/>
  <c r="AG282" i="40"/>
  <c r="AF282" i="40"/>
  <c r="O282" i="40"/>
  <c r="M282" i="40"/>
  <c r="L282" i="40"/>
  <c r="AG281" i="40"/>
  <c r="AF281" i="40"/>
  <c r="O281" i="40"/>
  <c r="M281" i="40"/>
  <c r="L281" i="40"/>
  <c r="AG280" i="40"/>
  <c r="AF280" i="40"/>
  <c r="O280" i="40"/>
  <c r="M280" i="40"/>
  <c r="L280" i="40"/>
  <c r="AG279" i="40"/>
  <c r="AF279" i="40"/>
  <c r="O279" i="40"/>
  <c r="M279" i="40"/>
  <c r="L279" i="40"/>
  <c r="AG278" i="40"/>
  <c r="AF278" i="40"/>
  <c r="O278" i="40"/>
  <c r="M278" i="40"/>
  <c r="L278" i="40"/>
  <c r="AG277" i="40"/>
  <c r="AF277" i="40"/>
  <c r="O277" i="40"/>
  <c r="M277" i="40"/>
  <c r="L277" i="40"/>
  <c r="AG276" i="40"/>
  <c r="AF276" i="40"/>
  <c r="O276" i="40"/>
  <c r="M276" i="40"/>
  <c r="L276" i="40"/>
  <c r="AG275" i="40"/>
  <c r="AF275" i="40"/>
  <c r="O275" i="40"/>
  <c r="M275" i="40"/>
  <c r="L275" i="40"/>
  <c r="AG274" i="40"/>
  <c r="AF274" i="40"/>
  <c r="O274" i="40"/>
  <c r="M274" i="40"/>
  <c r="L274" i="40"/>
  <c r="AG273" i="40"/>
  <c r="AF273" i="40"/>
  <c r="O273" i="40"/>
  <c r="M273" i="40"/>
  <c r="L273" i="40"/>
  <c r="AG272" i="40"/>
  <c r="AF272" i="40"/>
  <c r="O272" i="40"/>
  <c r="M272" i="40"/>
  <c r="L272" i="40"/>
  <c r="AG271" i="40"/>
  <c r="AF271" i="40"/>
  <c r="O271" i="40"/>
  <c r="M271" i="40"/>
  <c r="L271" i="40"/>
  <c r="AG270" i="40"/>
  <c r="AF270" i="40"/>
  <c r="O270" i="40"/>
  <c r="M270" i="40"/>
  <c r="L270" i="40"/>
  <c r="AG269" i="40"/>
  <c r="AF269" i="40"/>
  <c r="O269" i="40"/>
  <c r="M269" i="40"/>
  <c r="L269" i="40"/>
  <c r="AG268" i="40"/>
  <c r="AF268" i="40"/>
  <c r="O268" i="40"/>
  <c r="M268" i="40"/>
  <c r="L268" i="40"/>
  <c r="AG267" i="40"/>
  <c r="AF267" i="40"/>
  <c r="O267" i="40"/>
  <c r="M267" i="40"/>
  <c r="L267" i="40"/>
  <c r="AG266" i="40"/>
  <c r="AF266" i="40"/>
  <c r="O266" i="40"/>
  <c r="M266" i="40"/>
  <c r="L266" i="40"/>
  <c r="AG265" i="40"/>
  <c r="AF265" i="40"/>
  <c r="O265" i="40"/>
  <c r="M265" i="40"/>
  <c r="L265" i="40"/>
  <c r="AG264" i="40"/>
  <c r="AF264" i="40"/>
  <c r="O264" i="40"/>
  <c r="M264" i="40"/>
  <c r="L264" i="40"/>
  <c r="O263" i="40"/>
  <c r="M263" i="40"/>
  <c r="L263" i="40"/>
  <c r="AG262" i="40"/>
  <c r="AF262" i="40"/>
  <c r="O262" i="40"/>
  <c r="M262" i="40"/>
  <c r="L262" i="40"/>
  <c r="O261" i="40"/>
  <c r="M261" i="40"/>
  <c r="L261" i="40"/>
  <c r="O260" i="40"/>
  <c r="M260" i="40"/>
  <c r="L260" i="40"/>
  <c r="O259" i="40"/>
  <c r="M259" i="40"/>
  <c r="L259" i="40"/>
  <c r="AG258" i="40"/>
  <c r="AF258" i="40"/>
  <c r="O258" i="40"/>
  <c r="M258" i="40"/>
  <c r="L258" i="40"/>
  <c r="O257" i="40"/>
  <c r="M257" i="40"/>
  <c r="L257" i="40"/>
  <c r="O256" i="40"/>
  <c r="M256" i="40"/>
  <c r="L256" i="40"/>
  <c r="O255" i="40"/>
  <c r="M255" i="40"/>
  <c r="L255" i="40"/>
  <c r="O254" i="40"/>
  <c r="M254" i="40"/>
  <c r="L254" i="40"/>
  <c r="O253" i="40"/>
  <c r="M253" i="40"/>
  <c r="L253" i="40"/>
  <c r="O252" i="40"/>
  <c r="M252" i="40"/>
  <c r="L252" i="40"/>
  <c r="O251" i="40"/>
  <c r="M251" i="40"/>
  <c r="L251" i="40"/>
  <c r="O250" i="40"/>
  <c r="M250" i="40"/>
  <c r="L250" i="40"/>
  <c r="O249" i="40"/>
  <c r="M249" i="40"/>
  <c r="L249" i="40"/>
  <c r="O248" i="40"/>
  <c r="M248" i="40"/>
  <c r="L248" i="40"/>
  <c r="O247" i="40"/>
  <c r="M247" i="40"/>
  <c r="L247" i="40"/>
  <c r="AG246" i="40"/>
  <c r="AF246" i="40"/>
  <c r="O246" i="40"/>
  <c r="M246" i="40"/>
  <c r="L246" i="40"/>
  <c r="AG245" i="40"/>
  <c r="AF245" i="40"/>
  <c r="O245" i="40"/>
  <c r="M245" i="40"/>
  <c r="L245" i="40"/>
  <c r="O244" i="40"/>
  <c r="M244" i="40"/>
  <c r="L244" i="40"/>
  <c r="AG243" i="40"/>
  <c r="AF243" i="40"/>
  <c r="O243" i="40"/>
  <c r="M243" i="40"/>
  <c r="L243" i="40"/>
  <c r="AG242" i="40"/>
  <c r="AF242" i="40"/>
  <c r="O242" i="40"/>
  <c r="M242" i="40"/>
  <c r="L242" i="40"/>
  <c r="AG241" i="40"/>
  <c r="AF241" i="40"/>
  <c r="O241" i="40"/>
  <c r="M241" i="40"/>
  <c r="L241" i="40"/>
  <c r="AG240" i="40"/>
  <c r="AF240" i="40"/>
  <c r="O240" i="40"/>
  <c r="M240" i="40"/>
  <c r="L240" i="40"/>
  <c r="AG239" i="40"/>
  <c r="AF239" i="40"/>
  <c r="O239" i="40"/>
  <c r="M239" i="40"/>
  <c r="L239" i="40"/>
  <c r="AG238" i="40"/>
  <c r="AF238" i="40"/>
  <c r="O238" i="40"/>
  <c r="M238" i="40"/>
  <c r="L238" i="40"/>
  <c r="AG237" i="40"/>
  <c r="AF237" i="40"/>
  <c r="O237" i="40"/>
  <c r="M237" i="40"/>
  <c r="L237" i="40"/>
  <c r="O236" i="40"/>
  <c r="M236" i="40"/>
  <c r="L236" i="40"/>
  <c r="O235" i="40"/>
  <c r="M235" i="40"/>
  <c r="L235" i="40"/>
  <c r="O234" i="40"/>
  <c r="M234" i="40"/>
  <c r="L234" i="40"/>
  <c r="O233" i="40"/>
  <c r="M233" i="40"/>
  <c r="L233" i="40"/>
  <c r="O232" i="40"/>
  <c r="M232" i="40"/>
  <c r="L232" i="40"/>
  <c r="O231" i="40"/>
  <c r="M231" i="40"/>
  <c r="L231" i="40"/>
  <c r="O230" i="40"/>
  <c r="M230" i="40"/>
  <c r="L230" i="40"/>
  <c r="O229" i="40"/>
  <c r="M229" i="40"/>
  <c r="L229" i="40"/>
  <c r="O228" i="40"/>
  <c r="M228" i="40"/>
  <c r="L228" i="40"/>
  <c r="AG227" i="40"/>
  <c r="AF227" i="40"/>
  <c r="O227" i="40"/>
  <c r="M227" i="40"/>
  <c r="L227" i="40"/>
  <c r="AG226" i="40"/>
  <c r="AF226" i="40"/>
  <c r="O226" i="40"/>
  <c r="M226" i="40"/>
  <c r="L226" i="40"/>
  <c r="AG225" i="40"/>
  <c r="AF225" i="40"/>
  <c r="O225" i="40"/>
  <c r="M225" i="40"/>
  <c r="L225" i="40"/>
  <c r="O224" i="40"/>
  <c r="M224" i="40"/>
  <c r="L224" i="40"/>
  <c r="O223" i="40"/>
  <c r="M223" i="40"/>
  <c r="L223" i="40"/>
  <c r="O222" i="40"/>
  <c r="M222" i="40"/>
  <c r="L222" i="40"/>
  <c r="O221" i="40"/>
  <c r="M221" i="40"/>
  <c r="L221" i="40"/>
  <c r="AG220" i="40"/>
  <c r="AF220" i="40"/>
  <c r="O220" i="40"/>
  <c r="M220" i="40"/>
  <c r="L220" i="40"/>
  <c r="AG219" i="40"/>
  <c r="AF219" i="40"/>
  <c r="O219" i="40"/>
  <c r="M219" i="40"/>
  <c r="L219" i="40"/>
  <c r="AG218" i="40"/>
  <c r="AF218" i="40"/>
  <c r="O218" i="40"/>
  <c r="M218" i="40"/>
  <c r="L218" i="40"/>
  <c r="O217" i="40"/>
  <c r="M217" i="40"/>
  <c r="L217" i="40"/>
  <c r="O216" i="40"/>
  <c r="M216" i="40"/>
  <c r="L216" i="40"/>
  <c r="O215" i="40"/>
  <c r="M215" i="40"/>
  <c r="L215" i="40"/>
  <c r="AG214" i="40"/>
  <c r="AF214" i="40"/>
  <c r="O214" i="40"/>
  <c r="M214" i="40"/>
  <c r="L214" i="40"/>
  <c r="AG213" i="40"/>
  <c r="AF213" i="40"/>
  <c r="O213" i="40"/>
  <c r="M213" i="40"/>
  <c r="L213" i="40"/>
  <c r="AG212" i="40"/>
  <c r="AF212" i="40"/>
  <c r="O212" i="40"/>
  <c r="M212" i="40"/>
  <c r="L212" i="40"/>
  <c r="AG211" i="40"/>
  <c r="AF211" i="40"/>
  <c r="O211" i="40"/>
  <c r="M211" i="40"/>
  <c r="L211" i="40"/>
  <c r="AG210" i="40"/>
  <c r="AF210" i="40"/>
  <c r="O210" i="40"/>
  <c r="M210" i="40"/>
  <c r="L210" i="40"/>
  <c r="AG209" i="40"/>
  <c r="AF209" i="40"/>
  <c r="O209" i="40"/>
  <c r="M209" i="40"/>
  <c r="L209" i="40"/>
  <c r="AG208" i="40"/>
  <c r="AF208" i="40"/>
  <c r="O208" i="40"/>
  <c r="M208" i="40"/>
  <c r="L208" i="40"/>
  <c r="O207" i="40"/>
  <c r="M207" i="40"/>
  <c r="L207" i="40"/>
  <c r="O206" i="40"/>
  <c r="M206" i="40"/>
  <c r="L206" i="40"/>
  <c r="O205" i="40"/>
  <c r="M205" i="40"/>
  <c r="L205" i="40"/>
  <c r="O204" i="40"/>
  <c r="M204" i="40"/>
  <c r="L204" i="40"/>
  <c r="O203" i="40"/>
  <c r="M203" i="40"/>
  <c r="L203" i="40"/>
  <c r="O202" i="40"/>
  <c r="M202" i="40"/>
  <c r="L202" i="40"/>
  <c r="O201" i="40"/>
  <c r="M201" i="40"/>
  <c r="L201" i="40"/>
  <c r="O200" i="40"/>
  <c r="M200" i="40"/>
  <c r="L200" i="40"/>
  <c r="O199" i="40"/>
  <c r="M199" i="40"/>
  <c r="L199" i="40"/>
  <c r="O198" i="40"/>
  <c r="M198" i="40"/>
  <c r="L198" i="40"/>
  <c r="O197" i="40"/>
  <c r="M197" i="40"/>
  <c r="L197" i="40"/>
  <c r="O196" i="40"/>
  <c r="M196" i="40"/>
  <c r="L196" i="40"/>
  <c r="O195" i="40"/>
  <c r="M195" i="40"/>
  <c r="L195" i="40"/>
  <c r="O194" i="40"/>
  <c r="M194" i="40"/>
  <c r="L194" i="40"/>
  <c r="O193" i="40"/>
  <c r="M193" i="40"/>
  <c r="L193" i="40"/>
  <c r="AG192" i="40"/>
  <c r="AF192" i="40"/>
  <c r="O192" i="40"/>
  <c r="M192" i="40"/>
  <c r="L192" i="40"/>
  <c r="AG191" i="40"/>
  <c r="AF191" i="40"/>
  <c r="O191" i="40"/>
  <c r="M191" i="40"/>
  <c r="L191" i="40"/>
  <c r="AG190" i="40"/>
  <c r="AF190" i="40"/>
  <c r="O190" i="40"/>
  <c r="M190" i="40"/>
  <c r="L190" i="40"/>
  <c r="AG189" i="40"/>
  <c r="AF189" i="40"/>
  <c r="O189" i="40"/>
  <c r="M189" i="40"/>
  <c r="L189" i="40"/>
  <c r="AG188" i="40"/>
  <c r="AF188" i="40"/>
  <c r="O188" i="40"/>
  <c r="M188" i="40"/>
  <c r="L188" i="40"/>
  <c r="AG187" i="40"/>
  <c r="AF187" i="40"/>
  <c r="O187" i="40"/>
  <c r="M187" i="40"/>
  <c r="L187" i="40"/>
  <c r="AG186" i="40"/>
  <c r="AF186" i="40"/>
  <c r="O186" i="40"/>
  <c r="M186" i="40"/>
  <c r="L186" i="40"/>
  <c r="AG185" i="40"/>
  <c r="AF185" i="40"/>
  <c r="O185" i="40"/>
  <c r="M185" i="40"/>
  <c r="L185" i="40"/>
  <c r="AG184" i="40"/>
  <c r="AF184" i="40"/>
  <c r="O184" i="40"/>
  <c r="M184" i="40"/>
  <c r="L184" i="40"/>
  <c r="O183" i="40"/>
  <c r="M183" i="40"/>
  <c r="L183" i="40"/>
  <c r="O182" i="40"/>
  <c r="M182" i="40"/>
  <c r="L182" i="40"/>
  <c r="O181" i="40"/>
  <c r="M181" i="40"/>
  <c r="L181" i="40"/>
  <c r="O180" i="40"/>
  <c r="M180" i="40"/>
  <c r="L180" i="40"/>
  <c r="O179" i="40"/>
  <c r="M179" i="40"/>
  <c r="L179" i="40"/>
  <c r="AG178" i="40"/>
  <c r="AF178" i="40"/>
  <c r="O178" i="40"/>
  <c r="M178" i="40"/>
  <c r="L178" i="40"/>
  <c r="AG177" i="40"/>
  <c r="AF177" i="40"/>
  <c r="O177" i="40"/>
  <c r="M177" i="40"/>
  <c r="L177" i="40"/>
  <c r="AG176" i="40"/>
  <c r="AF176" i="40"/>
  <c r="O176" i="40"/>
  <c r="M176" i="40"/>
  <c r="L176" i="40"/>
  <c r="AG175" i="40"/>
  <c r="AF175" i="40"/>
  <c r="O175" i="40"/>
  <c r="M175" i="40"/>
  <c r="L175" i="40"/>
  <c r="AG174" i="40"/>
  <c r="AF174" i="40"/>
  <c r="O174" i="40"/>
  <c r="M174" i="40"/>
  <c r="L174" i="40"/>
  <c r="AG173" i="40"/>
  <c r="AF173" i="40"/>
  <c r="O173" i="40"/>
  <c r="M173" i="40"/>
  <c r="L173" i="40"/>
  <c r="O172" i="40"/>
  <c r="M172" i="40"/>
  <c r="L172" i="40"/>
  <c r="O171" i="40"/>
  <c r="M171" i="40"/>
  <c r="L171" i="40"/>
  <c r="O170" i="40"/>
  <c r="M170" i="40"/>
  <c r="L170" i="40"/>
  <c r="O169" i="40"/>
  <c r="M169" i="40"/>
  <c r="L169" i="40"/>
  <c r="O168" i="40"/>
  <c r="M168" i="40"/>
  <c r="L168" i="40"/>
  <c r="O167" i="40"/>
  <c r="M167" i="40"/>
  <c r="L167" i="40"/>
  <c r="AG166" i="40"/>
  <c r="AF166" i="40"/>
  <c r="O166" i="40"/>
  <c r="M166" i="40"/>
  <c r="L166" i="40"/>
  <c r="AG165" i="40"/>
  <c r="AF165" i="40"/>
  <c r="O165" i="40"/>
  <c r="M165" i="40"/>
  <c r="L165" i="40"/>
  <c r="O164" i="40"/>
  <c r="M164" i="40"/>
  <c r="L164" i="40"/>
  <c r="O163" i="40"/>
  <c r="M163" i="40"/>
  <c r="L163" i="40"/>
  <c r="O162" i="40"/>
  <c r="M162" i="40"/>
  <c r="L162" i="40"/>
  <c r="O161" i="40"/>
  <c r="M161" i="40"/>
  <c r="L161" i="40"/>
  <c r="O160" i="40"/>
  <c r="M160" i="40"/>
  <c r="L160" i="40"/>
  <c r="O159" i="40"/>
  <c r="M159" i="40"/>
  <c r="L159" i="40"/>
  <c r="O158" i="40"/>
  <c r="M158" i="40"/>
  <c r="L158" i="40"/>
  <c r="O157" i="40"/>
  <c r="M157" i="40"/>
  <c r="L157" i="40"/>
  <c r="O156" i="40"/>
  <c r="M156" i="40"/>
  <c r="L156" i="40"/>
  <c r="O155" i="40"/>
  <c r="M155" i="40"/>
  <c r="L155" i="40"/>
  <c r="O154" i="40"/>
  <c r="M154" i="40"/>
  <c r="L154" i="40"/>
  <c r="O153" i="40"/>
  <c r="M153" i="40"/>
  <c r="L153" i="40"/>
  <c r="O152" i="40"/>
  <c r="M152" i="40"/>
  <c r="L152" i="40"/>
  <c r="O151" i="40"/>
  <c r="M151" i="40"/>
  <c r="L151" i="40"/>
  <c r="O150" i="40"/>
  <c r="M150" i="40"/>
  <c r="L150" i="40"/>
  <c r="O149" i="40"/>
  <c r="M149" i="40"/>
  <c r="L149" i="40"/>
  <c r="O148" i="40"/>
  <c r="M148" i="40"/>
  <c r="L148" i="40"/>
  <c r="O147" i="40"/>
  <c r="M147" i="40"/>
  <c r="L147" i="40"/>
  <c r="O146" i="40"/>
  <c r="M146" i="40"/>
  <c r="L146" i="40"/>
  <c r="O145" i="40"/>
  <c r="M145" i="40"/>
  <c r="L145" i="40"/>
  <c r="O144" i="40"/>
  <c r="M144" i="40"/>
  <c r="L144" i="40"/>
  <c r="O143" i="40"/>
  <c r="M143" i="40"/>
  <c r="L143" i="40"/>
  <c r="O142" i="40"/>
  <c r="M142" i="40"/>
  <c r="L142" i="40"/>
  <c r="O141" i="40"/>
  <c r="M141" i="40"/>
  <c r="L141" i="40"/>
  <c r="O140" i="40"/>
  <c r="M140" i="40"/>
  <c r="L140" i="40"/>
  <c r="O139" i="40"/>
  <c r="M139" i="40"/>
  <c r="L139" i="40"/>
  <c r="O138" i="40"/>
  <c r="M138" i="40"/>
  <c r="L138" i="40"/>
  <c r="O137" i="40"/>
  <c r="M137" i="40"/>
  <c r="L137" i="40"/>
  <c r="O136" i="40"/>
  <c r="M136" i="40"/>
  <c r="L136" i="40"/>
  <c r="O135" i="40"/>
  <c r="M135" i="40"/>
  <c r="L135" i="40"/>
  <c r="O134" i="40"/>
  <c r="M134" i="40"/>
  <c r="L134" i="40"/>
  <c r="O133" i="40"/>
  <c r="M133" i="40"/>
  <c r="L133" i="40"/>
  <c r="O132" i="40"/>
  <c r="M132" i="40"/>
  <c r="L132" i="40"/>
  <c r="AG131" i="40"/>
  <c r="AF131" i="40"/>
  <c r="O131" i="40"/>
  <c r="M131" i="40"/>
  <c r="L131" i="40"/>
  <c r="AG130" i="40"/>
  <c r="AF130" i="40"/>
  <c r="O130" i="40"/>
  <c r="M130" i="40"/>
  <c r="L130" i="40"/>
  <c r="AG129" i="40"/>
  <c r="AF129" i="40"/>
  <c r="O129" i="40"/>
  <c r="M129" i="40"/>
  <c r="L129" i="40"/>
  <c r="AG128" i="40"/>
  <c r="AF128" i="40"/>
  <c r="O128" i="40"/>
  <c r="M128" i="40"/>
  <c r="L128" i="40"/>
  <c r="O127" i="40"/>
  <c r="M127" i="40"/>
  <c r="L127" i="40"/>
  <c r="AG126" i="40"/>
  <c r="AF126" i="40"/>
  <c r="O126" i="40"/>
  <c r="M126" i="40"/>
  <c r="L126" i="40"/>
  <c r="AG125" i="40"/>
  <c r="AF125" i="40"/>
  <c r="O125" i="40"/>
  <c r="M125" i="40"/>
  <c r="L125" i="40"/>
  <c r="AG124" i="40"/>
  <c r="AF124" i="40"/>
  <c r="O124" i="40"/>
  <c r="M124" i="40"/>
  <c r="L124" i="40"/>
  <c r="AG123" i="40"/>
  <c r="AF123" i="40"/>
  <c r="O123" i="40"/>
  <c r="M123" i="40"/>
  <c r="L123" i="40"/>
  <c r="AG122" i="40"/>
  <c r="AF122" i="40"/>
  <c r="O122" i="40"/>
  <c r="M122" i="40"/>
  <c r="L122" i="40"/>
  <c r="AG121" i="40"/>
  <c r="AF121" i="40"/>
  <c r="O121" i="40"/>
  <c r="M121" i="40"/>
  <c r="L121" i="40"/>
  <c r="AG120" i="40"/>
  <c r="AF120" i="40"/>
  <c r="O120" i="40"/>
  <c r="M120" i="40"/>
  <c r="L120" i="40"/>
  <c r="AG119" i="40"/>
  <c r="AF119" i="40"/>
  <c r="O119" i="40"/>
  <c r="M119" i="40"/>
  <c r="L119" i="40"/>
  <c r="AG118" i="40"/>
  <c r="AF118" i="40"/>
  <c r="O118" i="40"/>
  <c r="M118" i="40"/>
  <c r="L118" i="40"/>
  <c r="AG117" i="40"/>
  <c r="AF117" i="40"/>
  <c r="O117" i="40"/>
  <c r="M117" i="40"/>
  <c r="L117" i="40"/>
  <c r="AG116" i="40"/>
  <c r="AF116" i="40"/>
  <c r="O116" i="40"/>
  <c r="M116" i="40"/>
  <c r="L116" i="40"/>
  <c r="AG115" i="40"/>
  <c r="AF115" i="40"/>
  <c r="O115" i="40"/>
  <c r="M115" i="40"/>
  <c r="O114" i="40"/>
  <c r="M114" i="40"/>
  <c r="L114" i="40"/>
  <c r="O113" i="40"/>
  <c r="M113" i="40"/>
  <c r="L113" i="40"/>
  <c r="O112" i="40"/>
  <c r="M112" i="40"/>
  <c r="L112" i="40"/>
  <c r="O111" i="40"/>
  <c r="M111" i="40"/>
  <c r="L111" i="40"/>
  <c r="O110" i="40"/>
  <c r="M110" i="40"/>
  <c r="L110" i="40"/>
  <c r="O109" i="40"/>
  <c r="M109" i="40"/>
  <c r="L109" i="40"/>
  <c r="O108" i="40"/>
  <c r="M108" i="40"/>
  <c r="L108" i="40"/>
  <c r="O107" i="40"/>
  <c r="M107" i="40"/>
  <c r="L107" i="40"/>
  <c r="O106" i="40"/>
  <c r="M106" i="40"/>
  <c r="L106" i="40"/>
  <c r="O105" i="40"/>
  <c r="M105" i="40"/>
  <c r="L105" i="40"/>
  <c r="O104" i="40"/>
  <c r="M104" i="40"/>
  <c r="L104" i="40"/>
  <c r="O103" i="40"/>
  <c r="M103" i="40"/>
  <c r="L103" i="40"/>
  <c r="O102" i="40"/>
  <c r="M102" i="40"/>
  <c r="L102" i="40"/>
  <c r="O101" i="40"/>
  <c r="M101" i="40"/>
  <c r="L101" i="40"/>
  <c r="O100" i="40"/>
  <c r="M100" i="40"/>
  <c r="L100" i="40"/>
  <c r="O99" i="40"/>
  <c r="M99" i="40"/>
  <c r="L99" i="40"/>
  <c r="O98" i="40"/>
  <c r="M98" i="40"/>
  <c r="L98" i="40"/>
  <c r="O97" i="40"/>
  <c r="M97" i="40"/>
  <c r="L97" i="40"/>
  <c r="O96" i="40"/>
  <c r="M96" i="40"/>
  <c r="L96" i="40"/>
  <c r="O95" i="40"/>
  <c r="M95" i="40"/>
  <c r="L95" i="40"/>
  <c r="O94" i="40"/>
  <c r="M94" i="40"/>
  <c r="L94" i="40"/>
  <c r="O93" i="40"/>
  <c r="M93" i="40"/>
  <c r="L93" i="40"/>
  <c r="O92" i="40"/>
  <c r="M92" i="40"/>
  <c r="L92" i="40"/>
  <c r="O91" i="40"/>
  <c r="M91" i="40"/>
  <c r="L91" i="40"/>
  <c r="AG90" i="40"/>
  <c r="AF90" i="40"/>
  <c r="O90" i="40"/>
  <c r="M90" i="40"/>
  <c r="L90" i="40"/>
  <c r="O89" i="40"/>
  <c r="M89" i="40"/>
  <c r="L89" i="40"/>
  <c r="O88" i="40"/>
  <c r="M88" i="40"/>
  <c r="L88" i="40"/>
  <c r="O87" i="40"/>
  <c r="M87" i="40"/>
  <c r="L87" i="40"/>
  <c r="O86" i="40"/>
  <c r="M86" i="40"/>
  <c r="L86" i="40"/>
  <c r="O85" i="40"/>
  <c r="M85" i="40"/>
  <c r="L85" i="40"/>
  <c r="O84" i="40"/>
  <c r="M84" i="40"/>
  <c r="L84" i="40"/>
  <c r="O83" i="40"/>
  <c r="M83" i="40"/>
  <c r="L83" i="40"/>
  <c r="O82" i="40"/>
  <c r="M82" i="40"/>
  <c r="L82" i="40"/>
  <c r="O81" i="40"/>
  <c r="M81" i="40"/>
  <c r="L81" i="40"/>
  <c r="O80" i="40"/>
  <c r="M80" i="40"/>
  <c r="L80" i="40"/>
  <c r="O79" i="40"/>
  <c r="M79" i="40"/>
  <c r="L79" i="40"/>
  <c r="O78" i="40"/>
  <c r="M78" i="40"/>
  <c r="L78" i="40"/>
  <c r="O77" i="40"/>
  <c r="M77" i="40"/>
  <c r="L77" i="40"/>
  <c r="O76" i="40"/>
  <c r="M76" i="40"/>
  <c r="L76" i="40"/>
  <c r="O75" i="40"/>
  <c r="M75" i="40"/>
  <c r="L75" i="40"/>
  <c r="O74" i="40"/>
  <c r="M74" i="40"/>
  <c r="L74" i="40"/>
  <c r="O73" i="40"/>
  <c r="M73" i="40"/>
  <c r="L73" i="40"/>
  <c r="O72" i="40"/>
  <c r="M72" i="40"/>
  <c r="L72" i="40"/>
  <c r="O71" i="40"/>
  <c r="M71" i="40"/>
  <c r="L71" i="40"/>
  <c r="O70" i="40"/>
  <c r="M70" i="40"/>
  <c r="L70" i="40"/>
  <c r="O69" i="40"/>
  <c r="M69" i="40"/>
  <c r="L69" i="40"/>
  <c r="O68" i="40"/>
  <c r="M68" i="40"/>
  <c r="L68" i="40"/>
  <c r="O67" i="40"/>
  <c r="M67" i="40"/>
  <c r="L67" i="40"/>
  <c r="O66" i="40"/>
  <c r="M66" i="40"/>
  <c r="L66" i="40"/>
  <c r="O65" i="40"/>
  <c r="M65" i="40"/>
  <c r="L65" i="40"/>
  <c r="O64" i="40"/>
  <c r="M64" i="40"/>
  <c r="L64" i="40"/>
  <c r="O63" i="40"/>
  <c r="M63" i="40"/>
  <c r="L63" i="40"/>
  <c r="O62" i="40"/>
  <c r="M62" i="40"/>
  <c r="L62" i="40"/>
  <c r="O61" i="40"/>
  <c r="M61" i="40"/>
  <c r="L61" i="40"/>
  <c r="O60" i="40"/>
  <c r="M60" i="40"/>
  <c r="L60" i="40"/>
  <c r="O59" i="40"/>
  <c r="M59" i="40"/>
  <c r="L59" i="40"/>
  <c r="O58" i="40"/>
  <c r="M58" i="40"/>
  <c r="L58" i="40"/>
  <c r="O57" i="40"/>
  <c r="M57" i="40"/>
  <c r="L57" i="40"/>
  <c r="O56" i="40"/>
  <c r="M56" i="40"/>
  <c r="L56" i="40"/>
  <c r="O55" i="40"/>
  <c r="M55" i="40"/>
  <c r="L55" i="40"/>
  <c r="O54" i="40"/>
  <c r="M54" i="40"/>
  <c r="L54" i="40"/>
  <c r="O53" i="40"/>
  <c r="M53" i="40"/>
  <c r="L53" i="40"/>
  <c r="O52" i="40"/>
  <c r="M52" i="40"/>
  <c r="L52" i="40"/>
  <c r="O51" i="40"/>
  <c r="M51" i="40"/>
  <c r="L51" i="40"/>
  <c r="O50" i="40"/>
  <c r="M50" i="40"/>
  <c r="L50" i="40"/>
  <c r="O49" i="40"/>
  <c r="M49" i="40"/>
  <c r="L49" i="40"/>
  <c r="O48" i="40"/>
  <c r="M48" i="40"/>
  <c r="L48" i="40"/>
  <c r="O47" i="40"/>
  <c r="M47" i="40"/>
  <c r="L47" i="40"/>
  <c r="O46" i="40"/>
  <c r="M46" i="40"/>
  <c r="L46" i="40"/>
  <c r="AG45" i="40"/>
  <c r="AF45" i="40"/>
  <c r="O45" i="40"/>
  <c r="M45" i="40"/>
  <c r="L45" i="40"/>
  <c r="AG44" i="40"/>
  <c r="AF44" i="40"/>
  <c r="O44" i="40"/>
  <c r="M44" i="40"/>
  <c r="L44" i="40"/>
  <c r="AG43" i="40"/>
  <c r="AF43" i="40"/>
  <c r="O43" i="40"/>
  <c r="M43" i="40"/>
  <c r="L43" i="40"/>
  <c r="O42" i="40"/>
  <c r="M42" i="40"/>
  <c r="L42" i="40"/>
  <c r="O41" i="40"/>
  <c r="M41" i="40"/>
  <c r="L41" i="40"/>
  <c r="AG40" i="40"/>
  <c r="AF40" i="40"/>
  <c r="O40" i="40"/>
  <c r="M40" i="40"/>
  <c r="L40" i="40"/>
  <c r="AG39" i="40"/>
  <c r="AF39" i="40"/>
  <c r="O39" i="40"/>
  <c r="M39" i="40"/>
  <c r="L39" i="40"/>
  <c r="O38" i="40"/>
  <c r="M38" i="40"/>
  <c r="L38" i="40"/>
  <c r="O37" i="40"/>
  <c r="M37" i="40"/>
  <c r="L37" i="40"/>
  <c r="AG36" i="40"/>
  <c r="AF36" i="40"/>
  <c r="O36" i="40"/>
  <c r="M36" i="40"/>
  <c r="L36" i="40"/>
  <c r="AG35" i="40"/>
  <c r="AF35" i="40"/>
  <c r="O35" i="40"/>
  <c r="M35" i="40"/>
  <c r="L35" i="40"/>
  <c r="AG34" i="40"/>
  <c r="AF34" i="40"/>
  <c r="O34" i="40"/>
  <c r="M34" i="40"/>
  <c r="L34" i="40"/>
  <c r="AG33" i="40"/>
  <c r="AF33" i="40"/>
  <c r="O33" i="40"/>
  <c r="M33" i="40"/>
  <c r="L33" i="40"/>
  <c r="AG32" i="40"/>
  <c r="AF32" i="40"/>
  <c r="O32" i="40"/>
  <c r="M32" i="40"/>
  <c r="AG31" i="40"/>
  <c r="AF31" i="40"/>
  <c r="O31" i="40"/>
  <c r="M31" i="40"/>
  <c r="L31" i="40"/>
  <c r="O30" i="40"/>
  <c r="M30" i="40"/>
  <c r="L30" i="40"/>
  <c r="O29" i="40"/>
  <c r="M29" i="40"/>
  <c r="L29" i="40"/>
  <c r="O28" i="40"/>
  <c r="M28" i="40"/>
  <c r="L28" i="40"/>
  <c r="O27" i="40"/>
  <c r="M27" i="40"/>
  <c r="L27" i="40"/>
  <c r="AG26" i="40"/>
  <c r="AF26" i="40"/>
  <c r="O26" i="40"/>
  <c r="M26" i="40"/>
  <c r="L26" i="40"/>
  <c r="AG25" i="40"/>
  <c r="AF25" i="40"/>
  <c r="O25" i="40"/>
  <c r="M25" i="40"/>
  <c r="L25" i="40"/>
  <c r="AG24" i="40"/>
  <c r="AF24" i="40"/>
  <c r="O24" i="40"/>
  <c r="M24" i="40"/>
  <c r="L24" i="40"/>
  <c r="AG23" i="40"/>
  <c r="AF23" i="40"/>
  <c r="O23" i="40"/>
  <c r="M23" i="40"/>
  <c r="AG22" i="40"/>
  <c r="AF22" i="40"/>
  <c r="O22" i="40"/>
  <c r="M22" i="40"/>
  <c r="L22" i="40"/>
  <c r="AG21" i="40"/>
  <c r="AF21" i="40"/>
  <c r="O21" i="40"/>
  <c r="M21" i="40"/>
  <c r="L21" i="40"/>
  <c r="AG20" i="40"/>
  <c r="AF20" i="40"/>
  <c r="O20" i="40"/>
  <c r="M20" i="40"/>
  <c r="L20" i="40"/>
  <c r="AG19" i="40"/>
  <c r="AF19" i="40"/>
  <c r="O19" i="40"/>
  <c r="M19" i="40"/>
  <c r="L19" i="40"/>
  <c r="AG18" i="40"/>
  <c r="AF18" i="40"/>
  <c r="O18" i="40"/>
  <c r="M18" i="40"/>
  <c r="L18" i="40"/>
  <c r="AG17" i="40"/>
  <c r="AF17" i="40"/>
  <c r="O17" i="40"/>
  <c r="M17" i="40"/>
  <c r="L17" i="40"/>
  <c r="O16" i="40"/>
  <c r="M16" i="40"/>
  <c r="L16" i="40"/>
  <c r="AG15" i="40"/>
  <c r="AF15" i="40"/>
  <c r="O15" i="40"/>
  <c r="M15" i="40"/>
  <c r="L15" i="40"/>
  <c r="AG14" i="40"/>
  <c r="AF14" i="40"/>
  <c r="O14" i="40"/>
  <c r="M14" i="40"/>
  <c r="L14" i="40"/>
  <c r="AG13" i="40"/>
  <c r="AF13" i="40"/>
  <c r="O13" i="40"/>
  <c r="M13" i="40"/>
  <c r="L13" i="40"/>
  <c r="AG12" i="40"/>
  <c r="AF12" i="40"/>
  <c r="O12" i="40"/>
  <c r="L12" i="40"/>
  <c r="AG11" i="40"/>
  <c r="AF11" i="40"/>
  <c r="O11" i="40"/>
  <c r="M11" i="40"/>
  <c r="L11" i="40"/>
  <c r="D3" i="40"/>
  <c r="W7" i="40"/>
  <c r="AQ7" i="40"/>
  <c r="AP7" i="40"/>
  <c r="AN7" i="40"/>
  <c r="AK7" i="40"/>
  <c r="AJ7" i="40"/>
  <c r="AI7" i="40"/>
  <c r="AD7" i="40"/>
  <c r="AC7" i="40"/>
  <c r="V7" i="40"/>
  <c r="T7" i="40"/>
  <c r="R7" i="40"/>
  <c r="Q7" i="40"/>
  <c r="I7" i="40"/>
  <c r="A7" i="40"/>
  <c r="I6" i="40"/>
  <c r="I5" i="40"/>
  <c r="I4" i="40"/>
  <c r="H92" i="2"/>
  <c r="H22" i="39"/>
  <c r="BA92" i="2" l="1"/>
  <c r="S7" i="40"/>
  <c r="S6" i="40" s="1"/>
  <c r="D4" i="40"/>
  <c r="D5" i="40"/>
  <c r="F5" i="40" s="1"/>
  <c r="T6" i="40"/>
  <c r="H21" i="39"/>
  <c r="BB92" i="2" l="1"/>
  <c r="BE92" i="2" s="1"/>
  <c r="N6" i="40"/>
  <c r="O5" i="40" s="1"/>
  <c r="M6" i="40"/>
  <c r="O6" i="40" s="1"/>
  <c r="F4" i="40"/>
  <c r="U7" i="40"/>
  <c r="M5" i="40"/>
  <c r="M7" i="40"/>
  <c r="N7" i="40"/>
  <c r="N5" i="40"/>
  <c r="D6" i="40"/>
  <c r="F6" i="40" s="1"/>
  <c r="D7" i="40"/>
  <c r="O7" i="40"/>
  <c r="H20" i="39"/>
  <c r="F7" i="40" l="1"/>
  <c r="H19" i="39"/>
  <c r="H18" i="39" l="1"/>
  <c r="H17" i="39" l="1"/>
  <c r="H53" i="2" l="1"/>
  <c r="I53" i="2" s="1"/>
  <c r="H53" i="39"/>
  <c r="H273" i="39"/>
  <c r="BA53" i="2" l="1"/>
  <c r="H423" i="2"/>
  <c r="BB53" i="2" l="1"/>
  <c r="BE53" i="2" s="1"/>
  <c r="AW423" i="2"/>
  <c r="BA423" i="2" s="1"/>
  <c r="AV423" i="2"/>
  <c r="J423" i="2" s="1"/>
  <c r="L423" i="2" s="1"/>
  <c r="H268" i="39"/>
  <c r="BB423" i="2" l="1"/>
  <c r="BE423" i="2" s="1"/>
  <c r="BB7" i="2"/>
  <c r="BA7" i="2"/>
  <c r="H164" i="39"/>
  <c r="H272" i="39" l="1"/>
  <c r="H281" i="39" l="1"/>
  <c r="H10" i="39"/>
  <c r="F275" i="2"/>
  <c r="H275" i="2"/>
  <c r="AT106" i="2" l="1"/>
  <c r="H112" i="2" l="1"/>
  <c r="I112" i="2" s="1"/>
  <c r="H109" i="2"/>
  <c r="I109" i="2" s="1"/>
  <c r="AX172" i="2"/>
  <c r="BE172" i="2" s="1"/>
  <c r="AX109" i="2" l="1"/>
  <c r="BE109" i="2" s="1"/>
  <c r="AX112" i="2"/>
  <c r="BE112" i="2" s="1"/>
  <c r="H9" i="39"/>
  <c r="H247" i="2"/>
  <c r="H8" i="39" l="1"/>
  <c r="AX305" i="2" l="1"/>
  <c r="H61" i="2"/>
  <c r="I61" i="2" s="1"/>
  <c r="AT43" i="2" l="1"/>
  <c r="AW253" i="2" l="1"/>
  <c r="J491" i="2" l="1"/>
  <c r="J490" i="2"/>
  <c r="J195" i="2" l="1"/>
  <c r="J182" i="2"/>
  <c r="J180" i="2"/>
  <c r="J497" i="2"/>
  <c r="J501" i="2"/>
  <c r="J495" i="2"/>
  <c r="J320" i="2"/>
  <c r="J314" i="2"/>
  <c r="J170" i="2"/>
  <c r="J496" i="2"/>
  <c r="J194" i="2"/>
  <c r="J192" i="2"/>
  <c r="J187" i="2"/>
  <c r="J183" i="2"/>
  <c r="J494" i="2"/>
  <c r="J323" i="2"/>
  <c r="J319" i="2"/>
  <c r="J317" i="2"/>
  <c r="J309" i="2"/>
  <c r="J304" i="2"/>
  <c r="J302" i="2"/>
  <c r="J300" i="2"/>
  <c r="J298" i="2"/>
  <c r="J292" i="2"/>
  <c r="J273" i="2"/>
  <c r="J488" i="2"/>
  <c r="J487" i="2"/>
  <c r="J257" i="2"/>
  <c r="H67" i="2" l="1"/>
  <c r="AX67" i="2" l="1"/>
  <c r="I67" i="2"/>
  <c r="AX495" i="2"/>
  <c r="AX475" i="2"/>
  <c r="AX473" i="2"/>
  <c r="AX469" i="2"/>
  <c r="AX461" i="2"/>
  <c r="AX447" i="2"/>
  <c r="AX336" i="2"/>
  <c r="AX283" i="2"/>
  <c r="AX59" i="2"/>
  <c r="AX79" i="2"/>
  <c r="AX57" i="2"/>
  <c r="AX51" i="2"/>
  <c r="AX52" i="2"/>
  <c r="AX86" i="2"/>
  <c r="AX50" i="2"/>
  <c r="AX55" i="2"/>
  <c r="AX547" i="2" l="1"/>
  <c r="AX236" i="2"/>
  <c r="AX234" i="2"/>
  <c r="AX217" i="2"/>
  <c r="AX211" i="2"/>
  <c r="AX182" i="2"/>
  <c r="AX180" i="2"/>
  <c r="AX241" i="2"/>
  <c r="AX242" i="2"/>
  <c r="AX497" i="2"/>
  <c r="H119" i="2" l="1"/>
  <c r="AX119" i="2" s="1"/>
  <c r="J498" i="2" l="1"/>
  <c r="J539" i="2"/>
  <c r="J538" i="2"/>
  <c r="J379" i="2"/>
  <c r="J375" i="2"/>
  <c r="J373" i="2"/>
  <c r="J368" i="2"/>
  <c r="J366" i="2"/>
  <c r="J364" i="2"/>
  <c r="J362" i="2"/>
  <c r="J354" i="2"/>
  <c r="J342" i="2"/>
  <c r="J341" i="2"/>
  <c r="J339" i="2"/>
  <c r="J245" i="2"/>
  <c r="J236" i="2"/>
  <c r="J234" i="2"/>
  <c r="J217" i="2"/>
  <c r="J211" i="2"/>
  <c r="J241" i="2"/>
  <c r="J223" i="2"/>
  <c r="J240" i="2"/>
  <c r="J226" i="2"/>
  <c r="J242" i="2"/>
  <c r="J205" i="2"/>
  <c r="J201" i="2"/>
  <c r="J199" i="2"/>
  <c r="J197" i="2"/>
  <c r="J457" i="2"/>
  <c r="J455" i="2"/>
  <c r="J449" i="2"/>
  <c r="J447" i="2"/>
  <c r="J438" i="2"/>
  <c r="J434" i="2"/>
  <c r="J409" i="2"/>
  <c r="J407" i="2"/>
  <c r="AW416" i="2" l="1"/>
  <c r="AV416" i="2"/>
  <c r="J416" i="2" s="1"/>
  <c r="AV482" i="2" l="1"/>
  <c r="J482" i="2" s="1"/>
  <c r="AV481" i="2"/>
  <c r="J481" i="2" s="1"/>
  <c r="L481" i="2" s="1"/>
  <c r="H521" i="27" l="1"/>
  <c r="F489" i="2"/>
  <c r="H489" i="2"/>
  <c r="H464" i="27" l="1"/>
  <c r="H466" i="27"/>
  <c r="H451" i="27" l="1"/>
  <c r="H33" i="39" l="1"/>
  <c r="H14" i="39"/>
  <c r="H6" i="39"/>
  <c r="H2" i="39" l="1"/>
  <c r="H339" i="2"/>
  <c r="I339" i="2" s="1"/>
  <c r="AX339" i="2" s="1"/>
  <c r="BE339" i="2" s="1"/>
  <c r="H490" i="27" l="1"/>
  <c r="H498" i="27"/>
  <c r="H341" i="2"/>
  <c r="I341" i="2" s="1"/>
  <c r="AX341" i="2" s="1"/>
  <c r="BE341" i="2" s="1"/>
  <c r="H499" i="27" l="1"/>
  <c r="H491" i="27"/>
  <c r="H508" i="27"/>
  <c r="H489" i="27"/>
  <c r="H471" i="27"/>
  <c r="H494" i="27"/>
  <c r="H509" i="27"/>
  <c r="H536" i="27"/>
  <c r="H373" i="2"/>
  <c r="I373" i="2" s="1"/>
  <c r="AX373" i="2" s="1"/>
  <c r="BE373" i="2" s="1"/>
  <c r="H375" i="2" l="1"/>
  <c r="I375" i="2" s="1"/>
  <c r="AX375" i="2" s="1"/>
  <c r="BE375" i="2" s="1"/>
  <c r="L375" i="2" l="1"/>
  <c r="H379" i="2"/>
  <c r="I379" i="2" s="1"/>
  <c r="AX379" i="2" s="1"/>
  <c r="BE379" i="2" s="1"/>
  <c r="AW395" i="2" l="1"/>
  <c r="H359" i="2" l="1"/>
  <c r="I359" i="2" s="1"/>
  <c r="AW359" i="2"/>
  <c r="AV359" i="2"/>
  <c r="J359" i="2" s="1"/>
  <c r="AX359" i="2" l="1"/>
  <c r="BE359" i="2" s="1"/>
  <c r="H395" i="2"/>
  <c r="I395" i="2" s="1"/>
  <c r="AX395" i="2" s="1"/>
  <c r="BE395" i="2" s="1"/>
  <c r="AV395" i="2"/>
  <c r="J395" i="2" s="1"/>
  <c r="H255" i="2"/>
  <c r="M255" i="2"/>
  <c r="AW255" i="2"/>
  <c r="AV255" i="2"/>
  <c r="H492" i="27" l="1"/>
  <c r="H497" i="27" l="1"/>
  <c r="AW259" i="2" l="1"/>
  <c r="AV259" i="2"/>
  <c r="J259" i="2" s="1"/>
  <c r="H259" i="2"/>
  <c r="H545" i="27" l="1"/>
  <c r="M259" i="2"/>
  <c r="H506" i="27" l="1"/>
  <c r="H502" i="27" l="1"/>
  <c r="H538" i="27" l="1"/>
  <c r="H463" i="27" l="1"/>
  <c r="H524" i="27" l="1"/>
  <c r="H546" i="2"/>
  <c r="H42" i="2"/>
  <c r="I42" i="2" s="1"/>
  <c r="H484" i="27" l="1"/>
  <c r="H403" i="2"/>
  <c r="H408" i="27" l="1"/>
  <c r="H454" i="27" l="1"/>
  <c r="H530" i="27"/>
  <c r="H290" i="2"/>
  <c r="H528" i="27"/>
  <c r="H284" i="2"/>
  <c r="H525" i="27"/>
  <c r="H294" i="2"/>
  <c r="H513" i="27"/>
  <c r="H170" i="2"/>
  <c r="H85" i="27" l="1"/>
  <c r="H224" i="2"/>
  <c r="AW224" i="2" l="1"/>
  <c r="AX224" i="2" s="1"/>
  <c r="AV224" i="2"/>
  <c r="J224" i="2" s="1"/>
  <c r="H467" i="27" l="1"/>
  <c r="H303" i="27"/>
  <c r="H547" i="27"/>
  <c r="H327" i="2"/>
  <c r="H543" i="27"/>
  <c r="H333" i="2"/>
  <c r="H537" i="27"/>
  <c r="H438" i="2"/>
  <c r="AV33" i="2"/>
  <c r="J63" i="2" l="1"/>
  <c r="J254" i="2"/>
  <c r="J177" i="2"/>
  <c r="J173" i="2"/>
  <c r="J256" i="2"/>
  <c r="J258" i="2"/>
  <c r="J500" i="2"/>
  <c r="H485" i="27" l="1"/>
  <c r="H460" i="27" l="1"/>
  <c r="H193" i="2"/>
  <c r="AW193" i="2"/>
  <c r="AV193" i="2"/>
  <c r="J193" i="2" s="1"/>
  <c r="AX193" i="2" l="1"/>
  <c r="H473" i="27"/>
  <c r="H174" i="2" l="1"/>
  <c r="H503" i="27"/>
  <c r="M174" i="2"/>
  <c r="AW174" i="2"/>
  <c r="AV174" i="2"/>
  <c r="J174" i="2" s="1"/>
  <c r="H523" i="27" l="1"/>
  <c r="H515" i="27" l="1"/>
  <c r="H534" i="27" l="1"/>
  <c r="H518" i="27" l="1"/>
  <c r="H532" i="27" l="1"/>
  <c r="H517" i="27" l="1"/>
  <c r="H263" i="2"/>
  <c r="H504" i="27" l="1"/>
  <c r="H357" i="2"/>
  <c r="I357" i="2" s="1"/>
  <c r="AX357" i="2" s="1"/>
  <c r="BE357" i="2" s="1"/>
  <c r="AV357" i="2"/>
  <c r="J357" i="2" s="1"/>
  <c r="H496" i="27"/>
  <c r="H393" i="2" l="1"/>
  <c r="I393" i="2" s="1"/>
  <c r="AX393" i="2" s="1"/>
  <c r="BE393" i="2" s="1"/>
  <c r="H535" i="27" l="1"/>
  <c r="AV393" i="2"/>
  <c r="H377" i="2"/>
  <c r="I377" i="2" s="1"/>
  <c r="AW377" i="2"/>
  <c r="AV377" i="2"/>
  <c r="J377" i="2" s="1"/>
  <c r="J393" i="2" l="1"/>
  <c r="N393" i="2" s="1"/>
  <c r="AX377" i="2"/>
  <c r="BE377" i="2" s="1"/>
  <c r="H500" i="27"/>
  <c r="H355" i="2"/>
  <c r="I355" i="2" s="1"/>
  <c r="H516" i="27"/>
  <c r="AW355" i="2"/>
  <c r="AV355" i="2"/>
  <c r="J355" i="2" s="1"/>
  <c r="AX355" i="2" l="1"/>
  <c r="BE355" i="2" s="1"/>
  <c r="H468" i="27"/>
  <c r="H401" i="2"/>
  <c r="I401" i="2" s="1"/>
  <c r="AW401" i="2" l="1"/>
  <c r="AX401" i="2" s="1"/>
  <c r="BE401" i="2" s="1"/>
  <c r="AV401" i="2" l="1"/>
  <c r="J401" i="2" s="1"/>
  <c r="H505" i="27" l="1"/>
  <c r="H540" i="2"/>
  <c r="H288" i="2"/>
  <c r="H286" i="2"/>
  <c r="H541" i="27"/>
  <c r="H531" i="27"/>
  <c r="H519" i="27"/>
  <c r="H280" i="2"/>
  <c r="H522" i="27"/>
  <c r="H329" i="2"/>
  <c r="H501" i="27"/>
  <c r="H415" i="2"/>
  <c r="H483" i="2" l="1"/>
  <c r="AV483" i="2"/>
  <c r="J483" i="2" s="1"/>
  <c r="H458" i="27"/>
  <c r="AW483" i="2"/>
  <c r="AX483" i="2" l="1"/>
  <c r="BE483" i="2" s="1"/>
  <c r="H304" i="27"/>
  <c r="H510" i="27" l="1"/>
  <c r="H457" i="27" l="1"/>
  <c r="H520" i="27" l="1"/>
  <c r="H60" i="2"/>
  <c r="H136" i="27"/>
  <c r="AW60" i="2"/>
  <c r="AV60" i="2"/>
  <c r="J60" i="2" s="1"/>
  <c r="AX60" i="2" l="1"/>
  <c r="I60" i="2"/>
  <c r="H64" i="2"/>
  <c r="AX64" i="2" s="1"/>
  <c r="H514" i="27"/>
  <c r="H298" i="27" l="1"/>
  <c r="H546" i="27" l="1"/>
  <c r="H335" i="2" l="1"/>
  <c r="H301" i="2"/>
  <c r="AW301" i="2" l="1"/>
  <c r="AX301" i="2" s="1"/>
  <c r="AV301" i="2"/>
  <c r="J301" i="2" s="1"/>
  <c r="H153" i="27" l="1"/>
  <c r="H406" i="27"/>
  <c r="H314" i="2"/>
  <c r="AX314" i="2" s="1"/>
  <c r="H320" i="2" l="1"/>
  <c r="AX320" i="2" s="1"/>
  <c r="H126" i="27" l="1"/>
  <c r="H128" i="27" l="1"/>
  <c r="H156" i="27"/>
  <c r="H465" i="27" l="1"/>
  <c r="H472" i="27"/>
  <c r="H527" i="27"/>
  <c r="H526" i="27"/>
  <c r="H512" i="27"/>
  <c r="H257" i="2"/>
  <c r="H483" i="27"/>
  <c r="H487" i="27"/>
  <c r="H479" i="27"/>
  <c r="H478" i="27"/>
  <c r="H477" i="27"/>
  <c r="H482" i="27"/>
  <c r="H481" i="27"/>
  <c r="H476" i="27"/>
  <c r="H178" i="2"/>
  <c r="H475" i="27"/>
  <c r="H470" i="27"/>
  <c r="H469" i="27"/>
  <c r="H486" i="27"/>
  <c r="H459" i="27" l="1"/>
  <c r="H41" i="2"/>
  <c r="I41" i="2" s="1"/>
  <c r="H511" i="27" l="1"/>
  <c r="H507" i="27"/>
  <c r="H536" i="2"/>
  <c r="H535" i="2"/>
  <c r="H285" i="27" l="1"/>
  <c r="H65" i="2" l="1"/>
  <c r="H495" i="27"/>
  <c r="AX65" i="2" l="1"/>
  <c r="I65" i="2"/>
  <c r="H462" i="27"/>
  <c r="H70" i="2" l="1"/>
  <c r="I70" i="2" s="1"/>
  <c r="H296" i="27" l="1"/>
  <c r="H124" i="27" l="1"/>
  <c r="H449" i="2" l="1"/>
  <c r="AX449" i="2" s="1"/>
  <c r="H363" i="27" l="1"/>
  <c r="H294" i="27" l="1"/>
  <c r="H455" i="2" l="1"/>
  <c r="AX455" i="2" s="1"/>
  <c r="H367" i="27"/>
  <c r="H455" i="27" l="1"/>
  <c r="H457" i="2"/>
  <c r="AX457" i="2" s="1"/>
  <c r="H447" i="27" l="1"/>
  <c r="L2" i="27" l="1"/>
  <c r="J2" i="27"/>
  <c r="F2" i="27"/>
  <c r="H446" i="27"/>
  <c r="H195" i="2"/>
  <c r="AX195" i="2" s="1"/>
  <c r="H445" i="27" l="1"/>
  <c r="H444" i="27"/>
  <c r="H443" i="27" l="1"/>
  <c r="H442" i="27"/>
  <c r="H245" i="2"/>
  <c r="AX245" i="2" s="1"/>
  <c r="AT42" i="2" l="1"/>
  <c r="H441" i="27" l="1"/>
  <c r="AT41" i="2" l="1"/>
  <c r="AW70" i="2" l="1"/>
  <c r="AT70" i="2"/>
  <c r="AX70" i="2" l="1"/>
  <c r="F254" i="2"/>
  <c r="H254" i="2"/>
  <c r="H440" i="27"/>
  <c r="H439" i="27"/>
  <c r="F173" i="2"/>
  <c r="F177" i="2"/>
  <c r="H438" i="27"/>
  <c r="H173" i="2"/>
  <c r="H437" i="27"/>
  <c r="F256" i="2"/>
  <c r="H436" i="27"/>
  <c r="H256" i="2"/>
  <c r="H435" i="27"/>
  <c r="H434" i="27"/>
  <c r="H433" i="27"/>
  <c r="H432" i="27"/>
  <c r="H431" i="27"/>
  <c r="H430" i="27"/>
  <c r="H429" i="27"/>
  <c r="H428" i="27"/>
  <c r="H427" i="27"/>
  <c r="H426" i="27"/>
  <c r="H425" i="27"/>
  <c r="H424" i="27"/>
  <c r="H423" i="27"/>
  <c r="H374" i="2"/>
  <c r="H422" i="27"/>
  <c r="H421" i="27"/>
  <c r="H420" i="27"/>
  <c r="H419" i="27"/>
  <c r="H418" i="27"/>
  <c r="H417" i="27"/>
  <c r="H416" i="27"/>
  <c r="H415" i="27"/>
  <c r="H414" i="27"/>
  <c r="H413" i="27" l="1"/>
  <c r="H412" i="27"/>
  <c r="H292" i="2" l="1"/>
  <c r="H411" i="27"/>
  <c r="H461" i="27" l="1"/>
  <c r="H100" i="27"/>
  <c r="H38" i="27"/>
  <c r="H95" i="27"/>
  <c r="H119" i="27" l="1"/>
  <c r="H405" i="27" l="1"/>
  <c r="H404" i="27"/>
  <c r="H403" i="27"/>
  <c r="H402" i="27" l="1"/>
  <c r="H401" i="27"/>
  <c r="H400" i="27"/>
  <c r="H399" i="27"/>
  <c r="H398" i="27"/>
  <c r="H397" i="27"/>
  <c r="H396" i="27"/>
  <c r="H395" i="27"/>
  <c r="H262" i="2"/>
  <c r="H394" i="27" l="1"/>
  <c r="H393" i="27"/>
  <c r="H392" i="27" l="1"/>
  <c r="H391" i="27"/>
  <c r="J55" i="2"/>
  <c r="H49" i="2" l="1"/>
  <c r="AX49" i="2" s="1"/>
  <c r="H390" i="27" l="1"/>
  <c r="H298" i="2"/>
  <c r="H389" i="27"/>
  <c r="H304" i="2"/>
  <c r="H388" i="27"/>
  <c r="H309" i="2"/>
  <c r="J49" i="2" l="1"/>
  <c r="J66" i="2"/>
  <c r="J69" i="2"/>
  <c r="J67" i="2"/>
  <c r="J68" i="2" l="1"/>
  <c r="J172" i="2"/>
  <c r="J14" i="2" l="1"/>
  <c r="H387" i="27" l="1"/>
  <c r="H386" i="27"/>
  <c r="H385" i="27"/>
  <c r="H384" i="27"/>
  <c r="H383" i="27"/>
  <c r="H382" i="27"/>
  <c r="H258" i="2"/>
  <c r="H381" i="27"/>
  <c r="H380" i="27"/>
  <c r="H379" i="27"/>
  <c r="H378" i="27" l="1"/>
  <c r="H377" i="27"/>
  <c r="H376" i="27"/>
  <c r="F500" i="2" l="1"/>
  <c r="H500" i="2"/>
  <c r="H375" i="27"/>
  <c r="H374" i="27"/>
  <c r="G373" i="27"/>
  <c r="H373" i="27" s="1"/>
  <c r="G372" i="27"/>
  <c r="H372" i="27" s="1"/>
  <c r="H183" i="2"/>
  <c r="F203" i="2"/>
  <c r="H203" i="2"/>
  <c r="F201" i="2"/>
  <c r="H201" i="2"/>
  <c r="H371" i="27"/>
  <c r="H370" i="27"/>
  <c r="F199" i="2"/>
  <c r="H199" i="2"/>
  <c r="H369" i="27"/>
  <c r="H132" i="27"/>
  <c r="H284" i="27"/>
  <c r="H102" i="27" l="1"/>
  <c r="H94" i="27"/>
  <c r="H107" i="27"/>
  <c r="H116" i="27"/>
  <c r="J175" i="2" l="1"/>
  <c r="H362" i="27" l="1"/>
  <c r="H361" i="27" l="1"/>
  <c r="H246" i="2" l="1"/>
  <c r="H360" i="27"/>
  <c r="H226" i="2" l="1"/>
  <c r="AX226" i="2" s="1"/>
  <c r="H359" i="27"/>
  <c r="H358" i="27"/>
  <c r="H223" i="2"/>
  <c r="AX223" i="2" s="1"/>
  <c r="H357" i="27" l="1"/>
  <c r="H356" i="27"/>
  <c r="H355" i="27"/>
  <c r="H240" i="2"/>
  <c r="AX240" i="2" s="1"/>
  <c r="H354" i="27" l="1"/>
  <c r="H353" i="27"/>
  <c r="H352" i="27" l="1"/>
  <c r="H351" i="27" l="1"/>
  <c r="M176" i="2"/>
  <c r="AW176" i="2"/>
  <c r="AV176" i="2"/>
  <c r="H176" i="2" l="1"/>
  <c r="H350" i="27"/>
  <c r="H349" i="27" l="1"/>
  <c r="H348" i="27"/>
  <c r="H347" i="27"/>
  <c r="H346" i="27"/>
  <c r="H397" i="2"/>
  <c r="I397" i="2" s="1"/>
  <c r="AW397" i="2"/>
  <c r="AV397" i="2"/>
  <c r="J397" i="2" s="1"/>
  <c r="AX397" i="2" l="1"/>
  <c r="BE397" i="2" s="1"/>
  <c r="H345" i="27"/>
  <c r="H344" i="27"/>
  <c r="F258" i="2"/>
  <c r="F175" i="2"/>
  <c r="H343" i="27"/>
  <c r="H342" i="27"/>
  <c r="H341" i="27"/>
  <c r="H340" i="27"/>
  <c r="H339" i="27"/>
  <c r="H338" i="27"/>
  <c r="H337" i="27"/>
  <c r="H336" i="27"/>
  <c r="H175" i="2"/>
  <c r="H335" i="27"/>
  <c r="H342" i="2"/>
  <c r="H334" i="27"/>
  <c r="H333" i="27"/>
  <c r="F368" i="2"/>
  <c r="H368" i="2"/>
  <c r="H332" i="27"/>
  <c r="F366" i="2"/>
  <c r="H366" i="2"/>
  <c r="H331" i="27"/>
  <c r="F364" i="2"/>
  <c r="H364" i="2"/>
  <c r="H330" i="27"/>
  <c r="F362" i="2"/>
  <c r="H362" i="2"/>
  <c r="H329" i="27"/>
  <c r="H328" i="27"/>
  <c r="H327" i="27" l="1"/>
  <c r="H326" i="27"/>
  <c r="H325" i="27"/>
  <c r="H324" i="27"/>
  <c r="H323" i="27"/>
  <c r="H322" i="27"/>
  <c r="H321" i="27"/>
  <c r="H320" i="27"/>
  <c r="H319" i="27"/>
  <c r="H318" i="27" l="1"/>
  <c r="H317" i="27"/>
  <c r="H316" i="27"/>
  <c r="H273" i="2" l="1"/>
  <c r="H315" i="27"/>
  <c r="H282" i="2"/>
  <c r="H314" i="27"/>
  <c r="H302" i="2"/>
  <c r="H313" i="27"/>
  <c r="H325" i="2"/>
  <c r="H312" i="27"/>
  <c r="H446" i="2"/>
  <c r="H311" i="27"/>
  <c r="H310" i="27"/>
  <c r="H456" i="2"/>
  <c r="H407" i="2"/>
  <c r="H309" i="27"/>
  <c r="H308" i="27"/>
  <c r="H311" i="2"/>
  <c r="H307" i="27"/>
  <c r="H434" i="2"/>
  <c r="H306" i="27"/>
  <c r="H454" i="2"/>
  <c r="H305" i="27"/>
  <c r="H151" i="27" l="1"/>
  <c r="H155" i="27"/>
  <c r="H251" i="27"/>
  <c r="H493" i="27" l="1"/>
  <c r="H63" i="2"/>
  <c r="H364" i="27"/>
  <c r="H539" i="27"/>
  <c r="H544" i="27"/>
  <c r="H77" i="2"/>
  <c r="H474" i="27" l="1"/>
  <c r="H488" i="27"/>
  <c r="H533" i="27"/>
  <c r="H453" i="27"/>
  <c r="H529" i="27"/>
  <c r="H452" i="27"/>
  <c r="J133" i="2" l="1"/>
  <c r="J132" i="2"/>
  <c r="H291" i="27" l="1"/>
  <c r="H290" i="27"/>
  <c r="H289" i="27" l="1"/>
  <c r="H113" i="27" l="1"/>
  <c r="H112" i="27"/>
  <c r="H89" i="27"/>
  <c r="H99" i="27"/>
  <c r="H58" i="27"/>
  <c r="H283" i="27"/>
  <c r="F409" i="2"/>
  <c r="H409" i="2"/>
  <c r="J492" i="2" l="1"/>
  <c r="J163" i="2"/>
  <c r="J150" i="2"/>
  <c r="J165" i="2"/>
  <c r="J167" i="2"/>
  <c r="J161" i="2"/>
  <c r="J113" i="2"/>
  <c r="J370" i="2" l="1"/>
  <c r="J346" i="2"/>
  <c r="J239" i="2"/>
  <c r="H282" i="27" l="1"/>
  <c r="H498" i="2"/>
  <c r="F498" i="2"/>
  <c r="H281" i="27" l="1"/>
  <c r="H280" i="27"/>
  <c r="H491" i="2"/>
  <c r="F491" i="2"/>
  <c r="H490" i="2"/>
  <c r="F490" i="2"/>
  <c r="H21" i="27" l="1"/>
  <c r="H432" i="2"/>
  <c r="H274" i="27"/>
  <c r="H273" i="27" l="1"/>
  <c r="H272" i="27"/>
  <c r="H271" i="27" l="1"/>
  <c r="H270" i="27" l="1"/>
  <c r="H269" i="27" l="1"/>
  <c r="AW246" i="2" l="1"/>
  <c r="AV246" i="2"/>
  <c r="J246" i="2" s="1"/>
  <c r="H368" i="27" l="1"/>
  <c r="H540" i="27"/>
  <c r="H409" i="27"/>
  <c r="H297" i="27"/>
  <c r="H5" i="27"/>
  <c r="H6" i="27"/>
  <c r="H7" i="27"/>
  <c r="H8" i="27"/>
  <c r="F488" i="2"/>
  <c r="F487" i="2"/>
  <c r="F486" i="2"/>
  <c r="F485" i="2"/>
  <c r="H488" i="2"/>
  <c r="H487" i="2"/>
  <c r="H174" i="27"/>
  <c r="H43" i="27" l="1"/>
  <c r="H173" i="27"/>
  <c r="H172" i="27" l="1"/>
  <c r="H218" i="2" l="1"/>
  <c r="H171" i="27" l="1"/>
  <c r="H205" i="2"/>
  <c r="AX205" i="2" s="1"/>
  <c r="AW218" i="2" l="1"/>
  <c r="AX218" i="2" s="1"/>
  <c r="AV218" i="2"/>
  <c r="J218" i="2" s="1"/>
  <c r="H170" i="27" l="1"/>
  <c r="J267" i="2" l="1"/>
  <c r="J266" i="2"/>
  <c r="J268" i="2"/>
  <c r="J171" i="2"/>
  <c r="H42" i="27" l="1"/>
  <c r="H41" i="27"/>
  <c r="F239" i="2"/>
  <c r="F197" i="2"/>
  <c r="H239" i="2"/>
  <c r="H197" i="2"/>
  <c r="H84" i="27" l="1"/>
  <c r="J422" i="2" l="1"/>
  <c r="J426" i="2"/>
  <c r="J452" i="2"/>
  <c r="J206" i="2"/>
  <c r="J216" i="2"/>
  <c r="J225" i="2"/>
  <c r="J221" i="2"/>
  <c r="J212" i="2"/>
  <c r="J219" i="2"/>
  <c r="O268" i="27" l="1"/>
  <c r="H268" i="27" l="1"/>
  <c r="H90" i="27"/>
  <c r="H267" i="27"/>
  <c r="H266" i="27"/>
  <c r="H76" i="27"/>
  <c r="F390" i="2"/>
  <c r="H75" i="27"/>
  <c r="H74" i="27"/>
  <c r="F372" i="2"/>
  <c r="H73" i="27"/>
  <c r="F354" i="2"/>
  <c r="H72" i="27"/>
  <c r="H372" i="2"/>
  <c r="H370" i="2"/>
  <c r="H390" i="2"/>
  <c r="H354" i="2"/>
  <c r="H346" i="2"/>
  <c r="H71" i="27"/>
  <c r="H265" i="27"/>
  <c r="H264" i="27"/>
  <c r="H263" i="27"/>
  <c r="H262" i="27"/>
  <c r="H261" i="27"/>
  <c r="H260" i="27"/>
  <c r="H259" i="27"/>
  <c r="H258" i="27"/>
  <c r="J358" i="2"/>
  <c r="J356" i="2"/>
  <c r="J394" i="2"/>
  <c r="J380" i="2"/>
  <c r="J385" i="2"/>
  <c r="J374" i="2"/>
  <c r="J340" i="2"/>
  <c r="J398" i="2"/>
  <c r="J360" i="2"/>
  <c r="J405" i="2"/>
  <c r="J400" i="2"/>
  <c r="J396" i="2"/>
  <c r="J402" i="2"/>
  <c r="J392" i="2"/>
  <c r="J376" i="2"/>
  <c r="H279" i="27" l="1"/>
  <c r="H20" i="27"/>
  <c r="H494" i="2" l="1"/>
  <c r="F494" i="2"/>
  <c r="H111" i="27" l="1"/>
  <c r="H92" i="27"/>
  <c r="H79" i="27"/>
  <c r="H183" i="27" l="1"/>
  <c r="H47" i="2" l="1"/>
  <c r="J84" i="2" l="1"/>
  <c r="H84" i="2"/>
  <c r="AX84" i="2" s="1"/>
  <c r="J110" i="2" l="1"/>
  <c r="J112" i="2"/>
  <c r="J378" i="2" l="1"/>
  <c r="J214" i="2"/>
  <c r="J210" i="2"/>
  <c r="H65" i="27" l="1"/>
  <c r="H35" i="27" l="1"/>
  <c r="H216" i="2"/>
  <c r="F216" i="2"/>
  <c r="H214" i="2"/>
  <c r="F214" i="2"/>
  <c r="H15" i="27"/>
  <c r="H12" i="27"/>
  <c r="H210" i="2"/>
  <c r="F210" i="2"/>
  <c r="H63" i="27"/>
  <c r="H206" i="2"/>
  <c r="F206" i="2"/>
  <c r="H82" i="27"/>
  <c r="H212" i="2"/>
  <c r="F212" i="2"/>
  <c r="H61" i="27"/>
  <c r="H187" i="2"/>
  <c r="F187" i="2"/>
  <c r="H248" i="27"/>
  <c r="H448" i="27" l="1"/>
  <c r="H103" i="27"/>
  <c r="BG60" i="2"/>
  <c r="H450" i="27" l="1"/>
  <c r="G137" i="27" l="1"/>
  <c r="H137" i="27" s="1"/>
  <c r="H17" i="27"/>
  <c r="H69" i="27"/>
  <c r="H164" i="27"/>
  <c r="H143" i="27"/>
  <c r="H141" i="27"/>
  <c r="H144" i="27"/>
  <c r="H146" i="27"/>
  <c r="H14" i="27"/>
  <c r="H18" i="27"/>
  <c r="H139" i="27"/>
  <c r="H37" i="27"/>
  <c r="H68" i="27"/>
  <c r="H16" i="27"/>
  <c r="H64" i="27"/>
  <c r="H60" i="27"/>
  <c r="H13" i="27"/>
  <c r="H19" i="27"/>
  <c r="H78" i="27"/>
  <c r="H140" i="27"/>
  <c r="H385" i="2"/>
  <c r="F385" i="2"/>
  <c r="H380" i="2"/>
  <c r="F380" i="2"/>
  <c r="H387" i="2" l="1"/>
  <c r="F387" i="2"/>
  <c r="H394" i="2"/>
  <c r="F394" i="2"/>
  <c r="H405" i="2"/>
  <c r="F405" i="2"/>
  <c r="H360" i="2"/>
  <c r="F360" i="2"/>
  <c r="H378" i="2"/>
  <c r="F378" i="2"/>
  <c r="F374" i="2"/>
  <c r="H340" i="2"/>
  <c r="F340" i="2"/>
  <c r="H338" i="2"/>
  <c r="F338" i="2"/>
  <c r="H392" i="2"/>
  <c r="F392" i="2"/>
  <c r="H376" i="2"/>
  <c r="F376" i="2"/>
  <c r="H169" i="27"/>
  <c r="H252" i="27"/>
  <c r="H83" i="27"/>
  <c r="BG61" i="2" l="1"/>
  <c r="BG7" i="2" s="1"/>
  <c r="H115" i="27"/>
  <c r="AT61" i="2"/>
  <c r="AX61" i="2" l="1"/>
  <c r="H300" i="27"/>
  <c r="H125" i="27" l="1"/>
  <c r="H118" i="27" l="1"/>
  <c r="G39" i="27"/>
  <c r="H39" i="27" s="1"/>
  <c r="H319" i="2"/>
  <c r="F319" i="2"/>
  <c r="G36" i="27"/>
  <c r="H36" i="27" s="1"/>
  <c r="H317" i="2"/>
  <c r="F317" i="2"/>
  <c r="G62" i="27"/>
  <c r="H62" i="27" s="1"/>
  <c r="H300" i="2"/>
  <c r="F300" i="2"/>
  <c r="H40" i="27"/>
  <c r="H323" i="2"/>
  <c r="F323" i="2"/>
  <c r="G10" i="27"/>
  <c r="H313" i="2"/>
  <c r="F313" i="2"/>
  <c r="H10" i="27" l="1"/>
  <c r="AS61" i="2"/>
  <c r="J61" i="2" s="1"/>
  <c r="AV70" i="2"/>
  <c r="AV277" i="2"/>
  <c r="J277" i="2" s="1"/>
  <c r="AS43" i="2"/>
  <c r="J43" i="2" s="1"/>
  <c r="AS44" i="2"/>
  <c r="J44" i="2" s="1"/>
  <c r="AS42" i="2"/>
  <c r="J42" i="2" s="1"/>
  <c r="AS41" i="2"/>
  <c r="AV41" i="2"/>
  <c r="J41" i="2" l="1"/>
  <c r="L41" i="2" s="1"/>
  <c r="AS46" i="2"/>
  <c r="J46" i="2" s="1"/>
  <c r="AV480" i="2"/>
  <c r="J480" i="2" s="1"/>
  <c r="N41" i="2" l="1"/>
  <c r="AW47" i="2"/>
  <c r="AW7" i="2" s="1"/>
  <c r="AV47" i="2" l="1"/>
  <c r="AS47" i="2" l="1"/>
  <c r="J47" i="2" l="1"/>
  <c r="AV65" i="2" l="1"/>
  <c r="J65" i="2" s="1"/>
  <c r="N65" i="2" s="1"/>
  <c r="AV64" i="2" l="1"/>
  <c r="J64" i="2" l="1"/>
  <c r="N64" i="2" s="1"/>
  <c r="AV7" i="2"/>
  <c r="H448" i="2"/>
  <c r="F448" i="2"/>
  <c r="H426" i="2"/>
  <c r="F426" i="2"/>
  <c r="H9" i="27"/>
  <c r="H138" i="27"/>
  <c r="H59" i="27"/>
  <c r="H452" i="2"/>
  <c r="F452" i="2"/>
  <c r="H253" i="27" l="1"/>
  <c r="H168" i="27" l="1"/>
  <c r="H255" i="27"/>
  <c r="H256" i="27"/>
  <c r="H166" i="27"/>
  <c r="H167" i="27"/>
  <c r="H249" i="27"/>
  <c r="L169" i="2"/>
  <c r="H250" i="27" l="1"/>
  <c r="H165" i="27" l="1"/>
  <c r="J265" i="2" l="1"/>
  <c r="J261" i="2"/>
  <c r="H247" i="27" l="1"/>
  <c r="AS178" i="2"/>
  <c r="J178" i="2" s="1"/>
  <c r="AT178" i="2"/>
  <c r="AS255" i="2"/>
  <c r="J255" i="2" s="1"/>
  <c r="AT255" i="2"/>
  <c r="H246" i="27"/>
  <c r="H245" i="27"/>
  <c r="H244" i="27"/>
  <c r="AS176" i="2"/>
  <c r="J176" i="2" s="1"/>
  <c r="AT176" i="2"/>
  <c r="H243" i="27" l="1"/>
  <c r="H242" i="27"/>
  <c r="AS114" i="2" l="1"/>
  <c r="J114" i="2" s="1"/>
  <c r="AT114" i="2"/>
  <c r="H241" i="27"/>
  <c r="H114" i="2"/>
  <c r="I114" i="2" s="1"/>
  <c r="AX114" i="2" l="1"/>
  <c r="BE114" i="2" s="1"/>
  <c r="H277" i="27"/>
  <c r="H163" i="2"/>
  <c r="AX163" i="2" s="1"/>
  <c r="H98" i="27" l="1"/>
  <c r="H93" i="27"/>
  <c r="H11" i="27"/>
  <c r="H240" i="27" l="1"/>
  <c r="H239" i="27"/>
  <c r="H238" i="27"/>
  <c r="H237" i="27"/>
  <c r="H236" i="27"/>
  <c r="N235" i="27"/>
  <c r="H235" i="27"/>
  <c r="H87" i="27" l="1"/>
  <c r="F422" i="2"/>
  <c r="H422" i="2"/>
  <c r="H70" i="27"/>
  <c r="H67" i="27"/>
  <c r="F428" i="2"/>
  <c r="H428" i="2"/>
  <c r="H299" i="27"/>
  <c r="AS70" i="2"/>
  <c r="J70" i="2" l="1"/>
  <c r="H114" i="27"/>
  <c r="H163" i="27" l="1"/>
  <c r="H180" i="27" l="1"/>
  <c r="H179" i="27"/>
  <c r="H178" i="27"/>
  <c r="H234" i="27" l="1"/>
  <c r="H233" i="27"/>
  <c r="H232" i="27"/>
  <c r="H231" i="27"/>
  <c r="H86" i="27"/>
  <c r="H91" i="27"/>
  <c r="H97" i="27"/>
  <c r="F192" i="2" l="1"/>
  <c r="F194" i="2"/>
  <c r="F179" i="2"/>
  <c r="J179" i="2"/>
  <c r="J235" i="2" l="1"/>
  <c r="J229" i="2"/>
  <c r="J227" i="2"/>
  <c r="J222" i="2"/>
  <c r="H77" i="27" l="1"/>
  <c r="H449" i="27" l="1"/>
  <c r="H365" i="27"/>
  <c r="H295" i="27"/>
  <c r="H177" i="27" l="1"/>
  <c r="H34" i="27" l="1"/>
  <c r="H33" i="27"/>
  <c r="H32" i="27"/>
  <c r="H194" i="2"/>
  <c r="H192" i="2"/>
  <c r="H179" i="2"/>
  <c r="H162" i="27"/>
  <c r="H161" i="27"/>
  <c r="H160" i="27"/>
  <c r="H22" i="27" l="1"/>
  <c r="H23" i="27"/>
  <c r="H24" i="27"/>
  <c r="H25" i="27"/>
  <c r="H26" i="27"/>
  <c r="H27" i="27"/>
  <c r="H28" i="27"/>
  <c r="H29" i="27"/>
  <c r="H30" i="27"/>
  <c r="H31" i="27"/>
  <c r="F243" i="2"/>
  <c r="F235" i="2"/>
  <c r="F233" i="2"/>
  <c r="F231" i="2"/>
  <c r="F229" i="2"/>
  <c r="F227" i="2"/>
  <c r="F225" i="2"/>
  <c r="F222" i="2"/>
  <c r="F221" i="2"/>
  <c r="F219" i="2"/>
  <c r="H227" i="2"/>
  <c r="H233" i="2"/>
  <c r="H243" i="2"/>
  <c r="H225" i="2"/>
  <c r="H222" i="2"/>
  <c r="H235" i="2"/>
  <c r="H231" i="2"/>
  <c r="H229" i="2"/>
  <c r="H219" i="2"/>
  <c r="H221" i="2"/>
  <c r="N490" i="2" l="1"/>
  <c r="N491" i="2"/>
  <c r="K802" i="2"/>
  <c r="L802" i="2"/>
  <c r="N802" i="2"/>
  <c r="K803" i="2"/>
  <c r="L803" i="2"/>
  <c r="N803" i="2"/>
  <c r="K804" i="2"/>
  <c r="L804" i="2"/>
  <c r="N804" i="2"/>
  <c r="K805" i="2"/>
  <c r="L805" i="2"/>
  <c r="N805" i="2"/>
  <c r="K806" i="2"/>
  <c r="L806" i="2"/>
  <c r="N806" i="2"/>
  <c r="K807" i="2"/>
  <c r="L807" i="2"/>
  <c r="N807" i="2"/>
  <c r="K808" i="2"/>
  <c r="L808" i="2"/>
  <c r="N808" i="2"/>
  <c r="K809" i="2"/>
  <c r="L809" i="2"/>
  <c r="N809" i="2"/>
  <c r="K810" i="2"/>
  <c r="L810" i="2"/>
  <c r="N810" i="2"/>
  <c r="K811" i="2"/>
  <c r="L811" i="2"/>
  <c r="N811" i="2"/>
  <c r="K812" i="2"/>
  <c r="L812" i="2"/>
  <c r="N812" i="2"/>
  <c r="K813" i="2"/>
  <c r="L813" i="2"/>
  <c r="N813" i="2"/>
  <c r="K814" i="2"/>
  <c r="L814" i="2"/>
  <c r="N814" i="2"/>
  <c r="K815" i="2"/>
  <c r="L815" i="2"/>
  <c r="N815" i="2"/>
  <c r="K816" i="2"/>
  <c r="L816" i="2"/>
  <c r="N816" i="2"/>
  <c r="K817" i="2"/>
  <c r="L817" i="2"/>
  <c r="N817" i="2"/>
  <c r="K818" i="2"/>
  <c r="L818" i="2"/>
  <c r="N818" i="2"/>
  <c r="K819" i="2"/>
  <c r="L819" i="2"/>
  <c r="N819" i="2"/>
  <c r="K820" i="2"/>
  <c r="L820" i="2"/>
  <c r="N820" i="2"/>
  <c r="K821" i="2"/>
  <c r="L821" i="2"/>
  <c r="N821" i="2"/>
  <c r="K822" i="2"/>
  <c r="L822" i="2"/>
  <c r="N822" i="2"/>
  <c r="K823" i="2"/>
  <c r="L823" i="2"/>
  <c r="N823" i="2"/>
  <c r="K824" i="2"/>
  <c r="L824" i="2"/>
  <c r="N824" i="2"/>
  <c r="K825" i="2"/>
  <c r="L825" i="2"/>
  <c r="N825" i="2"/>
  <c r="K826" i="2"/>
  <c r="L826" i="2"/>
  <c r="N826" i="2"/>
  <c r="K827" i="2"/>
  <c r="L827" i="2"/>
  <c r="N827" i="2"/>
  <c r="K828" i="2"/>
  <c r="L828" i="2"/>
  <c r="N828" i="2"/>
  <c r="K829" i="2"/>
  <c r="L829" i="2"/>
  <c r="N829" i="2"/>
  <c r="K830" i="2"/>
  <c r="L830" i="2"/>
  <c r="N830" i="2"/>
  <c r="K831" i="2"/>
  <c r="L831" i="2"/>
  <c r="N831" i="2"/>
  <c r="K832" i="2"/>
  <c r="L832" i="2"/>
  <c r="N832" i="2"/>
  <c r="K833" i="2"/>
  <c r="L833" i="2"/>
  <c r="N833" i="2"/>
  <c r="K834" i="2"/>
  <c r="L834" i="2"/>
  <c r="N834" i="2"/>
  <c r="K835" i="2"/>
  <c r="L835" i="2"/>
  <c r="N835" i="2"/>
  <c r="K836" i="2"/>
  <c r="L836" i="2"/>
  <c r="N836" i="2"/>
  <c r="K837" i="2"/>
  <c r="L837" i="2"/>
  <c r="N837" i="2"/>
  <c r="K838" i="2"/>
  <c r="L838" i="2"/>
  <c r="N838" i="2"/>
  <c r="K839" i="2"/>
  <c r="L839" i="2"/>
  <c r="N839" i="2"/>
  <c r="K840" i="2"/>
  <c r="L840" i="2"/>
  <c r="N840" i="2"/>
  <c r="K841" i="2"/>
  <c r="L841" i="2"/>
  <c r="N841" i="2"/>
  <c r="K842" i="2"/>
  <c r="L842" i="2"/>
  <c r="N842" i="2"/>
  <c r="K843" i="2"/>
  <c r="L843" i="2"/>
  <c r="N843" i="2"/>
  <c r="K844" i="2"/>
  <c r="L844" i="2"/>
  <c r="N844" i="2"/>
  <c r="K845" i="2"/>
  <c r="L845" i="2"/>
  <c r="N845" i="2"/>
  <c r="K846" i="2"/>
  <c r="L846" i="2"/>
  <c r="N846" i="2"/>
  <c r="K847" i="2"/>
  <c r="L847" i="2"/>
  <c r="N847" i="2"/>
  <c r="K848" i="2"/>
  <c r="L848" i="2"/>
  <c r="N848" i="2"/>
  <c r="K849" i="2"/>
  <c r="L849" i="2"/>
  <c r="K850" i="2"/>
  <c r="L850" i="2"/>
  <c r="N850" i="2"/>
  <c r="K851" i="2"/>
  <c r="L851" i="2"/>
  <c r="N851" i="2"/>
  <c r="K852" i="2"/>
  <c r="L852" i="2"/>
  <c r="N852" i="2"/>
  <c r="K853" i="2"/>
  <c r="L853" i="2"/>
  <c r="N853" i="2"/>
  <c r="K854" i="2"/>
  <c r="L854" i="2"/>
  <c r="N854" i="2"/>
  <c r="K855" i="2"/>
  <c r="L855" i="2"/>
  <c r="N855" i="2"/>
  <c r="K856" i="2"/>
  <c r="L856" i="2"/>
  <c r="N856" i="2"/>
  <c r="K857" i="2"/>
  <c r="L857" i="2"/>
  <c r="N857" i="2"/>
  <c r="K858" i="2"/>
  <c r="L858" i="2"/>
  <c r="N858" i="2"/>
  <c r="K859" i="2"/>
  <c r="L859" i="2"/>
  <c r="N859" i="2"/>
  <c r="K860" i="2"/>
  <c r="L860" i="2"/>
  <c r="N860" i="2"/>
  <c r="K861" i="2"/>
  <c r="L861" i="2"/>
  <c r="N861" i="2"/>
  <c r="K862" i="2"/>
  <c r="L862" i="2"/>
  <c r="N862" i="2"/>
  <c r="K863" i="2"/>
  <c r="L863" i="2"/>
  <c r="N863" i="2"/>
  <c r="K864" i="2"/>
  <c r="L864" i="2"/>
  <c r="N864" i="2"/>
  <c r="K865" i="2"/>
  <c r="L865" i="2"/>
  <c r="N865" i="2"/>
  <c r="K866" i="2"/>
  <c r="L866" i="2"/>
  <c r="N866" i="2"/>
  <c r="K867" i="2"/>
  <c r="L867" i="2"/>
  <c r="N867" i="2"/>
  <c r="K868" i="2"/>
  <c r="L868" i="2"/>
  <c r="N868" i="2"/>
  <c r="K869" i="2"/>
  <c r="L869" i="2"/>
  <c r="N869" i="2"/>
  <c r="K870" i="2"/>
  <c r="L870" i="2"/>
  <c r="N870" i="2"/>
  <c r="K871" i="2"/>
  <c r="L871" i="2"/>
  <c r="N871" i="2"/>
  <c r="K872" i="2"/>
  <c r="L872" i="2"/>
  <c r="N872" i="2"/>
  <c r="K873" i="2"/>
  <c r="L873" i="2"/>
  <c r="N873" i="2"/>
  <c r="K874" i="2"/>
  <c r="L874" i="2"/>
  <c r="N874" i="2"/>
  <c r="K875" i="2"/>
  <c r="L875" i="2"/>
  <c r="N875" i="2"/>
  <c r="K876" i="2"/>
  <c r="L876" i="2"/>
  <c r="N876" i="2"/>
  <c r="K877" i="2"/>
  <c r="L877" i="2"/>
  <c r="N877" i="2"/>
  <c r="K878" i="2"/>
  <c r="L878" i="2"/>
  <c r="N878" i="2"/>
  <c r="K879" i="2"/>
  <c r="L879" i="2"/>
  <c r="N879" i="2"/>
  <c r="K880" i="2"/>
  <c r="L880" i="2"/>
  <c r="N880" i="2"/>
  <c r="K881" i="2"/>
  <c r="L881" i="2"/>
  <c r="N881" i="2"/>
  <c r="K882" i="2"/>
  <c r="L882" i="2"/>
  <c r="N882" i="2"/>
  <c r="K883" i="2"/>
  <c r="L883" i="2"/>
  <c r="N883" i="2"/>
  <c r="K884" i="2"/>
  <c r="L884" i="2"/>
  <c r="N884" i="2"/>
  <c r="K885" i="2"/>
  <c r="L885" i="2"/>
  <c r="N885" i="2"/>
  <c r="K886" i="2"/>
  <c r="L886" i="2"/>
  <c r="N886" i="2"/>
  <c r="K887" i="2"/>
  <c r="L887" i="2"/>
  <c r="N887" i="2"/>
  <c r="K888" i="2"/>
  <c r="L888" i="2"/>
  <c r="N888" i="2"/>
  <c r="K889" i="2"/>
  <c r="L889" i="2"/>
  <c r="N889" i="2"/>
  <c r="K890" i="2"/>
  <c r="L890" i="2"/>
  <c r="N890" i="2"/>
  <c r="K891" i="2"/>
  <c r="L891" i="2"/>
  <c r="N891" i="2"/>
  <c r="K892" i="2"/>
  <c r="L892" i="2"/>
  <c r="N892" i="2"/>
  <c r="K893" i="2"/>
  <c r="L893" i="2"/>
  <c r="N893" i="2"/>
  <c r="K894" i="2"/>
  <c r="L894" i="2"/>
  <c r="N894" i="2"/>
  <c r="K895" i="2"/>
  <c r="L895" i="2"/>
  <c r="N895" i="2"/>
  <c r="K896" i="2"/>
  <c r="L896" i="2"/>
  <c r="N896" i="2"/>
  <c r="K897" i="2"/>
  <c r="L897" i="2"/>
  <c r="N897" i="2"/>
  <c r="K898" i="2"/>
  <c r="L898" i="2"/>
  <c r="N898" i="2"/>
  <c r="K899" i="2"/>
  <c r="L899" i="2"/>
  <c r="N899" i="2"/>
  <c r="K900" i="2"/>
  <c r="L900" i="2"/>
  <c r="N900" i="2"/>
  <c r="K901" i="2"/>
  <c r="L901" i="2"/>
  <c r="N901" i="2"/>
  <c r="K902" i="2"/>
  <c r="L902" i="2"/>
  <c r="N902" i="2"/>
  <c r="K903" i="2"/>
  <c r="L903" i="2"/>
  <c r="N903" i="2"/>
  <c r="K904" i="2"/>
  <c r="L904" i="2"/>
  <c r="N904" i="2"/>
  <c r="K905" i="2"/>
  <c r="L905" i="2"/>
  <c r="N905" i="2"/>
  <c r="K906" i="2"/>
  <c r="L906" i="2"/>
  <c r="N906" i="2"/>
  <c r="K907" i="2"/>
  <c r="L907" i="2"/>
  <c r="N907" i="2"/>
  <c r="K908" i="2"/>
  <c r="L908" i="2"/>
  <c r="N908" i="2"/>
  <c r="K909" i="2"/>
  <c r="L909" i="2"/>
  <c r="N909" i="2"/>
  <c r="K910" i="2"/>
  <c r="L910" i="2"/>
  <c r="N910" i="2"/>
  <c r="K911" i="2"/>
  <c r="L911" i="2"/>
  <c r="N911" i="2"/>
  <c r="K912" i="2"/>
  <c r="L912" i="2"/>
  <c r="N912" i="2"/>
  <c r="K913" i="2"/>
  <c r="L913" i="2"/>
  <c r="N913" i="2"/>
  <c r="K914" i="2"/>
  <c r="L914" i="2"/>
  <c r="N914" i="2"/>
  <c r="K915" i="2"/>
  <c r="L915" i="2"/>
  <c r="N915" i="2"/>
  <c r="K916" i="2"/>
  <c r="L916" i="2"/>
  <c r="N916" i="2"/>
  <c r="K917" i="2"/>
  <c r="L917" i="2"/>
  <c r="N917" i="2"/>
  <c r="K918" i="2"/>
  <c r="L918" i="2"/>
  <c r="N918" i="2"/>
  <c r="K919" i="2"/>
  <c r="L919" i="2"/>
  <c r="N919" i="2"/>
  <c r="K920" i="2"/>
  <c r="L920" i="2"/>
  <c r="N920" i="2"/>
  <c r="K921" i="2"/>
  <c r="L921" i="2"/>
  <c r="N921" i="2"/>
  <c r="K922" i="2"/>
  <c r="L922" i="2"/>
  <c r="N922" i="2"/>
  <c r="K923" i="2"/>
  <c r="L923" i="2"/>
  <c r="N923" i="2"/>
  <c r="K924" i="2"/>
  <c r="L924" i="2"/>
  <c r="N924" i="2"/>
  <c r="K925" i="2"/>
  <c r="L925" i="2"/>
  <c r="N925" i="2"/>
  <c r="K926" i="2"/>
  <c r="L926" i="2"/>
  <c r="N926" i="2"/>
  <c r="K927" i="2"/>
  <c r="L927" i="2"/>
  <c r="N927" i="2"/>
  <c r="K928" i="2"/>
  <c r="L928" i="2"/>
  <c r="N928" i="2"/>
  <c r="K929" i="2"/>
  <c r="L929" i="2"/>
  <c r="N929" i="2"/>
  <c r="K930" i="2"/>
  <c r="L930" i="2"/>
  <c r="N930" i="2"/>
  <c r="K931" i="2"/>
  <c r="L931" i="2"/>
  <c r="N931" i="2"/>
  <c r="K932" i="2"/>
  <c r="L932" i="2"/>
  <c r="N932" i="2"/>
  <c r="K933" i="2"/>
  <c r="L933" i="2"/>
  <c r="N933" i="2"/>
  <c r="K934" i="2"/>
  <c r="L934" i="2"/>
  <c r="N934" i="2"/>
  <c r="K935" i="2"/>
  <c r="L935" i="2"/>
  <c r="N935" i="2"/>
  <c r="K936" i="2"/>
  <c r="L936" i="2"/>
  <c r="N936" i="2"/>
  <c r="K937" i="2"/>
  <c r="L937" i="2"/>
  <c r="N937" i="2"/>
  <c r="K938" i="2"/>
  <c r="L938" i="2"/>
  <c r="N938" i="2"/>
  <c r="K939" i="2"/>
  <c r="L939" i="2"/>
  <c r="N939" i="2"/>
  <c r="K940" i="2"/>
  <c r="L940" i="2"/>
  <c r="N940" i="2"/>
  <c r="K941" i="2"/>
  <c r="L941" i="2"/>
  <c r="N941" i="2"/>
  <c r="K942" i="2"/>
  <c r="L942" i="2"/>
  <c r="N942" i="2"/>
  <c r="K943" i="2"/>
  <c r="L943" i="2"/>
  <c r="N943" i="2"/>
  <c r="K944" i="2"/>
  <c r="L944" i="2"/>
  <c r="N944" i="2"/>
  <c r="K945" i="2"/>
  <c r="L945" i="2"/>
  <c r="N945" i="2"/>
  <c r="K946" i="2"/>
  <c r="L946" i="2"/>
  <c r="N946" i="2"/>
  <c r="K947" i="2"/>
  <c r="L947" i="2"/>
  <c r="N947" i="2"/>
  <c r="K948" i="2"/>
  <c r="L948" i="2"/>
  <c r="N948" i="2"/>
  <c r="K949" i="2"/>
  <c r="L949" i="2"/>
  <c r="N949" i="2"/>
  <c r="K950" i="2"/>
  <c r="L950" i="2"/>
  <c r="N950" i="2"/>
  <c r="K951" i="2"/>
  <c r="L951" i="2"/>
  <c r="N951" i="2"/>
  <c r="K952" i="2"/>
  <c r="L952" i="2"/>
  <c r="N952" i="2"/>
  <c r="K953" i="2"/>
  <c r="L953" i="2"/>
  <c r="N953" i="2"/>
  <c r="K954" i="2"/>
  <c r="L954" i="2"/>
  <c r="N954" i="2"/>
  <c r="K955" i="2"/>
  <c r="L955" i="2"/>
  <c r="N955" i="2"/>
  <c r="K956" i="2"/>
  <c r="L956" i="2"/>
  <c r="N956" i="2"/>
  <c r="K957" i="2"/>
  <c r="L957" i="2"/>
  <c r="N957" i="2"/>
  <c r="K958" i="2"/>
  <c r="L958" i="2"/>
  <c r="N958" i="2"/>
  <c r="K959" i="2"/>
  <c r="L959" i="2"/>
  <c r="N959" i="2"/>
  <c r="K960" i="2"/>
  <c r="L960" i="2"/>
  <c r="N960" i="2"/>
  <c r="K961" i="2"/>
  <c r="L961" i="2"/>
  <c r="N961" i="2"/>
  <c r="K962" i="2"/>
  <c r="L962" i="2"/>
  <c r="N962" i="2"/>
  <c r="K963" i="2"/>
  <c r="L963" i="2"/>
  <c r="N963" i="2"/>
  <c r="K964" i="2"/>
  <c r="L964" i="2"/>
  <c r="N964" i="2"/>
  <c r="K965" i="2"/>
  <c r="L965" i="2"/>
  <c r="N965" i="2"/>
  <c r="K966" i="2"/>
  <c r="L966" i="2"/>
  <c r="N966" i="2"/>
  <c r="K967" i="2"/>
  <c r="L967" i="2"/>
  <c r="N967" i="2"/>
  <c r="K968" i="2"/>
  <c r="L968" i="2"/>
  <c r="N968" i="2"/>
  <c r="K969" i="2"/>
  <c r="L969" i="2"/>
  <c r="N969" i="2"/>
  <c r="K970" i="2"/>
  <c r="L970" i="2"/>
  <c r="N970" i="2"/>
  <c r="K971" i="2"/>
  <c r="L971" i="2"/>
  <c r="N971" i="2"/>
  <c r="K972" i="2"/>
  <c r="L972" i="2"/>
  <c r="N972" i="2"/>
  <c r="K973" i="2"/>
  <c r="L973" i="2"/>
  <c r="N973" i="2"/>
  <c r="K974" i="2"/>
  <c r="L974" i="2"/>
  <c r="N974" i="2"/>
  <c r="K975" i="2"/>
  <c r="L975" i="2"/>
  <c r="N975" i="2"/>
  <c r="K976" i="2"/>
  <c r="L976" i="2"/>
  <c r="N976" i="2"/>
  <c r="K977" i="2"/>
  <c r="L977" i="2"/>
  <c r="N977" i="2"/>
  <c r="K978" i="2"/>
  <c r="L978" i="2"/>
  <c r="N978" i="2"/>
  <c r="K979" i="2"/>
  <c r="L979" i="2"/>
  <c r="N979" i="2"/>
  <c r="K980" i="2"/>
  <c r="L980" i="2"/>
  <c r="N980" i="2"/>
  <c r="K981" i="2"/>
  <c r="L981" i="2"/>
  <c r="N981" i="2"/>
  <c r="K982" i="2"/>
  <c r="L982" i="2"/>
  <c r="N982" i="2"/>
  <c r="K983" i="2"/>
  <c r="L983" i="2"/>
  <c r="N983" i="2"/>
  <c r="K984" i="2"/>
  <c r="L984" i="2"/>
  <c r="N984" i="2"/>
  <c r="K985" i="2"/>
  <c r="L985" i="2"/>
  <c r="N985" i="2"/>
  <c r="K986" i="2"/>
  <c r="L986" i="2"/>
  <c r="N986" i="2"/>
  <c r="K987" i="2"/>
  <c r="L987" i="2"/>
  <c r="N987" i="2"/>
  <c r="K988" i="2"/>
  <c r="L988" i="2"/>
  <c r="N988" i="2"/>
  <c r="K989" i="2"/>
  <c r="L989" i="2"/>
  <c r="N989" i="2"/>
  <c r="K990" i="2"/>
  <c r="L990" i="2"/>
  <c r="N990" i="2"/>
  <c r="K991" i="2"/>
  <c r="L991" i="2"/>
  <c r="N991" i="2"/>
  <c r="K992" i="2"/>
  <c r="L992" i="2"/>
  <c r="N992" i="2"/>
  <c r="K993" i="2"/>
  <c r="L993" i="2"/>
  <c r="N993" i="2"/>
  <c r="K994" i="2"/>
  <c r="L994" i="2"/>
  <c r="N994" i="2"/>
  <c r="K995" i="2"/>
  <c r="L995" i="2"/>
  <c r="N995" i="2"/>
  <c r="K996" i="2"/>
  <c r="L996" i="2"/>
  <c r="N996" i="2"/>
  <c r="K997" i="2"/>
  <c r="L997" i="2"/>
  <c r="N997" i="2"/>
  <c r="K998" i="2"/>
  <c r="L998" i="2"/>
  <c r="N998" i="2"/>
  <c r="K999" i="2"/>
  <c r="L999" i="2"/>
  <c r="N999" i="2"/>
  <c r="K1000" i="2"/>
  <c r="L1000" i="2"/>
  <c r="N1000" i="2"/>
  <c r="K1001" i="2"/>
  <c r="L1001" i="2"/>
  <c r="N1001" i="2"/>
  <c r="K1002" i="2"/>
  <c r="L1002" i="2"/>
  <c r="N1002" i="2"/>
  <c r="K1003" i="2"/>
  <c r="L1003" i="2"/>
  <c r="N1003" i="2"/>
  <c r="K1004" i="2"/>
  <c r="L1004" i="2"/>
  <c r="N1004" i="2"/>
  <c r="K1005" i="2"/>
  <c r="L1005" i="2"/>
  <c r="N1005" i="2"/>
  <c r="K1006" i="2"/>
  <c r="L1006" i="2"/>
  <c r="N1006" i="2"/>
  <c r="K1007" i="2"/>
  <c r="L1007" i="2"/>
  <c r="N1007" i="2"/>
  <c r="K1008" i="2"/>
  <c r="L1008" i="2"/>
  <c r="N1008" i="2"/>
  <c r="K1009" i="2"/>
  <c r="L1009" i="2"/>
  <c r="N1009" i="2"/>
  <c r="K1010" i="2"/>
  <c r="L1010" i="2"/>
  <c r="N1010" i="2"/>
  <c r="K1011" i="2"/>
  <c r="L1011" i="2"/>
  <c r="N1011" i="2"/>
  <c r="K1012" i="2"/>
  <c r="L1012" i="2"/>
  <c r="N1012" i="2"/>
  <c r="K1013" i="2"/>
  <c r="L1013" i="2"/>
  <c r="N1013" i="2"/>
  <c r="K1014" i="2"/>
  <c r="L1014" i="2"/>
  <c r="N1014" i="2"/>
  <c r="K1015" i="2"/>
  <c r="L1015" i="2"/>
  <c r="N1015" i="2"/>
  <c r="K1016" i="2"/>
  <c r="L1016" i="2"/>
  <c r="N1016" i="2"/>
  <c r="K1017" i="2"/>
  <c r="L1017" i="2"/>
  <c r="N1017" i="2"/>
  <c r="K1018" i="2"/>
  <c r="L1018" i="2"/>
  <c r="N1018" i="2"/>
  <c r="K1019" i="2"/>
  <c r="L1019" i="2"/>
  <c r="N1019" i="2"/>
  <c r="K1020" i="2"/>
  <c r="N1020" i="2"/>
  <c r="K1021" i="2"/>
  <c r="N1021" i="2"/>
  <c r="K1022" i="2"/>
  <c r="L1022" i="2"/>
  <c r="N1022" i="2"/>
  <c r="K1023" i="2"/>
  <c r="L1023" i="2"/>
  <c r="N1023" i="2"/>
  <c r="K1024" i="2"/>
  <c r="L1024" i="2"/>
  <c r="N1024" i="2"/>
  <c r="K1025" i="2"/>
  <c r="L1025" i="2"/>
  <c r="N1025" i="2"/>
  <c r="K1026" i="2"/>
  <c r="L1026" i="2"/>
  <c r="N1026" i="2"/>
  <c r="K1027" i="2"/>
  <c r="L1027" i="2"/>
  <c r="N1027" i="2"/>
  <c r="K1028" i="2"/>
  <c r="L1028" i="2"/>
  <c r="N1028" i="2"/>
  <c r="K1029" i="2"/>
  <c r="L1029" i="2"/>
  <c r="N1029" i="2"/>
  <c r="K1030" i="2"/>
  <c r="L1030" i="2"/>
  <c r="N1030" i="2"/>
  <c r="K1031" i="2"/>
  <c r="L1031" i="2"/>
  <c r="N1031" i="2"/>
  <c r="K1032" i="2"/>
  <c r="L1032" i="2"/>
  <c r="N1032" i="2"/>
  <c r="K1033" i="2"/>
  <c r="L1033" i="2"/>
  <c r="N1033" i="2"/>
  <c r="K1034" i="2"/>
  <c r="L1034" i="2"/>
  <c r="N1034" i="2"/>
  <c r="K1035" i="2"/>
  <c r="L1035" i="2"/>
  <c r="N1035" i="2"/>
  <c r="K1036" i="2"/>
  <c r="L1036" i="2"/>
  <c r="N1036" i="2"/>
  <c r="K1037" i="2"/>
  <c r="L1037" i="2"/>
  <c r="N1037" i="2"/>
  <c r="K1038" i="2"/>
  <c r="L1038" i="2"/>
  <c r="N1038" i="2"/>
  <c r="K1039" i="2"/>
  <c r="L1039" i="2"/>
  <c r="N1039" i="2"/>
  <c r="K1040" i="2"/>
  <c r="L1040" i="2"/>
  <c r="N1040" i="2"/>
  <c r="K1041" i="2"/>
  <c r="L1041" i="2"/>
  <c r="N1041" i="2"/>
  <c r="K1042" i="2"/>
  <c r="L1042" i="2"/>
  <c r="N1042" i="2"/>
  <c r="K1043" i="2"/>
  <c r="L1043" i="2"/>
  <c r="N1043" i="2"/>
  <c r="K1044" i="2"/>
  <c r="L1044" i="2"/>
  <c r="N1044" i="2"/>
  <c r="K1045" i="2"/>
  <c r="L1045" i="2"/>
  <c r="N1045" i="2"/>
  <c r="K1046" i="2"/>
  <c r="L1046" i="2"/>
  <c r="N1046" i="2"/>
  <c r="K1047" i="2"/>
  <c r="L1047" i="2"/>
  <c r="N1047" i="2"/>
  <c r="K1048" i="2"/>
  <c r="L1048" i="2"/>
  <c r="N1048" i="2"/>
  <c r="K1049" i="2"/>
  <c r="L1049" i="2"/>
  <c r="N1049" i="2"/>
  <c r="K1050" i="2"/>
  <c r="L1050" i="2"/>
  <c r="N1050" i="2"/>
  <c r="K1051" i="2"/>
  <c r="L1051" i="2"/>
  <c r="N1051" i="2"/>
  <c r="K1052" i="2"/>
  <c r="L1052" i="2"/>
  <c r="N1052" i="2"/>
  <c r="K1053" i="2"/>
  <c r="L1053" i="2"/>
  <c r="N1053" i="2"/>
  <c r="K1054" i="2"/>
  <c r="L1054" i="2"/>
  <c r="N1054" i="2"/>
  <c r="K1055" i="2"/>
  <c r="L1055" i="2"/>
  <c r="N1055" i="2"/>
  <c r="K1056" i="2"/>
  <c r="L1056" i="2"/>
  <c r="N1056" i="2"/>
  <c r="K1057" i="2"/>
  <c r="L1057" i="2"/>
  <c r="N1057" i="2"/>
  <c r="K1058" i="2"/>
  <c r="L1058" i="2"/>
  <c r="N1058" i="2"/>
  <c r="K1059" i="2"/>
  <c r="L1059" i="2"/>
  <c r="N1059" i="2"/>
  <c r="K1060" i="2"/>
  <c r="L1060" i="2"/>
  <c r="N1060" i="2"/>
  <c r="K1061" i="2"/>
  <c r="L1061" i="2"/>
  <c r="N1061" i="2"/>
  <c r="K1062" i="2"/>
  <c r="L1062" i="2"/>
  <c r="N1062" i="2"/>
  <c r="K1063" i="2"/>
  <c r="L1063" i="2"/>
  <c r="N1063" i="2"/>
  <c r="K1064" i="2"/>
  <c r="L1064" i="2"/>
  <c r="N1064" i="2"/>
  <c r="K1065" i="2"/>
  <c r="L1065" i="2"/>
  <c r="N1065" i="2"/>
  <c r="K1066" i="2"/>
  <c r="L1066" i="2"/>
  <c r="N1066" i="2"/>
  <c r="K1067" i="2"/>
  <c r="L1067" i="2"/>
  <c r="N1067" i="2"/>
  <c r="K1068" i="2"/>
  <c r="L1068" i="2"/>
  <c r="N1068" i="2"/>
  <c r="K1069" i="2"/>
  <c r="L1069" i="2"/>
  <c r="N1069" i="2"/>
  <c r="K1070" i="2"/>
  <c r="L1070" i="2"/>
  <c r="N1070" i="2"/>
  <c r="K1071" i="2"/>
  <c r="L1071" i="2"/>
  <c r="N1071" i="2"/>
  <c r="K1072" i="2"/>
  <c r="L1072" i="2"/>
  <c r="N1072" i="2"/>
  <c r="K1073" i="2"/>
  <c r="L1073" i="2"/>
  <c r="N1073" i="2"/>
  <c r="K1074" i="2"/>
  <c r="L1074" i="2"/>
  <c r="N1074" i="2"/>
  <c r="K1075" i="2"/>
  <c r="L1075" i="2"/>
  <c r="N1075" i="2"/>
  <c r="K1076" i="2"/>
  <c r="L1076" i="2"/>
  <c r="N1076" i="2"/>
  <c r="K1077" i="2"/>
  <c r="L1077" i="2"/>
  <c r="N1077" i="2"/>
  <c r="K1078" i="2"/>
  <c r="L1078" i="2"/>
  <c r="N1078" i="2"/>
  <c r="K1079" i="2"/>
  <c r="L1079" i="2"/>
  <c r="N1079" i="2"/>
  <c r="K1080" i="2"/>
  <c r="L1080" i="2"/>
  <c r="N1080" i="2"/>
  <c r="K1081" i="2"/>
  <c r="L1081" i="2"/>
  <c r="N1081" i="2"/>
  <c r="K1082" i="2"/>
  <c r="L1082" i="2"/>
  <c r="N1082" i="2"/>
  <c r="K1083" i="2"/>
  <c r="L1083" i="2"/>
  <c r="N1083" i="2"/>
  <c r="K1084" i="2"/>
  <c r="L1084" i="2"/>
  <c r="N1084" i="2"/>
  <c r="K1085" i="2"/>
  <c r="L1085" i="2"/>
  <c r="N1085" i="2"/>
  <c r="K1086" i="2"/>
  <c r="L1086" i="2"/>
  <c r="N1086" i="2"/>
  <c r="K1087" i="2"/>
  <c r="L1087" i="2"/>
  <c r="N1087" i="2"/>
  <c r="K1088" i="2"/>
  <c r="L1088" i="2"/>
  <c r="N1088" i="2"/>
  <c r="K1089" i="2"/>
  <c r="L1089" i="2"/>
  <c r="N1089" i="2"/>
  <c r="K1090" i="2"/>
  <c r="L1090" i="2"/>
  <c r="N1090" i="2"/>
  <c r="K1091" i="2"/>
  <c r="L1091" i="2"/>
  <c r="N1091" i="2"/>
  <c r="K1092" i="2"/>
  <c r="L1092" i="2"/>
  <c r="N1092" i="2"/>
  <c r="K1093" i="2"/>
  <c r="L1093" i="2"/>
  <c r="N1093" i="2"/>
  <c r="K1094" i="2"/>
  <c r="L1094" i="2"/>
  <c r="N1094" i="2"/>
  <c r="K1095" i="2"/>
  <c r="L1095" i="2"/>
  <c r="N1095" i="2"/>
  <c r="K1096" i="2"/>
  <c r="L1096" i="2"/>
  <c r="N1096" i="2"/>
  <c r="K1097" i="2"/>
  <c r="L1097" i="2"/>
  <c r="N1097" i="2"/>
  <c r="K1098" i="2"/>
  <c r="L1098" i="2"/>
  <c r="N1098" i="2"/>
  <c r="K1099" i="2"/>
  <c r="L1099" i="2"/>
  <c r="N1099" i="2"/>
  <c r="K1100" i="2"/>
  <c r="L1100" i="2"/>
  <c r="N1100" i="2"/>
  <c r="K1101" i="2"/>
  <c r="L1101" i="2"/>
  <c r="N1101" i="2"/>
  <c r="K1102" i="2"/>
  <c r="L1102" i="2"/>
  <c r="N1102" i="2"/>
  <c r="K1103" i="2"/>
  <c r="L1103" i="2"/>
  <c r="N1103" i="2"/>
  <c r="K1104" i="2"/>
  <c r="L1104" i="2"/>
  <c r="N1104" i="2"/>
  <c r="K1105" i="2"/>
  <c r="L1105" i="2"/>
  <c r="N1105" i="2"/>
  <c r="K1106" i="2"/>
  <c r="L1106" i="2"/>
  <c r="N1106" i="2"/>
  <c r="K1107" i="2"/>
  <c r="L1107" i="2"/>
  <c r="N1107" i="2"/>
  <c r="K1108" i="2"/>
  <c r="L1108" i="2"/>
  <c r="N1108" i="2"/>
  <c r="K1109" i="2"/>
  <c r="L1109" i="2"/>
  <c r="N1109" i="2"/>
  <c r="K1110" i="2"/>
  <c r="L1110" i="2"/>
  <c r="N1110" i="2"/>
  <c r="K1111" i="2"/>
  <c r="L1111" i="2"/>
  <c r="N1111" i="2"/>
  <c r="K1112" i="2"/>
  <c r="L1112" i="2"/>
  <c r="N1112" i="2"/>
  <c r="K1113" i="2"/>
  <c r="L1113" i="2"/>
  <c r="N1113" i="2"/>
  <c r="K1114" i="2"/>
  <c r="L1114" i="2"/>
  <c r="N1114" i="2"/>
  <c r="K1115" i="2"/>
  <c r="L1115" i="2"/>
  <c r="N1115" i="2"/>
  <c r="K1116" i="2"/>
  <c r="L1116" i="2"/>
  <c r="N1116" i="2"/>
  <c r="K1117" i="2"/>
  <c r="L1117" i="2"/>
  <c r="N1117" i="2"/>
  <c r="K1118" i="2"/>
  <c r="L1118" i="2"/>
  <c r="N1118" i="2"/>
  <c r="K1119" i="2"/>
  <c r="L1119" i="2"/>
  <c r="N1119" i="2"/>
  <c r="K1120" i="2"/>
  <c r="L1120" i="2"/>
  <c r="N1120" i="2"/>
  <c r="K1121" i="2"/>
  <c r="L1121" i="2"/>
  <c r="N1121" i="2"/>
  <c r="K1122" i="2"/>
  <c r="L1122" i="2"/>
  <c r="N1122" i="2"/>
  <c r="K1123" i="2"/>
  <c r="L1123" i="2"/>
  <c r="N1123" i="2"/>
  <c r="K1124" i="2"/>
  <c r="L1124" i="2"/>
  <c r="N1124" i="2"/>
  <c r="K1125" i="2"/>
  <c r="L1125" i="2"/>
  <c r="N1125" i="2"/>
  <c r="K1126" i="2"/>
  <c r="L1126" i="2"/>
  <c r="N1126" i="2"/>
  <c r="K1127" i="2"/>
  <c r="L1127" i="2"/>
  <c r="N1127" i="2"/>
  <c r="K1128" i="2"/>
  <c r="L1128" i="2"/>
  <c r="N1128" i="2"/>
  <c r="K1129" i="2"/>
  <c r="L1129" i="2"/>
  <c r="N1129" i="2"/>
  <c r="K1130" i="2"/>
  <c r="L1130" i="2"/>
  <c r="N1130" i="2"/>
  <c r="K1131" i="2"/>
  <c r="L1131" i="2"/>
  <c r="N1131" i="2"/>
  <c r="K1132" i="2"/>
  <c r="L1132" i="2"/>
  <c r="N1132" i="2"/>
  <c r="K1133" i="2"/>
  <c r="L1133" i="2"/>
  <c r="N1133" i="2"/>
  <c r="K1134" i="2"/>
  <c r="L1134" i="2"/>
  <c r="N1134" i="2"/>
  <c r="K1135" i="2"/>
  <c r="L1135" i="2"/>
  <c r="N1135" i="2"/>
  <c r="K1136" i="2"/>
  <c r="L1136" i="2"/>
  <c r="N1136" i="2"/>
  <c r="K1137" i="2"/>
  <c r="L1137" i="2"/>
  <c r="N1137" i="2"/>
  <c r="K1138" i="2"/>
  <c r="L1138" i="2"/>
  <c r="N1138" i="2"/>
  <c r="K1139" i="2"/>
  <c r="L1139" i="2"/>
  <c r="N1139" i="2"/>
  <c r="K1140" i="2"/>
  <c r="L1140" i="2"/>
  <c r="N1140" i="2"/>
  <c r="K1141" i="2"/>
  <c r="L1141" i="2"/>
  <c r="N1141" i="2"/>
  <c r="K1142" i="2"/>
  <c r="L1142" i="2"/>
  <c r="N1142" i="2"/>
  <c r="K1143" i="2"/>
  <c r="L1143" i="2"/>
  <c r="N1143" i="2"/>
  <c r="K1144" i="2"/>
  <c r="L1144" i="2"/>
  <c r="N1144" i="2"/>
  <c r="K1145" i="2"/>
  <c r="L1145" i="2"/>
  <c r="N1145" i="2"/>
  <c r="K1146" i="2"/>
  <c r="L1146" i="2"/>
  <c r="N1146" i="2"/>
  <c r="K1147" i="2"/>
  <c r="L1147" i="2"/>
  <c r="N1147" i="2"/>
  <c r="K1148" i="2"/>
  <c r="L1148" i="2"/>
  <c r="N1148" i="2"/>
  <c r="K1149" i="2"/>
  <c r="L1149" i="2"/>
  <c r="N1149" i="2"/>
  <c r="K1150" i="2"/>
  <c r="L1150" i="2"/>
  <c r="N1150" i="2"/>
  <c r="K1151" i="2"/>
  <c r="L1151" i="2"/>
  <c r="N1151" i="2"/>
  <c r="K1152" i="2"/>
  <c r="L1152" i="2"/>
  <c r="N1152" i="2"/>
  <c r="K1153" i="2"/>
  <c r="L1153" i="2"/>
  <c r="N1153" i="2"/>
  <c r="K1154" i="2"/>
  <c r="L1154" i="2"/>
  <c r="N1154" i="2"/>
  <c r="K1155" i="2"/>
  <c r="L1155" i="2"/>
  <c r="N1155" i="2"/>
  <c r="K1156" i="2"/>
  <c r="L1156" i="2"/>
  <c r="N1156" i="2"/>
  <c r="K1157" i="2"/>
  <c r="L1157" i="2"/>
  <c r="N1157" i="2"/>
  <c r="K1158" i="2"/>
  <c r="L1158" i="2"/>
  <c r="N1158" i="2"/>
  <c r="K1159" i="2"/>
  <c r="L1159" i="2"/>
  <c r="N1159" i="2"/>
  <c r="K1160" i="2"/>
  <c r="L1160" i="2"/>
  <c r="N1160" i="2"/>
  <c r="K1161" i="2"/>
  <c r="L1161" i="2"/>
  <c r="N1161" i="2"/>
  <c r="K1162" i="2"/>
  <c r="L1162" i="2"/>
  <c r="N1162" i="2"/>
  <c r="K1163" i="2"/>
  <c r="L1163" i="2"/>
  <c r="N1163" i="2"/>
  <c r="K1164" i="2"/>
  <c r="L1164" i="2"/>
  <c r="N1164" i="2"/>
  <c r="K1165" i="2"/>
  <c r="L1165" i="2"/>
  <c r="N1165" i="2"/>
  <c r="K1166" i="2"/>
  <c r="L1166" i="2"/>
  <c r="N1166" i="2"/>
  <c r="K1167" i="2"/>
  <c r="L1167" i="2"/>
  <c r="N1167" i="2"/>
  <c r="K1168" i="2"/>
  <c r="L1168" i="2"/>
  <c r="N1168" i="2"/>
  <c r="K1169" i="2"/>
  <c r="L1169" i="2"/>
  <c r="N1169" i="2"/>
  <c r="K1170" i="2"/>
  <c r="L1170" i="2"/>
  <c r="N1170" i="2"/>
  <c r="K1171" i="2"/>
  <c r="L1171" i="2"/>
  <c r="N1171" i="2"/>
  <c r="K1172" i="2"/>
  <c r="L1172" i="2"/>
  <c r="N1172" i="2"/>
  <c r="K1173" i="2"/>
  <c r="L1173" i="2"/>
  <c r="N1173" i="2"/>
  <c r="K1174" i="2"/>
  <c r="L1174" i="2"/>
  <c r="N1174" i="2"/>
  <c r="K1175" i="2"/>
  <c r="L1175" i="2"/>
  <c r="N1175" i="2"/>
  <c r="K1176" i="2"/>
  <c r="L1176" i="2"/>
  <c r="N1176" i="2"/>
  <c r="K1177" i="2"/>
  <c r="L1177" i="2"/>
  <c r="N1177" i="2"/>
  <c r="K1178" i="2"/>
  <c r="L1178" i="2"/>
  <c r="N1178" i="2"/>
  <c r="K1179" i="2"/>
  <c r="L1179" i="2"/>
  <c r="N1179" i="2"/>
  <c r="K1180" i="2"/>
  <c r="L1180" i="2"/>
  <c r="N1180" i="2"/>
  <c r="K1181" i="2"/>
  <c r="L1181" i="2"/>
  <c r="N1181" i="2"/>
  <c r="K1182" i="2"/>
  <c r="L1182" i="2"/>
  <c r="N1182" i="2"/>
  <c r="K1183" i="2"/>
  <c r="L1183" i="2"/>
  <c r="N1183" i="2"/>
  <c r="K1184" i="2"/>
  <c r="L1184" i="2"/>
  <c r="N1184" i="2"/>
  <c r="K1185" i="2"/>
  <c r="L1185" i="2"/>
  <c r="N1185" i="2"/>
  <c r="K1186" i="2"/>
  <c r="L1186" i="2"/>
  <c r="N1186" i="2"/>
  <c r="K1187" i="2"/>
  <c r="L1187" i="2"/>
  <c r="N1187" i="2"/>
  <c r="K1188" i="2"/>
  <c r="L1188" i="2"/>
  <c r="N1188" i="2"/>
  <c r="K1189" i="2"/>
  <c r="L1189" i="2"/>
  <c r="N1189" i="2"/>
  <c r="K1190" i="2"/>
  <c r="L1190" i="2"/>
  <c r="N1190" i="2"/>
  <c r="K1191" i="2"/>
  <c r="L1191" i="2"/>
  <c r="N1191" i="2"/>
  <c r="K1192" i="2"/>
  <c r="L1192" i="2"/>
  <c r="N1192" i="2"/>
  <c r="K1193" i="2"/>
  <c r="N1193" i="2"/>
  <c r="K1194" i="2"/>
  <c r="L1194" i="2"/>
  <c r="N1194" i="2"/>
  <c r="K1195" i="2"/>
  <c r="L1195" i="2"/>
  <c r="N1195" i="2"/>
  <c r="K1196" i="2"/>
  <c r="L1196" i="2"/>
  <c r="N1196" i="2"/>
  <c r="K1197" i="2"/>
  <c r="L1197" i="2"/>
  <c r="N1197" i="2"/>
  <c r="K1198" i="2"/>
  <c r="L1198" i="2"/>
  <c r="N1198" i="2"/>
  <c r="K1199" i="2"/>
  <c r="L1199" i="2"/>
  <c r="N1199" i="2"/>
  <c r="K1200" i="2"/>
  <c r="L1200" i="2"/>
  <c r="N1200" i="2"/>
  <c r="K1201" i="2"/>
  <c r="L1201" i="2"/>
  <c r="N1201" i="2"/>
  <c r="K1202" i="2"/>
  <c r="L1202" i="2"/>
  <c r="N1202" i="2"/>
  <c r="K1203" i="2"/>
  <c r="L1203" i="2"/>
  <c r="N1203" i="2"/>
  <c r="K1204" i="2"/>
  <c r="L1204" i="2"/>
  <c r="N1204" i="2"/>
  <c r="K1205" i="2"/>
  <c r="L1205" i="2"/>
  <c r="N1205" i="2"/>
  <c r="K1206" i="2"/>
  <c r="L1206" i="2"/>
  <c r="N1206" i="2"/>
  <c r="K1207" i="2"/>
  <c r="L1207" i="2"/>
  <c r="N1207" i="2"/>
  <c r="K1208" i="2"/>
  <c r="L1208" i="2"/>
  <c r="N1208" i="2"/>
  <c r="K1209" i="2"/>
  <c r="L1209" i="2"/>
  <c r="N1209" i="2"/>
  <c r="K1210" i="2"/>
  <c r="L1210" i="2"/>
  <c r="N1210" i="2"/>
  <c r="K1211" i="2"/>
  <c r="L1211" i="2"/>
  <c r="N1211" i="2"/>
  <c r="K1212" i="2"/>
  <c r="L1212" i="2"/>
  <c r="N1212" i="2"/>
  <c r="K1213" i="2"/>
  <c r="L1213" i="2"/>
  <c r="N1213" i="2"/>
  <c r="K1214" i="2"/>
  <c r="L1214" i="2"/>
  <c r="N1214" i="2"/>
  <c r="K1215" i="2"/>
  <c r="L1215" i="2"/>
  <c r="N1215" i="2"/>
  <c r="K1216" i="2"/>
  <c r="L1216" i="2"/>
  <c r="N1216" i="2"/>
  <c r="K1217" i="2"/>
  <c r="L1217" i="2"/>
  <c r="N1217" i="2"/>
  <c r="K1218" i="2"/>
  <c r="L1218" i="2"/>
  <c r="N1218" i="2"/>
  <c r="K1219" i="2"/>
  <c r="L1219" i="2"/>
  <c r="N1219" i="2"/>
  <c r="K1220" i="2"/>
  <c r="L1220" i="2"/>
  <c r="N1220" i="2"/>
  <c r="K1221" i="2"/>
  <c r="L1221" i="2"/>
  <c r="N1221" i="2"/>
  <c r="K1222" i="2"/>
  <c r="L1222" i="2"/>
  <c r="N1222" i="2"/>
  <c r="K1223" i="2"/>
  <c r="L1223" i="2"/>
  <c r="N1223" i="2"/>
  <c r="K1224" i="2"/>
  <c r="L1224" i="2"/>
  <c r="N1224" i="2"/>
  <c r="K1225" i="2"/>
  <c r="L1225" i="2"/>
  <c r="N1225" i="2"/>
  <c r="K1226" i="2"/>
  <c r="L1226" i="2"/>
  <c r="N1226" i="2"/>
  <c r="K1227" i="2"/>
  <c r="L1227" i="2"/>
  <c r="N1227" i="2"/>
  <c r="K1228" i="2"/>
  <c r="L1228" i="2"/>
  <c r="N1228" i="2"/>
  <c r="K1229" i="2"/>
  <c r="L1229" i="2"/>
  <c r="N1229" i="2"/>
  <c r="K1230" i="2"/>
  <c r="L1230" i="2"/>
  <c r="N1230" i="2"/>
  <c r="K1231" i="2"/>
  <c r="L1231" i="2"/>
  <c r="N1231" i="2"/>
  <c r="K1232" i="2"/>
  <c r="L1232" i="2"/>
  <c r="N1232" i="2"/>
  <c r="K1233" i="2"/>
  <c r="L1233" i="2"/>
  <c r="N1233" i="2"/>
  <c r="K1234" i="2"/>
  <c r="L1234" i="2"/>
  <c r="N1234" i="2"/>
  <c r="K1235" i="2"/>
  <c r="L1235" i="2"/>
  <c r="N1235" i="2"/>
  <c r="K1236" i="2"/>
  <c r="L1236" i="2"/>
  <c r="N1236" i="2"/>
  <c r="K1237" i="2"/>
  <c r="L1237" i="2"/>
  <c r="N1237" i="2"/>
  <c r="K1238" i="2"/>
  <c r="L1238" i="2"/>
  <c r="N1238" i="2"/>
  <c r="K1239" i="2"/>
  <c r="L1239" i="2"/>
  <c r="N1239" i="2"/>
  <c r="K1240" i="2"/>
  <c r="L1240" i="2"/>
  <c r="N1240" i="2"/>
  <c r="K1241" i="2"/>
  <c r="L1241" i="2"/>
  <c r="N1241" i="2"/>
  <c r="K1242" i="2"/>
  <c r="L1242" i="2"/>
  <c r="N1242" i="2"/>
  <c r="K1243" i="2"/>
  <c r="L1243" i="2"/>
  <c r="N1243" i="2"/>
  <c r="K1244" i="2"/>
  <c r="L1244" i="2"/>
  <c r="N1244" i="2"/>
  <c r="K1245" i="2"/>
  <c r="L1245" i="2"/>
  <c r="N1245" i="2"/>
  <c r="K1246" i="2"/>
  <c r="L1246" i="2"/>
  <c r="N1246" i="2"/>
  <c r="K1247" i="2"/>
  <c r="L1247" i="2"/>
  <c r="N1247" i="2"/>
  <c r="K1248" i="2"/>
  <c r="L1248" i="2"/>
  <c r="N1248" i="2"/>
  <c r="K1249" i="2"/>
  <c r="L1249" i="2"/>
  <c r="N1249" i="2"/>
  <c r="K1250" i="2"/>
  <c r="L1250" i="2"/>
  <c r="N1250" i="2"/>
  <c r="K1251" i="2"/>
  <c r="L1251" i="2"/>
  <c r="N1251" i="2"/>
  <c r="K1252" i="2"/>
  <c r="L1252" i="2"/>
  <c r="N1252" i="2"/>
  <c r="K1253" i="2"/>
  <c r="L1253" i="2"/>
  <c r="N1253" i="2"/>
  <c r="K1254" i="2"/>
  <c r="L1254" i="2"/>
  <c r="N1254" i="2"/>
  <c r="K1255" i="2"/>
  <c r="L1255" i="2"/>
  <c r="N1255" i="2"/>
  <c r="K1256" i="2"/>
  <c r="L1256" i="2"/>
  <c r="N1256" i="2"/>
  <c r="K1257" i="2"/>
  <c r="L1257" i="2"/>
  <c r="N1257" i="2"/>
  <c r="K1258" i="2"/>
  <c r="L1258" i="2"/>
  <c r="N1258" i="2"/>
  <c r="K1259" i="2"/>
  <c r="L1259" i="2"/>
  <c r="N1259" i="2"/>
  <c r="K1260" i="2"/>
  <c r="L1260" i="2"/>
  <c r="N1260" i="2"/>
  <c r="K1261" i="2"/>
  <c r="L1261" i="2"/>
  <c r="N1261" i="2"/>
  <c r="K1262" i="2"/>
  <c r="L1262" i="2"/>
  <c r="N1262" i="2"/>
  <c r="K1263" i="2"/>
  <c r="L1263" i="2"/>
  <c r="N1263" i="2"/>
  <c r="K1264" i="2"/>
  <c r="L1264" i="2"/>
  <c r="N1264" i="2"/>
  <c r="K1265" i="2"/>
  <c r="L1265" i="2"/>
  <c r="N1265" i="2"/>
  <c r="K1266" i="2"/>
  <c r="L1266" i="2"/>
  <c r="N1266" i="2"/>
  <c r="K1267" i="2"/>
  <c r="L1267" i="2"/>
  <c r="N1267" i="2"/>
  <c r="K1268" i="2"/>
  <c r="L1268" i="2"/>
  <c r="N1268" i="2"/>
  <c r="K1269" i="2"/>
  <c r="L1269" i="2"/>
  <c r="N1269" i="2"/>
  <c r="K1270" i="2"/>
  <c r="L1270" i="2"/>
  <c r="N1270" i="2"/>
  <c r="K1271" i="2"/>
  <c r="L1271" i="2"/>
  <c r="N1271" i="2"/>
  <c r="K1272" i="2"/>
  <c r="L1272" i="2"/>
  <c r="N1272" i="2"/>
  <c r="K1273" i="2"/>
  <c r="L1273" i="2"/>
  <c r="N1273" i="2"/>
  <c r="K1274" i="2"/>
  <c r="L1274" i="2"/>
  <c r="N1274" i="2"/>
  <c r="K1275" i="2"/>
  <c r="L1275" i="2"/>
  <c r="N1275" i="2"/>
  <c r="K1276" i="2"/>
  <c r="L1276" i="2"/>
  <c r="N1276" i="2"/>
  <c r="K1277" i="2"/>
  <c r="L1277" i="2"/>
  <c r="N1277" i="2"/>
  <c r="K1278" i="2"/>
  <c r="L1278" i="2"/>
  <c r="N1278" i="2"/>
  <c r="K1279" i="2"/>
  <c r="L1279" i="2"/>
  <c r="N1279" i="2"/>
  <c r="K1280" i="2"/>
  <c r="L1280" i="2"/>
  <c r="N1280" i="2"/>
  <c r="K1281" i="2"/>
  <c r="L1281" i="2"/>
  <c r="N1281" i="2"/>
  <c r="K1282" i="2"/>
  <c r="L1282" i="2"/>
  <c r="N1282" i="2"/>
  <c r="K1283" i="2"/>
  <c r="L1283" i="2"/>
  <c r="N1283" i="2"/>
  <c r="K1284" i="2"/>
  <c r="L1284" i="2"/>
  <c r="N1284" i="2"/>
  <c r="K1285" i="2"/>
  <c r="L1285" i="2"/>
  <c r="N1285" i="2"/>
  <c r="K1286" i="2"/>
  <c r="L1286" i="2"/>
  <c r="N1286" i="2"/>
  <c r="K1287" i="2"/>
  <c r="L1287" i="2"/>
  <c r="N1287" i="2"/>
  <c r="K1288" i="2"/>
  <c r="L1288" i="2"/>
  <c r="N1288" i="2"/>
  <c r="K1289" i="2"/>
  <c r="L1289" i="2"/>
  <c r="N1289" i="2"/>
  <c r="K1290" i="2"/>
  <c r="L1290" i="2"/>
  <c r="N1290" i="2"/>
  <c r="K1291" i="2"/>
  <c r="L1291" i="2"/>
  <c r="N1291" i="2"/>
  <c r="K1292" i="2"/>
  <c r="L1292" i="2"/>
  <c r="N1292" i="2"/>
  <c r="K1293" i="2"/>
  <c r="L1293" i="2"/>
  <c r="N1293" i="2"/>
  <c r="K1294" i="2"/>
  <c r="L1294" i="2"/>
  <c r="N1294" i="2"/>
  <c r="K1295" i="2"/>
  <c r="L1295" i="2"/>
  <c r="N1295" i="2"/>
  <c r="K1296" i="2"/>
  <c r="L1296" i="2"/>
  <c r="N1296" i="2"/>
  <c r="K1297" i="2"/>
  <c r="L1297" i="2"/>
  <c r="N1297" i="2"/>
  <c r="K1298" i="2"/>
  <c r="L1298" i="2"/>
  <c r="N1298" i="2"/>
  <c r="K1299" i="2"/>
  <c r="L1299" i="2"/>
  <c r="N1299" i="2"/>
  <c r="K1300" i="2"/>
  <c r="L1300" i="2"/>
  <c r="N1300" i="2"/>
  <c r="K1301" i="2"/>
  <c r="L1301" i="2"/>
  <c r="N1301" i="2"/>
  <c r="K1302" i="2"/>
  <c r="L1302" i="2"/>
  <c r="N1302" i="2"/>
  <c r="K1303" i="2"/>
  <c r="L1303" i="2"/>
  <c r="N1303" i="2"/>
  <c r="K1304" i="2"/>
  <c r="L1304" i="2"/>
  <c r="N1304" i="2"/>
  <c r="K1305" i="2"/>
  <c r="L1305" i="2"/>
  <c r="N1305" i="2"/>
  <c r="K1306" i="2"/>
  <c r="L1306" i="2"/>
  <c r="N1306" i="2"/>
  <c r="K1307" i="2"/>
  <c r="L1307" i="2"/>
  <c r="N1307" i="2"/>
  <c r="K1308" i="2"/>
  <c r="L1308" i="2"/>
  <c r="N1308" i="2"/>
  <c r="K1309" i="2"/>
  <c r="L1309" i="2"/>
  <c r="N1309" i="2"/>
  <c r="K1310" i="2"/>
  <c r="L1310" i="2"/>
  <c r="N1310" i="2"/>
  <c r="K1311" i="2"/>
  <c r="L1311" i="2"/>
  <c r="N1311" i="2"/>
  <c r="K1312" i="2"/>
  <c r="L1312" i="2"/>
  <c r="N1312" i="2"/>
  <c r="K1313" i="2"/>
  <c r="L1313" i="2"/>
  <c r="N1313" i="2"/>
  <c r="K1314" i="2"/>
  <c r="L1314" i="2"/>
  <c r="N1314" i="2"/>
  <c r="K1315" i="2"/>
  <c r="L1315" i="2"/>
  <c r="N1315" i="2"/>
  <c r="K1316" i="2"/>
  <c r="L1316" i="2"/>
  <c r="N1316" i="2"/>
  <c r="K1317" i="2"/>
  <c r="L1317" i="2"/>
  <c r="N1317" i="2"/>
  <c r="K1318" i="2"/>
  <c r="L1318" i="2"/>
  <c r="N1318" i="2"/>
  <c r="K1319" i="2"/>
  <c r="L1319" i="2"/>
  <c r="N1319" i="2"/>
  <c r="K1320" i="2"/>
  <c r="L1320" i="2"/>
  <c r="N1320" i="2"/>
  <c r="K1321" i="2"/>
  <c r="L1321" i="2"/>
  <c r="N1321" i="2"/>
  <c r="K1322" i="2"/>
  <c r="L1322" i="2"/>
  <c r="N1322" i="2"/>
  <c r="K1323" i="2"/>
  <c r="L1323" i="2"/>
  <c r="N1323" i="2"/>
  <c r="K1324" i="2"/>
  <c r="L1324" i="2"/>
  <c r="N1324" i="2"/>
  <c r="K1325" i="2"/>
  <c r="L1325" i="2"/>
  <c r="N1325" i="2"/>
  <c r="K1326" i="2"/>
  <c r="L1326" i="2"/>
  <c r="N1326" i="2"/>
  <c r="K1327" i="2"/>
  <c r="L1327" i="2"/>
  <c r="N1327" i="2"/>
  <c r="K1328" i="2"/>
  <c r="L1328" i="2"/>
  <c r="N1328" i="2"/>
  <c r="K1329" i="2"/>
  <c r="L1329" i="2"/>
  <c r="N1329" i="2"/>
  <c r="K1330" i="2"/>
  <c r="L1330" i="2"/>
  <c r="N1330" i="2"/>
  <c r="K1331" i="2"/>
  <c r="L1331" i="2"/>
  <c r="N1331" i="2"/>
  <c r="K1332" i="2"/>
  <c r="L1332" i="2"/>
  <c r="N1332" i="2"/>
  <c r="K1333" i="2"/>
  <c r="L1333" i="2"/>
  <c r="N1333" i="2"/>
  <c r="K1334" i="2"/>
  <c r="L1334" i="2"/>
  <c r="N1334" i="2"/>
  <c r="K1335" i="2"/>
  <c r="L1335" i="2"/>
  <c r="N1335" i="2"/>
  <c r="K1336" i="2"/>
  <c r="L1336" i="2"/>
  <c r="N1336" i="2"/>
  <c r="K1337" i="2"/>
  <c r="L1337" i="2"/>
  <c r="N1337" i="2"/>
  <c r="K1338" i="2"/>
  <c r="L1338" i="2"/>
  <c r="N1338" i="2"/>
  <c r="K1339" i="2"/>
  <c r="L1339" i="2"/>
  <c r="N1339" i="2"/>
  <c r="K1340" i="2"/>
  <c r="L1340" i="2"/>
  <c r="N1340" i="2"/>
  <c r="K1341" i="2"/>
  <c r="L1341" i="2"/>
  <c r="N1341" i="2"/>
  <c r="K1342" i="2"/>
  <c r="L1342" i="2"/>
  <c r="N1342" i="2"/>
  <c r="K1343" i="2"/>
  <c r="L1343" i="2"/>
  <c r="N1343" i="2"/>
  <c r="K1344" i="2"/>
  <c r="L1344" i="2"/>
  <c r="N1344" i="2"/>
  <c r="K1345" i="2"/>
  <c r="L1345" i="2"/>
  <c r="N1345" i="2"/>
  <c r="K1346" i="2"/>
  <c r="L1346" i="2"/>
  <c r="N1346" i="2"/>
  <c r="K1347" i="2"/>
  <c r="L1347" i="2"/>
  <c r="N1347" i="2"/>
  <c r="K1348" i="2"/>
  <c r="L1348" i="2"/>
  <c r="N1348" i="2"/>
  <c r="K1349" i="2"/>
  <c r="L1349" i="2"/>
  <c r="N1349" i="2"/>
  <c r="K1350" i="2"/>
  <c r="L1350" i="2"/>
  <c r="N1350" i="2"/>
  <c r="K1351" i="2"/>
  <c r="L1351" i="2"/>
  <c r="N1351" i="2"/>
  <c r="K1352" i="2"/>
  <c r="L1352" i="2"/>
  <c r="N1352" i="2"/>
  <c r="K1353" i="2"/>
  <c r="L1353" i="2"/>
  <c r="N1353" i="2"/>
  <c r="K1354" i="2"/>
  <c r="L1354" i="2"/>
  <c r="N1354" i="2"/>
  <c r="K1355" i="2"/>
  <c r="L1355" i="2"/>
  <c r="N1355" i="2"/>
  <c r="K1356" i="2"/>
  <c r="L1356" i="2"/>
  <c r="N1356" i="2"/>
  <c r="K1357" i="2"/>
  <c r="L1357" i="2"/>
  <c r="N1357" i="2"/>
  <c r="K1358" i="2"/>
  <c r="L1358" i="2"/>
  <c r="N1358" i="2"/>
  <c r="K1359" i="2"/>
  <c r="L1359" i="2"/>
  <c r="N1359" i="2"/>
  <c r="K1360" i="2"/>
  <c r="L1360" i="2"/>
  <c r="N1360" i="2"/>
  <c r="K1361" i="2"/>
  <c r="L1361" i="2"/>
  <c r="N1361" i="2"/>
  <c r="K1362" i="2"/>
  <c r="L1362" i="2"/>
  <c r="N1362" i="2"/>
  <c r="K1363" i="2"/>
  <c r="L1363" i="2"/>
  <c r="N1363" i="2"/>
  <c r="K1364" i="2"/>
  <c r="L1364" i="2"/>
  <c r="N1364" i="2"/>
  <c r="K1365" i="2"/>
  <c r="L1365" i="2"/>
  <c r="N1365" i="2"/>
  <c r="K1366" i="2"/>
  <c r="L1366" i="2"/>
  <c r="N1366" i="2"/>
  <c r="K1367" i="2"/>
  <c r="L1367" i="2"/>
  <c r="N1367" i="2"/>
  <c r="K1368" i="2"/>
  <c r="L1368" i="2"/>
  <c r="N1368" i="2"/>
  <c r="K1369" i="2"/>
  <c r="L1369" i="2"/>
  <c r="N1369" i="2"/>
  <c r="K1370" i="2"/>
  <c r="L1370" i="2"/>
  <c r="N1370" i="2"/>
  <c r="K1371" i="2"/>
  <c r="L1371" i="2"/>
  <c r="N1371" i="2"/>
  <c r="K1372" i="2"/>
  <c r="L1372" i="2"/>
  <c r="N1372" i="2"/>
  <c r="K1373" i="2"/>
  <c r="L1373" i="2"/>
  <c r="N1373" i="2"/>
  <c r="K1374" i="2"/>
  <c r="L1374" i="2"/>
  <c r="N1374" i="2"/>
  <c r="K1375" i="2"/>
  <c r="L1375" i="2"/>
  <c r="N1375" i="2"/>
  <c r="K1376" i="2"/>
  <c r="L1376" i="2"/>
  <c r="N1376" i="2"/>
  <c r="K1377" i="2"/>
  <c r="L1377" i="2"/>
  <c r="N1377" i="2"/>
  <c r="K1378" i="2"/>
  <c r="L1378" i="2"/>
  <c r="N1378" i="2"/>
  <c r="K1379" i="2"/>
  <c r="L1379" i="2"/>
  <c r="N1379" i="2"/>
  <c r="K1380" i="2"/>
  <c r="L1380" i="2"/>
  <c r="N1380" i="2"/>
  <c r="K1381" i="2"/>
  <c r="L1381" i="2"/>
  <c r="N1381" i="2"/>
  <c r="K1382" i="2"/>
  <c r="L1382" i="2"/>
  <c r="N1382" i="2"/>
  <c r="K1383" i="2"/>
  <c r="L1383" i="2"/>
  <c r="N1383" i="2"/>
  <c r="K1384" i="2"/>
  <c r="L1384" i="2"/>
  <c r="N1384" i="2"/>
  <c r="K1385" i="2"/>
  <c r="L1385" i="2"/>
  <c r="N1385" i="2"/>
  <c r="K1386" i="2"/>
  <c r="L1386" i="2"/>
  <c r="N1386" i="2"/>
  <c r="K1387" i="2"/>
  <c r="L1387" i="2"/>
  <c r="N1387" i="2"/>
  <c r="K1388" i="2"/>
  <c r="L1388" i="2"/>
  <c r="N1388" i="2"/>
  <c r="K1389" i="2"/>
  <c r="L1389" i="2"/>
  <c r="N1389" i="2"/>
  <c r="K1390" i="2"/>
  <c r="L1390" i="2"/>
  <c r="N1390" i="2"/>
  <c r="K1391" i="2"/>
  <c r="L1391" i="2"/>
  <c r="N1391" i="2"/>
  <c r="K1392" i="2"/>
  <c r="L1392" i="2"/>
  <c r="N1392" i="2"/>
  <c r="K1393" i="2"/>
  <c r="L1393" i="2"/>
  <c r="N1393" i="2"/>
  <c r="K1394" i="2"/>
  <c r="L1394" i="2"/>
  <c r="N1394" i="2"/>
  <c r="K1395" i="2"/>
  <c r="L1395" i="2"/>
  <c r="N1395" i="2"/>
  <c r="K1396" i="2"/>
  <c r="L1396" i="2"/>
  <c r="N1396" i="2"/>
  <c r="K1397" i="2"/>
  <c r="L1397" i="2"/>
  <c r="N1397" i="2"/>
  <c r="K1398" i="2"/>
  <c r="L1398" i="2"/>
  <c r="N1398" i="2"/>
  <c r="K1399" i="2"/>
  <c r="L1399" i="2"/>
  <c r="N1399" i="2"/>
  <c r="K1400" i="2"/>
  <c r="L1400" i="2"/>
  <c r="N1400" i="2"/>
  <c r="K1401" i="2"/>
  <c r="L1401" i="2"/>
  <c r="N1401" i="2"/>
  <c r="K1402" i="2"/>
  <c r="L1402" i="2"/>
  <c r="N1402" i="2"/>
  <c r="K1403" i="2"/>
  <c r="L1403" i="2"/>
  <c r="N1403" i="2"/>
  <c r="K1404" i="2"/>
  <c r="L1404" i="2"/>
  <c r="N1404" i="2"/>
  <c r="K1405" i="2"/>
  <c r="L1405" i="2"/>
  <c r="N1405" i="2"/>
  <c r="K1406" i="2"/>
  <c r="L1406" i="2"/>
  <c r="N1406" i="2"/>
  <c r="K1407" i="2"/>
  <c r="L1407" i="2"/>
  <c r="N1407" i="2"/>
  <c r="K1408" i="2"/>
  <c r="L1408" i="2"/>
  <c r="N1408" i="2"/>
  <c r="K1409" i="2"/>
  <c r="L1409" i="2"/>
  <c r="N1409" i="2"/>
  <c r="K1410" i="2"/>
  <c r="L1410" i="2"/>
  <c r="N1410" i="2"/>
  <c r="K1411" i="2"/>
  <c r="L1411" i="2"/>
  <c r="N1411" i="2"/>
  <c r="K1412" i="2"/>
  <c r="L1412" i="2"/>
  <c r="N1412" i="2"/>
  <c r="K1413" i="2"/>
  <c r="L1413" i="2"/>
  <c r="N1413" i="2"/>
  <c r="K1414" i="2"/>
  <c r="L1414" i="2"/>
  <c r="N1414" i="2"/>
  <c r="K1415" i="2"/>
  <c r="L1415" i="2"/>
  <c r="N1415" i="2"/>
  <c r="K1416" i="2"/>
  <c r="L1416" i="2"/>
  <c r="N1416" i="2"/>
  <c r="K1417" i="2"/>
  <c r="L1417" i="2"/>
  <c r="N1417" i="2"/>
  <c r="K1418" i="2"/>
  <c r="L1418" i="2"/>
  <c r="N1418" i="2"/>
  <c r="K1419" i="2"/>
  <c r="L1419" i="2"/>
  <c r="N1419" i="2"/>
  <c r="K1420" i="2"/>
  <c r="L1420" i="2"/>
  <c r="N1420" i="2"/>
  <c r="K1421" i="2"/>
  <c r="L1421" i="2"/>
  <c r="N1421" i="2"/>
  <c r="K1422" i="2"/>
  <c r="L1422" i="2"/>
  <c r="N1422" i="2"/>
  <c r="K1423" i="2"/>
  <c r="L1423" i="2"/>
  <c r="N1423" i="2"/>
  <c r="K1424" i="2"/>
  <c r="L1424" i="2"/>
  <c r="N1424" i="2"/>
  <c r="K1425" i="2"/>
  <c r="L1425" i="2"/>
  <c r="N1425" i="2"/>
  <c r="K1426" i="2"/>
  <c r="L1426" i="2"/>
  <c r="N1426" i="2"/>
  <c r="K1427" i="2"/>
  <c r="L1427" i="2"/>
  <c r="N1427" i="2"/>
  <c r="K1428" i="2"/>
  <c r="L1428" i="2"/>
  <c r="N1428" i="2"/>
  <c r="K1429" i="2"/>
  <c r="L1429" i="2"/>
  <c r="N1429" i="2"/>
  <c r="K1430" i="2"/>
  <c r="L1430" i="2"/>
  <c r="N1430" i="2"/>
  <c r="K1431" i="2"/>
  <c r="L1431" i="2"/>
  <c r="N1431" i="2"/>
  <c r="K1432" i="2"/>
  <c r="L1432" i="2"/>
  <c r="N1432" i="2"/>
  <c r="K1433" i="2"/>
  <c r="L1433" i="2"/>
  <c r="N1433" i="2"/>
  <c r="K1434" i="2"/>
  <c r="L1434" i="2"/>
  <c r="N1434" i="2"/>
  <c r="K1435" i="2"/>
  <c r="L1435" i="2"/>
  <c r="N1435" i="2"/>
  <c r="K1436" i="2"/>
  <c r="L1436" i="2"/>
  <c r="N1436" i="2"/>
  <c r="K1437" i="2"/>
  <c r="L1437" i="2"/>
  <c r="N1437" i="2"/>
  <c r="K1438" i="2"/>
  <c r="L1438" i="2"/>
  <c r="N1438" i="2"/>
  <c r="K1439" i="2"/>
  <c r="L1439" i="2"/>
  <c r="N1439" i="2"/>
  <c r="K1440" i="2"/>
  <c r="L1440" i="2"/>
  <c r="N1440" i="2"/>
  <c r="K1441" i="2"/>
  <c r="L1441" i="2"/>
  <c r="N1441" i="2"/>
  <c r="K1442" i="2"/>
  <c r="L1442" i="2"/>
  <c r="N1442" i="2"/>
  <c r="K1443" i="2"/>
  <c r="L1443" i="2"/>
  <c r="N1443" i="2"/>
  <c r="K1444" i="2"/>
  <c r="L1444" i="2"/>
  <c r="N1444" i="2"/>
  <c r="K1445" i="2"/>
  <c r="L1445" i="2"/>
  <c r="N1445" i="2"/>
  <c r="K1446" i="2"/>
  <c r="L1446" i="2"/>
  <c r="N1446" i="2"/>
  <c r="K1447" i="2"/>
  <c r="L1447" i="2"/>
  <c r="N1447" i="2"/>
  <c r="K1448" i="2"/>
  <c r="L1448" i="2"/>
  <c r="N1448" i="2"/>
  <c r="K1449" i="2"/>
  <c r="L1449" i="2"/>
  <c r="N1449" i="2"/>
  <c r="K1450" i="2"/>
  <c r="L1450" i="2"/>
  <c r="N1450" i="2"/>
  <c r="K1451" i="2"/>
  <c r="L1451" i="2"/>
  <c r="N1451" i="2"/>
  <c r="K1452" i="2"/>
  <c r="L1452" i="2"/>
  <c r="N1452" i="2"/>
  <c r="K1453" i="2"/>
  <c r="L1453" i="2"/>
  <c r="N1453" i="2"/>
  <c r="K1454" i="2"/>
  <c r="L1454" i="2"/>
  <c r="N1454" i="2"/>
  <c r="K1455" i="2"/>
  <c r="L1455" i="2"/>
  <c r="N1455" i="2"/>
  <c r="K1456" i="2"/>
  <c r="L1456" i="2"/>
  <c r="N1456" i="2"/>
  <c r="K1457" i="2"/>
  <c r="L1457" i="2"/>
  <c r="N1457" i="2"/>
  <c r="K1458" i="2"/>
  <c r="L1458" i="2"/>
  <c r="N1458" i="2"/>
  <c r="K1459" i="2"/>
  <c r="L1459" i="2"/>
  <c r="N1459" i="2"/>
  <c r="K1460" i="2"/>
  <c r="L1460" i="2"/>
  <c r="N1460" i="2"/>
  <c r="K1461" i="2"/>
  <c r="L1461" i="2"/>
  <c r="N1461" i="2"/>
  <c r="K1462" i="2"/>
  <c r="L1462" i="2"/>
  <c r="N1462" i="2"/>
  <c r="K1463" i="2"/>
  <c r="L1463" i="2"/>
  <c r="N1463" i="2"/>
  <c r="K1464" i="2"/>
  <c r="L1464" i="2"/>
  <c r="N1464" i="2"/>
  <c r="K1465" i="2"/>
  <c r="L1465" i="2"/>
  <c r="N1465" i="2"/>
  <c r="K1466" i="2"/>
  <c r="L1466" i="2"/>
  <c r="N1466" i="2"/>
  <c r="K1467" i="2"/>
  <c r="L1467" i="2"/>
  <c r="N1467" i="2"/>
  <c r="K1468" i="2"/>
  <c r="L1468" i="2"/>
  <c r="N1468" i="2"/>
  <c r="K1469" i="2"/>
  <c r="L1469" i="2"/>
  <c r="N1469" i="2"/>
  <c r="K1470" i="2"/>
  <c r="L1470" i="2"/>
  <c r="N1470" i="2"/>
  <c r="K1471" i="2"/>
  <c r="L1471" i="2"/>
  <c r="N1471" i="2"/>
  <c r="K1472" i="2"/>
  <c r="L1472" i="2"/>
  <c r="N1472" i="2"/>
  <c r="K1473" i="2"/>
  <c r="L1473" i="2"/>
  <c r="N1473" i="2"/>
  <c r="K1474" i="2"/>
  <c r="L1474" i="2"/>
  <c r="N1474" i="2"/>
  <c r="K1475" i="2"/>
  <c r="L1475" i="2"/>
  <c r="N1475" i="2"/>
  <c r="K1476" i="2"/>
  <c r="L1476" i="2"/>
  <c r="N1476" i="2"/>
  <c r="K1477" i="2"/>
  <c r="L1477" i="2"/>
  <c r="N1477" i="2"/>
  <c r="K1478" i="2"/>
  <c r="L1478" i="2"/>
  <c r="N1478" i="2"/>
  <c r="K1479" i="2"/>
  <c r="L1479" i="2"/>
  <c r="N1479" i="2"/>
  <c r="K1480" i="2"/>
  <c r="L1480" i="2"/>
  <c r="N1480" i="2"/>
  <c r="K1481" i="2"/>
  <c r="L1481" i="2"/>
  <c r="N1481" i="2"/>
  <c r="K1482" i="2"/>
  <c r="L1482" i="2"/>
  <c r="N1482" i="2"/>
  <c r="K1483" i="2"/>
  <c r="L1483" i="2"/>
  <c r="N1483" i="2"/>
  <c r="K1484" i="2"/>
  <c r="L1484" i="2"/>
  <c r="N1484" i="2"/>
  <c r="K1485" i="2"/>
  <c r="L1485" i="2"/>
  <c r="N1485" i="2"/>
  <c r="K1486" i="2"/>
  <c r="L1486" i="2"/>
  <c r="N1486" i="2"/>
  <c r="K1487" i="2"/>
  <c r="L1487" i="2"/>
  <c r="N1487" i="2"/>
  <c r="K1488" i="2"/>
  <c r="L1488" i="2"/>
  <c r="N1488" i="2"/>
  <c r="K1489" i="2"/>
  <c r="L1489" i="2"/>
  <c r="N1489" i="2"/>
  <c r="K1490" i="2"/>
  <c r="L1490" i="2"/>
  <c r="N1490" i="2"/>
  <c r="K1491" i="2"/>
  <c r="L1491" i="2"/>
  <c r="N1491" i="2"/>
  <c r="K1492" i="2"/>
  <c r="L1492" i="2"/>
  <c r="N1492" i="2"/>
  <c r="K1493" i="2"/>
  <c r="L1493" i="2"/>
  <c r="N1493" i="2"/>
  <c r="K1494" i="2"/>
  <c r="L1494" i="2"/>
  <c r="N1494" i="2"/>
  <c r="K1495" i="2"/>
  <c r="L1495" i="2"/>
  <c r="N1495" i="2"/>
  <c r="K1496" i="2"/>
  <c r="L1496" i="2"/>
  <c r="N1496" i="2"/>
  <c r="K1497" i="2"/>
  <c r="L1497" i="2"/>
  <c r="N1497" i="2"/>
  <c r="K1498" i="2"/>
  <c r="L1498" i="2"/>
  <c r="N1498" i="2"/>
  <c r="K1499" i="2"/>
  <c r="L1499" i="2"/>
  <c r="N1499" i="2"/>
  <c r="K1500" i="2"/>
  <c r="L1500" i="2"/>
  <c r="N1500" i="2"/>
  <c r="K1501" i="2"/>
  <c r="L1501" i="2"/>
  <c r="N1501" i="2"/>
  <c r="K500" i="2"/>
  <c r="L500" i="2"/>
  <c r="N500" i="2"/>
  <c r="K501" i="2"/>
  <c r="L501" i="2"/>
  <c r="N501" i="2"/>
  <c r="K502" i="2"/>
  <c r="L502" i="2"/>
  <c r="N502" i="2"/>
  <c r="K503" i="2"/>
  <c r="L503" i="2"/>
  <c r="N503" i="2"/>
  <c r="K504" i="2"/>
  <c r="L504" i="2"/>
  <c r="N504" i="2"/>
  <c r="K505" i="2"/>
  <c r="L505" i="2"/>
  <c r="N505" i="2"/>
  <c r="K506" i="2"/>
  <c r="L506" i="2"/>
  <c r="N506" i="2"/>
  <c r="K507" i="2"/>
  <c r="L507" i="2"/>
  <c r="N507" i="2"/>
  <c r="K508" i="2"/>
  <c r="L508" i="2"/>
  <c r="N508" i="2"/>
  <c r="K509" i="2"/>
  <c r="L509" i="2"/>
  <c r="N509" i="2"/>
  <c r="K510" i="2"/>
  <c r="L510" i="2"/>
  <c r="N510" i="2"/>
  <c r="K511" i="2"/>
  <c r="L511" i="2"/>
  <c r="N511" i="2"/>
  <c r="K512" i="2"/>
  <c r="L512" i="2"/>
  <c r="N512" i="2"/>
  <c r="K513" i="2"/>
  <c r="L513" i="2"/>
  <c r="N513" i="2"/>
  <c r="K514" i="2"/>
  <c r="L514" i="2"/>
  <c r="N514" i="2"/>
  <c r="K515" i="2"/>
  <c r="L515" i="2"/>
  <c r="N515" i="2"/>
  <c r="K516" i="2"/>
  <c r="L516" i="2"/>
  <c r="N516" i="2"/>
  <c r="K517" i="2"/>
  <c r="L517" i="2"/>
  <c r="N517" i="2"/>
  <c r="K518" i="2"/>
  <c r="L518" i="2"/>
  <c r="N518" i="2"/>
  <c r="K519" i="2"/>
  <c r="L519" i="2"/>
  <c r="N519" i="2"/>
  <c r="K520" i="2"/>
  <c r="L520" i="2"/>
  <c r="N520" i="2"/>
  <c r="K521" i="2"/>
  <c r="L521" i="2"/>
  <c r="N521" i="2"/>
  <c r="K522" i="2"/>
  <c r="L522" i="2"/>
  <c r="N522" i="2"/>
  <c r="K523" i="2"/>
  <c r="L523" i="2"/>
  <c r="N523" i="2"/>
  <c r="K524" i="2"/>
  <c r="L524" i="2"/>
  <c r="N524" i="2"/>
  <c r="K525" i="2"/>
  <c r="L525" i="2"/>
  <c r="N525" i="2"/>
  <c r="K526" i="2"/>
  <c r="L526" i="2"/>
  <c r="N526" i="2"/>
  <c r="K527" i="2"/>
  <c r="L527" i="2"/>
  <c r="N527" i="2"/>
  <c r="K528" i="2"/>
  <c r="L528" i="2"/>
  <c r="N528" i="2"/>
  <c r="K529" i="2"/>
  <c r="L529" i="2"/>
  <c r="N529" i="2"/>
  <c r="K530" i="2"/>
  <c r="L530" i="2"/>
  <c r="N530" i="2"/>
  <c r="K531" i="2"/>
  <c r="L531" i="2"/>
  <c r="N531" i="2"/>
  <c r="K532" i="2"/>
  <c r="L532" i="2"/>
  <c r="N532" i="2"/>
  <c r="K533" i="2"/>
  <c r="L533" i="2"/>
  <c r="N533" i="2"/>
  <c r="K534" i="2"/>
  <c r="L534" i="2"/>
  <c r="N534" i="2"/>
  <c r="K535" i="2"/>
  <c r="L535" i="2"/>
  <c r="N535" i="2"/>
  <c r="K536" i="2"/>
  <c r="L536" i="2"/>
  <c r="N536" i="2"/>
  <c r="K537" i="2"/>
  <c r="L537" i="2"/>
  <c r="N537" i="2"/>
  <c r="K538" i="2"/>
  <c r="L538" i="2"/>
  <c r="N538" i="2"/>
  <c r="K539" i="2"/>
  <c r="L539" i="2"/>
  <c r="N539" i="2"/>
  <c r="K540" i="2"/>
  <c r="L540" i="2"/>
  <c r="N540" i="2"/>
  <c r="K541" i="2"/>
  <c r="L541" i="2"/>
  <c r="N541" i="2"/>
  <c r="K542" i="2"/>
  <c r="L542" i="2"/>
  <c r="N542" i="2"/>
  <c r="K543" i="2"/>
  <c r="L543" i="2"/>
  <c r="N543" i="2"/>
  <c r="K544" i="2"/>
  <c r="L544" i="2"/>
  <c r="N544" i="2"/>
  <c r="K545" i="2"/>
  <c r="L545" i="2"/>
  <c r="N545" i="2"/>
  <c r="K546" i="2"/>
  <c r="L546" i="2"/>
  <c r="N546" i="2"/>
  <c r="K547" i="2"/>
  <c r="L547" i="2"/>
  <c r="N547" i="2"/>
  <c r="K548" i="2"/>
  <c r="L548" i="2"/>
  <c r="N548" i="2"/>
  <c r="K549" i="2"/>
  <c r="L549" i="2"/>
  <c r="N549" i="2"/>
  <c r="K550" i="2"/>
  <c r="L550" i="2"/>
  <c r="N550" i="2"/>
  <c r="K551" i="2"/>
  <c r="L551" i="2"/>
  <c r="N551" i="2"/>
  <c r="K552" i="2"/>
  <c r="L552" i="2"/>
  <c r="N552" i="2"/>
  <c r="K553" i="2"/>
  <c r="L553" i="2"/>
  <c r="N553" i="2"/>
  <c r="K554" i="2"/>
  <c r="L554" i="2"/>
  <c r="N554" i="2"/>
  <c r="K555" i="2"/>
  <c r="L555" i="2"/>
  <c r="N555" i="2"/>
  <c r="K556" i="2"/>
  <c r="L556" i="2"/>
  <c r="N556" i="2"/>
  <c r="K557" i="2"/>
  <c r="L557" i="2"/>
  <c r="N557" i="2"/>
  <c r="K558" i="2"/>
  <c r="L558" i="2"/>
  <c r="N558" i="2"/>
  <c r="K559" i="2"/>
  <c r="L559" i="2"/>
  <c r="N559" i="2"/>
  <c r="K560" i="2"/>
  <c r="L560" i="2"/>
  <c r="N560" i="2"/>
  <c r="K561" i="2"/>
  <c r="L561" i="2"/>
  <c r="N561" i="2"/>
  <c r="K562" i="2"/>
  <c r="L562" i="2"/>
  <c r="N562" i="2"/>
  <c r="K563" i="2"/>
  <c r="L563" i="2"/>
  <c r="N563" i="2"/>
  <c r="K564" i="2"/>
  <c r="L564" i="2"/>
  <c r="N564" i="2"/>
  <c r="K565" i="2"/>
  <c r="L565" i="2"/>
  <c r="N565" i="2"/>
  <c r="K566" i="2"/>
  <c r="L566" i="2"/>
  <c r="N566" i="2"/>
  <c r="K567" i="2"/>
  <c r="L567" i="2"/>
  <c r="N567" i="2"/>
  <c r="K568" i="2"/>
  <c r="L568" i="2"/>
  <c r="N568" i="2"/>
  <c r="K569" i="2"/>
  <c r="L569" i="2"/>
  <c r="N569" i="2"/>
  <c r="K570" i="2"/>
  <c r="L570" i="2"/>
  <c r="N570" i="2"/>
  <c r="K571" i="2"/>
  <c r="L571" i="2"/>
  <c r="N571" i="2"/>
  <c r="K572" i="2"/>
  <c r="L572" i="2"/>
  <c r="N572" i="2"/>
  <c r="K573" i="2"/>
  <c r="L573" i="2"/>
  <c r="N573" i="2"/>
  <c r="K574" i="2"/>
  <c r="L574" i="2"/>
  <c r="N574" i="2"/>
  <c r="K575" i="2"/>
  <c r="L575" i="2"/>
  <c r="N575" i="2"/>
  <c r="K576" i="2"/>
  <c r="L576" i="2"/>
  <c r="N576" i="2"/>
  <c r="K577" i="2"/>
  <c r="L577" i="2"/>
  <c r="N577" i="2"/>
  <c r="K578" i="2"/>
  <c r="L578" i="2"/>
  <c r="N578" i="2"/>
  <c r="K579" i="2"/>
  <c r="L579" i="2"/>
  <c r="N579" i="2"/>
  <c r="K580" i="2"/>
  <c r="L580" i="2"/>
  <c r="N580" i="2"/>
  <c r="K581" i="2"/>
  <c r="L581" i="2"/>
  <c r="N581" i="2"/>
  <c r="K582" i="2"/>
  <c r="L582" i="2"/>
  <c r="N582" i="2"/>
  <c r="K583" i="2"/>
  <c r="L583" i="2"/>
  <c r="N583" i="2"/>
  <c r="K584" i="2"/>
  <c r="L584" i="2"/>
  <c r="N584" i="2"/>
  <c r="K585" i="2"/>
  <c r="L585" i="2"/>
  <c r="N585" i="2"/>
  <c r="K586" i="2"/>
  <c r="L586" i="2"/>
  <c r="N586" i="2"/>
  <c r="K587" i="2"/>
  <c r="L587" i="2"/>
  <c r="N587" i="2"/>
  <c r="K588" i="2"/>
  <c r="L588" i="2"/>
  <c r="N588" i="2"/>
  <c r="K589" i="2"/>
  <c r="L589" i="2"/>
  <c r="N589" i="2"/>
  <c r="K590" i="2"/>
  <c r="L590" i="2"/>
  <c r="N590" i="2"/>
  <c r="K591" i="2"/>
  <c r="L591" i="2"/>
  <c r="N591" i="2"/>
  <c r="K592" i="2"/>
  <c r="L592" i="2"/>
  <c r="N592" i="2"/>
  <c r="K593" i="2"/>
  <c r="L593" i="2"/>
  <c r="N593" i="2"/>
  <c r="K594" i="2"/>
  <c r="L594" i="2"/>
  <c r="N594" i="2"/>
  <c r="K595" i="2"/>
  <c r="L595" i="2"/>
  <c r="N595" i="2"/>
  <c r="K596" i="2"/>
  <c r="L596" i="2"/>
  <c r="N596" i="2"/>
  <c r="K597" i="2"/>
  <c r="L597" i="2"/>
  <c r="N597" i="2"/>
  <c r="K598" i="2"/>
  <c r="L598" i="2"/>
  <c r="N598" i="2"/>
  <c r="K599" i="2"/>
  <c r="L599" i="2"/>
  <c r="N599" i="2"/>
  <c r="K600" i="2"/>
  <c r="L600" i="2"/>
  <c r="N600" i="2"/>
  <c r="K601" i="2"/>
  <c r="L601" i="2"/>
  <c r="N601" i="2"/>
  <c r="K602" i="2"/>
  <c r="L602" i="2"/>
  <c r="N602" i="2"/>
  <c r="K603" i="2"/>
  <c r="L603" i="2"/>
  <c r="N603" i="2"/>
  <c r="K604" i="2"/>
  <c r="L604" i="2"/>
  <c r="N604" i="2"/>
  <c r="K605" i="2"/>
  <c r="L605" i="2"/>
  <c r="N605" i="2"/>
  <c r="K606" i="2"/>
  <c r="L606" i="2"/>
  <c r="N606" i="2"/>
  <c r="K607" i="2"/>
  <c r="L607" i="2"/>
  <c r="N607" i="2"/>
  <c r="K608" i="2"/>
  <c r="L608" i="2"/>
  <c r="N608" i="2"/>
  <c r="K609" i="2"/>
  <c r="L609" i="2"/>
  <c r="N609" i="2"/>
  <c r="K610" i="2"/>
  <c r="L610" i="2"/>
  <c r="N610" i="2"/>
  <c r="K611" i="2"/>
  <c r="L611" i="2"/>
  <c r="N611" i="2"/>
  <c r="K612" i="2"/>
  <c r="L612" i="2"/>
  <c r="N612" i="2"/>
  <c r="K613" i="2"/>
  <c r="L613" i="2"/>
  <c r="N613" i="2"/>
  <c r="K614" i="2"/>
  <c r="L614" i="2"/>
  <c r="N614" i="2"/>
  <c r="K615" i="2"/>
  <c r="L615" i="2"/>
  <c r="N615" i="2"/>
  <c r="K616" i="2"/>
  <c r="L616" i="2"/>
  <c r="N616" i="2"/>
  <c r="K617" i="2"/>
  <c r="L617" i="2"/>
  <c r="N617" i="2"/>
  <c r="K618" i="2"/>
  <c r="L618" i="2"/>
  <c r="N618" i="2"/>
  <c r="K619" i="2"/>
  <c r="L619" i="2"/>
  <c r="N619" i="2"/>
  <c r="K620" i="2"/>
  <c r="L620" i="2"/>
  <c r="N620" i="2"/>
  <c r="K621" i="2"/>
  <c r="L621" i="2"/>
  <c r="N621" i="2"/>
  <c r="K622" i="2"/>
  <c r="L622" i="2"/>
  <c r="N622" i="2"/>
  <c r="K623" i="2"/>
  <c r="L623" i="2"/>
  <c r="N623" i="2"/>
  <c r="K624" i="2"/>
  <c r="L624" i="2"/>
  <c r="N624" i="2"/>
  <c r="K625" i="2"/>
  <c r="L625" i="2"/>
  <c r="N625" i="2"/>
  <c r="K626" i="2"/>
  <c r="L626" i="2"/>
  <c r="N626" i="2"/>
  <c r="K627" i="2"/>
  <c r="L627" i="2"/>
  <c r="N627" i="2"/>
  <c r="K628" i="2"/>
  <c r="L628" i="2"/>
  <c r="N628" i="2"/>
  <c r="K629" i="2"/>
  <c r="L629" i="2"/>
  <c r="N629" i="2"/>
  <c r="K630" i="2"/>
  <c r="L630" i="2"/>
  <c r="N630" i="2"/>
  <c r="K631" i="2"/>
  <c r="L631" i="2"/>
  <c r="N631" i="2"/>
  <c r="K632" i="2"/>
  <c r="L632" i="2"/>
  <c r="N632" i="2"/>
  <c r="K633" i="2"/>
  <c r="L633" i="2"/>
  <c r="N633" i="2"/>
  <c r="K634" i="2"/>
  <c r="L634" i="2"/>
  <c r="N634" i="2"/>
  <c r="K635" i="2"/>
  <c r="L635" i="2"/>
  <c r="N635" i="2"/>
  <c r="K636" i="2"/>
  <c r="L636" i="2"/>
  <c r="N636" i="2"/>
  <c r="K637" i="2"/>
  <c r="L637" i="2"/>
  <c r="N637" i="2"/>
  <c r="K638" i="2"/>
  <c r="L638" i="2"/>
  <c r="N638" i="2"/>
  <c r="K639" i="2"/>
  <c r="L639" i="2"/>
  <c r="N639" i="2"/>
  <c r="K640" i="2"/>
  <c r="L640" i="2"/>
  <c r="N640" i="2"/>
  <c r="K641" i="2"/>
  <c r="L641" i="2"/>
  <c r="N641" i="2"/>
  <c r="K642" i="2"/>
  <c r="L642" i="2"/>
  <c r="N642" i="2"/>
  <c r="K643" i="2"/>
  <c r="L643" i="2"/>
  <c r="N643" i="2"/>
  <c r="K644" i="2"/>
  <c r="L644" i="2"/>
  <c r="N644" i="2"/>
  <c r="K645" i="2"/>
  <c r="L645" i="2"/>
  <c r="N645" i="2"/>
  <c r="K646" i="2"/>
  <c r="L646" i="2"/>
  <c r="N646" i="2"/>
  <c r="K647" i="2"/>
  <c r="L647" i="2"/>
  <c r="N647" i="2"/>
  <c r="K648" i="2"/>
  <c r="L648" i="2"/>
  <c r="N648" i="2"/>
  <c r="K649" i="2"/>
  <c r="L649" i="2"/>
  <c r="N649" i="2"/>
  <c r="K650" i="2"/>
  <c r="L650" i="2"/>
  <c r="N650" i="2"/>
  <c r="K651" i="2"/>
  <c r="L651" i="2"/>
  <c r="N651" i="2"/>
  <c r="K652" i="2"/>
  <c r="L652" i="2"/>
  <c r="N652" i="2"/>
  <c r="K653" i="2"/>
  <c r="L653" i="2"/>
  <c r="N653" i="2"/>
  <c r="K654" i="2"/>
  <c r="L654" i="2"/>
  <c r="N654" i="2"/>
  <c r="K655" i="2"/>
  <c r="L655" i="2"/>
  <c r="N655" i="2"/>
  <c r="K656" i="2"/>
  <c r="L656" i="2"/>
  <c r="N656" i="2"/>
  <c r="K657" i="2"/>
  <c r="L657" i="2"/>
  <c r="N657" i="2"/>
  <c r="K658" i="2"/>
  <c r="L658" i="2"/>
  <c r="N658" i="2"/>
  <c r="K659" i="2"/>
  <c r="L659" i="2"/>
  <c r="N659" i="2"/>
  <c r="K660" i="2"/>
  <c r="L660" i="2"/>
  <c r="N660" i="2"/>
  <c r="K661" i="2"/>
  <c r="L661" i="2"/>
  <c r="N661" i="2"/>
  <c r="K662" i="2"/>
  <c r="L662" i="2"/>
  <c r="N662" i="2"/>
  <c r="K663" i="2"/>
  <c r="L663" i="2"/>
  <c r="N663" i="2"/>
  <c r="K664" i="2"/>
  <c r="L664" i="2"/>
  <c r="N664" i="2"/>
  <c r="K665" i="2"/>
  <c r="L665" i="2"/>
  <c r="N665" i="2"/>
  <c r="K666" i="2"/>
  <c r="L666" i="2"/>
  <c r="N666" i="2"/>
  <c r="K667" i="2"/>
  <c r="L667" i="2"/>
  <c r="N667" i="2"/>
  <c r="K668" i="2"/>
  <c r="L668" i="2"/>
  <c r="N668" i="2"/>
  <c r="K669" i="2"/>
  <c r="L669" i="2"/>
  <c r="N669" i="2"/>
  <c r="K670" i="2"/>
  <c r="L670" i="2"/>
  <c r="N670" i="2"/>
  <c r="K671" i="2"/>
  <c r="L671" i="2"/>
  <c r="N671" i="2"/>
  <c r="K672" i="2"/>
  <c r="L672" i="2"/>
  <c r="N672" i="2"/>
  <c r="K673" i="2"/>
  <c r="L673" i="2"/>
  <c r="N673" i="2"/>
  <c r="K674" i="2"/>
  <c r="L674" i="2"/>
  <c r="N674" i="2"/>
  <c r="K675" i="2"/>
  <c r="L675" i="2"/>
  <c r="N675" i="2"/>
  <c r="K676" i="2"/>
  <c r="L676" i="2"/>
  <c r="N676" i="2"/>
  <c r="K677" i="2"/>
  <c r="L677" i="2"/>
  <c r="N677" i="2"/>
  <c r="K678" i="2"/>
  <c r="L678" i="2"/>
  <c r="N678" i="2"/>
  <c r="K679" i="2"/>
  <c r="L679" i="2"/>
  <c r="N679" i="2"/>
  <c r="K680" i="2"/>
  <c r="L680" i="2"/>
  <c r="N680" i="2"/>
  <c r="K681" i="2"/>
  <c r="L681" i="2"/>
  <c r="N681" i="2"/>
  <c r="K682" i="2"/>
  <c r="L682" i="2"/>
  <c r="N682" i="2"/>
  <c r="K683" i="2"/>
  <c r="L683" i="2"/>
  <c r="N683" i="2"/>
  <c r="K684" i="2"/>
  <c r="L684" i="2"/>
  <c r="N684" i="2"/>
  <c r="K685" i="2"/>
  <c r="L685" i="2"/>
  <c r="N685" i="2"/>
  <c r="K686" i="2"/>
  <c r="L686" i="2"/>
  <c r="N686" i="2"/>
  <c r="K687" i="2"/>
  <c r="L687" i="2"/>
  <c r="N687" i="2"/>
  <c r="K688" i="2"/>
  <c r="L688" i="2"/>
  <c r="N688" i="2"/>
  <c r="K689" i="2"/>
  <c r="L689" i="2"/>
  <c r="N689" i="2"/>
  <c r="K690" i="2"/>
  <c r="L690" i="2"/>
  <c r="N690" i="2"/>
  <c r="K691" i="2"/>
  <c r="L691" i="2"/>
  <c r="N691" i="2"/>
  <c r="K692" i="2"/>
  <c r="L692" i="2"/>
  <c r="N692" i="2"/>
  <c r="K693" i="2"/>
  <c r="L693" i="2"/>
  <c r="N693" i="2"/>
  <c r="K694" i="2"/>
  <c r="L694" i="2"/>
  <c r="N694" i="2"/>
  <c r="K695" i="2"/>
  <c r="L695" i="2"/>
  <c r="N695" i="2"/>
  <c r="K696" i="2"/>
  <c r="L696" i="2"/>
  <c r="N696" i="2"/>
  <c r="K697" i="2"/>
  <c r="L697" i="2"/>
  <c r="N697" i="2"/>
  <c r="K698" i="2"/>
  <c r="L698" i="2"/>
  <c r="N698" i="2"/>
  <c r="K699" i="2"/>
  <c r="L699" i="2"/>
  <c r="N699" i="2"/>
  <c r="K700" i="2"/>
  <c r="L700" i="2"/>
  <c r="N700" i="2"/>
  <c r="K701" i="2"/>
  <c r="L701" i="2"/>
  <c r="N701" i="2"/>
  <c r="K702" i="2"/>
  <c r="L702" i="2"/>
  <c r="N702" i="2"/>
  <c r="K703" i="2"/>
  <c r="L703" i="2"/>
  <c r="N703" i="2"/>
  <c r="K704" i="2"/>
  <c r="L704" i="2"/>
  <c r="N704" i="2"/>
  <c r="K705" i="2"/>
  <c r="L705" i="2"/>
  <c r="N705" i="2"/>
  <c r="K706" i="2"/>
  <c r="L706" i="2"/>
  <c r="N706" i="2"/>
  <c r="K707" i="2"/>
  <c r="L707" i="2"/>
  <c r="N707" i="2"/>
  <c r="K708" i="2"/>
  <c r="L708" i="2"/>
  <c r="N708" i="2"/>
  <c r="K709" i="2"/>
  <c r="L709" i="2"/>
  <c r="N709" i="2"/>
  <c r="K710" i="2"/>
  <c r="L710" i="2"/>
  <c r="N710" i="2"/>
  <c r="K711" i="2"/>
  <c r="L711" i="2"/>
  <c r="N711" i="2"/>
  <c r="K712" i="2"/>
  <c r="L712" i="2"/>
  <c r="N712" i="2"/>
  <c r="K713" i="2"/>
  <c r="L713" i="2"/>
  <c r="N713" i="2"/>
  <c r="K714" i="2"/>
  <c r="L714" i="2"/>
  <c r="N714" i="2"/>
  <c r="K715" i="2"/>
  <c r="L715" i="2"/>
  <c r="N715" i="2"/>
  <c r="K716" i="2"/>
  <c r="L716" i="2"/>
  <c r="N716" i="2"/>
  <c r="K717" i="2"/>
  <c r="L717" i="2"/>
  <c r="N717" i="2"/>
  <c r="K718" i="2"/>
  <c r="L718" i="2"/>
  <c r="N718" i="2"/>
  <c r="K719" i="2"/>
  <c r="L719" i="2"/>
  <c r="N719" i="2"/>
  <c r="K720" i="2"/>
  <c r="L720" i="2"/>
  <c r="N720" i="2"/>
  <c r="K721" i="2"/>
  <c r="L721" i="2"/>
  <c r="N721" i="2"/>
  <c r="K722" i="2"/>
  <c r="L722" i="2"/>
  <c r="N722" i="2"/>
  <c r="K723" i="2"/>
  <c r="L723" i="2"/>
  <c r="N723" i="2"/>
  <c r="K724" i="2"/>
  <c r="L724" i="2"/>
  <c r="N724" i="2"/>
  <c r="K725" i="2"/>
  <c r="L725" i="2"/>
  <c r="N725" i="2"/>
  <c r="K726" i="2"/>
  <c r="L726" i="2"/>
  <c r="N726" i="2"/>
  <c r="K727" i="2"/>
  <c r="L727" i="2"/>
  <c r="N727" i="2"/>
  <c r="K728" i="2"/>
  <c r="L728" i="2"/>
  <c r="N728" i="2"/>
  <c r="K729" i="2"/>
  <c r="L729" i="2"/>
  <c r="N729" i="2"/>
  <c r="K730" i="2"/>
  <c r="L730" i="2"/>
  <c r="N730" i="2"/>
  <c r="K731" i="2"/>
  <c r="L731" i="2"/>
  <c r="N731" i="2"/>
  <c r="K732" i="2"/>
  <c r="L732" i="2"/>
  <c r="N732" i="2"/>
  <c r="K733" i="2"/>
  <c r="L733" i="2"/>
  <c r="N733" i="2"/>
  <c r="K734" i="2"/>
  <c r="L734" i="2"/>
  <c r="N734" i="2"/>
  <c r="K735" i="2"/>
  <c r="L735" i="2"/>
  <c r="N735" i="2"/>
  <c r="K736" i="2"/>
  <c r="L736" i="2"/>
  <c r="N736" i="2"/>
  <c r="K737" i="2"/>
  <c r="L737" i="2"/>
  <c r="N737" i="2"/>
  <c r="K738" i="2"/>
  <c r="L738" i="2"/>
  <c r="N738" i="2"/>
  <c r="K739" i="2"/>
  <c r="L739" i="2"/>
  <c r="N739" i="2"/>
  <c r="K740" i="2"/>
  <c r="L740" i="2"/>
  <c r="N740" i="2"/>
  <c r="K741" i="2"/>
  <c r="L741" i="2"/>
  <c r="N741" i="2"/>
  <c r="K742" i="2"/>
  <c r="N742" i="2"/>
  <c r="K743" i="2"/>
  <c r="L743" i="2"/>
  <c r="N743" i="2"/>
  <c r="K744" i="2"/>
  <c r="L744" i="2"/>
  <c r="N744" i="2"/>
  <c r="K745" i="2"/>
  <c r="L745" i="2"/>
  <c r="N745" i="2"/>
  <c r="K746" i="2"/>
  <c r="L746" i="2"/>
  <c r="N746" i="2"/>
  <c r="K747" i="2"/>
  <c r="L747" i="2"/>
  <c r="N747" i="2"/>
  <c r="K748" i="2"/>
  <c r="L748" i="2"/>
  <c r="N748" i="2"/>
  <c r="K749" i="2"/>
  <c r="L749" i="2"/>
  <c r="N749" i="2"/>
  <c r="K750" i="2"/>
  <c r="L750" i="2"/>
  <c r="N750" i="2"/>
  <c r="K751" i="2"/>
  <c r="L751" i="2"/>
  <c r="N751" i="2"/>
  <c r="K752" i="2"/>
  <c r="L752" i="2"/>
  <c r="N752" i="2"/>
  <c r="K753" i="2"/>
  <c r="L753" i="2"/>
  <c r="N753" i="2"/>
  <c r="K754" i="2"/>
  <c r="L754" i="2"/>
  <c r="N754" i="2"/>
  <c r="K755" i="2"/>
  <c r="L755" i="2"/>
  <c r="N755" i="2"/>
  <c r="K756" i="2"/>
  <c r="L756" i="2"/>
  <c r="N756" i="2"/>
  <c r="K757" i="2"/>
  <c r="L757" i="2"/>
  <c r="N757" i="2"/>
  <c r="K758" i="2"/>
  <c r="L758" i="2"/>
  <c r="N758" i="2"/>
  <c r="K759" i="2"/>
  <c r="L759" i="2"/>
  <c r="N759" i="2"/>
  <c r="K760" i="2"/>
  <c r="L760" i="2"/>
  <c r="N760" i="2"/>
  <c r="K761" i="2"/>
  <c r="L761" i="2"/>
  <c r="N761" i="2"/>
  <c r="K762" i="2"/>
  <c r="L762" i="2"/>
  <c r="N762" i="2"/>
  <c r="K763" i="2"/>
  <c r="L763" i="2"/>
  <c r="N763" i="2"/>
  <c r="K764" i="2"/>
  <c r="L764" i="2"/>
  <c r="N764" i="2"/>
  <c r="K765" i="2"/>
  <c r="L765" i="2"/>
  <c r="N765" i="2"/>
  <c r="K766" i="2"/>
  <c r="L766" i="2"/>
  <c r="N766" i="2"/>
  <c r="K767" i="2"/>
  <c r="L767" i="2"/>
  <c r="N767" i="2"/>
  <c r="K768" i="2"/>
  <c r="L768" i="2"/>
  <c r="N768" i="2"/>
  <c r="K769" i="2"/>
  <c r="L769" i="2"/>
  <c r="N769" i="2"/>
  <c r="K770" i="2"/>
  <c r="L770" i="2"/>
  <c r="N770" i="2"/>
  <c r="K771" i="2"/>
  <c r="L771" i="2"/>
  <c r="N771" i="2"/>
  <c r="K772" i="2"/>
  <c r="L772" i="2"/>
  <c r="N772" i="2"/>
  <c r="K773" i="2"/>
  <c r="L773" i="2"/>
  <c r="N773" i="2"/>
  <c r="K774" i="2"/>
  <c r="L774" i="2"/>
  <c r="N774" i="2"/>
  <c r="K775" i="2"/>
  <c r="L775" i="2"/>
  <c r="N775" i="2"/>
  <c r="K776" i="2"/>
  <c r="L776" i="2"/>
  <c r="N776" i="2"/>
  <c r="K777" i="2"/>
  <c r="L777" i="2"/>
  <c r="N777" i="2"/>
  <c r="K778" i="2"/>
  <c r="L778" i="2"/>
  <c r="N778" i="2"/>
  <c r="K779" i="2"/>
  <c r="L779" i="2"/>
  <c r="N779" i="2"/>
  <c r="K780" i="2"/>
  <c r="L780" i="2"/>
  <c r="N780" i="2"/>
  <c r="K781" i="2"/>
  <c r="L781" i="2"/>
  <c r="N781" i="2"/>
  <c r="K782" i="2"/>
  <c r="L782" i="2"/>
  <c r="N782" i="2"/>
  <c r="K783" i="2"/>
  <c r="L783" i="2"/>
  <c r="N783" i="2"/>
  <c r="K784" i="2"/>
  <c r="L784" i="2"/>
  <c r="N784" i="2"/>
  <c r="K785" i="2"/>
  <c r="L785" i="2"/>
  <c r="N785" i="2"/>
  <c r="K786" i="2"/>
  <c r="L786" i="2"/>
  <c r="N786" i="2"/>
  <c r="K787" i="2"/>
  <c r="L787" i="2"/>
  <c r="N787" i="2"/>
  <c r="K788" i="2"/>
  <c r="L788" i="2"/>
  <c r="N788" i="2"/>
  <c r="K789" i="2"/>
  <c r="L789" i="2"/>
  <c r="N789" i="2"/>
  <c r="K790" i="2"/>
  <c r="L790" i="2"/>
  <c r="N790" i="2"/>
  <c r="K791" i="2"/>
  <c r="L791" i="2"/>
  <c r="N791" i="2"/>
  <c r="K792" i="2"/>
  <c r="L792" i="2"/>
  <c r="N792" i="2"/>
  <c r="K793" i="2"/>
  <c r="L793" i="2"/>
  <c r="N793" i="2"/>
  <c r="K794" i="2"/>
  <c r="L794" i="2"/>
  <c r="N794" i="2"/>
  <c r="K795" i="2"/>
  <c r="L795" i="2"/>
  <c r="N795" i="2"/>
  <c r="K796" i="2"/>
  <c r="L796" i="2"/>
  <c r="N796" i="2"/>
  <c r="K797" i="2"/>
  <c r="L797" i="2"/>
  <c r="N797" i="2"/>
  <c r="K798" i="2"/>
  <c r="L798" i="2"/>
  <c r="N798" i="2"/>
  <c r="K799" i="2"/>
  <c r="L799" i="2"/>
  <c r="N799" i="2"/>
  <c r="K800" i="2"/>
  <c r="L800" i="2"/>
  <c r="N800" i="2"/>
  <c r="K801" i="2"/>
  <c r="L801" i="2"/>
  <c r="N801" i="2"/>
  <c r="H230" i="27" l="1"/>
  <c r="H229" i="27"/>
  <c r="H228" i="27"/>
  <c r="H227" i="27"/>
  <c r="H226" i="27"/>
  <c r="H225" i="27"/>
  <c r="H52" i="27"/>
  <c r="H53" i="27"/>
  <c r="H54" i="27"/>
  <c r="H55" i="27"/>
  <c r="H56" i="27"/>
  <c r="H57" i="27"/>
  <c r="H45" i="27"/>
  <c r="H46" i="27"/>
  <c r="H47" i="27"/>
  <c r="H48" i="27"/>
  <c r="H49" i="27"/>
  <c r="H50" i="27"/>
  <c r="H51" i="27"/>
  <c r="N267" i="2"/>
  <c r="L337" i="2" l="1"/>
  <c r="K337" i="2"/>
  <c r="N337" i="2"/>
  <c r="H150" i="2" l="1"/>
  <c r="AX150" i="2" s="1"/>
  <c r="H276" i="27"/>
  <c r="M178" i="2" l="1"/>
  <c r="N224" i="27"/>
  <c r="N2" i="27" s="1"/>
  <c r="H224" i="27"/>
  <c r="H44" i="27" l="1"/>
  <c r="H223" i="27"/>
  <c r="H222" i="27" l="1"/>
  <c r="H221" i="27" l="1"/>
  <c r="H220" i="27" l="1"/>
  <c r="H219" i="27" l="1"/>
  <c r="H218" i="27" l="1"/>
  <c r="H88" i="27" l="1"/>
  <c r="H130" i="27" l="1"/>
  <c r="AX66" i="2"/>
  <c r="H101" i="27" l="1"/>
  <c r="H410" i="27" l="1"/>
  <c r="H159" i="27" l="1"/>
  <c r="H133" i="2"/>
  <c r="AX133" i="2" s="1"/>
  <c r="G96" i="27" l="1"/>
  <c r="H96" i="27" s="1"/>
  <c r="G108" i="27"/>
  <c r="H108" i="27" l="1"/>
  <c r="H407" i="27"/>
  <c r="H366" i="27"/>
  <c r="H106" i="27"/>
  <c r="H105" i="27"/>
  <c r="AX69" i="2"/>
  <c r="H117" i="27" l="1"/>
  <c r="H110" i="27" l="1"/>
  <c r="H165" i="2" l="1"/>
  <c r="L165" i="2" l="1"/>
  <c r="I165" i="2"/>
  <c r="AX165" i="2" s="1"/>
  <c r="H66" i="27"/>
  <c r="H68" i="2"/>
  <c r="AX68" i="2" s="1"/>
  <c r="H217" i="27" l="1"/>
  <c r="H167" i="2"/>
  <c r="L167" i="2" l="1"/>
  <c r="I167" i="2"/>
  <c r="AX167" i="2" s="1"/>
  <c r="H176" i="27"/>
  <c r="H175" i="27" l="1"/>
  <c r="M165" i="2" l="1"/>
  <c r="H216" i="27"/>
  <c r="J153" i="2" l="1"/>
  <c r="J139" i="2"/>
  <c r="H158" i="27" l="1"/>
  <c r="H132" i="2"/>
  <c r="AX132" i="2" s="1"/>
  <c r="H456" i="27" l="1"/>
  <c r="H480" i="27" l="1"/>
  <c r="AU16" i="2" l="1"/>
  <c r="AU78" i="2"/>
  <c r="AU39" i="2"/>
  <c r="AU82" i="2"/>
  <c r="AU15" i="2"/>
  <c r="AU36" i="2"/>
  <c r="AU137" i="2"/>
  <c r="AU136" i="2"/>
  <c r="AU127" i="2"/>
  <c r="AU111" i="2"/>
  <c r="AU24" i="2" l="1"/>
  <c r="AT33" i="2" l="1"/>
  <c r="AT7" i="2" s="1"/>
  <c r="AS33" i="2"/>
  <c r="J33" i="2" s="1"/>
  <c r="AU126" i="2"/>
  <c r="AU146" i="2"/>
  <c r="AU21" i="2"/>
  <c r="AU124" i="2"/>
  <c r="AU125" i="2"/>
  <c r="AU122" i="2"/>
  <c r="AU145" i="2"/>
  <c r="AU29" i="2"/>
  <c r="AU38" i="2"/>
  <c r="AU152" i="2"/>
  <c r="AU131" i="2"/>
  <c r="AU130" i="2"/>
  <c r="AU128" i="2"/>
  <c r="AU117" i="2"/>
  <c r="AU88" i="2"/>
  <c r="AU33" i="2" l="1"/>
  <c r="H286" i="27"/>
  <c r="H133" i="27" l="1"/>
  <c r="M83" i="2" l="1"/>
  <c r="H147" i="27"/>
  <c r="H302" i="27" l="1"/>
  <c r="H181" i="27" l="1"/>
  <c r="H152" i="27" l="1"/>
  <c r="H215" i="27" l="1"/>
  <c r="H113" i="2"/>
  <c r="I113" i="2" s="1"/>
  <c r="AX113" i="2" l="1"/>
  <c r="BE113" i="2" s="1"/>
  <c r="H161" i="2"/>
  <c r="L161" i="2" l="1"/>
  <c r="I161" i="2"/>
  <c r="AX161" i="2" s="1"/>
  <c r="G213" i="27"/>
  <c r="H153" i="2"/>
  <c r="AX153" i="2" s="1"/>
  <c r="G2" i="27" l="1"/>
  <c r="H33" i="2"/>
  <c r="L33" i="2" s="1"/>
  <c r="M211" i="27"/>
  <c r="M210" i="27"/>
  <c r="M204" i="27"/>
  <c r="M203" i="27"/>
  <c r="M199" i="27"/>
  <c r="M198" i="27"/>
  <c r="M197" i="27"/>
  <c r="M196" i="27"/>
  <c r="M2" i="27" s="1"/>
  <c r="O211" i="27"/>
  <c r="I2" i="27" l="1"/>
  <c r="K1" i="27"/>
  <c r="O2" i="27"/>
  <c r="P2" i="27"/>
  <c r="O210" i="27"/>
  <c r="O209" i="27" l="1"/>
  <c r="O208" i="27" l="1"/>
  <c r="O207" i="27" l="1"/>
  <c r="O206" i="27"/>
  <c r="O205" i="27" l="1"/>
  <c r="O204" i="27" l="1"/>
  <c r="O203" i="27" l="1"/>
  <c r="O202" i="27"/>
  <c r="O201" i="27" l="1"/>
  <c r="O200" i="27"/>
  <c r="O199" i="27" l="1"/>
  <c r="O198" i="27" l="1"/>
  <c r="O197" i="27" l="1"/>
  <c r="H209" i="27" l="1"/>
  <c r="H210" i="27"/>
  <c r="H211" i="27"/>
  <c r="H212" i="27"/>
  <c r="H213" i="27"/>
  <c r="H214" i="27"/>
  <c r="H197" i="27"/>
  <c r="H198" i="27"/>
  <c r="H199" i="27"/>
  <c r="H200" i="27"/>
  <c r="H201" i="27"/>
  <c r="H202" i="27"/>
  <c r="H203" i="27"/>
  <c r="H204" i="27"/>
  <c r="H205" i="27"/>
  <c r="H206" i="27"/>
  <c r="H207" i="27"/>
  <c r="H208" i="27"/>
  <c r="H196" i="27"/>
  <c r="O196" i="27"/>
  <c r="O2" i="23" l="1"/>
  <c r="P2" i="23" s="1"/>
  <c r="H81" i="27" l="1"/>
  <c r="H139" i="2"/>
  <c r="J164" i="2" l="1"/>
  <c r="J115" i="2"/>
  <c r="J108" i="2"/>
  <c r="J152" i="2"/>
  <c r="J74" i="2"/>
  <c r="J162" i="2"/>
  <c r="J159" i="2"/>
  <c r="J158" i="2"/>
  <c r="J157" i="2"/>
  <c r="J149" i="2"/>
  <c r="J148" i="2"/>
  <c r="J147" i="2"/>
  <c r="J142" i="2"/>
  <c r="J141" i="2"/>
  <c r="J59" i="2"/>
  <c r="J58" i="2"/>
  <c r="J57" i="2"/>
  <c r="J54" i="2"/>
  <c r="J52" i="2"/>
  <c r="J51" i="2"/>
  <c r="J50" i="2"/>
  <c r="J129" i="2" l="1"/>
  <c r="J145" i="2"/>
  <c r="J105" i="2"/>
  <c r="J20" i="2"/>
  <c r="J18" i="2"/>
  <c r="J130" i="2"/>
  <c r="J73" i="2"/>
  <c r="J23" i="2"/>
  <c r="J126" i="2"/>
  <c r="J125" i="2"/>
  <c r="J124" i="2"/>
  <c r="J122" i="2"/>
  <c r="J19" i="2"/>
  <c r="J156" i="2"/>
  <c r="J155" i="2"/>
  <c r="J154" i="2"/>
  <c r="J136" i="2"/>
  <c r="J120" i="2"/>
  <c r="J86" i="2"/>
  <c r="J85" i="2"/>
  <c r="J82" i="2"/>
  <c r="J79" i="2"/>
  <c r="J78" i="2"/>
  <c r="J144" i="2"/>
  <c r="J137" i="2"/>
  <c r="J121" i="2"/>
  <c r="J87" i="2"/>
  <c r="AS109" i="2" l="1"/>
  <c r="J109" i="2" s="1"/>
  <c r="AS135" i="2"/>
  <c r="J135" i="2" s="1"/>
  <c r="AS71" i="2" l="1"/>
  <c r="J71" i="2" s="1"/>
  <c r="AS107" i="2"/>
  <c r="J107" i="2" l="1"/>
  <c r="AS106" i="2"/>
  <c r="J106" i="2" s="1"/>
  <c r="AS95" i="2" l="1"/>
  <c r="AS119" i="2"/>
  <c r="J95" i="2" l="1"/>
  <c r="AS7" i="2"/>
  <c r="J119" i="2"/>
  <c r="L84" i="2"/>
  <c r="L68" i="2"/>
  <c r="J166" i="2" l="1"/>
  <c r="L132" i="2"/>
  <c r="H121" i="2" l="1"/>
  <c r="AU121" i="2" l="1"/>
  <c r="L121" i="2"/>
  <c r="M324" i="23"/>
  <c r="L119" i="2" l="1"/>
  <c r="H157" i="27" l="1"/>
  <c r="H542" i="27" l="1"/>
  <c r="H150" i="27"/>
  <c r="H142" i="27" l="1"/>
  <c r="H148" i="27" l="1"/>
  <c r="H149" i="27" l="1"/>
  <c r="H134" i="27" l="1"/>
  <c r="H104" i="27" l="1"/>
  <c r="H85" i="2"/>
  <c r="AX85" i="2" l="1"/>
  <c r="I85" i="2"/>
  <c r="H123" i="27"/>
  <c r="H154" i="27"/>
  <c r="H154" i="2" l="1"/>
  <c r="H121" i="27"/>
  <c r="AX154" i="2" l="1"/>
  <c r="I154" i="2"/>
  <c r="H145" i="27"/>
  <c r="H301" i="27" l="1"/>
  <c r="H58" i="2" l="1"/>
  <c r="AX58" i="2" s="1"/>
  <c r="H120" i="27"/>
  <c r="H122" i="27" l="1"/>
  <c r="H127" i="27" l="1"/>
  <c r="H157" i="2" l="1"/>
  <c r="AX157" i="2" s="1"/>
  <c r="H293" i="27"/>
  <c r="H142" i="2" l="1"/>
  <c r="AX142" i="2" s="1"/>
  <c r="H147" i="2" l="1"/>
  <c r="AX147" i="2" s="1"/>
  <c r="H288" i="27"/>
  <c r="H254" i="27"/>
  <c r="H159" i="2" l="1"/>
  <c r="AX159" i="2" s="1"/>
  <c r="H287" i="27" l="1"/>
  <c r="H109" i="27" l="1"/>
  <c r="H158" i="2"/>
  <c r="AX158" i="2" s="1"/>
  <c r="H149" i="2" l="1"/>
  <c r="AX149" i="2" s="1"/>
  <c r="H182" i="27"/>
  <c r="H148" i="2" l="1"/>
  <c r="AX148" i="2" s="1"/>
  <c r="H292" i="27"/>
  <c r="H129" i="27" l="1"/>
  <c r="H54" i="2"/>
  <c r="AX54" i="2" s="1"/>
  <c r="H135" i="27" l="1"/>
  <c r="H141" i="2" l="1"/>
  <c r="AX141" i="2" s="1"/>
  <c r="H131" i="27"/>
  <c r="H275" i="27" l="1"/>
  <c r="H195" i="27" l="1"/>
  <c r="H194" i="27"/>
  <c r="H193" i="27"/>
  <c r="H192" i="27"/>
  <c r="H106" i="2"/>
  <c r="I106" i="2" s="1"/>
  <c r="H191" i="27"/>
  <c r="H115" i="2"/>
  <c r="I115" i="2" s="1"/>
  <c r="AX115" i="2" l="1"/>
  <c r="BE115" i="2" s="1"/>
  <c r="AX106" i="2"/>
  <c r="BE106" i="2" s="1"/>
  <c r="H190" i="27"/>
  <c r="H164" i="2"/>
  <c r="I164" i="2" s="1"/>
  <c r="H189" i="27"/>
  <c r="AX164" i="2" l="1"/>
  <c r="M2" i="23"/>
  <c r="L2" i="23" l="1"/>
  <c r="M109" i="2" l="1"/>
  <c r="H188" i="27"/>
  <c r="H110" i="2" l="1"/>
  <c r="I110" i="2" s="1"/>
  <c r="H187" i="27"/>
  <c r="AX110" i="2" l="1"/>
  <c r="BE110" i="2" s="1"/>
  <c r="H186" i="27"/>
  <c r="H108" i="2"/>
  <c r="I108" i="2" s="1"/>
  <c r="AX108" i="2" l="1"/>
  <c r="H185" i="27"/>
  <c r="AX7" i="2" l="1"/>
  <c r="BE108" i="2"/>
  <c r="BE7" i="2" s="1"/>
  <c r="H184" i="27"/>
  <c r="H76" i="23" l="1"/>
  <c r="G306" i="23" l="1"/>
  <c r="N2" i="23" l="1"/>
  <c r="G296" i="23" l="1"/>
  <c r="G292" i="23" l="1"/>
  <c r="K2" i="23" l="1"/>
  <c r="H80" i="27" l="1"/>
  <c r="H2" i="27" s="1"/>
  <c r="L139" i="2"/>
  <c r="P1" i="27" l="1"/>
  <c r="O1" i="27"/>
  <c r="H120" i="2" l="1"/>
  <c r="I120" i="2" l="1"/>
  <c r="I7" i="2" s="1"/>
  <c r="AU120" i="2"/>
  <c r="H23" i="2"/>
  <c r="AU23" i="2" l="1"/>
  <c r="L23" i="2"/>
  <c r="G245" i="23"/>
  <c r="H105" i="2"/>
  <c r="AU105" i="2" s="1"/>
  <c r="H284" i="23" l="1"/>
  <c r="L66" i="2"/>
  <c r="L70" i="2"/>
  <c r="H156" i="2"/>
  <c r="AU156" i="2" s="1"/>
  <c r="H144" i="2" l="1"/>
  <c r="AU144" i="2" s="1"/>
  <c r="H155" i="2"/>
  <c r="AU155" i="2" s="1"/>
  <c r="H87" i="2" l="1"/>
  <c r="AU87" i="2" l="1"/>
  <c r="L87" i="2"/>
  <c r="L75" i="2" l="1"/>
  <c r="L61" i="2"/>
  <c r="BK33" i="2" l="1"/>
  <c r="BK7" i="2" s="1"/>
  <c r="H129" i="2" l="1"/>
  <c r="AU129" i="2" s="1"/>
  <c r="L103" i="2"/>
  <c r="H135" i="2" l="1"/>
  <c r="AU135" i="2" s="1"/>
  <c r="H107" i="2" l="1"/>
  <c r="AU107" i="2" s="1"/>
  <c r="H71" i="2" l="1"/>
  <c r="AU71" i="2" l="1"/>
  <c r="L71" i="2"/>
  <c r="H74" i="2" l="1"/>
  <c r="AU74" i="2" s="1"/>
  <c r="H95" i="2" l="1"/>
  <c r="AU95" i="2" s="1"/>
  <c r="H20" i="2" l="1"/>
  <c r="AU20" i="2" l="1"/>
  <c r="L20" i="2"/>
  <c r="H19" i="2"/>
  <c r="AU19" i="2" l="1"/>
  <c r="L19" i="2"/>
  <c r="H34" i="2"/>
  <c r="L34" i="2" s="1"/>
  <c r="AU34" i="2" l="1"/>
  <c r="H35" i="2"/>
  <c r="L35" i="2" s="1"/>
  <c r="H18" i="2"/>
  <c r="AU18" i="2" l="1"/>
  <c r="L18" i="2"/>
  <c r="AU35" i="2"/>
  <c r="H72" i="2"/>
  <c r="L72" i="2" s="1"/>
  <c r="AU72" i="2" l="1"/>
  <c r="H73" i="2"/>
  <c r="AU73" i="2" l="1"/>
  <c r="L73" i="2"/>
  <c r="H109" i="23"/>
  <c r="I109" i="23" s="1"/>
  <c r="J151" i="2" l="1"/>
  <c r="H182" i="23" l="1"/>
  <c r="F48" i="2"/>
  <c r="P72" i="23" l="1"/>
  <c r="P73" i="23"/>
  <c r="P74" i="23"/>
  <c r="P71" i="23"/>
  <c r="P70" i="23"/>
  <c r="P90" i="23"/>
  <c r="P89" i="23"/>
  <c r="P91" i="23"/>
  <c r="P83" i="23"/>
  <c r="P82" i="23"/>
  <c r="P86" i="23"/>
  <c r="P81" i="23"/>
  <c r="H81" i="23"/>
  <c r="P85" i="23"/>
  <c r="P84" i="23"/>
  <c r="P80" i="23"/>
  <c r="P79" i="23"/>
  <c r="P78" i="23"/>
  <c r="P69" i="23"/>
  <c r="P77" i="23"/>
  <c r="P68" i="23"/>
  <c r="P67" i="23"/>
  <c r="P75" i="23"/>
  <c r="P88" i="23"/>
  <c r="P87" i="23"/>
  <c r="P76" i="23"/>
  <c r="L49" i="2" l="1"/>
  <c r="P119" i="23" l="1"/>
  <c r="P117" i="23"/>
  <c r="P116" i="23"/>
  <c r="P111" i="23"/>
  <c r="P115" i="23" l="1"/>
  <c r="P124" i="23"/>
  <c r="P125" i="23"/>
  <c r="P121" i="23"/>
  <c r="P120" i="23"/>
  <c r="P118" i="23"/>
  <c r="P123" i="23"/>
  <c r="P122" i="23"/>
  <c r="P113" i="23"/>
  <c r="P112" i="23"/>
  <c r="P110" i="23"/>
  <c r="P109" i="23"/>
  <c r="P108" i="23"/>
  <c r="P107" i="23"/>
  <c r="O1" i="23" l="1"/>
  <c r="Q35" i="23"/>
  <c r="P35" i="23"/>
  <c r="Q50" i="23"/>
  <c r="P50" i="23"/>
  <c r="P6" i="23"/>
  <c r="P7" i="23"/>
  <c r="P5" i="23"/>
  <c r="P28" i="23"/>
  <c r="P26" i="23"/>
  <c r="P27" i="23"/>
  <c r="P126" i="23" l="1"/>
  <c r="Q126" i="23"/>
  <c r="P155" i="23" l="1"/>
  <c r="P143" i="23"/>
  <c r="P142" i="23"/>
  <c r="P141" i="23"/>
  <c r="P138" i="23"/>
  <c r="P140" i="23"/>
  <c r="P139" i="23"/>
  <c r="H102" i="2" l="1"/>
  <c r="J22" i="2" l="1"/>
  <c r="J138" i="2" l="1"/>
  <c r="F36" i="2" l="1"/>
  <c r="J131" i="2" l="1"/>
  <c r="H138" i="2" l="1"/>
  <c r="AU138" i="2" s="1"/>
  <c r="M101" i="2" l="1"/>
  <c r="J128" i="2" l="1"/>
  <c r="J88" i="2"/>
  <c r="J21" i="2"/>
  <c r="J27" i="2"/>
  <c r="J36" i="2" l="1"/>
  <c r="J127" i="2"/>
  <c r="J30" i="2"/>
  <c r="K102" i="2" l="1"/>
  <c r="L102" i="2"/>
  <c r="N102" i="2"/>
  <c r="K103" i="2"/>
  <c r="N103" i="2"/>
  <c r="K104" i="2"/>
  <c r="L104" i="2"/>
  <c r="N104" i="2"/>
  <c r="K107" i="2"/>
  <c r="L107" i="2"/>
  <c r="N107" i="2"/>
  <c r="K106" i="2"/>
  <c r="L106" i="2"/>
  <c r="N106" i="2"/>
  <c r="K71" i="2"/>
  <c r="N71" i="2"/>
  <c r="K108" i="2"/>
  <c r="L108" i="2"/>
  <c r="N108" i="2"/>
  <c r="K109" i="2"/>
  <c r="L109" i="2"/>
  <c r="N109" i="2"/>
  <c r="K110" i="2"/>
  <c r="L110" i="2"/>
  <c r="N110" i="2"/>
  <c r="K135" i="2"/>
  <c r="L135" i="2"/>
  <c r="N135" i="2"/>
  <c r="K112" i="2"/>
  <c r="L112" i="2"/>
  <c r="N112" i="2"/>
  <c r="K113" i="2"/>
  <c r="L113" i="2"/>
  <c r="N113" i="2"/>
  <c r="K114" i="2"/>
  <c r="L114" i="2"/>
  <c r="N114" i="2"/>
  <c r="K115" i="2"/>
  <c r="L115" i="2"/>
  <c r="N115" i="2"/>
  <c r="K116" i="2"/>
  <c r="L116" i="2"/>
  <c r="N116" i="2"/>
  <c r="K74" i="2"/>
  <c r="L74" i="2"/>
  <c r="N74" i="2"/>
  <c r="K118" i="2"/>
  <c r="L118" i="2"/>
  <c r="N118" i="2"/>
  <c r="K119" i="2"/>
  <c r="N119" i="2"/>
  <c r="K95" i="2"/>
  <c r="L95" i="2"/>
  <c r="N95" i="2"/>
  <c r="K19" i="2"/>
  <c r="N19" i="2"/>
  <c r="K122" i="2"/>
  <c r="L122" i="2"/>
  <c r="N122" i="2"/>
  <c r="K123" i="2"/>
  <c r="L123" i="2"/>
  <c r="N123" i="2"/>
  <c r="K124" i="2"/>
  <c r="L124" i="2"/>
  <c r="N124" i="2"/>
  <c r="K125" i="2"/>
  <c r="L125" i="2"/>
  <c r="N125" i="2"/>
  <c r="K126" i="2"/>
  <c r="L126" i="2"/>
  <c r="N126" i="2"/>
  <c r="K23" i="2"/>
  <c r="N23" i="2"/>
  <c r="K73" i="2"/>
  <c r="N73" i="2"/>
  <c r="K130" i="2"/>
  <c r="L130" i="2"/>
  <c r="N130" i="2"/>
  <c r="K18" i="2"/>
  <c r="N18" i="2"/>
  <c r="K20" i="2"/>
  <c r="N20" i="2"/>
  <c r="K132" i="2"/>
  <c r="N132" i="2"/>
  <c r="K133" i="2"/>
  <c r="L133" i="2"/>
  <c r="N133" i="2"/>
  <c r="K134" i="2"/>
  <c r="L134" i="2"/>
  <c r="N134" i="2"/>
  <c r="K105" i="2"/>
  <c r="L105" i="2"/>
  <c r="N105" i="2"/>
  <c r="K35" i="2"/>
  <c r="N35" i="2"/>
  <c r="K34" i="2"/>
  <c r="N34" i="2"/>
  <c r="K72" i="2"/>
  <c r="N72" i="2"/>
  <c r="K139" i="2"/>
  <c r="N139" i="2"/>
  <c r="K140" i="2"/>
  <c r="L140" i="2"/>
  <c r="N140" i="2"/>
  <c r="K141" i="2"/>
  <c r="L141" i="2"/>
  <c r="N141" i="2"/>
  <c r="K142" i="2"/>
  <c r="L142" i="2"/>
  <c r="N142" i="2"/>
  <c r="K143" i="2"/>
  <c r="L143" i="2"/>
  <c r="N143" i="2"/>
  <c r="K129" i="2"/>
  <c r="L129" i="2"/>
  <c r="N129" i="2"/>
  <c r="K145" i="2"/>
  <c r="L145" i="2"/>
  <c r="N145" i="2"/>
  <c r="K146" i="2"/>
  <c r="L146" i="2"/>
  <c r="N146" i="2"/>
  <c r="K147" i="2"/>
  <c r="L147" i="2"/>
  <c r="N147" i="2"/>
  <c r="K148" i="2"/>
  <c r="L148" i="2"/>
  <c r="N148" i="2"/>
  <c r="K149" i="2"/>
  <c r="L149" i="2"/>
  <c r="N149" i="2"/>
  <c r="K150" i="2"/>
  <c r="L150" i="2"/>
  <c r="N150" i="2"/>
  <c r="K151" i="2"/>
  <c r="L151" i="2"/>
  <c r="N151" i="2"/>
  <c r="K152" i="2"/>
  <c r="L152" i="2"/>
  <c r="N152" i="2"/>
  <c r="K153" i="2"/>
  <c r="L153" i="2"/>
  <c r="N153" i="2"/>
  <c r="K154" i="2"/>
  <c r="L154" i="2"/>
  <c r="N154" i="2"/>
  <c r="K155" i="2"/>
  <c r="L155" i="2"/>
  <c r="N155" i="2"/>
  <c r="K156" i="2"/>
  <c r="L156" i="2"/>
  <c r="N156" i="2"/>
  <c r="K157" i="2"/>
  <c r="L157" i="2"/>
  <c r="N157" i="2"/>
  <c r="K158" i="2"/>
  <c r="L158" i="2"/>
  <c r="N158" i="2"/>
  <c r="K159" i="2"/>
  <c r="L159" i="2"/>
  <c r="N159" i="2"/>
  <c r="K160" i="2"/>
  <c r="L160" i="2"/>
  <c r="N160" i="2"/>
  <c r="K161" i="2"/>
  <c r="N161" i="2"/>
  <c r="K162" i="2"/>
  <c r="L162" i="2"/>
  <c r="N162" i="2"/>
  <c r="K163" i="2"/>
  <c r="L163" i="2"/>
  <c r="N163" i="2"/>
  <c r="K164" i="2"/>
  <c r="L164" i="2"/>
  <c r="N164" i="2"/>
  <c r="K165" i="2"/>
  <c r="N165" i="2"/>
  <c r="K166" i="2"/>
  <c r="L166" i="2"/>
  <c r="N166" i="2"/>
  <c r="K167" i="2"/>
  <c r="N167" i="2"/>
  <c r="K168" i="2"/>
  <c r="N168" i="2" s="1"/>
  <c r="L168" i="2"/>
  <c r="K169" i="2"/>
  <c r="N169" i="2" s="1"/>
  <c r="K170" i="2"/>
  <c r="L170" i="2"/>
  <c r="N170" i="2"/>
  <c r="K171" i="2"/>
  <c r="L171" i="2"/>
  <c r="N171" i="2"/>
  <c r="K172" i="2"/>
  <c r="L172" i="2"/>
  <c r="N172" i="2"/>
  <c r="K173" i="2"/>
  <c r="L173" i="2"/>
  <c r="N173" i="2"/>
  <c r="K174" i="2"/>
  <c r="L174" i="2"/>
  <c r="N174" i="2"/>
  <c r="K175" i="2"/>
  <c r="L175" i="2"/>
  <c r="N175" i="2"/>
  <c r="K176" i="2"/>
  <c r="L176" i="2"/>
  <c r="N176" i="2"/>
  <c r="K177" i="2"/>
  <c r="L177" i="2"/>
  <c r="N177" i="2"/>
  <c r="K178" i="2"/>
  <c r="L178" i="2"/>
  <c r="N178" i="2"/>
  <c r="K179" i="2"/>
  <c r="L179" i="2"/>
  <c r="N179" i="2"/>
  <c r="K180" i="2"/>
  <c r="L180" i="2"/>
  <c r="N180" i="2"/>
  <c r="K181" i="2"/>
  <c r="L181" i="2"/>
  <c r="N181" i="2"/>
  <c r="K182" i="2"/>
  <c r="L182" i="2"/>
  <c r="N182" i="2"/>
  <c r="K183" i="2"/>
  <c r="L183" i="2"/>
  <c r="N183" i="2"/>
  <c r="K184" i="2"/>
  <c r="L184" i="2"/>
  <c r="N184" i="2"/>
  <c r="K185" i="2"/>
  <c r="L185" i="2"/>
  <c r="N185" i="2"/>
  <c r="K186" i="2"/>
  <c r="L186" i="2"/>
  <c r="N186" i="2"/>
  <c r="K187" i="2"/>
  <c r="L187" i="2"/>
  <c r="N187" i="2"/>
  <c r="K188" i="2"/>
  <c r="L188" i="2"/>
  <c r="N188" i="2"/>
  <c r="K189" i="2"/>
  <c r="L189" i="2"/>
  <c r="N189" i="2"/>
  <c r="K190" i="2"/>
  <c r="L190" i="2"/>
  <c r="N190" i="2"/>
  <c r="K191" i="2"/>
  <c r="L191" i="2"/>
  <c r="N191" i="2"/>
  <c r="K192" i="2"/>
  <c r="L192" i="2"/>
  <c r="N192" i="2"/>
  <c r="K193" i="2"/>
  <c r="L193" i="2"/>
  <c r="N193" i="2"/>
  <c r="K194" i="2"/>
  <c r="L194" i="2"/>
  <c r="N194" i="2"/>
  <c r="K195" i="2"/>
  <c r="L195" i="2"/>
  <c r="N195" i="2"/>
  <c r="K196" i="2"/>
  <c r="L196" i="2"/>
  <c r="N196" i="2"/>
  <c r="K197" i="2"/>
  <c r="L197" i="2"/>
  <c r="N197" i="2"/>
  <c r="K198" i="2"/>
  <c r="L198" i="2"/>
  <c r="N198" i="2"/>
  <c r="K199" i="2"/>
  <c r="L199" i="2"/>
  <c r="N199" i="2"/>
  <c r="K200" i="2"/>
  <c r="L200" i="2"/>
  <c r="N200" i="2"/>
  <c r="K201" i="2"/>
  <c r="L201" i="2"/>
  <c r="N201" i="2"/>
  <c r="K202" i="2"/>
  <c r="L202" i="2"/>
  <c r="N202" i="2"/>
  <c r="K203" i="2"/>
  <c r="L203" i="2"/>
  <c r="N203" i="2"/>
  <c r="K204" i="2"/>
  <c r="L204" i="2"/>
  <c r="N204" i="2"/>
  <c r="K205" i="2"/>
  <c r="L205" i="2"/>
  <c r="N205" i="2"/>
  <c r="K206" i="2"/>
  <c r="L206" i="2"/>
  <c r="N206" i="2"/>
  <c r="K207" i="2"/>
  <c r="L207" i="2"/>
  <c r="N207" i="2"/>
  <c r="K208" i="2"/>
  <c r="L208" i="2"/>
  <c r="N208" i="2"/>
  <c r="K209" i="2"/>
  <c r="L209" i="2"/>
  <c r="N209" i="2"/>
  <c r="K210" i="2"/>
  <c r="L210" i="2"/>
  <c r="N210" i="2"/>
  <c r="K211" i="2"/>
  <c r="L211" i="2"/>
  <c r="N211" i="2"/>
  <c r="K212" i="2"/>
  <c r="L212" i="2"/>
  <c r="N212" i="2"/>
  <c r="K213" i="2"/>
  <c r="L213" i="2"/>
  <c r="N213" i="2"/>
  <c r="K214" i="2"/>
  <c r="L214" i="2"/>
  <c r="N214" i="2"/>
  <c r="K215" i="2"/>
  <c r="L215" i="2"/>
  <c r="N215" i="2"/>
  <c r="K216" i="2"/>
  <c r="L216" i="2"/>
  <c r="N216" i="2"/>
  <c r="K217" i="2"/>
  <c r="L217" i="2"/>
  <c r="N217" i="2"/>
  <c r="K218" i="2"/>
  <c r="L218" i="2"/>
  <c r="N218" i="2"/>
  <c r="K219" i="2"/>
  <c r="L219" i="2"/>
  <c r="N219" i="2"/>
  <c r="K220" i="2"/>
  <c r="L220" i="2"/>
  <c r="N220" i="2"/>
  <c r="K221" i="2"/>
  <c r="L221" i="2"/>
  <c r="N221" i="2"/>
  <c r="K222" i="2"/>
  <c r="L222" i="2"/>
  <c r="N222" i="2"/>
  <c r="K223" i="2"/>
  <c r="L223" i="2"/>
  <c r="N223" i="2"/>
  <c r="K224" i="2"/>
  <c r="L224" i="2"/>
  <c r="N224" i="2"/>
  <c r="K225" i="2"/>
  <c r="L225" i="2"/>
  <c r="N225" i="2"/>
  <c r="K226" i="2"/>
  <c r="L226" i="2"/>
  <c r="N226" i="2"/>
  <c r="K227" i="2"/>
  <c r="L227" i="2"/>
  <c r="N227" i="2"/>
  <c r="K228" i="2"/>
  <c r="L228" i="2"/>
  <c r="N228" i="2"/>
  <c r="K229" i="2"/>
  <c r="L229" i="2"/>
  <c r="N229" i="2"/>
  <c r="K230" i="2"/>
  <c r="L230" i="2"/>
  <c r="N230" i="2"/>
  <c r="K231" i="2"/>
  <c r="L231" i="2"/>
  <c r="N231" i="2"/>
  <c r="K232" i="2"/>
  <c r="L232" i="2"/>
  <c r="N232" i="2"/>
  <c r="K233" i="2"/>
  <c r="L233" i="2"/>
  <c r="N233" i="2"/>
  <c r="K234" i="2"/>
  <c r="L234" i="2"/>
  <c r="N234" i="2"/>
  <c r="K235" i="2"/>
  <c r="L235" i="2"/>
  <c r="N235" i="2"/>
  <c r="K236" i="2"/>
  <c r="L236" i="2"/>
  <c r="N236" i="2"/>
  <c r="K237" i="2"/>
  <c r="L237" i="2"/>
  <c r="N237" i="2"/>
  <c r="K238" i="2"/>
  <c r="L238" i="2"/>
  <c r="N238" i="2"/>
  <c r="K239" i="2"/>
  <c r="L239" i="2"/>
  <c r="N239" i="2"/>
  <c r="K240" i="2"/>
  <c r="L240" i="2"/>
  <c r="N240" i="2"/>
  <c r="K241" i="2"/>
  <c r="L241" i="2"/>
  <c r="N241" i="2"/>
  <c r="K242" i="2"/>
  <c r="L242" i="2"/>
  <c r="N242" i="2"/>
  <c r="K243" i="2"/>
  <c r="L243" i="2"/>
  <c r="N243" i="2"/>
  <c r="K244" i="2"/>
  <c r="L244" i="2"/>
  <c r="N244" i="2"/>
  <c r="L245" i="2"/>
  <c r="N245" i="2"/>
  <c r="K246" i="2"/>
  <c r="L246" i="2"/>
  <c r="N246" i="2"/>
  <c r="K247" i="2"/>
  <c r="L247" i="2"/>
  <c r="N247" i="2"/>
  <c r="K248" i="2"/>
  <c r="L248" i="2"/>
  <c r="N248" i="2"/>
  <c r="K249" i="2"/>
  <c r="L249" i="2"/>
  <c r="N249" i="2"/>
  <c r="K250" i="2"/>
  <c r="L250" i="2"/>
  <c r="N250" i="2"/>
  <c r="K251" i="2"/>
  <c r="L251" i="2"/>
  <c r="N251" i="2"/>
  <c r="K252" i="2"/>
  <c r="L252" i="2"/>
  <c r="N252" i="2"/>
  <c r="K253" i="2"/>
  <c r="L253" i="2"/>
  <c r="N253" i="2"/>
  <c r="K254" i="2"/>
  <c r="L254" i="2"/>
  <c r="N254" i="2"/>
  <c r="K255" i="2"/>
  <c r="L255" i="2"/>
  <c r="N255" i="2"/>
  <c r="K256" i="2"/>
  <c r="L256" i="2"/>
  <c r="N256" i="2"/>
  <c r="K257" i="2"/>
  <c r="L257" i="2"/>
  <c r="N257" i="2"/>
  <c r="K258" i="2"/>
  <c r="L258" i="2"/>
  <c r="N258" i="2"/>
  <c r="K259" i="2"/>
  <c r="L259" i="2"/>
  <c r="N259" i="2"/>
  <c r="K260" i="2"/>
  <c r="L260" i="2"/>
  <c r="N260" i="2"/>
  <c r="K261" i="2"/>
  <c r="L261" i="2"/>
  <c r="N261" i="2"/>
  <c r="K262" i="2"/>
  <c r="L262" i="2"/>
  <c r="N262" i="2"/>
  <c r="K263" i="2"/>
  <c r="L263" i="2"/>
  <c r="N263" i="2"/>
  <c r="K264" i="2"/>
  <c r="L264" i="2"/>
  <c r="N264" i="2"/>
  <c r="K265" i="2"/>
  <c r="L265" i="2"/>
  <c r="N265" i="2"/>
  <c r="K266" i="2"/>
  <c r="L266" i="2"/>
  <c r="N266" i="2"/>
  <c r="K267" i="2"/>
  <c r="L267" i="2"/>
  <c r="K268" i="2"/>
  <c r="L268" i="2"/>
  <c r="N268" i="2"/>
  <c r="K269" i="2"/>
  <c r="L269" i="2"/>
  <c r="N269" i="2"/>
  <c r="K270" i="2"/>
  <c r="L270" i="2"/>
  <c r="N270" i="2"/>
  <c r="K271" i="2"/>
  <c r="L271" i="2"/>
  <c r="N271" i="2"/>
  <c r="K272" i="2"/>
  <c r="L272" i="2"/>
  <c r="N272" i="2"/>
  <c r="K273" i="2"/>
  <c r="L273" i="2"/>
  <c r="N273" i="2"/>
  <c r="K274" i="2"/>
  <c r="L274" i="2"/>
  <c r="N274" i="2"/>
  <c r="K275" i="2"/>
  <c r="L275" i="2"/>
  <c r="N275" i="2"/>
  <c r="K276" i="2"/>
  <c r="L276" i="2"/>
  <c r="N276" i="2"/>
  <c r="K277" i="2"/>
  <c r="L277" i="2"/>
  <c r="N277" i="2"/>
  <c r="K278" i="2"/>
  <c r="L278" i="2"/>
  <c r="N278" i="2"/>
  <c r="K279" i="2"/>
  <c r="L279" i="2"/>
  <c r="N279" i="2"/>
  <c r="K280" i="2"/>
  <c r="L280" i="2"/>
  <c r="N280" i="2"/>
  <c r="K281" i="2"/>
  <c r="L281" i="2"/>
  <c r="N281" i="2"/>
  <c r="K282" i="2"/>
  <c r="L282" i="2"/>
  <c r="N282" i="2"/>
  <c r="K283" i="2"/>
  <c r="L283" i="2"/>
  <c r="N283" i="2"/>
  <c r="K284" i="2"/>
  <c r="L284" i="2"/>
  <c r="N284" i="2"/>
  <c r="K285" i="2"/>
  <c r="L285" i="2"/>
  <c r="N285" i="2"/>
  <c r="K286" i="2"/>
  <c r="L286" i="2"/>
  <c r="N286" i="2"/>
  <c r="K287" i="2"/>
  <c r="L287" i="2"/>
  <c r="N287" i="2"/>
  <c r="K288" i="2"/>
  <c r="L288" i="2"/>
  <c r="N288" i="2"/>
  <c r="K289" i="2"/>
  <c r="L289" i="2"/>
  <c r="N289" i="2"/>
  <c r="K290" i="2"/>
  <c r="L290" i="2"/>
  <c r="N290" i="2"/>
  <c r="K291" i="2"/>
  <c r="L291" i="2"/>
  <c r="N291" i="2"/>
  <c r="K292" i="2"/>
  <c r="L292" i="2"/>
  <c r="N292" i="2"/>
  <c r="K293" i="2"/>
  <c r="L293" i="2"/>
  <c r="N293" i="2"/>
  <c r="K294" i="2"/>
  <c r="L294" i="2"/>
  <c r="N294" i="2"/>
  <c r="K295" i="2"/>
  <c r="L295" i="2"/>
  <c r="N295" i="2"/>
  <c r="K296" i="2"/>
  <c r="L296" i="2"/>
  <c r="N296" i="2"/>
  <c r="K297" i="2"/>
  <c r="L297" i="2"/>
  <c r="N297" i="2"/>
  <c r="K298" i="2"/>
  <c r="L298" i="2"/>
  <c r="N298" i="2"/>
  <c r="K299" i="2"/>
  <c r="L299" i="2"/>
  <c r="N299" i="2"/>
  <c r="K300" i="2"/>
  <c r="L300" i="2"/>
  <c r="N300" i="2"/>
  <c r="K301" i="2"/>
  <c r="L301" i="2"/>
  <c r="N301" i="2"/>
  <c r="K302" i="2"/>
  <c r="L302" i="2"/>
  <c r="N302" i="2"/>
  <c r="K303" i="2"/>
  <c r="L303" i="2"/>
  <c r="N303" i="2"/>
  <c r="K304" i="2"/>
  <c r="L304" i="2"/>
  <c r="N304" i="2"/>
  <c r="K305" i="2"/>
  <c r="L305" i="2"/>
  <c r="N305" i="2"/>
  <c r="K306" i="2"/>
  <c r="L306" i="2"/>
  <c r="N306" i="2"/>
  <c r="K307" i="2"/>
  <c r="L307" i="2"/>
  <c r="N307" i="2"/>
  <c r="K308" i="2"/>
  <c r="L308" i="2"/>
  <c r="N308" i="2"/>
  <c r="K309" i="2"/>
  <c r="L309" i="2"/>
  <c r="N309" i="2"/>
  <c r="K310" i="2"/>
  <c r="L310" i="2"/>
  <c r="N310" i="2"/>
  <c r="K311" i="2"/>
  <c r="L311" i="2"/>
  <c r="N311" i="2"/>
  <c r="K312" i="2"/>
  <c r="L312" i="2"/>
  <c r="N312" i="2"/>
  <c r="K313" i="2"/>
  <c r="L313" i="2"/>
  <c r="N313" i="2"/>
  <c r="K314" i="2"/>
  <c r="L314" i="2"/>
  <c r="N314" i="2"/>
  <c r="K315" i="2"/>
  <c r="L315" i="2"/>
  <c r="N315" i="2"/>
  <c r="K316" i="2"/>
  <c r="L316" i="2"/>
  <c r="N316" i="2"/>
  <c r="K317" i="2"/>
  <c r="L317" i="2"/>
  <c r="N317" i="2"/>
  <c r="K318" i="2"/>
  <c r="L318" i="2"/>
  <c r="N318" i="2"/>
  <c r="K319" i="2"/>
  <c r="L319" i="2"/>
  <c r="N319" i="2"/>
  <c r="K320" i="2"/>
  <c r="L320" i="2"/>
  <c r="N320" i="2"/>
  <c r="K321" i="2"/>
  <c r="L321" i="2"/>
  <c r="N321" i="2"/>
  <c r="K322" i="2"/>
  <c r="L322" i="2"/>
  <c r="N322" i="2"/>
  <c r="K323" i="2"/>
  <c r="L323" i="2"/>
  <c r="N323" i="2"/>
  <c r="K324" i="2"/>
  <c r="L324" i="2"/>
  <c r="N324" i="2"/>
  <c r="K325" i="2"/>
  <c r="L325" i="2"/>
  <c r="N325" i="2"/>
  <c r="K326" i="2"/>
  <c r="L326" i="2"/>
  <c r="N326" i="2"/>
  <c r="K327" i="2"/>
  <c r="L327" i="2"/>
  <c r="N327" i="2"/>
  <c r="K328" i="2"/>
  <c r="L328" i="2"/>
  <c r="N328" i="2"/>
  <c r="K329" i="2"/>
  <c r="L329" i="2"/>
  <c r="N329" i="2"/>
  <c r="K330" i="2"/>
  <c r="L330" i="2"/>
  <c r="N330" i="2"/>
  <c r="K331" i="2"/>
  <c r="L331" i="2"/>
  <c r="N331" i="2"/>
  <c r="K332" i="2"/>
  <c r="L332" i="2"/>
  <c r="N332" i="2"/>
  <c r="K333" i="2"/>
  <c r="L333" i="2"/>
  <c r="N333" i="2"/>
  <c r="K334" i="2"/>
  <c r="L334" i="2"/>
  <c r="N334" i="2"/>
  <c r="K335" i="2"/>
  <c r="L335" i="2"/>
  <c r="N335" i="2"/>
  <c r="K336" i="2"/>
  <c r="L336" i="2"/>
  <c r="N336" i="2"/>
  <c r="K338" i="2"/>
  <c r="L338" i="2"/>
  <c r="N338" i="2"/>
  <c r="K339" i="2"/>
  <c r="L339" i="2"/>
  <c r="N339" i="2"/>
  <c r="K340" i="2"/>
  <c r="L340" i="2"/>
  <c r="N340" i="2"/>
  <c r="K341" i="2"/>
  <c r="L341" i="2"/>
  <c r="N341" i="2"/>
  <c r="K342" i="2"/>
  <c r="L342" i="2"/>
  <c r="N342" i="2"/>
  <c r="K343" i="2"/>
  <c r="L343" i="2"/>
  <c r="N343" i="2"/>
  <c r="K344" i="2"/>
  <c r="L344" i="2"/>
  <c r="N344" i="2"/>
  <c r="K345" i="2"/>
  <c r="L345" i="2"/>
  <c r="N345" i="2"/>
  <c r="K346" i="2"/>
  <c r="L346" i="2"/>
  <c r="N346" i="2"/>
  <c r="K347" i="2"/>
  <c r="L347" i="2"/>
  <c r="N347" i="2"/>
  <c r="K348" i="2"/>
  <c r="L348" i="2"/>
  <c r="N348" i="2"/>
  <c r="K349" i="2"/>
  <c r="L349" i="2"/>
  <c r="N349" i="2"/>
  <c r="K350" i="2"/>
  <c r="L350" i="2"/>
  <c r="N350" i="2"/>
  <c r="K351" i="2"/>
  <c r="L351" i="2"/>
  <c r="N351" i="2"/>
  <c r="K352" i="2"/>
  <c r="L352" i="2"/>
  <c r="N352" i="2"/>
  <c r="K353" i="2"/>
  <c r="L353" i="2"/>
  <c r="N353" i="2"/>
  <c r="K354" i="2"/>
  <c r="L354" i="2"/>
  <c r="N354" i="2"/>
  <c r="K355" i="2"/>
  <c r="L355" i="2"/>
  <c r="N355" i="2"/>
  <c r="K356" i="2"/>
  <c r="L356" i="2"/>
  <c r="N356" i="2"/>
  <c r="K357" i="2"/>
  <c r="L357" i="2"/>
  <c r="N357" i="2"/>
  <c r="K358" i="2"/>
  <c r="L358" i="2"/>
  <c r="N358" i="2"/>
  <c r="K359" i="2"/>
  <c r="L359" i="2"/>
  <c r="N359" i="2"/>
  <c r="K360" i="2"/>
  <c r="L360" i="2"/>
  <c r="N360" i="2"/>
  <c r="K361" i="2"/>
  <c r="L361" i="2"/>
  <c r="N361" i="2"/>
  <c r="K362" i="2"/>
  <c r="L362" i="2"/>
  <c r="N362" i="2"/>
  <c r="K363" i="2"/>
  <c r="L363" i="2"/>
  <c r="N363" i="2"/>
  <c r="K364" i="2"/>
  <c r="L364" i="2"/>
  <c r="N364" i="2"/>
  <c r="K365" i="2"/>
  <c r="L365" i="2"/>
  <c r="N365" i="2"/>
  <c r="K366" i="2"/>
  <c r="L366" i="2"/>
  <c r="N366" i="2"/>
  <c r="K367" i="2"/>
  <c r="L367" i="2"/>
  <c r="N367" i="2"/>
  <c r="K368" i="2"/>
  <c r="L368" i="2"/>
  <c r="N368" i="2"/>
  <c r="K369" i="2"/>
  <c r="L369" i="2"/>
  <c r="N369" i="2"/>
  <c r="K370" i="2"/>
  <c r="L370" i="2"/>
  <c r="N370" i="2"/>
  <c r="K371" i="2"/>
  <c r="L371" i="2"/>
  <c r="N371" i="2"/>
  <c r="K372" i="2"/>
  <c r="L372" i="2"/>
  <c r="N372" i="2"/>
  <c r="K373" i="2"/>
  <c r="L373" i="2"/>
  <c r="N373" i="2"/>
  <c r="K374" i="2"/>
  <c r="L374" i="2"/>
  <c r="N374" i="2"/>
  <c r="K375" i="2"/>
  <c r="N375" i="2"/>
  <c r="K376" i="2"/>
  <c r="L376" i="2"/>
  <c r="N376" i="2"/>
  <c r="K377" i="2"/>
  <c r="L377" i="2"/>
  <c r="N377" i="2"/>
  <c r="K378" i="2"/>
  <c r="L378" i="2"/>
  <c r="N378" i="2"/>
  <c r="K379" i="2"/>
  <c r="L379" i="2"/>
  <c r="N379" i="2"/>
  <c r="K380" i="2"/>
  <c r="L380" i="2"/>
  <c r="N380" i="2"/>
  <c r="K381" i="2"/>
  <c r="L381" i="2"/>
  <c r="N381" i="2"/>
  <c r="K382" i="2"/>
  <c r="L382" i="2"/>
  <c r="N382" i="2"/>
  <c r="K383" i="2"/>
  <c r="L383" i="2"/>
  <c r="N383" i="2"/>
  <c r="K384" i="2"/>
  <c r="L384" i="2"/>
  <c r="N384" i="2"/>
  <c r="K385" i="2"/>
  <c r="L385" i="2"/>
  <c r="N385" i="2"/>
  <c r="K386" i="2"/>
  <c r="L386" i="2"/>
  <c r="N386" i="2"/>
  <c r="K387" i="2"/>
  <c r="L387" i="2"/>
  <c r="N387" i="2"/>
  <c r="K388" i="2"/>
  <c r="L388" i="2"/>
  <c r="N388" i="2"/>
  <c r="K389" i="2"/>
  <c r="L389" i="2"/>
  <c r="N389" i="2"/>
  <c r="K390" i="2"/>
  <c r="L390" i="2"/>
  <c r="N390" i="2"/>
  <c r="K391" i="2"/>
  <c r="L391" i="2"/>
  <c r="N391" i="2"/>
  <c r="K392" i="2"/>
  <c r="L392" i="2"/>
  <c r="N392" i="2"/>
  <c r="K393" i="2"/>
  <c r="L393" i="2"/>
  <c r="K394" i="2"/>
  <c r="L394" i="2"/>
  <c r="N394" i="2"/>
  <c r="K395" i="2"/>
  <c r="L395" i="2"/>
  <c r="N395" i="2"/>
  <c r="K396" i="2"/>
  <c r="L396" i="2"/>
  <c r="N396" i="2"/>
  <c r="K397" i="2"/>
  <c r="L397" i="2"/>
  <c r="N397" i="2"/>
  <c r="K398" i="2"/>
  <c r="L398" i="2"/>
  <c r="N398" i="2"/>
  <c r="N399" i="2"/>
  <c r="K400" i="2"/>
  <c r="L400" i="2"/>
  <c r="N400" i="2"/>
  <c r="K401" i="2"/>
  <c r="L401" i="2"/>
  <c r="N401" i="2"/>
  <c r="K402" i="2"/>
  <c r="L402" i="2"/>
  <c r="N402" i="2"/>
  <c r="K403" i="2"/>
  <c r="L403" i="2"/>
  <c r="N403" i="2"/>
  <c r="K404" i="2"/>
  <c r="L404" i="2"/>
  <c r="N404" i="2"/>
  <c r="K405" i="2"/>
  <c r="L405" i="2"/>
  <c r="N405" i="2"/>
  <c r="K406" i="2"/>
  <c r="L406" i="2"/>
  <c r="N406" i="2"/>
  <c r="K407" i="2"/>
  <c r="L407" i="2"/>
  <c r="N407" i="2"/>
  <c r="K408" i="2"/>
  <c r="L408" i="2"/>
  <c r="N408" i="2"/>
  <c r="K409" i="2"/>
  <c r="L409" i="2"/>
  <c r="N409" i="2"/>
  <c r="K410" i="2"/>
  <c r="L410" i="2"/>
  <c r="N410" i="2"/>
  <c r="K411" i="2"/>
  <c r="L411" i="2"/>
  <c r="N411" i="2"/>
  <c r="K412" i="2"/>
  <c r="L412" i="2"/>
  <c r="N412" i="2"/>
  <c r="K413" i="2"/>
  <c r="L413" i="2"/>
  <c r="N413" i="2"/>
  <c r="K414" i="2"/>
  <c r="L414" i="2"/>
  <c r="N414" i="2"/>
  <c r="K415" i="2"/>
  <c r="L415" i="2"/>
  <c r="N415" i="2"/>
  <c r="K416" i="2"/>
  <c r="L416" i="2"/>
  <c r="N416" i="2"/>
  <c r="K417" i="2"/>
  <c r="L417" i="2"/>
  <c r="N417" i="2"/>
  <c r="K418" i="2"/>
  <c r="L418" i="2"/>
  <c r="N418" i="2"/>
  <c r="K419" i="2"/>
  <c r="L419" i="2"/>
  <c r="N419" i="2"/>
  <c r="K420" i="2"/>
  <c r="L420" i="2"/>
  <c r="N420" i="2"/>
  <c r="K421" i="2"/>
  <c r="L421" i="2"/>
  <c r="N421" i="2"/>
  <c r="K422" i="2"/>
  <c r="L422" i="2"/>
  <c r="N422" i="2"/>
  <c r="K423" i="2"/>
  <c r="N423" i="2"/>
  <c r="K424" i="2"/>
  <c r="L424" i="2"/>
  <c r="N424" i="2"/>
  <c r="K425" i="2"/>
  <c r="L425" i="2"/>
  <c r="N425" i="2"/>
  <c r="K426" i="2"/>
  <c r="L426" i="2"/>
  <c r="N426" i="2"/>
  <c r="K427" i="2"/>
  <c r="L427" i="2"/>
  <c r="N427" i="2"/>
  <c r="K428" i="2"/>
  <c r="L428" i="2"/>
  <c r="N428" i="2"/>
  <c r="K429" i="2"/>
  <c r="L429" i="2"/>
  <c r="N429" i="2"/>
  <c r="K430" i="2"/>
  <c r="L430" i="2"/>
  <c r="N430" i="2"/>
  <c r="K431" i="2"/>
  <c r="L431" i="2"/>
  <c r="N431" i="2"/>
  <c r="K432" i="2"/>
  <c r="L432" i="2"/>
  <c r="N432" i="2"/>
  <c r="K433" i="2"/>
  <c r="L433" i="2"/>
  <c r="N433" i="2"/>
  <c r="K434" i="2"/>
  <c r="L434" i="2"/>
  <c r="N434" i="2"/>
  <c r="K435" i="2"/>
  <c r="L435" i="2"/>
  <c r="N435" i="2"/>
  <c r="K436" i="2"/>
  <c r="L436" i="2"/>
  <c r="N436" i="2"/>
  <c r="K437" i="2"/>
  <c r="L437" i="2"/>
  <c r="N437" i="2"/>
  <c r="K438" i="2"/>
  <c r="L438" i="2"/>
  <c r="N438" i="2"/>
  <c r="K439" i="2"/>
  <c r="L439" i="2"/>
  <c r="N439" i="2"/>
  <c r="K440" i="2"/>
  <c r="L440" i="2"/>
  <c r="N440" i="2"/>
  <c r="K441" i="2"/>
  <c r="L441" i="2"/>
  <c r="N441" i="2"/>
  <c r="K442" i="2"/>
  <c r="L442" i="2"/>
  <c r="N442" i="2"/>
  <c r="K443" i="2"/>
  <c r="L443" i="2"/>
  <c r="N443" i="2"/>
  <c r="K444" i="2"/>
  <c r="L444" i="2"/>
  <c r="N444" i="2"/>
  <c r="K445" i="2"/>
  <c r="L445" i="2"/>
  <c r="N445" i="2"/>
  <c r="K446" i="2"/>
  <c r="L446" i="2"/>
  <c r="N446" i="2"/>
  <c r="K447" i="2"/>
  <c r="L447" i="2"/>
  <c r="N447" i="2"/>
  <c r="K448" i="2"/>
  <c r="L448" i="2"/>
  <c r="N448" i="2"/>
  <c r="K449" i="2"/>
  <c r="L449" i="2"/>
  <c r="N449" i="2"/>
  <c r="K450" i="2"/>
  <c r="L450" i="2"/>
  <c r="N450" i="2"/>
  <c r="K451" i="2"/>
  <c r="L451" i="2"/>
  <c r="N451" i="2"/>
  <c r="K452" i="2"/>
  <c r="L452" i="2"/>
  <c r="N452" i="2"/>
  <c r="K453" i="2"/>
  <c r="L453" i="2"/>
  <c r="N453" i="2"/>
  <c r="K454" i="2"/>
  <c r="L454" i="2"/>
  <c r="N454" i="2"/>
  <c r="K455" i="2"/>
  <c r="L455" i="2"/>
  <c r="N455" i="2"/>
  <c r="K456" i="2"/>
  <c r="L456" i="2"/>
  <c r="N456" i="2"/>
  <c r="K457" i="2"/>
  <c r="L457" i="2"/>
  <c r="N457" i="2"/>
  <c r="K458" i="2"/>
  <c r="L458" i="2"/>
  <c r="N458" i="2"/>
  <c r="K459" i="2"/>
  <c r="L459" i="2"/>
  <c r="N459" i="2"/>
  <c r="K460" i="2"/>
  <c r="L460" i="2"/>
  <c r="N460" i="2"/>
  <c r="K461" i="2"/>
  <c r="L461" i="2"/>
  <c r="N461" i="2"/>
  <c r="K462" i="2"/>
  <c r="L462" i="2"/>
  <c r="N462" i="2"/>
  <c r="K463" i="2"/>
  <c r="L463" i="2"/>
  <c r="N463" i="2"/>
  <c r="K464" i="2"/>
  <c r="L464" i="2"/>
  <c r="N464" i="2"/>
  <c r="K465" i="2"/>
  <c r="L465" i="2"/>
  <c r="N465" i="2"/>
  <c r="K466" i="2"/>
  <c r="L466" i="2"/>
  <c r="N466" i="2"/>
  <c r="K467" i="2"/>
  <c r="L467" i="2"/>
  <c r="N467" i="2"/>
  <c r="K468" i="2"/>
  <c r="L468" i="2"/>
  <c r="N468" i="2"/>
  <c r="K469" i="2"/>
  <c r="L469" i="2"/>
  <c r="N469" i="2"/>
  <c r="K470" i="2"/>
  <c r="L470" i="2"/>
  <c r="N470" i="2"/>
  <c r="K471" i="2"/>
  <c r="L471" i="2"/>
  <c r="N471" i="2"/>
  <c r="K472" i="2"/>
  <c r="L472" i="2"/>
  <c r="N472" i="2"/>
  <c r="K473" i="2"/>
  <c r="L473" i="2"/>
  <c r="N473" i="2"/>
  <c r="K474" i="2"/>
  <c r="L474" i="2"/>
  <c r="N474" i="2"/>
  <c r="K475" i="2"/>
  <c r="L475" i="2"/>
  <c r="N475" i="2"/>
  <c r="K476" i="2"/>
  <c r="L476" i="2"/>
  <c r="N476" i="2"/>
  <c r="K477" i="2"/>
  <c r="L477" i="2"/>
  <c r="N477" i="2"/>
  <c r="K478" i="2"/>
  <c r="L478" i="2"/>
  <c r="N478" i="2"/>
  <c r="K479" i="2"/>
  <c r="L479" i="2"/>
  <c r="N479" i="2"/>
  <c r="K480" i="2"/>
  <c r="L480" i="2"/>
  <c r="N480" i="2"/>
  <c r="K481" i="2"/>
  <c r="N481" i="2"/>
  <c r="K482" i="2"/>
  <c r="L482" i="2"/>
  <c r="N482" i="2"/>
  <c r="K483" i="2"/>
  <c r="L483" i="2"/>
  <c r="N483" i="2"/>
  <c r="K484" i="2"/>
  <c r="L484" i="2"/>
  <c r="N484" i="2"/>
  <c r="K485" i="2"/>
  <c r="L485" i="2"/>
  <c r="N485" i="2"/>
  <c r="K486" i="2"/>
  <c r="L486" i="2"/>
  <c r="N486" i="2"/>
  <c r="K487" i="2"/>
  <c r="L487" i="2"/>
  <c r="N487" i="2"/>
  <c r="K488" i="2"/>
  <c r="L488" i="2"/>
  <c r="N488" i="2"/>
  <c r="K489" i="2"/>
  <c r="L489" i="2"/>
  <c r="N489" i="2"/>
  <c r="K490" i="2"/>
  <c r="L490" i="2"/>
  <c r="K491" i="2"/>
  <c r="L491" i="2"/>
  <c r="K492" i="2"/>
  <c r="L492" i="2"/>
  <c r="N492" i="2"/>
  <c r="K493" i="2"/>
  <c r="L493" i="2"/>
  <c r="N493" i="2"/>
  <c r="K494" i="2"/>
  <c r="L494" i="2"/>
  <c r="N494" i="2"/>
  <c r="K495" i="2"/>
  <c r="L495" i="2"/>
  <c r="N495" i="2"/>
  <c r="K496" i="2"/>
  <c r="L496" i="2"/>
  <c r="N496" i="2"/>
  <c r="K497" i="2"/>
  <c r="L497" i="2"/>
  <c r="N497" i="2"/>
  <c r="K498" i="2"/>
  <c r="L498" i="2"/>
  <c r="N498" i="2"/>
  <c r="K499" i="2"/>
  <c r="L499" i="2"/>
  <c r="N499" i="2"/>
  <c r="N144" i="2" l="1"/>
  <c r="H22" i="2" l="1"/>
  <c r="AU22" i="2" s="1"/>
  <c r="AU7" i="2" s="1"/>
  <c r="F128" i="2" l="1"/>
  <c r="J111" i="2" l="1"/>
  <c r="J29" i="2" l="1"/>
  <c r="J24" i="2"/>
  <c r="J32" i="2"/>
  <c r="M128" i="2" l="1"/>
  <c r="G19" i="23" l="1"/>
  <c r="G2" i="23" s="1"/>
  <c r="F25" i="2"/>
  <c r="H25" i="2"/>
  <c r="J117" i="2" l="1"/>
  <c r="J7" i="2" s="1"/>
  <c r="M111" i="2" l="1"/>
  <c r="M131" i="2"/>
  <c r="M21" i="2"/>
  <c r="M29" i="2"/>
  <c r="F32" i="2" l="1"/>
  <c r="H32" i="2"/>
  <c r="H55" i="23"/>
  <c r="H54" i="23"/>
  <c r="H53" i="23" l="1"/>
  <c r="H167" i="23" l="1"/>
  <c r="F117" i="2" l="1"/>
  <c r="F17" i="2"/>
  <c r="F7" i="2" s="1"/>
  <c r="D2" i="2" s="1"/>
  <c r="H166" i="23" l="1"/>
  <c r="H165" i="23"/>
  <c r="H164" i="23"/>
  <c r="H170" i="23"/>
  <c r="M88" i="2"/>
  <c r="M117" i="2"/>
  <c r="H17" i="2" l="1"/>
  <c r="H7" i="2" s="1"/>
  <c r="D3" i="2" l="1"/>
  <c r="M15" i="2"/>
  <c r="M7" i="2" s="1"/>
  <c r="N22" i="2" l="1"/>
  <c r="H163" i="23" l="1"/>
  <c r="H169" i="23"/>
  <c r="H56" i="23"/>
  <c r="H57" i="23"/>
  <c r="H58" i="23"/>
  <c r="H59" i="23"/>
  <c r="H60" i="23"/>
  <c r="H61" i="23"/>
  <c r="H62" i="23"/>
  <c r="H63" i="23"/>
  <c r="H64" i="23"/>
  <c r="H65" i="23"/>
  <c r="H66" i="23"/>
  <c r="H19" i="23"/>
  <c r="H20" i="23"/>
  <c r="H21" i="23"/>
  <c r="H22" i="23"/>
  <c r="H23" i="23"/>
  <c r="H24" i="23"/>
  <c r="H51" i="23"/>
  <c r="H52" i="23"/>
  <c r="H50" i="23"/>
  <c r="H171" i="23"/>
  <c r="H36" i="23"/>
  <c r="H37" i="23"/>
  <c r="H38" i="23"/>
  <c r="H39" i="23"/>
  <c r="H40" i="23"/>
  <c r="H34" i="23"/>
  <c r="H41" i="23"/>
  <c r="H42" i="23"/>
  <c r="H43" i="23"/>
  <c r="H44" i="23"/>
  <c r="H45" i="23"/>
  <c r="H46" i="23"/>
  <c r="H47" i="23"/>
  <c r="H48" i="23"/>
  <c r="H49" i="23"/>
  <c r="H35" i="23"/>
  <c r="H29" i="23"/>
  <c r="H30" i="23"/>
  <c r="H8" i="23"/>
  <c r="H9" i="23"/>
  <c r="H10" i="23"/>
  <c r="H11" i="23"/>
  <c r="H12" i="23"/>
  <c r="H13" i="23"/>
  <c r="H14" i="23"/>
  <c r="H31" i="23"/>
  <c r="H32" i="23"/>
  <c r="H15" i="23"/>
  <c r="H16" i="23"/>
  <c r="H28" i="23"/>
  <c r="H27" i="23"/>
  <c r="H26" i="23"/>
  <c r="I26" i="23" s="1"/>
  <c r="H17" i="23"/>
  <c r="H33" i="23"/>
  <c r="H18" i="23"/>
  <c r="H7" i="23"/>
  <c r="H5" i="23"/>
  <c r="I5" i="23" s="1"/>
  <c r="H6" i="23"/>
  <c r="H144" i="23"/>
  <c r="H145" i="23"/>
  <c r="H146" i="23"/>
  <c r="H147" i="23"/>
  <c r="H148" i="23"/>
  <c r="H149" i="23"/>
  <c r="H150" i="23"/>
  <c r="H151" i="23"/>
  <c r="H152" i="23"/>
  <c r="H153" i="23"/>
  <c r="H154" i="23"/>
  <c r="H139" i="23"/>
  <c r="H140" i="23"/>
  <c r="H138" i="23"/>
  <c r="H141" i="23"/>
  <c r="H142" i="23"/>
  <c r="H143" i="23"/>
  <c r="H155" i="23"/>
  <c r="H156" i="23"/>
  <c r="H157" i="23"/>
  <c r="H126" i="23"/>
  <c r="H158" i="23"/>
  <c r="H159" i="23"/>
  <c r="H160" i="23"/>
  <c r="H161" i="23"/>
  <c r="H162" i="23"/>
  <c r="H127" i="23"/>
  <c r="H114" i="23"/>
  <c r="H92" i="23"/>
  <c r="H93" i="23"/>
  <c r="H94" i="23"/>
  <c r="H95" i="23"/>
  <c r="H96" i="23"/>
  <c r="H97" i="23"/>
  <c r="H98" i="23"/>
  <c r="H128" i="23"/>
  <c r="H129" i="23"/>
  <c r="H99" i="23"/>
  <c r="H100" i="23"/>
  <c r="H130" i="23"/>
  <c r="H131" i="23"/>
  <c r="H132" i="23"/>
  <c r="H133" i="23"/>
  <c r="H134" i="23"/>
  <c r="H135" i="23"/>
  <c r="H136" i="23"/>
  <c r="H137" i="23"/>
  <c r="H107" i="23"/>
  <c r="I107" i="23" s="1"/>
  <c r="H108" i="23"/>
  <c r="I108" i="23" s="1"/>
  <c r="H110" i="23"/>
  <c r="I110" i="23" s="1"/>
  <c r="H112" i="23"/>
  <c r="H113" i="23"/>
  <c r="H122" i="23"/>
  <c r="H123" i="23"/>
  <c r="H118" i="23"/>
  <c r="H120" i="23"/>
  <c r="H121" i="23"/>
  <c r="H125" i="23"/>
  <c r="H124" i="23"/>
  <c r="H115" i="23"/>
  <c r="H111" i="23"/>
  <c r="I111" i="23" s="1"/>
  <c r="H116" i="23"/>
  <c r="H117" i="23"/>
  <c r="H119" i="23"/>
  <c r="H101" i="23"/>
  <c r="H102" i="23"/>
  <c r="H103" i="23"/>
  <c r="H104" i="23"/>
  <c r="H183" i="23"/>
  <c r="H87" i="23"/>
  <c r="H88" i="23"/>
  <c r="H75" i="23"/>
  <c r="H67" i="23"/>
  <c r="I67" i="23" s="1"/>
  <c r="H68" i="23"/>
  <c r="I68" i="23" s="1"/>
  <c r="H77" i="23"/>
  <c r="H69" i="23"/>
  <c r="H78" i="23"/>
  <c r="H79" i="23"/>
  <c r="H80" i="23"/>
  <c r="H84" i="23"/>
  <c r="H85" i="23"/>
  <c r="H86" i="23"/>
  <c r="H82" i="23"/>
  <c r="H83" i="23"/>
  <c r="H91" i="23"/>
  <c r="H89" i="23"/>
  <c r="H90" i="23"/>
  <c r="H70" i="23"/>
  <c r="I70" i="23" s="1"/>
  <c r="H71" i="23"/>
  <c r="I71" i="23" s="1"/>
  <c r="H74" i="23"/>
  <c r="H73" i="23"/>
  <c r="H72" i="23"/>
  <c r="H105" i="23"/>
  <c r="H106" i="23"/>
  <c r="H172" i="23"/>
  <c r="H173" i="23"/>
  <c r="H174" i="23"/>
  <c r="H175" i="23"/>
  <c r="H176" i="23"/>
  <c r="H177" i="23"/>
  <c r="H178" i="23"/>
  <c r="H179" i="23"/>
  <c r="H184" i="23"/>
  <c r="H185" i="23"/>
  <c r="H186" i="23"/>
  <c r="H187" i="23"/>
  <c r="H230" i="23"/>
  <c r="H231" i="23"/>
  <c r="H232" i="23"/>
  <c r="H233" i="23"/>
  <c r="H234" i="23"/>
  <c r="H235" i="23"/>
  <c r="H236" i="23"/>
  <c r="H237" i="23"/>
  <c r="H238" i="23"/>
  <c r="H239" i="23"/>
  <c r="H242" i="23"/>
  <c r="H243" i="23"/>
  <c r="H244" i="23"/>
  <c r="H245" i="23"/>
  <c r="H246" i="23"/>
  <c r="H200" i="23"/>
  <c r="H201" i="23"/>
  <c r="H202" i="23"/>
  <c r="H203" i="23"/>
  <c r="H248" i="23"/>
  <c r="H249" i="23"/>
  <c r="H250" i="23"/>
  <c r="H251" i="23"/>
  <c r="H252" i="23"/>
  <c r="H253" i="23"/>
  <c r="H254" i="23"/>
  <c r="H255" i="23"/>
  <c r="H212" i="23"/>
  <c r="H213" i="23"/>
  <c r="H256" i="23"/>
  <c r="H215" i="23"/>
  <c r="H216" i="23"/>
  <c r="H217" i="23"/>
  <c r="H218" i="23"/>
  <c r="H219" i="23"/>
  <c r="H220" i="23"/>
  <c r="H221" i="23"/>
  <c r="H257" i="23"/>
  <c r="H258" i="23"/>
  <c r="H259" i="23"/>
  <c r="H260" i="23"/>
  <c r="H261" i="23"/>
  <c r="H262" i="23"/>
  <c r="H263" i="23"/>
  <c r="H264" i="23"/>
  <c r="H265" i="23"/>
  <c r="H266" i="23"/>
  <c r="H267" i="23"/>
  <c r="H268" i="23"/>
  <c r="H269" i="23"/>
  <c r="H270" i="23"/>
  <c r="H271" i="23"/>
  <c r="I271" i="23" s="1"/>
  <c r="H272" i="23"/>
  <c r="I272" i="23" s="1"/>
  <c r="H273" i="23"/>
  <c r="I273" i="23" s="1"/>
  <c r="H274" i="23"/>
  <c r="I274" i="23" s="1"/>
  <c r="H240" i="23"/>
  <c r="H241" i="23"/>
  <c r="H247" i="23"/>
  <c r="H275" i="23"/>
  <c r="I275" i="23" s="1"/>
  <c r="H276" i="23"/>
  <c r="I276" i="23" s="1"/>
  <c r="H277" i="23"/>
  <c r="I277" i="23" s="1"/>
  <c r="H278" i="23"/>
  <c r="I278" i="23" s="1"/>
  <c r="H188" i="23"/>
  <c r="H189" i="23"/>
  <c r="H190" i="23"/>
  <c r="H191" i="23"/>
  <c r="H192" i="23"/>
  <c r="H193" i="23"/>
  <c r="H194" i="23"/>
  <c r="H195" i="23"/>
  <c r="H196" i="23"/>
  <c r="H197" i="23"/>
  <c r="H198" i="23"/>
  <c r="H199" i="23"/>
  <c r="H204" i="23"/>
  <c r="H205" i="23"/>
  <c r="H206" i="23"/>
  <c r="H207" i="23"/>
  <c r="H208" i="23"/>
  <c r="H209" i="23"/>
  <c r="H210" i="23"/>
  <c r="H211" i="23"/>
  <c r="H214" i="23"/>
  <c r="H25" i="23"/>
  <c r="H222" i="23"/>
  <c r="H223" i="23"/>
  <c r="H180" i="23"/>
  <c r="H224" i="23"/>
  <c r="H225" i="23"/>
  <c r="H226" i="23"/>
  <c r="H227" i="23"/>
  <c r="H228" i="23"/>
  <c r="H181" i="23"/>
  <c r="H229" i="23"/>
  <c r="H279" i="23"/>
  <c r="H280" i="23"/>
  <c r="H281" i="23"/>
  <c r="H282" i="23"/>
  <c r="H283" i="23"/>
  <c r="H285" i="23"/>
  <c r="H286" i="23"/>
  <c r="H287" i="23"/>
  <c r="H288" i="23"/>
  <c r="H289" i="23"/>
  <c r="H290" i="23"/>
  <c r="H291" i="23"/>
  <c r="H292" i="23"/>
  <c r="H293" i="23"/>
  <c r="H294" i="23"/>
  <c r="H295" i="23"/>
  <c r="H296" i="23"/>
  <c r="H297" i="23"/>
  <c r="H298" i="23"/>
  <c r="H299" i="23"/>
  <c r="H300" i="23"/>
  <c r="H301" i="23"/>
  <c r="H302" i="23"/>
  <c r="H303" i="23"/>
  <c r="H304" i="23"/>
  <c r="H305" i="23"/>
  <c r="H306" i="23"/>
  <c r="H307" i="23"/>
  <c r="H309" i="23"/>
  <c r="H310" i="23"/>
  <c r="H311" i="23"/>
  <c r="H312" i="23"/>
  <c r="H313" i="23"/>
  <c r="H314" i="23"/>
  <c r="H315" i="23"/>
  <c r="H316" i="23"/>
  <c r="H317" i="23"/>
  <c r="H318" i="23"/>
  <c r="H319" i="23"/>
  <c r="H320" i="23"/>
  <c r="H321" i="23"/>
  <c r="H322" i="23"/>
  <c r="H323" i="23"/>
  <c r="H324" i="23"/>
  <c r="H325" i="23"/>
  <c r="H326" i="23"/>
  <c r="H327" i="23"/>
  <c r="H328" i="23"/>
  <c r="H329" i="23"/>
  <c r="H330" i="23"/>
  <c r="H331" i="23"/>
  <c r="H332" i="23"/>
  <c r="H333" i="23"/>
  <c r="H334" i="23"/>
  <c r="H335" i="23"/>
  <c r="H336" i="23"/>
  <c r="H337" i="23"/>
  <c r="H338" i="23"/>
  <c r="H339" i="23"/>
  <c r="H340" i="23"/>
  <c r="H341" i="23"/>
  <c r="H342" i="23"/>
  <c r="H343" i="23"/>
  <c r="H344" i="23"/>
  <c r="H345" i="23"/>
  <c r="H346" i="23"/>
  <c r="H347" i="23"/>
  <c r="H348" i="23"/>
  <c r="H349" i="23"/>
  <c r="H350" i="23"/>
  <c r="H351" i="23"/>
  <c r="H352" i="23"/>
  <c r="H353" i="23"/>
  <c r="H354" i="23"/>
  <c r="H355" i="23"/>
  <c r="H356" i="23"/>
  <c r="H357" i="23"/>
  <c r="H358" i="23"/>
  <c r="H359" i="23"/>
  <c r="H360" i="23"/>
  <c r="H361" i="23"/>
  <c r="H362" i="23"/>
  <c r="H363" i="23"/>
  <c r="H364" i="23"/>
  <c r="H365" i="23"/>
  <c r="H366" i="23"/>
  <c r="H367" i="23"/>
  <c r="H368" i="23"/>
  <c r="H369" i="23"/>
  <c r="H370" i="23"/>
  <c r="H371" i="23"/>
  <c r="H372" i="23"/>
  <c r="H373" i="23"/>
  <c r="H374" i="23"/>
  <c r="H375"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7" i="23"/>
  <c r="H408" i="23"/>
  <c r="H409" i="23"/>
  <c r="H410" i="23"/>
  <c r="H411" i="23"/>
  <c r="H412" i="23"/>
  <c r="H413" i="23"/>
  <c r="H414" i="23"/>
  <c r="H415" i="23"/>
  <c r="H416" i="23"/>
  <c r="H417" i="23"/>
  <c r="H418" i="23"/>
  <c r="H419" i="23"/>
  <c r="H420" i="23"/>
  <c r="H421" i="23"/>
  <c r="H422" i="23"/>
  <c r="H423" i="23"/>
  <c r="H424" i="23"/>
  <c r="H425" i="23"/>
  <c r="H426" i="23"/>
  <c r="H427" i="23"/>
  <c r="H428" i="23"/>
  <c r="H429" i="23"/>
  <c r="H430" i="23"/>
  <c r="H431" i="23"/>
  <c r="H432" i="23"/>
  <c r="H433" i="23"/>
  <c r="H434" i="23"/>
  <c r="H435" i="23"/>
  <c r="H436" i="23"/>
  <c r="H437" i="23"/>
  <c r="H438" i="23"/>
  <c r="H439" i="23"/>
  <c r="H440" i="23"/>
  <c r="H446" i="23"/>
  <c r="H445" i="23"/>
  <c r="H444" i="23"/>
  <c r="H443" i="23"/>
  <c r="H442" i="23"/>
  <c r="H441" i="23"/>
  <c r="H168" i="23"/>
  <c r="F2" i="23"/>
  <c r="I2" i="23" l="1"/>
  <c r="N131" i="2" l="1"/>
  <c r="K16" i="2" l="1"/>
  <c r="L16" i="2"/>
  <c r="N16" i="2"/>
  <c r="K17" i="2"/>
  <c r="L17" i="2"/>
  <c r="N17" i="2"/>
  <c r="K22" i="2"/>
  <c r="L22" i="2"/>
  <c r="K131" i="2"/>
  <c r="L131" i="2"/>
  <c r="K128" i="2"/>
  <c r="L128" i="2"/>
  <c r="N128" i="2"/>
  <c r="K21" i="2"/>
  <c r="L21" i="2"/>
  <c r="N21" i="2"/>
  <c r="K88" i="2"/>
  <c r="L88" i="2"/>
  <c r="N88" i="2"/>
  <c r="K117" i="2"/>
  <c r="L117" i="2"/>
  <c r="N117" i="2"/>
  <c r="K24" i="2"/>
  <c r="L24" i="2"/>
  <c r="N24" i="2"/>
  <c r="K25" i="2"/>
  <c r="L25" i="2"/>
  <c r="N25" i="2"/>
  <c r="K26" i="2"/>
  <c r="L26" i="2"/>
  <c r="N26" i="2"/>
  <c r="K27" i="2"/>
  <c r="L27" i="2"/>
  <c r="N27" i="2"/>
  <c r="K28" i="2"/>
  <c r="L28" i="2"/>
  <c r="N28" i="2"/>
  <c r="K29" i="2"/>
  <c r="L29" i="2"/>
  <c r="N29" i="2"/>
  <c r="K30" i="2"/>
  <c r="L30" i="2"/>
  <c r="N30" i="2"/>
  <c r="K31" i="2"/>
  <c r="L31" i="2"/>
  <c r="N31" i="2"/>
  <c r="K32" i="2"/>
  <c r="L32" i="2"/>
  <c r="N32" i="2"/>
  <c r="K138" i="2"/>
  <c r="L138" i="2"/>
  <c r="N138" i="2"/>
  <c r="K111" i="2"/>
  <c r="L111" i="2"/>
  <c r="N111" i="2"/>
  <c r="K127" i="2"/>
  <c r="L127" i="2"/>
  <c r="N127" i="2"/>
  <c r="K36" i="2"/>
  <c r="L36" i="2"/>
  <c r="N36" i="2"/>
  <c r="K37" i="2"/>
  <c r="L37" i="2"/>
  <c r="N37" i="2"/>
  <c r="K38" i="2"/>
  <c r="L38" i="2"/>
  <c r="N38" i="2"/>
  <c r="K39" i="2"/>
  <c r="L39" i="2"/>
  <c r="N39" i="2"/>
  <c r="K40" i="2"/>
  <c r="N40" i="2"/>
  <c r="K41" i="2"/>
  <c r="K42" i="2"/>
  <c r="L42" i="2"/>
  <c r="N42" i="2"/>
  <c r="K43" i="2"/>
  <c r="L43" i="2"/>
  <c r="N43" i="2"/>
  <c r="K44" i="2"/>
  <c r="L44" i="2"/>
  <c r="N44" i="2"/>
  <c r="K45" i="2"/>
  <c r="N45" i="2"/>
  <c r="K46" i="2"/>
  <c r="L46" i="2"/>
  <c r="N46" i="2"/>
  <c r="K47" i="2"/>
  <c r="L47" i="2"/>
  <c r="N47" i="2"/>
  <c r="K48" i="2"/>
  <c r="L48" i="2"/>
  <c r="N48" i="2"/>
  <c r="K49" i="2"/>
  <c r="N49" i="2"/>
  <c r="K50" i="2"/>
  <c r="L50" i="2"/>
  <c r="N50" i="2"/>
  <c r="K51" i="2"/>
  <c r="L51" i="2"/>
  <c r="N51" i="2"/>
  <c r="K52" i="2"/>
  <c r="L52" i="2"/>
  <c r="N52" i="2"/>
  <c r="K53" i="2"/>
  <c r="L53" i="2"/>
  <c r="N53" i="2"/>
  <c r="K54" i="2"/>
  <c r="L54" i="2"/>
  <c r="N54" i="2"/>
  <c r="K55" i="2"/>
  <c r="L55" i="2"/>
  <c r="N55" i="2"/>
  <c r="K56" i="2"/>
  <c r="L56" i="2"/>
  <c r="N56" i="2"/>
  <c r="K57" i="2"/>
  <c r="L57" i="2"/>
  <c r="N57" i="2"/>
  <c r="K58" i="2"/>
  <c r="L58" i="2"/>
  <c r="N58" i="2"/>
  <c r="K59" i="2"/>
  <c r="L59" i="2"/>
  <c r="N59" i="2"/>
  <c r="K60" i="2"/>
  <c r="L60" i="2"/>
  <c r="N60" i="2"/>
  <c r="K61" i="2"/>
  <c r="N61" i="2"/>
  <c r="K62" i="2"/>
  <c r="L62" i="2"/>
  <c r="N62" i="2"/>
  <c r="K63" i="2"/>
  <c r="L63" i="2"/>
  <c r="N63" i="2"/>
  <c r="K64" i="2"/>
  <c r="L64" i="2"/>
  <c r="K65" i="2"/>
  <c r="L65" i="2"/>
  <c r="K66" i="2"/>
  <c r="N66" i="2"/>
  <c r="K67" i="2"/>
  <c r="L67" i="2"/>
  <c r="N67" i="2"/>
  <c r="K68" i="2"/>
  <c r="N68" i="2"/>
  <c r="K69" i="2"/>
  <c r="L69" i="2"/>
  <c r="N69" i="2"/>
  <c r="K70" i="2"/>
  <c r="N70" i="2"/>
  <c r="K137" i="2"/>
  <c r="L137" i="2"/>
  <c r="N137" i="2"/>
  <c r="K87" i="2"/>
  <c r="N87" i="2"/>
  <c r="K121" i="2"/>
  <c r="N121" i="2"/>
  <c r="K144" i="2"/>
  <c r="L144" i="2"/>
  <c r="K75" i="2"/>
  <c r="N75" i="2"/>
  <c r="K76" i="2"/>
  <c r="L76" i="2"/>
  <c r="N76" i="2"/>
  <c r="K77" i="2"/>
  <c r="L77" i="2"/>
  <c r="N77" i="2"/>
  <c r="K78" i="2"/>
  <c r="L78" i="2"/>
  <c r="N78" i="2"/>
  <c r="K79" i="2"/>
  <c r="L79" i="2"/>
  <c r="N79" i="2"/>
  <c r="K80" i="2"/>
  <c r="L80" i="2"/>
  <c r="N80" i="2"/>
  <c r="K81" i="2"/>
  <c r="L81" i="2"/>
  <c r="N81" i="2"/>
  <c r="K82" i="2"/>
  <c r="L82" i="2"/>
  <c r="N82" i="2"/>
  <c r="K83" i="2"/>
  <c r="L83" i="2"/>
  <c r="N83" i="2"/>
  <c r="K84" i="2"/>
  <c r="N84" i="2"/>
  <c r="K85" i="2"/>
  <c r="L85" i="2"/>
  <c r="N85" i="2"/>
  <c r="K86" i="2"/>
  <c r="L86" i="2"/>
  <c r="N86" i="2"/>
  <c r="K120" i="2"/>
  <c r="L120" i="2"/>
  <c r="N120" i="2"/>
  <c r="K136" i="2"/>
  <c r="L136" i="2"/>
  <c r="N136" i="2"/>
  <c r="K89" i="2"/>
  <c r="L89" i="2"/>
  <c r="N89" i="2"/>
  <c r="K90" i="2"/>
  <c r="L90" i="2"/>
  <c r="N90" i="2"/>
  <c r="K91" i="2"/>
  <c r="L91" i="2"/>
  <c r="N91" i="2"/>
  <c r="K92" i="2"/>
  <c r="L92" i="2"/>
  <c r="N92" i="2"/>
  <c r="K93" i="2"/>
  <c r="L93" i="2"/>
  <c r="N93" i="2"/>
  <c r="K94" i="2"/>
  <c r="L94" i="2"/>
  <c r="N94" i="2"/>
  <c r="K33" i="2"/>
  <c r="N33" i="2"/>
  <c r="K96" i="2"/>
  <c r="L96" i="2"/>
  <c r="N96" i="2"/>
  <c r="K97" i="2"/>
  <c r="L97" i="2"/>
  <c r="N97" i="2"/>
  <c r="K98" i="2"/>
  <c r="L98" i="2"/>
  <c r="N98" i="2"/>
  <c r="K99" i="2"/>
  <c r="L99" i="2"/>
  <c r="N99" i="2"/>
  <c r="K100" i="2"/>
  <c r="L100" i="2"/>
  <c r="N100" i="2"/>
  <c r="L101" i="2"/>
  <c r="N101" i="2"/>
  <c r="N15" i="2" l="1"/>
  <c r="N13" i="2" l="1"/>
  <c r="N14" i="2"/>
  <c r="N12" i="2"/>
  <c r="N11" i="2"/>
  <c r="N7" i="2" l="1"/>
  <c r="K14" i="2" l="1"/>
  <c r="L14" i="2"/>
  <c r="K15" i="2"/>
  <c r="L15" i="2"/>
  <c r="K12" i="2" l="1"/>
  <c r="L12" i="2"/>
  <c r="K13" i="2"/>
  <c r="L13" i="2"/>
  <c r="L11" i="2"/>
  <c r="K11" i="2"/>
  <c r="K7" i="2" l="1"/>
  <c r="D5" i="2" s="1"/>
  <c r="L7" i="2"/>
  <c r="D6" i="2" s="1"/>
  <c r="D4" i="2"/>
  <c r="J1" i="40" l="1"/>
  <c r="H308" i="23" l="1"/>
  <c r="H2" i="23" s="1"/>
  <c r="J2"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X9" authorId="0" shapeId="0" xr:uid="{00000000-0006-0000-0200-000001000000}">
      <text>
        <r>
          <rPr>
            <b/>
            <sz val="9"/>
            <color indexed="81"/>
            <rFont val="Tahoma"/>
            <family val="2"/>
          </rPr>
          <t>Author:</t>
        </r>
        <r>
          <rPr>
            <sz val="9"/>
            <color indexed="81"/>
            <rFont val="Tahoma"/>
            <family val="2"/>
          </rPr>
          <t xml:space="preserve">
აქ არ შედის კორპუსები და გაქარვები.</t>
        </r>
      </text>
    </comment>
    <comment ref="BA9" authorId="0" shapeId="0" xr:uid="{00000000-0006-0000-0200-000002000000}">
      <text>
        <r>
          <rPr>
            <b/>
            <sz val="9"/>
            <color indexed="81"/>
            <rFont val="Tahoma"/>
            <family val="2"/>
          </rPr>
          <t>Author:</t>
        </r>
        <r>
          <rPr>
            <sz val="9"/>
            <color indexed="81"/>
            <rFont val="Tahoma"/>
            <family val="2"/>
          </rPr>
          <t xml:space="preserve">
აქ არ შედის კორპუსები და გაქარვები.</t>
        </r>
      </text>
    </comment>
    <comment ref="AU18" authorId="0" shapeId="0" xr:uid="{00000000-0006-0000-0200-000003000000}">
      <text>
        <r>
          <rPr>
            <b/>
            <sz val="9"/>
            <color indexed="81"/>
            <rFont val="Tahoma"/>
            <family val="2"/>
          </rPr>
          <t>Author:</t>
        </r>
        <r>
          <rPr>
            <sz val="9"/>
            <color indexed="81"/>
            <rFont val="Tahoma"/>
            <family val="2"/>
          </rPr>
          <t xml:space="preserve">
147 869,7</t>
        </r>
      </text>
    </comment>
    <comment ref="AU20" authorId="0" shapeId="0" xr:uid="{00000000-0006-0000-0200-000004000000}">
      <text>
        <r>
          <rPr>
            <b/>
            <sz val="9"/>
            <color indexed="81"/>
            <rFont val="Tahoma"/>
            <family val="2"/>
          </rPr>
          <t>Author:</t>
        </r>
        <r>
          <rPr>
            <sz val="9"/>
            <color indexed="81"/>
            <rFont val="Tahoma"/>
            <family val="2"/>
          </rPr>
          <t xml:space="preserve">
58 834,37</t>
        </r>
      </text>
    </comment>
    <comment ref="D31" authorId="0" shapeId="0" xr:uid="{00000000-0006-0000-0200-000005000000}">
      <text>
        <r>
          <rPr>
            <b/>
            <sz val="9"/>
            <color indexed="81"/>
            <rFont val="Tahoma"/>
            <family val="2"/>
            <charset val="204"/>
          </rPr>
          <t>Author:</t>
        </r>
        <r>
          <rPr>
            <sz val="9"/>
            <color indexed="81"/>
            <rFont val="Tahoma"/>
            <family val="2"/>
            <charset val="204"/>
          </rPr>
          <t xml:space="preserve">
ხელშეკრულება გასაუქმებელია!</t>
        </r>
      </text>
    </comment>
    <comment ref="H33" authorId="0" shapeId="0" xr:uid="{00000000-0006-0000-0200-000006000000}">
      <text>
        <r>
          <rPr>
            <b/>
            <sz val="9"/>
            <color indexed="81"/>
            <rFont val="Tahoma"/>
            <family val="2"/>
          </rPr>
          <t>Author:</t>
        </r>
        <r>
          <rPr>
            <sz val="9"/>
            <color indexed="81"/>
            <rFont val="Tahoma"/>
            <family val="2"/>
          </rPr>
          <t xml:space="preserve">
2022-ში დასრულდა მხოლოდ 8 კორპუსი 540 365 ლარის სამუშაოები!</t>
        </r>
      </text>
    </comment>
    <comment ref="AT33" authorId="0" shapeId="0" xr:uid="{00000000-0006-0000-0200-000007000000}">
      <text>
        <r>
          <rPr>
            <b/>
            <sz val="9"/>
            <color indexed="81"/>
            <rFont val="Tahoma"/>
            <family val="2"/>
          </rPr>
          <t>Author:</t>
        </r>
        <r>
          <rPr>
            <sz val="9"/>
            <color indexed="81"/>
            <rFont val="Tahoma"/>
            <family val="2"/>
          </rPr>
          <t xml:space="preserve">
მხოლოდ 2022-ში დასრულებული 8 ობიექტის (ჯამური თანხით 540 365 ლარი) ფაქტორინგი</t>
        </r>
      </text>
    </comment>
    <comment ref="AV33" authorId="0" shapeId="0" xr:uid="{00000000-0006-0000-0200-000008000000}">
      <text>
        <r>
          <rPr>
            <b/>
            <sz val="9"/>
            <color indexed="81"/>
            <rFont val="Tahoma"/>
            <family val="2"/>
          </rPr>
          <t>Author:</t>
        </r>
        <r>
          <rPr>
            <sz val="9"/>
            <color indexed="81"/>
            <rFont val="Tahoma"/>
            <family val="2"/>
          </rPr>
          <t xml:space="preserve">
ფაქტორინგის თანხა დავამატე ჯამურად ბუღალტერიიის (რუზანამ გამომიგზავნა) ინფოზე დაყრდნობით!</t>
        </r>
      </text>
    </comment>
    <comment ref="D45" authorId="0" shapeId="0" xr:uid="{00000000-0006-0000-0200-000009000000}">
      <text>
        <r>
          <rPr>
            <b/>
            <sz val="9"/>
            <color indexed="81"/>
            <rFont val="Tahoma"/>
            <family val="2"/>
          </rPr>
          <t>Author:</t>
        </r>
        <r>
          <rPr>
            <sz val="9"/>
            <color indexed="81"/>
            <rFont val="Tahoma"/>
            <family val="2"/>
          </rPr>
          <t xml:space="preserve">
ჩაბარდა გორასთან ერთად.</t>
        </r>
      </text>
    </comment>
    <comment ref="BK45" authorId="0" shapeId="0" xr:uid="{00000000-0006-0000-0200-00000A000000}">
      <text>
        <r>
          <rPr>
            <b/>
            <sz val="9"/>
            <color indexed="81"/>
            <rFont val="Tahoma"/>
            <family val="2"/>
          </rPr>
          <t>Author:</t>
        </r>
        <r>
          <rPr>
            <sz val="9"/>
            <color indexed="81"/>
            <rFont val="Tahoma"/>
            <family val="2"/>
          </rPr>
          <t xml:space="preserve">
ჩაბარდა გორასთან ერთად.</t>
        </r>
      </text>
    </comment>
    <comment ref="BK47" authorId="0" shapeId="0" xr:uid="{00000000-0006-0000-0200-00000B000000}">
      <text>
        <r>
          <rPr>
            <b/>
            <sz val="9"/>
            <color indexed="81"/>
            <rFont val="Tahoma"/>
            <family val="2"/>
          </rPr>
          <t>Author:</t>
        </r>
        <r>
          <rPr>
            <sz val="9"/>
            <color indexed="81"/>
            <rFont val="Tahoma"/>
            <family val="2"/>
          </rPr>
          <t xml:space="preserve">
2 678 697,93 მიღებულია ექსპლუატაციაში 2022 წელს.</t>
        </r>
      </text>
    </comment>
    <comment ref="AW49" authorId="0" shapeId="0" xr:uid="{00000000-0006-0000-0200-00000C000000}">
      <text>
        <r>
          <rPr>
            <b/>
            <sz val="9"/>
            <color indexed="81"/>
            <rFont val="Tahoma"/>
            <family val="2"/>
          </rPr>
          <t>Author:</t>
        </r>
        <r>
          <rPr>
            <sz val="9"/>
            <color indexed="81"/>
            <rFont val="Tahoma"/>
            <family val="2"/>
          </rPr>
          <t xml:space="preserve">
მეორე ფაქტორინგის ხარჯი არ მოხვდა ხარჯთაღრიცხვაში, რადგან ფაქტორინგი გაიცა აგვისტოში, საბოლოო მიღების შემდეგ.</t>
        </r>
      </text>
    </comment>
    <comment ref="AW55" authorId="0" shapeId="0" xr:uid="{00000000-0006-0000-0200-00000D000000}">
      <text>
        <r>
          <rPr>
            <b/>
            <sz val="9"/>
            <color indexed="81"/>
            <rFont val="Tahoma"/>
            <family val="2"/>
          </rPr>
          <t>Author:</t>
        </r>
        <r>
          <rPr>
            <sz val="9"/>
            <color indexed="81"/>
            <rFont val="Tahoma"/>
            <family val="2"/>
          </rPr>
          <t xml:space="preserve">
ფაქტორინგის ხარჯი არ მოხვდა ხარჯთაღრიცხვაში, რადგან ფაქტორინგი გაიცა აგვისტოში, საბოლოო მიღების შემდეგ.</t>
        </r>
      </text>
    </comment>
    <comment ref="AW66" authorId="0" shapeId="0" xr:uid="{00000000-0006-0000-0200-00000E000000}">
      <text>
        <r>
          <rPr>
            <b/>
            <sz val="9"/>
            <color indexed="81"/>
            <rFont val="Tahoma"/>
            <family val="2"/>
          </rPr>
          <t>Author:</t>
        </r>
        <r>
          <rPr>
            <sz val="9"/>
            <color indexed="81"/>
            <rFont val="Tahoma"/>
            <family val="2"/>
          </rPr>
          <t xml:space="preserve">
ფაქტორინგი აიღეს დახურულ ობიექტზე ამიტომ ხარჯთაღრიცხვაში ფაქტორინგის ხარჯი არასრულადაა მითითებული!</t>
        </r>
      </text>
    </comment>
    <comment ref="AW67" authorId="0" shapeId="0" xr:uid="{00000000-0006-0000-0200-00000F000000}">
      <text>
        <r>
          <rPr>
            <b/>
            <sz val="9"/>
            <color indexed="81"/>
            <rFont val="Tahoma"/>
            <family val="2"/>
          </rPr>
          <t>Author:</t>
        </r>
        <r>
          <rPr>
            <sz val="9"/>
            <color indexed="81"/>
            <rFont val="Tahoma"/>
            <family val="2"/>
          </rPr>
          <t xml:space="preserve">
ფაქტორინგი აიღეს დახურულ ობიექტზე ამიტომ ხარჯთაღრიცხვაში ფაქტორინგის ხარჯი არა მითითებული!</t>
        </r>
      </text>
    </comment>
    <comment ref="AW68" authorId="0" shapeId="0" xr:uid="{00000000-0006-0000-0200-000010000000}">
      <text>
        <r>
          <rPr>
            <b/>
            <sz val="9"/>
            <color indexed="81"/>
            <rFont val="Tahoma"/>
            <family val="2"/>
          </rPr>
          <t>Author:</t>
        </r>
        <r>
          <rPr>
            <sz val="9"/>
            <color indexed="81"/>
            <rFont val="Tahoma"/>
            <family val="2"/>
          </rPr>
          <t xml:space="preserve">
ფაქტორინგი აიღეს დახურულ ობიექტზე ამიტომ ხარჯთაღრიცხვაში ფაქტორინგის ხარჯი არასრულადაა მითითებული!</t>
        </r>
      </text>
    </comment>
    <comment ref="AW69" authorId="0" shapeId="0" xr:uid="{00000000-0006-0000-0200-000011000000}">
      <text>
        <r>
          <rPr>
            <b/>
            <sz val="9"/>
            <color indexed="81"/>
            <rFont val="Tahoma"/>
            <family val="2"/>
          </rPr>
          <t>Author:</t>
        </r>
        <r>
          <rPr>
            <sz val="9"/>
            <color indexed="81"/>
            <rFont val="Tahoma"/>
            <family val="2"/>
          </rPr>
          <t xml:space="preserve">
ფაქტორინგი აიღეს დახურულ ობიექტზე ამიტომ ხარჯთაღრიცხვაში ფაქტორინგის ხარჯი არა მითითებული!</t>
        </r>
      </text>
    </comment>
    <comment ref="M75" authorId="0" shapeId="0" xr:uid="{AFDCBC39-4B51-4DF0-813B-2D1B79B44833}">
      <text>
        <r>
          <rPr>
            <b/>
            <sz val="9"/>
            <color indexed="81"/>
            <rFont val="Tahoma"/>
            <family val="2"/>
          </rPr>
          <t>Author:</t>
        </r>
        <r>
          <rPr>
            <sz val="9"/>
            <color indexed="81"/>
            <rFont val="Tahoma"/>
            <family val="2"/>
          </rPr>
          <t xml:space="preserve">
გამოკლებულია შიდა ქსელი!</t>
        </r>
      </text>
    </comment>
    <comment ref="AF75" authorId="0" shapeId="0" xr:uid="{BE5137E2-5073-4B09-8E7D-9342F655662D}">
      <text>
        <r>
          <rPr>
            <b/>
            <sz val="9"/>
            <color indexed="81"/>
            <rFont val="Tahoma"/>
            <family val="2"/>
          </rPr>
          <t>Author:</t>
        </r>
        <r>
          <rPr>
            <sz val="9"/>
            <color indexed="81"/>
            <rFont val="Tahoma"/>
            <family val="2"/>
          </rPr>
          <t xml:space="preserve">
პროექტია შიდა ქსელების.</t>
        </r>
      </text>
    </comment>
    <comment ref="D83" authorId="0" shapeId="0" xr:uid="{00000000-0006-0000-0200-000012000000}">
      <text>
        <r>
          <rPr>
            <b/>
            <sz val="9"/>
            <color indexed="81"/>
            <rFont val="Tahoma"/>
            <family val="2"/>
          </rPr>
          <t>Author:</t>
        </r>
        <r>
          <rPr>
            <sz val="9"/>
            <color indexed="81"/>
            <rFont val="Tahoma"/>
            <family val="2"/>
          </rPr>
          <t xml:space="preserve">
კორპუსებია და ცალკე ჩანართშია დეტალურად.</t>
        </r>
      </text>
    </comment>
    <comment ref="H83" authorId="0" shapeId="0" xr:uid="{00000000-0006-0000-0200-000013000000}">
      <text>
        <r>
          <rPr>
            <b/>
            <sz val="9"/>
            <color indexed="81"/>
            <rFont val="Tahoma"/>
            <family val="2"/>
          </rPr>
          <t>Author:</t>
        </r>
        <r>
          <rPr>
            <sz val="9"/>
            <color indexed="81"/>
            <rFont val="Tahoma"/>
            <family val="2"/>
          </rPr>
          <t xml:space="preserve">
კორპუსებია და ცალკე ჩანართშია დეტალურად.</t>
        </r>
      </text>
    </comment>
    <comment ref="J83" authorId="0" shapeId="0" xr:uid="{00000000-0006-0000-0200-000014000000}">
      <text>
        <r>
          <rPr>
            <b/>
            <sz val="9"/>
            <color indexed="81"/>
            <rFont val="Tahoma"/>
            <family val="2"/>
          </rPr>
          <t>Author:
კორპუსებია და ცალკე ჩანართშია დეტალურად.</t>
        </r>
      </text>
    </comment>
    <comment ref="BG83" authorId="0" shapeId="0" xr:uid="{00000000-0006-0000-0200-000015000000}">
      <text>
        <r>
          <rPr>
            <b/>
            <sz val="9"/>
            <color indexed="81"/>
            <rFont val="Tahoma"/>
            <family val="2"/>
          </rPr>
          <t>Author:</t>
        </r>
        <r>
          <rPr>
            <sz val="9"/>
            <color indexed="81"/>
            <rFont val="Tahoma"/>
            <family val="2"/>
          </rPr>
          <t xml:space="preserve">
საბოლოოდ 2023-ში ჩაბარდა 9 კორპუსი თანხით 212 647,42 ლარი.</t>
        </r>
      </text>
    </comment>
    <comment ref="BJ83" authorId="0" shapeId="0" xr:uid="{00000000-0006-0000-0200-000016000000}">
      <text>
        <r>
          <rPr>
            <b/>
            <sz val="9"/>
            <color indexed="81"/>
            <rFont val="Tahoma"/>
            <family val="2"/>
          </rPr>
          <t>Author:</t>
        </r>
        <r>
          <rPr>
            <sz val="9"/>
            <color indexed="81"/>
            <rFont val="Tahoma"/>
            <family val="2"/>
          </rPr>
          <t xml:space="preserve">
2023-ში ჩაბარდა 9 კორეპუსი თანხით 212 647,42 პროექტირების თანხის გარეშე.</t>
        </r>
      </text>
    </comment>
    <comment ref="D89" authorId="0" shapeId="0" xr:uid="{00000000-0006-0000-0200-000017000000}">
      <text>
        <r>
          <rPr>
            <b/>
            <sz val="9"/>
            <color indexed="81"/>
            <rFont val="Tahoma"/>
            <family val="2"/>
          </rPr>
          <t>Author:</t>
        </r>
        <r>
          <rPr>
            <sz val="9"/>
            <color indexed="81"/>
            <rFont val="Tahoma"/>
            <family val="2"/>
          </rPr>
          <t xml:space="preserve">
ამოსაღებიაო, გასარკვევია მიზეზი!</t>
        </r>
      </text>
    </comment>
    <comment ref="D90" authorId="0" shapeId="0" xr:uid="{00000000-0006-0000-0200-000018000000}">
      <text>
        <r>
          <rPr>
            <b/>
            <sz val="9"/>
            <color indexed="81"/>
            <rFont val="Tahoma"/>
            <family val="2"/>
          </rPr>
          <t>Author:</t>
        </r>
        <r>
          <rPr>
            <sz val="9"/>
            <color indexed="81"/>
            <rFont val="Tahoma"/>
            <family val="2"/>
          </rPr>
          <t xml:space="preserve">
45 კორპუსი გადატანილია კორპუსების ჩანართში.
ინტერსერვისმა შეასრულა 45 კორპუსის მხოლოდ პროექტირება, მშენებლობა გუფორმდა ბრიჯს.</t>
        </r>
      </text>
    </comment>
    <comment ref="H90" authorId="0" shapeId="0" xr:uid="{00000000-0006-0000-0200-000019000000}">
      <text>
        <r>
          <rPr>
            <b/>
            <sz val="9"/>
            <color indexed="81"/>
            <rFont val="Tahoma"/>
            <family val="2"/>
          </rPr>
          <t>Author:</t>
        </r>
        <r>
          <rPr>
            <sz val="9"/>
            <color indexed="81"/>
            <rFont val="Tahoma"/>
            <family val="2"/>
          </rPr>
          <t xml:space="preserve">
45 კორპუსი გადატანილია კორპუსების ჩანართში.
ინტერსერვისმა შეასრულა 45 კორპუსის მხოლოდ პროექტირება, მშენებლობა გუფორმდა ბრიჯს.</t>
        </r>
      </text>
    </comment>
    <comment ref="D93" authorId="0" shapeId="0" xr:uid="{00000000-0006-0000-0200-00001A000000}">
      <text>
        <r>
          <rPr>
            <b/>
            <sz val="9"/>
            <color indexed="81"/>
            <rFont val="Tahoma"/>
            <family val="2"/>
          </rPr>
          <t>Author:</t>
        </r>
        <r>
          <rPr>
            <sz val="9"/>
            <color indexed="81"/>
            <rFont val="Tahoma"/>
            <family val="2"/>
          </rPr>
          <t xml:space="preserve">
კეთდება P.2.140-თან (სულხან საბას ქუჩა) ერთადო! დამტკიცებულ სემეკის დამტკიცებულ სიაში P.2.138 აღარ არის!</t>
        </r>
      </text>
    </comment>
    <comment ref="D94" authorId="0" shapeId="0" xr:uid="{00000000-0006-0000-0200-00001B000000}">
      <text>
        <r>
          <rPr>
            <b/>
            <sz val="9"/>
            <color indexed="81"/>
            <rFont val="Tahoma"/>
            <family val="2"/>
          </rPr>
          <t>Author:</t>
        </r>
        <r>
          <rPr>
            <sz val="9"/>
            <color indexed="81"/>
            <rFont val="Tahoma"/>
            <family val="2"/>
          </rPr>
          <t xml:space="preserve">
საერთოდ არ არის გასაკეთებელი, ვერ გაკეთდება, გასაუქმებელია!</t>
        </r>
      </text>
    </comment>
    <comment ref="D96" authorId="0" shapeId="0" xr:uid="{00000000-0006-0000-0200-00001C000000}">
      <text>
        <r>
          <rPr>
            <b/>
            <sz val="9"/>
            <color indexed="81"/>
            <rFont val="Tahoma"/>
            <family val="2"/>
          </rPr>
          <t>Author:</t>
        </r>
        <r>
          <rPr>
            <sz val="9"/>
            <color indexed="81"/>
            <rFont val="Tahoma"/>
            <family val="2"/>
          </rPr>
          <t xml:space="preserve">
ეს პროექტი ფაქტობრივად გაკეთდა (P.2.72 (1 и 2)-თან ერთად. ამიტომ არსად გადასატანი არ არის.</t>
        </r>
      </text>
    </comment>
    <comment ref="H105" authorId="0" shapeId="0" xr:uid="{00000000-0006-0000-0200-00001D000000}">
      <text>
        <r>
          <rPr>
            <b/>
            <sz val="9"/>
            <color indexed="81"/>
            <rFont val="Tahoma"/>
            <family val="2"/>
          </rPr>
          <t>Author:</t>
        </r>
        <r>
          <rPr>
            <sz val="9"/>
            <color indexed="81"/>
            <rFont val="Tahoma"/>
            <family val="2"/>
          </rPr>
          <t xml:space="preserve">
2022-ში მიღებულია 180131,71 მხოლოდ ლარის სამუშაოები.</t>
        </r>
      </text>
    </comment>
    <comment ref="BJ105" authorId="0" shapeId="0" xr:uid="{00000000-0006-0000-0200-00001E000000}">
      <text>
        <r>
          <rPr>
            <b/>
            <sz val="9"/>
            <color indexed="81"/>
            <rFont val="Tahoma"/>
            <family val="2"/>
            <charset val="204"/>
          </rPr>
          <t>Author:
მიღებულა მხოლოდ 180131.71 ლარი 2022-ში დარჩენილია სხვა სამუშაოებიც მისაღები!</t>
        </r>
      </text>
    </comment>
    <comment ref="BK105" authorId="0" shapeId="0" xr:uid="{00000000-0006-0000-0200-00001F000000}">
      <text>
        <r>
          <rPr>
            <b/>
            <sz val="9"/>
            <color indexed="81"/>
            <rFont val="Tahoma"/>
            <family val="2"/>
            <charset val="204"/>
          </rPr>
          <t>Author:</t>
        </r>
        <r>
          <rPr>
            <sz val="9"/>
            <color indexed="81"/>
            <rFont val="Tahoma"/>
            <family val="2"/>
            <charset val="204"/>
          </rPr>
          <t xml:space="preserve">
მიღებულა მხოლოდ 180131.71 ლარი 2022-ში დარჩენილია სხვა სამუშაოებიც მისაღები!</t>
        </r>
      </text>
    </comment>
    <comment ref="J109" authorId="0" shapeId="0" xr:uid="{00000000-0006-0000-0200-000020000000}">
      <text>
        <r>
          <rPr>
            <b/>
            <sz val="9"/>
            <color indexed="81"/>
            <rFont val="Tahoma"/>
            <family val="2"/>
          </rPr>
          <t>Author:</t>
        </r>
        <r>
          <rPr>
            <sz val="9"/>
            <color indexed="81"/>
            <rFont val="Tahoma"/>
            <family val="2"/>
          </rPr>
          <t xml:space="preserve">
270 ლარი უნდა დააბრუნოს!</t>
        </r>
      </text>
    </comment>
    <comment ref="E116" authorId="0" shapeId="0" xr:uid="{00000000-0006-0000-0200-000021000000}">
      <text>
        <r>
          <rPr>
            <b/>
            <sz val="9"/>
            <color indexed="81"/>
            <rFont val="Tahoma"/>
            <family val="2"/>
          </rPr>
          <t>Author:</t>
        </r>
        <r>
          <rPr>
            <sz val="9"/>
            <color indexed="81"/>
            <rFont val="Tahoma"/>
            <family val="2"/>
          </rPr>
          <t xml:space="preserve">
გაუქმდა ეს მუხლი და ახალი ხელშეკრულება გაფორმდა უნიმშენთან 2023-ის 6 მარტს.</t>
        </r>
      </text>
    </comment>
    <comment ref="E131" authorId="0" shapeId="0" xr:uid="{00000000-0006-0000-0200-000022000000}">
      <text>
        <r>
          <rPr>
            <b/>
            <sz val="9"/>
            <color indexed="81"/>
            <rFont val="Tahoma"/>
            <family val="2"/>
            <charset val="204"/>
          </rPr>
          <t>Author:</t>
        </r>
        <r>
          <rPr>
            <sz val="9"/>
            <color indexed="81"/>
            <rFont val="Tahoma"/>
            <family val="2"/>
            <charset val="204"/>
          </rPr>
          <t xml:space="preserve">
ტექ. საბჭოს არა აქვს გეთიას ხელმოწერა.</t>
        </r>
      </text>
    </comment>
    <comment ref="AW172" authorId="0" shapeId="0" xr:uid="{00000000-0006-0000-0200-000023000000}">
      <text>
        <r>
          <rPr>
            <b/>
            <sz val="9"/>
            <color indexed="81"/>
            <rFont val="Tahoma"/>
            <family val="2"/>
          </rPr>
          <t>Author:</t>
        </r>
        <r>
          <rPr>
            <sz val="9"/>
            <color indexed="81"/>
            <rFont val="Tahoma"/>
            <family val="2"/>
          </rPr>
          <t xml:space="preserve">
ფაქტორინგი აიღეს დახურულ ობიექტზე ამიტომ ხარჯთაღრიცხვაში ფაქტორინგის ხარჯი არა მითითებული!</t>
        </r>
      </text>
    </comment>
    <comment ref="D173" authorId="0" shapeId="0" xr:uid="{00000000-0006-0000-0200-000024000000}">
      <text>
        <r>
          <rPr>
            <b/>
            <sz val="9"/>
            <color indexed="81"/>
            <rFont val="Tahoma"/>
            <family val="2"/>
          </rPr>
          <t>Author:</t>
        </r>
        <r>
          <rPr>
            <sz val="9"/>
            <color indexed="81"/>
            <rFont val="Tahoma"/>
            <family val="2"/>
          </rPr>
          <t xml:space="preserve">
ეს კორპუსებია!</t>
        </r>
      </text>
    </comment>
    <comment ref="D174" authorId="0" shapeId="0" xr:uid="{00000000-0006-0000-0200-000025000000}">
      <text>
        <r>
          <rPr>
            <b/>
            <sz val="9"/>
            <color indexed="81"/>
            <rFont val="Tahoma"/>
            <family val="2"/>
          </rPr>
          <t>Author:</t>
        </r>
        <r>
          <rPr>
            <sz val="9"/>
            <color indexed="81"/>
            <rFont val="Tahoma"/>
            <family val="2"/>
          </rPr>
          <t xml:space="preserve">
ეს კორპუსებია!</t>
        </r>
      </text>
    </comment>
    <comment ref="D175" authorId="0" shapeId="0" xr:uid="{00000000-0006-0000-0200-000026000000}">
      <text>
        <r>
          <rPr>
            <b/>
            <sz val="9"/>
            <color indexed="81"/>
            <rFont val="Tahoma"/>
            <family val="2"/>
          </rPr>
          <t>Author:</t>
        </r>
        <r>
          <rPr>
            <sz val="9"/>
            <color indexed="81"/>
            <rFont val="Tahoma"/>
            <family val="2"/>
          </rPr>
          <t xml:space="preserve">
ეს კორპუსებია!</t>
        </r>
      </text>
    </comment>
    <comment ref="D176" authorId="0" shapeId="0" xr:uid="{00000000-0006-0000-0200-000027000000}">
      <text>
        <r>
          <rPr>
            <b/>
            <sz val="9"/>
            <color indexed="81"/>
            <rFont val="Tahoma"/>
            <family val="2"/>
          </rPr>
          <t>Author:</t>
        </r>
        <r>
          <rPr>
            <sz val="9"/>
            <color indexed="81"/>
            <rFont val="Tahoma"/>
            <family val="2"/>
          </rPr>
          <t xml:space="preserve">
ეს კორპუსებია!</t>
        </r>
      </text>
    </comment>
    <comment ref="D177" authorId="0" shapeId="0" xr:uid="{00000000-0006-0000-0200-000028000000}">
      <text>
        <r>
          <rPr>
            <b/>
            <sz val="9"/>
            <color indexed="81"/>
            <rFont val="Tahoma"/>
            <family val="2"/>
          </rPr>
          <t>Author:</t>
        </r>
        <r>
          <rPr>
            <sz val="9"/>
            <color indexed="81"/>
            <rFont val="Tahoma"/>
            <family val="2"/>
          </rPr>
          <t xml:space="preserve">
ეს კორპუსებია!</t>
        </r>
      </text>
    </comment>
    <comment ref="D178" authorId="0" shapeId="0" xr:uid="{00000000-0006-0000-0200-000029000000}">
      <text>
        <r>
          <rPr>
            <b/>
            <sz val="9"/>
            <color indexed="81"/>
            <rFont val="Tahoma"/>
            <family val="2"/>
          </rPr>
          <t>Author:</t>
        </r>
        <r>
          <rPr>
            <sz val="9"/>
            <color indexed="81"/>
            <rFont val="Tahoma"/>
            <family val="2"/>
          </rPr>
          <t xml:space="preserve">
ეს კორპუსებია!</t>
        </r>
      </text>
    </comment>
    <comment ref="D181" authorId="0" shapeId="0" xr:uid="{00000000-0006-0000-0200-00002A000000}">
      <text>
        <r>
          <rPr>
            <b/>
            <sz val="9"/>
            <color indexed="81"/>
            <rFont val="Tahoma"/>
            <family val="2"/>
          </rPr>
          <t>Author:</t>
        </r>
        <r>
          <rPr>
            <sz val="9"/>
            <color indexed="81"/>
            <rFont val="Tahoma"/>
            <family val="2"/>
          </rPr>
          <t xml:space="preserve">
ამას აღარ ვაკეთებთ, ქსელი სახელმწიფოს საკუთრებაა!</t>
        </r>
      </text>
    </comment>
    <comment ref="D182" authorId="0" shapeId="0" xr:uid="{00000000-0006-0000-0200-00002B000000}">
      <text>
        <r>
          <rPr>
            <b/>
            <sz val="9"/>
            <color indexed="81"/>
            <rFont val="Tahoma"/>
            <family val="2"/>
          </rPr>
          <t>Author:</t>
        </r>
        <r>
          <rPr>
            <sz val="9"/>
            <color indexed="81"/>
            <rFont val="Tahoma"/>
            <family val="2"/>
          </rPr>
          <t xml:space="preserve">
ენგელსის ქუჩაზე არსებული ჩვენი ქსელი შეკეთდა და არა მუნიციპალიტეტის!</t>
        </r>
      </text>
    </comment>
    <comment ref="M182" authorId="0" shapeId="0" xr:uid="{00000000-0006-0000-0200-00002C000000}">
      <text>
        <r>
          <rPr>
            <b/>
            <sz val="9"/>
            <color indexed="81"/>
            <rFont val="Tahoma"/>
            <family val="2"/>
          </rPr>
          <t>Author:</t>
        </r>
        <r>
          <rPr>
            <sz val="9"/>
            <color indexed="81"/>
            <rFont val="Tahoma"/>
            <family val="2"/>
          </rPr>
          <t xml:space="preserve">
შეიცვალა საყრდენები
</t>
        </r>
      </text>
    </comment>
    <comment ref="D188" authorId="0" shapeId="0" xr:uid="{00000000-0006-0000-0200-00002D000000}">
      <text>
        <r>
          <rPr>
            <b/>
            <sz val="9"/>
            <color indexed="81"/>
            <rFont val="Tahoma"/>
            <family val="2"/>
          </rPr>
          <t>Author:</t>
        </r>
        <r>
          <rPr>
            <sz val="9"/>
            <color indexed="81"/>
            <rFont val="Tahoma"/>
            <family val="2"/>
          </rPr>
          <t xml:space="preserve">
კეთდება 2024 წლის ხელშეკრულებით.</t>
        </r>
      </text>
    </comment>
    <comment ref="O188" authorId="0" shapeId="0" xr:uid="{00000000-0006-0000-0200-00002E000000}">
      <text>
        <r>
          <rPr>
            <b/>
            <sz val="9"/>
            <color indexed="81"/>
            <rFont val="Tahoma"/>
            <family val="2"/>
          </rPr>
          <t>Author:</t>
        </r>
        <r>
          <rPr>
            <sz val="9"/>
            <color indexed="81"/>
            <rFont val="Tahoma"/>
            <family val="2"/>
          </rPr>
          <t xml:space="preserve">
კეთდება 2024 წლის ხელშეკრულებით.</t>
        </r>
      </text>
    </comment>
    <comment ref="BN188" authorId="0" shapeId="0" xr:uid="{00000000-0006-0000-0200-00002F000000}">
      <text>
        <r>
          <rPr>
            <b/>
            <sz val="9"/>
            <color indexed="81"/>
            <rFont val="Tahoma"/>
            <family val="2"/>
          </rPr>
          <t>Author:</t>
        </r>
        <r>
          <rPr>
            <sz val="9"/>
            <color indexed="81"/>
            <rFont val="Tahoma"/>
            <family val="2"/>
          </rPr>
          <t xml:space="preserve">
კეთდება 2024 წლის ხელშეკრულებით.</t>
        </r>
      </text>
    </comment>
    <comment ref="D191" authorId="0" shapeId="0" xr:uid="{00000000-0006-0000-0200-000030000000}">
      <text>
        <r>
          <rPr>
            <b/>
            <sz val="9"/>
            <color indexed="81"/>
            <rFont val="Tahoma"/>
            <family val="2"/>
          </rPr>
          <t>Author:</t>
        </r>
        <r>
          <rPr>
            <sz val="9"/>
            <color indexed="81"/>
            <rFont val="Tahoma"/>
            <family val="2"/>
          </rPr>
          <t xml:space="preserve">
ეს პუნქტი გაზსერვისთან გაუქმდა 2023 წლის 2 ოქტომბრის შეთანხმებით.</t>
        </r>
      </text>
    </comment>
    <comment ref="BN191" authorId="0" shapeId="0" xr:uid="{00000000-0006-0000-0200-000031000000}">
      <text>
        <r>
          <rPr>
            <b/>
            <sz val="9"/>
            <color indexed="81"/>
            <rFont val="Tahoma"/>
            <family val="2"/>
          </rPr>
          <t>Author:</t>
        </r>
        <r>
          <rPr>
            <sz val="9"/>
            <color indexed="81"/>
            <rFont val="Tahoma"/>
            <family val="2"/>
          </rPr>
          <t xml:space="preserve">
ეს პუნქტი გაზსერვისთან გაუქმდა 2023 წლის 2 ოქტომბრის შეთანხმებით.</t>
        </r>
      </text>
    </comment>
    <comment ref="H208" authorId="0" shapeId="0" xr:uid="{00000000-0006-0000-0200-000032000000}">
      <text>
        <r>
          <rPr>
            <b/>
            <sz val="9"/>
            <color indexed="81"/>
            <rFont val="Tahoma"/>
            <family val="2"/>
          </rPr>
          <t>Author:</t>
        </r>
        <r>
          <rPr>
            <sz val="9"/>
            <color indexed="81"/>
            <rFont val="Tahoma"/>
            <family val="2"/>
          </rPr>
          <t xml:space="preserve">
128 ცალი საყრდენი, 1 საყრდენი 5 ლარი.</t>
        </r>
      </text>
    </comment>
    <comment ref="D209" authorId="0" shapeId="0" xr:uid="{00000000-0006-0000-0200-000033000000}">
      <text>
        <r>
          <rPr>
            <b/>
            <sz val="9"/>
            <color indexed="81"/>
            <rFont val="Tahoma"/>
            <family val="2"/>
          </rPr>
          <t>Author:</t>
        </r>
        <r>
          <rPr>
            <sz val="9"/>
            <color indexed="81"/>
            <rFont val="Tahoma"/>
            <family val="2"/>
          </rPr>
          <t xml:space="preserve">
ეს მოიცავს კიდე 2 P-ს P.6.264 და P.6.265</t>
        </r>
      </text>
    </comment>
    <comment ref="BN209" authorId="0" shapeId="0" xr:uid="{00000000-0006-0000-0200-000034000000}">
      <text>
        <r>
          <rPr>
            <b/>
            <sz val="9"/>
            <color indexed="81"/>
            <rFont val="Tahoma"/>
            <family val="2"/>
          </rPr>
          <t>Author:</t>
        </r>
        <r>
          <rPr>
            <sz val="9"/>
            <color indexed="81"/>
            <rFont val="Tahoma"/>
            <family val="2"/>
          </rPr>
          <t xml:space="preserve">
ეს მოიცავს კიდე 2 P-ს P.6.264 და P.6.265</t>
        </r>
      </text>
    </comment>
    <comment ref="D251" authorId="0" shapeId="0" xr:uid="{00000000-0006-0000-0200-000035000000}">
      <text>
        <r>
          <rPr>
            <b/>
            <sz val="9"/>
            <color indexed="81"/>
            <rFont val="Tahoma"/>
            <family val="2"/>
          </rPr>
          <t>Author:</t>
        </r>
        <r>
          <rPr>
            <sz val="9"/>
            <color indexed="81"/>
            <rFont val="Tahoma"/>
            <family val="2"/>
          </rPr>
          <t xml:space="preserve">
ეს დააპროექტა ცისფერმა ალმა, ამიტომ ამ ხელშეკრულებიდან „ამოსაღებია“, მაგრამ ჯერ-ჯერობით ცვლილება ხელშეკრულებაში არ შეგვაქვსს, იმის გამო რომ ხელშეკრულება ბანკშია ფაქტორინგისთვის წარდგენილი.</t>
        </r>
      </text>
    </comment>
    <comment ref="BN251" authorId="0" shapeId="0" xr:uid="{00000000-0006-0000-0200-000036000000}">
      <text>
        <r>
          <rPr>
            <b/>
            <sz val="9"/>
            <color indexed="81"/>
            <rFont val="Tahoma"/>
            <family val="2"/>
          </rPr>
          <t>Author:</t>
        </r>
        <r>
          <rPr>
            <sz val="9"/>
            <color indexed="81"/>
            <rFont val="Tahoma"/>
            <family val="2"/>
          </rPr>
          <t xml:space="preserve">
ეს დააპროექტა ცისფერმა ალმა, ამიტომ ამ ხელშეკრულებიდან „ამოსაღებია“, მაგრამ ჯერ-ჯერობით ცვლილება ხელშეკრულებაში არ შეგვაქვსს, იმის გამო რომ ხელშეკრულება ბანკშია ფაქტორინგისთვის წარდგენილი.</t>
        </r>
      </text>
    </comment>
    <comment ref="D254" authorId="0" shapeId="0" xr:uid="{00000000-0006-0000-0200-000037000000}">
      <text>
        <r>
          <rPr>
            <b/>
            <sz val="9"/>
            <color indexed="81"/>
            <rFont val="Tahoma"/>
            <family val="2"/>
          </rPr>
          <t>Author:</t>
        </r>
        <r>
          <rPr>
            <sz val="9"/>
            <color indexed="81"/>
            <rFont val="Tahoma"/>
            <family val="2"/>
          </rPr>
          <t xml:space="preserve">
ეს კორპუსებია!</t>
        </r>
      </text>
    </comment>
    <comment ref="D255" authorId="0" shapeId="0" xr:uid="{00000000-0006-0000-0200-000038000000}">
      <text>
        <r>
          <rPr>
            <b/>
            <sz val="9"/>
            <color indexed="81"/>
            <rFont val="Tahoma"/>
            <family val="2"/>
          </rPr>
          <t>Author:</t>
        </r>
        <r>
          <rPr>
            <sz val="9"/>
            <color indexed="81"/>
            <rFont val="Tahoma"/>
            <family val="2"/>
          </rPr>
          <t xml:space="preserve">
ეს კორპუსებია!</t>
        </r>
      </text>
    </comment>
    <comment ref="D256" authorId="0" shapeId="0" xr:uid="{00000000-0006-0000-0200-000039000000}">
      <text>
        <r>
          <rPr>
            <b/>
            <sz val="9"/>
            <color indexed="81"/>
            <rFont val="Tahoma"/>
            <family val="2"/>
          </rPr>
          <t>Author:</t>
        </r>
        <r>
          <rPr>
            <sz val="9"/>
            <color indexed="81"/>
            <rFont val="Tahoma"/>
            <family val="2"/>
          </rPr>
          <t xml:space="preserve">
ეს კორპუსებია!</t>
        </r>
      </text>
    </comment>
    <comment ref="D257" authorId="0" shapeId="0" xr:uid="{00000000-0006-0000-0200-00003A000000}">
      <text>
        <r>
          <rPr>
            <b/>
            <sz val="9"/>
            <color indexed="81"/>
            <rFont val="Tahoma"/>
            <family val="2"/>
          </rPr>
          <t>Author:</t>
        </r>
        <r>
          <rPr>
            <sz val="9"/>
            <color indexed="81"/>
            <rFont val="Tahoma"/>
            <family val="2"/>
          </rPr>
          <t xml:space="preserve">
ეს კორპუსებია!</t>
        </r>
      </text>
    </comment>
    <comment ref="D258" authorId="0" shapeId="0" xr:uid="{00000000-0006-0000-0200-00003B000000}">
      <text>
        <r>
          <rPr>
            <b/>
            <sz val="9"/>
            <color indexed="81"/>
            <rFont val="Tahoma"/>
            <family val="2"/>
          </rPr>
          <t>Author:</t>
        </r>
        <r>
          <rPr>
            <sz val="9"/>
            <color indexed="81"/>
            <rFont val="Tahoma"/>
            <family val="2"/>
          </rPr>
          <t xml:space="preserve">
ეს კორპუსებია!</t>
        </r>
      </text>
    </comment>
    <comment ref="D259" authorId="0" shapeId="0" xr:uid="{00000000-0006-0000-0200-00003C000000}">
      <text>
        <r>
          <rPr>
            <b/>
            <sz val="9"/>
            <color indexed="81"/>
            <rFont val="Tahoma"/>
            <family val="2"/>
          </rPr>
          <t>Author:</t>
        </r>
        <r>
          <rPr>
            <sz val="9"/>
            <color indexed="81"/>
            <rFont val="Tahoma"/>
            <family val="2"/>
          </rPr>
          <t xml:space="preserve">
ეს კორპუსებია!</t>
        </r>
      </text>
    </comment>
    <comment ref="D278" authorId="0" shapeId="0" xr:uid="{00000000-0006-0000-0200-00003D000000}">
      <text>
        <r>
          <rPr>
            <b/>
            <sz val="9"/>
            <color indexed="81"/>
            <rFont val="Tahoma"/>
            <family val="2"/>
          </rPr>
          <t>Author:</t>
        </r>
        <r>
          <rPr>
            <sz val="9"/>
            <color indexed="81"/>
            <rFont val="Tahoma"/>
            <family val="2"/>
          </rPr>
          <t xml:space="preserve">
ეს აღარ კეთდება ამოსაღებია, რაც საჭირო იყო კეთდება P.3.192-ის ფარგლებში!</t>
        </r>
      </text>
    </comment>
    <comment ref="D279" authorId="0" shapeId="0" xr:uid="{00000000-0006-0000-0200-00003E000000}">
      <text>
        <r>
          <rPr>
            <b/>
            <sz val="9"/>
            <color indexed="81"/>
            <rFont val="Tahoma"/>
            <family val="2"/>
          </rPr>
          <t>Author:</t>
        </r>
        <r>
          <rPr>
            <sz val="9"/>
            <color indexed="81"/>
            <rFont val="Tahoma"/>
            <family val="2"/>
          </rPr>
          <t xml:space="preserve">
ეს აღარ კეთდება ამოსაღებია, რაც საჭირო იყო კეთდება P.3.192-ის ფარგლებში!</t>
        </r>
      </text>
    </comment>
    <comment ref="D307" authorId="0" shapeId="0" xr:uid="{00000000-0006-0000-0200-00003F000000}">
      <text>
        <r>
          <rPr>
            <b/>
            <sz val="9"/>
            <color indexed="81"/>
            <rFont val="Tahoma"/>
            <family val="2"/>
          </rPr>
          <t>Author:</t>
        </r>
        <r>
          <rPr>
            <sz val="9"/>
            <color indexed="81"/>
            <rFont val="Tahoma"/>
            <family val="2"/>
          </rPr>
          <t xml:space="preserve">
დაპროექტდა P.3.125-სთან ერთად.</t>
        </r>
      </text>
    </comment>
    <comment ref="BN307" authorId="0" shapeId="0" xr:uid="{00000000-0006-0000-0200-000040000000}">
      <text>
        <r>
          <rPr>
            <b/>
            <sz val="9"/>
            <color indexed="81"/>
            <rFont val="Tahoma"/>
            <family val="2"/>
          </rPr>
          <t>Author:</t>
        </r>
        <r>
          <rPr>
            <sz val="9"/>
            <color indexed="81"/>
            <rFont val="Tahoma"/>
            <family val="2"/>
          </rPr>
          <t xml:space="preserve">
დაპროექტდა P.3.125-სთან ერთად.</t>
        </r>
      </text>
    </comment>
    <comment ref="T349" authorId="0" shapeId="0" xr:uid="{00000000-0006-0000-0200-000041000000}">
      <text>
        <r>
          <rPr>
            <b/>
            <sz val="9"/>
            <color indexed="81"/>
            <rFont val="Tahoma"/>
            <family val="2"/>
          </rPr>
          <t>Author:</t>
        </r>
        <r>
          <rPr>
            <sz val="9"/>
            <color indexed="81"/>
            <rFont val="Tahoma"/>
            <family val="2"/>
          </rPr>
          <t xml:space="preserve">
ჩაბარდა სოკარის 85 954,75 ლარის და საქორგგაზის 13 212,5 ლარის გამზადებული პროექტების ანგარიშში.</t>
        </r>
      </text>
    </comment>
    <comment ref="D412" authorId="0" shapeId="0" xr:uid="{CE578DB8-A6D2-4795-B8B8-4A1FCF45C305}">
      <text>
        <r>
          <rPr>
            <b/>
            <sz val="9"/>
            <color indexed="81"/>
            <rFont val="Tahoma"/>
            <family val="2"/>
          </rPr>
          <t>Author:</t>
        </r>
        <r>
          <rPr>
            <sz val="9"/>
            <color indexed="81"/>
            <rFont val="Tahoma"/>
            <family val="2"/>
          </rPr>
          <t xml:space="preserve">
ამის პროექტი და მისი შეთანხმებაა მისახედი!!!</t>
        </r>
      </text>
    </comment>
    <comment ref="E412" authorId="0" shapeId="0" xr:uid="{72712EB9-313B-4B42-A653-7723473CA555}">
      <text>
        <r>
          <rPr>
            <b/>
            <sz val="9"/>
            <color indexed="81"/>
            <rFont val="Tahoma"/>
            <family val="2"/>
          </rPr>
          <t>Author:</t>
        </r>
        <r>
          <rPr>
            <sz val="9"/>
            <color indexed="81"/>
            <rFont val="Tahoma"/>
            <family val="2"/>
          </rPr>
          <t xml:space="preserve">
ამის პროექტი და მისი შეთანხმებაა მისახედი!!!</t>
        </r>
      </text>
    </comment>
    <comment ref="H417" authorId="0" shapeId="0" xr:uid="{00000000-0006-0000-0200-000042000000}">
      <text>
        <r>
          <rPr>
            <b/>
            <sz val="9"/>
            <color indexed="81"/>
            <rFont val="Tahoma"/>
            <family val="2"/>
          </rPr>
          <t>Author:</t>
        </r>
        <r>
          <rPr>
            <sz val="9"/>
            <color indexed="81"/>
            <rFont val="Tahoma"/>
            <family val="2"/>
          </rPr>
          <t xml:space="preserve">
ეს პირველი ეტაპია, (მკვებავი გაზსადენი) უნდა დაემატოს მეორე ეტაპის (სოფლების შიდა ქსელები) პროექტი.</t>
        </r>
      </text>
    </comment>
    <comment ref="BJ417" authorId="0" shapeId="0" xr:uid="{00000000-0006-0000-0200-000043000000}">
      <text>
        <r>
          <rPr>
            <b/>
            <sz val="9"/>
            <color indexed="81"/>
            <rFont val="Tahoma"/>
            <family val="2"/>
          </rPr>
          <t>Author:</t>
        </r>
        <r>
          <rPr>
            <sz val="9"/>
            <color indexed="81"/>
            <rFont val="Tahoma"/>
            <family val="2"/>
          </rPr>
          <t xml:space="preserve">
ეს პირველი ეტაპია, (მკვებავი გაზსადენი) უნდა დაემატოს მეორე ეტაპის (სოფლების შიდა ქსელები) პროექტი.</t>
        </r>
      </text>
    </comment>
    <comment ref="D419" authorId="0" shapeId="0" xr:uid="{00000000-0006-0000-0200-000044000000}">
      <text>
        <r>
          <rPr>
            <b/>
            <sz val="9"/>
            <color indexed="81"/>
            <rFont val="Tahoma"/>
            <family val="2"/>
          </rPr>
          <t>Author:</t>
        </r>
        <r>
          <rPr>
            <sz val="9"/>
            <color indexed="81"/>
            <rFont val="Tahoma"/>
            <family val="2"/>
          </rPr>
          <t xml:space="preserve">
ეს საქორგგაზის მილი იყო და მიყიდა სოკარს! დაპროექტდა P.3.9-სთან ერთად.</t>
        </r>
      </text>
    </comment>
    <comment ref="D420" authorId="0" shapeId="0" xr:uid="{00000000-0006-0000-0200-000045000000}">
      <text>
        <r>
          <rPr>
            <b/>
            <sz val="9"/>
            <color indexed="81"/>
            <rFont val="Tahoma"/>
            <family val="2"/>
          </rPr>
          <t>Author:</t>
        </r>
        <r>
          <rPr>
            <sz val="9"/>
            <color indexed="81"/>
            <rFont val="Tahoma"/>
            <family val="2"/>
          </rPr>
          <t xml:space="preserve">
ეს საქორგგაზის მილი იყო და მიყიდა სოკარს! დაპროექტდა P.3.9-სთან ერთად.</t>
        </r>
      </text>
    </comment>
    <comment ref="D460" authorId="0" shapeId="0" xr:uid="{00000000-0006-0000-0200-000046000000}">
      <text>
        <r>
          <rPr>
            <b/>
            <sz val="9"/>
            <color indexed="81"/>
            <rFont val="Tahoma"/>
            <family val="2"/>
          </rPr>
          <t>Author:</t>
        </r>
        <r>
          <rPr>
            <sz val="9"/>
            <color indexed="81"/>
            <rFont val="Tahoma"/>
            <family val="2"/>
          </rPr>
          <t xml:space="preserve">
არ საჭიროებს პროექტირებას.</t>
        </r>
      </text>
    </comment>
    <comment ref="D468" authorId="0" shapeId="0" xr:uid="{00000000-0006-0000-0200-000047000000}">
      <text>
        <r>
          <rPr>
            <b/>
            <sz val="9"/>
            <color indexed="81"/>
            <rFont val="Tahoma"/>
            <family val="2"/>
          </rPr>
          <t>Author:</t>
        </r>
        <r>
          <rPr>
            <sz val="9"/>
            <color indexed="81"/>
            <rFont val="Tahoma"/>
            <family val="2"/>
          </rPr>
          <t xml:space="preserve">
არ საჭიროებს დაპროექტებას.</t>
        </r>
      </text>
    </comment>
    <comment ref="D472" authorId="0" shapeId="0" xr:uid="{00000000-0006-0000-0200-000048000000}">
      <text>
        <r>
          <rPr>
            <b/>
            <sz val="9"/>
            <color indexed="81"/>
            <rFont val="Tahoma"/>
            <family val="2"/>
          </rPr>
          <t>Author:</t>
        </r>
        <r>
          <rPr>
            <sz val="9"/>
            <color indexed="81"/>
            <rFont val="Tahoma"/>
            <family val="2"/>
          </rPr>
          <t xml:space="preserve">
აღარ საჭიროებს დაპროექტებას.</t>
        </r>
      </text>
    </comment>
    <comment ref="D474" authorId="0" shapeId="0" xr:uid="{00000000-0006-0000-0200-000049000000}">
      <text>
        <r>
          <rPr>
            <b/>
            <sz val="9"/>
            <color indexed="81"/>
            <rFont val="Tahoma"/>
            <family val="2"/>
          </rPr>
          <t>Author:</t>
        </r>
        <r>
          <rPr>
            <sz val="9"/>
            <color indexed="81"/>
            <rFont val="Tahoma"/>
            <family val="2"/>
          </rPr>
          <t xml:space="preserve">
აღარ საჭიროებს დაპროექტებას.</t>
        </r>
      </text>
    </comment>
    <comment ref="D498" authorId="0" shapeId="0" xr:uid="{00000000-0006-0000-0200-00004A000000}">
      <text>
        <r>
          <rPr>
            <b/>
            <sz val="9"/>
            <color indexed="81"/>
            <rFont val="Tahoma"/>
            <family val="2"/>
          </rPr>
          <t>Author:</t>
        </r>
        <r>
          <rPr>
            <sz val="9"/>
            <color indexed="81"/>
            <rFont val="Tahoma"/>
            <family val="2"/>
          </rPr>
          <t xml:space="preserve">
ეს პროექტირება ჰქონდა უნიმშენს, მაგრამ გაუუქმდა და გაფორმდა ცისფერ ალზე.</t>
        </r>
      </text>
    </comment>
    <comment ref="BN498" authorId="0" shapeId="0" xr:uid="{00000000-0006-0000-0200-00004B000000}">
      <text>
        <r>
          <rPr>
            <b/>
            <sz val="9"/>
            <color indexed="81"/>
            <rFont val="Tahoma"/>
            <family val="2"/>
          </rPr>
          <t>Author:</t>
        </r>
        <r>
          <rPr>
            <sz val="9"/>
            <color indexed="81"/>
            <rFont val="Tahoma"/>
            <family val="2"/>
          </rPr>
          <t xml:space="preserve">
ეს პროექტირება ჰქონდა უნიმშენს, მაგრამ გაუუქმდა და გაფორმდა ცისფერ ალზე.</t>
        </r>
      </text>
    </comment>
    <comment ref="D501" authorId="0" shapeId="0" xr:uid="{00000000-0006-0000-0200-00004C000000}">
      <text>
        <r>
          <rPr>
            <b/>
            <sz val="9"/>
            <color indexed="81"/>
            <rFont val="Tahoma"/>
            <family val="2"/>
          </rPr>
          <t>Author:</t>
        </r>
        <r>
          <rPr>
            <sz val="9"/>
            <color indexed="81"/>
            <rFont val="Tahoma"/>
            <family val="2"/>
          </rPr>
          <t xml:space="preserve">
გასაფორმებელია ექსპლ. მიღების აქტი! და სხვა თანმდევი დოკუმენტაცია.</t>
        </r>
      </text>
    </comment>
    <comment ref="Q519" authorId="0" shapeId="0" xr:uid="{00000000-0006-0000-0200-00004D000000}">
      <text>
        <r>
          <rPr>
            <b/>
            <sz val="9"/>
            <color indexed="81"/>
            <rFont val="Tahoma"/>
            <family val="2"/>
          </rPr>
          <t>Author:</t>
        </r>
        <r>
          <rPr>
            <sz val="9"/>
            <color indexed="81"/>
            <rFont val="Tahoma"/>
            <family val="2"/>
          </rPr>
          <t xml:space="preserve">
გგს-ებზე P-ები „გაუქმდა“ რადგან ეს თანხა „წავიდა“ ხარჯში და არა „კაპექსში“.</t>
        </r>
      </text>
    </comment>
    <comment ref="Q520" authorId="0" shapeId="0" xr:uid="{00000000-0006-0000-0200-00004E000000}">
      <text>
        <r>
          <rPr>
            <b/>
            <sz val="9"/>
            <color indexed="81"/>
            <rFont val="Tahoma"/>
            <family val="2"/>
          </rPr>
          <t>Author:</t>
        </r>
        <r>
          <rPr>
            <sz val="9"/>
            <color indexed="81"/>
            <rFont val="Tahoma"/>
            <family val="2"/>
          </rPr>
          <t xml:space="preserve">
გგს-ებზე P-ები „გაუქმდა“ რადგან ეს თანხა „წავიდა“ ხარჯში და არა „კაპექსში“.</t>
        </r>
      </text>
    </comment>
    <comment ref="Q521" authorId="0" shapeId="0" xr:uid="{00000000-0006-0000-0200-00004F000000}">
      <text>
        <r>
          <rPr>
            <b/>
            <sz val="9"/>
            <color indexed="81"/>
            <rFont val="Tahoma"/>
            <family val="2"/>
          </rPr>
          <t>Author:</t>
        </r>
        <r>
          <rPr>
            <sz val="9"/>
            <color indexed="81"/>
            <rFont val="Tahoma"/>
            <family val="2"/>
          </rPr>
          <t xml:space="preserve">
გგს-ებზე P-ები „გაუქმდა“ რადგან ეს თანხა „წავიდა“ ხარჯში და არა „კაპექსში“.</t>
        </r>
      </text>
    </comment>
    <comment ref="Q522" authorId="0" shapeId="0" xr:uid="{00000000-0006-0000-0200-000050000000}">
      <text>
        <r>
          <rPr>
            <b/>
            <sz val="9"/>
            <color indexed="81"/>
            <rFont val="Tahoma"/>
            <family val="2"/>
          </rPr>
          <t>Author:</t>
        </r>
        <r>
          <rPr>
            <sz val="9"/>
            <color indexed="81"/>
            <rFont val="Tahoma"/>
            <family val="2"/>
          </rPr>
          <t xml:space="preserve">
გგს-ებზე P-ები „გაუქმდა“ რადგან ეს თანხა „წავიდა“ ხარჯში და არა „კაპექსში“.</t>
        </r>
      </text>
    </comment>
    <comment ref="Q523" authorId="0" shapeId="0" xr:uid="{00000000-0006-0000-0200-000051000000}">
      <text>
        <r>
          <rPr>
            <b/>
            <sz val="9"/>
            <color indexed="81"/>
            <rFont val="Tahoma"/>
            <family val="2"/>
          </rPr>
          <t>Author:</t>
        </r>
        <r>
          <rPr>
            <sz val="9"/>
            <color indexed="81"/>
            <rFont val="Tahoma"/>
            <family val="2"/>
          </rPr>
          <t xml:space="preserve">
გგს-ებზე P-ები „გაუქმდა“ რადგან ეს თანხა „წავიდა“ ხარჯში და არა „კაპექსში“.</t>
        </r>
      </text>
    </comment>
    <comment ref="Q524" authorId="0" shapeId="0" xr:uid="{00000000-0006-0000-0200-000052000000}">
      <text>
        <r>
          <rPr>
            <b/>
            <sz val="9"/>
            <color indexed="81"/>
            <rFont val="Tahoma"/>
            <family val="2"/>
          </rPr>
          <t>Author:</t>
        </r>
        <r>
          <rPr>
            <sz val="9"/>
            <color indexed="81"/>
            <rFont val="Tahoma"/>
            <family val="2"/>
          </rPr>
          <t xml:space="preserve">
გგს-ებზე P-ები „გაუქმდა“ რადგან ეს თანხა „წავიდა“ ხარჯში და არა „კაპექსში“.</t>
        </r>
      </text>
    </comment>
    <comment ref="BN544" authorId="0" shapeId="0" xr:uid="{00000000-0006-0000-0200-000053000000}">
      <text>
        <r>
          <rPr>
            <b/>
            <sz val="9"/>
            <color indexed="81"/>
            <rFont val="Tahoma"/>
            <family val="2"/>
          </rPr>
          <t>Author:</t>
        </r>
        <r>
          <rPr>
            <sz val="9"/>
            <color indexed="81"/>
            <rFont val="Tahoma"/>
            <family val="2"/>
          </rPr>
          <t xml:space="preserve">
2023 წლის 3 ოქტომბრის შეთანხმება.</t>
        </r>
      </text>
    </comment>
    <comment ref="BN545" authorId="0" shapeId="0" xr:uid="{00000000-0006-0000-0200-000054000000}">
      <text>
        <r>
          <rPr>
            <b/>
            <sz val="9"/>
            <color indexed="81"/>
            <rFont val="Tahoma"/>
            <family val="2"/>
          </rPr>
          <t>Author:</t>
        </r>
        <r>
          <rPr>
            <sz val="9"/>
            <color indexed="81"/>
            <rFont val="Tahoma"/>
            <family val="2"/>
          </rPr>
          <t xml:space="preserve">
2023 წლის 3 ოქტომბრის შეთანხმება.</t>
        </r>
      </text>
    </comment>
    <comment ref="BN546" authorId="0" shapeId="0" xr:uid="{00000000-0006-0000-0200-000055000000}">
      <text>
        <r>
          <rPr>
            <b/>
            <sz val="9"/>
            <color indexed="81"/>
            <rFont val="Tahoma"/>
            <family val="2"/>
          </rPr>
          <t>Author:</t>
        </r>
        <r>
          <rPr>
            <sz val="9"/>
            <color indexed="81"/>
            <rFont val="Tahoma"/>
            <family val="2"/>
          </rPr>
          <t xml:space="preserve">
2023 წლის ?? ოქტომბრის შეთანხმება.</t>
        </r>
      </text>
    </comment>
    <comment ref="BN547" authorId="0" shapeId="0" xr:uid="{00000000-0006-0000-0200-000056000000}">
      <text>
        <r>
          <rPr>
            <b/>
            <sz val="9"/>
            <color indexed="81"/>
            <rFont val="Tahoma"/>
            <family val="2"/>
          </rPr>
          <t>Author:</t>
        </r>
        <r>
          <rPr>
            <sz val="9"/>
            <color indexed="81"/>
            <rFont val="Tahoma"/>
            <family val="2"/>
          </rPr>
          <t xml:space="preserve">
2023 წლის ?? ოქტომბრის შეთანხმება.</t>
        </r>
      </text>
    </comment>
    <comment ref="D563" authorId="0" shapeId="0" xr:uid="{00000000-0006-0000-0200-000057000000}">
      <text>
        <r>
          <rPr>
            <b/>
            <sz val="9"/>
            <color indexed="81"/>
            <rFont val="Tahoma"/>
            <family val="2"/>
          </rPr>
          <t>Author:</t>
        </r>
        <r>
          <rPr>
            <sz val="9"/>
            <color indexed="81"/>
            <rFont val="Tahoma"/>
            <family val="2"/>
          </rPr>
          <t xml:space="preserve">
 მოიცავს (P.6.659)</t>
        </r>
      </text>
    </comment>
    <comment ref="D564" authorId="0" shapeId="0" xr:uid="{00000000-0006-0000-0200-000058000000}">
      <text>
        <r>
          <rPr>
            <b/>
            <sz val="9"/>
            <color indexed="81"/>
            <rFont val="Tahoma"/>
            <family val="2"/>
          </rPr>
          <t>Author:</t>
        </r>
        <r>
          <rPr>
            <sz val="9"/>
            <color indexed="81"/>
            <rFont val="Tahoma"/>
            <family val="2"/>
          </rPr>
          <t xml:space="preserve">
შედის P.6.658-ში</t>
        </r>
      </text>
    </comment>
    <comment ref="D566" authorId="0" shapeId="0" xr:uid="{00000000-0006-0000-0200-000059000000}">
      <text>
        <r>
          <rPr>
            <b/>
            <sz val="9"/>
            <color indexed="81"/>
            <rFont val="Tahoma"/>
            <family val="2"/>
          </rPr>
          <t>Author:</t>
        </r>
        <r>
          <rPr>
            <sz val="9"/>
            <color indexed="81"/>
            <rFont val="Tahoma"/>
            <family val="2"/>
          </rPr>
          <t xml:space="preserve">
მოიცავს P.3.503-საც.</t>
        </r>
      </text>
    </comment>
    <comment ref="Q566" authorId="0" shapeId="0" xr:uid="{00000000-0006-0000-0200-00005A000000}">
      <text>
        <r>
          <rPr>
            <b/>
            <sz val="9"/>
            <color indexed="81"/>
            <rFont val="Tahoma"/>
            <family val="2"/>
          </rPr>
          <t>Author:</t>
        </r>
        <r>
          <rPr>
            <sz val="9"/>
            <color indexed="81"/>
            <rFont val="Tahoma"/>
            <family val="2"/>
          </rPr>
          <t xml:space="preserve">
მოიცავს P.3.503-საც.</t>
        </r>
      </text>
    </comment>
    <comment ref="M591" authorId="0" shapeId="0" xr:uid="{BE1138FA-3C19-4A07-8143-172C13E05F14}">
      <text>
        <r>
          <rPr>
            <b/>
            <sz val="9"/>
            <color indexed="81"/>
            <rFont val="Tahoma"/>
            <family val="2"/>
          </rPr>
          <t>Author:</t>
        </r>
        <r>
          <rPr>
            <sz val="9"/>
            <color indexed="81"/>
            <rFont val="Tahoma"/>
            <family val="2"/>
          </rPr>
          <t xml:space="preserve">
2332 აშენდა ე.წ. შიდა ქსელი. ანუ სულ 11254 მეტრი.</t>
        </r>
      </text>
    </comment>
    <comment ref="D615" authorId="0" shapeId="0" xr:uid="{EEA6F76B-3A15-43B4-8F24-77E012A84023}">
      <text>
        <r>
          <rPr>
            <b/>
            <sz val="9"/>
            <color indexed="81"/>
            <rFont val="Tahoma"/>
            <family val="2"/>
          </rPr>
          <t>Author:</t>
        </r>
        <r>
          <rPr>
            <sz val="9"/>
            <color indexed="81"/>
            <rFont val="Tahoma"/>
            <family val="2"/>
          </rPr>
          <t xml:space="preserve">
პროექტი ჩაბარებულია 2021 წლის 19 მაისს, აქ გასაუქმებელია!</t>
        </r>
      </text>
    </comment>
    <comment ref="D658" authorId="0" shapeId="0" xr:uid="{00000000-0006-0000-0200-00005C000000}">
      <text>
        <r>
          <rPr>
            <b/>
            <sz val="9"/>
            <color indexed="81"/>
            <rFont val="Tahoma"/>
            <family val="2"/>
          </rPr>
          <t>Author:</t>
        </r>
        <r>
          <rPr>
            <sz val="9"/>
            <color indexed="81"/>
            <rFont val="Tahoma"/>
            <family val="2"/>
          </rPr>
          <t xml:space="preserve">
ეს კორპუსებია!</t>
        </r>
      </text>
    </comment>
    <comment ref="BN658" authorId="0" shapeId="0" xr:uid="{00000000-0006-0000-0200-00005D000000}">
      <text>
        <r>
          <rPr>
            <b/>
            <sz val="9"/>
            <color indexed="81"/>
            <rFont val="Tahoma"/>
            <family val="2"/>
          </rPr>
          <t>Author:</t>
        </r>
        <r>
          <rPr>
            <sz val="9"/>
            <color indexed="81"/>
            <rFont val="Tahoma"/>
            <family val="2"/>
          </rPr>
          <t xml:space="preserve">
ეს კორპუსებია!</t>
        </r>
      </text>
    </comment>
    <comment ref="D659" authorId="0" shapeId="0" xr:uid="{00000000-0006-0000-0200-00005E000000}">
      <text>
        <r>
          <rPr>
            <b/>
            <sz val="9"/>
            <color indexed="81"/>
            <rFont val="Tahoma"/>
            <family val="2"/>
          </rPr>
          <t>Author:</t>
        </r>
        <r>
          <rPr>
            <sz val="9"/>
            <color indexed="81"/>
            <rFont val="Tahoma"/>
            <family val="2"/>
          </rPr>
          <t xml:space="preserve">
კორპუსებია</t>
        </r>
      </text>
    </comment>
    <comment ref="BI659" authorId="0" shapeId="0" xr:uid="{00000000-0006-0000-0200-00005F000000}">
      <text>
        <r>
          <rPr>
            <b/>
            <sz val="9"/>
            <color indexed="81"/>
            <rFont val="Tahoma"/>
            <family val="2"/>
          </rPr>
          <t>Author:</t>
        </r>
        <r>
          <rPr>
            <sz val="9"/>
            <color indexed="81"/>
            <rFont val="Tahoma"/>
            <family val="2"/>
          </rPr>
          <t xml:space="preserve">
კორპუსებია</t>
        </r>
      </text>
    </comment>
    <comment ref="BN659" authorId="0" shapeId="0" xr:uid="{00000000-0006-0000-0200-000060000000}">
      <text>
        <r>
          <rPr>
            <b/>
            <sz val="9"/>
            <color indexed="81"/>
            <rFont val="Tahoma"/>
            <family val="2"/>
          </rPr>
          <t>Author:</t>
        </r>
        <r>
          <rPr>
            <sz val="9"/>
            <color indexed="81"/>
            <rFont val="Tahoma"/>
            <family val="2"/>
          </rPr>
          <t xml:space="preserve">
კორპუსებია</t>
        </r>
      </text>
    </comment>
    <comment ref="D671" authorId="0" shapeId="0" xr:uid="{00000000-0006-0000-0200-000061000000}">
      <text>
        <r>
          <rPr>
            <b/>
            <sz val="9"/>
            <color indexed="81"/>
            <rFont val="Tahoma"/>
            <family val="2"/>
          </rPr>
          <t>Author:</t>
        </r>
        <r>
          <rPr>
            <sz val="9"/>
            <color indexed="81"/>
            <rFont val="Tahoma"/>
            <family val="2"/>
          </rPr>
          <t xml:space="preserve">
შედის P.6.69-ში</t>
        </r>
      </text>
    </comment>
    <comment ref="D676" authorId="0" shapeId="0" xr:uid="{00000000-0006-0000-0200-000062000000}">
      <text>
        <r>
          <rPr>
            <b/>
            <sz val="9"/>
            <color indexed="81"/>
            <rFont val="Tahoma"/>
            <family val="2"/>
          </rPr>
          <t>Author:</t>
        </r>
        <r>
          <rPr>
            <sz val="9"/>
            <color indexed="81"/>
            <rFont val="Tahoma"/>
            <family val="2"/>
          </rPr>
          <t xml:space="preserve">
შედის P.6.689-ში</t>
        </r>
      </text>
    </comment>
    <comment ref="D677" authorId="0" shapeId="0" xr:uid="{00000000-0006-0000-0200-000063000000}">
      <text>
        <r>
          <rPr>
            <b/>
            <sz val="9"/>
            <color indexed="81"/>
            <rFont val="Tahoma"/>
            <family val="2"/>
          </rPr>
          <t>Author:</t>
        </r>
        <r>
          <rPr>
            <sz val="9"/>
            <color indexed="81"/>
            <rFont val="Tahoma"/>
            <family val="2"/>
          </rPr>
          <t xml:space="preserve">
შედის P.6.689-ში</t>
        </r>
      </text>
    </comment>
    <comment ref="D678" authorId="0" shapeId="0" xr:uid="{00000000-0006-0000-0200-000064000000}">
      <text>
        <r>
          <rPr>
            <b/>
            <sz val="9"/>
            <color indexed="81"/>
            <rFont val="Tahoma"/>
            <family val="2"/>
          </rPr>
          <t>Author:</t>
        </r>
        <r>
          <rPr>
            <sz val="9"/>
            <color indexed="81"/>
            <rFont val="Tahoma"/>
            <family val="2"/>
          </rPr>
          <t xml:space="preserve">
შედის P.6.70-ში</t>
        </r>
      </text>
    </comment>
    <comment ref="D679" authorId="0" shapeId="0" xr:uid="{00000000-0006-0000-0200-000065000000}">
      <text>
        <r>
          <rPr>
            <b/>
            <sz val="9"/>
            <color indexed="81"/>
            <rFont val="Tahoma"/>
            <family val="2"/>
          </rPr>
          <t>Author:</t>
        </r>
        <r>
          <rPr>
            <sz val="9"/>
            <color indexed="81"/>
            <rFont val="Tahoma"/>
            <family val="2"/>
          </rPr>
          <t xml:space="preserve">
მოიცავს P.6.70-ს</t>
        </r>
      </text>
    </comment>
    <comment ref="D681" authorId="0" shapeId="0" xr:uid="{00000000-0006-0000-0200-000066000000}">
      <text>
        <r>
          <rPr>
            <b/>
            <sz val="9"/>
            <color indexed="81"/>
            <rFont val="Tahoma"/>
            <family val="2"/>
          </rPr>
          <t>Author:</t>
        </r>
        <r>
          <rPr>
            <sz val="9"/>
            <color indexed="81"/>
            <rFont val="Tahoma"/>
            <family val="2"/>
          </rPr>
          <t xml:space="preserve">
შედის P.6.608-ში</t>
        </r>
      </text>
    </comment>
    <comment ref="Q681" authorId="0" shapeId="0" xr:uid="{00000000-0006-0000-0200-000067000000}">
      <text>
        <r>
          <rPr>
            <b/>
            <sz val="9"/>
            <color indexed="81"/>
            <rFont val="Tahoma"/>
            <family val="2"/>
          </rPr>
          <t>Author:</t>
        </r>
        <r>
          <rPr>
            <sz val="9"/>
            <color indexed="81"/>
            <rFont val="Tahoma"/>
            <family val="2"/>
          </rPr>
          <t xml:space="preserve">
შედის P.6.608-ში</t>
        </r>
      </text>
    </comment>
    <comment ref="D692" authorId="0" shapeId="0" xr:uid="{00000000-0006-0000-0200-000068000000}">
      <text>
        <r>
          <rPr>
            <b/>
            <sz val="9"/>
            <color indexed="81"/>
            <rFont val="Tahoma"/>
            <family val="2"/>
          </rPr>
          <t>Author:</t>
        </r>
        <r>
          <rPr>
            <sz val="9"/>
            <color indexed="81"/>
            <rFont val="Tahoma"/>
            <family val="2"/>
          </rPr>
          <t xml:space="preserve">
მოიცავს P.6.899</t>
        </r>
      </text>
    </comment>
    <comment ref="Q692" authorId="0" shapeId="0" xr:uid="{00000000-0006-0000-0200-000069000000}">
      <text>
        <r>
          <rPr>
            <b/>
            <sz val="9"/>
            <color indexed="81"/>
            <rFont val="Tahoma"/>
            <family val="2"/>
          </rPr>
          <t>Author:</t>
        </r>
        <r>
          <rPr>
            <sz val="9"/>
            <color indexed="81"/>
            <rFont val="Tahoma"/>
            <family val="2"/>
          </rPr>
          <t xml:space="preserve">
მოიცავს P.6.899</t>
        </r>
      </text>
    </comment>
    <comment ref="D697" authorId="0" shapeId="0" xr:uid="{00000000-0006-0000-0200-00006A000000}">
      <text>
        <r>
          <rPr>
            <b/>
            <sz val="9"/>
            <color indexed="81"/>
            <rFont val="Tahoma"/>
            <family val="2"/>
          </rPr>
          <t>Author:</t>
        </r>
        <r>
          <rPr>
            <sz val="9"/>
            <color indexed="81"/>
            <rFont val="Tahoma"/>
            <family val="2"/>
          </rPr>
          <t xml:space="preserve">
ჩაბარდა 2023 წლის ხელშეკრულებით.</t>
        </r>
      </text>
    </comment>
    <comment ref="BN697" authorId="0" shapeId="0" xr:uid="{00000000-0006-0000-0200-00006B000000}">
      <text>
        <r>
          <rPr>
            <b/>
            <sz val="9"/>
            <color indexed="81"/>
            <rFont val="Tahoma"/>
            <family val="2"/>
          </rPr>
          <t>Author:</t>
        </r>
        <r>
          <rPr>
            <sz val="9"/>
            <color indexed="81"/>
            <rFont val="Tahoma"/>
            <family val="2"/>
          </rPr>
          <t xml:space="preserve">
ჩაბარდა 2023 წლის ხელშეკრულებით.</t>
        </r>
      </text>
    </comment>
    <comment ref="D711" authorId="0" shapeId="0" xr:uid="{00000000-0006-0000-0200-00006C000000}">
      <text>
        <r>
          <rPr>
            <b/>
            <sz val="9"/>
            <color indexed="81"/>
            <rFont val="Tahoma"/>
            <family val="2"/>
          </rPr>
          <t>Author:</t>
        </r>
        <r>
          <rPr>
            <sz val="9"/>
            <color indexed="81"/>
            <rFont val="Tahoma"/>
            <family val="2"/>
          </rPr>
          <t xml:space="preserve">
გასაუქმებელია</t>
        </r>
      </text>
    </comment>
    <comment ref="BN711" authorId="0" shapeId="0" xr:uid="{00000000-0006-0000-0200-00006D000000}">
      <text>
        <r>
          <rPr>
            <b/>
            <sz val="9"/>
            <color indexed="81"/>
            <rFont val="Tahoma"/>
            <family val="2"/>
          </rPr>
          <t>Author:</t>
        </r>
        <r>
          <rPr>
            <sz val="9"/>
            <color indexed="81"/>
            <rFont val="Tahoma"/>
            <family val="2"/>
          </rPr>
          <t xml:space="preserve">
გასაუქმებელია</t>
        </r>
      </text>
    </comment>
    <comment ref="D712" authorId="0" shapeId="0" xr:uid="{00000000-0006-0000-0200-00006E000000}">
      <text>
        <r>
          <rPr>
            <b/>
            <sz val="9"/>
            <color indexed="81"/>
            <rFont val="Tahoma"/>
            <family val="2"/>
          </rPr>
          <t>Author:</t>
        </r>
        <r>
          <rPr>
            <sz val="9"/>
            <color indexed="81"/>
            <rFont val="Tahoma"/>
            <family val="2"/>
          </rPr>
          <t xml:space="preserve">
გასაუქმებელია</t>
        </r>
      </text>
    </comment>
    <comment ref="BN712" authorId="0" shapeId="0" xr:uid="{00000000-0006-0000-0200-00006F000000}">
      <text>
        <r>
          <rPr>
            <b/>
            <sz val="9"/>
            <color indexed="81"/>
            <rFont val="Tahoma"/>
            <family val="2"/>
          </rPr>
          <t>Author:</t>
        </r>
        <r>
          <rPr>
            <sz val="9"/>
            <color indexed="81"/>
            <rFont val="Tahoma"/>
            <family val="2"/>
          </rPr>
          <t xml:space="preserve">
გასაუქმებელია</t>
        </r>
      </text>
    </comment>
    <comment ref="D724" authorId="0" shapeId="0" xr:uid="{00000000-0006-0000-0200-000070000000}">
      <text>
        <r>
          <rPr>
            <b/>
            <sz val="9"/>
            <color indexed="81"/>
            <rFont val="Tahoma"/>
            <family val="2"/>
          </rPr>
          <t>Author:</t>
        </r>
        <r>
          <rPr>
            <sz val="9"/>
            <color indexed="81"/>
            <rFont val="Tahoma"/>
            <family val="2"/>
          </rPr>
          <t xml:space="preserve">
ეს გასარკვევია, წესით საქორგგაზით უნდა გაფორმდეს ეს ხელშეკრულება!</t>
        </r>
      </text>
    </comment>
    <comment ref="D781" authorId="0" shapeId="0" xr:uid="{00000000-0006-0000-0200-000071000000}">
      <text>
        <r>
          <rPr>
            <b/>
            <sz val="9"/>
            <color indexed="81"/>
            <rFont val="Tahoma"/>
            <family val="2"/>
          </rPr>
          <t>Author:</t>
        </r>
        <r>
          <rPr>
            <sz val="9"/>
            <color indexed="81"/>
            <rFont val="Tahoma"/>
            <family val="2"/>
          </rPr>
          <t xml:space="preserve">
ეს კორპუსებია!</t>
        </r>
      </text>
    </comment>
    <comment ref="BN781" authorId="0" shapeId="0" xr:uid="{00000000-0006-0000-0200-000072000000}">
      <text>
        <r>
          <rPr>
            <b/>
            <sz val="9"/>
            <color indexed="81"/>
            <rFont val="Tahoma"/>
            <family val="2"/>
          </rPr>
          <t>Author:</t>
        </r>
        <r>
          <rPr>
            <sz val="9"/>
            <color indexed="81"/>
            <rFont val="Tahoma"/>
            <family val="2"/>
          </rPr>
          <t xml:space="preserve">
ეს კორპუსებია!</t>
        </r>
      </text>
    </comment>
    <comment ref="D782" authorId="0" shapeId="0" xr:uid="{00000000-0006-0000-0200-000073000000}">
      <text>
        <r>
          <rPr>
            <b/>
            <sz val="9"/>
            <color indexed="81"/>
            <rFont val="Tahoma"/>
            <family val="2"/>
          </rPr>
          <t>Author:</t>
        </r>
        <r>
          <rPr>
            <sz val="9"/>
            <color indexed="81"/>
            <rFont val="Tahoma"/>
            <family val="2"/>
          </rPr>
          <t xml:space="preserve">
ეს კორპუსებია!</t>
        </r>
      </text>
    </comment>
    <comment ref="D946" authorId="0" shapeId="0" xr:uid="{00000000-0006-0000-0200-000074000000}">
      <text>
        <r>
          <rPr>
            <b/>
            <sz val="9"/>
            <color indexed="81"/>
            <rFont val="Tahoma"/>
            <family val="2"/>
          </rPr>
          <t>Author:</t>
        </r>
        <r>
          <rPr>
            <sz val="9"/>
            <color indexed="81"/>
            <rFont val="Tahoma"/>
            <family val="2"/>
          </rPr>
          <t xml:space="preserve">
 მოიცავს (P.6.659)</t>
        </r>
      </text>
    </comment>
    <comment ref="D947" authorId="0" shapeId="0" xr:uid="{00000000-0006-0000-0200-000075000000}">
      <text>
        <r>
          <rPr>
            <b/>
            <sz val="9"/>
            <color indexed="81"/>
            <rFont val="Tahoma"/>
            <family val="2"/>
          </rPr>
          <t>Author:</t>
        </r>
        <r>
          <rPr>
            <sz val="9"/>
            <color indexed="81"/>
            <rFont val="Tahoma"/>
            <family val="2"/>
          </rPr>
          <t xml:space="preserve">
შედის P.6.658-ში</t>
        </r>
      </text>
    </comment>
    <comment ref="D949" authorId="0" shapeId="0" xr:uid="{00000000-0006-0000-0200-000076000000}">
      <text>
        <r>
          <rPr>
            <b/>
            <sz val="9"/>
            <color indexed="81"/>
            <rFont val="Tahoma"/>
            <family val="2"/>
          </rPr>
          <t>Author:</t>
        </r>
        <r>
          <rPr>
            <sz val="9"/>
            <color indexed="81"/>
            <rFont val="Tahoma"/>
            <family val="2"/>
          </rPr>
          <t xml:space="preserve">
 მოიცავს P.3.503</t>
        </r>
      </text>
    </comment>
    <comment ref="D967" authorId="0" shapeId="0" xr:uid="{00000000-0006-0000-0200-000077000000}">
      <text>
        <r>
          <rPr>
            <b/>
            <sz val="9"/>
            <color indexed="81"/>
            <rFont val="Tahoma"/>
            <family val="2"/>
          </rPr>
          <t>Author:</t>
        </r>
        <r>
          <rPr>
            <sz val="9"/>
            <color indexed="81"/>
            <rFont val="Tahoma"/>
            <family val="2"/>
          </rPr>
          <t xml:space="preserve">
ეს გასარკვევია, წესით საქორგგაზით უნდა გაფორმდეს ეს ხელშეკრულება!</t>
        </r>
      </text>
    </comment>
    <comment ref="D1005" authorId="0" shapeId="0" xr:uid="{00000000-0006-0000-0200-000078000000}">
      <text>
        <r>
          <rPr>
            <b/>
            <sz val="9"/>
            <color indexed="81"/>
            <rFont val="Tahoma"/>
            <family val="2"/>
          </rPr>
          <t>Author:</t>
        </r>
        <r>
          <rPr>
            <sz val="9"/>
            <color indexed="81"/>
            <rFont val="Tahoma"/>
            <family val="2"/>
          </rPr>
          <t xml:space="preserve">
ეს კორპუსებია!</t>
        </r>
      </text>
    </comment>
    <comment ref="BN1005" authorId="0" shapeId="0" xr:uid="{00000000-0006-0000-0200-000079000000}">
      <text>
        <r>
          <rPr>
            <b/>
            <sz val="9"/>
            <color indexed="81"/>
            <rFont val="Tahoma"/>
            <family val="2"/>
          </rPr>
          <t>Author:</t>
        </r>
        <r>
          <rPr>
            <sz val="9"/>
            <color indexed="81"/>
            <rFont val="Tahoma"/>
            <family val="2"/>
          </rPr>
          <t xml:space="preserve">
ეს კორპუსებია!</t>
        </r>
      </text>
    </comment>
    <comment ref="D1006" authorId="0" shapeId="0" xr:uid="{00000000-0006-0000-0200-00007A000000}">
      <text>
        <r>
          <rPr>
            <b/>
            <sz val="9"/>
            <color indexed="81"/>
            <rFont val="Tahoma"/>
            <family val="2"/>
          </rPr>
          <t>Author:</t>
        </r>
        <r>
          <rPr>
            <sz val="9"/>
            <color indexed="81"/>
            <rFont val="Tahoma"/>
            <family val="2"/>
          </rPr>
          <t xml:space="preserve">
ეს კორპუსებია!</t>
        </r>
      </text>
    </comment>
    <comment ref="F1101" authorId="0" shapeId="0" xr:uid="{00000000-0006-0000-0200-00007B000000}">
      <text>
        <r>
          <rPr>
            <b/>
            <sz val="9"/>
            <color indexed="81"/>
            <rFont val="Tahoma"/>
            <family val="2"/>
          </rPr>
          <t>Author:</t>
        </r>
        <r>
          <rPr>
            <sz val="9"/>
            <color indexed="81"/>
            <rFont val="Tahoma"/>
            <family val="2"/>
          </rPr>
          <t xml:space="preserve">
დადგა 2 ცალი T-10 ტიპის კვანძი.</t>
        </r>
      </text>
    </comment>
    <comment ref="H1101" authorId="0" shapeId="0" xr:uid="{00000000-0006-0000-0200-00007C000000}">
      <text>
        <r>
          <rPr>
            <b/>
            <sz val="9"/>
            <color indexed="81"/>
            <rFont val="Tahoma"/>
            <family val="2"/>
          </rPr>
          <t>Author:</t>
        </r>
        <r>
          <rPr>
            <sz val="9"/>
            <color indexed="81"/>
            <rFont val="Tahoma"/>
            <family val="2"/>
          </rPr>
          <t xml:space="preserve">
დადგა 2 ცალი T-10 ტიპის კვანძი.</t>
        </r>
      </text>
    </comment>
    <comment ref="V1101" authorId="0" shapeId="0" xr:uid="{00000000-0006-0000-0200-00007D000000}">
      <text>
        <r>
          <rPr>
            <b/>
            <sz val="9"/>
            <color indexed="81"/>
            <rFont val="Tahoma"/>
            <family val="2"/>
          </rPr>
          <t>Author:</t>
        </r>
        <r>
          <rPr>
            <sz val="9"/>
            <color indexed="81"/>
            <rFont val="Tahoma"/>
            <family val="2"/>
          </rPr>
          <t xml:space="preserve">
დადგა 2 ცალი T-10 ტიპის კვანძი.</t>
        </r>
      </text>
    </comment>
    <comment ref="M1192" authorId="0" shapeId="0" xr:uid="{6544874A-E266-4F18-B7FB-53BE28ECB2F7}">
      <text>
        <r>
          <rPr>
            <b/>
            <sz val="9"/>
            <color indexed="81"/>
            <rFont val="Tahoma"/>
            <family val="2"/>
          </rPr>
          <t>Author:</t>
        </r>
        <r>
          <rPr>
            <sz val="9"/>
            <color indexed="81"/>
            <rFont val="Tahoma"/>
            <family val="2"/>
          </rPr>
          <t xml:space="preserve">
გამოკლებულია შიდა ქსელი!</t>
        </r>
      </text>
    </comment>
    <comment ref="AF1192" authorId="0" shapeId="0" xr:uid="{A3286C92-131C-40F7-8673-6C7A1341F3ED}">
      <text>
        <r>
          <rPr>
            <b/>
            <sz val="9"/>
            <color indexed="81"/>
            <rFont val="Tahoma"/>
            <family val="2"/>
          </rPr>
          <t>Author:</t>
        </r>
        <r>
          <rPr>
            <sz val="9"/>
            <color indexed="81"/>
            <rFont val="Tahoma"/>
            <family val="2"/>
          </rPr>
          <t xml:space="preserve">
პროექტია შიდა ქსელების.</t>
        </r>
      </text>
    </comment>
    <comment ref="M1193" authorId="0" shapeId="0" xr:uid="{7FA30EE3-A1C8-4D06-928E-C74150599F50}">
      <text>
        <r>
          <rPr>
            <b/>
            <sz val="9"/>
            <color indexed="81"/>
            <rFont val="Tahoma"/>
            <family val="2"/>
          </rPr>
          <t>Author:</t>
        </r>
        <r>
          <rPr>
            <sz val="9"/>
            <color indexed="81"/>
            <rFont val="Tahoma"/>
            <family val="2"/>
          </rPr>
          <t xml:space="preserve">
გამოკლებულია შიდა ქსელი!</t>
        </r>
      </text>
    </comment>
    <comment ref="AF1193" authorId="0" shapeId="0" xr:uid="{8FF39CA6-8CE8-42C4-90A9-F7D63FDCAE2A}">
      <text>
        <r>
          <rPr>
            <b/>
            <sz val="9"/>
            <color indexed="81"/>
            <rFont val="Tahoma"/>
            <family val="2"/>
          </rPr>
          <t>Author:</t>
        </r>
        <r>
          <rPr>
            <sz val="9"/>
            <color indexed="81"/>
            <rFont val="Tahoma"/>
            <family val="2"/>
          </rPr>
          <t xml:space="preserve">
პროექტია შიდა ქსელების.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7" authorId="0" shapeId="0" xr:uid="{00000000-0006-0000-0300-000001000000}">
      <text>
        <r>
          <rPr>
            <b/>
            <sz val="9"/>
            <color indexed="81"/>
            <rFont val="Tahoma"/>
            <family val="2"/>
          </rPr>
          <t>Author:</t>
        </r>
        <r>
          <rPr>
            <sz val="9"/>
            <color indexed="81"/>
            <rFont val="Tahoma"/>
            <family val="2"/>
          </rPr>
          <t xml:space="preserve">
ეს ვერ ვიპოვე 1C-ში.</t>
        </r>
      </text>
    </comment>
    <comment ref="H38" authorId="0" shapeId="0" xr:uid="{00000000-0006-0000-0300-000002000000}">
      <text>
        <r>
          <rPr>
            <b/>
            <sz val="9"/>
            <color indexed="81"/>
            <rFont val="Tahoma"/>
            <family val="2"/>
          </rPr>
          <t>Author:</t>
        </r>
        <r>
          <rPr>
            <sz val="9"/>
            <color indexed="81"/>
            <rFont val="Tahoma"/>
            <family val="2"/>
          </rPr>
          <t xml:space="preserve">
პროექტირების აქტი გასწორდა, ადრე შეცდომით, 5-ის ნაცვლად  იყო მითითებული კორპუსი 11.</t>
        </r>
      </text>
    </comment>
    <comment ref="I38" authorId="0" shapeId="0" xr:uid="{00000000-0006-0000-0300-000003000000}">
      <text>
        <r>
          <rPr>
            <b/>
            <sz val="9"/>
            <color indexed="81"/>
            <rFont val="Tahoma"/>
            <family val="2"/>
          </rPr>
          <t>Author:</t>
        </r>
        <r>
          <rPr>
            <sz val="9"/>
            <color indexed="81"/>
            <rFont val="Tahoma"/>
            <family val="2"/>
          </rPr>
          <t xml:space="preserve">
პროექტირების აქტი გასწორდა, ადრე შეცდომით, 5-ის ნაცვლად  იყო მითითებული კორპუსი 11.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34" authorId="0" shapeId="0" xr:uid="{00000000-0006-0000-0500-000001000000}">
      <text>
        <r>
          <rPr>
            <b/>
            <sz val="9"/>
            <color indexed="81"/>
            <rFont val="Tahoma"/>
            <family val="2"/>
            <charset val="204"/>
          </rPr>
          <t>Author:</t>
        </r>
        <r>
          <rPr>
            <sz val="9"/>
            <color indexed="81"/>
            <rFont val="Tahoma"/>
            <family val="2"/>
            <charset val="204"/>
          </rPr>
          <t xml:space="preserve">
ამ შუალდურში არ იყოს მითითებული კორპუსის დასახელება და მისამართი!</t>
        </r>
      </text>
    </comment>
    <comment ref="K81" authorId="0" shapeId="0" xr:uid="{00000000-0006-0000-0500-000002000000}">
      <text>
        <r>
          <rPr>
            <b/>
            <sz val="9"/>
            <color indexed="81"/>
            <rFont val="Tahoma"/>
            <family val="2"/>
            <charset val="204"/>
          </rPr>
          <t>Author:</t>
        </r>
        <r>
          <rPr>
            <sz val="9"/>
            <color indexed="81"/>
            <rFont val="Tahoma"/>
            <family val="2"/>
            <charset val="204"/>
          </rPr>
          <t xml:space="preserve">
აქტში უნდა ყოფილიყო 60 მეტრი და არა 600!!!</t>
        </r>
      </text>
    </comment>
    <comment ref="N81" authorId="0" shapeId="0" xr:uid="{00000000-0006-0000-0500-000003000000}">
      <text>
        <r>
          <rPr>
            <b/>
            <sz val="9"/>
            <color indexed="81"/>
            <rFont val="Tahoma"/>
            <family val="2"/>
            <charset val="204"/>
          </rPr>
          <t>Author:</t>
        </r>
        <r>
          <rPr>
            <sz val="9"/>
            <color indexed="81"/>
            <rFont val="Tahoma"/>
            <family val="2"/>
            <charset val="204"/>
          </rPr>
          <t xml:space="preserve">
აქტში უნდა ყოფილიყო 60 მეტრი და არა 600!!!</t>
        </r>
      </text>
    </comment>
    <comment ref="D137" authorId="0" shapeId="0" xr:uid="{00000000-0006-0000-0500-000004000000}">
      <text>
        <r>
          <rPr>
            <b/>
            <sz val="9"/>
            <color indexed="81"/>
            <rFont val="Tahoma"/>
            <family val="2"/>
            <charset val="204"/>
          </rPr>
          <t>Author:</t>
        </r>
        <r>
          <rPr>
            <sz val="9"/>
            <color indexed="81"/>
            <rFont val="Tahoma"/>
            <family val="2"/>
            <charset val="204"/>
          </rPr>
          <t xml:space="preserve">
25 კორპუსის პროექტი.</t>
        </r>
      </text>
    </comment>
    <comment ref="H245" authorId="0" shapeId="0" xr:uid="{00000000-0006-0000-0500-000005000000}">
      <text>
        <r>
          <rPr>
            <b/>
            <sz val="9"/>
            <color indexed="81"/>
            <rFont val="Tahoma"/>
            <family val="2"/>
            <charset val="204"/>
          </rPr>
          <t>Author:</t>
        </r>
        <r>
          <rPr>
            <sz val="9"/>
            <color indexed="81"/>
            <rFont val="Tahoma"/>
            <family val="2"/>
            <charset val="204"/>
          </rPr>
          <t xml:space="preserve">
მერე დაკორექტირდა მიღება და დაემატა პროექტირება!
</t>
        </r>
      </text>
    </comment>
    <comment ref="F291" authorId="0" shapeId="0" xr:uid="{00000000-0006-0000-0500-000006000000}">
      <text>
        <r>
          <rPr>
            <b/>
            <sz val="9"/>
            <color indexed="81"/>
            <rFont val="Tahoma"/>
            <family val="2"/>
            <charset val="204"/>
          </rPr>
          <t>Author:</t>
        </r>
        <r>
          <rPr>
            <sz val="9"/>
            <color indexed="81"/>
            <rFont val="Tahoma"/>
            <family val="2"/>
            <charset val="204"/>
          </rPr>
          <t xml:space="preserve">
ამ თანხაზე დღგ-ს მოთხოვნა არ ატვირთულა.</t>
        </r>
      </text>
    </comment>
    <comment ref="H291" authorId="0" shapeId="0" xr:uid="{00000000-0006-0000-0500-000007000000}">
      <text>
        <r>
          <rPr>
            <b/>
            <sz val="9"/>
            <color indexed="81"/>
            <rFont val="Tahoma"/>
            <family val="2"/>
            <charset val="204"/>
          </rPr>
          <t>Author:</t>
        </r>
        <r>
          <rPr>
            <sz val="9"/>
            <color indexed="81"/>
            <rFont val="Tahoma"/>
            <family val="2"/>
            <charset val="204"/>
          </rPr>
          <t xml:space="preserve">
ამ თანხაზე დღგ-ს მოთხოვნა არ ატვირთულა.</t>
        </r>
      </text>
    </comment>
    <comment ref="G321" authorId="0" shapeId="0" xr:uid="{00000000-0006-0000-0500-000008000000}">
      <text>
        <r>
          <rPr>
            <b/>
            <sz val="9"/>
            <color indexed="81"/>
            <rFont val="Tahoma"/>
            <family val="2"/>
          </rPr>
          <t>Author:</t>
        </r>
        <r>
          <rPr>
            <sz val="9"/>
            <color indexed="81"/>
            <rFont val="Tahoma"/>
            <family val="2"/>
          </rPr>
          <t xml:space="preserve">
პროექტები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96" authorId="0" shapeId="0" xr:uid="{00000000-0006-0000-0600-000001000000}">
      <text>
        <r>
          <rPr>
            <b/>
            <sz val="9"/>
            <color indexed="81"/>
            <rFont val="Tahoma"/>
            <family val="2"/>
          </rPr>
          <t>Author:</t>
        </r>
        <r>
          <rPr>
            <sz val="9"/>
            <color indexed="81"/>
            <rFont val="Tahoma"/>
            <family val="2"/>
          </rPr>
          <t xml:space="preserve">
წეროვანი</t>
        </r>
      </text>
    </comment>
    <comment ref="G108" authorId="0" shapeId="0" xr:uid="{00000000-0006-0000-0600-000002000000}">
      <text>
        <r>
          <rPr>
            <b/>
            <sz val="9"/>
            <color indexed="81"/>
            <rFont val="Tahoma"/>
            <family val="2"/>
          </rPr>
          <t>Author:</t>
        </r>
        <r>
          <rPr>
            <sz val="9"/>
            <color indexed="81"/>
            <rFont val="Tahoma"/>
            <family val="2"/>
          </rPr>
          <t xml:space="preserve">
ფრეზეთი</t>
        </r>
      </text>
    </comment>
    <comment ref="G157" authorId="0" shapeId="0" xr:uid="{00000000-0006-0000-0600-000003000000}">
      <text>
        <r>
          <rPr>
            <b/>
            <sz val="9"/>
            <color indexed="81"/>
            <rFont val="Tahoma"/>
            <family val="2"/>
          </rPr>
          <t>Author:</t>
        </r>
        <r>
          <rPr>
            <sz val="9"/>
            <color indexed="81"/>
            <rFont val="Tahoma"/>
            <family val="2"/>
          </rPr>
          <t xml:space="preserve">
დღგ მოთხოვნილი მქონდა ნაკლები თანხით, დაახლ. 25000 აკლდა პროექტირების ღირებულება.</t>
        </r>
      </text>
    </comment>
    <comment ref="G192" authorId="0" shapeId="0" xr:uid="{00000000-0006-0000-0600-000004000000}">
      <text>
        <r>
          <rPr>
            <b/>
            <sz val="9"/>
            <color indexed="81"/>
            <rFont val="Tahoma"/>
            <family val="2"/>
          </rPr>
          <t>Author:</t>
        </r>
        <r>
          <rPr>
            <sz val="9"/>
            <color indexed="81"/>
            <rFont val="Tahoma"/>
            <family val="2"/>
          </rPr>
          <t xml:space="preserve">
პროექტი</t>
        </r>
      </text>
    </comment>
    <comment ref="G193" authorId="0" shapeId="0" xr:uid="{00000000-0006-0000-0600-000005000000}">
      <text>
        <r>
          <rPr>
            <b/>
            <sz val="9"/>
            <color indexed="81"/>
            <rFont val="Tahoma"/>
            <family val="2"/>
          </rPr>
          <t>Author:</t>
        </r>
        <r>
          <rPr>
            <sz val="9"/>
            <color indexed="81"/>
            <rFont val="Tahoma"/>
            <family val="2"/>
          </rPr>
          <t xml:space="preserve">
პროექტი</t>
        </r>
      </text>
    </comment>
    <comment ref="G194" authorId="0" shapeId="0" xr:uid="{00000000-0006-0000-0600-000006000000}">
      <text>
        <r>
          <rPr>
            <b/>
            <sz val="9"/>
            <color indexed="81"/>
            <rFont val="Tahoma"/>
            <family val="2"/>
          </rPr>
          <t>Author:</t>
        </r>
        <r>
          <rPr>
            <sz val="9"/>
            <color indexed="81"/>
            <rFont val="Tahoma"/>
            <family val="2"/>
          </rPr>
          <t xml:space="preserve">
პროექტი</t>
        </r>
      </text>
    </comment>
    <comment ref="G195" authorId="0" shapeId="0" xr:uid="{00000000-0006-0000-0600-000007000000}">
      <text>
        <r>
          <rPr>
            <b/>
            <sz val="9"/>
            <color indexed="81"/>
            <rFont val="Tahoma"/>
            <family val="2"/>
          </rPr>
          <t>Author:</t>
        </r>
        <r>
          <rPr>
            <sz val="9"/>
            <color indexed="81"/>
            <rFont val="Tahoma"/>
            <family val="2"/>
          </rPr>
          <t xml:space="preserve">
პროექტი</t>
        </r>
      </text>
    </comment>
    <comment ref="S218" authorId="0" shapeId="0" xr:uid="{00000000-0006-0000-0600-000008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19" authorId="0" shapeId="0" xr:uid="{00000000-0006-0000-0600-000009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20" authorId="0" shapeId="0" xr:uid="{00000000-0006-0000-0600-00000A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21" authorId="0" shapeId="0" xr:uid="{00000000-0006-0000-0600-00000B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22" authorId="0" shapeId="0" xr:uid="{00000000-0006-0000-0600-00000C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35" authorId="0" shapeId="0" xr:uid="{00000000-0006-0000-0600-00000D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36" authorId="0" shapeId="0" xr:uid="{00000000-0006-0000-0600-00000E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40" authorId="0" shapeId="0" xr:uid="{00000000-0006-0000-0600-00000F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44" authorId="0" shapeId="0" xr:uid="{00000000-0006-0000-0600-000010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46" authorId="0" shapeId="0" xr:uid="{00000000-0006-0000-0600-000011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S247" authorId="0" shapeId="0" xr:uid="{00000000-0006-0000-0600-000012000000}">
      <text>
        <r>
          <rPr>
            <b/>
            <sz val="9"/>
            <color indexed="81"/>
            <rFont val="Tahoma"/>
            <family val="2"/>
          </rPr>
          <t>Author:</t>
        </r>
        <r>
          <rPr>
            <sz val="9"/>
            <color indexed="81"/>
            <rFont val="Tahoma"/>
            <family val="2"/>
          </rPr>
          <t xml:space="preserve">
პროექტი ჩაბარდა BCP-220426-1/0(1.1.7) ხელშეკრულებით!</t>
        </r>
      </text>
    </comment>
    <comment ref="H253" authorId="0" shapeId="0" xr:uid="{00000000-0006-0000-0600-000013000000}">
      <text>
        <r>
          <rPr>
            <b/>
            <sz val="9"/>
            <color indexed="81"/>
            <rFont val="Tahoma"/>
            <family val="2"/>
          </rPr>
          <t>Author:</t>
        </r>
        <r>
          <rPr>
            <sz val="9"/>
            <color indexed="81"/>
            <rFont val="Tahoma"/>
            <family val="2"/>
          </rPr>
          <t xml:space="preserve">
არ მომითხოვია დღგ, რადგან რაულს ჰქონდა მოთხოვნილი სრული თანხა. ეს დღგ დავუმატეთ მონტაჟების დღგ-ზე!</t>
        </r>
      </text>
    </comment>
    <comment ref="F299" authorId="0" shapeId="0" xr:uid="{00000000-0006-0000-0600-000014000000}">
      <text>
        <r>
          <rPr>
            <b/>
            <sz val="9"/>
            <color indexed="81"/>
            <rFont val="Tahoma"/>
            <family val="2"/>
          </rPr>
          <t>Author:</t>
        </r>
        <r>
          <rPr>
            <sz val="9"/>
            <color indexed="81"/>
            <rFont val="Tahoma"/>
            <family val="2"/>
          </rPr>
          <t xml:space="preserve">
სინამდვილეში ივლისის ჩაბარებაა, აქ ეტყობა შეცდომით მომიხვდა აგვისტოში!</t>
        </r>
      </text>
    </comment>
    <comment ref="G410" authorId="0" shapeId="0" xr:uid="{00000000-0006-0000-0600-000015000000}">
      <text>
        <r>
          <rPr>
            <b/>
            <sz val="9"/>
            <color indexed="81"/>
            <rFont val="Tahoma"/>
            <family val="2"/>
          </rPr>
          <t>Author:</t>
        </r>
        <r>
          <rPr>
            <sz val="9"/>
            <color indexed="81"/>
            <rFont val="Tahoma"/>
            <family val="2"/>
          </rPr>
          <t xml:space="preserve">
პროექტი</t>
        </r>
      </text>
    </comment>
    <comment ref="J438" authorId="0" shapeId="0" xr:uid="{00000000-0006-0000-0600-000016000000}">
      <text>
        <r>
          <rPr>
            <b/>
            <sz val="9"/>
            <color indexed="81"/>
            <rFont val="Tahoma"/>
            <family val="2"/>
          </rPr>
          <t>Author:</t>
        </r>
        <r>
          <rPr>
            <sz val="9"/>
            <color indexed="81"/>
            <rFont val="Tahoma"/>
            <family val="2"/>
          </rPr>
          <t xml:space="preserve">
გასწორდა, ადრე შეცდომით იყო მითითებული კორპუსი 11, ასევე გასწორდა შეცდომა აქტშიც.</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8" authorId="0" shapeId="0" xr:uid="{00000000-0006-0000-0700-000001000000}">
      <text>
        <r>
          <rPr>
            <b/>
            <sz val="9"/>
            <color indexed="81"/>
            <rFont val="Tahoma"/>
            <family val="2"/>
          </rPr>
          <t>Author:</t>
        </r>
        <r>
          <rPr>
            <sz val="9"/>
            <color indexed="81"/>
            <rFont val="Tahoma"/>
            <family val="2"/>
          </rPr>
          <t xml:space="preserve">
როგორც მახსოვს ამაზე დღგ არ მოთხოვნილა!</t>
        </r>
      </text>
    </comment>
    <comment ref="H341" authorId="0" shapeId="0" xr:uid="{00000000-0006-0000-0700-000002000000}">
      <text>
        <r>
          <rPr>
            <b/>
            <sz val="9"/>
            <color indexed="81"/>
            <rFont val="Tahoma"/>
            <family val="2"/>
          </rPr>
          <t>Author:</t>
        </r>
        <r>
          <rPr>
            <sz val="9"/>
            <color indexed="81"/>
            <rFont val="Tahoma"/>
            <family val="2"/>
          </rPr>
          <t xml:space="preserve">
როგორც მახსოვს ამის დღგ-არ მოთხოვნილა!</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6" authorId="0" shapeId="0" xr:uid="{49D49FA4-FFAC-4490-9FA6-1C1C39BC38B0}">
      <text>
        <r>
          <rPr>
            <b/>
            <sz val="9"/>
            <color indexed="81"/>
            <rFont val="Tahoma"/>
            <family val="2"/>
          </rPr>
          <t>Author:</t>
        </r>
        <r>
          <rPr>
            <sz val="9"/>
            <color indexed="81"/>
            <rFont val="Tahoma"/>
            <family val="2"/>
          </rPr>
          <t xml:space="preserve">
არ მოთხოვნილა გადახდა!</t>
        </r>
      </text>
    </comment>
    <comment ref="G294" authorId="0" shapeId="0" xr:uid="{DBAF9628-643E-4903-82FC-8492D50D7277}">
      <text>
        <r>
          <rPr>
            <b/>
            <sz val="9"/>
            <color indexed="81"/>
            <rFont val="Tahoma"/>
            <family val="2"/>
          </rPr>
          <t>Author:</t>
        </r>
        <r>
          <rPr>
            <sz val="9"/>
            <color indexed="81"/>
            <rFont val="Tahoma"/>
            <family val="2"/>
          </rPr>
          <t xml:space="preserve">
ar moTxovnila gadaxda</t>
        </r>
      </text>
    </comment>
    <comment ref="G295" authorId="0" shapeId="0" xr:uid="{DB0B4620-9549-4CC5-8B97-17E0935D89E7}">
      <text>
        <r>
          <rPr>
            <b/>
            <sz val="9"/>
            <color indexed="81"/>
            <rFont val="Tahoma"/>
            <family val="2"/>
          </rPr>
          <t>Author:</t>
        </r>
        <r>
          <rPr>
            <sz val="9"/>
            <color indexed="81"/>
            <rFont val="Tahoma"/>
            <family val="2"/>
          </rPr>
          <t xml:space="preserve">
ar moTxovnila gadaxda</t>
        </r>
      </text>
    </comment>
    <comment ref="G296" authorId="0" shapeId="0" xr:uid="{5F70EFBE-9B19-4B66-B59F-91914CEDD0D1}">
      <text>
        <r>
          <rPr>
            <b/>
            <sz val="9"/>
            <color indexed="81"/>
            <rFont val="Tahoma"/>
            <family val="2"/>
          </rPr>
          <t>Author:</t>
        </r>
        <r>
          <rPr>
            <sz val="9"/>
            <color indexed="81"/>
            <rFont val="Tahoma"/>
            <family val="2"/>
          </rPr>
          <t xml:space="preserve">
ar moTxovnila gadaxda</t>
        </r>
      </text>
    </comment>
    <comment ref="G298" authorId="0" shapeId="0" xr:uid="{FFBD2B5A-3887-4828-B19D-DC4783C0DF04}">
      <text>
        <r>
          <rPr>
            <b/>
            <sz val="9"/>
            <color indexed="81"/>
            <rFont val="Tahoma"/>
            <family val="2"/>
          </rPr>
          <t>Author:</t>
        </r>
        <r>
          <rPr>
            <sz val="9"/>
            <color indexed="81"/>
            <rFont val="Tahoma"/>
            <family val="2"/>
          </rPr>
          <t xml:space="preserve">
ar moTxovnila gadaxda</t>
        </r>
      </text>
    </comment>
    <comment ref="G512" authorId="0" shapeId="0" xr:uid="{8FA154E0-4FBF-462A-A2D5-C40B68EDC45D}">
      <text>
        <r>
          <rPr>
            <b/>
            <sz val="9"/>
            <color indexed="81"/>
            <rFont val="Tahoma"/>
            <family val="2"/>
          </rPr>
          <t>Author:</t>
        </r>
        <r>
          <rPr>
            <sz val="9"/>
            <color indexed="81"/>
            <rFont val="Tahoma"/>
            <family val="2"/>
          </rPr>
          <t xml:space="preserve">
ეს გამორჩა და დღგ-ს მოთხოვნაში არ ატვირთულა!</t>
        </r>
      </text>
    </comment>
    <comment ref="G513" authorId="0" shapeId="0" xr:uid="{AAF9ADE6-49BF-489F-841E-CFA4F26AF6C1}">
      <text>
        <r>
          <rPr>
            <b/>
            <sz val="9"/>
            <color indexed="81"/>
            <rFont val="Tahoma"/>
            <family val="2"/>
          </rPr>
          <t>Author:</t>
        </r>
        <r>
          <rPr>
            <sz val="9"/>
            <color indexed="81"/>
            <rFont val="Tahoma"/>
            <family val="2"/>
          </rPr>
          <t xml:space="preserve">
ეს გამორჩა და დღგ-ს მოთხოვნაში არ ატვირთულა!</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080C20-FFFC-4ABF-9F1F-D9C9DA5CA58C}"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2" xr16:uid="{4D9548C4-6FF7-4825-BDDD-4C18814F5C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0496F14-9907-4AF2-831F-EDA958771FAC}" name="WorksheetConnection_0-Строит. и реаб. (13 თებ 2025).xlsx!Table2" type="102" refreshedVersion="8" minRefreshableVersion="5">
    <extLst>
      <ext xmlns:x15="http://schemas.microsoft.com/office/spreadsheetml/2010/11/main" uri="{DE250136-89BD-433C-8126-D09CA5730AF9}">
        <x15:connection id="Table2" autoDelete="1">
          <x15:rangePr sourceName="_xlcn.WorksheetConnection_0Строит.иреаб.13თებ2025.xlsxTable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2].[7].[All]}"/>
  </metadataStrings>
  <mdxMetadata count="1">
    <mdx n="0" f="s">
      <ms ns="1" c="0"/>
    </mdx>
  </mdxMetadata>
  <valueMetadata count="1">
    <bk>
      <rc t="1" v="0"/>
    </bk>
  </valueMetadata>
</metadata>
</file>

<file path=xl/sharedStrings.xml><?xml version="1.0" encoding="utf-8"?>
<sst xmlns="http://schemas.openxmlformats.org/spreadsheetml/2006/main" count="30302" uniqueCount="4148">
  <si>
    <t>Регион</t>
  </si>
  <si>
    <t>Обьект</t>
  </si>
  <si>
    <t>Подрядная
организация</t>
  </si>
  <si>
    <t>Расход
на 1-го
абонента</t>
  </si>
  <si>
    <t>Гардабани</t>
  </si>
  <si>
    <t>№
пп</t>
  </si>
  <si>
    <t>Мин.</t>
  </si>
  <si>
    <t>Мах.</t>
  </si>
  <si>
    <t>принят</t>
  </si>
  <si>
    <t>Всего оплачено:</t>
  </si>
  <si>
    <t>Н. Стр.</t>
  </si>
  <si>
    <t>Реаб.</t>
  </si>
  <si>
    <t>Тип
пр.</t>
  </si>
  <si>
    <t>№
Догов.</t>
  </si>
  <si>
    <t>1 пог.м.</t>
  </si>
  <si>
    <t>1 абон.</t>
  </si>
  <si>
    <t>Дманиси</t>
  </si>
  <si>
    <t>Марнеули</t>
  </si>
  <si>
    <t>Сакорггаз</t>
  </si>
  <si>
    <t>Гурия</t>
  </si>
  <si>
    <t>Озургети</t>
  </si>
  <si>
    <t>Ланчхути</t>
  </si>
  <si>
    <t>Район/
Город</t>
  </si>
  <si>
    <t>Дл. (м)
строящ.
газопр.</t>
  </si>
  <si>
    <t>Чохатаури</t>
  </si>
  <si>
    <t>Ср.</t>
  </si>
  <si>
    <t>Абаша</t>
  </si>
  <si>
    <t>Зугдиди</t>
  </si>
  <si>
    <t>Имерети</t>
  </si>
  <si>
    <t>Зестафони</t>
  </si>
  <si>
    <t>Чиатура</t>
  </si>
  <si>
    <t>Кахети</t>
  </si>
  <si>
    <t>Гурджаани</t>
  </si>
  <si>
    <t>Сигнаги</t>
  </si>
  <si>
    <t>Кварели</t>
  </si>
  <si>
    <t>Дедоплисцкаро</t>
  </si>
  <si>
    <t>Сагареджо</t>
  </si>
  <si>
    <t>Лагодехи</t>
  </si>
  <si>
    <t>Ахмета</t>
  </si>
  <si>
    <t>Шида Картли</t>
  </si>
  <si>
    <t>Мцхета</t>
  </si>
  <si>
    <t>Карели</t>
  </si>
  <si>
    <t>Хашури</t>
  </si>
  <si>
    <t>Душети</t>
  </si>
  <si>
    <t>Аджара</t>
  </si>
  <si>
    <t>Батуми</t>
  </si>
  <si>
    <t>Дата закл.
договора</t>
  </si>
  <si>
    <t>Кобулети</t>
  </si>
  <si>
    <t>Кол.
нов.
абон.</t>
  </si>
  <si>
    <t>План/
Год</t>
  </si>
  <si>
    <t>Болниси</t>
  </si>
  <si>
    <t>Цена</t>
  </si>
  <si>
    <t>Хелвачаури</t>
  </si>
  <si>
    <t>Оплачено</t>
  </si>
  <si>
    <t>Квемо Картли</t>
  </si>
  <si>
    <t>Самегрело</t>
  </si>
  <si>
    <t>Багдати</t>
  </si>
  <si>
    <t>Цкалтубо</t>
  </si>
  <si>
    <t>Поти</t>
  </si>
  <si>
    <t>Кол-во
реальн.
Абон.</t>
  </si>
  <si>
    <t>Гудаури</t>
  </si>
  <si>
    <t>Договорная
стоймость
обьекта</t>
  </si>
  <si>
    <t>Осталось
от сданных
работ</t>
  </si>
  <si>
    <t>Договорн. стоймость обьектов:</t>
  </si>
  <si>
    <t>Осталось
от договорн.
стоймости</t>
  </si>
  <si>
    <t>Кол-во. абон.</t>
  </si>
  <si>
    <t>Дл. газопр.</t>
  </si>
  <si>
    <t>Реальн. абон.</t>
  </si>
  <si>
    <t>Хоби</t>
  </si>
  <si>
    <t>Расход
на 1 п/м</t>
  </si>
  <si>
    <r>
      <rPr>
        <b/>
        <sz val="12"/>
        <rFont val="Calibri"/>
        <family val="2"/>
        <charset val="204"/>
      </rPr>
      <t>СОКАР ДЖОРДЖИЯ ГАЗ</t>
    </r>
    <r>
      <rPr>
        <sz val="10"/>
        <rFont val="Calibri"/>
        <family val="2"/>
        <charset val="204"/>
      </rPr>
      <t xml:space="preserve">   строительство-реабилитация</t>
    </r>
  </si>
  <si>
    <t>Интерсервис 2011</t>
  </si>
  <si>
    <t>Харагаули</t>
  </si>
  <si>
    <t>Казбеги</t>
  </si>
  <si>
    <t>Каспи</t>
  </si>
  <si>
    <t>Аркмшенсервис</t>
  </si>
  <si>
    <t>Тианети</t>
  </si>
  <si>
    <t>(Пр)-Циспери Али</t>
  </si>
  <si>
    <t>Работы
сданы
по фактуре (A)</t>
  </si>
  <si>
    <t>Примечание</t>
  </si>
  <si>
    <t>НДС</t>
  </si>
  <si>
    <t>Сумма
под ндс</t>
  </si>
  <si>
    <t>Месяц сдачи</t>
  </si>
  <si>
    <t>Район</t>
  </si>
  <si>
    <t>№
договора</t>
  </si>
  <si>
    <t>Организация</t>
  </si>
  <si>
    <t>Наименование обьекта</t>
  </si>
  <si>
    <t>Газсервис</t>
  </si>
  <si>
    <t>Кутаиси</t>
  </si>
  <si>
    <t>Дата
приема</t>
  </si>
  <si>
    <t>Газ Констракт</t>
  </si>
  <si>
    <t>Вани</t>
  </si>
  <si>
    <t>Самтредия</t>
  </si>
  <si>
    <t>Терджола</t>
  </si>
  <si>
    <t>Гори</t>
  </si>
  <si>
    <t>Борджоми</t>
  </si>
  <si>
    <t>Рустави</t>
  </si>
  <si>
    <t>Тетрицкаро</t>
  </si>
  <si>
    <t>Ахалцихе</t>
  </si>
  <si>
    <t>Адигени</t>
  </si>
  <si>
    <t>Самцхе Джавахети</t>
  </si>
  <si>
    <t>Компания</t>
  </si>
  <si>
    <t>"Признано"
КАПТО</t>
  </si>
  <si>
    <t>Мартвили</t>
  </si>
  <si>
    <t>Тбилиси</t>
  </si>
  <si>
    <t>Интер Газ</t>
  </si>
  <si>
    <t>(Пр)-Газ Констракт</t>
  </si>
  <si>
    <t>Примеч.
Или
Компания</t>
  </si>
  <si>
    <t>Мцхета-Мтианети</t>
  </si>
  <si>
    <t>Принят</t>
  </si>
  <si>
    <t>(Пр)-Интерсервис 2011</t>
  </si>
  <si>
    <t>Январь</t>
  </si>
  <si>
    <t>Проектирование</t>
  </si>
  <si>
    <t>SGG</t>
  </si>
  <si>
    <t>Джорджия Газ Проджект</t>
  </si>
  <si>
    <t>Унимшени</t>
  </si>
  <si>
    <t>(Пр)-Архитект-Проджект Компани</t>
  </si>
  <si>
    <t>(Пр)-Газсервис</t>
  </si>
  <si>
    <t>Ремонт офиса</t>
  </si>
  <si>
    <t>Yes</t>
  </si>
  <si>
    <t>Февраль</t>
  </si>
  <si>
    <t>Март</t>
  </si>
  <si>
    <t>Апрель</t>
  </si>
  <si>
    <t>(Пр)-Унимшени</t>
  </si>
  <si>
    <t>Май</t>
  </si>
  <si>
    <t>Июнь</t>
  </si>
  <si>
    <t>Июль</t>
  </si>
  <si>
    <t>Август</t>
  </si>
  <si>
    <t>(Пр)-Джорджия Газ Проджект</t>
  </si>
  <si>
    <t>Октябрь</t>
  </si>
  <si>
    <t>для КАПТО</t>
  </si>
  <si>
    <t>Ноябрь</t>
  </si>
  <si>
    <t>Бакуриани</t>
  </si>
  <si>
    <t>Декабрь</t>
  </si>
  <si>
    <t>No</t>
  </si>
  <si>
    <t>Возможный
долг
(Д)</t>
  </si>
  <si>
    <t>Амбролаури</t>
  </si>
  <si>
    <t>Рача</t>
  </si>
  <si>
    <t>"Признано"  аб.</t>
  </si>
  <si>
    <t>Сентябрь</t>
  </si>
  <si>
    <t>Цалка</t>
  </si>
  <si>
    <t>Бриджи</t>
  </si>
  <si>
    <t>Заказ Государства</t>
  </si>
  <si>
    <t>№ по бюджету</t>
  </si>
  <si>
    <t>P</t>
  </si>
  <si>
    <t>ПриПро</t>
  </si>
  <si>
    <t>СS-210203-1/0</t>
  </si>
  <si>
    <t>СC-210203-1/0</t>
  </si>
  <si>
    <t>1.2  Реабилитация газопровода среднего давления по направлении Булачаури-Абаносхева Душетского Муниципалитета;
1.3 (2) Реабилитация газопровода среднего давления в пос.Гудаури;
1.4 Реабилитация газопровода среднего давления по направлении Арагвиспири-Жинвали;
1.5  (2) Реабилитация газопровода низкого давления пос.Гудаури (Сетури, Джагмиани, Закаткари, Гудаури);
1.6 Вынос счетчиков в Душети, Базалети, Пасанаури, Жинвали, Вичнигаури и Булачаури;
1.7 Реабилитация газопровода в селе Мухатцкаро Мцхетского муниципалитета.
1.8  Замена и вынос счетчиков в г. Мцхета, Сагурамо, Илиас убани (983.5 лари), Бицменди, Галавани,  Цинамдзгврианткари, Джигаура;
1.9 Реабилитация (замена) подземного газопровода среднего давления D = 150мм в г. Мцхете ул.  Самхедро, Гмири, Мухрани; 
1.10 Строительство газопровода среднего давления в селе Сагурамо (Арашендинское направление);
1.11 Реабилитация газопровода среднего давления от села Джигхаура до Бицменди;
1.12 В с. Мухрани  на участке рынка  вынос и реабилитация существующего газопровода;
1.13 В селе Сагурамо участок Марани реабилитация газопровода среднего давления;
1.14 Вынос счетчиков в "Санаторий Сурами" на улице Хачидзе в г.Хашури;
1.15 В г. Хашури  вынос  счетчиков на улицах Санапиро, Цхвирашвили, Боржоми, Руставели, Орбелиани, Октябрьская, Гори, Сванети, Меликишвили, Сараджишвили, Толстого и Шартава;
1.16 (3) В г. Хашури на ул. Нино и ул. Хетагурова  реабилитация газопровода низкого давления.
1.17 (3) В г. Хашури на улице Сумбаташвили реабилитация газопровода низкого давления;
1.18 (3) В г. Хашури на  части улици Мцхета реабилитация газопровода.</t>
  </si>
  <si>
    <t>Заказ</t>
  </si>
  <si>
    <t>№
Эксп.
Сметы</t>
  </si>
  <si>
    <t>Питающий газопровод Цнори-Лагодехи, по направлению Лагодехи</t>
  </si>
  <si>
    <t>Поручение</t>
  </si>
  <si>
    <t>с. Тетрахева</t>
  </si>
  <si>
    <t>На ул. Размадзе, реаб. Газопр.</t>
  </si>
  <si>
    <t>BC-211008-1/0</t>
  </si>
  <si>
    <t>В с. Вархани реабилитация подз. Газопровода.</t>
  </si>
  <si>
    <t>BS-211018-1/0</t>
  </si>
  <si>
    <t>обязательство перед государством</t>
  </si>
  <si>
    <t>BS-210815-1/0</t>
  </si>
  <si>
    <t>Реаб. в селе Вахтангиси, Гардабанского муниципалитета включая замену и вынос счетчиков;</t>
  </si>
  <si>
    <t>1.11 Вынос счетчиков в с. Кесало Гардабанского муниципалитета</t>
  </si>
  <si>
    <t>BS-211124-2/0</t>
  </si>
  <si>
    <t>BS-211115-1/0</t>
  </si>
  <si>
    <t>Часть (30м) ул. Руставели</t>
  </si>
  <si>
    <t>BS-211111-1/0</t>
  </si>
  <si>
    <t>В г. Гурджаани район Ибра замена газопровода до с. Веджини</t>
  </si>
  <si>
    <t>BS-211026-1/0</t>
  </si>
  <si>
    <t>с. Тамариси, реаб. Пит. Газопр.</t>
  </si>
  <si>
    <t>BC-211203-1/0</t>
  </si>
  <si>
    <t>BSP-211108-1/0</t>
  </si>
  <si>
    <t>НДС 2022 год</t>
  </si>
  <si>
    <t>BS-211018-1/1</t>
  </si>
  <si>
    <t>BS-211124-1/1</t>
  </si>
  <si>
    <t>Реаб. Гаопр. На ул. Думбадзе</t>
  </si>
  <si>
    <t>CS-220215-1/0</t>
  </si>
  <si>
    <t>BS-220301-1/0</t>
  </si>
  <si>
    <t>001-22</t>
  </si>
  <si>
    <t>Реаб. Газопр. в с. Дарквети. d-40 mm (из за оползни)</t>
  </si>
  <si>
    <t>CS-220210-1/0</t>
  </si>
  <si>
    <t>BS-220304-1/0</t>
  </si>
  <si>
    <t>002-22</t>
  </si>
  <si>
    <t>CC-220228-1/0</t>
  </si>
  <si>
    <t>BC-220311-1/0</t>
  </si>
  <si>
    <t>Участ. ул. Давида Агмашенебели (от ул. Гамсахурдиа до ул. Ниношвили)</t>
  </si>
  <si>
    <t>Вынос счетч. С корпусов ул. Костава №25, ул. Мегоброба №26.</t>
  </si>
  <si>
    <t>CC-220228-2/0</t>
  </si>
  <si>
    <t>BC-220322-1/0</t>
  </si>
  <si>
    <t>003-22; 004-22</t>
  </si>
  <si>
    <t>P 3.51</t>
  </si>
  <si>
    <t>BC-220310-1/0</t>
  </si>
  <si>
    <t>BC-220110-1/0</t>
  </si>
  <si>
    <t>BC-220110-2/0</t>
  </si>
  <si>
    <t>часть от P 3.49; и часть от P 3.105</t>
  </si>
  <si>
    <t>1.20; 1.21; 1.22 Реаб. газоп. в с. Перма+от Перма в сторонй Чангилари+в Перма через ветрянную полосу.</t>
  </si>
  <si>
    <t>1.19 Реаб. Газоп. в с. Оками.</t>
  </si>
  <si>
    <t>ул. Костава, А. Церетели и Ширикашвили (пересечения Важа Пшавела и Цулукидзе) (I этап)</t>
  </si>
  <si>
    <t>BS-211019-1/0</t>
  </si>
  <si>
    <t>ул. Джибладзе реаб. Газопр.</t>
  </si>
  <si>
    <t>CC-220325-1/0</t>
  </si>
  <si>
    <t>BC-220330-1/0</t>
  </si>
  <si>
    <t>005-22</t>
  </si>
  <si>
    <t>1.2 Реабилитация газопровода в пос. Абастумани Адигенского Муниципалитета.
1.3 Вынос счётчиков на участках №50-51-52-56 в пос. Бакуриани.
1.4 Реабилитация газопровода Д-200мм.  на улице Агмашенебели в пос. Бакуриани.
1.5 Реабилитация газопровода Д-150мм.  на улице Триалети в пос. Бакуриани.
1.6 Замена наружных полиэтилиновых газопроводов в корпусах на ул. Руставели и ул. Месхети в Борджоми.
1.7 Вынос счётчиков в. Селе Папа пос. Бакуриани.
1.8 Реабилитация газопровода  среднего давления проходящего от сёл Свенети и Бербуки Гориского муниципалитета по ул. Сухишвили г. Гори.
1.9 Реабилитация питающего газопровода  от узла учёта до центра с. Меджврисхеви.
1.10 Реабилитация газопровода от с.Тквиави по направлению сёл тирдзниси-Дици.
1.11 Вынос и реабилитация питающнго газопровода в селе Бербуки.
1.12 Вынос-Замена счётчиков в г.Гори, реабилитация сети газопроводов на ул Пушкина, трассе Цхинвали, с. Свенети и с. Тинисхиди.
1.13 Реабилитация газопровода среднего Давления на пересечениях канала мелиорации в г. Гори-17км. По трассе Цхинвали.
1.14 Замена сушествующего стального газопровода на масту центральной железной дороги в г. Гори от 11 участкового узла до поселения Садгури (1 этап) (409.5 лари).
1.15 В г. Гори вынос счётчиков на улицах Тамар Мепе, Беруашвили, Чантурия, Багратиони, Кутаиси и Чочишвили.
1.16 Реабилитация газопровода на ул. Пушкина в г. Гори (1601.25 лари).
1.17 Реабилитация газопровода на ул. Размадзе г. Гори (1513.75 лари).
1.18 Реабилитация газопровода от ооо “ Гори“ до входа села Меджврисхеви (7962.5 лари).
1.19 Реабилитация газопровода в с. Оками Каспского муниципалитета.
1.20 Реабилитация газопровода в с. Перма Каспского муниципалитета.
1.21 Реабилитация газопровода проходящего через ветрозащитной полосы в с. Перма Каспского муниципалитета.
1.22 Реабилитация питающего газопровода от с Перма по направлению Чангилари.
1.23 Реабилитация газопровода на ул. Агмашенебели в г. Каспи.
1.24 Реабилитация газопровода на ул. Тависуплеба в г. Каспи.
1.25 Реабилитация сетей на улицах Мириан Мепе, Леселидзе, Костава, Руставели и Чавчавадзе в г. Каспи.
1.26 Реабилитация газопровода на перекрёстке улиц Агмашенебели и Габашвили в г. Каспи.
1.27 Вынос-замена счётчиков на улицах Церетели, 26 Мая, Шарикашвили, Гурамишвили и Агмашенебели в г. Каспи.</t>
  </si>
  <si>
    <t>Вынос счетчиков на ул. Тбилиси №22, №3 I-го прохода Мегоброба, ул. Руставели №16 и ул. Батуми №17</t>
  </si>
  <si>
    <t>1.11 Реабилитация газопровода в селе Бербуки. (P 3.109)</t>
  </si>
  <si>
    <t>P 3.109</t>
  </si>
  <si>
    <t>в Абасстумани, строит. сети вместе с Фондом Муниц. Развития (I этап 1.6 км.)</t>
  </si>
  <si>
    <t>Бюро Экспертизы Самхараули</t>
  </si>
  <si>
    <t>BC-220407-1/0</t>
  </si>
  <si>
    <t>BS-211115-1/1</t>
  </si>
  <si>
    <t>в Абастумани, строит. сети вместе с Фондом Муниц. Развития (I этап 1.6 км.)</t>
  </si>
  <si>
    <t>P.3.231</t>
  </si>
  <si>
    <t>BCP-220328-1/0(1.2.1)</t>
  </si>
  <si>
    <t>P.6.127 (5)</t>
  </si>
  <si>
    <t>BCP-220328-1/0(1.2.2)</t>
  </si>
  <si>
    <t>BCP-220328-1/0(1.2.3)</t>
  </si>
  <si>
    <t>BCP-220328-1/0(1.2.4)</t>
  </si>
  <si>
    <t>BCP-220328-1/0(1.2.5)</t>
  </si>
  <si>
    <t>BCP-220328-1/0(1.2.6)</t>
  </si>
  <si>
    <t>BSP-220502-1/0</t>
  </si>
  <si>
    <t>P.6.144</t>
  </si>
  <si>
    <t>BCP-220328-2/0(1.2.1)</t>
  </si>
  <si>
    <t>BSP-220405-1/0(1.1.1)</t>
  </si>
  <si>
    <t>1.1.4. Реабилитация газопровода среднего давления в Марнис убани с.Сагурамо</t>
  </si>
  <si>
    <t>1.1.1. Ребилитационные работы питающего газопровода сёл Мухатцкаро-Цодорети Мцхетского муниципалитета.</t>
  </si>
  <si>
    <t>1.1.3. Ребилитационные работы газопровода ср. давления от с. Джигаура до  с.Битсменди,</t>
  </si>
  <si>
    <t>BSP-220405-1/0(1.1.2)</t>
  </si>
  <si>
    <t>BSP-220405-1/0(1.1.3)</t>
  </si>
  <si>
    <t>BSP-220405-1/0(1.1.4)</t>
  </si>
  <si>
    <t>BSP-220405-1/0(1.1.6)</t>
  </si>
  <si>
    <t>BSP-220405-1/0(1.1.7)</t>
  </si>
  <si>
    <t>BSP-220405-1/0(1.1.9)</t>
  </si>
  <si>
    <t>BSP-220405-1/0(1.1.10)</t>
  </si>
  <si>
    <t>BSP-220405-1/0(1.1.11)</t>
  </si>
  <si>
    <t>P.3.153</t>
  </si>
  <si>
    <t>P.3.241</t>
  </si>
  <si>
    <t>P.3.239</t>
  </si>
  <si>
    <t>P.3.242</t>
  </si>
  <si>
    <t>P.3.64; P.3.63; P.3.76; P.3.75</t>
  </si>
  <si>
    <t>1.1.5. Реабилитация газопровода по улице Тевзадзе (P.3.64), улица Горького (P.3.63), тупик Бараташвили (P.3.76), Цкарос Убани (P.3.75) в пос.Коджори.</t>
  </si>
  <si>
    <t>P.3.4</t>
  </si>
  <si>
    <t>1.1.6. Реабилитация газопровода пос.Агара Карельского муниципалитета. (проектирование и строительство)</t>
  </si>
  <si>
    <t>1.1.7. Г. Хашури, Реабилитация  газопровода на улицах Сумбаташвили (P.3.10), Св. Нино и Хетагурова (P.3.11).</t>
  </si>
  <si>
    <t>P.3.10; P.3.11</t>
  </si>
  <si>
    <t>P.3.26</t>
  </si>
  <si>
    <t>P.3.235</t>
  </si>
  <si>
    <t>1.1.9. Г. Хашури, ул Хачидзе, (cанаторий «Сурами») вынос счетчиков.</t>
  </si>
  <si>
    <t>1.1.10.  Окольцование газопровода с.Цвери Карельского муниципалитета. (проектирование и строительство)</t>
  </si>
  <si>
    <t>P.3.147</t>
  </si>
  <si>
    <t>P.3.16</t>
  </si>
  <si>
    <t>1.1.11.  Переключение 110 абонентов с узла №1 на узел №29 в с.Цхрамуха Хашурского муниципалитета. (проектирование и строительство)</t>
  </si>
  <si>
    <t>в Абастумани, строит. сети вместе с Фондом Муниц. Развития (II этап 1.8 км.) (проектирование и строительство)</t>
  </si>
  <si>
    <t>BCP-220425-1/0(1.1.11)</t>
  </si>
  <si>
    <t>BCP-220425-1/0(1.1.1)</t>
  </si>
  <si>
    <t>P.3.104; P.3.112; P.3.30; P.3.31; P.3.32; P.3.33</t>
  </si>
  <si>
    <t>1.1.1. В муниципалитете Адигени, с. Саро и с. Хизабавра Реабилитация сети, замена и вынос счетчиков. (P.3.104, P.3.112, P.3.30, P.3.31, P.3.32, P.3.33)</t>
  </si>
  <si>
    <t>P.3.93</t>
  </si>
  <si>
    <t>1.1.2. В муниципалитете Гори, реабилитация газопровода от ГРС-а Начармагеви до c. Кицниси. (P.3.93) (проектирование и строительство)</t>
  </si>
  <si>
    <t>BCP-220425-1/0(1.1.2)</t>
  </si>
  <si>
    <t>1.1.3. Г. Гори замена-вынос счётчиков на ул. Пушкина, Цхинвалское шоссе, с. Свенети и реабилитационные работы сети в с. Тинисхиди. (P.3.94 (1))</t>
  </si>
  <si>
    <t>P.3.94 (1)</t>
  </si>
  <si>
    <t>1.1.5. В муниципалитете Гори, в с. Меджврисхеви реабилитация питающего газопровода от узла учета до центра села. (P.3.81)</t>
  </si>
  <si>
    <t>P.3.81</t>
  </si>
  <si>
    <t>BCP-220425-1/0(1.1.6)</t>
  </si>
  <si>
    <t>BCP-220425-1/0(1.1.7)</t>
  </si>
  <si>
    <t>BCP-220425-1/0(1.1.8)</t>
  </si>
  <si>
    <t>BCP-220425-1/0(1.1.9)</t>
  </si>
  <si>
    <t>BCP-220425-1/0(1.1.10)</t>
  </si>
  <si>
    <t>BCP-220425-1/0(1.1.12)</t>
  </si>
  <si>
    <t>BCP-220425-1/0(1.1.13)</t>
  </si>
  <si>
    <t>1.1.6. Работы по реабилитации газопровода от центра Меджврисхеви по направлению Ахалубани в Горийском муниципалитете. (P.3.101) (проектирование и строительство)</t>
  </si>
  <si>
    <t>P.3.101</t>
  </si>
  <si>
    <t>1.1.7. В муниципалитете Гори, с. Реха работы по реабилитации питающего газопровода (P.3.98) (проектирование и строительство)</t>
  </si>
  <si>
    <t>P.3.98</t>
  </si>
  <si>
    <t>1.1.8. Реабилитационные работы газопровода возле Университета в Гори. (P.3.90) (проектирование и строительство)</t>
  </si>
  <si>
    <t>P.3.90</t>
  </si>
  <si>
    <t>1.1.9. В муниципалитете Гори, реабилитация газопровода от с. Тквиави по направлению сёл Тирдзниси-Дици. (P.3.97)</t>
  </si>
  <si>
    <t>P.3.97</t>
  </si>
  <si>
    <t>1.1.10. В г. Гори реабилитация участка ул. Сухишвили и ул. Меджврисхеви. (P.3.114) (проектирование и строительство)</t>
  </si>
  <si>
    <t>P.3.114</t>
  </si>
  <si>
    <t>1.1.11. В муниципалитете Гори, в с.  Шавшвеби реабилитационные работы по восстановлению/реконструкции газопровода. (P.3.80) (проектирование и строительство)</t>
  </si>
  <si>
    <t>P.3.80</t>
  </si>
  <si>
    <t>P.3.109</t>
  </si>
  <si>
    <t>1.1.12. В муниципалитете Гори, в с. Бербуки работы по реабилитации газопровода. (P.3.109)</t>
  </si>
  <si>
    <t>1.1.13. II этап работ по реабилитации газопровода от ООО «Гори» до въезда в село Меджврисхеви Горийского муниципалитета (P.3.100)</t>
  </si>
  <si>
    <t>P.3.100</t>
  </si>
  <si>
    <t>1.1.14. В г. Гори работы по реабилитации улицы Робакидзе. (P.3.205) (проектирование и строительство)</t>
  </si>
  <si>
    <t>P.3.205</t>
  </si>
  <si>
    <t>BCP-220425-1/0(1.1.14)</t>
  </si>
  <si>
    <t>1.1.15. В г. Гори реабилитация газопровода на ул. Гвердцители. (P.3.716) (проектирование и строительство)</t>
  </si>
  <si>
    <t>P.3.716</t>
  </si>
  <si>
    <t>BCP-220425-1/0(1.1.15)</t>
  </si>
  <si>
    <t>1.1.16. В муниципалитете Мцхета, в с. Церовани, с. Презети и с. Цилкани вынос сетей газопроводов и узлов учета с частных территорий. (P.3.58)</t>
  </si>
  <si>
    <t>P.3.58</t>
  </si>
  <si>
    <t>BCP-220425-1/0(1.1.16)</t>
  </si>
  <si>
    <t>BCP-220425-1/0(1.1.18)</t>
  </si>
  <si>
    <t>BCP-220425-1/0(1.1.19)</t>
  </si>
  <si>
    <t>BCP-220425-1/0(1.1.20)</t>
  </si>
  <si>
    <t>BCP-220425-1/0(1.1.23)</t>
  </si>
  <si>
    <t>BCP-220425-1/0(1.1.24)</t>
  </si>
  <si>
    <t>BCP-220425-1/0(1.1.25)</t>
  </si>
  <si>
    <t>BCP-220425-1/0(1.1.26)</t>
  </si>
  <si>
    <t>1.1.17. В г. Каспи реабилитация газопровода на улицах Мириан Мепе, Леселидзе, Костава, Руставели и Чавчавадзе. (P.3.105 (1))</t>
  </si>
  <si>
    <t>P.3.105 (1)</t>
  </si>
  <si>
    <t>1.1.18. В г. Каспи замена и вынос счетчиков на улицах Церетели, 26 Мая, Шарикашвили, Гурамишвили и Агмашенебели (II Этап). (P.3.49 (1))</t>
  </si>
  <si>
    <t>P.3.49 (1)</t>
  </si>
  <si>
    <t>1.1.19. В г. Каспи реабилитационные работы газопровода по улице Бахтриони-Мазанашвили. (P.3.43)</t>
  </si>
  <si>
    <t>P.3.43</t>
  </si>
  <si>
    <t>1.1.20. В Каспском муниципалитете, в с. Кодисцкаро установка стояков. (P.3.48)</t>
  </si>
  <si>
    <t>P.3.48</t>
  </si>
  <si>
    <t>1.1.21. В г. Каспи реабилитационные работы газопроводов на пересечении улиц Агмашенебели и Габашвили. (P.3.47, P.3.50)</t>
  </si>
  <si>
    <t>P.3.47; P.3.50</t>
  </si>
  <si>
    <t>1.1.22. В Боржоми проектно-строительные работы по реабилитации подземного стального газопровода от моста Чархисцкали до церкви Давида. (P.3.34) (проектирование и строительство)</t>
  </si>
  <si>
    <t>P.3.34</t>
  </si>
  <si>
    <t>1.1.23. В пос. Бакуриани реабилитационные работы воздушного газопровода D200 по ул. Агмашенебели в районе "Никора" (P.3.35)</t>
  </si>
  <si>
    <t>P.3.35</t>
  </si>
  <si>
    <t>1.1.24. В г. Боржоми реабилитация/реконструкция наружных сетей в корпусах на улицах Руставели и Месхети. (P.3.106) (проектирование и строительство)</t>
  </si>
  <si>
    <t>P.3.106</t>
  </si>
  <si>
    <t>1.1.25. Замена старых счетчиков G 4 в Сервис/центре Боржоми (I этап). (P.3.42 (1))</t>
  </si>
  <si>
    <t>P.3.42 (1)</t>
  </si>
  <si>
    <t>1.1.26. В Бакуриани реабилитация питающего газопровода (D 150 мм) от участка №53 по улицам Цакадзе и Боржоми до улицы 9 Апреля. (P.3.128) (проектирование и строительство)</t>
  </si>
  <si>
    <t>P.3.128</t>
  </si>
  <si>
    <t>1.1.27. В Бакуриани, от ГРС-а Квибиси до с. Квибиси реабилитация газопровода среднего давления. (P.3.121)</t>
  </si>
  <si>
    <t>P.3.121</t>
  </si>
  <si>
    <t>BCP-220425-1/0(1.1.27)</t>
  </si>
  <si>
    <t>1.1.28. В Бакуриани вынос-замена счётчиков с частных территорий. (P.3.129) (проектирование и строительство)</t>
  </si>
  <si>
    <t>P.3.129</t>
  </si>
  <si>
    <t>BCP-220425-1/0(1.1.28)</t>
  </si>
  <si>
    <t>BCP-220425-1/0(1.1.29)</t>
  </si>
  <si>
    <t>P. 3.240</t>
  </si>
  <si>
    <t>1.1.29. В Бакуриани реабилитационные работы газопровода (D=150) по улице Триалети. (P. 3.240)</t>
  </si>
  <si>
    <t>1.1.4. Г. Гори работы по выносу счётчиков на улицах Тамар Мепе, Беруашвили, Чантурия, Багратиони, Кутаиси и Чочишвили. (P.3.95)</t>
  </si>
  <si>
    <t>P.3.95</t>
  </si>
  <si>
    <t>BCP-220426-1/0(1.1.3)</t>
  </si>
  <si>
    <t>BCP-220426-1/0(1.1.7)</t>
  </si>
  <si>
    <t>1.1.1. В муниципалитетах Болниси и Тетрицкаро замена и вынос счетчиков (этап I). (P.2.156 (1)) (проектирование и строительство)</t>
  </si>
  <si>
    <t>P.2.156 (1)</t>
  </si>
  <si>
    <t>1.1.2. В муниципалитете Болниси в посёлке  Казрети с корпусов, вынос счётчиков. (P.2.401) (проектирование и строительство)</t>
  </si>
  <si>
    <t>P.2.401</t>
  </si>
  <si>
    <t>P.2.141</t>
  </si>
  <si>
    <t>1.1.3. В муниципалитете Болниси посёлок Казрети реабилитация газопровода на 350 абонентов. (P.2.141)</t>
  </si>
  <si>
    <t>1.1.4. В г. Болниси реабилитация газопровода на улице Сулхан Саба. (P.2.140)</t>
  </si>
  <si>
    <t>P.2.140</t>
  </si>
  <si>
    <t>1.1.5. В г. Болниси реабилитация газопровода на улице Тамар Мепе. (P.2.138)</t>
  </si>
  <si>
    <t>P.2.138</t>
  </si>
  <si>
    <t>1.1.6. В муниципалитете Болниси, в с. Нахидури установка стояков. (P.2.139)</t>
  </si>
  <si>
    <t>P.2.139</t>
  </si>
  <si>
    <t>P.2.72 (1 и 2)</t>
  </si>
  <si>
    <t>1.1.7. В г. Рустави замена полиэтиленовых труб на фасадах корпусов (I и II этап). (P.2.72 (1 и 2)) (проектирование и строительство)</t>
  </si>
  <si>
    <t>1.1.8. В г. Рустави работы по замене счетчиков и ящиков для счётчиков (этап I) (P.2.157 (1))</t>
  </si>
  <si>
    <t>P.2.157 (1)</t>
  </si>
  <si>
    <t>1.1.9. В г. Рустави работы по переводу сетей в VII (а) микрорайоне на среднее давление. (P.2.402) (новый номер P.2.765) (проектирование и строительство)</t>
  </si>
  <si>
    <t>1.1.10. В г. Рустави работы по переводу сетей в XVII Микро районе на среднее давление. (P.2.404) (новый номер P.2.767) (проектирование и строительство)</t>
  </si>
  <si>
    <t>P.2.404 (новый номер P.2.767)</t>
  </si>
  <si>
    <t>P.2.402 (новый номер P.2.765)</t>
  </si>
  <si>
    <t>1.1.11. В г. Рустави работы по переводу сетей в VII Микро районе на среднее давление. (P.2.405) (новый номер P.2.768) (проектирование и строительство)</t>
  </si>
  <si>
    <t>P.2.405 (новый номер P.2.768)</t>
  </si>
  <si>
    <t>1.1.12. В г. Рустави работы по переводу сетей в IXХ Микро районе на среднее давление. (P.2.408) (новый номер P.2.769) (проектирование и строительство)</t>
  </si>
  <si>
    <t>P.2.408 (новый номер P.2.769)</t>
  </si>
  <si>
    <t>BS-220513-1/0</t>
  </si>
  <si>
    <t>Село Мтисдзири, строиетльство газораспределительной сети (газификация). (P.2.407)</t>
  </si>
  <si>
    <t>P.2.407</t>
  </si>
  <si>
    <t>BS-220513-2/0</t>
  </si>
  <si>
    <t>Село Далари, строиетльство газораспределительной сети (газификация). (P.2.406)</t>
  </si>
  <si>
    <t>P.2.406</t>
  </si>
  <si>
    <t>1.1.1. В г. Дманиси. с.Гантиади, c. Тнуси и с. Джавахи замена корозированного стального газопровода. (P.2.174) (проектирование и строительство)</t>
  </si>
  <si>
    <t>P.2.174</t>
  </si>
  <si>
    <t>BSP-220429-1/0(1.1.1)</t>
  </si>
  <si>
    <t>1.1.2. В Гардабанском муниципалитете реабилитационные работы питающего газопровода c. Караджалар и с. Каратаклия. (P.2.134)</t>
  </si>
  <si>
    <t>P.2.134</t>
  </si>
  <si>
    <t>1.1.3. В Гардабанском муниципалитете реабилитационные работы с. Назарло. (P.2.135)</t>
  </si>
  <si>
    <t>P.2.135</t>
  </si>
  <si>
    <t>BSP-220429-1/0(1.1.3)</t>
  </si>
  <si>
    <t>1.1.4. Окольцование газопровода  для обеспечения стандартного газоснабжения г. Гурджаани и г. Лагодехи. (P.2.403) (проектирование и строительство)</t>
  </si>
  <si>
    <t>P.2.403</t>
  </si>
  <si>
    <t>BSP-220429-1/0(1.1.4)</t>
  </si>
  <si>
    <t>BSP-220429-1/0(1.1.5)</t>
  </si>
  <si>
    <t>P.2.24; P.2.23; P.2.180; P.2.19; P.2.33; P.2.31</t>
  </si>
  <si>
    <t>P.2.28; P.2.18; P.2.17</t>
  </si>
  <si>
    <t>1.1.6. В Гурджаанском муниципалитете в селе Гурджаани: в Хевисубани у узла №9 (P.2.28), в I участке Гугулашвили (P.2.18) и во II участке Гугулашвили (P.2.17) реабилитационные работы газопровода.</t>
  </si>
  <si>
    <t>1.1.7. В Сигнагского муниципалитете с. Машнаари на участках детского сада (P.2.150) и Чахнашвили (P.2.151) работы по реабилитации газопроводов. (проектирование и строительство)</t>
  </si>
  <si>
    <t>BSP-220429-1/0(1.1.6)</t>
  </si>
  <si>
    <t>BSP-220429-1/0(1.1.7)</t>
  </si>
  <si>
    <t>1.1.8. В Дедоплисцкаройском муниципалитете, в с.Озаани реабилитация газопровода (II этап). (P.2.52) (проектирование и строительство)</t>
  </si>
  <si>
    <t>P.2.52</t>
  </si>
  <si>
    <t>BSP-220429-1/0(1.1.8)</t>
  </si>
  <si>
    <t>1.1.9. В Дедоплисцкаройском муниципалитете, в с.Озаани реабилитация питающего газопровода. (P.2.36)</t>
  </si>
  <si>
    <t>P.2.36</t>
  </si>
  <si>
    <t>BSP-220429-1/0(1.1.9)</t>
  </si>
  <si>
    <t>P.2.37</t>
  </si>
  <si>
    <t>1.1.10. В Дедоплисцкаройском муниципалитете, в с. Арбошики реабилитация питающего газопровода. (P.2.37) (проектирование и строительство)</t>
  </si>
  <si>
    <t>BSP-220429-1/0(1.1.10)</t>
  </si>
  <si>
    <t>1.1.11. В Дедоплисцкаройском муниципалитете, в с. Арбошики реабилитация газопровода на участке Гзириант Убани. (P.2.39)</t>
  </si>
  <si>
    <t>P.2.39</t>
  </si>
  <si>
    <t>BSP-220429-1/0(1.1.11)</t>
  </si>
  <si>
    <t>P.2.43</t>
  </si>
  <si>
    <t>1.1.12. В г. Дедоплисцкаро реабилитация газопровода на ул. Чавчавадзе. (P.2.43) (проектирование и строительство)</t>
  </si>
  <si>
    <t>BSP-220429-1/0(1.1.12)</t>
  </si>
  <si>
    <t>1.1.13. В Дедоплисцкаройском муниципалитете, в с. Земо Мачхаани, на участке Абанос Убани реабилитация газопровода. (P.2.40)</t>
  </si>
  <si>
    <t>P.2.40</t>
  </si>
  <si>
    <t>BSP-220429-1/0(1.1.13)</t>
  </si>
  <si>
    <t>1.1.1. Работы по выносу счетчиков/сетей с частных территорий в г. Кобулети. (I этап) (P.5.16)</t>
  </si>
  <si>
    <t>P.5.16</t>
  </si>
  <si>
    <t>P.5.4</t>
  </si>
  <si>
    <t>1.1.2. Замена металлического газопровода D=200мм, проходящего через реку В Кобулети, с. Бобоквати на металлический газопровод D=500мм. (P.5.4)</t>
  </si>
  <si>
    <t>P.5.33</t>
  </si>
  <si>
    <t>1.1.3. Работы по реабилитации газопровода среднего давления в Сарпи в Квариати Хелвачаурского муниципалитета. (проектирование и строительство) (P.5.33)</t>
  </si>
  <si>
    <t>P.6.46; P.6.48; P.6.47</t>
  </si>
  <si>
    <t>P.6.53</t>
  </si>
  <si>
    <t>1.1.5. Работы по реабилитации газопровода в г. Чиатура на улице Иашвили проведение. (P.6.53)</t>
  </si>
  <si>
    <t>BSP-220502-2/0(1.1.2)</t>
  </si>
  <si>
    <t>BSP-220502-2/0(1.1.4)</t>
  </si>
  <si>
    <t>BSP-220502-2/0(1.1.5)</t>
  </si>
  <si>
    <t>1.1.1. В г. Вани, строительство газопровода от улицы Соломона II до центра с . Сулори. (P.6.121)</t>
  </si>
  <si>
    <t>P.6.121</t>
  </si>
  <si>
    <t>BCP-220321-1/0(1.1.1)</t>
  </si>
  <si>
    <t>1.1.2. В селе Амаглеба, перекладка сети на среднее давление. (P.6.172)</t>
  </si>
  <si>
    <t>P.6.172</t>
  </si>
  <si>
    <t>BCP-220321-1/0(1.1.2)</t>
  </si>
  <si>
    <t>P.6.122</t>
  </si>
  <si>
    <t>BCP-220321-1/0(1.1.4)</t>
  </si>
  <si>
    <t>BCP-220321-1/0(1.1.5)</t>
  </si>
  <si>
    <t>BCP-220321-1/0(1.1.6)</t>
  </si>
  <si>
    <t>BCP-220321-1/0(1.1.7)</t>
  </si>
  <si>
    <t>BCP-220321-1/0(1.1.8)</t>
  </si>
  <si>
    <t>BCP-220321-1/0(1.1.9)</t>
  </si>
  <si>
    <t>BCP-220321-1/0(1.1.10)</t>
  </si>
  <si>
    <t>BCP-220321-1/0(1.1.11)</t>
  </si>
  <si>
    <t>BCP-220321-1/0(1.1.12)</t>
  </si>
  <si>
    <t>BCP-220321-1/0(1.1.13)</t>
  </si>
  <si>
    <t>BCP-220321-1/0(1.1.15)</t>
  </si>
  <si>
    <t>BCP-220321-1/0(1.1.16)</t>
  </si>
  <si>
    <t>BCP-220321-1/0(1.1.17)</t>
  </si>
  <si>
    <t>BCP-220321-1/0(1.1.18)</t>
  </si>
  <si>
    <t>1.1.3. В селе Гагмавани укрепление стояков воздушного газопровода на сети низкого давления. (P.6.122)</t>
  </si>
  <si>
    <t>1.1.4. В селах Амаглеба и Копитнари, на 18-ом узле перекладка сети на среднее давление. (P.6.170)</t>
  </si>
  <si>
    <t>P.6.170</t>
  </si>
  <si>
    <t>1.1.5. В селе Инашаури, на 19-ом узле перекладка сети на среднее давление. (P.6.171)</t>
  </si>
  <si>
    <t>P.6.171</t>
  </si>
  <si>
    <t>1.1.6. В с. Кумури (от школы Микелефона до центра Кумури) реабилитация/перекладка на среднее давление. (P.6.126)</t>
  </si>
  <si>
    <t>P.6.126</t>
  </si>
  <si>
    <t>1.1.7. В г. Тержола, поселке Метлахис Кархана, реабилитация питающего газопровода. (проектирование и строительство). (P.6.135)</t>
  </si>
  <si>
    <t>P.6.135</t>
  </si>
  <si>
    <t>1.1.8. В г. Терджола, реабилитация газопровода по ул. Леселидзе. (P.6.138)</t>
  </si>
  <si>
    <t>P.6.138</t>
  </si>
  <si>
    <t>1.1.9. В г. Терджола, работы по замене регуляторов. (P.6.146)</t>
  </si>
  <si>
    <t>P.6.146</t>
  </si>
  <si>
    <t>1.1.10. Строительство питающего газопровода Самтредиа - Хони. (P.6.115)</t>
  </si>
  <si>
    <t>P.6.115</t>
  </si>
  <si>
    <t>1.1.11. В с. Патара Джихайши, строительство питающего газопровода. (P.6.101)</t>
  </si>
  <si>
    <t>P.6.101</t>
  </si>
  <si>
    <t>1.1.12. В г. Самтредиа, на улицах Телия, Чавчавадзе и Руставели реабилитационные работы газопроводов. (P.6.103) и (P.6.104)</t>
  </si>
  <si>
    <t>P.6.103; P.6.104</t>
  </si>
  <si>
    <t>1.1.13. В г. Самтредиа, реабилитация газопровода на ул. Дидгори. (P.6.108)</t>
  </si>
  <si>
    <t>P.6.108</t>
  </si>
  <si>
    <t>P.6.97</t>
  </si>
  <si>
    <t>1.1.14. В г. Амбролаури, по разным локациям, в местах переходов, прокладка газопроводов в кожух. (P.6.97)</t>
  </si>
  <si>
    <t>1.1.15. В г. Кутаиси (до 3000), в г. Тержола (до 400) и в г. Амбролаури (до 100), вынос-замена счётчиков. (P.6.191)</t>
  </si>
  <si>
    <t>P.6.191</t>
  </si>
  <si>
    <t>1.1.16. В г. Кутаиси, реабилитация газопровода на ул. Гелати. (P.6.68)</t>
  </si>
  <si>
    <t>P.6.68</t>
  </si>
  <si>
    <t>1.1.17. Реабилитация газопроводов по улицам Хандзтели, Сараджишвили, Каухчишвили и Табидзе в г. Кутаиси. (P.6.303)</t>
  </si>
  <si>
    <t>P.6.303</t>
  </si>
  <si>
    <t>1.1.18. В г. Кутаиси, реаибилитация газопровода по алее Агмашенебели. (P.6.799)</t>
  </si>
  <si>
    <t>P.6.799</t>
  </si>
  <si>
    <t>1.2.1. С. Рохи (проектирование и строительство)</t>
  </si>
  <si>
    <t>1.2.2 С. Зеиндари (проектирование и строительство)</t>
  </si>
  <si>
    <t>1.2.3 С. Шуагора (проектирование и строительство)</t>
  </si>
  <si>
    <t>1.2.4 С. Гора (проектирование и строительство)</t>
  </si>
  <si>
    <t>1.2.6 С. Перета (проектирование и строительство)</t>
  </si>
  <si>
    <t>1.2.1 Участок Муджирети-Мухура (проектирование и строительство)</t>
  </si>
  <si>
    <t>Реаб. Газопр. На ул. Думбадзе</t>
  </si>
  <si>
    <t>от сёл Свенети и Бербуки Гориского муниципалитета по ул. Сухишвили г. Гори, реаб. Газопр.  ср. давления</t>
  </si>
  <si>
    <t>P.3.84</t>
  </si>
  <si>
    <t>BC-220613-1/0</t>
  </si>
  <si>
    <t>B-008-22</t>
  </si>
  <si>
    <t>Вынос счетч. с корпусов ул. Костава №25, ул. Мегоброба №26.</t>
  </si>
  <si>
    <t>P.3.205; P.3.716</t>
  </si>
  <si>
    <t>BSP-220516-1/0</t>
  </si>
  <si>
    <t>Поручение (авария)</t>
  </si>
  <si>
    <t>P.2.94</t>
  </si>
  <si>
    <t>Перекладка газопр. у реки Поцхови поврежденного из за наваднения.</t>
  </si>
  <si>
    <t>BSP-220711-1/0</t>
  </si>
  <si>
    <t>P.3.155</t>
  </si>
  <si>
    <t>BSP-220608-1/0</t>
  </si>
  <si>
    <t>Реаб. Газопр. По ул. Клдиашвили в г. Рустави</t>
  </si>
  <si>
    <t>Реаб. Газопр. D=150мм вдоль трассы Армази-Дзегви (I этап P.3.155) в Мцхета</t>
  </si>
  <si>
    <t>Перекладка газопр. у реки Арагви, около Бебрисцихе, поврежденного из за наваднения. В Мцхета</t>
  </si>
  <si>
    <t>BCP-220710-1/0</t>
  </si>
  <si>
    <t>(P.6.277)</t>
  </si>
  <si>
    <t>BCP-220714-1/0</t>
  </si>
  <si>
    <t>с. Пирвели Тола реабилитация поврежденного опользнем участка. (проектирование строительство) (P.6.277)</t>
  </si>
  <si>
    <t>BCP-220608-1/0</t>
  </si>
  <si>
    <t>Ул. Робакидзе (P.3.205) и ул. Гвердцители (P.3.716) (I этап)</t>
  </si>
  <si>
    <t>ул. Горгасали перекладка газопровода с воздушного в подземний. (проектирование строительство)</t>
  </si>
  <si>
    <t>BSP-220714-2/0</t>
  </si>
  <si>
    <t>(P.3.78) (I Этап)</t>
  </si>
  <si>
    <t>(P.3.66) (I этап)</t>
  </si>
  <si>
    <t>авария</t>
  </si>
  <si>
    <t>(1.1.1.) ул. Руставели №72 вынос счетчиков с 5-ти этажного корпуса (P.3.78) (I Этап) Проектирование строительство.</t>
  </si>
  <si>
    <t>(1.1.2.) Реаб. Газопровода около здания полиции. (P.3.66) (I этап) Проектирование строительство.</t>
  </si>
  <si>
    <t>(1.1.3.) В сёлах Чирики и Цинкобани реаб. Поврежденного от наводнения газопровода. Проектирование и строительство.</t>
  </si>
  <si>
    <t>BSP-220720-1/0(1.1.1.)</t>
  </si>
  <si>
    <t>BSP-220720-1/0(1.1.2.)</t>
  </si>
  <si>
    <t>BSP-220720-1/0(1.1.3.)</t>
  </si>
  <si>
    <t>BC-220110-1/1</t>
  </si>
  <si>
    <t>(Пр)-Интер Газ</t>
  </si>
  <si>
    <t>1.1.4. Работы по реабилитации входящего газопровода ср. давления в г. Цкалтубо. (проектирование и строительство) (P.6.46, P.6.47, P.6.48)</t>
  </si>
  <si>
    <t>თოდრიას ქუჩა №17 კორპუსი</t>
  </si>
  <si>
    <t>სიგრძე</t>
  </si>
  <si>
    <t>თოდრიას ქუჩა №19 კორპუსი</t>
  </si>
  <si>
    <t>1 მრიცხ. ღირებ.</t>
  </si>
  <si>
    <t>1 მეტრის ღირებ.</t>
  </si>
  <si>
    <t>თოდრიას ქუჩა №15 კორპუსი</t>
  </si>
  <si>
    <t>მე-19-ე მიკრო რაიონი, №1 კორპუსი</t>
  </si>
  <si>
    <t>მე-19-ე მიკრო რაიონი, №13 კორპუსი</t>
  </si>
  <si>
    <t>მე-19-ე მიკრო რაიონი, №14 კორპუსი</t>
  </si>
  <si>
    <t>1.1.5. Гурджаанском муниципалитете реабилитационные работы на газопроводах низкого давления в с.Чумлаки: участок Баги (P.2.24), участок Липарташвили (P.2.23), участок Гогра (P.2.180), участок Бадуашвили (P.2.19), Гагма Чумлаки (P.2.33), по направлению с. Китаани (P.2.31).</t>
  </si>
  <si>
    <t>მეგობრობის ქუჩა №30-ში მდებარე კორპუსი</t>
  </si>
  <si>
    <t>ფალიაშვილის ქუჩა №1-ში მდებარე კორპუსი</t>
  </si>
  <si>
    <t>VI მ/რ V კორპუსში მრიცხველების გამოტანა</t>
  </si>
  <si>
    <t>VI მ/რ VI კორპუსში მრიცხველების გამოტანა</t>
  </si>
  <si>
    <t>კოსტავას №25-სა და მეგობრობის №26-ში</t>
  </si>
  <si>
    <t>P.2.150; P.2.151</t>
  </si>
  <si>
    <t>(P.4.5)</t>
  </si>
  <si>
    <t>BS-220411-1/0</t>
  </si>
  <si>
    <t>Реабилитация газопровода низ. давления в г. Абаша</t>
  </si>
  <si>
    <t>1.2.1 Участок Муджирети-Мухура (проектирование и строительство) (P.6.144)</t>
  </si>
  <si>
    <t>არ იქნება მოსათხოვნი დღგ, რადგან ერთბაშად მოვითხოვეთ გადახდა.</t>
  </si>
  <si>
    <t>1.2.6 С. Перета (проектирование и строительство) P.6.127 (5)</t>
  </si>
  <si>
    <t>1.2.5 С. Зедагора (проектирование и строительство) P.6.127 (5)</t>
  </si>
  <si>
    <t>1.2.4 С. Гора (проектирование и строительство) P.6.127 (5)</t>
  </si>
  <si>
    <t>1.2.3 С. Шуагора (проектирование и строительство) P.6.127 (5)</t>
  </si>
  <si>
    <t>1.2.2 С. Зеиндари (проектирование и строительство) P.6.127 (5)</t>
  </si>
  <si>
    <t>1.2.1. С. Рохи (проектирование и строительство) P.6.127 (5)</t>
  </si>
  <si>
    <t>VI მ/რ I კორპუსში მრიცხველების გამოტანა</t>
  </si>
  <si>
    <t>VI მ/რ II კორპუსში მრიცხველების გამოტანა</t>
  </si>
  <si>
    <t>VI მ/რ III კორპუსში მრიცხველების გამოტანა</t>
  </si>
  <si>
    <t>VI მ/რ IV კორპუსში მრიცხველების გამოტანა</t>
  </si>
  <si>
    <t>XVII მ/რ X კორპუსში მრიცხველების გამოტანა</t>
  </si>
  <si>
    <t>XVII მ/რ XI კორპუსში მრიცხველების გამოტანა</t>
  </si>
  <si>
    <t>მე-19-ე მიკრო რაიონი, №6 კორპუსი</t>
  </si>
  <si>
    <t>მე-19-ე მიკრო რაიონი, №9 კორპუსი</t>
  </si>
  <si>
    <t>მე-19-ე მიკრო რაიონი, №12 კორპუსი</t>
  </si>
  <si>
    <t>მე-19-ე მიკრო რაიონი, №15 კორპუსი</t>
  </si>
  <si>
    <t>მე-19-ე მიკრო რაიონი, №16 კორპუსი</t>
  </si>
  <si>
    <t>მე-8-ე მიკრო რაიონი, №2 კორპუსი</t>
  </si>
  <si>
    <t>მე-8-ე მიკრო რაიონი, №1 კორპუსი</t>
  </si>
  <si>
    <t>1.1.7. В Сигнагском муниципалитете с. Машнаари на участках детского сада (P.2.150) и Чахнашвили (P.2.151) работы по реабилитации газопроводов. (проектирование и строительство)</t>
  </si>
  <si>
    <t>1.1.1. Ребилитационные работы питающего газопровода сёл Мухатцкаро-Цодорети Мцхетского муниципалитета. (P.3.153)</t>
  </si>
  <si>
    <t>1.1.2.  Ребилитационные работы газопровода среднего давления В с. Сагурамо  Мцхетского муниципалитета. (P.3.239)</t>
  </si>
  <si>
    <t>მე-12-ე მიკრო რაიონი, №1 კორპუსი</t>
  </si>
  <si>
    <t>მე-11-ე მიკრო რაიონი, №1 კორპუსი</t>
  </si>
  <si>
    <t>მე-17-ე მიკრო რაიონი, №1 კორპუსი</t>
  </si>
  <si>
    <t>მე-17-ე მიკრო რაიონი, №15 კორპუსი</t>
  </si>
  <si>
    <t>მე-17-ე მიკრო რაიონი, №25 კორპუსი</t>
  </si>
  <si>
    <t>მე-17-ე მიკრო რაიონი, №26 კორპუსი</t>
  </si>
  <si>
    <t>მე-19-ე მიკრო რაიონი, №4 კორპუსი</t>
  </si>
  <si>
    <t>მე-19-ე მიკრო რაიონი, №24 კორპუსი</t>
  </si>
  <si>
    <t>წმინდა ნინოს ქუჩა №2 კორპუსი</t>
  </si>
  <si>
    <r>
      <t>დავით გარეჯის ქუჩა №21</t>
    </r>
    <r>
      <rPr>
        <vertAlign val="superscript"/>
        <sz val="11"/>
        <color theme="1"/>
        <rFont val="Calibri"/>
        <family val="2"/>
        <charset val="204"/>
        <scheme val="minor"/>
      </rPr>
      <t>ა</t>
    </r>
    <r>
      <rPr>
        <sz val="11"/>
        <color theme="1"/>
        <rFont val="Calibri"/>
        <family val="2"/>
        <scheme val="minor"/>
      </rPr>
      <t xml:space="preserve"> კორპუსი</t>
    </r>
  </si>
  <si>
    <r>
      <t>დავით გარეჯის ქუჩა №21</t>
    </r>
    <r>
      <rPr>
        <vertAlign val="superscript"/>
        <sz val="11"/>
        <color theme="1"/>
        <rFont val="Calibri"/>
        <family val="2"/>
        <charset val="204"/>
        <scheme val="minor"/>
      </rPr>
      <t>ბ</t>
    </r>
    <r>
      <rPr>
        <sz val="11"/>
        <color theme="1"/>
        <rFont val="Calibri"/>
        <family val="2"/>
        <scheme val="minor"/>
      </rPr>
      <t xml:space="preserve"> კორპუსი</t>
    </r>
  </si>
  <si>
    <t>თოდრიას ქუჩა №21 კორპუსი</t>
  </si>
  <si>
    <t>CS-221013-1/0</t>
  </si>
  <si>
    <t>(P.6.4)</t>
  </si>
  <si>
    <t>Проектирование реабилитации питающего газопровода в с. Персати (P.6.4)</t>
  </si>
  <si>
    <t>Реабилитация питающего газопровода в с. Персати (I этап) (P.6.4)</t>
  </si>
  <si>
    <t>BS-221116-1/0</t>
  </si>
  <si>
    <t>BCP-221102-1/0</t>
  </si>
  <si>
    <t>BCP-221107-1/0</t>
  </si>
  <si>
    <t>BCP-221121-1/0</t>
  </si>
  <si>
    <t>BCP-221107-2/0</t>
  </si>
  <si>
    <t>Реаб. Газопровода на ул. Тамар Мепе и ул. Габашвили (P.3.850) (проектирование и строительство)</t>
  </si>
  <si>
    <t>Реаб. Газопровода на ул. Конституции (проектирование и строительство) (P.3.836)</t>
  </si>
  <si>
    <t>Реаб. Газопровода на ул. Бесики, Сохуми и Кутаиси (проектирование и строительство) (P.3.877) I этап</t>
  </si>
  <si>
    <t>Реаб. Газопровода под жд в с. Косалари (проектирование и строительство) (P.2.822) I этап</t>
  </si>
  <si>
    <t>BSP-221110-1/0</t>
  </si>
  <si>
    <t>Реаб. Газопровода в с. Сагурамо (авария) (проектирование-строительство)</t>
  </si>
  <si>
    <t>BSP-221111-1/0</t>
  </si>
  <si>
    <t>Реаб. Газопровода (D-112 мм) в с. Натахтари (проектирование-строительство) (P.3.165) I этап</t>
  </si>
  <si>
    <t>BSP-221118-1/0</t>
  </si>
  <si>
    <t>Реаб. Газопровода в тупике на ул. Гамсахурдиа (проектирование-строительство) (Авария)</t>
  </si>
  <si>
    <t>BSP-221212-1/0</t>
  </si>
  <si>
    <t>Реаб. Газопровода на ул. Самед Мургули (проектирование-строительство) (P.2.907)</t>
  </si>
  <si>
    <t>BSP-221122-1/0</t>
  </si>
  <si>
    <t>P.6.144 (1) + P.6.140</t>
  </si>
  <si>
    <t>BCP-220328-2/0(1.2.2)(1.2.3)</t>
  </si>
  <si>
    <t>(1.2.2 и 1.2.3) Участок Мухура-Хотеви-Амбролаури (проектные работы) P.6.144 (1) + P.6.140</t>
  </si>
  <si>
    <t>CS-221103-1/0</t>
  </si>
  <si>
    <t>Установка ГРС-а, обустройство територии с. Гвара (P.5.005)</t>
  </si>
  <si>
    <t>(P.5.005)</t>
  </si>
  <si>
    <t>BSP-230106-1/0</t>
  </si>
  <si>
    <t>(P.2.96)(I этап)</t>
  </si>
  <si>
    <t>В г. Кварели реаб. Газопровода поблизости заправки. (P.2.96) (I этап)</t>
  </si>
  <si>
    <t>Газификация с. Крцаниси</t>
  </si>
  <si>
    <t>BSP-230105-1/0</t>
  </si>
  <si>
    <t>Статус/прием в эксплуатацию</t>
  </si>
  <si>
    <t>მე-8-ე მიკრო რაიონი, №12 კორპუსი</t>
  </si>
  <si>
    <t>მე-17-ე მიკრო რაიონი, №16 კორპუსი</t>
  </si>
  <si>
    <t>მე-21-ე მიკრო რაიონი, №2 კორპუსი</t>
  </si>
  <si>
    <t>საბოლოო!</t>
  </si>
  <si>
    <t>დავით გარეჯის ქუჩა №21ა კორპუსი</t>
  </si>
  <si>
    <t>დავით გარეჯის ქუჩა №21ბ კორპუსი</t>
  </si>
  <si>
    <t>1.2 Реабилитация газопровода в пос. Абастумани Адигенского Муниципалитета.
1.3 Вынос счётчиков на участках №50-51-52-56 в пос. Бакуриани.
1.4 Реабилитация газопровода Д-200мм.  на улице Агмашенебели в пос. Бакуриани.
1.5 Реабилитация газопровода Д-150мм.  на улице Триалети в пос. Бакуриани.
1.6 Замена наружных полиэтилиновых газопроводов в корпусах на ул. Руставели и ул. Месхети в Борджоми.
1.7 Вынос счётчиков в. Селе Папа пос. Бакуриани.
1.8 Реабилитация газопровода среднего давления проходящего от сёл Свенети и Бербуки Гориского муниципалитета по ул. Сухишвили г. Гори.
1.9 Реабилитация питающего газопровода  от узла учёта до центра с. Меджврисхеви.
1.10 Реабилитация газопровода от с.Тквиави по направлению сёл тирдзниси-Дици.
1.11 Вынос и реабилитация питающнго газопровода в селе Бербуки.
1.12 Вынос-Замена счётчиков в г.Гори, реабилитация сети газопроводов на ул Пушкина, трассе Цхинвали, с. Свенети и с. Тинисхиди.
1.13 Реабилитация газопровода среднего Давления на пересечениях канала мелиорации в г. Гори-17км. По трассе Цхинвали.
1.14 Замена сушествующего стального газопровода на масту центральной железной дороги в г. Гори от 11 участкового узла до поселения Садгури (1 этап) (409.5 лари).
1.15 В г. Гори вынос счётчиков на улицах Тамар Мепе, Беруашвили, Чантурия, Багратиони, Кутаиси и Чочишвили.
1.16 Реабилитация газопровода на ул. Пушкина в г. Гори (1601.25 лари).
1.17 Реабилитация газопровода на ул. Размадзе г. Гори (1513.75 лари).
1.18 Реабилитация газопровода от ооо “ Гори“ до входа села Меджврисхеви (7962.5 лари).
1.19 Реабилитация газопровода в с. Оками Каспского муниципалитета.
1.20 Реабилитация газопровода в с. Перма Каспского муниципалитета.
1.21 Реабилитация газопровода проходящего через ветрозащитной полосы в с. Перма Каспского муниципалитета.
1.22 Реабилитация питающего газопровода от с Перма по направлению Чангилари.
1.23 Реабилитация газопровода на ул. Агмашенебели в г. Каспи.
1.24 Реабилитация газопровода на ул. Тависуплеба в г. Каспи.
1.25 Реабилитация сетей на улицах Мириан Мепе, Леселидзе, Костава, Руставели и Чавчавадзе в г. Каспи.
1.26 Реабилитация газопровода на перекрёстке улиц Агмашенебели и Габашвили в г. Каспи.
1.27 Вынос-замена счётчиков на улицах Церетели, 26 Мая, Шарикашвили, Гурамишвили и Агмашенебели в г. Каспи.</t>
  </si>
  <si>
    <t>არ უნდა გადარიცხულიყო და არც გადარიცხულა!</t>
  </si>
  <si>
    <t>Ремонт офиса с/центра Вани</t>
  </si>
  <si>
    <t>BCR-220906-1/0</t>
  </si>
  <si>
    <t>(N.6.7)</t>
  </si>
  <si>
    <t>НДС 2023 год</t>
  </si>
  <si>
    <t>მე-17-ე მიკრო რაიონი, №3 კორპუსი</t>
  </si>
  <si>
    <t>მე-17-ე მიკრო რაიონი, №4 კორპუსი</t>
  </si>
  <si>
    <t>მე-19-ე მიკრო რაიონი, №7 კორპუსი</t>
  </si>
  <si>
    <t>Январь 2023</t>
  </si>
  <si>
    <t>მე-19-ე მიკრო რაიონი, №8 კორპუსი</t>
  </si>
  <si>
    <t>მე-19-ე მიკრო რაიონი, №10 კორპუსი</t>
  </si>
  <si>
    <t>Февраль 2023</t>
  </si>
  <si>
    <t>დასრულდა</t>
  </si>
  <si>
    <t>სრული თანხა</t>
  </si>
  <si>
    <t>ფაქტორინგი</t>
  </si>
  <si>
    <t>მე-19-ე მიკრო რაიონი, №11 კორპუსი</t>
  </si>
  <si>
    <t>მე-19-ე მიკრო რაიონი, №19 კორპუსი</t>
  </si>
  <si>
    <t>მე-19-ე მიკრო რაიონი, №18 კორპუსი</t>
  </si>
  <si>
    <r>
      <t>რჩეულიშვილის №8</t>
    </r>
    <r>
      <rPr>
        <vertAlign val="superscript"/>
        <sz val="11"/>
        <color theme="1"/>
        <rFont val="Calibri"/>
        <family val="2"/>
        <scheme val="minor"/>
      </rPr>
      <t xml:space="preserve">ა </t>
    </r>
    <r>
      <rPr>
        <sz val="11"/>
        <color theme="1"/>
        <rFont val="Calibri"/>
        <family val="2"/>
        <scheme val="minor"/>
      </rPr>
      <t>კორპუსი</t>
    </r>
  </si>
  <si>
    <t>მე-19-ე მიკრო რაიონი, №17 კორპუსი</t>
  </si>
  <si>
    <t>მე-17-ე მიკრო რაიონი, №29 კორპუსი</t>
  </si>
  <si>
    <t>с. Квемо Кеди, реаб. Газопр.</t>
  </si>
  <si>
    <t>BSP-221110-2/0</t>
  </si>
  <si>
    <t>1.1.27. В Бакуриани, от ГРС-а Квибиси до с. Квибиси реабилитация трассы газопровода среднего давления (мохрешва). (P.3.121)</t>
  </si>
  <si>
    <t>ბორჯომი, რუსთაველის №57</t>
  </si>
  <si>
    <t>ბორჯომი, რუსთაველის №63</t>
  </si>
  <si>
    <t>ბორჯომი, რუსთაველის №71</t>
  </si>
  <si>
    <t>ბორჯომი, რუსთაველის №73</t>
  </si>
  <si>
    <t>ბორჯომი, რუსთაველის №115</t>
  </si>
  <si>
    <t>Сданы по фактуре:</t>
  </si>
  <si>
    <t>Осталось по сданным:</t>
  </si>
  <si>
    <t>Осталось по договор.:</t>
  </si>
  <si>
    <t>Часть (30м) ул. Руставели (I этап)</t>
  </si>
  <si>
    <t>с. Квемо Кеди, (Кедеби) реаб. Газопр.</t>
  </si>
  <si>
    <t>1 მარტიდან ეს თანხა გადავიდა გურჯაანი-ლაგოდეხის დარგოლვის ხელშეკრულებაზე!</t>
  </si>
  <si>
    <t>ეს გადახდა გატარდა გაზიფიკაციებში, ამიტომ აქედან ამოვარდა!</t>
  </si>
  <si>
    <t>Реаб. Газопр. в с. Сагурамо (авария) (проектирование-строительство)</t>
  </si>
  <si>
    <t>Реаб. Газоп.в с. Мухрани (Патара Канда) (проектирование-строительство) (P.3.160) I этап</t>
  </si>
  <si>
    <t>Реаб. Газопр. (D-112 мм) в с. Натахтари (проектирование-строительство) (P.3.165) I этап</t>
  </si>
  <si>
    <t>1.1.2.  Реаб. работы газопровода среднего давления В с. Сагурамо  Мцхетского муниципалитета. (P.3.239)</t>
  </si>
  <si>
    <t>1.1.4. Реаб. Газопр. ср. давления в Марнис убани с.Сагурамо</t>
  </si>
  <si>
    <t>1.1.6. Реаб. Газопр. пос.Агара Карельского муниципалитета. (проектирование и строительство)</t>
  </si>
  <si>
    <t>Март 2023</t>
  </si>
  <si>
    <t>მე-20-ე მიკრო რაიონი, №9 კორპუსი</t>
  </si>
  <si>
    <t>მე-20-ე მიკრო რაიონი, №10 კორპუსი</t>
  </si>
  <si>
    <t>მე-11-ე მიკრო რაიონი, №1/9 კორპუსი</t>
  </si>
  <si>
    <t>მე-11-ე მიკრო რაიონი, №3/9 კორპუსი</t>
  </si>
  <si>
    <t>მე-19-ე მიკრო რაიონი, №5 კორპუსი</t>
  </si>
  <si>
    <t>მე-19-ე მიკრო რაიონი, №22 კორპუსი</t>
  </si>
  <si>
    <t>მე-19-ე მიკრო რაიონი, №23 კორპუსი</t>
  </si>
  <si>
    <t>მე-18-ე მიკრო რაიონი, №5 კორპუსი</t>
  </si>
  <si>
    <t>მე-17-ე მიკრო რაიონი, №12 კორპუსი</t>
  </si>
  <si>
    <t>გადაცემული მრიცხ. რაო-ბა</t>
  </si>
  <si>
    <t>მე-21-ე მიკრო რაიონი, №10 კორპუსი</t>
  </si>
  <si>
    <t>მე-21-ე მიკრო რაიონი, №21 კორპუსი</t>
  </si>
  <si>
    <t>მე-21-ე მიკრო რაიონი, №7 კორპუსი</t>
  </si>
  <si>
    <t>მე-17-ე მიკრო რაიონი, №17 კორპუსი</t>
  </si>
  <si>
    <t>მე-19-ე მიკრო რაიონი, №12/1 კორპუსი</t>
  </si>
  <si>
    <t>რჩეულიშვილის №6ა კორპუსი</t>
  </si>
  <si>
    <t>რჩეულიშვილის №18 კორპუსი</t>
  </si>
  <si>
    <t>8 კორპუსის პროექტი</t>
  </si>
  <si>
    <t>9 პროექტი</t>
  </si>
  <si>
    <t>ბორჯომი, რუსთაველის №51</t>
  </si>
  <si>
    <r>
      <t>ბორჯომი, რუსთაველის №51</t>
    </r>
    <r>
      <rPr>
        <vertAlign val="superscript"/>
        <sz val="11"/>
        <color theme="1"/>
        <rFont val="Calibri"/>
        <family val="2"/>
        <scheme val="minor"/>
      </rPr>
      <t>ა</t>
    </r>
  </si>
  <si>
    <t>ბორჯომი, რუსთაველის №53</t>
  </si>
  <si>
    <t>ბორჯომი, რუსთაველის №69</t>
  </si>
  <si>
    <t>Ремонт офиса с/центра Багдади</t>
  </si>
  <si>
    <t>SGG-C-22-64</t>
  </si>
  <si>
    <t>არ მომითხოვია ეს დღგ</t>
  </si>
  <si>
    <t>в Абастумани, строит. сети вместе с Фондом Муниц. Развития (II этап 1.8 км.) (проектирование и строительство) (P.3.231)</t>
  </si>
  <si>
    <t>GGG</t>
  </si>
  <si>
    <t>გადასატანია 2023-ში ეს სუხან-საბას ქუჩა უკვე გაკეთებულია, მაგრამ ამავე პროექტშია თამარ მეფის ქუჩაც, რომელიც იყო P.2.138 მაგრამ ეს P სემეკს უკვე რატომღაც აღარ უზის და გასარკვევია რატომ.</t>
  </si>
  <si>
    <t>გადასატანია 2023-ში კეთდება P.2.140-თან ერთად, მაგრამ ეს P.2.138 სემეკს უკვე რატომღაც აღარ უზის და გასარკვევია რატომ.</t>
  </si>
  <si>
    <t>საერთოდ არ არის გასაკეთებელი, ვერ გაკეთდება, გასაუქმებელია!</t>
  </si>
  <si>
    <t>Регистрация/
კომენტარი</t>
  </si>
  <si>
    <t>გადასატანია 2023-ში, ჯერ არაფერი გაკეთებულა, რადგან საგზაომ არ მოგვცა ნებართვა ავტობანის მშენებლობის გამო. ალბათ გავყობთ პროექტს და გავაკეთებთ მხოლოდ იმ ნაწილს რაც ავტობანს არ ეხება.</t>
  </si>
  <si>
    <t>გადმოსატანია 2003-ში, სამუშაოები დასრულდა ეხლა მისაღები. ეს ავარიით წავიდა არ ჰქონდა "P"</t>
  </si>
  <si>
    <t>გადასატანია 2023-ში, მაისში უნდა ჩაბარდეს, შარშან ჩაბარდა მხოლოდ პროექტი.</t>
  </si>
  <si>
    <t>გასაყოფია სწორად, 2022-სა და 2023-ს შორის!</t>
  </si>
  <si>
    <t>ეს პროექტი ფაქტობრივად გაკეთდა (P.2.72 (1 и 2)-თან ერთად. ამიტომ არსად გადასატანი არ არის.</t>
  </si>
  <si>
    <t>გადასატანია 2023-ში!</t>
  </si>
  <si>
    <t>გადმოსატანია 2023-ში</t>
  </si>
  <si>
    <t>არ კეთდება საერთოდ! მოიცავს ვანის სოფლებში დაგეგმილი სხვა სამუშაოები.</t>
  </si>
  <si>
    <t>გასაუქმებელია, მცირე ეტაპები (გადასვლები) გაკეთდა ექსპლუატაციით.</t>
  </si>
  <si>
    <t>მხოლოდ პროექტია მიღებული 2022-ის დეკემბერში, შესაძლებელია გაყოფა.</t>
  </si>
  <si>
    <t>დასრულდა 2022-ში</t>
  </si>
  <si>
    <t>ეს გასაუქმებელია რადგან კეთდება P.3.49 (1)-თან ერთად.</t>
  </si>
  <si>
    <t>გადმოსატანია 2023-ში, ჩასაბარებელია.</t>
  </si>
  <si>
    <t>შესაძლებელია „ვთხოვოთ“ სემეკს 2023-ში გადმოტანა.</t>
  </si>
  <si>
    <t>ეს ისედაც 2023-ის გეგმაში იყო, სამუშაოები დავიწყეთ 2022-ში</t>
  </si>
  <si>
    <t>დავალებით დავიწყეთ 2022-ში. პროექტი დამტკიცებულია სემეკის მიერ 2025-ში!</t>
  </si>
  <si>
    <t>2022-ში მივიღეთ მხოლოდ პროექტი, გადმოსატანია 2023-ში. სრულადაა ჩაბარებული.</t>
  </si>
  <si>
    <t>ამის გადმოტანა გაჭირდება, შუალედურები იყო 2022-ში, ექსპლუატაციაში მიღება არა და ასევე იყო ფაქტორინგიც!</t>
  </si>
  <si>
    <t>P.3.42 (2)</t>
  </si>
  <si>
    <t>ბორჯომის სერვის ცენტრში ძველი G 4 მრიცხველების შეცვლა ახალი მრიცხველებით. (II ეტაპი) (P.3.42 (2))</t>
  </si>
  <si>
    <t>BC(G)-230105-1/0</t>
  </si>
  <si>
    <t xml:space="preserve">დღგ მოთხოვნილი იყო </t>
  </si>
  <si>
    <t>Интер газ</t>
  </si>
  <si>
    <t>BCG-230105-1/0</t>
  </si>
  <si>
    <t>BCG-230105-2/0 (1)</t>
  </si>
  <si>
    <t>BCG-230105-2/0 (2)</t>
  </si>
  <si>
    <t>Перекладка газопр. у реки Поцхови поврежденного из за наваднения. (A.3.004)</t>
  </si>
  <si>
    <t>Поручение (авария) (A.3.004)</t>
  </si>
  <si>
    <t>(1.1.3.) В сёлах Чирики и Цинкобани реаб. Поврежденного от наводнения газопровода. Проектирование и строительство. (A.3.001)</t>
  </si>
  <si>
    <t>авария (A.3.001)</t>
  </si>
  <si>
    <t>Перекладка газопр. у реки Арагви, около Бебрисцихе, поврежденного из за наваднения. В Мцхета (A.3.003)</t>
  </si>
  <si>
    <t>Поручение (авария) (A.3.003)</t>
  </si>
  <si>
    <t>1.1.10.  Окольцование газопровода с.Цвери Карельского муниципалитета. (проектирование и строительство) ( P.3.147)</t>
  </si>
  <si>
    <t>Замена счётчиков G4 в сервис-центре Борджоми (II этап) (P.3.42 (2))</t>
  </si>
  <si>
    <t xml:space="preserve">G-2022-2710 </t>
  </si>
  <si>
    <t>Ремонт офиса с/центра Гори</t>
  </si>
  <si>
    <t>P.2.619</t>
  </si>
  <si>
    <t>BCG-230109-1/0(5)</t>
  </si>
  <si>
    <t>BCG-230109-1/0(6)</t>
  </si>
  <si>
    <t>საბოლოო</t>
  </si>
  <si>
    <t>P.2.766</t>
  </si>
  <si>
    <t>BCG-230109-1/0(13)</t>
  </si>
  <si>
    <t>BCG-230109-1/0(14)</t>
  </si>
  <si>
    <t>მე-17-ე მკრ. 19 კორპუსი</t>
  </si>
  <si>
    <t>მე-17-ე მკრ. 21 კორპუსი</t>
  </si>
  <si>
    <t>მე-17-ე მკრ. 22 კორპუსი</t>
  </si>
  <si>
    <t>BCG-230109-1/0(11)</t>
  </si>
  <si>
    <t>BCG-230109-1/0(12)</t>
  </si>
  <si>
    <t>მე-19-ე მკრ. 2 კორპუსი</t>
  </si>
  <si>
    <r>
      <t>მე-19-ე მკრ. 2</t>
    </r>
    <r>
      <rPr>
        <vertAlign val="superscript"/>
        <sz val="11"/>
        <color theme="1"/>
        <rFont val="Calibri"/>
        <family val="2"/>
        <scheme val="minor"/>
      </rPr>
      <t>ა</t>
    </r>
    <r>
      <rPr>
        <sz val="11"/>
        <color theme="1"/>
        <rFont val="Calibri"/>
        <family val="2"/>
        <scheme val="minor"/>
      </rPr>
      <t xml:space="preserve"> კორპუსი</t>
    </r>
  </si>
  <si>
    <t>P.2.701</t>
  </si>
  <si>
    <t>BCG-230109-1/0(8)</t>
  </si>
  <si>
    <t>BCG-230109-1/0(7)</t>
  </si>
  <si>
    <t>ვაჟა ფშაველას II გასასვლელი სახლი 4</t>
  </si>
  <si>
    <t>Реабилитация газопровода низ. давления в г. Абаша (P.4.5)</t>
  </si>
  <si>
    <t>BCG-230110-1/0(1)</t>
  </si>
  <si>
    <t>P.6.612</t>
  </si>
  <si>
    <t>BCG-230110-1/0(2)</t>
  </si>
  <si>
    <t>P.6.684</t>
  </si>
  <si>
    <t>BCG-230110-1/0(3)</t>
  </si>
  <si>
    <t>BCG-230110-1/0(4)</t>
  </si>
  <si>
    <t>(1) თამარ მეფის ქუჩის 1 ჩიხის გაზსადენის რეაბილიტაცია P.6.612</t>
  </si>
  <si>
    <t>(2) თამარ მეფის ქუჩის 1 ჩიხის გაზსადენის რეაბილიტაცია P.6.612</t>
  </si>
  <si>
    <t>(3) მარტვილი ენგელსის ქ .საყრდენების რეაბილიტაცია P.6.684</t>
  </si>
  <si>
    <t>(4) მარტვილი ენგელსის ქ .საყრდენების რეაბილიტაცია P.6.684</t>
  </si>
  <si>
    <t>P.6.686</t>
  </si>
  <si>
    <t>(5) მრიცხველების შეცვლა გამოტანა ქ. თერჯოლაა 300 და ქ.ამბროლაური 200 (P.6.191 (3))</t>
  </si>
  <si>
    <t>P.6.191 (3)</t>
  </si>
  <si>
    <t>BCG-230110-1/0(5)</t>
  </si>
  <si>
    <t>BCG-230110-1/0(6)</t>
  </si>
  <si>
    <t>(6) მრიცხველების შეცვლა გამოტანა ქ. თერჯოლაა 300 და ქ.ამბროლაური 200 (P.6.191 (3))</t>
  </si>
  <si>
    <t>(7) სამტრედია იმერეთის და ბოლქვაძის ქ. საყრდენების რეაბილიტაცია P.6.686</t>
  </si>
  <si>
    <t>(8) სამტრედია იმერეთის და ბოლქვაძის ქ. საყრდენების რეაბილიტაცია P.6.686</t>
  </si>
  <si>
    <t>BCG-230110-1/0(7)</t>
  </si>
  <si>
    <t>BCG-230110-1/0(8)</t>
  </si>
  <si>
    <t>(9) სამტრედია ნინოშვილის ქუჩა და ნინოშვილის ჩიხის გაზსადენის რეაბილიტაცია P.6.681</t>
  </si>
  <si>
    <t>(10) სამტრედია ნინოშვილის ქუჩა და ნინოშვილის ჩიხის გაზსადენის რეაბილიტაცია P.6.681</t>
  </si>
  <si>
    <t>P.6.681</t>
  </si>
  <si>
    <t>BCG-230110-1/0(9)</t>
  </si>
  <si>
    <t>BCG-230110-1/0(10)</t>
  </si>
  <si>
    <t>(11) სოფ. ზენობანი. გაზსადენის რეაბილიტაცია P.6.647</t>
  </si>
  <si>
    <t>BCG-230110-1/0(11)</t>
  </si>
  <si>
    <t>P.6.647</t>
  </si>
  <si>
    <t>(12) სოფ. ისრითი. გაზსადენის რეაბილიტაცია P.6.645</t>
  </si>
  <si>
    <t>P.6.645</t>
  </si>
  <si>
    <t>(13) სოფ. სალხინო. გაზსადენის რეაბილიტაცია P.6.646</t>
  </si>
  <si>
    <t>P.6.646</t>
  </si>
  <si>
    <t>BCG-230110-1/0(12)</t>
  </si>
  <si>
    <t>BCG-230110-1/0(13)</t>
  </si>
  <si>
    <t>BCG-230110-1/0(14)</t>
  </si>
  <si>
    <t>P.6.741</t>
  </si>
  <si>
    <t>BCG-230110-1/0(15)</t>
  </si>
  <si>
    <t>P.6.87</t>
  </si>
  <si>
    <t>BCG-230110-1/0(16)</t>
  </si>
  <si>
    <t>P.6.831</t>
  </si>
  <si>
    <t>BCG-230110-1/0(17)</t>
  </si>
  <si>
    <t>(17) ქუთაისში ყოფილი საავტომობილო ქარხნის ტერიტორიაზე საშუალო წნევის ქსელის შენებლობა P.6.831</t>
  </si>
  <si>
    <t>(14) ქალაქ თერჯოლის ცენტრალური დასახლების, მასში შემავალი ტაბიძის,ნინოშვილის, ვაჟა ფშაველას.რობაქიძის, ოთხი ძმის, თამარმფის ქუჩების მცხოვრებ აბონენტთა გაზმომარაგების ქსელის რეაბილიტაცია (N 5 - N 6 საუბნოები და მათი მკვებავი საშუალო წნევის გაზსადენი) P.6.741</t>
  </si>
  <si>
    <t>(15) ქუთაისი თაბუკაშვილის ქუჩის ყველა მონაკვეთის ასევე შესახვევების არსებული გაზსადენის რეაბილიტაცია P.6.87</t>
  </si>
  <si>
    <t>(16) ქუთაისში ყოფილი საავტომობილო ქარხნის ტერიტორიაზე საშუალო წნევის ქსელის შენებლობა P.6.831</t>
  </si>
  <si>
    <t>BSG-230110-1/0(1)</t>
  </si>
  <si>
    <t>BSG-230110-1/0(2)</t>
  </si>
  <si>
    <t>BSG-230110-1/0(3)</t>
  </si>
  <si>
    <t>BSG-230110-1/0(4)</t>
  </si>
  <si>
    <t>BSG-230110-1/0(5)</t>
  </si>
  <si>
    <t>BSG-230110-1/0(6)</t>
  </si>
  <si>
    <t>BSG-230110-1/0(7)</t>
  </si>
  <si>
    <t>BSG-230110-1/0(8)</t>
  </si>
  <si>
    <t>BSG-230110-1/0(9)</t>
  </si>
  <si>
    <t>BSG-230110-1/0(10)</t>
  </si>
  <si>
    <t>BSG-230110-1/0(11)</t>
  </si>
  <si>
    <t>BSG-230110-1/0(12)</t>
  </si>
  <si>
    <t>BSG-230110-1/0(13)</t>
  </si>
  <si>
    <t>BSG-230110-1/0(14)</t>
  </si>
  <si>
    <t>BSG-230110-1/0(15)</t>
  </si>
  <si>
    <t>BSG-230110-1/0(16)</t>
  </si>
  <si>
    <t>BSG-230110-1/0(17)</t>
  </si>
  <si>
    <t>BSG-230110-1/0(18)</t>
  </si>
  <si>
    <t>BSG-230110-1/0(19)</t>
  </si>
  <si>
    <t>BSG-230110-1/0(20)</t>
  </si>
  <si>
    <t>BSG-230110-1/0(21)</t>
  </si>
  <si>
    <t>BSG-230110-1/0(22)</t>
  </si>
  <si>
    <t>BSG-230110-1/0(23)</t>
  </si>
  <si>
    <t>BSG-230110-1/0(24)</t>
  </si>
  <si>
    <t>BSG-230110-1/0(25)</t>
  </si>
  <si>
    <t>BSG-230110-1/0(26)</t>
  </si>
  <si>
    <t>BSG-230110-1/0(27)</t>
  </si>
  <si>
    <t>BSG-230110-1/0(28)</t>
  </si>
  <si>
    <t>BSG-230110-1/0(29)</t>
  </si>
  <si>
    <t>BSG-230110-1/0(30)</t>
  </si>
  <si>
    <t>BSG-230110-1/0(31)</t>
  </si>
  <si>
    <t>BSG-230110-1/0(32)</t>
  </si>
  <si>
    <t>BSG-230110-1/0(33)</t>
  </si>
  <si>
    <t>BSG-230110-1/0(34)</t>
  </si>
  <si>
    <t>BSG-230110-1/0(35)</t>
  </si>
  <si>
    <t>BSG-230110-1/0(36)</t>
  </si>
  <si>
    <t>BSG-230110-1/0(37)</t>
  </si>
  <si>
    <t>BSG-230110-1/0(38)</t>
  </si>
  <si>
    <t>BSG-230110-1/0(39)</t>
  </si>
  <si>
    <t>BSG-230110-1/0(40)</t>
  </si>
  <si>
    <t>BSG-230110-1/0(41)</t>
  </si>
  <si>
    <t>BSG-230110-1/0(42)</t>
  </si>
  <si>
    <t>BSG-230110-1/0(43)</t>
  </si>
  <si>
    <t>BSG-230110-1/0(44)</t>
  </si>
  <si>
    <t>BSG-230110-1/0(45)</t>
  </si>
  <si>
    <t>BSG-230110-1/0(46)</t>
  </si>
  <si>
    <t>BSG-230110-1/0(47)</t>
  </si>
  <si>
    <t>BSG-230110-1/0(48)</t>
  </si>
  <si>
    <t>BSG-230110-1/0(49)</t>
  </si>
  <si>
    <t>BSG-230110-1/0(50)</t>
  </si>
  <si>
    <t>P.6.246</t>
  </si>
  <si>
    <t>P.6.209</t>
  </si>
  <si>
    <t>P.6.213</t>
  </si>
  <si>
    <t>P.6.214</t>
  </si>
  <si>
    <t>P.6.12</t>
  </si>
  <si>
    <t>P.6.25</t>
  </si>
  <si>
    <t>P.6.43</t>
  </si>
  <si>
    <t>P.6.263</t>
  </si>
  <si>
    <t>P.6.577</t>
  </si>
  <si>
    <t>P.6.3</t>
  </si>
  <si>
    <t>P.6.44</t>
  </si>
  <si>
    <t>P.6.268</t>
  </si>
  <si>
    <t>P.6.23</t>
  </si>
  <si>
    <t>P.6.2</t>
  </si>
  <si>
    <t>P.6.13</t>
  </si>
  <si>
    <t>P.6.226</t>
  </si>
  <si>
    <t>P.6.4</t>
  </si>
  <si>
    <t>P.6.507</t>
  </si>
  <si>
    <t>P.6.510</t>
  </si>
  <si>
    <t>P.6.504</t>
  </si>
  <si>
    <t>P.6.506</t>
  </si>
  <si>
    <t>P.6.223</t>
  </si>
  <si>
    <t>P.6.511</t>
  </si>
  <si>
    <t>P.5.63</t>
  </si>
  <si>
    <t>P.6.15</t>
  </si>
  <si>
    <t>P.6.16</t>
  </si>
  <si>
    <t>P.6.234</t>
  </si>
  <si>
    <t>P.6.505</t>
  </si>
  <si>
    <t>P.6.58</t>
  </si>
  <si>
    <t>(2) N1 საუბნო გაზსადენის, გამაგრებითი და სარეაბილიტაციო სამუშაოები. სოფ. თერნალში ე.წ "კაკოჩაშვილების" ჩიხში ამორტიზებული ქსელის რეაბილიტაცია. ასევე ე.წ "შუღლაძის" ჩიხში გაზსადენის რეაბილიტაცია P.6.209</t>
  </si>
  <si>
    <t>(3) N1 საუბნო გაზსადენის, გამაგრებითი და სარეაბილიტაციო სამუშაოები. სოფ. თერნალში ე.წ "კაკოჩაშვილების" ჩიხში ამორტიზებული ქსელის რეაბილიტაცია. ასევე ე.წ "შუღლაძის" ჩიხში გაზსადენის რეაბილიტაციაP.6.209</t>
  </si>
  <si>
    <t>(4) N21 საუბნოზე, მიწისქვეშა დ-100 მმ ფოლადის ამორტიზებული გაზსადენის შეცლა პოლიეთილენის გაზსადენითP.6.213</t>
  </si>
  <si>
    <t>(5) N21 საუბნოზე, მიწისქვეშა დ-100 მმ ფოლადის ამორტიზებული გაზსადენის შეცლა პოლიეთილენის გაზსადენითP.6.213</t>
  </si>
  <si>
    <t>(6) N26 საუბნოზე, მიწისქვეშა დ-100 მმ ფოლადის ამორტიზებული გაზსადენის შეცლა პოლიეთილენის გაზსადენითP.6.214</t>
  </si>
  <si>
    <t>(7) N26 საუბნოზე, მიწისქვეშა დ-100 მმ ფოლადის ამორტიზებული გაზსადენის შეცლა პოლიეთილენის გაზსადენითP.6.214</t>
  </si>
  <si>
    <t>(8) N37 და N24 საუბნოებზე კორპუსებს შორის დამაკავშირებელი მიწისქვეშა გაზსადენის რეაბილიტაციაP.6.12</t>
  </si>
  <si>
    <t>(9) N37 და N24 საუბნოებზე კორპუსებს შორის დამაკავშირებელი მიწისქვეშა გაზსადენის რეაბილიტაციაP.6.12</t>
  </si>
  <si>
    <t>(10) აბესაძის ქ. საშ. წნევის გაზსადენის რეაბილიტაციაP.6.25</t>
  </si>
  <si>
    <t>(11) ბარათაშვილის და ნინოშვილის ქუჩების ქსელის რეაბილიტაცია. ასევე ქსელების კერძო საკუთრებიდან გამოტანაP.6.43</t>
  </si>
  <si>
    <t>(12) ბარათაშვილის და ნინოშვილის ქუჩების ქსელის რეაბილიტაცია. ასევე ქსელების კერძო საკუთრებიდან გამოტანაP.6.43</t>
  </si>
  <si>
    <t>(13) გაზსადენზე დასამატებელია საყრდენები წმ/გიორგი ქ, აღმაშენებლის ქ 9აპრილის ქ, ჩაჩანიძის ქ, ღვალაძის, ქ სოფ:ნავარძეთი, წინსოფელი 8, 10,11 საუბნო და მეორე ჩასასვლელი, თბილისის ქ., ლეჟუბნის ქ. ტყაბლაძის ქ.P.6.263</t>
  </si>
  <si>
    <t>(14) გაზსადენზე დასამატებელია საყრდენები წმ/გიორგი ქ, აღმაშენებლის ქ 9აპრილის ქ, ჩაჩანიძის ქ, ღვალაძის, ქ სოფ:ნავარძეთი, წინსოფელი 8, 10,11 საუბნო და მეორე ჩასასვლელი, თბილისის ქ., ლეჟუბნის ქ. ტყაბლაძის ქ.P.6.263</t>
  </si>
  <si>
    <t>(15) დედაენის ქუჩაზე გაზსადენის გამაგრება და კერძო საკუთრებაში გამავალი ქსელის გადმოტანაP.6.577</t>
  </si>
  <si>
    <t>(16) დედაენის ქუჩაზე გაზსადენის გამაგრება და კერძო საკუთრებაში გამავალი ქსელის გადმოტანაP.6.577</t>
  </si>
  <si>
    <t>(17) ვარციხე-დიმის გაზსადენის რეაბილიტაციაP.6.3</t>
  </si>
  <si>
    <t>(18) ვარციხე-დიმის გაზსადენის რეაბილიტაციაP.6.3</t>
  </si>
  <si>
    <t>(19) თბილისის ქუჩის გაზსადენის რეაბილიტაცია და ქსელის კერძო საკუთრებიდან გამოტანაP.6.44</t>
  </si>
  <si>
    <t>(20) თბილისის ქუჩის გაზსადენის რეაბილიტაცია და ქსელის კერძო საკუთრებიდან გამოტანაP.6.44</t>
  </si>
  <si>
    <t>(21) იმერეთის ქუჩის მე-4 ჩიხის და ე.წ "ხობუას" ჩიხის ქსელის რეაბილიტაციაP.6.268</t>
  </si>
  <si>
    <t>(22) იმერეთის ქუჩის მე-4 ჩიხის და ე.წ "ხობუას" ჩიხის ქსელის რეაბილიტაციაP.6.268</t>
  </si>
  <si>
    <t>(23) საკონიაკე, N1 საჯარო სკოლის მიმიდებარედ საშ. წნევის გაზსადენის რეაბილიტაციაP.6.23</t>
  </si>
  <si>
    <t>(24) სარბევი-ტეკას გაზსადენის რეაბილიტაციაP.6.2</t>
  </si>
  <si>
    <t>(25) სარბევი-ტეკას გაზსადენის რეაბილიტაციაP.6.2</t>
  </si>
  <si>
    <t>(26) სოფ. მეორე სვირის ტყის ზოლის საშ. წნევის გაზსადენის რეაბილიტაციაP.6.13</t>
  </si>
  <si>
    <t>(27) სოფ. მღიმევი მიწისქვეშა D-63 მმ ქსელის რეაბილიტაცია მიწისზედა D-50 მმ გაზსადენითP.6.226</t>
  </si>
  <si>
    <t>(28) სოფ. მღიმევი მიწისქვეშა D-63 მმ ქსელის რეაბილიტაცია მიწისზედა D-50 მმ გაზსადენითP.6.226</t>
  </si>
  <si>
    <t>(29) სოფ. ფერსათის ცენტრალური გაზსადენის და გადასვლების რეაბილიტაციაP.6.4</t>
  </si>
  <si>
    <t>(30) სოფ. წინსოფელში არსებული D=150 მმ საჰაერო გაზსადენის რეაბილიტაციაP.6.507</t>
  </si>
  <si>
    <t>(31) სოფ. წინსოფელში არსებული D=150 მმ საჰაერო გაზსადენის რეაბილიტაციაP.6.507</t>
  </si>
  <si>
    <t>(32) ქ. ჭიათურა. აღმაშენებლის ქუჩის ფოლადის მიწისქვეშა დაბალი წნევის გაზსადენის რეაბილიტაციაP.6.510</t>
  </si>
  <si>
    <t>(33) ქ. ჭიათურა. აღმაშენებლის ქუჩის ფოლადის მიწისქვეშა დაბალი წნევის გაზსადენის რეაბილიტაციაP.6.510</t>
  </si>
  <si>
    <t>(34) ქ. ჭიათურა. ვაჟა-ფშაველას და 9 აპრილის ქუჩებზე არსებული D=150 მმ და D=80 მმ საჰაერო გაზსადენების საყრდენების რეაბილიტაციაP.6.504</t>
  </si>
  <si>
    <t>(35) ქ. ჭიათურა. ვაჟა-ფშაველას და 9 აპრილის ქუჩებზე არსებული D=150 მმ და D=80 მმ საჰაერო გაზსადენების საყრდენების რეაბილიტაციაP.6.504</t>
  </si>
  <si>
    <t>(36) ქ. ჭიათურა. წმ. გიორგის და აღმაშენებლის ქუჩებზე ფოლადის მიწისქვეშა გაზსადენების რეაბილიტაცია. აღმაშენებლის ქუჩაზე D=80 მმ საჰაერო გაზსადენისთვის საყრდენების მოწყობა.P.6.506</t>
  </si>
  <si>
    <t>(37) ქ. ჭიათურა. წმ. გიორგის და აღმაშენებლის ქუჩებზე ფოლადის მიწისქვეშა გაზსადენების რეაბილიტაცია. აღმაშენებლის ქუჩაზე D=80 მმ საჰაერო გაზსადენისთვის საყრდენების მოწყობა.P.6.506</t>
  </si>
  <si>
    <t>(38) ქ. ჭიათურა. თბილისის და ტოლსტოის ქუჩების კორპუსებზე წოლანას შეცვლაP.6.223</t>
  </si>
  <si>
    <t>(39) ქ. ჭიათურა. თბილისის და ტოლსტოის ქუჩების კორპუსებზე წოლანას შეცვლაP.6.223</t>
  </si>
  <si>
    <t>(40) ქ.ჭიათურა. გიორგაძის ქუჩაზე არსებული დაბალი წნევის მიწისქვეშა და საჰაერო გაზსადენის რეაბილიტაციაP.6.511</t>
  </si>
  <si>
    <t>(41) ქ.ჭიათურა. გიორგაძის ქუჩაზე არსებული დაბალი წნევის მიწისქვეშა და საჰაერო გაზსადენის რეაბილიტაციაP.6.511</t>
  </si>
  <si>
    <t>(42) ქობულეთი, თამარ მეფი ქუჩაზე D=50 მმ-იანი დაბალი წნევის გაზსადენის რეაბილიტაციაP.5.63</t>
  </si>
  <si>
    <t>(43) ქობულეთი, თამარ მეფი ქუჩაზე D=50 მმ-იანი დაბალი წნევის გაზსადენის რეაბილიტაციაP.5.63</t>
  </si>
  <si>
    <t>(44) ჩხეიძის პირველი ჩიხის გაზსადენის რეაბილიტაციაP.6.15</t>
  </si>
  <si>
    <t>(45) ჩხეიძის პირველი ჩიხის გაზსადენის რეაბილიტაციაP.6.15</t>
  </si>
  <si>
    <t>(46) ჩხეიძის ქუჩის პირველი შესახვევის დაბალი წნევა გაზდასენის რეაბილიტაციაP.6.16</t>
  </si>
  <si>
    <t>(47) ჭავჭავაძის ქუჩა, კოლხეთის ქუჩა, გურამიშვილის ქუჩა,ბესიკის ქუჩა, გოგობაშვილის ქუჩა, კოსტავას ქუჩა, გამსახურდიას ქუჩა,ნუცუბიძის ქუჩა, ლერმონტოვის ქუჩა, ხანძთელის ქუჩა, დუმბაძის ქუჩა, მესხის ქუჩა, კეცხოველის ქუჩა.-გაზსადენის შეღებვაP.6.234</t>
  </si>
  <si>
    <t>(48) ჭანტურიას ქუჩაზე D=100 მმ დ/წნევის მიწისქვეშა გაზსადენის (48) გაუქმება და დ-160 მმ მიწისქვეშა საშ/წნევის პოლიეთილენის გაზსადენზე არსებული კორპუსების გადალაგებაP.6.505</t>
  </si>
  <si>
    <t>(49) ჭანტურიას ქუჩაზე D=100 მმ დ/წნევის მიწისქვეშა გაზსადენის გაუქმება და დ-160 მმ მიწისქვეშა საშ/წნევის პოლიეთილენის გაზსადენზე არსებული კორპუსების გადალაგებაP.6.505</t>
  </si>
  <si>
    <t>(50) ჭიათურა 21 საუბნო (ნაგუთი) ბარათაშვილის ქუჩის გაზსადენის რეაბილიტაციაP.6.58</t>
  </si>
  <si>
    <t>(1) ქ. წალკის მკვებავი D-150 გაზსადენის რეაბილიტაცია P.2.828</t>
  </si>
  <si>
    <t>P.2.828</t>
  </si>
  <si>
    <t>(2) სოფ. მეორე სვირის ტყის ზოლის საშ. წნევის გაზსადენის რეაბილიტაცია P.6.13</t>
  </si>
  <si>
    <t>BSG-230629-1/0(1)</t>
  </si>
  <si>
    <t>BSG-230629-1/0(2)</t>
  </si>
  <si>
    <t>P.2.813</t>
  </si>
  <si>
    <t>P.2.814</t>
  </si>
  <si>
    <t>P.2.812</t>
  </si>
  <si>
    <t>(1) N 17 საუბნოზე მაღალსართულიანი ბინებიდან მრიცხველების გამოტანა შეცვლა 200 აბონენტზე, რეაბილიტაცია. P.2.813</t>
  </si>
  <si>
    <t>(2) N 18 N 19 N20 N 21 საუბნო დ აღმაშენებელის ქუჩაზე კერძო საკუთრებაში გამავალი გაზსადენის გამოტანა 80 აბონენტზე, მაღალსართულიანი ბინებიდან მრიცხელების გამოტანა შეცვლა 160 აბ. რეაბილიტაცია. P.2.814</t>
  </si>
  <si>
    <t>(3) N 16 საუბნოზე რუსთაველი სააკაძე ფარნავაზ მეფის ქუჩებზე კერძო საკუთრებაში გამავალი გაზსადენის გამოტანა 115 აბონენტზე, რეაბილიტაცია. P.2.812</t>
  </si>
  <si>
    <t>BCG-230629-1/0(2)</t>
  </si>
  <si>
    <t>BCG-230629-1/0(1)</t>
  </si>
  <si>
    <t>BCG-230629-1/0(3)</t>
  </si>
  <si>
    <t>P.4.511</t>
  </si>
  <si>
    <t>P.4.60</t>
  </si>
  <si>
    <t>(1) ლანჩხუთი, თამარ მეფის, ცინცაძის,  კოსტავას და ვადაჭკორიას ქუჩებზე გამავალი ქსელის რეაბილიტაცია P.4.511</t>
  </si>
  <si>
    <t>(2) ლანჩხუთი, თამარ მეფის, ცინცაძის, კოსტავას და ვადაჭკორიას ქუჩებზე გამავალი ქსელის რეაბილიტაცია P.4.511</t>
  </si>
  <si>
    <t>(3) ოზურგეთის მკვებავი D=300 და D=500 მმ გაზსადენის რეაბილიტაცია P.4.60</t>
  </si>
  <si>
    <t>BSG-230111-1/0(3)</t>
  </si>
  <si>
    <t>P.2.648</t>
  </si>
  <si>
    <t>(13) ქ. რუსთავი. 9 ძმა ხერხეულიძის ქუჩის გადაყვანა საშუალო წნევაზე (P.2.766)</t>
  </si>
  <si>
    <t>(14) ქ. რუსთავი. 9 ძმა ხერხეულიძის ქუჩის გადაყვანა საშუალო წნევაზე (P.2.766)</t>
  </si>
  <si>
    <t>(5) გამოტანილი მრიცხველების პოლიეთილენის მილების შეცვლა რკინის მილებით (P.2.619)</t>
  </si>
  <si>
    <t>(6) გამოტანილი მრიცხველების პოლიეთილენის მილების შეცვლა რკინის მილებით (P.2.619)</t>
  </si>
  <si>
    <t>(11) გამოტანილი მრიცხველების პოლიეთილენის მილების შეცვლა რკინის მილებით (P.2.648)</t>
  </si>
  <si>
    <t>(12) გამოტანილი მრიცხველების პოლიეთილენის მილების შეცვლა რკინის მილებით (P.2.648)</t>
  </si>
  <si>
    <t>(7) გამოტანილი მრიცხველების პოლიეთილენის მილების შეცვლა რკინის მილებით (P.2.701)</t>
  </si>
  <si>
    <t>(8) გამოტანილი მრიცხველების პოლიეთილენის მილების შეცვლა რკინის მილებით (P.2.701)</t>
  </si>
  <si>
    <t>BCG-230109-1/0(1)</t>
  </si>
  <si>
    <t>P.2.744</t>
  </si>
  <si>
    <t>(1) გამოტანილი მრიცხველების პოლიეთილენის მილების შეცვლა რკინის მილებით P.2.744</t>
  </si>
  <si>
    <t>(2) გამოტანილი მრიცხველების პოლიეთილენის მილების შეცვლა რკინის მილებით P.2.744</t>
  </si>
  <si>
    <t>(3) გამოსატანი მრიცხველების გამოტანა P.2.577</t>
  </si>
  <si>
    <t>(4) გამოსატანი მრიცხველების გამოტანა P.2.577</t>
  </si>
  <si>
    <t>P.2.577</t>
  </si>
  <si>
    <t>BCG-230109-1/0(2)</t>
  </si>
  <si>
    <t>BCG-230109-1/0(3)</t>
  </si>
  <si>
    <t>BCG-230109-1/0(4)</t>
  </si>
  <si>
    <t>P.2.721</t>
  </si>
  <si>
    <t>(9) გამოტანილი მრიცხველების პოლიეთილენის მილების შეცვლა რკინის მილებით P.2.721</t>
  </si>
  <si>
    <t>(10) გამოტანილი მრიცხველების პოლიეთილენის მილების შეცვლა რკინის მილებით P.2.721</t>
  </si>
  <si>
    <t>BCG-230109-1/0(9)</t>
  </si>
  <si>
    <t>BCG-230109-1/0(10)</t>
  </si>
  <si>
    <t>P.2.690</t>
  </si>
  <si>
    <t>P.2.819</t>
  </si>
  <si>
    <t>P.2.770</t>
  </si>
  <si>
    <t>(15) ნეკრასოვის ქუჩა და ნეკრასოვის ჩიხებში დაბალი წნევის დ - 80 მმ-იანი ახალი გამანაწილებელი ქსელის მშენებლობა P.2.690</t>
  </si>
  <si>
    <t>(16) ნეკრასოვის ქუჩა და ნეკრასოვის ჩიხებში დაბალი წნევის დ - 80 მმ-იანი ახალი გამანაწილებელი ქსელის მშენებლობა P.2.690</t>
  </si>
  <si>
    <t>(17) კოდის დევნილები 450 აბონენტი გაზადენის რეაბ. P.2.819</t>
  </si>
  <si>
    <t>(18) კოდის დევნილები 450 აბონენტი გაზადენის რეაბ. P.2.819</t>
  </si>
  <si>
    <t>(19) ქ. რუსთავი. მე-18 მკ. რაიონის გადაყვანა საშ. წნევაზე P.2.770</t>
  </si>
  <si>
    <t>(20) ქ. რუსთავი. მე-18 მკ. რაიონის გადაყვანა საშ. წნევაზე P.2.770</t>
  </si>
  <si>
    <t>BCG-230109-1/0(15)</t>
  </si>
  <si>
    <t>BCG-230109-1/0(16)</t>
  </si>
  <si>
    <t>BCG-230109-1/0(17)</t>
  </si>
  <si>
    <t>BCG-230109-1/0(18)</t>
  </si>
  <si>
    <t>BCG-230109-1/0(19)</t>
  </si>
  <si>
    <t>BCG-230109-1/0(20)</t>
  </si>
  <si>
    <t>(21) N 17 საუბნოზე მაღალსართულიანი ბინებიდან მრიცხველების გამოტანა შეცვლა 200 აბონენტზე, რეაბ. P.2.813</t>
  </si>
  <si>
    <t>(22) N 18 N 19 N20 N 21 საუბნო დ აღმაშენებელის ქუჩაზე კერძო საკუთრებაში გამავალი გაზსადენის გამოტანა 80 აბონენტზე, მაღალსართულიანი ბინებიდან მრიცხელების გამოტანა შეცვლა 160 აბ. რეაბილიტაცია. P.2.814</t>
  </si>
  <si>
    <t>BCG-230109-1/0(21)</t>
  </si>
  <si>
    <t>BCG-230109-1/0(22)</t>
  </si>
  <si>
    <t>BCG-230109-1/0(23)</t>
  </si>
  <si>
    <t>(9) ბორჯომის სერვის ცენტრში ძველი G 4 მრიცხველების შეცვლა ახალი მრიცხველებით. (II ეტაპი) P.3.42 (2)</t>
  </si>
  <si>
    <t>BCG-230105-1/0(9)</t>
  </si>
  <si>
    <t>(1) 26 ოჯახის მკვებავი გაზსადენის  გადმოტანა ცენტრალური გზის პირას. P.3.120</t>
  </si>
  <si>
    <t>(2) 26 ოჯახის მკვებავი გაზსადენის  გადმოტანა ცენტრალური გზის პირას. P.3.120</t>
  </si>
  <si>
    <t>(3) აღმაშენებლის ქუჩაზე მკვებავი გაზსადენის რეაბილიტაცია P.3.848</t>
  </si>
  <si>
    <t>(4) აღმაშენებლის ქუჩაზე მკვებავი გაზსადენის რეაბილიტაცია P.3.848</t>
  </si>
  <si>
    <t>(5) ბაქოს N 8 ქუჩიდან მშიდობის გამზ. N 2-მდე გადამავალი გაზსადენის რეაბილიტაცია P.3.197</t>
  </si>
  <si>
    <t>(6) ბაქოს N 8 ქუჩიდან მშიდობის გამზ. N 2-მდე გადამავალი გაზსადენის რეაბილიტაცია P.3.197</t>
  </si>
  <si>
    <t>(7) ბორჯომი სააკაძის ქუჩაზე საჰაერო დ=100 ფოლადის მილი 20 გრძ/მ. რეაბილიტაცია. P.3.118</t>
  </si>
  <si>
    <t>(8) ბორჯომი სააკაძის ქუჩაზე საჰაერო დ=100 ფოლადის მილი 20 გრძ/მ. რეაბილიტაცია. P.3.118</t>
  </si>
  <si>
    <t>(10) გერესიდან მომავალი 6 საუბნოს მკვებავი საშუალო წნევის გაზსადენის რეაბილიტაცია P.3.876</t>
  </si>
  <si>
    <t>(11) გერესიდან მომავალი 6 საუბნოს მკვებავი საშუალო წნევის გაზსადენის რეაბილიტაცია P.3.876</t>
  </si>
  <si>
    <t>BCG-230105-1/0(10)</t>
  </si>
  <si>
    <t>BCG-230105-1/0(11)</t>
  </si>
  <si>
    <t>BCG-230105-1/0(12)</t>
  </si>
  <si>
    <t>BCG-230105-1/0(13)</t>
  </si>
  <si>
    <t>BCG-230105-1/0(14)</t>
  </si>
  <si>
    <t>BCG-230105-1/0(15)</t>
  </si>
  <si>
    <t>BCG-230105-1/0(16)</t>
  </si>
  <si>
    <t>BCG-230105-1/0(17)</t>
  </si>
  <si>
    <t>BCG-230105-1/0(18)</t>
  </si>
  <si>
    <t>BCG-230105-1/0(19)</t>
  </si>
  <si>
    <t>BCG-230105-1/0(20)</t>
  </si>
  <si>
    <t>BCG-230105-1/0(21)</t>
  </si>
  <si>
    <t>BCG-230105-1/0(22)</t>
  </si>
  <si>
    <t>BCG-230105-1/0(23)</t>
  </si>
  <si>
    <t>BCG-230105-1/0(24)</t>
  </si>
  <si>
    <t>BCG-230105-1/0(25)</t>
  </si>
  <si>
    <t>BCG-230105-1/0(26)</t>
  </si>
  <si>
    <t>P.3.120</t>
  </si>
  <si>
    <t>P.3.848</t>
  </si>
  <si>
    <t>P.3.197</t>
  </si>
  <si>
    <t>P.3.118</t>
  </si>
  <si>
    <t>P.3.876</t>
  </si>
  <si>
    <t>P.3.855</t>
  </si>
  <si>
    <t>P.3.116</t>
  </si>
  <si>
    <t>P.3.779</t>
  </si>
  <si>
    <t>P.3.805</t>
  </si>
  <si>
    <t>P.3.784</t>
  </si>
  <si>
    <t>P.3.786</t>
  </si>
  <si>
    <t>P.3.192</t>
  </si>
  <si>
    <t>P.3.846</t>
  </si>
  <si>
    <t>P.3.117</t>
  </si>
  <si>
    <t>P.3.211</t>
  </si>
  <si>
    <t>P.3.718</t>
  </si>
  <si>
    <t>P.3.734</t>
  </si>
  <si>
    <t>P.3.811</t>
  </si>
  <si>
    <t>P.3.196</t>
  </si>
  <si>
    <t>P.3.229</t>
  </si>
  <si>
    <t>P.3.125</t>
  </si>
  <si>
    <t>P.3.122</t>
  </si>
  <si>
    <t>P.3.713</t>
  </si>
  <si>
    <t>P.3.715</t>
  </si>
  <si>
    <t>P.3.733</t>
  </si>
  <si>
    <t>P.3.204</t>
  </si>
  <si>
    <t>P.3.731</t>
  </si>
  <si>
    <t>P.3.730</t>
  </si>
  <si>
    <t>P.3.206</t>
  </si>
  <si>
    <t>P.3.830</t>
  </si>
  <si>
    <t>P.3.831</t>
  </si>
  <si>
    <t>P.3.52</t>
  </si>
  <si>
    <t>P.3.729</t>
  </si>
  <si>
    <t>P.3.847</t>
  </si>
  <si>
    <t>BCG-230105-1/0(1)</t>
  </si>
  <si>
    <t>BCG-230105-1/0(2)</t>
  </si>
  <si>
    <t>BCG-230105-1/0(3)</t>
  </si>
  <si>
    <t>BCG-230105-1/0(4)</t>
  </si>
  <si>
    <t>BCG-230105-1/0(5)</t>
  </si>
  <si>
    <t>BCG-230105-1/0(6)</t>
  </si>
  <si>
    <t>BCG-230105-1/0(7)</t>
  </si>
  <si>
    <t>BCG-230105-1/0(8)</t>
  </si>
  <si>
    <t>BCG-230105-1/0(27)</t>
  </si>
  <si>
    <t>BCG-230105-1/0(28)</t>
  </si>
  <si>
    <t>BCG-230105-1/0(29)</t>
  </si>
  <si>
    <t>BCG-230105-1/0(30)</t>
  </si>
  <si>
    <t>BCG-230105-1/0(31)</t>
  </si>
  <si>
    <t>BCG-230105-1/0(32)</t>
  </si>
  <si>
    <t>BCG-230105-1/0(33)</t>
  </si>
  <si>
    <t>BCG-230105-1/0(34)</t>
  </si>
  <si>
    <t>BCG-230105-1/0(35)</t>
  </si>
  <si>
    <t>BCG-230105-1/0(36)</t>
  </si>
  <si>
    <t>BCG-230105-1/0(37)</t>
  </si>
  <si>
    <t>BCG-230105-1/0(38)</t>
  </si>
  <si>
    <t>BCG-230105-1/0(39)</t>
  </si>
  <si>
    <t>BCG-230105-1/0(40)</t>
  </si>
  <si>
    <t>BCG-230105-1/0(41)</t>
  </si>
  <si>
    <t>BCG-230105-1/0(42)</t>
  </si>
  <si>
    <t>BCG-230105-1/0(43)</t>
  </si>
  <si>
    <t>BCG-230105-1/0(44)</t>
  </si>
  <si>
    <t>BCG-230105-1/0(45)</t>
  </si>
  <si>
    <t>BCG-230105-1/0(46)</t>
  </si>
  <si>
    <t>BCG-230105-1/0(47)</t>
  </si>
  <si>
    <t>BCG-230105-1/0(48)</t>
  </si>
  <si>
    <t>BCG-230105-1/0(49)</t>
  </si>
  <si>
    <t>BCG-230105-1/0(50)</t>
  </si>
  <si>
    <t>BCG-230105-1/0(51)</t>
  </si>
  <si>
    <t>BCG-230105-1/0(52)</t>
  </si>
  <si>
    <t>BCG-230105-1/0(53)</t>
  </si>
  <si>
    <t>BCG-230105-1/0(54)</t>
  </si>
  <si>
    <t>BCG-230105-1/0(55)</t>
  </si>
  <si>
    <t>BCG-230105-1/0(56)</t>
  </si>
  <si>
    <t>BCG-230105-1/0(57)</t>
  </si>
  <si>
    <t>BCG-230105-1/0(58)</t>
  </si>
  <si>
    <t>BCG-230105-1/0(59)</t>
  </si>
  <si>
    <t>BCG-230105-1/0(60)</t>
  </si>
  <si>
    <t>BCG-230105-1/0(61)</t>
  </si>
  <si>
    <t>BCG-230105-1/0(62)</t>
  </si>
  <si>
    <t>BCG-230105-1/0(63)</t>
  </si>
  <si>
    <t>BCG-230105-1/0(64)</t>
  </si>
  <si>
    <t>BCG-230105-1/0(65)</t>
  </si>
  <si>
    <t>BCG-230105-1/0(66)</t>
  </si>
  <si>
    <t>BCG-230105-1/0(67)</t>
  </si>
  <si>
    <t>BCG-230105-1/0(68)</t>
  </si>
  <si>
    <t>(12) დაბა ბაკურიანში აღმაშენებლის ქუჩაზე მდებარე ,,ნიკორა"-ს მაღაზიიდან სასტუმრო ,,რედკო"-ს მიმართულებით გაზსადენის რეაბილიტაცია. P.3.855</t>
  </si>
  <si>
    <t>(13) დაბა ბაკურიანში აღმაშენებლის ქუჩაზე მდებარე ,,ნიკორა"-ს მაღაზიიდან სასტუმრო ,,რედკო"-ს მიმართულებით გაზსადენის რეაბილიტაცია. P.3.855</t>
  </si>
  <si>
    <t>(14) დაბა ბაკურიანში მელისის 8 კოტეჯის მიმართულებით D=100 საჰაერო ფოლადის მილის რეაბილიტაცია. P.3.116</t>
  </si>
  <si>
    <t>(15) დაბა ბაკურიანში მელისის 8 კოტეჯის მიმართულებით D=100 საჰაერო ფოლადის მილის რეაბილიტაცია. P.3.116</t>
  </si>
  <si>
    <t>(16) დაბა ბაკურიანში ცაბაძის ქ. გაზსადენის განშტოების დ=50 მმ გაზსადენის რეაბილიტაცია. P.3.779</t>
  </si>
  <si>
    <t>(17) დაბა ბაკურიანში ცაბაძის ქ. გაზსადენის განშტოების დ=50 მმ გაზსადენის რეაბილიტაცია. P.3.779</t>
  </si>
  <si>
    <t>(18) დაბა ბაკურიანში, დიდველზე 56 საუბნოდან სასტუმრო ,, ანა-ბაზის"-მდე საჰაერო დ=100 მმ-იანი გაზსადენის რეაბილიტაცია. P.3.805</t>
  </si>
  <si>
    <t>(19) დაბა ბაკურიანში, დიდველზე 56 საუბნოდან სასტუმრო ,, ანა-ბაზის"-მდე საჰაერო დ=100 მმ-იანი გაზსადენის რეაბილიტაცია. P.3.805</t>
  </si>
  <si>
    <t>(20) დაბა ბაკურიანში, დიდველზე სასტუმრო ,,რედკო"-სთან, ცენტრალური მკვებავი მიწისქვეშა და სასტუმრო ,,ანაბაზის"-ის მიმდებარე საჰაერო გაზსადენების რეაბილიტაცია. P.3.784</t>
  </si>
  <si>
    <t>(21) დაბა ბაკურიანში, დიდველზე სასტუმრო ,,რედკო"-სთან, ცენტრალური მკვებავი მიწისქვეშა და სასტუმრო ,,ანაბაზის"-ის მიმდებარე საჰაერო გაზსადენების რეაბილიტაცია. P.3.784</t>
  </si>
  <si>
    <t>(22) დაბა ბაკურიანში, ქუმარიტაშვილის ქუჩაზე, არსებული საჰაერო ფოლადის D=50 მილის რეაბილიტაცია. P.3.786</t>
  </si>
  <si>
    <t>(23) დაბა ბაკურიანში, ქუმარიტაშვილის ქუჩაზე, არსებული საჰაერო ფოლადის D=50 მილის რეაბილიტაცია. P.3.786</t>
  </si>
  <si>
    <t>(24) კასპის გერეესიდან კავთისხევის მიმართულებით დ 200 მკვებავი გაზსადენის რეაბილიტაცია P.3.192</t>
  </si>
  <si>
    <t>(25) კასპის გერეესიდან კავთისხევის მიმართულებით დ 200 მკვებავი გაზსადენის რეაბილიტაცია P.3.192</t>
  </si>
  <si>
    <t>(26) კოჯორის, მშვიდობის და გრიშაშვილის ქუჩებზე ქსელის გამოტანა კერძო ტერიტორიებიდან. P.3.846</t>
  </si>
  <si>
    <t>(27) კოჯორის, მშვიდობის და გრიშაშვილის ქუჩებზე ქსელის გამოტანა კერძო ტერიტორიებიდან. P.3.846</t>
  </si>
  <si>
    <t>(28) სოფ ყვიბისში მიწისქვეშა დ=100 ფოლადის გაზსადენის რეაბილიტაცია. P.3.117</t>
  </si>
  <si>
    <t>(29) სოფ ყვიბისში მიწისქვეშა დ=100 ფოლადის გაზსადენის რეაბილიტაცია. P.3.117</t>
  </si>
  <si>
    <t>(30) სოფ. სათემოში გამავალი გაზსადენის რეკონსტრუქცია P.3.211</t>
  </si>
  <si>
    <t>(31) სოფ. სათემოში გამავალი გაზსადენის რეკონსტრუქცია P.3.211</t>
  </si>
  <si>
    <t>(32) სოფელ ნადარბაზევის მკვებავი გაზსადენის რეაბილიტაცია P.3.718</t>
  </si>
  <si>
    <t>(33) სოფელ ნადარბაზევის მკვებავი გაზსადენის რეაბილიტაცია P.3.718</t>
  </si>
  <si>
    <t>(34) სოფელ ტინისხიდის გაზსადენის რეაბილიტაცია P.3.734</t>
  </si>
  <si>
    <t>(35) სოფელ ტინისხიდის გაზსადენის რეაბილიტაცია P.3.734</t>
  </si>
  <si>
    <t>(36) სოფელ ჭიხარულაში, საჰაერო დაბალი წნევის დ=32 მმ-იანი გაზსადენის რეაბილიტაცია. P.3.811</t>
  </si>
  <si>
    <t>(37) სოფელ ჭიხარულაში, საჰაერო დაბალი წნევის დ=32 მმ-იანი გაზსადენის რეაბილიტაცია. P.3.811</t>
  </si>
  <si>
    <t>(38) სუხიშვილია და მეჯვრისხევის ქუჩებზე გაზსადენის რეაბილიტაცია. P.3.196</t>
  </si>
  <si>
    <t>(39) ბორჯომში მესხეთის ქ. (კურორტი ლიკანი) მდებარე დ=50 -იანი საშუალო წნევის საჰაერო გაზსადენის, რეაბილიტაცია. P.3.229</t>
  </si>
  <si>
    <t>(40) ბორჯომში მესხეთის ქ. (კურორტი ლიკანი) მდებარე დ=50 -იანი საშუალო წნევის საჰაერო გაზსადენის, რეაბილიტაცია. P.3.229</t>
  </si>
  <si>
    <t>(41) ქ ბორჯომში, მესხეთის ქ. (სოფ. ლიკანი) საშუალო წნევის დ=100 -იანი გაზსადენის რეაბილიტაცია მდინარის პირას. P.3.125</t>
  </si>
  <si>
    <t>(42) ქ ბორჯომში, მესხეთის ქ. (სოფ. ლიკანი) საშუალო წნევის დ=100 -იანი გაზსადენის რეაბილიტაცია მდინარის პირას. P.3.125</t>
  </si>
  <si>
    <t>(43) ქ. ბორჯომში, თორის ქ. ე.წ. „დრაბილკის“ მიმდებარედ დ=100 საჰარეო ფოლადის გაზსადენის რეაბილიტაცია. P.3.122</t>
  </si>
  <si>
    <t>(44) ქ. ბორჯომში, თორის ქ. ე.წ. „დრაბილკის“ მიმდებარედ დ=100 საჰარეო ფოლადის გაზსადენის რეაბილიტაცია. P.3.122</t>
  </si>
  <si>
    <t>(45) ქ. გორი ანტონოვის ქუჩა გაზსადენის რეაბილიტაცია P.3.713</t>
  </si>
  <si>
    <t>(46) ქ. გორი ანტონოვის ქუჩა გაზსადენის რეაბილიტაცია P.3.713</t>
  </si>
  <si>
    <t>(47) ქ. გორი ჯორბენაძის ქუჩა გაზსადენის რეაბილიტაცია P.3.715</t>
  </si>
  <si>
    <t>(48) ქ. გორი ჯორბენაძის ქუჩა გაზსადენის რეაბილიტაცია P.3.715</t>
  </si>
  <si>
    <t>(49) ქ. გორიში მდინარე მეჯუდის პირიდან ცხინვალის ქუჩამდე მდებარე გაზსადენის რეაბილიტაცია. P.3.733</t>
  </si>
  <si>
    <t>(50) ქ. გორიში მდინარე მეჯუდის პირიდან ცხინვალის ქუჩამდე მდებარე გაზსადენის რეაბილიტაცია. P.3.733</t>
  </si>
  <si>
    <t>(52) ქ. გორში ირაკლი აბრამიშვილის ქუჩაზე მდებარე რეაბილიტაცია P.3.204</t>
  </si>
  <si>
    <t>(53) ქ. გორში სადგურის დასახლებიდან ატენის მიმართულებით მიმავალ გაზსადენზე განშტოებების რეაბილიტაცია. P.3.731</t>
  </si>
  <si>
    <t>(54) ქ. გორში სადგურის დასახლებიდან ატენის მიმართულებით მიმავალ გაზსადენზე განშტოებების რეაბილიტაცია. P.3.731</t>
  </si>
  <si>
    <t>(55) ქ. გორში ცხინვალის გზატკეცილზე გამავალი გაზსადენის რეაბილიტაცია. P.3.730</t>
  </si>
  <si>
    <t>(56) ქ. გორში ცხინვალის გზატკეცილზე გამავალი გაზსადენის რეაბილიტაცია. P.3.730</t>
  </si>
  <si>
    <t>(57) ქ. გორში, სააკაძის ქუჩაზე მდებარე რეაბილიტაცია. P.3.206</t>
  </si>
  <si>
    <t>(58) ქ. გორში, სააკაძის ქუჩაზე მდებარე რეაბილიტაცია. P.3.206</t>
  </si>
  <si>
    <t>(59) ქ. კასპი, შატბერაშვილის ქუჩაზე მდებარე გაზსადენის რეაბილიტაცია. P.3.830</t>
  </si>
  <si>
    <t>(60) ქ. კასპი, შატბერაშვილის ქუჩაზე მდებარე გაზსადენის რეაბილიტაცია. P.3.830</t>
  </si>
  <si>
    <t>(61) ქ. კასპი ჭავჭავაძის ქუჩაზე მდებარე გაზსადენის რეაბილიტაცია. P.3.831</t>
  </si>
  <si>
    <t>(62) ქ. კასპი ჭავჭავაძის ქუჩაზე მდებარე გაზსადენის რეაბილიტაცია. P.3.831</t>
  </si>
  <si>
    <t>(63) ქ. კასპში სოფ. ოკამში საყრდენების მოწყობა P.3.52</t>
  </si>
  <si>
    <t>(64) ქ. კასპში სოფ. ოკამში საყრდენების მოწყობა P.3.52</t>
  </si>
  <si>
    <t>(65) ძველი ხიდან უფლისციხის ქუჩამდე გაზსადენის რეაბილიტაცია. P.3.729</t>
  </si>
  <si>
    <t>(66) ძველი ხიდან უფლისციხის ქუჩამდე გაზსადენის რეაბილიტაცია. P.3.729</t>
  </si>
  <si>
    <t>(67) ხოკრიშვილის ქუჩა 2 სკოლის მიმდებარედ ძველი გაზსადენის რეაბილიტაცია. P.3.847</t>
  </si>
  <si>
    <t>(68) ხოკრიშვილის ქუჩა 2 სკოლის მიმდებარედ ძველი გაზსადენის რეაბილიტაცია. P.3.847</t>
  </si>
  <si>
    <t>(23) N 16 საუბნოზე რუსთაველი სააკაძე ფარნავაზ მეფის ქუჩებზე კერძო საკუთრებაში გამავალი გაზსადენის გამოტანა 115 აბონენტზე, რეაბილიტაცია. P.2.812</t>
  </si>
  <si>
    <t>(1) #2 ქ. ახმეტის მუნიციპალიტეტის სოფ. მატნის პირველი საშუალო სკოლის უბანი მიწისქვეშა გადასვლების რეაბილიტაცია. (მიწისზედა დაბალი დ89 გაზსადენის მიწისქვეშა გადასვლების ამოტანა) P.2.520</t>
  </si>
  <si>
    <t>(2) #2 ქ. ახმეტის მუნიციპალიტეტის სოფ. მატნის პირველი საშუალო სკოლის უბანი მიწისქვეშა გადასვლების რეაბილიტაცია. (მიწისზედა დაბალი დ89 გაზსადენის მიწისქვეშა გადასვლების ამოტანა) P.2.520</t>
  </si>
  <si>
    <t>(3) #999 ქ. ახმეტა საბეროს მკვებავი მიწისქვეშა ფოლადის გაზსადენის შეცვლა. #999 ქ. ახმეტა საბეროს დასახლება მიწისქვეშა ფოლადის გაზსადენის გადასვლების რეაბილიტაცია P.2.527</t>
  </si>
  <si>
    <t>(4) #999 ქ. ახმეტა საბეროს მკვებავი მიწისქვეშა ფოლადის გაზსადენის შეცვლა. #999 ქ. ახმეტა საბეროს დასახლება მიწისქვეშა ფოლადის გაზსადენის გადასვლების რეაბილიტაცია P.2.527</t>
  </si>
  <si>
    <t>(5) 25-ე საუბნო კვანძზე (დეპოს უბანი) დაბალი წნევის გაზსადენის რეაბილიტაცია. P.2.868</t>
  </si>
  <si>
    <t>(6) 25-ე საუბნო კვანძზე (დეპოს უბანი) დაბალი წნევის გაზსადენის რეაბილიტაცია. P.2.868</t>
  </si>
  <si>
    <t>(7) 740 ცალი მრიცხველის გამოტანა საკუთარი სახლებიდან მარნეულის სერვის ცენტრში P.2.902</t>
  </si>
  <si>
    <t>(8) 740 ცალი მრიცხველის გამოტანა საკუთარი სახლებიდან მარნეულის სერვის ცენტრში P.2.902</t>
  </si>
  <si>
    <t>(9) გარდაბანი , სოფ. გამარჯვებაში არსებული . ამორტიზირებული საჰაერო გაზსადენის მოსახლეობის ეზოებიდან გარეთ გამოტანა დ76მმ-იანი. P.2.836</t>
  </si>
  <si>
    <t>(10) გარდაბანი , სოფ. გამარჯვებაში არსებული . ამორტიზირებული საჰაერო გაზსადენის მოსახლეობის ეზოებიდან გარეთ გამოტანა დ76მმ-იანი. P.2.836</t>
  </si>
  <si>
    <t>(11) გარდაბანი, სოფ. ნორიოში მიწისქვეშა გადასვლების რეაბილიტაცია და მრიცხველების გამოტანა,შეცვლა. P.2.845</t>
  </si>
  <si>
    <t>(12) გარდაბანი, სოფ. ნორიოში მიწისქვეშა გადასვლების რეაბილიტაცია და მრიცხველების გამოტანა,შეცვლა. P.2.845</t>
  </si>
  <si>
    <t>(13) გარდაბანი, სოფ. ყარათაკლიაში მიწისქვეშა გადასვლების შეცვლა და მრიცხველების გამოტანა,შეცვლა P.2.844</t>
  </si>
  <si>
    <t>(14) გარდაბანი, სოფ. ყარათაკლიაში მიწისქვეშა გადასვლების შეცვლა და მრიცხველების გამოტანა,შეცვლა P.2.844</t>
  </si>
  <si>
    <t>(15) გარდაბანი, სოფ. ყარაჯალაში მიწისქვეშა გადასვლების რეაბილიტაცია და მრიცხველების გამოტანა,შეცვლა P.2.843</t>
  </si>
  <si>
    <t>(16) გარდაბანი, სოფ. ყარაჯალაში მიწისქვეშა გადასვლების რეაბილიტაცია და მრიცხველების გამოტანა,შეცვლა P.2.843</t>
  </si>
  <si>
    <t>(17) გარდაბნის სოფელ კრწანისში გაზსადენი ქსელის მოწყობა P.2.1033</t>
  </si>
  <si>
    <t>(18) გარდაბნის სოფელ კრწანისში გაზსადენი ქსელის მოწყობა P.2.1033</t>
  </si>
  <si>
    <t>(19) ვაზიანი-სართიჭალა ქსელის რეაბილიტაცია P.2.946</t>
  </si>
  <si>
    <t>(20) ვაზიანი-სართიჭალა ქსელის რეაბილიტაცია P.2.946</t>
  </si>
  <si>
    <t>(21) ვაზიანი-სართიჭალა ქსელის რეაბილიტაცია P.2.947</t>
  </si>
  <si>
    <t>(22) ვაზიანი-სართიჭალა ქსელის რეაბილიტაცია P.2.947</t>
  </si>
  <si>
    <t>(24) კაპანახჩი ამორტიზებული გაზსადენის შეცვლა უსაფრთხო და უწყვეტი მიწოდებისთვის P.2.1067</t>
  </si>
  <si>
    <t>(28) მე-16 საუბნო კვანძზე (ღვინის ქარხანასთან, სვარჩიკი მევლუდას უბანი) საშუალო წნევის გაზსადენის რეაბილიტაცია. P.2.863</t>
  </si>
  <si>
    <t>(30) მე-19 საუბნო კვანძზე (ველისციხე- ახაშნიდან ტირიფის და მიმდებარე ქუჩა, ორივე მხარეს) დაბალი წნევის გაზსადენის რეაბილიტაცია. P.2.865</t>
  </si>
  <si>
    <t>(32) მე-20 საუბნო კვანძზე (ბაღაშვილის უბანი - გაბუნია სიმონის უბანი) (აბელას თონიდან მოგელას უბანი, ხოხობას უბანი) დაბალი წნევის გაზსადენის რეაბილიტაცია. P.2.866</t>
  </si>
  <si>
    <t>(34) სადგურის ქუჩის მონაკვეთის გაზსადენის რაბილიტაცია. P.2.993</t>
  </si>
  <si>
    <t>(36) სოფ წითელსოფელში დაბალი წნევის მილის რეაბილიტაცია. P.2.905</t>
  </si>
  <si>
    <t>(38) სოფ. ბოდბისხევი ყაჯრიშვილი მამუკას უბნის რეაბილიტაცია P.2.774</t>
  </si>
  <si>
    <t>BSG-230109-1/0(1)</t>
  </si>
  <si>
    <t>BSG-230109-1/0(2)</t>
  </si>
  <si>
    <t>BSG-230109-1/0(3)</t>
  </si>
  <si>
    <t>BSG-230109-1/0(4)</t>
  </si>
  <si>
    <t>BSG-230109-1/0(5)</t>
  </si>
  <si>
    <t>BSG-230109-1/0(6)</t>
  </si>
  <si>
    <t>BSG-230109-1/0(7)</t>
  </si>
  <si>
    <t>BSG-230109-1/0(8)</t>
  </si>
  <si>
    <t>BSG-230109-1/0(9)</t>
  </si>
  <si>
    <t>BSG-230109-1/0(10)</t>
  </si>
  <si>
    <t>BSG-230109-1/0(11)</t>
  </si>
  <si>
    <t>BSG-230109-1/0(12)</t>
  </si>
  <si>
    <t>BSG-230109-1/0(13)</t>
  </si>
  <si>
    <t>BSG-230109-1/0(14)</t>
  </si>
  <si>
    <t>BSG-230109-1/0(15)</t>
  </si>
  <si>
    <t>BSG-230109-1/0(16)</t>
  </si>
  <si>
    <t>BSG-230109-1/0(17)</t>
  </si>
  <si>
    <t>BSG-230109-1/0(18)</t>
  </si>
  <si>
    <t>BSG-230109-1/0(19)</t>
  </si>
  <si>
    <t>BSG-230109-1/0(20)</t>
  </si>
  <si>
    <t>BSG-230109-1/0(21)</t>
  </si>
  <si>
    <t>BSG-230109-1/0(22)</t>
  </si>
  <si>
    <t>BSG-230109-1/0(23)</t>
  </si>
  <si>
    <t>BSG-230109-1/0(24)</t>
  </si>
  <si>
    <t>BSG-230109-1/0(25)</t>
  </si>
  <si>
    <t>BSG-230109-1/0(26)</t>
  </si>
  <si>
    <t>BSG-230109-1/0(27)</t>
  </si>
  <si>
    <t>BSG-230109-1/0(28)</t>
  </si>
  <si>
    <t>BSG-230109-1/0(29)</t>
  </si>
  <si>
    <t>BSG-230109-1/0(30)</t>
  </si>
  <si>
    <t>BSG-230109-1/0(31)</t>
  </si>
  <si>
    <t>BSG-230109-1/0(32)</t>
  </si>
  <si>
    <t>BSG-230109-1/0(33)</t>
  </si>
  <si>
    <t>BSG-230109-1/0(34)</t>
  </si>
  <si>
    <t>BSG-230109-1/0(35)</t>
  </si>
  <si>
    <t>BSG-230109-1/0(36)</t>
  </si>
  <si>
    <t>BSG-230109-1/0(37)</t>
  </si>
  <si>
    <t>BSG-230109-1/0(38)</t>
  </si>
  <si>
    <t>BSG-230109-1/0(39)</t>
  </si>
  <si>
    <t>BSG-230109-1/0(40)</t>
  </si>
  <si>
    <t>BSG-230109-1/0(41)</t>
  </si>
  <si>
    <t>BSG-230109-1/0(42)</t>
  </si>
  <si>
    <t>BSG-230109-1/0(43)</t>
  </si>
  <si>
    <t>BSG-230109-1/0(44)</t>
  </si>
  <si>
    <t>BSG-230109-1/0(45)</t>
  </si>
  <si>
    <t>BSG-230109-1/0(46)</t>
  </si>
  <si>
    <t>BSG-230109-1/0(47)</t>
  </si>
  <si>
    <t>BSG-230109-1/0(48)</t>
  </si>
  <si>
    <t>BSG-230109-1/0(49)</t>
  </si>
  <si>
    <t>BSG-230109-1/0(50)</t>
  </si>
  <si>
    <t>BSG-230109-1/0(51)</t>
  </si>
  <si>
    <t>BSG-230109-1/0(52)</t>
  </si>
  <si>
    <t>BSG-230109-1/0(53)</t>
  </si>
  <si>
    <t>BSG-230109-1/0(54)</t>
  </si>
  <si>
    <t>BSG-230109-1/0(55)</t>
  </si>
  <si>
    <t>BSG-230109-1/0(56)</t>
  </si>
  <si>
    <t>BSG-230109-1/0(57)</t>
  </si>
  <si>
    <t>BSG-230109-1/0(58)</t>
  </si>
  <si>
    <t>BSG-230109-1/0(59)</t>
  </si>
  <si>
    <t>BSG-230109-1/0(60)</t>
  </si>
  <si>
    <t>BSG-230109-1/0(61)</t>
  </si>
  <si>
    <t>BSG-230109-1/0(62)</t>
  </si>
  <si>
    <t>BSG-230109-1/0(63)</t>
  </si>
  <si>
    <t>BSG-230109-1/0(64)</t>
  </si>
  <si>
    <t>BSG-230109-1/0(65)</t>
  </si>
  <si>
    <t>BSG-230109-1/0(66)</t>
  </si>
  <si>
    <t>BSG-230109-1/0(67)</t>
  </si>
  <si>
    <t>BSG-230109-1/0(68)</t>
  </si>
  <si>
    <t>BSG-230109-1/0(69)</t>
  </si>
  <si>
    <t>P.2.520</t>
  </si>
  <si>
    <t>P.2.527</t>
  </si>
  <si>
    <t>P.2.868</t>
  </si>
  <si>
    <t>P.2.902</t>
  </si>
  <si>
    <t>P.2.836</t>
  </si>
  <si>
    <t>P.2.845</t>
  </si>
  <si>
    <t>P.2.844</t>
  </si>
  <si>
    <t>P.2.843</t>
  </si>
  <si>
    <t>P.2.1033</t>
  </si>
  <si>
    <t>P.2.946</t>
  </si>
  <si>
    <t>P.2.947</t>
  </si>
  <si>
    <t>P.2.1067</t>
  </si>
  <si>
    <t>P.2.860</t>
  </si>
  <si>
    <t>P.2.863</t>
  </si>
  <si>
    <t>P.2.865</t>
  </si>
  <si>
    <t>P.2.866</t>
  </si>
  <si>
    <t>P.2.993</t>
  </si>
  <si>
    <t>P.2.905</t>
  </si>
  <si>
    <t>P.2.774</t>
  </si>
  <si>
    <t>P.2.41</t>
  </si>
  <si>
    <t>P.2.786</t>
  </si>
  <si>
    <t>P.2.783</t>
  </si>
  <si>
    <t>P.2.886</t>
  </si>
  <si>
    <t>P.2.875</t>
  </si>
  <si>
    <t>P.2.779</t>
  </si>
  <si>
    <t>P.2.911</t>
  </si>
  <si>
    <t>P.2.999</t>
  </si>
  <si>
    <t>P.2.47</t>
  </si>
  <si>
    <t>P.2.904</t>
  </si>
  <si>
    <t>P.2.96</t>
  </si>
  <si>
    <t>P.2.115</t>
  </si>
  <si>
    <t>P.2.92</t>
  </si>
  <si>
    <t>P.2.1065</t>
  </si>
  <si>
    <t>P.2.1066</t>
  </si>
  <si>
    <t>(23) კაპანახჩი ამორტიზებული გაზსადენის შეცვლა უსაფრთხო და უწყვეტი მიწოდებისთვის P.2.1067</t>
  </si>
  <si>
    <t>(25) მე-13 საუბნო კვანძზე (სოფ. ჩუმლაყი, ცხავი ლეოს უბანი) (სოფ. ჩუმლაყი, ბოღმას თონიდან ლუკოილამდე, გზის ქვემოდან) (სოფ. ჩუმლაყი, ყიტაანის დასახვევი) (სოფ. ჩუმლაყი, ბაღის უბანი, ოთოს უბანი, სტადიონი) (სოფ. ჩუმლაყი, გაღმახევის იქიდან ტრასის ზევით ლიანდაგებამდე) რკინიგზის გადასასვლელთან გაზსადენების რეაბილიტაცია. P.2.860</t>
  </si>
  <si>
    <t>(26) მე-13 საუბნო კვანძზე (სოფ. ჩუმლაყი, ცხავი ლეოს უბანი) (სოფ. ჩუმლაყი, ბოღმას თონიდან ლუკოილამდე, გზის ქვემოდან) (სოფ. ჩუმლაყი, ყიტაანის დასახვევი) (სოფ. ჩუმლაყი, ბაღის უბანი, ოთოს უბანი, სტადიონი) (სოფ. ჩუმლაყი, გაღმახევის იქიდან ტრასის ზევით ლიანდაგებამდე) რკინიგზის გადასასვლელთან გაზსადენების რეაბილიტაცია. P.2.860</t>
  </si>
  <si>
    <t>(27) მე-16 საუბნო კვანძზე (ღვინის ქარხანასთან, სვარჩიკი მევლუდას უბანი) საშუალო წნევის გაზსადენის რეაბილიტაცია. P.2.863</t>
  </si>
  <si>
    <t>(29) მე-19 საუბნო კვანძზე (ველისციხე- ახაშნიდან ტირიფის და მიმდებარე ქუჩა, ორივე მხარეს) დაბალი წნევის გაზსადენის რეაბილიტაცია. P.2.865</t>
  </si>
  <si>
    <t>(31) მე-20 საუბნო კვანძზე (ბაღაშვილის უბანი - გაბუნია სიმონის უბანი) (აბელას თონიდან მოგელას უბანი, ხოხობას უბანი) დაბალი წნევის გაზსადენის რეაბილიტაცია. P.2.866</t>
  </si>
  <si>
    <t>(33) სადგურის ქუჩის მონაკვეთის გაზსადენის რაბილიტაცია. P.2.993</t>
  </si>
  <si>
    <t>(35) სოფ წითელსოფელში დაბალი წნევის მილის რეაბილიტაცია. P.2.905</t>
  </si>
  <si>
    <t>(37) სოფ. ბოდბისხევი ყაჯრიშვილი მამუკას უბნის რეაბილიტაცია P.2.774</t>
  </si>
  <si>
    <t>(39) სოფ. ზემო მაჩხაანი-არბოშიკის მკვებავი გაზსადენის რებილიტაცია P.2.41</t>
  </si>
  <si>
    <t>(40) სოფ. ზემო მაჩხაანი-არბოშიკის მკვებავი გაზსადენის რებილიტაცია P.2.41</t>
  </si>
  <si>
    <t>(41) სოფ. ქვ. ბოდბე თეთრი ფერმის უბნის რეაბილიტაცია P.2.786</t>
  </si>
  <si>
    <t>(42) სოფ. ქვ. ბოდბე თეთრი ფერმის უბნის რეაბილიტაცია P.2.786</t>
  </si>
  <si>
    <t>(43) სოფ. ქვ. ნუკრიანიდან გიორგი ბეჟაშვილის უბნამდე (ტრასა) რეაბილიტაცია P.2.783</t>
  </si>
  <si>
    <t>(44) სოფ. ქვ. ნუკრიანიდან გიორგი ბეჟაშვილის უბნამდე (ტრასა) რეაბილიტაცია P.2.783</t>
  </si>
  <si>
    <t>(45) სოფ. შრომა კავკასიონის ქუჩის 
რეაბილიტაცია. P.2.886</t>
  </si>
  <si>
    <t>(46) სოფ. ჩალაუბანში მრიცხველების გამოტანა 170 ც. ვოდების და მრიცხველების გამოატანა ეზოებიდან, 250ც. P.2.875</t>
  </si>
  <si>
    <t>(47) სოფ. ჩალაუბანში მრიცხველების გამოტანა 170 ც. ვოდების და მრიცხველების გამოატანა ეზოებიდან, 250ც. P.2.875</t>
  </si>
  <si>
    <t>(48) სოფ. ჯუგაანი ყაფლანას უბნის რეაბილიტაცია P.2.779</t>
  </si>
  <si>
    <t>(49) სოფ. ჯუგაანი ყაფლანას უბნის რეაბილიტაცია P.2.779</t>
  </si>
  <si>
    <t>(50) ქ მარნეული მე-15 საუბნოზე საშუალო წნევის გაზსადენის რეაბილიტაცია P.2.911</t>
  </si>
  <si>
    <t>(51) ქ მარნეული მე-15 საუბნოზე საშუალო წნევის გაზსადენის რეაბილიტაცია P.2.911</t>
  </si>
  <si>
    <t>(52) ქ. ახმეტა რუსთაველის ქუჩის გაზსადენის რეაბილიტაცია P.2.94</t>
  </si>
  <si>
    <t>(53) ქ. გარდაბანი, გამარჯვების ქუჩაზე არსებული გაზგამანაწილებელი ქსელის რეაბილიტაცია P.2.999</t>
  </si>
  <si>
    <t>(54) ქ. გარდაბანი, გამარჯვების ქუჩაზე არსებული გაზგამანაწილებელი ქსელის რეაბილიტაცია P.2.999</t>
  </si>
  <si>
    <t>(55) ქ. დედოფლისწყარო-ფალიაშვილის, სარაჯიშვილის და სკოლის ქუჩები გაზსადენის რეაბილიტაცია (ასფალტი) P.2.47</t>
  </si>
  <si>
    <t>(56) ქ. დედოფლისწყარო-ფალიაშვილის, სარაჯიშვილის და სკოლის ქუჩები გაზსადენის რეაბილიტაცია (ასფალტი) P.2.47</t>
  </si>
  <si>
    <t>(57) ქ. მარნეულში 8270 მეტრის სიგრძის საშუალო წნევის D=200 საშუასლო წნევის საჰაერო გაზსადენის რეაბილიტაცია. P.2.904</t>
  </si>
  <si>
    <t>(58) ქ. მარნეულში 8270 მეტრის სიგრძის საშუალო წნევის D=200 საშუასლო წნევის საჰაერო გაზსადენის რეაბილიტაცია. P.2.904</t>
  </si>
  <si>
    <t>(59) ქ. ყვარელი N 999გრს-იდან ბურსის ხიდამდე რეაბილიტაცია საშუალო წნევის გაზსადენის რეაბილიტაცია P.2.96</t>
  </si>
  <si>
    <t>(60) ქ. ყვარელი N 999გრს-იდან ბურსის ხიდამდე რეაბილიტაცია საშუალო წნევის გაზსადენის რეაბილიტაცია P.2.96</t>
  </si>
  <si>
    <t>(61) ქ. ყვარელი ზურაბ ჭავჭავაძის 57.06.53.330-დან 57.06.53.302-მდე მირიან მეფის ქუჩის მიწისქვეშა დ. წნევის გაზსადენის რეაბილიტაცია 57.06.53.022-დან 57.06.53.237-მდე ფარნავაზის ქუჩის მიწისქვეშა დაბალი წნევის გაზსადენის რეაბილიტაცია 57.06.53.249-დან 57.06.53.182-მდე P.2.115</t>
  </si>
  <si>
    <t>(62) ქ. ყვარელი ზურაბ ჭავჭავაძის 57.06.53.330-დან 57.06.53.302-მდე მირიან მეფის ქუჩის მიწისქვეშა დ. წნევის გაზსადენის რეაბილიტაცია 57.06.53.022-დან 57.06.53.237-მდე ფარნავაზის ქუჩის მიწისქვეშა დაბალი წნევის გაზსადენის რეაბილიტაცია 57.06.53.249-დან 57.06.53.182-მდე P.2.115</t>
  </si>
  <si>
    <t>(63) ქ. ყვარელი ი ჭავჭავაძის ქ (ყაზარმის ტერიტორია) საკადასტრო კოდით 57. 06.52.090-დან 57.06.52.413-მდე მიწისქვეშა საშუალო წნევის გაზსადენის რეაბილიტაცია . P.2.92</t>
  </si>
  <si>
    <t>(64) ქ. ყვარელი ი ჭავჭავაძის ქ (ყაზარმის ტერიტორია) საკადასტრო კოდით 57. 06.52.090-დან 57.06.52.413-მდე მიწისქვეშა საშუალო წნევის გაზსადენის რეაბილიტაცია . P.2.92</t>
  </si>
  <si>
    <t>(65) ქ. წალკის მკვებავი D-150 გაზსადენის რეაბილიტაცია P.2.828</t>
  </si>
  <si>
    <t>(66) ქესალო 1 ამორტიზებული გაზსადენის შეცვლა უსაფრთხო და უწყვეტი მიწოდებისთვის P.2.1065</t>
  </si>
  <si>
    <t>(67) ქესალო 1 ამორტიზებული გაზსადენის შეცვლა უსაფრთხო და უწყვეტი მიწოდებისთვის P.2.1065</t>
  </si>
  <si>
    <t>(68) ქესალო 2 ამორტიზებული გაზსადენის შეცვლა უსაფრთხო და უწყვეტი მიწოდებისთვის P.2.1066</t>
  </si>
  <si>
    <t>(69) ქესალო 2 ამორტიზებული გაზსადენის შეცვლა უსაფრთხო და უწყვეტი მიწოდებისთვის P.2.1066</t>
  </si>
  <si>
    <t>(69) სუხიშვილია და მეჯვრისხევის ქუჩებზე გაზსადენის რეაბილიტაცია. P.3.196</t>
  </si>
  <si>
    <t>BCG-230105-1/0(69)</t>
  </si>
  <si>
    <t>(1) ბრეთის გრს-ის სოფლების საჰაერო გაზსადენის რეაბილიტაცია P.3.151</t>
  </si>
  <si>
    <t>(2) ბრეთის გრს-ის სოფლების საჰაერო გაზსადენის რეაბილიტაცია P.3.151</t>
  </si>
  <si>
    <t>(3) სოფ. ბულაჩაური -აბანოსხევის მიმართულების საშუალო წნევის გაზსადენის რეაბილიტაცია P.3.71</t>
  </si>
  <si>
    <t>(4) სოფ. ბულაჩაური -აბანოსხევის მიმართულების საშუალო წნევის გაზსადენის რეაბილიტაცია P.3.71</t>
  </si>
  <si>
    <t>(5) დ. გუდაურის საშუალო წნევის გაზსადენის რეაბილიტაცია P.3.66</t>
  </si>
  <si>
    <t>(6) დ. გუდაურის საშუალო წნევის გაზსადენის რეაბილიტაცია P.3.66</t>
  </si>
  <si>
    <t>(7) ქ. ქარელში N6 საუბნო კვანძზე არსებული გაზსადენის რეაბილიტაცია P.3.504</t>
  </si>
  <si>
    <t>(8) ქ. ქარელში N6 საუბნო კვანძზე არსებული გაზსადენის რეაბილიტაცია P.3.504</t>
  </si>
  <si>
    <t>(9) ნატახტრის გერეესიდან გამომავალ დ=200მმ მიწისქვეშა გაზსადენი წეროვნის ტოლვილების კოტეჯების მიმართულებით გაზსადენის რეაბილიტაცია P.3.656</t>
  </si>
  <si>
    <t>(10) ნატახტრის გერეესიდან გამომავალ დ=200მმ მიწისქვეშა გაზსადენი წეროვნის ტოლვილების კოტეჯების მიმართულებით გაზსადენის რეაბილიტაცია P.3.656</t>
  </si>
  <si>
    <t>(11) გუდაურის (სეთურები, ჯაღმიანი, ზაქათკარი, გუდაური) დაბალი წნევის გაზსადენის რეაბილიტაცია P.3.67</t>
  </si>
  <si>
    <t>(12) გუდაურის (სეთურები, ჯაღმიანი, ზაქათკარი, გუდაური) დაბალი წნევის გაზსადენის რეაბილიტაცია P.3.67</t>
  </si>
  <si>
    <t>(13) სოფელ კეხიჯვრის რეაბილიტაცია P.3.142</t>
  </si>
  <si>
    <t>(14) სოფელ კეხიჯვრის რეაბილიტაცია P.3.142</t>
  </si>
  <si>
    <t>(15) სოფ. საგურამო კერძო საკუთრებაში გამავალი საჰაერო გაზსადენების რეაბილიტაცია P.3.157</t>
  </si>
  <si>
    <t>(16) ვაყა-გომის მიწისზედა საშ. წნევის გაზსადენის რეაბილიტაცია P.3.12</t>
  </si>
  <si>
    <t>(17) ვაყა-გომის მიწისზედა საშ. წნევის გაზსადენის რეაბილიტაცია P.3.12</t>
  </si>
  <si>
    <t>(18) მდინარე მტკვარზე დაკიდებული გაზსადენისთვის ბურჯების მოწყობა P.3.57</t>
  </si>
  <si>
    <t>(19) მდინარე მტკვარზე დაკიდებული გაზსადენისთვის ბურჯების მოწყობა P.3.57</t>
  </si>
  <si>
    <t>(20) სოფ. კეხიჯვარი გაზსადენის და საყრდენების რეაბილიტაცია P.3.9</t>
  </si>
  <si>
    <t>(21) სოფ. კეხიჯვარი გაზსადენის და საყრდენების რეაბილიტაცია P.3.9</t>
  </si>
  <si>
    <t>(22) სოფ. ცხრამუხაში №35 კვანძზე არსებული დაბალი წნევის ძველი მიწისზედა ფოლადის გაზსადენის რეაბილიტაცია. P.3.511</t>
  </si>
  <si>
    <t>(23) სოფ. ცხრამუხაში №35 კვანძზე არსებული დაბალი წნევის ძველი მიწისზედა ფოლადის გაზსადენის რეაბილიტაცია. P.3.511</t>
  </si>
  <si>
    <t>(24) სოფ. ნატახტარი არსებული დაბალი წნევის დ=112 გაზსადენის რეაბილიტაცია P.3.165</t>
  </si>
  <si>
    <t>(25) სოფ. ნატახტარი არსებული დაბალი წნევის დ=112 გაზსადენის რეაბილიტაცია P.3.165</t>
  </si>
  <si>
    <t>(26) მრიცხველების შეცვლა-გამოტანა P.3.25</t>
  </si>
  <si>
    <t>(27) მრიცხველების შეცვლა-გამოტანა P.3.25</t>
  </si>
  <si>
    <t>(28) წეროვნის ინსტიტუტის დასახლება არსებული, ამორტიზირებული გაზსადენის კერძო საკუთრებიდან გამოტანა P.3.161</t>
  </si>
  <si>
    <t>(29) წეროვნის ინსტიტუტის დასახლება არსებული, ამორტიზირებული გაზსადენის კერძო საკუთრებიდან გამოტანა P.3.161</t>
  </si>
  <si>
    <t>(32) სოფ. საგურამო ცენტრალური საშუალო წნევის ამორტიზირებული დ=300 ფოლადის გაზსადენის რეაბილიტაცია P.3.162</t>
  </si>
  <si>
    <t>(33) სოფ. საგურამო ცენტრალური საშუალო წნევის ამორტიზირებული დ=300 ფოლადის გაზსადენის რეაბილიტაცია P.3.162</t>
  </si>
  <si>
    <t>(34) ქ. მცხეთა სამხედროს, გმირის და მუხრანის ქუჩებზე არსებული საშუალო წნევის გაზსადენის რეაბილიტაცია - პირველი ეტაპი P.3.60</t>
  </si>
  <si>
    <t>(35) ქ. მცხეთა სამხედროს, გმირის და მუხრანის ქუჩებზე არსებული საშუალო წნევის გაზსადენის რეაბილიტაცია - პირველი ეტაპი P.3.60</t>
  </si>
  <si>
    <t>(36) დ. ჟინვალი საშუალო წნევის D 80 მმ გაზსადენის რეაბილიტაცია P.3.608</t>
  </si>
  <si>
    <t>(37) დ. ჟინვალი საშუალო წნევის D 80 მმ გაზსადენის რეაბილიტაცია P.3.608</t>
  </si>
  <si>
    <t>(38) საგურამოს ქუჩა ავტობანის მიმდებარედ დ=500 მმ მილი მიწისქვეშა გაზსადენი არის ამორტიზირებული და ესაჭიროება რეაბილიტაცია L=300 მ P.3.657</t>
  </si>
  <si>
    <t>(39) საგურამოს ქუჩა ავტობანის მიმდებარედ დ=500 მმ მილი მიწისქვეშა გაზსადენი არის ამორტიზირებული და ესაჭიროება რეაბილიტაცია L=300 მ P.3.657</t>
  </si>
  <si>
    <t>(40) მცხეთა სოფ ნავდაარანთკარი დაბალი წნევის გადაყვანა საშუალო წნევაზე P.3.663</t>
  </si>
  <si>
    <t>(41) მცხეთა სოფ ნავდაარანთკარი დაბალი წნევის გადაყვანა საშუალო წნევაზე P.3.663</t>
  </si>
  <si>
    <t>(42) სოფელ რუისში ერთი უბნის (230 აბონენტის) დაბალი წნევიდან საშუალო წნევაზე გადაყვანა P.3.143</t>
  </si>
  <si>
    <t>(43) სოფელ რუისში ერთი უბნის (230 აბონენტის) დაბალი წნევიდან საშუალო წნევაზე გადაყვანა P.3.143</t>
  </si>
  <si>
    <t>(44) მისაქციელი ლამის უბანის აბონენტების გადაყვანა საშუალო წნევაზე P.3.668</t>
  </si>
  <si>
    <t>(45) მისაქციელი ლამის უბანის აბონენტების გადაყვანა საშუალო წნევაზე P.3.668</t>
  </si>
  <si>
    <t>(46) აღმაშენებლის ქუჩა მტკვრის სანაპიროზე არსებული გაზსადენის რეაბილიტაცია P.3.667</t>
  </si>
  <si>
    <t>(47) აღმაშენებლის ქუჩა მტკვრის სანაპიროზე არსებული გაზსადენის რეაბილიტაცია P.3.667</t>
  </si>
  <si>
    <t>(48) სოფ. ვაზიანში შესასვლელიდან 400 მ -ს მანძილზე დაბალი წნევა გადაყვანა საშუალო წნევაზე P.3.660</t>
  </si>
  <si>
    <t>(49) სოფ. ვაზიანში შესასვლელიდან 400 მ -ს მანძილზე დაბალი წნევა გადაყვანა საშუალო წნევაზე P.3.660</t>
  </si>
  <si>
    <t>(50) სოფ. ციხისძირში მთიულების დასახლებაში წნევის დაბალიდან საშუალოზე გადაყვანა P.3.694</t>
  </si>
  <si>
    <t>(51) სოფ. ციხისძირში მთიულების დასახლებაში წნევის დაბალიდან საშუალოზე გადაყვანა P.3.694</t>
  </si>
  <si>
    <t>(52) ქ. მცხეთაში - საგურამოს, საგურამოს ილიას უბანის,ბიწმენდის, გალავანის, წინამძღვრიანთკარის, ჯიღაურასა და წეროვნის ინსტიტუტის დასახლებაში მრიცხველების შეცვლა-გამოტანა. (II ეტაპი) P.3.78</t>
  </si>
  <si>
    <t>(53) ქ. მცხეთაში - საგურამოს, საგურამოს ილიას უბანის,ბიწმენდის, გალავანის, წინამძღვრიანთკარის, ჯიღაურასა და წეროვნის ინსტიტუტის დასახლებაში მრიცხველების შეცვლა-გამოტანა. (II ეტაპი) P.3.78</t>
  </si>
  <si>
    <t>(54) მრიცხველების გამოტანა სოფ გერგეტი P.3.636</t>
  </si>
  <si>
    <t>(55) მრიცხველების გამოტანა სოფ გერგეტი P.3.636</t>
  </si>
  <si>
    <t>(56) ქ. ხაშურში, სარაჯიშვილის ქუჩაზე მრიცხველების გამოტანა P.3.17</t>
  </si>
  <si>
    <t>(57) ქ. ხაშურში, სარაჯიშვილის ქუჩაზე მრიცხველების გამოტანა P.3.17</t>
  </si>
  <si>
    <t>(58) მისაქციელი ჭაშნაგირის უკან არსებული დ.წნევის გაზსადენის გადაყვანა საშუალო წნევაზე P.3.669</t>
  </si>
  <si>
    <t>(59) მისაქციელი ჭაშნაგირის უკან არსებული დ.წნევის გაზსადენის გადაყვანა საშუალო წნევაზე P.3.669</t>
  </si>
  <si>
    <t>(60) ქ. მცხეთა სამხედროს ქუჩა. საშუალო წნევის გაზსადენის რეაბილიტაცია. P.3.55</t>
  </si>
  <si>
    <t>(61) ქ. მცხეთა სამხედროს ქუჩა. საშუალო წნევის გაზსადენის რეაბილიტაცია. P.3.55</t>
  </si>
  <si>
    <t>(62) სოფ. გერგეთის დაბალი წნევის გაზსადენის რეაბილიტაცია P.3.635</t>
  </si>
  <si>
    <t>(63) სოფ. გერგეთის დაბალი წნევის გაზსადენის რეაბილიტაცია P.3.635</t>
  </si>
  <si>
    <t>(64) ქალაქი მცხეთა აღმაშენებლის ქუჩა #101, გაზსადენის რეაბილიტაცია P.3.62</t>
  </si>
  <si>
    <t>(65) ქალაქი მცხეთა აღმაშენებლის ქუჩა #101, გაზსადენის რეაბილიტაცია P.3.62</t>
  </si>
  <si>
    <t>(66) მრიცხველების გამოტანა სოფ. ჩანადირებში P.3.595</t>
  </si>
  <si>
    <t>(67) მრიცხველების გამოტანა სოფ. ჩანადირებში P.3.595</t>
  </si>
  <si>
    <t>(68) მრიცხველების გამოტანა სოფ. ბაზალეთი P.3.596</t>
  </si>
  <si>
    <t>(69) მრიცხველების გამოტანა სოფ. ბაზალეთი P.3.596</t>
  </si>
  <si>
    <t>(70) სოფელ ლისი-მუხათწყარო-წოდორეთში არსებული შიდა დაქსელვის გაზსადენის რეაბილიტაცია. P.3.696</t>
  </si>
  <si>
    <t>(71) დაბა სურამში №15 კვანძზე შარტავას ქ. მიწის ქვეშა გაზსადენის რეაბილიტაცია P.3.15</t>
  </si>
  <si>
    <t>(72) ქ. ხაშური, მცხეთის ქუჩის მონაკვეთის რეაბილიტაცია P.3.14</t>
  </si>
  <si>
    <t>(73) დაბა კოჯორში არსებული დაბალი წნევის დ=50 გაზსადენის რეაბილიტაცია ნაწილი განთავსებულია მიწაში. P.3.701</t>
  </si>
  <si>
    <t>P.3.151</t>
  </si>
  <si>
    <t>P.3.71</t>
  </si>
  <si>
    <t>P.3.66</t>
  </si>
  <si>
    <t>P.3.504</t>
  </si>
  <si>
    <t>P.3.656</t>
  </si>
  <si>
    <t>P.3.67</t>
  </si>
  <si>
    <t>P.3.142</t>
  </si>
  <si>
    <t>P.3.157</t>
  </si>
  <si>
    <t>P.3.12</t>
  </si>
  <si>
    <t>P.3.57</t>
  </si>
  <si>
    <t>P.3.9</t>
  </si>
  <si>
    <t>P.3.511</t>
  </si>
  <si>
    <t>P.3.165</t>
  </si>
  <si>
    <t>P.3.25</t>
  </si>
  <si>
    <t>P.3.161</t>
  </si>
  <si>
    <t>P.3.702</t>
  </si>
  <si>
    <t>P.3.162</t>
  </si>
  <si>
    <t>P.3.60</t>
  </si>
  <si>
    <t>P.3.608</t>
  </si>
  <si>
    <t>P.3.657</t>
  </si>
  <si>
    <t>P.3.663</t>
  </si>
  <si>
    <t>P.3.143</t>
  </si>
  <si>
    <t>P.3.668</t>
  </si>
  <si>
    <t>P.3.667</t>
  </si>
  <si>
    <t>P.3.660</t>
  </si>
  <si>
    <t>P.3.694</t>
  </si>
  <si>
    <t>P.3.78</t>
  </si>
  <si>
    <t>P.3.636</t>
  </si>
  <si>
    <t>P.3.17</t>
  </si>
  <si>
    <t>P.3.669</t>
  </si>
  <si>
    <t>P.3.55</t>
  </si>
  <si>
    <t>P.3.635</t>
  </si>
  <si>
    <t>P.3.62</t>
  </si>
  <si>
    <t>P.3.595</t>
  </si>
  <si>
    <t>P.3.596</t>
  </si>
  <si>
    <t>P.3.696</t>
  </si>
  <si>
    <t>P.3.15</t>
  </si>
  <si>
    <t>P.3.14</t>
  </si>
  <si>
    <t>P.3.701</t>
  </si>
  <si>
    <t>BSG-230105-1/0(1)</t>
  </si>
  <si>
    <t>BSG-230105-1/0(2)</t>
  </si>
  <si>
    <t>BSG-230105-1/0(3)</t>
  </si>
  <si>
    <t>BSG-230105-1/0(4)</t>
  </si>
  <si>
    <t>BSG-230105-1/0(5)</t>
  </si>
  <si>
    <t>BSG-230105-1/0(6)</t>
  </si>
  <si>
    <t>BSG-230105-1/0(7)</t>
  </si>
  <si>
    <t>BSG-230105-1/0(8)</t>
  </si>
  <si>
    <t>BSG-230105-1/0(9)</t>
  </si>
  <si>
    <t>BSG-230105-1/0(10)</t>
  </si>
  <si>
    <t>BSG-230105-1/0(11)</t>
  </si>
  <si>
    <t>BSG-230105-1/0(12)</t>
  </si>
  <si>
    <t>BSG-230105-1/0(13)</t>
  </si>
  <si>
    <t>BSG-230105-1/0(14)</t>
  </si>
  <si>
    <t>BSG-230105-1/0(15)</t>
  </si>
  <si>
    <t>BSG-230105-1/0(16)</t>
  </si>
  <si>
    <t>BSG-230105-1/0(17)</t>
  </si>
  <si>
    <t>BSG-230105-1/0(18)</t>
  </si>
  <si>
    <t>BSG-230105-1/0(19)</t>
  </si>
  <si>
    <t>BSG-230105-1/0(20)</t>
  </si>
  <si>
    <t>BSG-230105-1/0(21)</t>
  </si>
  <si>
    <t>BSG-230105-1/0(22)</t>
  </si>
  <si>
    <t>BSG-230105-1/0(23)</t>
  </si>
  <si>
    <t>BSG-230105-1/0(24)</t>
  </si>
  <si>
    <t>BSG-230105-1/0(25)</t>
  </si>
  <si>
    <t>BSG-230105-1/0(26)</t>
  </si>
  <si>
    <t>BSG-230105-1/0(27)</t>
  </si>
  <si>
    <t>BSG-230105-1/0(28)</t>
  </si>
  <si>
    <t>BSG-230105-1/0(29)</t>
  </si>
  <si>
    <t>BSG-230105-1/0(30)</t>
  </si>
  <si>
    <t>BSG-230105-1/0(31)</t>
  </si>
  <si>
    <t>BSG-230105-1/0(32)</t>
  </si>
  <si>
    <t>BSG-230105-1/0(33)</t>
  </si>
  <si>
    <t>BSG-230105-1/0(34)</t>
  </si>
  <si>
    <t>BSG-230105-1/0(35)</t>
  </si>
  <si>
    <t>BSG-230105-1/0(36)</t>
  </si>
  <si>
    <t>BSG-230105-1/0(37)</t>
  </si>
  <si>
    <t>BSG-230105-1/0(38)</t>
  </si>
  <si>
    <t>BSG-230105-1/0(39)</t>
  </si>
  <si>
    <t>BSG-230105-1/0(40)</t>
  </si>
  <si>
    <t>BSG-230105-1/0(41)</t>
  </si>
  <si>
    <t>BSG-230105-1/0(42)</t>
  </si>
  <si>
    <t>BSG-230105-1/0(43)</t>
  </si>
  <si>
    <t>BSG-230105-1/0(44)</t>
  </si>
  <si>
    <t>BSG-230105-1/0(45)</t>
  </si>
  <si>
    <t>BSG-230105-1/0(46)</t>
  </si>
  <si>
    <t>BSG-230105-1/0(47)</t>
  </si>
  <si>
    <t>BSG-230105-1/0(48)</t>
  </si>
  <si>
    <t>BSG-230105-1/0(49)</t>
  </si>
  <si>
    <t>BSG-230105-1/0(50)</t>
  </si>
  <si>
    <t>BSG-230105-1/0(51)</t>
  </si>
  <si>
    <t>BSG-230105-1/0(52)</t>
  </si>
  <si>
    <t>BSG-230105-1/0(53)</t>
  </si>
  <si>
    <t>BSG-230105-1/0(54)</t>
  </si>
  <si>
    <t>BSG-230105-1/0(55)</t>
  </si>
  <si>
    <t>BSG-230105-1/0(56)</t>
  </si>
  <si>
    <t>BSG-230105-1/0(57)</t>
  </si>
  <si>
    <t>BSG-230105-1/0(58)</t>
  </si>
  <si>
    <t>BSG-230105-1/0(59)</t>
  </si>
  <si>
    <t>BSG-230105-1/0(60)</t>
  </si>
  <si>
    <t>BSG-230105-1/0(61)</t>
  </si>
  <si>
    <t>BSG-230105-1/0(62)</t>
  </si>
  <si>
    <t>BSG-230105-1/0(63)</t>
  </si>
  <si>
    <t>BSG-230105-1/0(64)</t>
  </si>
  <si>
    <t>BSG-230105-1/0(65)</t>
  </si>
  <si>
    <t>BSG-230105-1/0(66)</t>
  </si>
  <si>
    <t>BSG-230105-1/0(67)</t>
  </si>
  <si>
    <t>BSG-230105-1/0(68)</t>
  </si>
  <si>
    <t>BSG-230105-1/0(69)</t>
  </si>
  <si>
    <t>BSG-230105-1/0(70)</t>
  </si>
  <si>
    <t>BSG-230105-1/0(71)</t>
  </si>
  <si>
    <t>BSG-230105-1/0(72)</t>
  </si>
  <si>
    <t>BSG-230105-1/0(73)</t>
  </si>
  <si>
    <t>(30) კოჯორში მრიცხველების გამოტანა ქსელთან ერთად P.3.702</t>
  </si>
  <si>
    <t>(31) კოჯორში მრიცხველების გამოტანა ქსელთან ერთად P.3.702</t>
  </si>
  <si>
    <t>BSP-220405-1/2(1.1.1)</t>
  </si>
  <si>
    <t>BSP-220405-1/2(1.1.2)</t>
  </si>
  <si>
    <t>BSP-220405-1/2(1.1.3)</t>
  </si>
  <si>
    <t>BSP-220405-1/2(1.1.4)</t>
  </si>
  <si>
    <t>BSP-220405-1/2(1.1.5)</t>
  </si>
  <si>
    <t>BSP-220405-1/2(1.1.6)</t>
  </si>
  <si>
    <t>BSP-220405-1/2(1.1.7)</t>
  </si>
  <si>
    <t>BSP-220405-1/2(1.1.8)</t>
  </si>
  <si>
    <t>BSP-220405-1/2(1.1.9)</t>
  </si>
  <si>
    <t>BSP-220405-1/2(1.1.10)</t>
  </si>
  <si>
    <t>BSP-220405-1/2(1.1.11)</t>
  </si>
  <si>
    <t>BCP-220425-1/2(1.1.1)</t>
  </si>
  <si>
    <t>BCP-220425-1/2(1.1.2)</t>
  </si>
  <si>
    <t>BCP-220425-1/2(1.1.3)</t>
  </si>
  <si>
    <t>BCP-220425-1/2(1.1.4)</t>
  </si>
  <si>
    <t>BCP-220425-1/2(1.1.5)</t>
  </si>
  <si>
    <t>BCP-220425-1/2(1.1.6)</t>
  </si>
  <si>
    <t>BCP-220425-1/2(1.1.7)</t>
  </si>
  <si>
    <t>BCP-220425-1/2(1.1.8)</t>
  </si>
  <si>
    <t>BCP-220425-1/2(1.1.9)</t>
  </si>
  <si>
    <t>BCP-220425-1/2(1.1.10)</t>
  </si>
  <si>
    <t>BCP-220425-1/2(1.1.11)</t>
  </si>
  <si>
    <t>BCP-220425-1/2(1.1.12)</t>
  </si>
  <si>
    <t>BCP-220425-1/2(1.1.13)</t>
  </si>
  <si>
    <t>BCP-220425-1/2(1.1.14)</t>
  </si>
  <si>
    <t>BCP-220425-1/2(1.1.15)</t>
  </si>
  <si>
    <t>BCP-220425-1/2(1.1.16)</t>
  </si>
  <si>
    <t>BCP-220425-1/2(1.1.17)</t>
  </si>
  <si>
    <t>BCP-220425-1/2(1.1.18)</t>
  </si>
  <si>
    <t>BCP-220425-1/2(1.1.19)</t>
  </si>
  <si>
    <t>BCP-220425-1/2(1.1.20)</t>
  </si>
  <si>
    <t>BCP-220425-1/2(1.1.21)</t>
  </si>
  <si>
    <t>BCP-220425-1/2(1.1.22)</t>
  </si>
  <si>
    <t>BCP-220425-1/2(1.1.23)</t>
  </si>
  <si>
    <t>BCP-220425-1/2(1.1.24)</t>
  </si>
  <si>
    <t>BCP-220425-1/2(1.1.25)</t>
  </si>
  <si>
    <t>BCP-220425-1/2(1.1.26)</t>
  </si>
  <si>
    <t>BCP-220425-1/2(1.1.27)</t>
  </si>
  <si>
    <t>BCP-220425-1/2(1.1.28)</t>
  </si>
  <si>
    <t>BCP-220425-1/2(1.1.29)</t>
  </si>
  <si>
    <t>BCP-220328-2/2(1.2.1)</t>
  </si>
  <si>
    <t>BCP-220328-2/2(1.2.2)(1.2.3)</t>
  </si>
  <si>
    <t>BCP-220328-1/2(1.2.1)</t>
  </si>
  <si>
    <t>BCP-220328-1/2(1.2.2)</t>
  </si>
  <si>
    <t>BCP-220328-1/2(1.2.3)</t>
  </si>
  <si>
    <t>BCP-220328-1/2(1.2.5)</t>
  </si>
  <si>
    <t>BCP-220328-1/2(1.2.6)</t>
  </si>
  <si>
    <t>BCP-220321-1/2(1.1.1)</t>
  </si>
  <si>
    <t>BCP-220321-1/2(1.1.2)</t>
  </si>
  <si>
    <t>BCP-220321-1/2(1.1.3)</t>
  </si>
  <si>
    <t>BCP-220321-1/2(1.1.4)</t>
  </si>
  <si>
    <t>BCP-220321-1/2(1.1.5)</t>
  </si>
  <si>
    <t>BCP-220321-1/2(1.1.6)</t>
  </si>
  <si>
    <t>BCP-220321-1/2(1.1.7)</t>
  </si>
  <si>
    <t>BCP-220321-1/2(1.1.8)</t>
  </si>
  <si>
    <t>BCP-220321-1/2(1.1.9)</t>
  </si>
  <si>
    <t>BCP-220321-1/2(1.1.10)</t>
  </si>
  <si>
    <t>BCP-220321-1/2(1.1.11)</t>
  </si>
  <si>
    <t>BCP-220321-1/2(1.1.12)</t>
  </si>
  <si>
    <t>BCP-220321-1/2(1.1.13)</t>
  </si>
  <si>
    <t>BCP-220321-1/2(1.1.14)</t>
  </si>
  <si>
    <t>BCP-220321-1/2(1.1.15)</t>
  </si>
  <si>
    <t>BCP-220321-1/2(1.1.16)</t>
  </si>
  <si>
    <t>BCP-220321-1/2(1.1.17)</t>
  </si>
  <si>
    <t>BCP-220321-1/2(1.1.18)</t>
  </si>
  <si>
    <t>BCP-220426-1/2(1.1.1)</t>
  </si>
  <si>
    <t>BCP-220426-1/2(1.1.2)</t>
  </si>
  <si>
    <t>BCP-220426-1/2(1.1.3)</t>
  </si>
  <si>
    <t>BCP-220426-1/2(1.1.4)</t>
  </si>
  <si>
    <t>BCP-220426-1/2(1.1.5)</t>
  </si>
  <si>
    <t>BCP-220426-1/2(1.1.6)</t>
  </si>
  <si>
    <t>BCP-220426-1/2(1.1.7)</t>
  </si>
  <si>
    <t>BCP-220426-1/2(1.1.8)</t>
  </si>
  <si>
    <t>BCP-220426-1/2(1.1.9)</t>
  </si>
  <si>
    <t>BCP-220426-1/2(1.1.10)</t>
  </si>
  <si>
    <t>BCP-220426-1/2(1.1.11)</t>
  </si>
  <si>
    <t>BCP-220426-1/2(1.1.12)</t>
  </si>
  <si>
    <t>BSP-221110-2/2</t>
  </si>
  <si>
    <t>BSP-221122-1/2</t>
  </si>
  <si>
    <t>BSP-220429-1/2(1.1.9)</t>
  </si>
  <si>
    <t>BSP-220429-1/2(1.1.10)</t>
  </si>
  <si>
    <t>BSP-220429-1/2(1.1.11)</t>
  </si>
  <si>
    <t>BSP-220429-1/2(1.1.12)</t>
  </si>
  <si>
    <t>BSP-220429-1/2(1.1.13)</t>
  </si>
  <si>
    <t>BSP-220429-1/2(1.1.1)</t>
  </si>
  <si>
    <t>BSP-220429-1/2(1.1.2)</t>
  </si>
  <si>
    <t>BSP-220429-1/2(1.1.3)</t>
  </si>
  <si>
    <t>BSP-220429-1/2(1.1.4)</t>
  </si>
  <si>
    <t>BSP-220429-1/2(1.1.5)</t>
  </si>
  <si>
    <t>BSP-220429-1/2(1.1.6)</t>
  </si>
  <si>
    <t>BSP-220429-1/2(1.1.7)</t>
  </si>
  <si>
    <t>BSP-220429-1/2(1.1.8)</t>
  </si>
  <si>
    <t>ჩაპაევის ქუჩა №5 კორპუსი (პროექტი)</t>
  </si>
  <si>
    <t>პროექტი</t>
  </si>
  <si>
    <t>ვაჟა ფშაველას II გასასვლელი სახლი 4 (პროექტი)</t>
  </si>
  <si>
    <t>(14) На ул. 9 Дзма Херхеулидзе перевод газопровода с низького на ср. давление (P.2.766)</t>
  </si>
  <si>
    <t>(13) На ул. 9 Дзма Херхеулидзе перевод газопровода с низького на ср. давление (P.2.766)</t>
  </si>
  <si>
    <t>გრანელის ქუჩა №2 კორპუსი (პროექტი)</t>
  </si>
  <si>
    <t>მე-17-ე მკრ. 30 კორპუსი (პროექტი)</t>
  </si>
  <si>
    <t>მე-19-ე მკრ. 21 კორპუსი</t>
  </si>
  <si>
    <t>მეგობრობის ქუჩა №37-ში მდებარე კორპუსი</t>
  </si>
  <si>
    <t>გრანელის ქუჩა №2 კორპუსი</t>
  </si>
  <si>
    <t>კლდიაშვილის ქ №4 კორპუსი</t>
  </si>
  <si>
    <t>P.6.644</t>
  </si>
  <si>
    <t>P.6.642</t>
  </si>
  <si>
    <t>P.6.643</t>
  </si>
  <si>
    <t>BCG-230707-1/0(1)</t>
  </si>
  <si>
    <t>BCG-230707-1/0(2)</t>
  </si>
  <si>
    <t>BCG-230707-1/0(3)</t>
  </si>
  <si>
    <t>Row Labels</t>
  </si>
  <si>
    <t>Grand Total</t>
  </si>
  <si>
    <t>(1) მუხურა-ხოტევის მონაკვეთის მშენებლობა P.6.144(1)</t>
  </si>
  <si>
    <t>(2) ხოტევი - ამბროლაურის მონაკვეთის მშენებლობა (P.6.140)</t>
  </si>
  <si>
    <t>(1) სოფ. სულორი. გაზსადენის რეაბილიტაცია P.6.643</t>
  </si>
  <si>
    <t>(2) სოფ. სალომინაო. გაზსადენის რეაბილიტაცია P.6.642</t>
  </si>
  <si>
    <t>(3) სოფ. დიხაშხო. გაზსადენის რეაბილიტაცია P.6.644</t>
  </si>
  <si>
    <t>BCG-230630-1/0(1)</t>
  </si>
  <si>
    <t>(1) ქ. თერჯოლის ცენტრალური დასახლების, მასში შემავალ ტაბიძის,ნინოშვილის, ვაჟა ფშაველას, რობაქიძის, ოთხი ძმის, თამარ მეფის ქუჩების მცხოვრებ აბონენტთა გაზმომარაგების ქსელის რეაბილიტაცია (N 5 - N 6 საუბნოები და მათი მკვებავი საშუალო წნევის გაზსადენი) P.6.741</t>
  </si>
  <si>
    <t>BSG-230630-1/0(1)</t>
  </si>
  <si>
    <t>(1) ქ. ბათუმის პოლითილენის D=315 მმ მაღალი წნევის გაზსადენის რეაბილიტაცია P.5.11</t>
  </si>
  <si>
    <t>P.5.11</t>
  </si>
  <si>
    <t>(1.1.1.) სოფ. დიხაშხო. გაზსადენის რეაბილიტაცია P.6.644</t>
  </si>
  <si>
    <t>(1.1.2.) სოფ. ზენობანი. გაზსადენის რეაბილიტაცია P.6.647</t>
  </si>
  <si>
    <t>(1.1.3.) სოფ. ისრითი. გაზსადენის რეაბილიტაცია P.6.645</t>
  </si>
  <si>
    <t>CC-230201-1/0(1.1.1.)</t>
  </si>
  <si>
    <t>CC-230201-1/0(1.1.4.)</t>
  </si>
  <si>
    <t>CC-230201-1/0(1.1.3.)</t>
  </si>
  <si>
    <t>CC-230201-1/0(1.1.2.)</t>
  </si>
  <si>
    <t>(1.1.1.) ქ. ბათუმის პოლითილენის D=315 მმ მაღალი წნევის გაზსადენის რეაბილიტაცია P.5.11</t>
  </si>
  <si>
    <t>CC-230202-1/0(1.1.1.)</t>
  </si>
  <si>
    <t>CC-230202-1/0(1.1.2.)</t>
  </si>
  <si>
    <t>(1.1.4.) სოფ. სალხინო. გაზსადენის რეაბილიტაცია P.6.646</t>
  </si>
  <si>
    <t>(1.1.1.) სოფ. სალომინაო. გაზსადენის რეაბილიტაცია P.6.642</t>
  </si>
  <si>
    <t>(1.1.2.) სოფ. სულორი. გაზსადენის რეაბილიტაცია P.6.643</t>
  </si>
  <si>
    <t>XO</t>
  </si>
  <si>
    <t>BS-220411-1/2</t>
  </si>
  <si>
    <t>BC-220613-1/2</t>
  </si>
  <si>
    <t>BS-221208-1/1</t>
  </si>
  <si>
    <t>კორპუსი</t>
  </si>
  <si>
    <t>მე-8-ე მკრ. №10 კორპუსი</t>
  </si>
  <si>
    <t>მე-17-ე მკრ. №5 კორპუსი</t>
  </si>
  <si>
    <t>I შუალედური</t>
  </si>
  <si>
    <t>მე-17-ე მკრ. №30 კორპუსი</t>
  </si>
  <si>
    <t>შარტავას ქ. №13 კორპუსი</t>
  </si>
  <si>
    <t>(6) გამოტანილი მრიცხველების პოლიეთილენის მილების შეცვლა რკინის მილებით (P.2.619) (მე-17-ე მკრ. №5 კორპუსი)</t>
  </si>
  <si>
    <t>(6) გამოტანილი მრიცხველების პოლიეთილენის მილების შეცვლა რკინის მილებით (P.2.619) (მე-17-ე მკრ. №30 კორპუსი)</t>
  </si>
  <si>
    <t>(6) გამოტანილი მრიცხველების პოლიეთილენის მილების შეცვლა რკინის მილებით (P.2.619) (შარტავას ქ. №13 კორპუსი)</t>
  </si>
  <si>
    <t>(2) გამოტანილი მრიცხველების პოლიეთილენის მილების შეცვლა რკინის მილებით P.2.744 (თოდრიას ქ. №13 კორპუსი)</t>
  </si>
  <si>
    <t>(10) გამოტანილი მრიცხველების პოლიეთილენის მილების შეცვლა რკინის მილებით P.2.721 (მე-8-ე მკრ. №10 კორპუსი)</t>
  </si>
  <si>
    <t>(12) გამოტანილი მრიცხველების პოლიეთილენის მილების შეცვლა რკინის მილებით (P.2.648) (მე-19-ე მკრ. №20 კორპუსი)</t>
  </si>
  <si>
    <t>1.1.16. В муниципалитете Мцхета, в с. Церовани, с. Презети и с. Цилкани вынос сетей газопроводов и узлов учета с частных территорий. (P.3.58) (წეროვანი)</t>
  </si>
  <si>
    <t>1.1.16. В муниципалитете Мцхета, в с. Церовани, с. Презети и с. Цилкани вынос сетей газопроводов и узлов учета с частных территорий. (P.3.58) (წილკანი)</t>
  </si>
  <si>
    <t>Установка ГРС-а, обустройство территории с. Гвара (P.5.005)</t>
  </si>
  <si>
    <t>თბილისის ქ. №26 კორპუსი</t>
  </si>
  <si>
    <t>II შუალედური</t>
  </si>
  <si>
    <t>(8) გამოტანილი მრიცხველების პოლიეთილენის მილების შეცვლა რკინის მილებით (P.2.701) (ვაჟა ფშაველას II გასასვლელი სახლი 4)</t>
  </si>
  <si>
    <t>(8) გამოტანილი მრიცხველების პოლიეთილენის მილების შეცვლა რკინის მილებით (P.2.701) (თბილისის ქ. №26 კორპუსი)</t>
  </si>
  <si>
    <t>ფაქტორინგით</t>
  </si>
  <si>
    <t>(12) გამოტანილი მრიცხველების პოლიეთილენის მილების შეცვლა რკინის მილებით (P.2.648) მე-19-ე მკრ. 21 კორპუსი</t>
  </si>
  <si>
    <t>(2) გამოტანილი მრიცხველების პოლიეთილენის მილების შეცვლა რკინის მილებით P.2.744 (გრანელის ქუჩა №2 კორპუსი)</t>
  </si>
  <si>
    <t>(2) გამოტანილი მრიცხველების პოლიეთილენის მილების შეცვლა რკინის მილებით P.2.744 (კლდიაშვილის ქ №4 კორპუსი)</t>
  </si>
  <si>
    <t>(8) გამოტანილი მრიცხველების პოლიეთილენის მილების შეცვლა რკინის მილებით (P.2.701) (მეგობრობის ქ. №37 კორპ)</t>
  </si>
  <si>
    <t>პროექტი 1C-ში</t>
  </si>
  <si>
    <t>მშენებლობა 1C-ში</t>
  </si>
  <si>
    <t>წყალტუბოს სერვის-ცენტრის ოფისის რემონტი</t>
  </si>
  <si>
    <t>SGG-C-22-85</t>
  </si>
  <si>
    <t>N.6.9; N.6.26</t>
  </si>
  <si>
    <t>ფაქტორ. თანხა 2022</t>
  </si>
  <si>
    <t>ფაქტორ. ხარჯი 2022</t>
  </si>
  <si>
    <t>სხვაობა
2022</t>
  </si>
  <si>
    <t>ფაქტორ. თანხა 2023</t>
  </si>
  <si>
    <t>ფაქტორ. ხარჯი 2023</t>
  </si>
  <si>
    <t>სხვაობა
2023</t>
  </si>
  <si>
    <t>ეს აღარ კეთდება ამოსაღებია, რაც საჭირო იყო კეთდება P.3.192-ის ფარგლებში!</t>
  </si>
  <si>
    <t>(49) ქ. გორში მდინარე მეჯუდის პირიდან ცხინვალის ქუჩამდე მდებარე გაზსადენის რეაბილიტაცია. P.3.733</t>
  </si>
  <si>
    <t>(51) ქ. გორში ირაკლი აბრამიშვილის ქუჩაზე მდებარე გაზსადენის რეაბილიტაცია P.3.204</t>
  </si>
  <si>
    <t>შუალედური/საბოლოო</t>
  </si>
  <si>
    <t>მე-20-ე მკრ. №13 კორპ</t>
  </si>
  <si>
    <r>
      <t>მე-18-ე მკრ. 12</t>
    </r>
    <r>
      <rPr>
        <vertAlign val="superscript"/>
        <sz val="11"/>
        <color theme="1"/>
        <rFont val="Calibri"/>
        <family val="2"/>
        <scheme val="minor"/>
      </rPr>
      <t>ბ</t>
    </r>
    <r>
      <rPr>
        <sz val="11"/>
        <color theme="1"/>
        <rFont val="Calibri"/>
        <family val="2"/>
        <scheme val="minor"/>
      </rPr>
      <t xml:space="preserve"> კორპუსი</t>
    </r>
  </si>
  <si>
    <r>
      <t>მე-18-ე მკრ. 12</t>
    </r>
    <r>
      <rPr>
        <sz val="11"/>
        <color theme="1"/>
        <rFont val="Calibri"/>
        <family val="2"/>
        <scheme val="minor"/>
      </rPr>
      <t xml:space="preserve"> კორპუსი</t>
    </r>
  </si>
  <si>
    <t>1.1.8. Г. Хашури, вынос счетчиков на Улицах Цхвирашвили и Руставели. P.3.26</t>
  </si>
  <si>
    <t>Аспиндза</t>
  </si>
  <si>
    <t>(2) გამოტანილი მრიცხველების პოლიეთილენის მილების შეცვლა რკინის მილებით P.2.744 მესხიშვილის ქ. №4 კორპუსი</t>
  </si>
  <si>
    <t>(10) გამოტანილი მრიცხველების პოლიეთილენის მილების შეცვლა რკინის მილებით P.2.721 მე-20-ე მკრ. №13 კორპ</t>
  </si>
  <si>
    <t>(12) გამოტანილი მრიცხველების პოლიეთილენის მილების შეცვლა რკინის მილებით (P.2.648) მე-18-ე მკრ. 12ბ კორპუსი</t>
  </si>
  <si>
    <t>(12) გამოტანილი მრიცხველების პოლიეთილენის მილების შეცვლა რკინის მილებით (P.2.648) მე-18-ე მკრ. 12 კორპუსი</t>
  </si>
  <si>
    <t>(10) გამოტანილი მრიცხველების პოლიეთილენის მილების შეცვლა რკინის მილებით P.2.721 მე-8-ე მკრ. №10 კორპუსი</t>
  </si>
  <si>
    <t>(6) გამოტანილი მრიცხველების პოლიეთილენის მილების შეცვლა რკინის მილებით (P.2.619) მე-17-ე მკრ. №5 კორპუსი</t>
  </si>
  <si>
    <t>BSP-220502-2/3(1.1.2)</t>
  </si>
  <si>
    <t>BSP-220502-2/3(1.1.3)</t>
  </si>
  <si>
    <t>BSP-220502-2/3(1.1.4)</t>
  </si>
  <si>
    <t>BSP-220502-2/3(1.1.5)</t>
  </si>
  <si>
    <t>BSP-220502-2/3(1.1.1)</t>
  </si>
  <si>
    <t>ქ. ქობულეთში კერძო ტერიტორიებიდან ქსელის გამოტანის სამშენებლო-სარეაბილიტაციო სამუშაოები (I ეტაპი) P.5.16</t>
  </si>
  <si>
    <t>BSG-230306-1/0</t>
  </si>
  <si>
    <t>(1.1) დუშეთის მუნიციპალიტეტის სოფ. მილისწყაროს გაზიფიცირების საპროექტო სამუშაოები (P.3.014)</t>
  </si>
  <si>
    <t>(1.2) დუშეთის მუნიციპალიტეტის სოფ. მილისწყაროს გაზიფიცირების სამშენებლო სამუშაოები (P.3.014)</t>
  </si>
  <si>
    <t>BCG-230215-1/0(1.1)</t>
  </si>
  <si>
    <t>BCG-230215-1/0(1.2)</t>
  </si>
  <si>
    <t>P.3.014</t>
  </si>
  <si>
    <t>(P.6.896)</t>
  </si>
  <si>
    <t>(1.2) წყალტუბოს სოფ. გეგუთში ტაბიძის ქუჩაზე (მეურნეობის დასახლება) გაზსადენის მშენებლობა (P.6.896)</t>
  </si>
  <si>
    <t>BCG-230801-1/0(1.1)</t>
  </si>
  <si>
    <t>BCG-230801-1/0(1.2)</t>
  </si>
  <si>
    <t>(1.1) წყალტუბოს სოფ. გეგუთში ტაბიძის ქუჩაზე (მეურნეობის დასახლება) გაზსადენის პროექტირება (P.6.896)</t>
  </si>
  <si>
    <t>X</t>
  </si>
  <si>
    <t>მე-20-ე მკრ. №14 კორპ</t>
  </si>
  <si>
    <t>მე-20-ე მკრ. №15 კორპ</t>
  </si>
  <si>
    <t>მე-20-ე მკრ. №15 კორპ (პროექტი)</t>
  </si>
  <si>
    <t>ნესტორ გიორგაძის №2</t>
  </si>
  <si>
    <t>(26) მრიცხველების შეცვლა-გამოტანა P.3.25 ("რუსთაველის 43")</t>
  </si>
  <si>
    <t>(1.1.2.) ლანჩხუთი, თამარ მეფის, ცინცაძის,  კოსტავას და ვადაჭკორიას ქუჩებზე გამავალი ქსელის რეაბილიტაცია P.4.511</t>
  </si>
  <si>
    <t>CS-230202-1/1(1.1.2.)</t>
  </si>
  <si>
    <t>BSG-230111-1/1(1)</t>
  </si>
  <si>
    <t>BSG-230111-1/1(2)</t>
  </si>
  <si>
    <t>BSG-230111-1/1(3)</t>
  </si>
  <si>
    <t>CS-230202-1/1(1.1.1.)</t>
  </si>
  <si>
    <t>ქ. ვანიდან სოფ. სულორამდე ფოლადის მილების დემონტაჟი</t>
  </si>
  <si>
    <t>25 ივლისი 2023 წელი</t>
  </si>
  <si>
    <t>Газификация с. Крцаниси (P.2.010)</t>
  </si>
  <si>
    <t>Поручение (Присоединили 35 абонентов) (P.2.010)</t>
  </si>
  <si>
    <t>с. Квемо Кеди, (Кедеби) реаб. Газопр. (A.2.003)</t>
  </si>
  <si>
    <t>(Авария!) (A.2.003)</t>
  </si>
  <si>
    <t>წყალტუბოს სერვის-ცენტრის ოფისის რემონტი (N.6.9)</t>
  </si>
  <si>
    <t>1.1.16. В муниципалитете Мцхета, в с. Церовани, с. Презети и с. Цилкани вынос сетей газопроводов и узлов учета с частных территорий. (P.3.58) (ფრეზეთი)</t>
  </si>
  <si>
    <t>(6) გამოტანილი მრიცხველების პოლიეთილენის მილების შეცვლა რკინის მილებით (P.2.619) (მე-16-ე მკრ. 9 კორპუსი)</t>
  </si>
  <si>
    <t>(6) გამოტანილი მრიცხველების პოლიეთილენის მილების შეცვლა რკინის მილებით (P.2.619) (მე-16-ე მკრ. №8 კორპუსი)</t>
  </si>
  <si>
    <t>(2) გამოტანილი მრიცხველების პოლიეთილენის მილების შეცვლა რკინის მილებით P.2.744 (მესხიშვილის I გასასვლელი #3 კორპ)</t>
  </si>
  <si>
    <t>(10) გამოტანილი მრიცხველების პოლიეთილენის მილების შეცვლა რკინის მილებით P.2.721 (მე-20-ე მკრ. №15 კორპ)</t>
  </si>
  <si>
    <t>(10) გამოტანილი მრიცხველების პოლიეთილენის მილების შეცვლა რკინის მილებით P.2.721 (მე-20-ე მკრ. №12 კორპ)</t>
  </si>
  <si>
    <t>მე-20-ე მკრ. №12 კორპ</t>
  </si>
  <si>
    <t>მე-20-ე მკრ. №11 კორპ</t>
  </si>
  <si>
    <t>(10) გამოტანილი მრიცხველების პოლიეთილენის მილების შეცვლა რკინის მილებით P.2.721 (მე-20-ე მკრ. №11 კორპ)</t>
  </si>
  <si>
    <t>(2) გამოტანილი მრიცხველების პოლიეთილენის მილების შეცვლა რკინის მილებით P.2.744 (თოდრიას ქ. №3 კორპუსი)</t>
  </si>
  <si>
    <r>
      <t>მე-7</t>
    </r>
    <r>
      <rPr>
        <vertAlign val="superscript"/>
        <sz val="11"/>
        <color theme="1"/>
        <rFont val="Calibri"/>
        <family val="2"/>
        <scheme val="minor"/>
      </rPr>
      <t>ა</t>
    </r>
    <r>
      <rPr>
        <sz val="11"/>
        <color theme="1"/>
        <rFont val="Calibri"/>
        <family val="2"/>
        <scheme val="minor"/>
      </rPr>
      <t>-ე მკრ. №1 კორპ</t>
    </r>
  </si>
  <si>
    <r>
      <t>(10) გამოტანილი მრიცხველების პოლიეთილენის მილების შეცვლა რკინის მილებით P.2.721 (მე-7</t>
    </r>
    <r>
      <rPr>
        <vertAlign val="superscript"/>
        <sz val="11"/>
        <color theme="1"/>
        <rFont val="Calibri"/>
        <family val="2"/>
        <scheme val="minor"/>
      </rPr>
      <t>ა</t>
    </r>
    <r>
      <rPr>
        <sz val="11"/>
        <color theme="1"/>
        <rFont val="Calibri"/>
        <family val="2"/>
        <scheme val="minor"/>
      </rPr>
      <t>-ე მკრ. №1 კორპ)</t>
    </r>
  </si>
  <si>
    <r>
      <t>(10) გამოტანილი მრიცხველების პოლიეთილენის მილების შეცვლა რკინის მილებით P.2.721 (მე-7</t>
    </r>
    <r>
      <rPr>
        <vertAlign val="superscript"/>
        <sz val="11"/>
        <color theme="1"/>
        <rFont val="Calibri"/>
        <family val="2"/>
        <scheme val="minor"/>
      </rPr>
      <t>ა</t>
    </r>
    <r>
      <rPr>
        <sz val="11"/>
        <color theme="1"/>
        <rFont val="Calibri"/>
        <family val="2"/>
        <scheme val="minor"/>
      </rPr>
      <t>-ე მკრ. №2 კორპ)</t>
    </r>
  </si>
  <si>
    <r>
      <t>მე-7</t>
    </r>
    <r>
      <rPr>
        <vertAlign val="superscript"/>
        <sz val="11"/>
        <color theme="1"/>
        <rFont val="Calibri"/>
        <family val="2"/>
        <scheme val="minor"/>
      </rPr>
      <t>ა</t>
    </r>
    <r>
      <rPr>
        <sz val="11"/>
        <color theme="1"/>
        <rFont val="Calibri"/>
        <family val="2"/>
        <scheme val="minor"/>
      </rPr>
      <t>-ე მკრ. №2 კორპ</t>
    </r>
  </si>
  <si>
    <t>მე-12-ე მკრ. №19 კორპ (პროექტი)</t>
  </si>
  <si>
    <t>(11) გამოტანილი მრიცხველების პოლიეთილენის მილების შეცვლა რკინის მილებით (P.2.648) მე-12-ე მკრ. №19 კორპ (პროექტი)</t>
  </si>
  <si>
    <t>(7) გამოტანილი მრიცხველების პოლიეთილენის მილების შეცვლა რკინის მილებით (P.2.701) მეგობრობის ქ. №23-ში მდებარე კორპუსი (პროექტი)</t>
  </si>
  <si>
    <t>(1) გამოტანილი მრიცხველების პოლიეთილენის მილების შეცვლა რკინის მილებით P.2.744 (თოდრიას ქ. №3 კორპუსი (პროექტი))</t>
  </si>
  <si>
    <t>(1) გამოტანილი მრიცხველების პოლიეთილენის მილების შეცვლა რკინის მილებით P.2.744 (თოდრიას ქ. №5 კორპუსი (პროექტი))</t>
  </si>
  <si>
    <t>მე-20-ე მკრ. №11 კორპ (პროექტი)</t>
  </si>
  <si>
    <t>(9) გამოტანილი მრიცხველების პოლიეთილენის მილების შეცვლა რკინის მილებით P.2.721 (მე-20-ე მკრ. №11 კორპ (პროექტი))</t>
  </si>
  <si>
    <t>მე-20-ე მკრ. №12 კორპ (პროექტი)</t>
  </si>
  <si>
    <t>(9) გამოტანილი მრიცხველების პოლიეთილენის მილების შეცვლა რკინის მილებით P.2.721 (მე-20-ე მკრ. №12 კორპ (პროექტი))</t>
  </si>
  <si>
    <t>მე-7-ე მკრ. №10 კორპ (პროექტი)</t>
  </si>
  <si>
    <t>(9) გამოტანილი მრიცხველების პოლიეთილენის მილების შეცვლა რკინის მილებით P.2.721 (მე-7-ე მკრ. №10 კორპ (პროექტი))</t>
  </si>
  <si>
    <t>მე-7ა-ე მკრ. №1 კორპ (პროექტი)</t>
  </si>
  <si>
    <t>(9) გამოტანილი მრიცხველების პოლიეთილენის მილების შეცვლა რკინის მილებით P.2.721 (მე-7ა-ე მკრ. №1 კორპ (პროექტი))</t>
  </si>
  <si>
    <t>მე-7ა-ე მკრ. №2 კორპ (პროექტი)</t>
  </si>
  <si>
    <t>(9) გამოტანილი მრიცხველების პოლიეთილენის მილების შეცვლა რკინის მილებით P.2.721 (მე-7ა-ე მკრ. №2 კორპ (პროექტი))</t>
  </si>
  <si>
    <t>ტაშკენტის ქ. №7 (პროექტი)</t>
  </si>
  <si>
    <t>მე-14-ე მკრ. №47 კორპ (პროექტი)</t>
  </si>
  <si>
    <t>(3) გამოსატანი მრიცხველების გამოტანა P.2.577 (ტაშკენტის ქ. №7 (პროექტი))</t>
  </si>
  <si>
    <t>(3) გამოსატანი მრიცხველების გამოტანა P.2.577 (მე-14-ე მკრ. №47 კორპ (პროექტი))</t>
  </si>
  <si>
    <t>მე-18-ე მკრ. 12 კორპუსი</t>
  </si>
  <si>
    <t>მე-18-ე მკრ. 12ბ კორპუსი</t>
  </si>
  <si>
    <t>ჩაპაევის ქ. №5</t>
  </si>
  <si>
    <t>(2) გამოტანილი მრიცხველების პოლიეთილენის მილების შეცვლა რკინის მილებით P.2.744 (ჩაპაევის ქ. №5 )</t>
  </si>
  <si>
    <t>(5) მრიცხველების შეცვლა გამოტანა ქ. თერჯოლაა 300 და ქ.ამბროლაური 200 (P.6.191 (3)) (თერჯოლა)</t>
  </si>
  <si>
    <t>(5) მრიცხველების შეცვლა გამოტანა ქ. თერჯოლაა 300 და ქ.ამბროლაური 200 (P.6.191 (3)) (ამბროლაური)</t>
  </si>
  <si>
    <t>CC-231103-1/0</t>
  </si>
  <si>
    <t>გაზსადენის გადატანა ნაკვეთის (ს/კ 86.19.22.319) მიმდებარედ, კოსტავას ქუჩაზე ხიდთან მდ. კრიხულაზე</t>
  </si>
  <si>
    <t>BC-231113-1/0</t>
  </si>
  <si>
    <t>BSG-231101-1/0(1)</t>
  </si>
  <si>
    <t>BSG-231101-1/0(2)</t>
  </si>
  <si>
    <t>BSG-231101-1/0(3)</t>
  </si>
  <si>
    <t>BSG-231101-1/0(4)</t>
  </si>
  <si>
    <t>BSG-231101-1/0(5)</t>
  </si>
  <si>
    <t>BSG-231101-1/0(6)</t>
  </si>
  <si>
    <t>BSG-231101-1/0(7)</t>
  </si>
  <si>
    <t>BSG-231101-1/0(8)</t>
  </si>
  <si>
    <t>BSG-231101-1/0(9)</t>
  </si>
  <si>
    <t>BSG-231101-1/0(10)</t>
  </si>
  <si>
    <t>BSG-231101-1/0(11)</t>
  </si>
  <si>
    <t>BSG-231101-1/0(12)</t>
  </si>
  <si>
    <t>BSG-231101-1/0(13)</t>
  </si>
  <si>
    <t>BSG-231101-1/0(14)</t>
  </si>
  <si>
    <t>BSG-231101-1/0(15)</t>
  </si>
  <si>
    <t>BSG-231101-1/0(16)</t>
  </si>
  <si>
    <t>(1) გგს-"ქისტაური"</t>
  </si>
  <si>
    <t>(2) გგს-"ოჟიო-კოღოთო"</t>
  </si>
  <si>
    <t>(3) გგს-"ვაზისუბანი"</t>
  </si>
  <si>
    <t>(4) გგს-"იორმუღანლო"</t>
  </si>
  <si>
    <t>(5) გგს-"გამარჯვება-2"</t>
  </si>
  <si>
    <t>(6) გგს-"ახაშენი"</t>
  </si>
  <si>
    <t>(7) გგს-"ბოდბე"</t>
  </si>
  <si>
    <t>(8) გგს-"ახალი სამგორი"</t>
  </si>
  <si>
    <t>(9) გგს-"გომარეთი"</t>
  </si>
  <si>
    <t>(10) გგს-"აზიზსქენდი"</t>
  </si>
  <si>
    <t>(11) გგს-"ნორიო-2"</t>
  </si>
  <si>
    <t>(12) გგს-"ტუშურები"</t>
  </si>
  <si>
    <t>(13) გგს-"ყარაბულახი"</t>
  </si>
  <si>
    <t>(14) გგს-"დაგარახლო"</t>
  </si>
  <si>
    <t>(15) გგს-"ვაზიანის სამხედრო ბაზა"</t>
  </si>
  <si>
    <t>(16) გგს-"გაჩიანი"</t>
  </si>
  <si>
    <t>P.2.1068</t>
  </si>
  <si>
    <t>P.2.1069</t>
  </si>
  <si>
    <t>P.2.1070</t>
  </si>
  <si>
    <t>P.2.1071</t>
  </si>
  <si>
    <t>P.2.1072</t>
  </si>
  <si>
    <t>P.2.1073</t>
  </si>
  <si>
    <t>P.2.1074</t>
  </si>
  <si>
    <t>P.2.1075</t>
  </si>
  <si>
    <t>P.2.1076</t>
  </si>
  <si>
    <t>P.2.1077</t>
  </si>
  <si>
    <t>P.2.1078</t>
  </si>
  <si>
    <t>P.2.1079</t>
  </si>
  <si>
    <t>P.2.1080</t>
  </si>
  <si>
    <t>P.2.1081</t>
  </si>
  <si>
    <t>P.2.1082</t>
  </si>
  <si>
    <t>P.2.1083</t>
  </si>
  <si>
    <t>GGTC-ს მოთხოვნის საფუძველზე</t>
  </si>
  <si>
    <t>(1) გგს-"წეროვანი"</t>
  </si>
  <si>
    <t>(2) გგს-"ოლიმპიური სოფელი"</t>
  </si>
  <si>
    <t>Нет инфо</t>
  </si>
  <si>
    <t>BCG-231101-2/0(1)</t>
  </si>
  <si>
    <t>P.2.1084</t>
  </si>
  <si>
    <t>(1) გგს-"ქვეში"</t>
  </si>
  <si>
    <t>BCG-231101-1/0(1)</t>
  </si>
  <si>
    <t>BCG-231101-1/0(2)</t>
  </si>
  <si>
    <t>P.3.912</t>
  </si>
  <si>
    <t>P.3.913</t>
  </si>
  <si>
    <t>P.3.915</t>
  </si>
  <si>
    <t>P.3.916</t>
  </si>
  <si>
    <t>P.3.917</t>
  </si>
  <si>
    <t>P.3.918</t>
  </si>
  <si>
    <t>BSG-231101-3/0(1)</t>
  </si>
  <si>
    <t>BSG-231101-3/0(2)</t>
  </si>
  <si>
    <t>BSG-231101-3/0(3)</t>
  </si>
  <si>
    <t>BSG-231101-3/0(4)</t>
  </si>
  <si>
    <t>P.4.557</t>
  </si>
  <si>
    <t>P.4.558</t>
  </si>
  <si>
    <t>P.4.559</t>
  </si>
  <si>
    <t>P.4.560</t>
  </si>
  <si>
    <t>P.5.545</t>
  </si>
  <si>
    <t>P.4.562</t>
  </si>
  <si>
    <t>P.4.563</t>
  </si>
  <si>
    <t>P.4.564</t>
  </si>
  <si>
    <t>P.4.565</t>
  </si>
  <si>
    <t>P.4.566</t>
  </si>
  <si>
    <t>BSG-231101-2/0(1)</t>
  </si>
  <si>
    <t>BSG-231101-2/0(2)</t>
  </si>
  <si>
    <t>BSG-231101-2/0(3)</t>
  </si>
  <si>
    <t>BSG-231101-2/0(4)</t>
  </si>
  <si>
    <t>BSG-231101-2/0(5)</t>
  </si>
  <si>
    <t>BSG-231101-2/0(6)</t>
  </si>
  <si>
    <t>BSG-231101-2/0(7)</t>
  </si>
  <si>
    <t>BSG-231101-2/0(8)</t>
  </si>
  <si>
    <t>BSG-231101-2/0(9)</t>
  </si>
  <si>
    <t>BSG-231101-2/0(10)</t>
  </si>
  <si>
    <t>(Пр)-Джи Пи</t>
  </si>
  <si>
    <t>მე-7-ე მკრ. №10 კორპ</t>
  </si>
  <si>
    <t>(10) გამოტანილი მრიცხველების პოლიეთილენის მილების შეცვლა რკინის მილებით P.2.721 (მე-7-ე მკრ. №10 კორპ)</t>
  </si>
  <si>
    <t>მესხიშვ. I გასასვლ. №5</t>
  </si>
  <si>
    <t>(2) გამოტანილი მრიცხველების პოლიეთილენის მილების შეცვლა რკინის მილებით P.2.744 (მესხიშვ. I გასასვლ. №5)</t>
  </si>
  <si>
    <t>მე-16-ე მკრ. №4 კორპ.</t>
  </si>
  <si>
    <t>(6) გამოტანილი მრიცხველების პოლიეთილენის მილების შეცვლა რკინის მილებით (P.2.619) (მე-16-ე მკრ. №4 კორპ.)</t>
  </si>
  <si>
    <t>მე-16-ე მკრ. №6 კორპ.</t>
  </si>
  <si>
    <t>(6) გამოტანილი მრიცხველების პოლიეთილენის მილების შეცვლა რკინის მილებით (P.2.619) (მე-16-ე მკრ. №6 კორპ.)</t>
  </si>
  <si>
    <t>(2) გამოტანილი მრიცხველების პოლიეთილენის მილების შეცვლა რკინის მილებით P.2.744 (თოდრიას ქ. №5 კორპუსი)</t>
  </si>
  <si>
    <r>
      <t>მე-7</t>
    </r>
    <r>
      <rPr>
        <vertAlign val="superscript"/>
        <sz val="11"/>
        <color theme="1"/>
        <rFont val="Calibri"/>
        <family val="2"/>
        <scheme val="minor"/>
      </rPr>
      <t>ა</t>
    </r>
    <r>
      <rPr>
        <sz val="11"/>
        <color theme="1"/>
        <rFont val="Calibri"/>
        <family val="2"/>
        <scheme val="minor"/>
      </rPr>
      <t>-ე მკრ. №3 კორპ (პროექტი)</t>
    </r>
  </si>
  <si>
    <t>(9) გამოტანილი მრიცხველების პოლიეთილენის მილების შეცვლა რკინის მილებით P.2.721 (მე-7ა-ე მკრ. №3 კორპ (პროექტი))</t>
  </si>
  <si>
    <t>მესხიშვ. I გასასვლ. №7</t>
  </si>
  <si>
    <t>მესხიშვ. I გასასვლ. №9</t>
  </si>
  <si>
    <t>მესხიშვ. I გასასვლ. №7 (პროექტი)</t>
  </si>
  <si>
    <t>მესხიშვ. I გასასვლ. №9 (პროექტი)</t>
  </si>
  <si>
    <t>(3) გამოსატანი მრიცხველების გამოტანა P.2.577 (მესხიშვ. I გასასვლ. №7 (პროექტი)</t>
  </si>
  <si>
    <t>(3) გამოსატანი მრიცხველების გამოტანა P.2.577 (მესხიშვ. I გასასვლ. №9 (პროექტი)</t>
  </si>
  <si>
    <t>(4) გამოსატანი მრიცხველების გამოტანა P.2.577 (მესხიშვ. I გასასვლ. №9)</t>
  </si>
  <si>
    <t>(4) გამოსატანი მრიცხველების გამოტანა P.2.577 (მესხიშვ. I გასასვლ. №7)</t>
  </si>
  <si>
    <r>
      <t>მე-7</t>
    </r>
    <r>
      <rPr>
        <vertAlign val="superscript"/>
        <sz val="11"/>
        <color theme="1"/>
        <rFont val="Calibri"/>
        <family val="2"/>
        <scheme val="minor"/>
      </rPr>
      <t>ა</t>
    </r>
    <r>
      <rPr>
        <sz val="11"/>
        <color theme="1"/>
        <rFont val="Calibri"/>
        <family val="2"/>
        <scheme val="minor"/>
      </rPr>
      <t>-ე მკრ. №3 კორპ</t>
    </r>
  </si>
  <si>
    <t>SGG-C-23-76</t>
  </si>
  <si>
    <t>გურჯაანის ოფისის ტერიტ. ძვ. შენობის დანგრევა და ეზოს მოსუფთავება.</t>
  </si>
  <si>
    <t>დაევალა ვასოსა და ჯაიანს ამბროლაურში ყოფნის დროს</t>
  </si>
  <si>
    <t>N.2.1</t>
  </si>
  <si>
    <t>ზუგდიდის ს/ც შეკეთება (ფრონტ ოფისი)</t>
  </si>
  <si>
    <t>SGG-C-23-74</t>
  </si>
  <si>
    <t>SGG-C-23-73</t>
  </si>
  <si>
    <t>ზუგდიდის რეგიონული საწყობის სახურავის შეკეთება</t>
  </si>
  <si>
    <t>III შუალედური</t>
  </si>
  <si>
    <t>(10) გამოტანილი მრიცხველების პოლიეთილენის მილების შეცვლა რკინის მილებით P.2.721 (მე-20-ე მკრ. №14 კორპ)</t>
  </si>
  <si>
    <t>(6) გამოტანილი მრიცხველების პოლიეთილენის მილების შეცვლა რკინის მილებით (P.2.619) (მე-16-ე მკრ. №1 კორპ)</t>
  </si>
  <si>
    <t>(6) გამოტანილი მრიცხველების პოლიეთილენის მილების შეცვლა რკინის მილებით (P.2.619) (მე-16-ე მკრ. №5 კორპ)</t>
  </si>
  <si>
    <t>მე-16-ე მკრ. №1 კორპ</t>
  </si>
  <si>
    <t>მე-16-ე მკრ. №5 კორპ</t>
  </si>
  <si>
    <t>მე-16-ე მკრ. №7 კორპ</t>
  </si>
  <si>
    <t>მე-16-ე მკრ. №8 კორპ</t>
  </si>
  <si>
    <t>მე-16-ე მკრ. 9 კორპ</t>
  </si>
  <si>
    <t>მე-19-ე მკრ. №20 კორპ</t>
  </si>
  <si>
    <t>(6) გამოტანილი მრიცხველების პოლიეთილენის მილების შეცვლა რკინის მილებით (P.2.619) (მე-16-ე მკრ. №7 კორპ)</t>
  </si>
  <si>
    <t>თოდრიას ქ. №13 კორპ</t>
  </si>
  <si>
    <t>თოდრიას ქუჩა №7 კორპ</t>
  </si>
  <si>
    <t>თოდრიას ქ. №3 კორპ</t>
  </si>
  <si>
    <t>თოდრიას ქ. №3 კორპ (პროექტი)</t>
  </si>
  <si>
    <t>თოდრიას ქ. №5 კორპ (პროექტი)</t>
  </si>
  <si>
    <t>თოდრიას ქ. №5 კორპ</t>
  </si>
  <si>
    <t>(2) გამოტანილი მრიცხველების პოლიეთილენის მილების შეცვლა რკინის მილებით P.2.744 (თოდრიას ქუჩა №7 კორპ)</t>
  </si>
  <si>
    <t>(6) გამოტანილი მრიცხველების პოლიეთილენის მილების შეცვლა რკინის მილებით (P.2.619) მე-15-ე მკრ. 13 კორპ</t>
  </si>
  <si>
    <t>მე-15-ე მკრ. 13 კორპ</t>
  </si>
  <si>
    <t>(3) გამოსატანი მრიცხველების გამოტანა P.2.577 (მე-15-ე მკრ. 8 კორპ (პროექტი))</t>
  </si>
  <si>
    <t>მე-15-ე მკრ. 8 კორპ (პროექტი)</t>
  </si>
  <si>
    <t>მე-15-ე მკრ. 9 კორპ (პროექტი)</t>
  </si>
  <si>
    <t>(3) გამოსატანი მრიცხველების გამოტანა P.2.577 (მე-15-ე მკრ. 9 კორპ (პროექტი))</t>
  </si>
  <si>
    <t>მესხიშვ. II გასასვლ. №4 (პროექტი)</t>
  </si>
  <si>
    <t>(3) გამოსატანი მრიცხველების გამოტანა P.2.577 (მესხიშვ. II გასასვლ. №4 (პროექტი))</t>
  </si>
  <si>
    <t>მესხიშვ. II გასასვლ. №6 (პროექტი)</t>
  </si>
  <si>
    <t>(3) გამოსატანი მრიცხველების გამოტანა P.2.577 (მესხიშვ. II გასასვლ. №6 (პროექტი))</t>
  </si>
  <si>
    <t>(3) გამოსატანი მრიცხველების გამოტანა P.2.577 (მესხიშვ. II გასასვლ. №8 (პროექტი))</t>
  </si>
  <si>
    <t>მესხიშვ. II გასასვლ. №8 (პროექტი)</t>
  </si>
  <si>
    <t>მესხიშვ. ქ. №4 კორპუსი</t>
  </si>
  <si>
    <t>მესხიშვ. I გასასვლ. #3 კორპ</t>
  </si>
  <si>
    <t>(3) გამოსატანი მრიცხველების გამოტანა P.2.577 (მესხიშვ. ქ. №6 კორპ (პროექტი))</t>
  </si>
  <si>
    <t>მესხიშვ. ქ. №6 კორპ (პროექტი)</t>
  </si>
  <si>
    <t>ტაშკენტის ქ. №5 (პროექტი)</t>
  </si>
  <si>
    <t>(3) გამოსატანი მრიცხველების გამოტანა P.2.577 (ტაშკენტის ქ. №5 (პროექტი))</t>
  </si>
  <si>
    <t>შარტავას ქ. №5 კორპ (პროექტი)</t>
  </si>
  <si>
    <t>(3) გამოსატანი მრიცხველების გამოტანა P.2.577 (შარტავას ქ. №5 კორპ (პროექტი))</t>
  </si>
  <si>
    <t>(3) გამოსატანი მრიცხველების გამოტანა P.2.577 (შარტავას ქ. №9 კორპ (პროექტი))</t>
  </si>
  <si>
    <t>შარტავას ქ. №9 კორპ (პროექტი)</t>
  </si>
  <si>
    <t>შარტავას ქ. №15 კორპ (პროექტი)</t>
  </si>
  <si>
    <t>(3) გამოსატანი მრიცხველების გამოტანა P.2.577 (შარტავას ქ. №15 კორპ (პროექტი))</t>
  </si>
  <si>
    <t>შარტავას ქ. №17 კორპ (პროექტი)</t>
  </si>
  <si>
    <t>(3) გამოსატანი მრიცხველების გამოტანა P.2.577 (შარტავას ქ. №17 კორპ (პროექტი))</t>
  </si>
  <si>
    <t>მე-16-ე მკრ. 11 კორპ (პროექტი)</t>
  </si>
  <si>
    <t>(5) გამოტანილი მრიცხველების პოლიეთილენის მილების შეცვლა რკინის მილებით (P.2.619) (მე-16-ე მკრ. 11 კორპ (პროექტი))</t>
  </si>
  <si>
    <t>ჯავახიშვილის ქ. №1 კორპ (პროექტი)</t>
  </si>
  <si>
    <t>რუსთაველის ქ. №28 კორპ (პროექტი)</t>
  </si>
  <si>
    <t>(1) გამოტანილი მრიცხველების პოლიეთილენის მილების შეცვლა რკინის მილებით P.2.744 (ჯავახიშვილის ქ. №1 კორპ (პროექტი))</t>
  </si>
  <si>
    <t>(1) გამოტანილი მრიცხველების პოლიეთილენის მილების შეცვლა რკინის მილებით P.2.744 (რუსთაველის ქ. №28 კორპ (პროექტი))</t>
  </si>
  <si>
    <t>(1.1.1.) სოფ. წკადისის გაზიფიცირების პროექტი</t>
  </si>
  <si>
    <t>(1.1.2.) სოფ. სხარტალის გაზიფიცირების პროექტი</t>
  </si>
  <si>
    <t>CC-230915-1/0(1.1.2.)</t>
  </si>
  <si>
    <t>CC-230915-1/0(1.1.1.)</t>
  </si>
  <si>
    <t>CC-230915-1/0(1.1.3.)</t>
  </si>
  <si>
    <t>(1.1.3.) სოფ. ახალდაბის ბლიაძეებისა და რიკაძეების უბნების გაზიფიცირების პროექტი</t>
  </si>
  <si>
    <t>ჯავახიშვილის ქ. №1 კორპ</t>
  </si>
  <si>
    <t>(2) გამოტანილი მრიცხველების პოლიეთილენის მილების შეცვლა რკინის მილებით P.2.744 (ჯავახიშვილის ქ. №1 კორპ)</t>
  </si>
  <si>
    <t>შარტავას ქ. №9 კორპუსი</t>
  </si>
  <si>
    <t>შარტავას ქ. №5 კორპუსი</t>
  </si>
  <si>
    <t>(4) გამოსატანი მრიცხველების გამოტანა P.2.577 (შარტავას ქ. №9 კორპუსი)</t>
  </si>
  <si>
    <t>(4) გამოსატანი მრიცხველების გამოტანა P.2.577 (შარტავას ქ. №5 კორპუსი)</t>
  </si>
  <si>
    <t>რუსთაველის ქ. №28 კორპ</t>
  </si>
  <si>
    <t>(2) გამოტანილი მრიცხველების პოლიეთილენის მილების შეცვლა რკინის მილებით P.2.744 (რუსთაველის ქ. №28 კორპ)</t>
  </si>
  <si>
    <t>მეგობრობის ქ. №23 კორპუსი (პროექტი)</t>
  </si>
  <si>
    <t>მეგობრობის ქ. №23 კორპუსი</t>
  </si>
  <si>
    <t>(8) გამოტანილი მრიცხველების პოლიეთილენის მილების შეცვლა რკინის მილებით (P.2.701) (მეგობრობის ქ. №23 კორპ)</t>
  </si>
  <si>
    <t>მე-15-ე მკრ. 8 კორპ</t>
  </si>
  <si>
    <t>მე-15-ე მკრ. 9 კორპ</t>
  </si>
  <si>
    <t>(4) გამოსატანი მრიცხველების გამოტანა P.2.577 (მე-15-ე მკრ. 8 კორპ)</t>
  </si>
  <si>
    <t>(4) გამოსატანი მრიცხველების გამოტანა P.2.577 (მე-15-ე მკრ. 9 კორპ)</t>
  </si>
  <si>
    <t>მე-16-ე მკრ. 11 კორპ</t>
  </si>
  <si>
    <t>მე-16-ე მკრ. 2 კორპ</t>
  </si>
  <si>
    <t>(6) გამოტანილი მრიცხველების პოლიეთილენის მილების შეცვლა რკინის მილებით (P.2.619) (მე-16-ე მკრ. 2 კორპ)</t>
  </si>
  <si>
    <t>(6) გამოტანილი მრიცხველების პოლიეთილენის მილების შეცვლა რკინის მილებით (P.2.619) (მე-16-ე მკრ. 3 კორპ)</t>
  </si>
  <si>
    <t>მე-16-ე მკრ. 3 კორპ</t>
  </si>
  <si>
    <t>(6) გამოტანილი მრიცხველების პოლიეთილენის მილების შეცვლა რკინის მილებით (P.2.619) (მე-16-ე მკრ. 10 კორპ)</t>
  </si>
  <si>
    <t>მე-16-ე მკრ. 10 კორპ</t>
  </si>
  <si>
    <t>(6) გამოტანილი მრიცხველების პოლიეთილენის მილების შეცვლა რკინის მილებით (P.2.619) (მე-16-ე მკრ. 11 კორპ)</t>
  </si>
  <si>
    <t>მე-14-ე მკრ. №47 კორპ</t>
  </si>
  <si>
    <t>(4) გამოსატანი მრიცხველების გამოტანა P.2.577 (მე-14-ე მკრ. №47 კორპ)</t>
  </si>
  <si>
    <t>მე-7ა-ე მკრ. №1 კორპ</t>
  </si>
  <si>
    <t>(10) გამოტანილი მრიცხველების პოლიეთილენის მილების შეცვლა რკინის მილებით P.2.721 (მე-7ა-ე მკრ. №1 კორპ)</t>
  </si>
  <si>
    <t>(6) გამოტანილი მრიცხველების პოლიეთილენის მილების შეცვლა რკინის მილებით (P.2.619) (მე-16-ე მკრ. №6 კორპ)</t>
  </si>
  <si>
    <t>(6) გამოტანილი მრიცხველების პოლიეთილენის მილების შეცვლა რკინის მილებით (P.2.619) (მე-16-ე მკრ. 9 კორპ)</t>
  </si>
  <si>
    <t>ქუთაისში სასწავლო ცენტრის გაფართოება, ტერიტ. ღობის სამუშ.</t>
  </si>
  <si>
    <t>G-03/10-2022</t>
  </si>
  <si>
    <t>(5) სოფ. სალხინო. გაზსადენის რეაბილიტაცია P.6.646</t>
  </si>
  <si>
    <t>BCG-230707-1/1(5)</t>
  </si>
  <si>
    <t>BCG-230707-1/1(1)</t>
  </si>
  <si>
    <t>BCG-230707-1/1(2)</t>
  </si>
  <si>
    <t>BCG-230707-1/1(3)</t>
  </si>
  <si>
    <t>BCG-230707-1/1(4)</t>
  </si>
  <si>
    <t>BCG-230105-2/1(3)</t>
  </si>
  <si>
    <t>BCG-230105-2/1(4)</t>
  </si>
  <si>
    <t>P.6.688</t>
  </si>
  <si>
    <t>(18) სამტრედიაში ქართველიშვილი და რობაქიძის ქუჩებზე გაზსადენის რეაბილიტაცია</t>
  </si>
  <si>
    <t>(19) სამტრედიაში ქართველიშვილი და რობაქიძის ქუჩებზე გაზსადენის რეაბილიტაცია</t>
  </si>
  <si>
    <t>BCG-230110-1/1(18)</t>
  </si>
  <si>
    <t>BCG-230110-1/1(19)</t>
  </si>
  <si>
    <t>სიღნაღის სერვის ცენტრის შენობის სახურავის შეკთება N.2.40</t>
  </si>
  <si>
    <t>N.2.40</t>
  </si>
  <si>
    <t>SGG-C-23-87</t>
  </si>
  <si>
    <t>11 ცალი კორპუსის პროექტი</t>
  </si>
  <si>
    <t>Январь 2024</t>
  </si>
  <si>
    <t>(18) სამტრედიაში ქართველიშვილი და რობაქიძის ქუჩებზე გაზსადენის რეაბილიტაცია (P.6.688)</t>
  </si>
  <si>
    <t>(19) სამტრედიაში ქართველიშვილი და რობაქიძის ქუჩებზე გაზსადენის რეაბილიტაცია (P.6.688)</t>
  </si>
  <si>
    <t>ნაწილი მიღებულია ექსპლუატაციაში 2022 წელს</t>
  </si>
  <si>
    <t>1.1.3. Реаб. работы газопрю ср. давления от с. Джигаура до  с.Битсменди,</t>
  </si>
  <si>
    <t>ღირებულება პროექტის გარეშე</t>
  </si>
  <si>
    <t>1.1.5. Реабилитация газопровода по улице Тевзадзе (P.3.64), улица Горького (P.3.63), тупик Бараташвили (P.3.76), Цкарос Убани (P.3.75) в пос.Коджори. (პროექტი)</t>
  </si>
  <si>
    <t>К</t>
  </si>
  <si>
    <t xml:space="preserve">P.2.577 </t>
  </si>
  <si>
    <t>1.1.24. В г. Боржоми реабилитация/реконструкция наружных сетей в корпусах на улицах Руставели и Месхети. (P.3.106) (проектирование и строительство) (რუსთაველის ქ. №85)</t>
  </si>
  <si>
    <t>კორპუსის დასახელება</t>
  </si>
  <si>
    <t>რუსთაველის ქ. №85</t>
  </si>
  <si>
    <t>რუსთაველის ქ. №89</t>
  </si>
  <si>
    <t>1.1.24. В г. Боржоми реабилитация/реконструкция наружных сетей в корпусах на улицах Руставели и Месхети. (P.3.106) (проектирование и строительство) (რუსთაველის ქ. №89)</t>
  </si>
  <si>
    <t>რუსთაველის ქ. №91</t>
  </si>
  <si>
    <t>1.1.24. В г. Боржоми реабилитация/реконструкция наружных сетей в корпусах на улицах Руставели и Месхети. (P.3.106) (проектирование и строительство) (რუსთაველის ქ. №91)</t>
  </si>
  <si>
    <t>რუსთაველის ქ. №95</t>
  </si>
  <si>
    <t>1.1.24. В г. Боржоми реабилитация/реконструкция наружных сетей в корпусах на улицах Руставели и Месхети. (P.3.106) (проектирование и строительство) (რუსთაველის ქ. №95)</t>
  </si>
  <si>
    <t>1.1.24. В г. Боржоми реабилитация/реконструкция наружных сетей в корпусах на улицах Руставели и Месхети. (P.3.106) (проектирование и строительство) (რუსთაველის ქ. №109)</t>
  </si>
  <si>
    <t>რუსთაველის ქ. №109</t>
  </si>
  <si>
    <t>(12) გამოტანილი მრიცხველების პოლიეთილენის მილების შეცვლა რკინის მილებით (P.2.648) (მე-12-ე მკრ. №19 კორპ)</t>
  </si>
  <si>
    <t>მე-7ა-ე მკრ. №3 კორპ</t>
  </si>
  <si>
    <t>(10) გამოტანილი მრიცხველების პოლიეთილენის მილების შეცვლა რკინის მილებით P.2.721 (მე-7ა-ე მკრ. №3 კორპ)</t>
  </si>
  <si>
    <t>(8) გამოტანილი მრიცხველების პოლიეთილენის მილების შეცვლა რკინის მილებით (P.2.701) (მეგობრობის ქ. №23 კორპუსი)</t>
  </si>
  <si>
    <t>(6) გამოტანილი მრიცხველების პოლიეთილენის მილების შეცვლა რკინის მილებით (P.2.619) (შარტავას ქ. №11 კორპ)</t>
  </si>
  <si>
    <t>შარტავას ქ. №11 კორპ</t>
  </si>
  <si>
    <t>მესხიშვ. II გასასვლ. №6 კორპ</t>
  </si>
  <si>
    <t>(4) გამოსატანი მრიცხველების გამოტანა P.2.577 (მესხიშვ. II გასასვლ. №6 კორპ)</t>
  </si>
  <si>
    <t>(4) გამოსატანი მრიცხველების გამოტანა P.2.577 (მესხიშვ. II გასასვლ. №4 კორპ)</t>
  </si>
  <si>
    <t>მესხიშვ. II გასასვლ. №4 კორპ</t>
  </si>
  <si>
    <t>(4) გამოსატანი მრიცხველების გამოტანა P.2.577 (მესხიშვ. II გასასვლ. №8 კორპ)</t>
  </si>
  <si>
    <t>მესხიშვ. II გასასვლ. №8 კორპ</t>
  </si>
  <si>
    <t>(4) გამოსატანი მრიცხველების გამოტანა P.2.577 (შარტავას ქ. №15 კორპუსი)</t>
  </si>
  <si>
    <t>შარტავას ქ. №15 კორპუსი</t>
  </si>
  <si>
    <t>შარტავას ქ. №7 კორპუსი</t>
  </si>
  <si>
    <t>(6) გამოტანილი მრიცხველების პოლიეთილენის მილების შეცვლა რკინის მილებით (P.2.619) (შარტავას ქ. №7 კორპ)</t>
  </si>
  <si>
    <t>Февраль 2024</t>
  </si>
  <si>
    <t>ფაქტორ. თანხა 2024</t>
  </si>
  <si>
    <t>ფაქტორ. ხარჯი 2024</t>
  </si>
  <si>
    <t>აღმაშენებლის 35</t>
  </si>
  <si>
    <t>1.1.24. В г. Боржоми реабилитация/реконструкция наружных сетей в корпусах на улицах Руставели и Месхети. (P.3.106) (проектирование и строительство) (აღმაშენებლის 35)</t>
  </si>
  <si>
    <t>შარტავას ქ. №17 კორპუსი</t>
  </si>
  <si>
    <t>(4) გამოსატანი მრიცხველების გამოტანა P.2.577 (შარტავას ქ. №17 კორპუსი)</t>
  </si>
  <si>
    <t>ტაშკენტის ქ. №5 კორპუსი</t>
  </si>
  <si>
    <t>(4) გამოსატანი მრიცხველების გამოტანა P.2.577 (ტაშკენტის ქ. №5 კორპუსი)</t>
  </si>
  <si>
    <t>ტაშკენტის ქ. №7 კორპუსი</t>
  </si>
  <si>
    <t>(4) გამოსატანი მრიცხველების გამოტანა P.2.577 (ტაშკენტის ქ. №7 კორპუსი)</t>
  </si>
  <si>
    <t>მესხიშვ. ქუჩა №6 კორპ</t>
  </si>
  <si>
    <t>(4) გამოსატანი მრიცხველების გამოტანა P.2.577 (მესხიშვ. ქუჩა №6 კორპ)</t>
  </si>
  <si>
    <t>მე-12-ე მკრ. № 19 კორპ</t>
  </si>
  <si>
    <t>(12) გამოტანილი მრიცხველების პოლიეთილენის მილების შეცვლა რკინის მილებით (P.2.648) (მე-12-ე მკრ. № 19 კორპ)</t>
  </si>
  <si>
    <t>ფალიაშვილის ქ. №5 კორპ (პროექტი)</t>
  </si>
  <si>
    <t>(7) გამოტანილი მრიცხველების პოლიეთილენის მილების შეცვლა რკინის მილებით (P.2.701) (ფალიაშვილის ქ. №5 კორპ (პროექტი))</t>
  </si>
  <si>
    <t>ფალიაშვილის ქ. №5 კორპ</t>
  </si>
  <si>
    <t>(8) გამოტანილი მრიცხველების პოლიეთილენის მილების შეცვლა რკინის მილებით (P.2.701) (ფალიაშვილის ქ. №5 კორპ)</t>
  </si>
  <si>
    <t>მე-14-ე მკრ. 47 კორპ</t>
  </si>
  <si>
    <t>(4) გამოსატანი მრიცხველების გამოტანა P.2.577 (მე-14-ე მკრ. 47 კორპ)</t>
  </si>
  <si>
    <t>(9) გგს-"ნაგომარი-აკეთი" P.4.565</t>
  </si>
  <si>
    <t>(1) გგს-"ოზურგეთი-გურიანთა" P.4.557</t>
  </si>
  <si>
    <t>(2) გგს-"ლანჩხუთი-მაჩხვარეთი" P.4.558</t>
  </si>
  <si>
    <t>(3) გგს-"ჩოხატაური" P.4.559</t>
  </si>
  <si>
    <t>(4) გგს-"ნასაკირალი" P.4.560</t>
  </si>
  <si>
    <t>(7) გგს-"ფოთი" P.4.563</t>
  </si>
  <si>
    <t>(8) გგს-"გოგოლესუბანი" P.4.564</t>
  </si>
  <si>
    <t>(10) გგს-"დვაბზუ-ძიმითი" P.4.566</t>
  </si>
  <si>
    <t>BSG-231208-1/0</t>
  </si>
  <si>
    <t>P.5.551</t>
  </si>
  <si>
    <t>მდ. ყოროლისწყალზე დაზიანებული 530 მმ-იანი ფოლადის გაზსადენის, ნაცვლად ახლის სამშენებლო-სამონტაჟო სამუშაოები. ასევე ნავთობტერმინალის ტერიტორიაზე, სარეზერვო გაზსადენის მოწყობა/დემონტაჟის საპროექტო-სამშენებლო სამუშაოები. P.5.551</t>
  </si>
  <si>
    <t>Март 2024</t>
  </si>
  <si>
    <t>(10) გამოტანილი მრიცხველების პოლიეთილენის მილების შეცვლა რკინის მილებით P.2.721 (მე-7ა-ე მკრ. №2 კორპ)</t>
  </si>
  <si>
    <t>P.3.1131</t>
  </si>
  <si>
    <t>(4) სოფ. ახალდაბის ბლიაძეებისა და რიკაძეების უბნების გაზიფიცირება P.3.1131</t>
  </si>
  <si>
    <t>от сёл Свенети и Бербуки Гориского муниципалитета по ул. Сухишвили г. Гори, реаб. Газопр.  ср. давления P.3.84</t>
  </si>
  <si>
    <t>BSG-230109-1/1 (70)</t>
  </si>
  <si>
    <t>BSG-230109-1/1 (71)</t>
  </si>
  <si>
    <t>P.2.1439</t>
  </si>
  <si>
    <t>BCG-230109-1/1 (24)</t>
  </si>
  <si>
    <t>BCG-230109-1/1 (25)</t>
  </si>
  <si>
    <t>BCG-230109-1/1 (26)</t>
  </si>
  <si>
    <t>BCG-230109-1/1 (27)</t>
  </si>
  <si>
    <t>P.2.1440</t>
  </si>
  <si>
    <t>P.2.1441</t>
  </si>
  <si>
    <t>(24) აფხაზეთის ქუჩაზე მდებარე გაზსადენის რეაბილიტაცია (პროექტირება) P.2.1440</t>
  </si>
  <si>
    <t>(25) აფხაზეთის ქუჩაზე მდებარე გაზსადენის რეაბილიტაცია P.2.1440</t>
  </si>
  <si>
    <t>(70) სოფ. ტნუსის მკვებავი გაზსადენის რეაბილიტაცია (პროექტირება) P.2.1439</t>
  </si>
  <si>
    <t>(71) სოფ. ტნუსის მკვებავი გაზსადენის რეაბილიტაცია P.2.1439</t>
  </si>
  <si>
    <t>(26) სოფ. ხოფისის გაზიფიცირება (პროექტირება) P.2.1441</t>
  </si>
  <si>
    <t>(27) სოფ. ხოფისის გაზიფიცირება P.2.1441</t>
  </si>
  <si>
    <t>შუალედური</t>
  </si>
  <si>
    <t>კორპუსი №9/1</t>
  </si>
  <si>
    <t xml:space="preserve">კორპუსი №9/2. </t>
  </si>
  <si>
    <t>კორპუსი №9/3</t>
  </si>
  <si>
    <t>კორპუსი №9/4</t>
  </si>
  <si>
    <t>კორპუსი №9/5</t>
  </si>
  <si>
    <t>კორპუსი №9/13</t>
  </si>
  <si>
    <t>კორპუსი №12/1</t>
  </si>
  <si>
    <t>კორპუსი №12/2</t>
  </si>
  <si>
    <t>კორპუსი №12/3</t>
  </si>
  <si>
    <t>კორპუსი №12/4</t>
  </si>
  <si>
    <t>კორპუსი №12/5</t>
  </si>
  <si>
    <t>კორპუსი №12/6</t>
  </si>
  <si>
    <t>კორპუსი №12/7</t>
  </si>
  <si>
    <t>კორპუსი №12/8</t>
  </si>
  <si>
    <t>კორპუსი №12/9</t>
  </si>
  <si>
    <t>კორპუსი №12/10</t>
  </si>
  <si>
    <t>კორპუსი №12/11</t>
  </si>
  <si>
    <t>კორპუსი №12/12</t>
  </si>
  <si>
    <t>კორპუსი №40/1</t>
  </si>
  <si>
    <t>კორპუსი №60/1</t>
  </si>
  <si>
    <t>კორპუსი №60/2</t>
  </si>
  <si>
    <t>კორპუსი №60/3</t>
  </si>
  <si>
    <t>კორპუსი №60/4</t>
  </si>
  <si>
    <t>კორპუსი №63/66</t>
  </si>
  <si>
    <t>კორპუსი №67/69</t>
  </si>
  <si>
    <t>კორპუსი №70/73</t>
  </si>
  <si>
    <t>კორპუსი №83/85</t>
  </si>
  <si>
    <t>კორპუსი №88/90</t>
  </si>
  <si>
    <t>კორპუსი №95/102</t>
  </si>
  <si>
    <t>კორპუსი №97/1</t>
  </si>
  <si>
    <t>კორპუსი №97/2</t>
  </si>
  <si>
    <t>კორპუსი №97/3</t>
  </si>
  <si>
    <t>კორპუსი №97/4</t>
  </si>
  <si>
    <t>კორპუსი №103/106</t>
  </si>
  <si>
    <t>კორპუსი №107</t>
  </si>
  <si>
    <t>კორპუსი №108</t>
  </si>
  <si>
    <t>კორპუსი №109</t>
  </si>
  <si>
    <t>კორპუსი №114/115</t>
  </si>
  <si>
    <t>კორპუსი №118/119</t>
  </si>
  <si>
    <t>კორპუსი №126/1</t>
  </si>
  <si>
    <t>კორპუსი №126/2</t>
  </si>
  <si>
    <t>კორპუსი №154</t>
  </si>
  <si>
    <t>კორპუსი №155</t>
  </si>
  <si>
    <t>კორპუსი №156</t>
  </si>
  <si>
    <t>კორპუსი №157</t>
  </si>
  <si>
    <t>(1.1.2) დაბა კაზრეთის კორპუსების ქსელის რეაბ. და მრიცხველების გამოტანა (P.2.401)კორპ. №9/1</t>
  </si>
  <si>
    <t xml:space="preserve">(1.1.2) დაბა კაზრეთის კორპუსების ქსელის რეაბ. და მრიცხველების გამოტანა (P.2.401)კორპ. №9/2. </t>
  </si>
  <si>
    <t>(1.1.2) დაბა კაზრეთის კორპუსების ქსელის რეაბ. და მრიცხველების გამოტანა (P.2.401)კორპ. №9/3</t>
  </si>
  <si>
    <t>(1.1.2) დაბა კაზრეთის კორპუსების ქსელის რეაბ. და მრიცხველების გამოტანა (P.2.401)კორპ. №9/4</t>
  </si>
  <si>
    <t>(1.1.2) დაბა კაზრეთის კორპუსების ქსელის რეაბ. და მრიცხველების გამოტანა (P.2.401)კორპ. №9/5</t>
  </si>
  <si>
    <t>(1.1.2) დაბა კაზრეთის კორპუსების ქსელის რეაბ. და მრიცხველების გამოტანა (P.2.401)კორპ. №9/13</t>
  </si>
  <si>
    <t>(1.1.2) დაბა კაზრეთის კორპუსების ქსელის რეაბ. და მრიცხველების გამოტანა (P.2.401)კორპ. №12/1</t>
  </si>
  <si>
    <t>(1.1.2) დაბა კაზრეთის კორპუსების ქსელის რეაბ. და მრიცხველების გამოტანა (P.2.401)კორპ. №12/2</t>
  </si>
  <si>
    <t>(1.1.2) დაბა კაზრეთის კორპუსების ქსელის რეაბ. და მრიცხველების გამოტანა (P.2.401)კორპ. №12/3</t>
  </si>
  <si>
    <t>(1.1.2) დაბა კაზრეთის კორპუსების ქსელის რეაბ. და მრიცხველების გამოტანა (P.2.401)კორპ. №12/4</t>
  </si>
  <si>
    <t>(1.1.2) დაბა კაზრეთის კორპუსების ქსელის რეაბ. და მრიცხველების გამოტანა (P.2.401)კორპ. №12/5</t>
  </si>
  <si>
    <t>(1.1.2) დაბა კაზრეთის კორპუსების ქსელის რეაბ. და მრიცხველების გამოტანა (P.2.401)კორპ. №12/6</t>
  </si>
  <si>
    <t>(1.1.2) დაბა კაზრეთის კორპუსების ქსელის რეაბ. და მრიცხველების გამოტანა (P.2.401)კორპ. №12/7</t>
  </si>
  <si>
    <t>(1.1.2) დაბა კაზრეთის კორპუსების ქსელის რეაბ. და მრიცხველების გამოტანა (P.2.401)კორპ. №12/8</t>
  </si>
  <si>
    <t>(1.1.2) დაბა კაზრეთის კორპუსების ქსელის რეაბ. და მრიცხველების გამოტანა (P.2.401)კორპ. №12/9</t>
  </si>
  <si>
    <t>(1.1.2) დაბა კაზრეთის კორპუსების ქსელის რეაბ. და მრიცხველების გამოტანა (P.2.401)კორპ. №12/10</t>
  </si>
  <si>
    <t>(1.1.2) დაბა კაზრეთის კორპუსების ქსელის რეაბ. და მრიცხველების გამოტანა (P.2.401)კორპ. №12/11</t>
  </si>
  <si>
    <t>(1.1.2) დაბა კაზრეთის კორპუსების ქსელის რეაბ. და მრიცხველების გამოტანა (P.2.401)კორპ. №12/12</t>
  </si>
  <si>
    <t>(1.1.2) დაბა კაზრეთის კორპუსების ქსელის რეაბ. და მრიცხველების გამოტანა (P.2.401)კორპ. №40/1</t>
  </si>
  <si>
    <t>(1.1.2) დაბა კაზრეთის კორპუსების ქსელის რეაბ. და მრიცხველების გამოტანა (P.2.401)კორპ. №60/1</t>
  </si>
  <si>
    <t>(1.1.2) დაბა კაზრეთის კორპუსების ქსელის რეაბ. და მრიცხველების გამოტანა (P.2.401)კორპ. №60/2</t>
  </si>
  <si>
    <t>(1.1.2) დაბა კაზრეთის კორპუსების ქსელის რეაბ. და მრიცხველების გამოტანა (P.2.401)კორპ. №60/3</t>
  </si>
  <si>
    <t>(1.1.2) დაბა კაზრეთის კორპუსების ქსელის რეაბ. და მრიცხველების გამოტანა (P.2.401)კორპ. №60/4</t>
  </si>
  <si>
    <t>(1.1.2) დაბა კაზრეთის კორპუსების ქსელის რეაბ. და მრიცხველების გამოტანა (P.2.401)კორპ. №63/66</t>
  </si>
  <si>
    <t>(1.1.2) დაბა კაზრეთის კორპუსების ქსელის რეაბ. და მრიცხველების გამოტანა (P.2.401)კორპ. №67/69</t>
  </si>
  <si>
    <t>(1.1.2) დაბა კაზრეთის კორპუსების ქსელის რეაბ. და მრიცხველების გამოტანა (P.2.401)კორპ. №70/73</t>
  </si>
  <si>
    <t>(1.1.2) დაბა კაზრეთის კორპუსების ქსელის რეაბ. და მრიცხველების გამოტანა (P.2.401)კორპ. №83/85</t>
  </si>
  <si>
    <t>(1.1.2) დაბა კაზრეთის კორპუსების ქსელის რეაბ. და მრიცხველების გამოტანა (P.2.401)კორპ. №88/90</t>
  </si>
  <si>
    <t>(1.1.2) დაბა კაზრეთის კორპუსების ქსელის რეაბ. და მრიცხველების გამოტანა (P.2.401)კორპ. №95/102</t>
  </si>
  <si>
    <t>(1.1.2) დაბა კაზრეთის კორპუსების ქსელის რეაბ. და მრიცხველების გამოტანა (P.2.401)კორპ. №97/1</t>
  </si>
  <si>
    <t>(1.1.2) დაბა კაზრეთის კორპუსების ქსელის რეაბ. და მრიცხველების გამოტანა (P.2.401)კორპ. №97/2</t>
  </si>
  <si>
    <t>(1.1.2) დაბა კაზრეთის კორპუსების ქსელის რეაბ. და მრიცხველების გამოტანა (P.2.401)კორპ. №97/3</t>
  </si>
  <si>
    <t>(1.1.2) დაბა კაზრეთის კორპუსების ქსელის რეაბ. და მრიცხველების გამოტანა (P.2.401)კორპ. №97/4</t>
  </si>
  <si>
    <t>(1.1.2) დაბა კაზრეთის კორპუსების ქსელის რეაბ. და მრიცხველების გამოტანა (P.2.401)კორპ. №103/106</t>
  </si>
  <si>
    <t>(1.1.2) დაბა კაზრეთის კორპუსების ქსელის რეაბ. და მრიცხველების გამოტანა (P.2.401)კორპ. №107</t>
  </si>
  <si>
    <t>(1.1.2) დაბა კაზრეთის კორპუსების ქსელის რეაბ. და მრიცხველების გამოტანა (P.2.401)კორპ. №108</t>
  </si>
  <si>
    <t>(1.1.2) დაბა კაზრეთის კორპუსების ქსელის რეაბ. და მრიცხველების გამოტანა (P.2.401)კორპ. №109</t>
  </si>
  <si>
    <t>(1.1.2) დაბა კაზრეთის კორპუსების ქსელის რეაბ. და მრიცხველების გამოტანა (P.2.401)კორპ. №114/115</t>
  </si>
  <si>
    <t>(1.1.2) დაბა კაზრეთის კორპუსების ქსელის რეაბ. და მრიცხველების გამოტანა (P.2.401)კორპ. №118/119</t>
  </si>
  <si>
    <t>(1.1.2) დაბა კაზრეთის კორპუსების ქსელის რეაბ. და მრიცხველების გამოტანა (P.2.401)კორპ. №126/1</t>
  </si>
  <si>
    <t>(1.1.2) დაბა კაზრეთის კორპუსების ქსელის რეაბ. და მრიცხველების გამოტანა (P.2.401)კორპ. №126/2</t>
  </si>
  <si>
    <t>(1.1.2) დაბა კაზრეთის კორპუსების ქსელის რეაბ. და მრიცხველების გამოტანა (P.2.401)კორპ. №154</t>
  </si>
  <si>
    <t>(1.1.2) დაბა კაზრეთის კორპუსების ქსელის რეაბ. და მრიცხველების გამოტანა (P.2.401)კორპ. №155</t>
  </si>
  <si>
    <t>(1.1.2) დაბა კაზრეთის კორპუსების ქსელის რეაბ. და მრიცხველების გამოტანა (P.2.401)კორპ. №156</t>
  </si>
  <si>
    <t>(1.1.2) დაბა კაზრეთის კორპუსების ქსელის რეაბ. და მრიცხველების გამოტანა (P.2.401)კორპ. №157</t>
  </si>
  <si>
    <t>მესხიშვ. II გასასვლ. №8 კორ</t>
  </si>
  <si>
    <t>(2) სოფ. დიმი, 30-ე ქუჩაზე დაბალი წნევის გაზსადენის რეაბილიტაცია. (P.6.1124)</t>
  </si>
  <si>
    <t>(1) სოფ. დიმი, 30-ე ქუჩაზე დაბალი წნევის გაზსადენის რეაბილიტაცია. (პროექტირება) (P.6.1124)</t>
  </si>
  <si>
    <t>BSG-240110-1/0 (1)</t>
  </si>
  <si>
    <t>BSG-240110-1/0 (2)</t>
  </si>
  <si>
    <t>P.6.1124</t>
  </si>
  <si>
    <t>(6) გგს-"ქვიშანჭალა" P.4.562</t>
  </si>
  <si>
    <t>SGG-C-23-79</t>
  </si>
  <si>
    <t>ლანჩხუთის ოფისში გათბობის სისტემის მოწყობის სამუშაოები</t>
  </si>
  <si>
    <t>ოზურგეთის ოფისში გათბობის სისტემის მოწყობის სამუშაოები</t>
  </si>
  <si>
    <t>ჩოხატაურის ოფისში გათბობის სისტემის მოწყობის სამუშაოები</t>
  </si>
  <si>
    <t>(5) გგს-"ოჩხამური" P.5.545</t>
  </si>
  <si>
    <t>Апрель 2024</t>
  </si>
  <si>
    <t>(1) საირმის გაზმომარაგების სამშენებლო-სამონტაჟო სამუშაოები P.6.957</t>
  </si>
  <si>
    <t>P.6.957</t>
  </si>
  <si>
    <t>BSG-240116-1/0(1)</t>
  </si>
  <si>
    <t>P.6.648</t>
  </si>
  <si>
    <t>BCG-240116-1/0(1)</t>
  </si>
  <si>
    <t>BCG-240116-1/0(3)</t>
  </si>
  <si>
    <t>P.2.750</t>
  </si>
  <si>
    <t>(1) დამატებითი გაზმომარაგების ხაზის მშენებლობა სოფ. გამარჯვებიდან მე - 8 მკრ-მდე P.2.750</t>
  </si>
  <si>
    <t>(1) ქ. ქარელში (ფანასკერტელის, ვაჟა ფშაველას, მუსხელიშვილის, თბილისის, აბაშიშვილის, მარჯანიშვილის, ახალგაზრდობის, ნონეშვილის სტალინის, თამარ მეფის, ჭავჭავაძის, წერეთლის, კეცხოველის, ავთანდილაშვილის, 9 აპრილის, ბახტრიონის ქ. ქარელში მე2ე და მე4ე საუბნო კვანძებზე არსებული) ქუჩების საჰაერო გაზსადენის შეცვლა (P.3.502)</t>
  </si>
  <si>
    <t>P.3.955</t>
  </si>
  <si>
    <t>(2) მუხრანის გრს-დან N 37 საუბნომდე ცენტრალური გასზადენის რეაბილიტაცია (P.3.955)</t>
  </si>
  <si>
    <t>(3) ხობი, ლითონის D=500 მმ გაზსადენის რეაბილიტაცია (P.4.3)</t>
  </si>
  <si>
    <t>P.4.3</t>
  </si>
  <si>
    <t>BCG-240115-1/0(1)</t>
  </si>
  <si>
    <t>BSG-240115-1/0(1)</t>
  </si>
  <si>
    <t>BSG-240115-1/0(2)</t>
  </si>
  <si>
    <t>BSG-240115-1/0(3)</t>
  </si>
  <si>
    <t>P.6.19</t>
  </si>
  <si>
    <t>P.3.166</t>
  </si>
  <si>
    <t>BSG-240117-1/0(1)</t>
  </si>
  <si>
    <t>BSG-240117-1/0(3)</t>
  </si>
  <si>
    <t>BSG-240117-1/0(2)</t>
  </si>
  <si>
    <t>(1) სოფ. არგვეთის დაბალი წნევის გაზსადენის რეაბილიტაცია (P.6.19)</t>
  </si>
  <si>
    <t>P.4.519</t>
  </si>
  <si>
    <t>P.5.549</t>
  </si>
  <si>
    <t>P.5.52</t>
  </si>
  <si>
    <t>P.4.16</t>
  </si>
  <si>
    <t>P.5.7 (1)</t>
  </si>
  <si>
    <t>P.5.55</t>
  </si>
  <si>
    <t>P.5.57</t>
  </si>
  <si>
    <t>P.5.54</t>
  </si>
  <si>
    <t>P.5.56</t>
  </si>
  <si>
    <t>P.4.18</t>
  </si>
  <si>
    <t>P.4.531</t>
  </si>
  <si>
    <t>P.4.532</t>
  </si>
  <si>
    <t>(1) სოფ. დვაბზუს ქსელის რეაბილიტაცია (P.4.519)</t>
  </si>
  <si>
    <t>(2) გაზსადენის მშენებლობა, ადლია, ანგისას დასახლებაში უსაფრთხო უწყვეტი მიწოდებისთვის (P.5.549)</t>
  </si>
  <si>
    <t>(3) ბათუმი, 099-საუბნოზე მრიცხველების გამოტანა 250-აბონენტიდან (P.5.52)</t>
  </si>
  <si>
    <t>(3) ქ.ბოლნისი დაბა კაზრეთის მაღალსართულიანი კორპუსებიდან (სამზარეულო) მრიცხველების გამოტანა (P.2.401)</t>
  </si>
  <si>
    <t>(2) სოფ. ძველი ქანდა არსებული დაბალი წნევის გაზსადენის რეაბილიტაცია (P.3.166)</t>
  </si>
  <si>
    <t>(4) ოზურგეთში მრიცხველების გამოტანა 85 ოჯახიდან (P.4.16)</t>
  </si>
  <si>
    <t>(5) ბათუმი, სოციალურ აბონენტებთან თერმოკორექტორის გარეშე არსებული მრიცხველების შეცვლა P.5.7 (1)</t>
  </si>
  <si>
    <t>(6) ბათუმი, სოციალურ აბონენტებთან თერმოკორექტორის გარეშე არსებული მრიცხველების შეცვლა P.5.7 (1)</t>
  </si>
  <si>
    <t>(7) ბათუმი, სერნი ვანები №208-საუბნოზე მრიცხველების გამოტანა 25-აბონენტიდან P.5.55</t>
  </si>
  <si>
    <t>(8) ბათუმი, სერნი ვანები №208-საუბნოზე მრიცხველების გამოტანა 25-აბონენტიდან P.5.55</t>
  </si>
  <si>
    <t>(9) ბათუმი, სოფელი ჩელტა, მრიცხველების გამოტანა 175 აბონენტიდან P.5.57</t>
  </si>
  <si>
    <t>(10) ბათუმი, სოფელი ჩელტა, მრიცხველების გამოტანა 175 აბონენტიდან P.5.57</t>
  </si>
  <si>
    <t>(11) ბათუმი, მახინჯაური №30-საუბნოზე მრიცხველების გამოტანა 42-აბონენტიდან P.5.54</t>
  </si>
  <si>
    <t>(12) ბათუმი, მახინჯაური №30-საუბნოზე მრიცხველების გამოტანა 42-აბონენტიდან P.5.54</t>
  </si>
  <si>
    <t>(13) ბათუმი, ბარცხანაში 06-საუბნოზე მრიცხველების გამოტანა, 75 აბონენტიდან P.5.56</t>
  </si>
  <si>
    <t>(14) ბათუმი, ბარცხანაში 06-საუბნოზე მრიცხველების გამოტანა, 75 აბონენტიდან P.5.56</t>
  </si>
  <si>
    <t>(15) ჩოხატაურში მრიცხველების გამოტანა 61 ოჯახიდან P.4.18</t>
  </si>
  <si>
    <t>(16) გაზსადენის შეღებვა მარჯანიშვილის, თბილისის, ჭანტურიას, თავისუფლების, კოსტავას, მეგობრობის, ყაზბეგის, ჟორდანიას, გორგასლის, ნინოშვილის, გურამიშვილის, ზენაიშვილის, თამარ მეფის, მუსხელიშვილის, კუპრეიშვილის ქუჩებზე (P.4.531)</t>
  </si>
  <si>
    <t>(17) გაზსადენის შეღებვა სოფ. მაჩხვარეთში P.4.532</t>
  </si>
  <si>
    <t>BSG-240111-1/0(1)</t>
  </si>
  <si>
    <t>BSG-240111-1/0(2)</t>
  </si>
  <si>
    <t>BSG-240111-1/0(3)</t>
  </si>
  <si>
    <t>BSG-240111-1/0(4)</t>
  </si>
  <si>
    <t>BSG-240111-1/0(5)</t>
  </si>
  <si>
    <t>BSG-240111-1/0(6)</t>
  </si>
  <si>
    <t>BSG-240111-1/0(7)</t>
  </si>
  <si>
    <t>BSG-240111-1/0(8)</t>
  </si>
  <si>
    <t>BSG-240111-1/0(9)</t>
  </si>
  <si>
    <t>BSG-240111-1/0(10)</t>
  </si>
  <si>
    <t>BSG-240111-1/0(11)</t>
  </si>
  <si>
    <t>BSG-240111-1/0(12)</t>
  </si>
  <si>
    <t>BSG-240111-1/0(13)</t>
  </si>
  <si>
    <t>BSG-240111-1/0(14)</t>
  </si>
  <si>
    <t>BSG-240111-1/0(15)</t>
  </si>
  <si>
    <t>BSG-240111-1/0(16)</t>
  </si>
  <si>
    <t>BSG-240111-1/0(17)</t>
  </si>
  <si>
    <t>P.3.198</t>
  </si>
  <si>
    <t>P.3.853</t>
  </si>
  <si>
    <t>P.3.735</t>
  </si>
  <si>
    <t>P.3.962</t>
  </si>
  <si>
    <t>BCG-240122-1/0(1)</t>
  </si>
  <si>
    <t>BCG-240122-1/0(2)</t>
  </si>
  <si>
    <t>BCG-240122-1/0(3)</t>
  </si>
  <si>
    <t>BCG-240122-1/0(4)</t>
  </si>
  <si>
    <t>(1) ორთაშენის გრს-დან შინდისის გზატკეცილამდე კერძო ტერიტორიებზე გამავალი გაზსადენის რეაბილიტაცია (P.3.198)</t>
  </si>
  <si>
    <t>(2) კოდისწყაროს გგს დან მინდვრებზე გამავალი დ100 მილიმეტრიანი კოროზირებული გაზსადენის ამოცვლა და გამდლისწყაროს მიმართულებით ქსელის გამსხვილება (P.3.853)</t>
  </si>
  <si>
    <t>(3) სოფელ ნაწრეტში მკვებავი გაზსადენის გამოტანა-რეაბილიტაცია (P.3.735)</t>
  </si>
  <si>
    <t>(4) სოფ. ქიწნისი გაზსადენის რეაბილიტაცია (P.3.962)</t>
  </si>
  <si>
    <t>P.2.525</t>
  </si>
  <si>
    <t>P.3.698</t>
  </si>
  <si>
    <t>P.2.894</t>
  </si>
  <si>
    <t>P.2.1160</t>
  </si>
  <si>
    <t>P.3.697</t>
  </si>
  <si>
    <t>P.2.553</t>
  </si>
  <si>
    <t>P.3.879</t>
  </si>
  <si>
    <t>P.2.45</t>
  </si>
  <si>
    <t>P.2.950</t>
  </si>
  <si>
    <t>P.2.84</t>
  </si>
  <si>
    <t>P.2.829</t>
  </si>
  <si>
    <t>P.2.518</t>
  </si>
  <si>
    <t>P.2.542</t>
  </si>
  <si>
    <t>P.2.831</t>
  </si>
  <si>
    <t>P.2.526</t>
  </si>
  <si>
    <t>P.2.81</t>
  </si>
  <si>
    <t>(1) #999 გერეესიდან ზ. ალვნამდე არსებული ქსელის რეაბილიტაცია P.2.525</t>
  </si>
  <si>
    <t>(2) სოფელ ბიწმენდში არსებული შიდა ქსელის რეაბილიტაცია და გამსხვილება P.3.698</t>
  </si>
  <si>
    <t>(3) სოფელ შრომისა და სოფელ კავშირის გაზსადენების რეაბილიტაცია. P.2.894</t>
  </si>
  <si>
    <t>(4) სოფ. კაბალში ფოლადის გაზსადენის შეცვლა პოლიეთილენით P.2.1160</t>
  </si>
  <si>
    <t>(5) სოფელ მუხრანში არსებული შიდა ქსელის რეაბილიტაცია და გამსხვილება P.3.697</t>
  </si>
  <si>
    <t>(7) დაბა სურამში აღმაშენებლისა და თამარ მეფის ქუჩებზე D=100 მმ ფოლადის საჰაიერო გაზსადენის შეცვლა პოლიეთილენის D=160 მმ მიწისქვეშა გაზსადენით P.3.879</t>
  </si>
  <si>
    <t>(9) ქ. საგარეჯო. სათავის უბნის ქსელის რეაბილიტაცია P.2.950</t>
  </si>
  <si>
    <t>(10) სოფ. სართიჭალა, ცხაკაიას ქუჩის გაზსადენის რეაბილიტაცია P.2.84</t>
  </si>
  <si>
    <t>(11) გარდაბანი, სოფ. ნაზარლოში ცენტრალური გაზსადენის აწევა და მიწისქვეშა გადასვლების რეაბილიტაცია P.2.829</t>
  </si>
  <si>
    <t>(12) #2 ახმეტის მუნიციპალიტეტი სოფელი მატანის გაზსადენის რეაბილიტაცია მატნის საუბნოდან სოფლის შესასვლელამდე P.2.518</t>
  </si>
  <si>
    <t>(14) გარდაბანი, სოფ. მუხროვანი ,არსებული დაბალი წნევის გაზსადენის რეაბილიტაცია  P.2.1070</t>
  </si>
  <si>
    <t>(15) სოფ. სართიჭალა არსებული საშ წნევის D300მმ მიწისქვეშა ფოლადის  გაზსადენის რეაბილიტაცია P.2.1069</t>
  </si>
  <si>
    <t>(16) გარდაბანი , სოფ. ლელაშხაში არსებული გაზგამანაწილებელი ქსელის რეაბილიტაცია P.2.831</t>
  </si>
  <si>
    <t>(17) #999 ქ. ახმეტა გორგასლის პირველი შესახვევი მიწისქვეშა გაზსადენის რეაბილიტაცია P.2.526</t>
  </si>
  <si>
    <t>(18) სოფ. სართიჭალა, მუღანლოს დასახ. ქუჩის ჩიხის ქსელის რეაბილიტაცია P.2.81</t>
  </si>
  <si>
    <t>(6) ქ. დედოფლისწყარო-მეგობრობის ქუჩა #4 საუბნო მრიცხველამდე რეაბილიტაცია P.2.553</t>
  </si>
  <si>
    <t>(8) სოფ. ზემო მაჩხაანი-აკაკის და ჯამასპიანთ უბანი გაზსადენის რეაბილიტაცია P.2.45</t>
  </si>
  <si>
    <t>(13) სოფ. არბოშიკი-#20 საუბნო მრიცხველიდან კოტაანი და მაჩხაანის მიმართულება გაზსადენის რეაბილიტაცია P.2.542</t>
  </si>
  <si>
    <t>BSG-240122-1/0(1)</t>
  </si>
  <si>
    <t>BSG-240122-1/0(2)</t>
  </si>
  <si>
    <t>BSG-240122-1/0(3)</t>
  </si>
  <si>
    <t>BSG-240122-1/0(4)</t>
  </si>
  <si>
    <t>BSG-240122-1/0(5)</t>
  </si>
  <si>
    <t>BSG-240122-1/0(6)</t>
  </si>
  <si>
    <t>BSG-240122-1/0(7)</t>
  </si>
  <si>
    <t>BSG-240122-1/0(8)</t>
  </si>
  <si>
    <t>BSG-240122-1/0(9)</t>
  </si>
  <si>
    <t>BSG-240122-1/0(10)</t>
  </si>
  <si>
    <t>BSG-240122-1/0(11)</t>
  </si>
  <si>
    <t>BSG-240122-1/0(12)</t>
  </si>
  <si>
    <t>BSG-240122-1/0(13)</t>
  </si>
  <si>
    <t>BSG-240122-1/0(14)</t>
  </si>
  <si>
    <t>BSG-240122-1/0(15)</t>
  </si>
  <si>
    <t>BSG-240122-1/0(16)</t>
  </si>
  <si>
    <t>BSG-240122-1/0(17)</t>
  </si>
  <si>
    <t>BSG-240122-1/0(18)</t>
  </si>
  <si>
    <t>P.6.1147</t>
  </si>
  <si>
    <t>P.6.540</t>
  </si>
  <si>
    <t>P.6.8</t>
  </si>
  <si>
    <t>P.6.27</t>
  </si>
  <si>
    <t>P.6.512</t>
  </si>
  <si>
    <t>P.6.266</t>
  </si>
  <si>
    <t>P.6.22</t>
  </si>
  <si>
    <t>P.6.211</t>
  </si>
  <si>
    <t>P.6.560</t>
  </si>
  <si>
    <t>P.6.235</t>
  </si>
  <si>
    <t>P.6.253</t>
  </si>
  <si>
    <t>P.6.250</t>
  </si>
  <si>
    <t>P.6.918</t>
  </si>
  <si>
    <t>P.6.920</t>
  </si>
  <si>
    <t>P.6.178</t>
  </si>
  <si>
    <t>P.6.555</t>
  </si>
  <si>
    <t>P.6.247</t>
  </si>
  <si>
    <t>P.6.552</t>
  </si>
  <si>
    <t>P.6.29</t>
  </si>
  <si>
    <t>P.6.216</t>
  </si>
  <si>
    <t>P.6.1121</t>
  </si>
  <si>
    <t>P.6.558</t>
  </si>
  <si>
    <t>P.6.569</t>
  </si>
  <si>
    <t>(4) ბაღდათის მუნიციპალიტეტი, რუსთაველის ქუჩის გაზსადენის რეაბილიტაცია P.6.1147</t>
  </si>
  <si>
    <t>(6) მე 3 საუბნო. სოფ. ფერსათის ჩიხების და ქუჩების D=80 მმ ფოლადის მიწისქვეშა და საჰაერო გაზსადენის რეაბილიტაცია P.6.540</t>
  </si>
  <si>
    <t>(11) თამარის ქ. საშ. წნევის და დაბალი წნევის გაზსადენის რეაბილიტაცია P.6.27</t>
  </si>
  <si>
    <t>(13) ქ. ჭიათურა. ჭავჭავაძის და ვაჩნაძის ქუჩებზე არსებული მიწისქვეშა ფოლადის დაბალი წნევის გაზსადენის რეაბილიტაცია P.6.512</t>
  </si>
  <si>
    <t>(15) ლორთქიფანიძის ქუჩის მე-3, მე-6 და მე-7 შესახვევების ქსელის რეაბილიტაცია. მიწისქვეშა გადასვლების რეაბილიტაცია P.6.266</t>
  </si>
  <si>
    <t>(17) ქეთევან წამებულის დ/წნევის მიწისქვეშა გაზსადენის რეაბილიტაცია P.6.22</t>
  </si>
  <si>
    <t>(19) N24 საუბნოზე, კერძო საკუთრებაში გამავალი, საჰაერო გაზსადენის გამოტანა და კოროზირებული გადასვლების რეაბილიტაცია  P.6.211</t>
  </si>
  <si>
    <t>(21) სოფ. ცხრაწყაროსკენ მიმავალი დ-100 მმ-იანი საჰაერო გაზსადენის საყრდენების მოწყობა P.6.560</t>
  </si>
  <si>
    <t>(22) გაზსადენის შეღებვა: ქ. წყალტუბო დედაენის ქუჩა, თბილისის ქუჩა, დადიანის ქუჩა, კლდიაშვილის ქუჩა, ჩოლოყაშვილის ქუჩა, ჭაბუკიანის ქუჩა, თაყაიშვილის ქუჩა, ვაჟა-ფშაველას ქუჩა, 26 მაისის ქუჩა, შარტავას ქუჩა, ნინოშვილის ქუჩა, გურიელის ქუჩა, გორგასვლის ქუჩა, ყაზბეგის ქუჩა, სოფ. მეორე უბანი. P.6.235</t>
  </si>
  <si>
    <t>(23) გაზსადენის შეღებვა: ქ. ბაღდათი 3 საუბნო თბილისის, დადიანის, რობაქიძის და გუბელაძის ქუჩები. 2 საუბნო სოფ.დიმი. 10 საუბნო სოფ.საიმედო. P.6.253</t>
  </si>
  <si>
    <t>(24) გაზსადენის შეღებვა: ქ.ზესტაფონი, ქუთაისის ქ, მერჩულეს ქ არგვეთა სპირტსტროის ქარხანასთან, ჩხეიძის ქ, სოფ ცხრაწყარო, კვალითის დასახლება, დიდგორის ქ ნ.ნიკოლაძის ქ, მესხიშვილის ქ, კეთილაძის ქ, მაჭავარიანის ქ, ღამბაშიძის ქ, გრიშაშვილის ქ, ქოჩიაშვილის ქ, გორგასალის ქ, აბესაძის ქ, სოფ ქვედა საქარა. P.6.250</t>
  </si>
  <si>
    <t>(26) დ.ხარაგაული, სოფ. კიცხში დამეწყრილ მონაკვეთში გაზსადენის რეაბილიტაცია P.6.918</t>
  </si>
  <si>
    <t>(28) სოფ. ქვედა საქარის დაბალი წნევის მიწისქვეშა გაზსადენის რეაბილიტაცია (დალაქიშვილების უბანი) P.6.920</t>
  </si>
  <si>
    <t>(30) ქ. ზესტაფონი, დაბა შოროპანი, შოროპნის ციხეზე გამავალი D-150 მმ-იანი გაზსადენის რეაბილიტაცია P.6.178</t>
  </si>
  <si>
    <t>(32) ლეონიძის ქუჩის მიწისქვეშა გაზსადენის რეაბილიტაცია P.6.555</t>
  </si>
  <si>
    <t>(37) სოფ. ზედა საქარის სკოლასთან არსებული D=150 მმ საჰაერო გადასვლის დემონტაჟი და მე 11 კვანძიდან გაზმომარაგების ქსელის მშენებლობა. P.6.552</t>
  </si>
  <si>
    <t>(41) მერკვილაძის ქუჩის მიწისქვეშა დაბალი წნევის გაზსადენის რეაბილიტაცია P.6.29</t>
  </si>
  <si>
    <t>(43) N99 საუბნოზე, მიწისქვეშა ფოლადის ამორტიზებული დ-100 მმ გადასვლების რეაბილიტაცია. P.6.216</t>
  </si>
  <si>
    <t>(45) ზესტაფონის მუნიციპალიტეტის, სოფ. მეორე სვირის ჯუღელების უბნის გაზსადენის რეაბილიტაცია P.6.1121</t>
  </si>
  <si>
    <t>(47) ელემენტების ქარხნის მიმდებარედ არსებული საჰაერო გაზსადენის საყრდენების რეაბილიტაცია P.6.558</t>
  </si>
  <si>
    <t>(3) ბაღდათის მუნიციპალიტეტი, რუსთაველის ქუჩის გაზსადენის რეაბილიტაციის საპროექტო სამუშაოები P.6.1147</t>
  </si>
  <si>
    <t>(5) მე 3 საუბნო. სოფ. ფერსათის ჩიხების და ქუჩების D=80 მმ ფოლადის მიწისქვეშა და საჰაერო გაზსადენის რეაბილიტაციის საპროექტო სამუშაოები P.6.540</t>
  </si>
  <si>
    <t>(7) ქ. ბაღდათში ცენტრალურ უბანში შანიძე-ჯავახიშვილი-თამარ მეფის ქ. გაზსადენის რეაბილიტაციის საპროექტო სამუშაოები P.6.8</t>
  </si>
  <si>
    <t>(8) ქ. ბაღდათში ცენტრალურ უბანში შანიძე-ჯავახიშვილი-თამარ მეფის ქ. გაზსადენის რეაბილიტაცია. P.6.8</t>
  </si>
  <si>
    <t>(9) სოფ. არგვეთის დაბალი წნევის გაზსადენის რეაბილიტაციის საპროექტო სამუშაოები P.6.19</t>
  </si>
  <si>
    <t>(10) თამარის ქ. საშ. წნევის და დაბალი წნევის გაზსადენის რეაბილიტაციის საპროექტო სამუშაოები P.6.27</t>
  </si>
  <si>
    <t>(12) ქ. ჭიათურა. ჭავჭავაძის და ვაჩნაძის ქუჩებზე არსებული მიწისქვეშა ფოლადის დაბალი წნევის გაზსადენის რეაბილიტაციის საპროექტო სამუშაოები P.6.512</t>
  </si>
  <si>
    <t>(14) ლორთქიფანიძის ქუჩის მე-3, მე-6 და მე-7 შესახვევების ქსელის რეაბილიტაცია. მიწისქვეშა გადასვლების რეაბილიტაციის საპროექტო სამუშაოები P.6.266</t>
  </si>
  <si>
    <t>(16) ქეთევან წამებულის დ/წნევის მიწისქვეშა გაზსადენის რეაბილიტაციის საპროექტო სამუშაოები P.6.22</t>
  </si>
  <si>
    <t>(18) N24 საუბნოზე, კერძო საკუთრებაში გამავალი, საჰაერო გაზსადენის გამოტანა და კოროზირებული გადასვლების რეაბილიტაციის საპროექტო სამუშაოები P.6.211</t>
  </si>
  <si>
    <t>(20) სოფ. ცხრაწყაროსკენ მიმავალი დ-100 მმ-იანი საჰაერო გაზსადენის საყრდენების მოწყობა, საპროექტო სამუშაოები P.6.560</t>
  </si>
  <si>
    <t>(25) დ.ხარაგაული, სოფ. კიცხში დამეწყრილ მონაკვეთში გაზსადენის რეაბილიტაციის საპროექტო სამუშაოები P.6.918</t>
  </si>
  <si>
    <t>(27) სოფ. ქვედა საქარის დაბალი წნევის მიწისქვეშა გაზსადენის რეაბილიტაციის (დალაქიშვილების უბანი) საპროექტო სამუშაოები P.6.920</t>
  </si>
  <si>
    <t>(29) ქ. ზესტაფონი, დაბა შოროპანი, შოროპნის ციხეზე გამავალი D-150 მმ-იანი გაზსადენის რეაბილიტაციის საპროექტო სამუშაოები P.6.178</t>
  </si>
  <si>
    <t>(31) ლეონიძის ქუჩის მიწისქვეშა გაზსადენის რეაბილიტაციის საპროექტო სამუშაოები P.6.555</t>
  </si>
  <si>
    <t>(33) გაზსადენის შეღებვა: ქ. ჭიათურა, 22-ე საუბნო - ცხოვრებაძის ქ, ჭანტურიას ქ, ბაქრაძის ქ, 6- საუბნო ჭანტურიას და ჩაჩანიძის ქ , მე-5 საუბნო - ჩაჩანიძის ქ, ლეჟუბნის ქ,  9-აპრილის ქ, ვაჟა-ფშაველას ქ, აბაშიძის ქ. 1-ლი საუბნო - თბილისის ქ, ტოლსტოის ქ, 26 მაისის ქ. P.6.247</t>
  </si>
  <si>
    <t>(34) სოფ. ჩუნეშში ე.წ "გოგიაურის" უბნის  ცენტრალური ნაწილის  დ-63მმ-იანი დაბ/წნევის  გაზსადენის რეაბილიტაციის საპროექტო სამუშაოები P.6.874</t>
  </si>
  <si>
    <t>(36) სოფ. ზედა საქარის სკოლასთან არსებული D=150 მმ საჰაერო გადასვლის დემონტაჟი და მე 11 კვანძიდან გაზმომარაგების ქსელის მშენებლობა. საპროექტო სამუშაოები P.6.552</t>
  </si>
  <si>
    <t>(40) მერკვილაძის ქუჩის მიწისქვეშა დაბალი წნევის გაზსადენის რეაბილიტაციის საპროექტო სამუშაოები P.6.29</t>
  </si>
  <si>
    <t>(42) N99 საუბნოზე, მიწისქვეშა ფოლადის ამორტიზებული დ-100 მმ გადასვლების რეაბილიტაციის საპროექტო სამუშაოები P.6.216</t>
  </si>
  <si>
    <t>(44) ზესტაფონის მუნიციპალიტეტის, სოფ. მეორე სვირის ჯუღელების უბნის გაზსადენის რეაბილიტაციის საპროექტო სამუშაოები P.6.1121</t>
  </si>
  <si>
    <t>(46) ელემენტების ქარხნის მიმდებარედ არსებული საჰაერო გაზსადენის საყრდენების რეაბილიტაციის საპროექტო სამუშაოები P.6.558</t>
  </si>
  <si>
    <t>(48) სოფელ გუმბრის ტერიტორიაზე, წყალტუბო-ქუთაისის საავტომობილო გზის ორივე მხარეს, საშ. წნევის  გაზსადენის მშენებლობა, საპროექტო სამუშაოები. P.6.569</t>
  </si>
  <si>
    <t>(49) სოფელ გუმბრის ტერიტორიაზე, წყალტუბო-ქუთაისის საავტომობილო გზის ორივე მხარეს, საშ. წნევის გაზსადენის მშენებლობა P.6.569</t>
  </si>
  <si>
    <t>BSG-240110-1/0(3)</t>
  </si>
  <si>
    <t>BSG-240110-1/0(4)</t>
  </si>
  <si>
    <t>BSG-240110-1/0(5)</t>
  </si>
  <si>
    <t>BSG-240110-1/0(6)</t>
  </si>
  <si>
    <t>BSG-240110-1/0(7)</t>
  </si>
  <si>
    <t>BSG-240110-1/0(8)</t>
  </si>
  <si>
    <t>BSG-240110-1/0(9)</t>
  </si>
  <si>
    <t>BSG-240110-1/0(10)</t>
  </si>
  <si>
    <t>BSG-240110-1/0(11)</t>
  </si>
  <si>
    <t>BSG-240110-1/0(12)</t>
  </si>
  <si>
    <t>BSG-240110-1/0(13)</t>
  </si>
  <si>
    <t>BSG-240110-1/0(14)</t>
  </si>
  <si>
    <t>BSG-240110-1/0(15)</t>
  </si>
  <si>
    <t>BSG-240110-1/0(16)</t>
  </si>
  <si>
    <t>BSG-240110-1/0(17)</t>
  </si>
  <si>
    <t>BSG-240110-1/0(18)</t>
  </si>
  <si>
    <t>BSG-240110-1/0(19)</t>
  </si>
  <si>
    <t>BSG-240110-1/0(20)</t>
  </si>
  <si>
    <t>BSG-240110-1/0(21)</t>
  </si>
  <si>
    <t>BSG-240110-1/0(22)</t>
  </si>
  <si>
    <t>BSG-240110-1/0(23)</t>
  </si>
  <si>
    <t>BSG-240110-1/0(24)</t>
  </si>
  <si>
    <t>BSG-240110-1/0(25)</t>
  </si>
  <si>
    <t>BSG-240110-1/0(26)</t>
  </si>
  <si>
    <t>BSG-240110-1/0(27)</t>
  </si>
  <si>
    <t>BSG-240110-1/0(28)</t>
  </si>
  <si>
    <t>BSG-240110-1/0(29)</t>
  </si>
  <si>
    <t>BSG-240110-1/0(30)</t>
  </si>
  <si>
    <t>BSG-240110-1/0(31)</t>
  </si>
  <si>
    <t>BSG-240110-1/0(32)</t>
  </si>
  <si>
    <t>BSG-240110-1/0(33)</t>
  </si>
  <si>
    <t>BSG-240110-1/0(34)</t>
  </si>
  <si>
    <t>BSG-240110-1/0(35)</t>
  </si>
  <si>
    <t>BSG-240110-1/0(36)</t>
  </si>
  <si>
    <t>BSG-240110-1/0(37)</t>
  </si>
  <si>
    <t>BSG-240110-1/0(38)</t>
  </si>
  <si>
    <t>BSG-240110-1/0(39)</t>
  </si>
  <si>
    <t>BSG-240110-1/0(40)</t>
  </si>
  <si>
    <t>BSG-240110-1/0(41)</t>
  </si>
  <si>
    <t>BSG-240110-1/0(42)</t>
  </si>
  <si>
    <t>BSG-240110-1/0(43)</t>
  </si>
  <si>
    <t>BSG-240110-1/0(44)</t>
  </si>
  <si>
    <t>BSG-240110-1/0(45)</t>
  </si>
  <si>
    <t>BSG-240110-1/0(46)</t>
  </si>
  <si>
    <t>BSG-240110-1/0(47)</t>
  </si>
  <si>
    <t>BSG-240110-1/0(48)</t>
  </si>
  <si>
    <t>BSG-240110-1/0(49)</t>
  </si>
  <si>
    <t>P.6.191 (8)</t>
  </si>
  <si>
    <t>P.6.746</t>
  </si>
  <si>
    <t>P.6.602</t>
  </si>
  <si>
    <t>P.6.156</t>
  </si>
  <si>
    <t>P.6.677</t>
  </si>
  <si>
    <t>P.6.892</t>
  </si>
  <si>
    <t>P.6.70</t>
  </si>
  <si>
    <t>P.6.134</t>
  </si>
  <si>
    <t>P.6.85</t>
  </si>
  <si>
    <t>P.6.69</t>
  </si>
  <si>
    <t>P.6.899</t>
  </si>
  <si>
    <t>P.6.255</t>
  </si>
  <si>
    <t>P.6.680</t>
  </si>
  <si>
    <t>P.6.692</t>
  </si>
  <si>
    <t>P.6.154</t>
  </si>
  <si>
    <t>P.6.608</t>
  </si>
  <si>
    <t>P.6.932</t>
  </si>
  <si>
    <t>P.6.244</t>
  </si>
  <si>
    <t>P.6.617</t>
  </si>
  <si>
    <t>P.6.929</t>
  </si>
  <si>
    <t>P.6.191 (5)</t>
  </si>
  <si>
    <t>P.6.614</t>
  </si>
  <si>
    <t>P.6.613</t>
  </si>
  <si>
    <t>P.6.744</t>
  </si>
  <si>
    <t>P.6.230</t>
  </si>
  <si>
    <t>P.6.742</t>
  </si>
  <si>
    <t>P.6.927</t>
  </si>
  <si>
    <t>P.6.1122</t>
  </si>
  <si>
    <t>P.6.958</t>
  </si>
  <si>
    <t>(1) მრიცხველების შეცვლა გამოტანა 8000  P.6.191 (8)</t>
  </si>
  <si>
    <t>(2) მრიცხველების შეცვლა გამოტანა 8000  P.6.191 (8)</t>
  </si>
  <si>
    <t>(3) ქ. თერჯოლის ცენტრალური გზის მარჯვენა მხარეს განლაგებული (აღმაშენებლის, რუსთაველის, ჯაბიძის, სულხან-საბას, სოფრომაძის, 9 აპრილის, წერეთლის) ქუჩების მკვებავი ქსელის რეაბილიტაცია (N-3 N-4 N9 საუბნოები) P.6.746</t>
  </si>
  <si>
    <t>(4) ქ. თერჯოლის ცენტრალური გზის მარჯვენა მხარეს განლაგებული (აღმაშენებლის, რუსთაველის, ჯაბიძის, სულხან-საბას, სოფრომაძის, 9 აპრილის, წერეთლის) ქუჩების მკვებავი ქსელის რეაბილიტაცია (N-3 N-4 N9 საუბნოები) P.6.746</t>
  </si>
  <si>
    <t>(5) ამორტიზებული გაზსადენის რეაბილიტაცია. მკვებავი გაზსადენი ქვიტირი 1. გრს-იდან გმპ-მდე. P.6.602</t>
  </si>
  <si>
    <t>(6) ამორტიზებული გაზსადენის რეაბილიტაცია. მკვებავი გაზსადენი ქვიტირი 1. გრს-იდან გმპ-მდე. P.6.602</t>
  </si>
  <si>
    <t>(7) ამორტიზებული გაზსადენის რეაბილიტაცია. მკვებავი გაზსადენი ქვიტირი 1. სოფელი ქვიტირი ორახელაშვილის ქუჩამდე P.6.156</t>
  </si>
  <si>
    <t>(8) ამორტიზებული გაზსადენის რეაბილიტაცია. მკვებავი გაზსადენი ქვიტირი 1. სოფელი ქვიტირი ორახელაშვილის ქუჩამდე P.6.156</t>
  </si>
  <si>
    <t>(9) სამტრედია აღმაშენებლის ქუჩა. გრს 01. გაზსადენის რეაბილიტაცია P.6.677</t>
  </si>
  <si>
    <t>(10) სამტრედია აღმაშენებლის ქუჩა. გრს 01. გაზსადენის რეაბილიტაცია P.6.677</t>
  </si>
  <si>
    <t>(11) ქ. თერჯოლის ცენტრალური დასახლების, მასში შემავალი რობაქიძის, ვაჟა-ფშაველას ქუჩის და ჩიხების გაზსადენის რეაბილიტაცია P.6.892</t>
  </si>
  <si>
    <t>(12) ქ. თერჯოლის ცენტრალური დასახლების, მასში შემავალი რობაქიძის, ვაჟა-ფშაველას ქუჩის და ჩიხების გაზსადენის რეაბილიტაცია P.6.892</t>
  </si>
  <si>
    <t>(13) კ. გამსახურიდას ქუჩის დაბალი წნევის გაზსდენის რეაბილიტაცია P.6.70</t>
  </si>
  <si>
    <t>(14) კ. გამსახურიდას ქუჩის დაბალი წნევის გაზსდენის რეაბილიტაცია P.6.70</t>
  </si>
  <si>
    <t>(15) კლდიაშვილის ძეგლიდან შუქნიშნამდე არსებული გაზსადენის რეაბილიტაცია P.6.134</t>
  </si>
  <si>
    <t>(16) კლდიაშვილის ძეგლიდან შუქნიშნამდე არსებული გაზსადენის რეაბილიტაცია P.6.134</t>
  </si>
  <si>
    <t>(17) ფარნავას მეფის, გიორგი ბრწყინვალეს, პავლე ინგოროყვას, მესხიშვილის, ნუცუბიძის და ჯანელიძის ქუჩების დაბალი წნევის გაზსადენის რეაბილიტაცია P.6.85</t>
  </si>
  <si>
    <t>(18) ფარნავას მეფის, გიორგი ბრწყინვალეს, პავლე ინგოროყვას, მესხიშვილის, ნუცუბიძის და ჯანელიძის ქუჩების დაბალი წნევის გაზსადენის რეაბილიტაცია P.6.85</t>
  </si>
  <si>
    <t>(19) სამტრედია სოფ. დიდი ჯიხაიში გაზსადენის რეაბილიტაცია P.6.690</t>
  </si>
  <si>
    <t>(20) სამტრედია სოფ. დიდი ჯიხაიში გაზსადენის რეაბილიტაცია P.6.690</t>
  </si>
  <si>
    <t>(21) კ. გამსახურდიას და ოცხელის ქ. საშუალო წნევის გაზსადენის რეაბილიტაცია P.6.69</t>
  </si>
  <si>
    <t>(22) კ. გამსახურდიას და ოცხელის ქ. საშუალო წნევის გაზსადენის რეაბილიტაცია P.6.69</t>
  </si>
  <si>
    <t>(23) საუბნო 36 დაბალი წნევის გაზსადენის რეაბილიტაცია (26 მაისის ქუჩა, არაგვისპირელის ქუჩა, კაპეტივაძის ქუჩა, განათლების ქუჩა, კლდიაშვილის ქუჩა, ნიჯარაძის ქუჩა, კოსტავას ქუჩა) P.6.899</t>
  </si>
  <si>
    <t>(24) საუბნო 36 დაბალი წნევის გაზსადენის რეაბილიტაცია (26 მაისის ქუჩა, არაგვისპირელის ქუჩა, კაპეტივაძის ქუჩა, განათლების ქუჩა, კლდიაშვილის ქუჩა, ნიჯარაძის ქუჩა, კოსტავას ქუჩა) P.6.899</t>
  </si>
  <si>
    <t>(25) სამტრედია სოფ. დიდი ჯიხაიში გაზსადენის რეაბილიტაცია P.6.689</t>
  </si>
  <si>
    <t>(26) სამტრედია სოფ. დიდი ჯიხაიში გაზსადენის რეაბილიტაცია P.6.689</t>
  </si>
  <si>
    <t>(27) მარჯანიშვილის, გურიელის, დონეცკის (თავისუფლების 6 შესახვევი), ზესტაფონის, თაყაიშვილის, კაკაბაძის, კეკელიძის, კირილე ლორთქიფანიძის ქუჩების შესახვევები და ჩიხების რეაბილიტაცია P.6.255</t>
  </si>
  <si>
    <t>(28) მარჯანიშვილის, გურიელის, დონეცკის (თავისუფლების 6 შესახვევი), ზესტაფონის, თაყაიშვილის, კაკაბაძის, კეკელიძის, კირილე ლორთქიფანიძის ქუჩების შესახვევები და ჩიხების რეაბილიტაცია P.6.255</t>
  </si>
  <si>
    <t>(29) სამტრედია 9 აპრილის ქუჩის და მე-3 ჩიხის გაზსადენის რეაბილიტაცია P.6.680</t>
  </si>
  <si>
    <t>(30) სამტრედია 9 აპრილის ქუჩის და მე-3 ჩიხის გაზსადენის რეაბილიტაცია P.6.680</t>
  </si>
  <si>
    <t>(32) ანჯაფარიძის ქუჩა ამორტიზებული გაზსადენის რეაბილიტაცია P.6.154</t>
  </si>
  <si>
    <t>(33) ანჯაფარიძის ქუჩა ამორტიზებული გაზსადენის რეაბილიტაცია P.6.154</t>
  </si>
  <si>
    <t>(34) 26 მაისის და გოგებაშვილის ქუჩაზე დაბალი წნევის გაზსადენის რეაბილიტაცია P.6.608</t>
  </si>
  <si>
    <t>(35) 26 მაისის და გოგებაშვილის ქუჩაზე დაბალი წნევის გაზსადენის რეაბილიტაცია P.6.608</t>
  </si>
  <si>
    <t>(36) მარტვილი გაზსადენის შეღებვა: თამარ მეფის, 9 აპრილის, ენგელსის, კახა ბართიას, თბილისის, დადიანის, წოწორიას, წყონდიდელის ქუჩები, სოფ. ხუნწი, ნაგვაზაო, ინჩხური P.6.932</t>
  </si>
  <si>
    <t>(37) გაზსადენის შეღებვა: ქ.თერჯოლა სოფ. ახალთერჯოლა, ჩხარი, ძევრი P.6.244</t>
  </si>
  <si>
    <t>(38) გიორგი ბრწყინვალეს 6 შესახვევი, სერგეი მესხის (ენგელსის ქ) ფიროსმანის ქუჩები შესახვევებით და ჩიხებით. ნარსიას ქ. ა.ხორავას ქ. (უკრაინის ქ.) (565 აბონენტი) გაზსადენის რეაბილიტაცია P.6.617</t>
  </si>
  <si>
    <t>(39) გიორგი ბრწყინვალეს 6 შესახვევი, სერგეი მესხის (ენგელსის ქ) ფიროსმანის ქუჩები შესახვევებით და ჩიხებით. ნარსიას ქ. ა.ხორავას ქ. (უკრაინის ქ.) (565 აბონენტი) გაზსადენის რეაბილიტაცია P.6.617</t>
  </si>
  <si>
    <t>(40) სამტრედია ნინოშვილის ქუჩა და ნინოშვილის ჩიხის გაზსადენის რეაბილიტაცია P.6.681</t>
  </si>
  <si>
    <t>(41) სამტრედია ნინოშვილის ქუჩა და ნინოშვილის ჩიხის გაზსადენის რეაბილიტაცია P.6.681</t>
  </si>
  <si>
    <t>(42) სამტრედია გაზსადენის შეღებვა: ვაშაკიძის, გამსახურდიას. დადიანის, არგონავტების, თევზაძის, ლორიას, გამრეკელიძის, ელიავას, თავისუფლების, დიდგორის, პაპავას, რესპუბლიკის მე-2, მე-4 ჩიხები, ფანჯიკიძის, ნიკოლეიშვილის ქუჩები. P.6.929</t>
  </si>
  <si>
    <t>(43) მრიცხველების შეცვლა გამოტანა: ქ. თერჯოლა 200 და ქ.ამბროლაური 300 P.6.191 (5)</t>
  </si>
  <si>
    <t>(44) მრიცხველების შეცვლა გამოტანა: ქ. თერჯოლა 200 და ქ.ამბროლაური 300 P.6.191 (5)</t>
  </si>
  <si>
    <t>(45) ახალგაზრდობის 1 შესახვევის გაზს-ის რეაბილიტაცია (აღრ. კვანძ-დან გმპ-მდე) P.6.614</t>
  </si>
  <si>
    <t>(46) ახალგაზრდობის 1 შესახვევის გაზს-ის რეაბილიტაცია (აღრ. კვანძ-დან გმპ-მდე) P.6.614</t>
  </si>
  <si>
    <t>(47) გრიგოლ აბაშიძის ქუჩის გაზსადენის რეაბილიტაცია P.6.613</t>
  </si>
  <si>
    <t>(48) გრიგოლ აბაშიძის ქუჩის გაზსადენის რეაბილიტაცია P.6.613</t>
  </si>
  <si>
    <t>(49) სოფ. ნახშირღელის გაზსადენის ავტობანი-ქუთაისის ტრასის მარცხენა გვერდზე გაზსადენის მშენებლობა. P.6.744</t>
  </si>
  <si>
    <t>(50) სოფ. ნახშირღელის გაზსადენის ავტობანი-ქუთაისის ტრასის მარცხენა გვერდზე გაზსადენის მშენებლობა. P.6.744</t>
  </si>
  <si>
    <t>(51) გაზსადენის შეღებვა: ქ, ქუთაისი, ნიკეას ქუჩა P.6.230</t>
  </si>
  <si>
    <t>(52) ამბროლაური სოფ. სადმელი მკვებავი გაზსადენის რეაბილიტაცია. P.6.742</t>
  </si>
  <si>
    <t>(53) ამბროლაური სოფ. სადმელი მკვებავი გაზსადენის რეაბილიტაცია. P.6.742</t>
  </si>
  <si>
    <t>(54) ხონი, სოფ. კონტუათი, გაზსადენის რეაბილიტაცია.  P.6.927</t>
  </si>
  <si>
    <t>(55) ხონი, სოფ. კონტუათი, გაზსადენის რეაბილიტაცია.  P.6.927</t>
  </si>
  <si>
    <t>(56) ნიუპორტის ქ.  გზის რეაბილიტაციასთან დაკავშირებით შესაძლებელია კოროზირებული გაზსადენის შეცვლა P.6.1122</t>
  </si>
  <si>
    <t>(57) ნიუპორტის ქ.  გზის რეაბილიტაციასთან დაკავშირებით შესაძლებელია კოროზირებული გაზსადენის შეცვლა P.6.1122</t>
  </si>
  <si>
    <t>(58) სამტრედია სოფ. პატარა ეწერი D=63 მმ-იანი L600 საშუალო წნევის გაზსადენის მშენებლობა.  P.6.958</t>
  </si>
  <si>
    <t>(59) სამტრედია სოფ. პატარა ეწერი D=63 მმ-იანი L600 საშუალო წნევის გაზსადენის მშენებლობა.  P.6.958</t>
  </si>
  <si>
    <t>BCG-240110-1/0(1)</t>
  </si>
  <si>
    <t>BCG-240110-1/0(2)</t>
  </si>
  <si>
    <t>BCG-240110-1/0(3)</t>
  </si>
  <si>
    <t>BCG-240110-1/0(4)</t>
  </si>
  <si>
    <t>BCG-240110-1/0(5)</t>
  </si>
  <si>
    <t>BCG-240110-1/0(6)</t>
  </si>
  <si>
    <t>BCG-240110-1/0(7)</t>
  </si>
  <si>
    <t>BCG-240110-1/0(8)</t>
  </si>
  <si>
    <t>BCG-240110-1/0(9)</t>
  </si>
  <si>
    <t>BCG-240110-1/0(10)</t>
  </si>
  <si>
    <t>BCG-240110-1/0(11)</t>
  </si>
  <si>
    <t>BCG-240110-1/0(12)</t>
  </si>
  <si>
    <t>BCG-240110-1/0(13)</t>
  </si>
  <si>
    <t>BCG-240110-1/0(14)</t>
  </si>
  <si>
    <t>BCG-240110-1/0(15)</t>
  </si>
  <si>
    <t>BCG-240110-1/0(16)</t>
  </si>
  <si>
    <t>BCG-240110-1/0(17)</t>
  </si>
  <si>
    <t>BCG-240110-1/0(18)</t>
  </si>
  <si>
    <t>BCG-240110-1/0(19)</t>
  </si>
  <si>
    <t>BCG-240110-1/0(20)</t>
  </si>
  <si>
    <t>BCG-240110-1/0(21)</t>
  </si>
  <si>
    <t>BCG-240110-1/0(22)</t>
  </si>
  <si>
    <t>BCG-240110-1/0(23)</t>
  </si>
  <si>
    <t>BCG-240110-1/0(24)</t>
  </si>
  <si>
    <t>BCG-240110-1/0(25)</t>
  </si>
  <si>
    <t>BCG-240110-1/0(26)</t>
  </si>
  <si>
    <t>BCG-240110-1/0(27)</t>
  </si>
  <si>
    <t>BCG-240110-1/0(28)</t>
  </si>
  <si>
    <t>BCG-240110-1/0(29)</t>
  </si>
  <si>
    <t>BCG-240110-1/0(30)</t>
  </si>
  <si>
    <t>BCG-240110-1/0(31)</t>
  </si>
  <si>
    <t>BCG-240110-1/0(32)</t>
  </si>
  <si>
    <t>BCG-240110-1/0(33)</t>
  </si>
  <si>
    <t>BCG-240110-1/0(34)</t>
  </si>
  <si>
    <t>BCG-240110-1/0(35)</t>
  </si>
  <si>
    <t>BCG-240110-1/0(36)</t>
  </si>
  <si>
    <t>BCG-240110-1/0(37)</t>
  </si>
  <si>
    <t>BCG-240110-1/0(38)</t>
  </si>
  <si>
    <t>BCG-240110-1/0(39)</t>
  </si>
  <si>
    <t>BCG-240110-1/0(40)</t>
  </si>
  <si>
    <t>BCG-240110-1/0(41)</t>
  </si>
  <si>
    <t>BCG-240110-1/0(42)</t>
  </si>
  <si>
    <t>BCG-240110-1/0(43)</t>
  </si>
  <si>
    <t>BCG-240110-1/0(44)</t>
  </si>
  <si>
    <t>BCG-240110-1/0(45)</t>
  </si>
  <si>
    <t>BCG-240110-1/0(46)</t>
  </si>
  <si>
    <t>BCG-240110-1/0(47)</t>
  </si>
  <si>
    <t>BCG-240110-1/0(48)</t>
  </si>
  <si>
    <t>BCG-240110-1/0(49)</t>
  </si>
  <si>
    <t>BCG-240110-1/0(50)</t>
  </si>
  <si>
    <t>BCG-240110-1/0(51)</t>
  </si>
  <si>
    <t>BCG-240110-1/0(52)</t>
  </si>
  <si>
    <t>BCG-240110-1/0(53)</t>
  </si>
  <si>
    <t>BCG-240110-1/0(54)</t>
  </si>
  <si>
    <t>BCG-240110-1/0(55)</t>
  </si>
  <si>
    <t>BCG-240110-1/0(56)</t>
  </si>
  <si>
    <t>BCG-240110-1/0(57)</t>
  </si>
  <si>
    <t>BCG-240110-1/0(58)</t>
  </si>
  <si>
    <t>BCG-240110-1/0(59)</t>
  </si>
  <si>
    <t>(31) სამტრედია გაზსადენის შეღებვა: რესპუბლიკის, იმერეთის, ბოლქვაძის, ყაზბეგის, ლესელიძის,კლდიაშვილის, ფალიაშვილის, ბახტაძის.კრავეიშვილის, გურამიშვილის, ბათუმის, წერეთლის, 26 მაისის, კანდელაკის, ჯანელიძის, შევჩენკოს, ჭანტურიას ქუჩები. P.6.692</t>
  </si>
  <si>
    <t>P.2.906</t>
  </si>
  <si>
    <t>P.2.93</t>
  </si>
  <si>
    <t>P.2.871</t>
  </si>
  <si>
    <t>P.2.874</t>
  </si>
  <si>
    <t>P.2.809</t>
  </si>
  <si>
    <t>P.2.810</t>
  </si>
  <si>
    <t>P.2.888</t>
  </si>
  <si>
    <t>P.2.815</t>
  </si>
  <si>
    <t>P.2.975</t>
  </si>
  <si>
    <t>P.2.99</t>
  </si>
  <si>
    <t>P.2.970</t>
  </si>
  <si>
    <t>P.2.502</t>
  </si>
  <si>
    <t>P.2.856</t>
  </si>
  <si>
    <t>P.2.551</t>
  </si>
  <si>
    <t>P.2.799</t>
  </si>
  <si>
    <t>P.2.1161</t>
  </si>
  <si>
    <t>P.2.858</t>
  </si>
  <si>
    <t>P.2.104</t>
  </si>
  <si>
    <t>P.2.859</t>
  </si>
  <si>
    <t>P.2.105</t>
  </si>
  <si>
    <t>P.2.973</t>
  </si>
  <si>
    <t>P.2.887</t>
  </si>
  <si>
    <t>P.2.1118</t>
  </si>
  <si>
    <t>P.2.995</t>
  </si>
  <si>
    <t>P.2.1224</t>
  </si>
  <si>
    <t>P.2.119</t>
  </si>
  <si>
    <t>P.2.972</t>
  </si>
  <si>
    <t>P.2.109</t>
  </si>
  <si>
    <t>P.2.1120</t>
  </si>
  <si>
    <t>P.2.847</t>
  </si>
  <si>
    <t>P.2.780</t>
  </si>
  <si>
    <t>P.2.108</t>
  </si>
  <si>
    <t>P.2.550</t>
  </si>
  <si>
    <t>P.2.869</t>
  </si>
  <si>
    <t>P.2.35</t>
  </si>
  <si>
    <t>P.2.861</t>
  </si>
  <si>
    <t>P.2.506</t>
  </si>
  <si>
    <t>P.2.792</t>
  </si>
  <si>
    <t>P.2.903</t>
  </si>
  <si>
    <t>P.2.1117</t>
  </si>
  <si>
    <t>P.2.778</t>
  </si>
  <si>
    <t>P.2.34</t>
  </si>
  <si>
    <t>P.2.923</t>
  </si>
  <si>
    <t>P.2.775</t>
  </si>
  <si>
    <t>P.2.1116</t>
  </si>
  <si>
    <t>P.2.966</t>
  </si>
  <si>
    <t>P.2.991</t>
  </si>
  <si>
    <t>P.2.971</t>
  </si>
  <si>
    <t>P.2.927</t>
  </si>
  <si>
    <t>P.2.879</t>
  </si>
  <si>
    <t>P.2.1115</t>
  </si>
  <si>
    <t>P.2.1119</t>
  </si>
  <si>
    <t>P.2.777</t>
  </si>
  <si>
    <t>P.2.791</t>
  </si>
  <si>
    <t>P.2.921</t>
  </si>
  <si>
    <t>P.2.919</t>
  </si>
  <si>
    <t>P.2.965</t>
  </si>
  <si>
    <t>P.2.100</t>
  </si>
  <si>
    <t>P.2.924</t>
  </si>
  <si>
    <t>P.2.925</t>
  </si>
  <si>
    <t>P.2.922</t>
  </si>
  <si>
    <t>P.2.926</t>
  </si>
  <si>
    <t>P.2.920</t>
  </si>
  <si>
    <t>P.2.974</t>
  </si>
  <si>
    <t>(1) სოფ ჯანდარის დაბალი წნევის მილის რეაბილიტაცია. (P.2.906)</t>
  </si>
  <si>
    <t>(2) ქ. ყვარელი დურუჯის ქუჩის მიწისქვეშა გაზსადენის რეაბილიტაცია 57. 06. 56. 379-დან 57. 06. 52. 133-მდე (P.2.93)</t>
  </si>
  <si>
    <t>(3) 34-ე საუბნო (სოფ. დარჩეთი, ცენტრალური გზა, ორივე მხრიდან) (არაშენდიდან ქოდალომდე) ბესოს ფერმასთან (შესასვლელში) (დარჩეთის სკოლასთან) წნევის გაზსადენის რეაბილიტაცია. (P.2.871)</t>
  </si>
  <si>
    <t>(4) 43-ე საუბნო კვანძზე (მელაანიდან გზის პირი, გაჩერებამდე) (ჩალაუბანში საშ. წნევის მიყვანა სოფ. მელაანამდე) დაბალი წნევის გაზსადენის რეაბილიტაცია. (P.2.874)</t>
  </si>
  <si>
    <t>(5) N11 საუბნოზე ი ჭავჭავაძის და წმინდა ნინოს ქუჩებზე კერძო საკუთრებაში გამავალი გაზსადენის გამოტანა მრიცხველების შეცვლა 140 აბონენტზე, რეაბილიტაცია . (P.2.809)</t>
  </si>
  <si>
    <t>(6) N12 საუბნოზე თამარმეფის ქუჩისა და წმინდა ნინოს ქუჩებზე კერძო საკუთრებაში გამავალი გაზსადენის გამოტანა მრიცხველების შეცვლა 190 აბონენტზე, რეაბილიტაცია. (P.2.810)</t>
  </si>
  <si>
    <t>(10) ქ. ყვარელი წერეთლის ქუჩის მიწისქვეშა დაბალი წნევის გაზსადენის რეაბილიტაცია 57. 06. 56. 397-დან57. 06. 56. 198-მდე (შუა ქალაქიდან ბოლომდე დასავლეთით) გიორგი მერჩულეს ქუჩა 57. 06. 56. 226-დან 57. 06. 56. 235-მდე (P.2.99)</t>
  </si>
  <si>
    <t>(13) სოფ. ჭანდარი; მე-7 საუბნო კვანძზე (თენგოს უბანი და განშტოებები) (სონღულაშვილის გივის უბანი) საშუალო წნევის გაზსადენის რეაბილიტაცია. (P.2.856)</t>
  </si>
  <si>
    <t>(14) საშუალო წნევა ზემო მაჩხაანი, აროშიკი ქ. დედოფლისწყარო საჰაერო გაზსადენის შეღებვა (P.2.551)</t>
  </si>
  <si>
    <t>(15) გაზსადენების შეღებვა სხვადასხვა მისამართებზე (P.2.799)</t>
  </si>
  <si>
    <t>(16) სოფ. კაბალში და სოფ. ყარაჯალაში აღრიცხვიანობის მოწესრიგება (P.2.1161)</t>
  </si>
  <si>
    <t>(17) მე-9 საუბნო კვანძზე (სკოლიდან მამაოს უბანი, დოხას უბანი) (ხევისუბანი-ჩალიჩების უბნამდე) (ხევისუბნიდან სკოლამდე) საშუალო წნევის გაზსადენის რეაბილიტაცია. (P.2.858)</t>
  </si>
  <si>
    <t>(18) ქ. ყვარელი ქეთევან დედოფლის ქუჩის მიწისქვეშა დაბალი წნევის გაზსადენის რეაბილიტაცია 57. 06. 56. 410-დან 57. 06. 51. 135-მდე ძველი რაიკომის ქუჩა (P.2.104)</t>
  </si>
  <si>
    <t>(19) მე-12 საუბნო კვანძზე (სოფ. ბაკურციხე ტექნიკუმის გზაზე, ორივე მხარეს) (სოფ. ბაკურციხე, პარკისუბანში) საშუალო წნევის გაზსადენის რეაბილიტაცია. (P.2.859)</t>
  </si>
  <si>
    <t>(20) ქ. ყვარელი ქაქუცა ჩოლოყაშვილი ქუჩის მიწისქვეშა დაბალი წნევის გაზსადენის რეაბილიტაცია 57. 06. 54. 506-დან 57. 06. 55. 095-მდე სალავაშეს ქ (P.2.105)</t>
  </si>
  <si>
    <t>(21) საგარეჯო,სოფ. ხაშმის 09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(P.2.973)</t>
  </si>
  <si>
    <t>(23) ქ. ყვარელი, თამარ მეფის ქუჩის მიწისქვეშა დაბალი წნევის გაზსადენის რეაბილიტაცია 57.06.56.000.165-დან 57.06.51.000.122-მდე (P.2.1118)</t>
  </si>
  <si>
    <t>(24) ქ. ყვარელი შოთა რუსთაველის ქუჩის მიწისქვეშა დაბალი წნევის გაზსადენის რეაბილიტაცია 57. 06. 56. 019-დან 57. 06. 51. 372-მდე რესპუბლიკა ბანკიდან ძველი სასამართლოს ქუჩა (P.2.995)</t>
  </si>
  <si>
    <t>(25) ქ. მარნეული პირველ და მეორე ქუჩებზე გაზსადენის მოწყობა (P.2.1224)</t>
  </si>
  <si>
    <t>(26) სოფ შილდა საუბნო N 2, N 32, N 33, N 34, N 35. (P.2.119)</t>
  </si>
  <si>
    <t>(27) საგარეჯო,სოფ. გიორგიწმნდის 08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(P.2.972)</t>
  </si>
  <si>
    <t>(28) ქ. ყვარელი შტეინის ქუჩის მიწისქვეშა დაბალი წნევის გაზსადენის რეაბილიტაცია 57. 06. 52. 115-დან 57. 06. 52. 133-მდე (P.2.109)</t>
  </si>
  <si>
    <t>(29) ქ. ყვარელი, ვაჟა-ფშაველას ქუჩის მიწისქვეშა დაბალი წნევის გაზსადენის რეაბილიტაცია 57.06.56.000.113-დან 57.06.51.000.599-მდე (P.2.1120)</t>
  </si>
  <si>
    <t>(31) ქ. წნორი ჯავაშვილი ფილიმონის უბნიდან ბოდბისხევის ბაზრამდე ქუჩის რეაბილიტაცია (P.2.780)</t>
  </si>
  <si>
    <t>(32) ქ. ყვარელი ყაზბეგის ქუჩის მიწისქვეშა დაბალი წნევის გაზსადენის რეაბილიტაცია 57. 06. 55. 024-დან 57. 06. 55. 024-მდე (P.2.108)</t>
  </si>
  <si>
    <t>(34) 32-ე საუბნო კვანძზე, (ორველაშვილის უბანზე) (საშ. სკოლასთან) დაბალი წნევის გაზსადენის რეაბილიტაცია. (P.2.869)</t>
  </si>
  <si>
    <t>(35) ქ. დედოფლისწყარო წყაროს ქუჩის რეაბილიტაცია (P.2.35)</t>
  </si>
  <si>
    <t>(36) მე-14 საუბნო კვანძზე (ფიროს უბანი, ადვიოკატი ნოდარის უბანი) საშუალო წნევის გაზსადენის რეაბილიტაცია. (P.2.861)</t>
  </si>
  <si>
    <t>(37) #5 ქ. ახმეტა დედის ქუჩის გაზსადენის რეაბილიტაცია პირველი მაისის ქუჩის გაზსადენის რეაბილიტაცია (P.2.506)</t>
  </si>
  <si>
    <t>(38) ს. საქობო ანას უბნის რეაბილიტაცია (P.2.792)</t>
  </si>
  <si>
    <t>(39) 724 ცალი მრიცხველის დაბლა ჩამოტანა მარნეულის სერვის ცენტრში (P.2.903)</t>
  </si>
  <si>
    <t>(40) ქ. ყვარელი, ელადის ქუჩის მიწისქვეშა დაბალი წნევის გაზსადენის რეაბილიტაცია 57.06.56.000.182-დან 57.06.51.000.454-მდე (P.2.1117)</t>
  </si>
  <si>
    <t>(41) სოფ. საქობო მხატვარი იურას უბნის რეაბილიტაცია (P.2.778)</t>
  </si>
  <si>
    <t>(42) ქ. დედოფლისწყარო ძნელაძის ქუჩის რეაბილიტაცია (P.2.34)</t>
  </si>
  <si>
    <t>(43) ქ მარნეული სოფ წერეთელი მე-31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(P.2.923)</t>
  </si>
  <si>
    <t>(44) ქ. წნორი პაპუაშვილის უბნის რეაბილიტაცია (P.2.775)</t>
  </si>
  <si>
    <t>(45) ქ. ყვარელი, ანდრია ბენაშვილის (ერეკლეს) ქუჩის მიწისქვეშა დაბალი წნევის გაზსადენის რეაბილიტაცია 57.06.56.000.154-დან 57.06.51.000.213-მდე (P.2.1116)</t>
  </si>
  <si>
    <t>(50) სოფ. ვეჯინი გაზსადენის შეღებვა 50მმ დან 150მმ (P.2.879)</t>
  </si>
  <si>
    <t>(51) ქ. ყვარელი, ლაშარის ქუჩის მიწისქვეშა დაბალი წნევის გაზსადენის რეაბილიტაცია 57.06.56.000.293-დან 57.06.51.000.138-მდე (P.2.1115)</t>
  </si>
  <si>
    <t>(52) ქ. ყვარელი, სოლომონ დოდაშვილის ქუჩის მიწისქვეშა დაბალი წნევის გაზსადენის რეაბილიტაცია 57.06.56.000.2675-დან 57.06.51.000.074-მდე (P.2.1119)</t>
  </si>
  <si>
    <t>(7) გაზსადენების შეღებვა სხვადასხვა მისამართებზე (P.2.888)</t>
  </si>
  <si>
    <t>(8) სოფ მარაბდის მკვებავი გზსადენის რეაბილიტაცია (P.2.815)</t>
  </si>
  <si>
    <t>(9) საგარეჯო, საშულო წნევის 999 გერეესის კანარგოს მიმართულება, გამავალი ფოლადის საჰაერო გაზსადენისა და საყრდენების შეღებვა (P.2.975)</t>
  </si>
  <si>
    <t>(11) საგარეჯო,სოფ. პატარძეულის 01 საუბნო მრიცხველის შემდეგ გამავალი ფოლადის საჰაერო გაზსადენისა და საყრდენების შეღებვა (P.2.970)</t>
  </si>
  <si>
    <t>(12) გაზსადენების შეღებვა სხვადასხვა მისამართებზე (P.2.502)</t>
  </si>
  <si>
    <t>(22) გაზსადენების შეღებვა სხვადასხვა მისამართებზე (P.2.887)</t>
  </si>
  <si>
    <t>(30) გაზსადენების შეღებვა სხვადასხვა მისამართებზე (P.2.847)</t>
  </si>
  <si>
    <t>(33) ქ. დედოფლისწყარო-მთისა,გურამიშვილის და წერეთლის ქუჩები გაზსადენის რეაბილიტაცია (P.2.550)</t>
  </si>
  <si>
    <t>(46) საგარეჯო,სოფ. ნინოწმინდის 03 საუბნო მრიცხველის შემდეგ გამავალი ფოლადის საჰაერო გაზსადენისა და საყრდენების შეღებვა (P.2.966)</t>
  </si>
  <si>
    <t>(47) ქ. დედოფლისწყარო-ბარათაშვილის ქუჩა გაზსადენის რეაბილიტაცია (P.2.991)</t>
  </si>
  <si>
    <t>(48) საგარეჯო,სადგურის უბნის 07 საუბნო მრიცხველის შემდეგ გამავალი ფოლადის საჰაერო გაზსადენისა და საყრდენების შეღებვა (P.2.971)</t>
  </si>
  <si>
    <t>(49) ქ მარნეული სოფ საიმერლო მე-36 საუბნო მრიცხველის შემდეგ გამავალი ფოლადის საჰაერო გაზსადენისა და საყრდენების შეღებვა (P.2.927)</t>
  </si>
  <si>
    <t>(53) სოფ. საქობო კლუბის უბნის გაზსადენის რეაბილიტაცია (P.2.777)</t>
  </si>
  <si>
    <t>(54) ქ. წნორი ნოდარ მოლაშვილის უბნის რეაბილიტაცია (P.2.791)</t>
  </si>
  <si>
    <t>(55) ქ მარნეული ლაღიძის ქ მე-15 საუბნო მრიცხველის შემდეგ გამავალი ფოლადის საჰაერო გაზსადენისა და საყრდენების შეღებვა (P.2.921)</t>
  </si>
  <si>
    <t>(56) იაღლურჯის ქუჩა მე-9 საუბნო მრიცხველის შემდეგ გამავალი ფოლადის საჰაერო გაზსადენისა და საყრდენების შეღებვა (P.2.919)</t>
  </si>
  <si>
    <t>(57) საგარეჯო,სოფ. წყაროსთავის 02 საუბნო მრიცხველის შემდეგ გამავალი ფოლადის საჰაერო გაზსადენისა და საყრდენების შეღებვა (P.2.965)</t>
  </si>
  <si>
    <t>(58) ქ. ახმეტა მარქსის ქუჩის გაზსადენის რეაბილიტაცია (P.2.100)</t>
  </si>
  <si>
    <t>(59) ქ მარნეული სოფ წერეთელი მე-32 საუბნო მრიცხველის შემდეგ გამავალი ფოლადის საჰაერო გაზსადენისა და საყრდენების შეღებვა (P.2.924)</t>
  </si>
  <si>
    <t>(60) ქ მარნეული სოფ მირზოვკა მე-33 საუბნო მრიცხველის შემდეგ გამავალი ფოლადის საჰაერო გაზსადენისა და საყრდენების შეღებვა (P.2.925)</t>
  </si>
  <si>
    <t>(61) ქ მარნეული ლაღიძის ქ მე-16 საუბნო მრიცხველის შემდეგ გამავალი ფოლადის საჰაერო გაზსადენისა და საყრდენების შეღებვა (P.2.922)</t>
  </si>
  <si>
    <t>(62) ქ მარნეული სოფ ბაილარი მე-34 საუბნო მრიცხველის შემდეგ გამავალი ფოლადის საჰაერო გაზსადენისა და საყრდენების შეღებვა (P.2.926)</t>
  </si>
  <si>
    <t>(63) სოფ ჯანდარი მე-11 საუბნო მრიცხველის შემდეგ გამავალი ფოლადის საჰაერო გაზსადენისა და საყრდენების შეღებვა (P.2.920)</t>
  </si>
  <si>
    <t>(64) საგარეჯო, საშულო წნევის 999 გერეესის გამწვანების მიმართულება, გამავალი ფოლადის საჰაერო გაზსადენისა შეღებვა (P.2.974)</t>
  </si>
  <si>
    <t>BSG-240112-1/0(1)</t>
  </si>
  <si>
    <t>BSG-240112-1/0(2)</t>
  </si>
  <si>
    <t>BSG-240112-1/0(3)</t>
  </si>
  <si>
    <t>BSG-240112-1/0(4)</t>
  </si>
  <si>
    <t>BSG-240112-1/0(5)</t>
  </si>
  <si>
    <t>BSG-240112-1/0(6)</t>
  </si>
  <si>
    <t>BSG-240112-1/0(7)</t>
  </si>
  <si>
    <t>BSG-240112-1/0(8)</t>
  </si>
  <si>
    <t>BSG-240112-1/0(9)</t>
  </si>
  <si>
    <t>BSG-240112-1/0(10)</t>
  </si>
  <si>
    <t>BSG-240112-1/0(11)</t>
  </si>
  <si>
    <t>BSG-240112-1/0(12)</t>
  </si>
  <si>
    <t>BSG-240112-1/0(13)</t>
  </si>
  <si>
    <t>BSG-240112-1/0(14)</t>
  </si>
  <si>
    <t>BSG-240112-1/0(15)</t>
  </si>
  <si>
    <t>BSG-240112-1/0(16)</t>
  </si>
  <si>
    <t>BSG-240112-1/0(17)</t>
  </si>
  <si>
    <t>BSG-240112-1/0(18)</t>
  </si>
  <si>
    <t>BSG-240112-1/0(19)</t>
  </si>
  <si>
    <t>BSG-240112-1/0(20)</t>
  </si>
  <si>
    <t>BSG-240112-1/0(21)</t>
  </si>
  <si>
    <t>BSG-240112-1/0(22)</t>
  </si>
  <si>
    <t>BSG-240112-1/0(23)</t>
  </si>
  <si>
    <t>BSG-240112-1/0(24)</t>
  </si>
  <si>
    <t>BSG-240112-1/0(25)</t>
  </si>
  <si>
    <t>BSG-240112-1/0(26)</t>
  </si>
  <si>
    <t>BSG-240112-1/0(27)</t>
  </si>
  <si>
    <t>BSG-240112-1/0(28)</t>
  </si>
  <si>
    <t>BSG-240112-1/0(29)</t>
  </si>
  <si>
    <t>BSG-240112-1/0(30)</t>
  </si>
  <si>
    <t>BSG-240112-1/0(31)</t>
  </si>
  <si>
    <t>BSG-240112-1/0(32)</t>
  </si>
  <si>
    <t>BSG-240112-1/0(33)</t>
  </si>
  <si>
    <t>BSG-240112-1/0(34)</t>
  </si>
  <si>
    <t>BSG-240112-1/0(35)</t>
  </si>
  <si>
    <t>BSG-240112-1/0(36)</t>
  </si>
  <si>
    <t>BSG-240112-1/0(37)</t>
  </si>
  <si>
    <t>BSG-240112-1/0(38)</t>
  </si>
  <si>
    <t>BSG-240112-1/0(39)</t>
  </si>
  <si>
    <t>BSG-240112-1/0(40)</t>
  </si>
  <si>
    <t>BSG-240112-1/0(41)</t>
  </si>
  <si>
    <t>BSG-240112-1/0(42)</t>
  </si>
  <si>
    <t>BSG-240112-1/0(43)</t>
  </si>
  <si>
    <t>BSG-240112-1/0(44)</t>
  </si>
  <si>
    <t>BSG-240112-1/0(45)</t>
  </si>
  <si>
    <t>BSG-240112-1/0(46)</t>
  </si>
  <si>
    <t>BSG-240112-1/0(47)</t>
  </si>
  <si>
    <t>BSG-240112-1/0(48)</t>
  </si>
  <si>
    <t>BSG-240112-1/0(49)</t>
  </si>
  <si>
    <t>BSG-240112-1/0(50)</t>
  </si>
  <si>
    <t>BSG-240112-1/0(51)</t>
  </si>
  <si>
    <t>BSG-240112-1/0(52)</t>
  </si>
  <si>
    <t>BSG-240112-1/0(53)</t>
  </si>
  <si>
    <t>BSG-240112-1/0(54)</t>
  </si>
  <si>
    <t>BSG-240112-1/0(55)</t>
  </si>
  <si>
    <t>BSG-240112-1/0(56)</t>
  </si>
  <si>
    <t>BSG-240112-1/0(57)</t>
  </si>
  <si>
    <t>BSG-240112-1/0(58)</t>
  </si>
  <si>
    <t>BSG-240112-1/0(59)</t>
  </si>
  <si>
    <t>BSG-240112-1/0(60)</t>
  </si>
  <si>
    <t>BSG-240112-1/0(61)</t>
  </si>
  <si>
    <t>BSG-240112-1/0(62)</t>
  </si>
  <si>
    <t>BSG-240112-1/0(63)</t>
  </si>
  <si>
    <t>BSG-240112-1/0(64)</t>
  </si>
  <si>
    <t>P.2.618</t>
  </si>
  <si>
    <t>P.2.826</t>
  </si>
  <si>
    <t>P.2.566</t>
  </si>
  <si>
    <t>P.2.824</t>
  </si>
  <si>
    <t>P.2.818</t>
  </si>
  <si>
    <t>P.2.580</t>
  </si>
  <si>
    <t>P.2.581</t>
  </si>
  <si>
    <t>P.2.1192</t>
  </si>
  <si>
    <t>P.2.1193</t>
  </si>
  <si>
    <t>P.2.1191</t>
  </si>
  <si>
    <t>P.2.647 (P.2.685)</t>
  </si>
  <si>
    <t>(1) გამოსატანი მრიცხველების გამოტანა (P.2.647 (P.2.685))</t>
  </si>
  <si>
    <t>(2) გამოსატანი მრიცხველების გამოტანა (P.2.618)</t>
  </si>
  <si>
    <t>(3) ქ. თეთრიწყაროს სოფ ასურეთში სოფლის შიდა გაზსადენის რეაბილიტაცია (P.2.826)</t>
  </si>
  <si>
    <t>(4) საჰაერო გაზსადენების შეღებვა (P.2.566)</t>
  </si>
  <si>
    <t>(5) ქ. თეთრიწყაროს ბაგრატიონის და გ . ბრწყინვალეს ქუჩაზე კერძო საკუთრებაში გამავალი გაზსადენის გამოტანა 105 აბ, რეაბილიტაცია. (P.2.824)</t>
  </si>
  <si>
    <t>(6) სოფ კოდა კერძო საკუთრებაში გამავალი გაზსადენის გამოტანა 20 აბ რეაბილიტაცია (P.2.818)</t>
  </si>
  <si>
    <t>(7) მტკვრის მარჯვენა დასახლება ახალი პოლიეთილენის დ - 63 მმ-იანი გაზსადენის აშენება (P.2.580)</t>
  </si>
  <si>
    <t>(8) მელიქიშვილის ქუჩის მ/ტ-ზე კერძო მესაკუთრის ნაკვეთებზე გამავალი საჰაერო დ - 50 მმ-იანი გაზსადენის დემონტაჟი და ახლი საჰაერო დ - 50 მმ-იანი გაზსადენის მონტაჟი (დემონტაჟი - მონტაჟი) (P.2.581)</t>
  </si>
  <si>
    <t>(9) თავისუფლების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(P.2.1192)</t>
  </si>
  <si>
    <t>(10) სტალინის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(P.2.1193)</t>
  </si>
  <si>
    <t>(11) თიანეთის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(P.2.1191)</t>
  </si>
  <si>
    <t xml:space="preserve"> BCG-240112-1/0(1)</t>
  </si>
  <si>
    <t xml:space="preserve"> BCG-240112-1/0(3)</t>
  </si>
  <si>
    <t xml:space="preserve"> BCG-240112-1/0(5)</t>
  </si>
  <si>
    <t xml:space="preserve"> BCG-240112-1/0(6)</t>
  </si>
  <si>
    <t xml:space="preserve"> BCG-240112-1/0(7)</t>
  </si>
  <si>
    <t xml:space="preserve"> BCG-240112-1/0(8)</t>
  </si>
  <si>
    <t xml:space="preserve"> BCG-240112-1/0(9)</t>
  </si>
  <si>
    <t xml:space="preserve"> BCG-240112-1/0(10)</t>
  </si>
  <si>
    <t xml:space="preserve"> BCG-240112-1/0(11)</t>
  </si>
  <si>
    <t>P.3.70 (P.3.610, P.3.604)</t>
  </si>
  <si>
    <t>P.3.501</t>
  </si>
  <si>
    <t>P.3.72; (P.3.582)</t>
  </si>
  <si>
    <t>P.3.954</t>
  </si>
  <si>
    <t>P.3.969</t>
  </si>
  <si>
    <t>P.3.74; (P.3.585)</t>
  </si>
  <si>
    <t>P.3.699</t>
  </si>
  <si>
    <t>P.3.705</t>
  </si>
  <si>
    <t>P.3.933</t>
  </si>
  <si>
    <t>P.3.707</t>
  </si>
  <si>
    <t>P.3.146</t>
  </si>
  <si>
    <t>P.3.704</t>
  </si>
  <si>
    <t>P.3.5</t>
  </si>
  <si>
    <t>P.3.934</t>
  </si>
  <si>
    <t>P.3.935</t>
  </si>
  <si>
    <t>P.3.936</t>
  </si>
  <si>
    <t>P.3.949</t>
  </si>
  <si>
    <t>P.3.59</t>
  </si>
  <si>
    <t>P.3.69</t>
  </si>
  <si>
    <t>P.3.145</t>
  </si>
  <si>
    <t>P.3.658</t>
  </si>
  <si>
    <t>P.3.941</t>
  </si>
  <si>
    <t>P.3.111</t>
  </si>
  <si>
    <t>P.3.631</t>
  </si>
  <si>
    <t>P.3.633</t>
  </si>
  <si>
    <t>P.3.632</t>
  </si>
  <si>
    <t>P.3.953</t>
  </si>
  <si>
    <t>P.3.664</t>
  </si>
  <si>
    <t>P.3.706</t>
  </si>
  <si>
    <t>P.3.29; (P.3.28; P.3.27; P.3.24; P.3.21)</t>
  </si>
  <si>
    <t>P.3.641 (P.3.634)</t>
  </si>
  <si>
    <t>P.3.616</t>
  </si>
  <si>
    <t>P.3.164</t>
  </si>
  <si>
    <t>(1) ქვეშეთი, არახვეთი, ქვემო და ზემო მლეთის მკვებავი და სოფლის დ. წ. გარე ქსელის რეაბილიტაცია და მრიცხველების გამოტანა (P.3.178 (P3.624, P3.625, P3.626,  P3.627))</t>
  </si>
  <si>
    <t>(2) ქვეშეთი, არახვეთი, ქვემო და ზემო მლეთის მკვებავი და სოფლის დ. წ. გარე ქსელის რეაბილიტაცია და მრიცხველების გამოტანა (P.3.178 (P3.624, P3.625, P3.626,  P3.627))</t>
  </si>
  <si>
    <t>(3) სოფ. არაგვისპირი-ჟინვალის მიმართულებით გაზსადენის რეაბილიტაცია (საუბნო 2) (P.3.70 (P.3.610, P.3.604))</t>
  </si>
  <si>
    <t>(4) სოფ. არაგვისპირი-ჟინვალის მიმართულებით გაზსადენის რეაბილიტაცია (საუბნო 2) (P.3.70 (P.3.610, P.3.604))</t>
  </si>
  <si>
    <t>(5) სოფ. ძველი ქანდა არსებული დაბალი წნევის გაზსადენის რეაბილიტაცია (P.3.166)</t>
  </si>
  <si>
    <t>(6) დაბა სურამში აღმაშენებლისა და თამარ მეფის ქუჩებზე D=100 მმ ფოლადის საჰაიერო გაზსადენის შეცვლა პოლიეთილენის D=160 მმ მიწისქვეშა გაზსადენით (P.3.879)</t>
  </si>
  <si>
    <t>(7) მე-19-ე აღრიცხვის კვანძზე არსებული სოფლების (სანებელი, ვედრება, ქობესაანთ უბანი) გაზსადენის შეცვლა (P.3.501)</t>
  </si>
  <si>
    <t>(8) მე-19-ე აღრიცხვის კვანძზე არსებული სოფლების (სანებელი, ვედრება, ქობესაანთ უბანი) გაზსადენის შეცვლა (P.3.501)</t>
  </si>
  <si>
    <t>(9) სოფ. ჭოპორტის გაზსადენის რეაბილიტაცია (P.3.72; (P.3.582))</t>
  </si>
  <si>
    <t>(10) სოფ. ჭოპორტის გაზსადენის რეაბილიტაცია (P.3.72; (P.3.582))</t>
  </si>
  <si>
    <t>(11) ნატახტრი და მისაქციელი ცენტრალური გაზსადენის რეაბილიტაცია (P.3.954)</t>
  </si>
  <si>
    <t>(12) ნატახტრიდა მისაქციელი ცენტრალური გაზსადენის რეაბილიტაცია (P.3.954)</t>
  </si>
  <si>
    <t>(13) ქ. მცხეთა, სამხედროს ქუჩა, საცურაო აუზიდან პირველ სკოლამდე ცენტრალური გაზსადენის რეაბილიტაცია (P.3.969)</t>
  </si>
  <si>
    <t>(14) ქ. მცხეთა, სამხედროს ქუჩა, საცურაო აუზიდან პირველ სკოლამდე ცენტრალური გაზსადენის რეაბილიტაცია (P.3.969)</t>
  </si>
  <si>
    <t>(15) სოფ. წითელსოფელის გაზსადენის რეაბილიტაცია (P.3.74; (P.3.585))</t>
  </si>
  <si>
    <t>(16) სოფ. წითელსოფელის გაზსადენის რეაბილიტაცია (P.3.74; (P.3.585))</t>
  </si>
  <si>
    <t>(17) სოფელ ჯიღაურაში არსებული შიდა ქსელის რეაბილიტაცია და გამსხვილება (P.3.699)</t>
  </si>
  <si>
    <t>(18) სოფელ ჯიღაურაში არსებული შიდა ქსელის რეაბილიტაცია და გამსხვილება (P.3.699)</t>
  </si>
  <si>
    <t>(19) დაბა კოჯორში 21- საუბნოზე არსებული გაზსადენის გამსხვილება და გამოტანა კერძო ტერიტორიებიდან (P.3.705)</t>
  </si>
  <si>
    <t>(20) დაბა კოჯორში 21- საუბნოზე არსებული გაზსადენის გამსხვილება და გამოტანა კერძო ტერიტორიებიდან (P.3.705)</t>
  </si>
  <si>
    <t>(21) დაბა სურამი, ბაიანთხევი, 26 მაისის ქუჩის რეაბილიტაცია (P.3.933)</t>
  </si>
  <si>
    <t>(22) დაბა სურამი, ბაიანთხევი, 26 მაისის ქუჩის რეაბილიტაცია (P.3.933)</t>
  </si>
  <si>
    <t>(23) ვარიანის გრს ზე არსებული სოფელ ფხვენისის გაზსადენის რეაბილიტაცია (P.3.707)</t>
  </si>
  <si>
    <t>(24) ვარიანის გრს ზე არსებული სოფელ ფხვენისის გაზსადენის რეაბილიტაცია (P.3.707)</t>
  </si>
  <si>
    <t>(25) ქარელის არეალში ეზოებიდან გამოსატანი მრიცხველები (P.3.146)</t>
  </si>
  <si>
    <t>(26) ქარელის არეალში ეზოებიდან გამოსატანი მრიცხველები (P.3.146)</t>
  </si>
  <si>
    <t>(27) დაბა კოჯორში მე-20 საუბნოზე არსებული გაზსადენის რეაბილიტაცია და კერძო ტერიტორიებიდან გამოტანა (P.3.704)</t>
  </si>
  <si>
    <t>(28) დაბა კოჯორში მე-20 საუბნოზე არსებული გაზსადენის რეაბილიტაცია და კერძო ტერიტორიებიდან გამოტანა (P.3.704)</t>
  </si>
  <si>
    <t>(29) სოფ. ბებნისის გაზსადენის რეაბილიტაცია (P.3.5)</t>
  </si>
  <si>
    <t>(30) სოფ. ბებნისის გაზსადენის რეაბილიტაცია (P.3.5)</t>
  </si>
  <si>
    <t>(31) დაბა სურამი, გურამიშვილის ქუჩის რეაბილიტაცია (P.3.934)</t>
  </si>
  <si>
    <t>(32) დაბა სურამი, გურამიშვილის ქუჩის რეაბილიტაცია (P.3.934)</t>
  </si>
  <si>
    <t>(33) დაბა სურამი, გრიგოლ სურამელის ქუჩის რეაბილიტაცია (P.3.935)</t>
  </si>
  <si>
    <t>(34) დაბა სურამი, გრიგოლ სურამელის ქუჩის რეაბილიტაცია (P.3.935)</t>
  </si>
  <si>
    <t>(35) დაბა სურამი, კიკვიძის ქუჩის რეაბილიტაცია (P.3.936)</t>
  </si>
  <si>
    <t>(36) დაბა სურამი, კიკვიძის ქუჩის რეაბილიტაცია (P.3.936)</t>
  </si>
  <si>
    <t>(39) სოფ. მუხრანის ბაზრის უბნის არსებული გაზსადენის გამოტანა რეაბილიტაცია (P.3.59)</t>
  </si>
  <si>
    <t>(40) სოფ. მუხრანის ბაზრის უბნის არსებული გაზსადენის გამოტანა რეაბილიტაცია (P.3.59)</t>
  </si>
  <si>
    <t>(41) სოფ. ციხისძირის საშუალო წნევის გაზსადენის რეაბილიტაცია (P.3.69)</t>
  </si>
  <si>
    <t>(42) სოფ. ციხისძირის საშუალო წნევის გაზსადენის რეაბილიტაცია (P.3.69)</t>
  </si>
  <si>
    <t>(43) დაბა აგარაში ჩოლოყაშვილის და მესხის ქუჩებზე და ქარელში ცაბაძის და რუხაძის ქუჩებზე არსებულ კორპუსებში მრიცხველების ჩამოწევა (P.3.145)</t>
  </si>
  <si>
    <t>(44) დაბა აგარაში ჩოლოყაშვილის და მესხის ქუჩებზე და ქარელში ცაბაძის და რუხაძის ქუჩებზე არსებულ კორპუსებში მრიცხველების ჩამოწევა (P.3.145)</t>
  </si>
  <si>
    <t>(45) მცხეთა წერეთლის ქუჩა გამოსატანი მრიცხველები 5. გამოსატანი გაზსადენი კერძო ტერიტორიიდან დ=50 მმ L=500 მ (P.3.658)</t>
  </si>
  <si>
    <t>(46) მცხეთა წერეთლის ქუჩა გამოსატანი მრიცხველები 5. გამოსატანი გაზსადენი კერძო ტერიტორიიდან დ=50 მმ L=500 მ (P.3.658)</t>
  </si>
  <si>
    <t>(47) დაბა სურამი მშვიდობის ქუჩის რეაბილიტაცია (P.3.941)</t>
  </si>
  <si>
    <t>(48) დაბა სურამი მშვიდობის ქუჩის რეაბილიტაცია (P.3.941)</t>
  </si>
  <si>
    <t>(49) ქ. მცხეთა საშუალო წნევის ამორტიზირებული გაზსადენის რეაბილიტაცია რუსთაველის ქუჩა (P.3.111)</t>
  </si>
  <si>
    <t>(50) ქ. მცხეთა საშუალო წნევის ამორტიზირებული გაზსადენის რეაბილიტაცია რუსთაველის ქუჩა (P.3.111)</t>
  </si>
  <si>
    <t>(51) მრიცხველების გამოტანა სოფ. სეთურები (P.3.631)</t>
  </si>
  <si>
    <t>(52) მრიცხველების გამოტანა სოფ. სეთურები (P.3.631)</t>
  </si>
  <si>
    <t>(53) მრიცხველების გამოტანა სოფ. ზაქათკარი (P.3.633)</t>
  </si>
  <si>
    <t>(54) მრიცხველების გამოტანა სოფ. ზაქათკარი (P.3.633)</t>
  </si>
  <si>
    <t>(55) მრიცველების გამოტანა სოფ. ჯაღმიანი (P.3.632)</t>
  </si>
  <si>
    <t>(56) მრიცველების გამოტანა სოფ. ჯაღმიანი (P.3.632)</t>
  </si>
  <si>
    <t>(57) სვეტიცხოვლის უბნის რეაბილიტაცია (P.3.953)</t>
  </si>
  <si>
    <t>(58) სვეტიცხოვლის უბნის რეაბილიტაცია (P.3.953)</t>
  </si>
  <si>
    <t>(59) სოფ. ძეგვში გამოსატანია 20 მრიცხველი (P.3.664)</t>
  </si>
  <si>
    <t>(60) სოფ. ძეგვში გამოსატანია 20 მრიცხველი (P.3.664)</t>
  </si>
  <si>
    <t>(61) დაბა კოჯორში 99 საუბნოზე არსებული გაზსადენის რეაბილიტაცია და გამოტანა კერძო ტერიტორიებიდან (P.3.706)</t>
  </si>
  <si>
    <t>(62) დაბა კოჯორში 99 საუბნოზე არსებული გაზსადენის რეაბილიტაცია და გამოტანა კერძო ტერიტორიებიდან (P.3.706)</t>
  </si>
  <si>
    <t>(63) ქ. ხაშური, მრიცხველების გამოტანა. ბორჯომის, ოქტომბრის, გორის, სვანეთის, მელიქიშვილის და ტოლსტოის ქუჩებზე. (P.3.29; (P.3.28; P.3.27; P.3.24; P.3.21))</t>
  </si>
  <si>
    <t>(64) ქ. ხაშური, მრიცხველების გამოტანა. ბორჯომის, ოქტომბრის, გორის, სვანეთის, მელიქიშვილის და ტოლსტოის ქუჩებზე. (P.3.29; (P.3.28; P.3.27; P.3.24; P.3.21))</t>
  </si>
  <si>
    <t>(65) სოფ. გარბანის გაზსადენის რეაბილიტაცია და მრიცხველების გამოტანა (P.3.641 (P.3.634))</t>
  </si>
  <si>
    <t>(66) სოფ. გარბანის გაზსადენის რეაბილიტაცია და მრიცხველების გამოტანა (P.3.641 (P.3.634))</t>
  </si>
  <si>
    <t>(67) მრიცხველების გამოტანა სოფ. ანანური (8 აბონენტი) (P.3.616)</t>
  </si>
  <si>
    <t>(68) მრიცხველების გამოტანა სოფ. ანანური (8 აბონენტი) (P.3.616)</t>
  </si>
  <si>
    <t>(69) ქალაქი მცხეთა ნარეკვავის დასახლება დაბალი წნევის გაზსადენის რეაბილიტაცია, დ=89-80-100 აღდგენა კერძო საკუთრებიდან გამოტანა (P.3.164)</t>
  </si>
  <si>
    <t>(70) ქალაქი მცხეთა ნარეკვავის დასახლება დაბალი წნევის გაზსადენის რეაბილიტაცია, დ=89-80-100 აღდგენა კერძო საკუთრებიდან გამოტანა (P.3.164)</t>
  </si>
  <si>
    <t>BSG-240109-1/0(1)</t>
  </si>
  <si>
    <t>BSG-240109-1/0(2)</t>
  </si>
  <si>
    <t>BSG-240109-1/0(3)</t>
  </si>
  <si>
    <t>BSG-240109-1/0(4)</t>
  </si>
  <si>
    <t>BSG-240109-1/0(5)</t>
  </si>
  <si>
    <t>BSG-240109-1/0(6)</t>
  </si>
  <si>
    <t>BSG-240109-1/0(7)</t>
  </si>
  <si>
    <t>BSG-240109-1/0(8)</t>
  </si>
  <si>
    <t>BSG-240109-1/0(9)</t>
  </si>
  <si>
    <t>BSG-240109-1/0(10)</t>
  </si>
  <si>
    <t>BSG-240109-1/0(11)</t>
  </si>
  <si>
    <t>BSG-240109-1/0(12)</t>
  </si>
  <si>
    <t>BSG-240109-1/0(13)</t>
  </si>
  <si>
    <t>BSG-240109-1/0(14)</t>
  </si>
  <si>
    <t>BSG-240109-1/0(15)</t>
  </si>
  <si>
    <t>BSG-240109-1/0(16)</t>
  </si>
  <si>
    <t>BSG-240109-1/0(17)</t>
  </si>
  <si>
    <t>BSG-240109-1/0(18)</t>
  </si>
  <si>
    <t>BSG-240109-1/0(19)</t>
  </si>
  <si>
    <t>BSG-240109-1/0(20)</t>
  </si>
  <si>
    <t>BSG-240109-1/0(21)</t>
  </si>
  <si>
    <t>BSG-240109-1/0(22)</t>
  </si>
  <si>
    <t>BSG-240109-1/0(23)</t>
  </si>
  <si>
    <t>BSG-240109-1/0(24)</t>
  </si>
  <si>
    <t>BSG-240109-1/0(25)</t>
  </si>
  <si>
    <t>BSG-240109-1/0(26)</t>
  </si>
  <si>
    <t>BSG-240109-1/0(27)</t>
  </si>
  <si>
    <t>BSG-240109-1/0(28)</t>
  </si>
  <si>
    <t>BSG-240109-1/0(29)</t>
  </si>
  <si>
    <t>BSG-240109-1/0(30)</t>
  </si>
  <si>
    <t>BSG-240109-1/0(31)</t>
  </si>
  <si>
    <t>BSG-240109-1/0(32)</t>
  </si>
  <si>
    <t>BSG-240109-1/0(33)</t>
  </si>
  <si>
    <t>BSG-240109-1/0(34)</t>
  </si>
  <si>
    <t>BSG-240109-1/0(35)</t>
  </si>
  <si>
    <t>BSG-240109-1/0(36)</t>
  </si>
  <si>
    <t>BSG-240109-1/0(37)</t>
  </si>
  <si>
    <t>BSG-240109-1/0(38)</t>
  </si>
  <si>
    <t>BSG-240109-1/0(39)</t>
  </si>
  <si>
    <t>BSG-240109-1/0(40)</t>
  </si>
  <si>
    <t>BSG-240109-1/0(41)</t>
  </si>
  <si>
    <t>BSG-240109-1/0(42)</t>
  </si>
  <si>
    <t>BSG-240109-1/0(43)</t>
  </si>
  <si>
    <t>BSG-240109-1/0(44)</t>
  </si>
  <si>
    <t>BSG-240109-1/0(45)</t>
  </si>
  <si>
    <t>BSG-240109-1/0(46)</t>
  </si>
  <si>
    <t>BSG-240109-1/0(47)</t>
  </si>
  <si>
    <t>BSG-240109-1/0(48)</t>
  </si>
  <si>
    <t>BSG-240109-1/0(49)</t>
  </si>
  <si>
    <t>BSG-240109-1/0(50)</t>
  </si>
  <si>
    <t>BSG-240109-1/0(51)</t>
  </si>
  <si>
    <t>BSG-240109-1/0(52)</t>
  </si>
  <si>
    <t>BSG-240109-1/0(53)</t>
  </si>
  <si>
    <t>BSG-240109-1/0(54)</t>
  </si>
  <si>
    <t>BSG-240109-1/0(55)</t>
  </si>
  <si>
    <t>BSG-240109-1/0(56)</t>
  </si>
  <si>
    <t>BSG-240109-1/0(57)</t>
  </si>
  <si>
    <t>BSG-240109-1/0(58)</t>
  </si>
  <si>
    <t>BSG-240109-1/0(59)</t>
  </si>
  <si>
    <t>BSG-240109-1/0(60)</t>
  </si>
  <si>
    <t>BSG-240109-1/0(61)</t>
  </si>
  <si>
    <t>BSG-240109-1/0(62)</t>
  </si>
  <si>
    <t>BSG-240109-1/0(63)</t>
  </si>
  <si>
    <t>BSG-240109-1/0(64)</t>
  </si>
  <si>
    <t>BSG-240109-1/0(65)</t>
  </si>
  <si>
    <t>BSG-240109-1/0(66)</t>
  </si>
  <si>
    <t>BSG-240109-1/0(67)</t>
  </si>
  <si>
    <t>BSG-240109-1/0(68)</t>
  </si>
  <si>
    <t>BSG-240109-1/0(69)</t>
  </si>
  <si>
    <t>BSG-240109-1/0(70)</t>
  </si>
  <si>
    <t>(37) სოფელ ქსოვრისში ქსელის რეაბილიტაცია (P.3.949)</t>
  </si>
  <si>
    <t>(38) სოფელ ქსოვრისში ქსელის რეაბილიტაცია (P.3.949)</t>
  </si>
  <si>
    <t>P.3.963</t>
  </si>
  <si>
    <t>P.3.964</t>
  </si>
  <si>
    <t>P.3.216</t>
  </si>
  <si>
    <t>P.3.967</t>
  </si>
  <si>
    <t>P.3.228</t>
  </si>
  <si>
    <t>P.3.849</t>
  </si>
  <si>
    <t>P.3.840</t>
  </si>
  <si>
    <t>P.3.123</t>
  </si>
  <si>
    <t>P.3.712</t>
  </si>
  <si>
    <t>P.3.127</t>
  </si>
  <si>
    <t>P.3.215</t>
  </si>
  <si>
    <t>P.3.209</t>
  </si>
  <si>
    <t>P.3.193</t>
  </si>
  <si>
    <t>P.3.827</t>
  </si>
  <si>
    <t>P.3.843</t>
  </si>
  <si>
    <t>P.3.208</t>
  </si>
  <si>
    <t>P.3.781</t>
  </si>
  <si>
    <t>P.3.842</t>
  </si>
  <si>
    <t>P.3.41; (P.3.119)</t>
  </si>
  <si>
    <t>P.3.86</t>
  </si>
  <si>
    <t>P.3.833</t>
  </si>
  <si>
    <t>P.3.841</t>
  </si>
  <si>
    <t>P.3.875</t>
  </si>
  <si>
    <t>P.3.806; (P.3.807)</t>
  </si>
  <si>
    <t>P.3.844</t>
  </si>
  <si>
    <t>P.3.194</t>
  </si>
  <si>
    <t>P.3.732</t>
  </si>
  <si>
    <t>P.3.202</t>
  </si>
  <si>
    <t>P.3.1006</t>
  </si>
  <si>
    <t>P.3.834</t>
  </si>
  <si>
    <t>P.3.195</t>
  </si>
  <si>
    <t>P.3.717</t>
  </si>
  <si>
    <t>P.3.983</t>
  </si>
  <si>
    <t>P.3.845</t>
  </si>
  <si>
    <t>P.3.201</t>
  </si>
  <si>
    <t>P.3.832</t>
  </si>
  <si>
    <t>P.3.835</t>
  </si>
  <si>
    <t>P.3.861</t>
  </si>
  <si>
    <t>(2) კოდისწყაროს გგს-დან მინდვრებზე გამავალი დ100 მილიმეტრიანი კოროზირებული გაზსადენის ამოცვლა და გამდლისწყაროს მიმართულებით ქსელის გამსხვილება (P.3.853)</t>
  </si>
  <si>
    <t>(5) სოფ. ძევერა გაზსადენის რეაბილიტაცია (P.3.963)</t>
  </si>
  <si>
    <t>(6) სოფ. ძევერა გაზსადენის რეაბილიტაცია (P.3.963)</t>
  </si>
  <si>
    <t>(7) სოფ. ტყვიავი გაზსადენის რეაბილიტაცია (P.3.964)</t>
  </si>
  <si>
    <t>(8) სოფ. ტყვიავი გაზსადენის რეაბილიტაცია (P.3.964)</t>
  </si>
  <si>
    <t>(9) სოფ. ხელთუბანში გამავალი გაზსადენის რეკონსტრუქცია (P.3.216)</t>
  </si>
  <si>
    <t>(10) სოფ. ხელთუბანში გამავალი გაზსადენის რეკონსტრუქცია (P.3.216)</t>
  </si>
  <si>
    <t>(11) სოფ. ორთაშენი გაზსადენის რეაბილიტაცია (P.3.967)</t>
  </si>
  <si>
    <t>(12) სოფ. ორთაშენი გაზსადენის რეაბილიტაცია (P.3.967)</t>
  </si>
  <si>
    <t>(13) მრიცხველების გამოტანა_გორი (P.3.228)</t>
  </si>
  <si>
    <t>(14) მრიცხველების გამოტანა_გორი (P.3.228)</t>
  </si>
  <si>
    <t>(15) ცხრა ძმის ქუჩაზე გაზსადენის რეაბილიტაცია (P.3.849)</t>
  </si>
  <si>
    <t>(16) ცხრა ძმის ქუჩაზე გაზსადენის რეაბილიტაცია (P.3.849)</t>
  </si>
  <si>
    <t>(17) სოფელი ფერმა-თეზის მონაკვეთის ფოლადის გაზსადენის რეაბილიტაცია (P.3.840)</t>
  </si>
  <si>
    <t>(18) სოფელი ფერმა-თეზის მონაკვეთის ფოლადის გაზსადენის რეაბილიტაცია (P.3.840)</t>
  </si>
  <si>
    <t>(19) ქ. ბორჯომში, რაზმაძის ქ. გაზსადენის სარეაბილიტაცია (P.3.123)</t>
  </si>
  <si>
    <t>(20) ქ. ბორჯომში, რაზმაძის ქ. გაზსადენის სარეაბილიტაცია (P.3.123)</t>
  </si>
  <si>
    <t>(21) სოფ. კარალეთი 1 ქუჩის განშტოება გაზსადენის რეაბილიტაცია (P.3.712)</t>
  </si>
  <si>
    <t>(22) სოფ. კარალეთი 1 ქუჩის განშტოება გაზსადენის რეაბილიტაცია (P.3.712)</t>
  </si>
  <si>
    <t>(23) ქ. ბორჯომში, კომპოზიტორთა შემოქმედებითი სახლიდან პლატოს საბაგირომდე საშ. წნევის დ=100 მიწისქვეშა ფოლადის გაზსადენის რეაბილიტაცია (P.3.127)</t>
  </si>
  <si>
    <t>(24) ქ. ბორჯომში, კომპოზიტორთა შემოქმედებითი სახლიდან პლატოს საბაგირომდე საშ. წნევის დ=100 მიწისქვეშა ფოლადის გაზსადენის რეაბილიტაცია (P.3.127)</t>
  </si>
  <si>
    <t>(25) სოფ. თორტიზაში გამავალი გაზსადენის რეკონსტრუქცია (P.3.215)</t>
  </si>
  <si>
    <t>(26) სოფ. თორტიზაში გამავალი გაზსადენის რეკონსტრუქცია (P.3.215)</t>
  </si>
  <si>
    <t>(27) ქ. გორში, გ. ბრწყინვალის ქუჩის რეაბილიტაცია (P.3.209)</t>
  </si>
  <si>
    <t>(28) ქ. გორში, გ. ბრწყინვალის ქუჩის რეაბილიტაცია (P.3.209)</t>
  </si>
  <si>
    <t>(29) ქ კასპი, იას ქუჩაზე საშუალო წნევის დ100მმ გაზსადენის აშენება გაზ მომარაგების გაუმჯობესების მიზნით (დარგოლვა) (P.3.193)</t>
  </si>
  <si>
    <t>(30) ქ კასპი, იას ქუჩაზე საშუალო წნევის დ100მმ გაზსადენის აშენება გაზ მომარაგების გაუმჯობესების მიზნით (დარგოლვა) (P.3.193)</t>
  </si>
  <si>
    <t>(31) გაზსადენის რეაბილიტაცია სოფ არალში (P.3.827)</t>
  </si>
  <si>
    <t>(32) გაზსადენის რეაბილიტაცია სოფ არალში (P.3.827)</t>
  </si>
  <si>
    <t>(33) ხეთაგუროვის ქუჩაზე მიჯნებიდან გაზსადენის გამოტანა და ახალ ქსელზე გადაერთება (P.3.843)</t>
  </si>
  <si>
    <t>(34) ხეთაგუროვის ქუჩაზე მიჯნებიდან გაზსადენის გამოტანა და ახალ ქსელზე გადაერთება (P.3.843)</t>
  </si>
  <si>
    <t>(35) ქ. გორში, ჭანტურიას ქუჩის რეაბილიტაცია (P.3.208)</t>
  </si>
  <si>
    <t>(36) ქ. გორში, ჭანტურიას ქუჩის რეაბილიტაცია (P.3.208)</t>
  </si>
  <si>
    <t>(37) სოფ. მზეთამზეს შესასვლელიდან დაბა წაღვერის აღრიცხვის კვანძამდე, მკვებავი d=100 გაზსადენის 400 მ. რეაბილიტაცია. (P.3.781)</t>
  </si>
  <si>
    <t>(38) სოფ. მზეთამზეს შესასვლელიდან დაბა წაღვერის აღრიცხვის კვანძამდე, მკვებავი d=100 გაზსადენის 400 მ. რეაბილიტაცია. (P.3.781)</t>
  </si>
  <si>
    <t>(39) სოფ ქვემოჭალაში ფოლადის მკვებავი გაზსადენის ამოცვლა პოლიეთილენის მილით  (P.3.842)</t>
  </si>
  <si>
    <t>(40) სოფ ქვემოჭალაში ფოლადის მკვებავი გაზსადენის ამოცვლა პოლიეთილენის მილით  (P.3.842)</t>
  </si>
  <si>
    <t>(41) დაბა ბაკურიანში №50-51-52-54 საუბნოზე და წაქაძის ქ. ,,მზიური ველის და ,,ვილა ნაძვის კორპუსებში მრიცხველების გამოტანა (P.3.41; (P.3.119))</t>
  </si>
  <si>
    <t>(42) დაბა ბაკურიანში №50-51-52-54 საუბნოზე და წაქაძის ქ. ,,მზიური ველის და ,,ვილა ნაძვის კორპუსებში მრიცხველების გამოტანა (P.3.41; (P.3.119))</t>
  </si>
  <si>
    <t>(43) სოფ. ბერბუკის გაზსადენის რეაბილიტაცია (P.3.86)</t>
  </si>
  <si>
    <t>(44) სოფ. ბერბუკის გაზსადენის რეაბილიტაცია (P.3.86)</t>
  </si>
  <si>
    <t>(45) ქ. კასპში რუსთაველის ქუჩაზე  გაზსადენის და მრიცხველების გამოტანა კერძო საკუთრებიდან (P.3.833)</t>
  </si>
  <si>
    <t>(46) ქ. კასპში რუსთაველის ქუჩაზე  გაზსადენის და მრიცხველების გამოტანა კერძო საკუთრებიდან (P.3.833)</t>
  </si>
  <si>
    <t>(47) სოფელ თეზში მიწისქვეშა გაზსადენების ამოცვლა პოლიეთილენის მილით (P.3.841)</t>
  </si>
  <si>
    <t>(48) სოფელ თეზში მიწისქვეშა გაზსადენების ამოცვლა პოლიეთილენის მილით (P.3.841)</t>
  </si>
  <si>
    <t>(49) ქ. კასპში ნინოშვილის ქუჩაზე საშუალო წნევის მიწისქვეშა გაზსადენის რეაბილიტაცია  (P.3.875)</t>
  </si>
  <si>
    <t>(50) ქ. კასპში ნინოშვილის ქუჩაზე საშუალო წნევის მიწისქვეშა გაზსადენის რეაბილიტაცია  (P.3.875)</t>
  </si>
  <si>
    <t>(52) გაზსადენის რეაბილიტაცია სოფ უდეში (P.3.854 
(P.3.821))</t>
  </si>
  <si>
    <t>(53) ქალაქ ვალეში ფოლადის გაზსადენის რეაბილიტაცია (P.3.819 
(P.3.828))</t>
  </si>
  <si>
    <t>(54) ქალაქ ვალეში ფოლადის გაზსადენის რეაბილიტაცია (P.3.819 
(P.3.828))</t>
  </si>
  <si>
    <t>(55) დაბა ბაკურიანში, 9 აპრილის ქუჩაზე  გაზსადენის რეაბილიტაცია. (P.3.806; (P.3.807))</t>
  </si>
  <si>
    <t>(56) დაბა ბაკურიანში, 9 აპრილის ქუჩაზე  გაზსადენის რეაბილიტაცია. (P.3.806; (P.3.807))</t>
  </si>
  <si>
    <t>(57) გურამიშვილის ქუჩაზე გაზსადენის და მრიცხველების გამოტანა კერძო საკუთრებიდან (P.3.844)</t>
  </si>
  <si>
    <t>(58) გურამიშვილის ქუჩაზე გაზსადენის და მრიცხველების გამოტანა კერძო საკუთრებიდან (P.3.844)</t>
  </si>
  <si>
    <t>(59) ლეონიძის ქუჩის რეაბილიტაცია (P.3.194)</t>
  </si>
  <si>
    <t>(60) ლეონიძის ქუჩის რეაბილიტაცია (P.3.194)</t>
  </si>
  <si>
    <t>(61) ქ. გორი ელიოზიშვილის ქუჩა გაზსადენის რეაბილიტაცია (P.3.732)</t>
  </si>
  <si>
    <t>(62) ქ. გორი ელიოზიშვილის ქუჩა გაზსადენის რეაბილიტაცია (P.3.732)</t>
  </si>
  <si>
    <t>(63) ქ. გორში, ჩერქეზიშვილის ქუჩის რეაბილიტაცია (P.3.202)</t>
  </si>
  <si>
    <t>(64) ქ. გორში, ჩერქეზიშვილის ქუჩის რეაბილიტაცია (P.3.202)</t>
  </si>
  <si>
    <t>(65) დაბა ადიგენში ჩადუნელის ქუჩაზე გაზსადენი რეაბილიტაცია (P.3.1006)</t>
  </si>
  <si>
    <t>(66) დაბა ადიგენში ჩადუნელის ქუჩაზე გაზსადენი რეაბილიტაცია (P.3.1006)</t>
  </si>
  <si>
    <t>(67) ქ. კასპიში ლაშქარაშვილის ქუჩაზე გაზსადენის და მრიცხველების გამოტანა კერძო საკუთრებიდან (P.3.834)</t>
  </si>
  <si>
    <t>(68) ქ. კასპიში ლაშქარაშვილის ქუჩაზე გაზსადენის და მრიცხველების გამოტანა კერძო საკუთრებიდან (P.3.834)</t>
  </si>
  <si>
    <t>(69) კოსტავას ქუჩის რეაბილიტაცია (P.3.195)</t>
  </si>
  <si>
    <t>(70) კოსტავას ქუჩის რეაბილიტაცია (P.3.195)</t>
  </si>
  <si>
    <t>(71) ქ. გორი აბაშიძის ქუჩა გაზსადენის რეაბილიტაცია (P.3.717)</t>
  </si>
  <si>
    <t>(72) ქ. გორი აბაშიძის ქუჩა გაზსადენის რეაბილიტაცია (P.3.717)</t>
  </si>
  <si>
    <t>(73) ქ.კასპში მდინარის კალაპოტის ცვლილების გამო მოქმედი გაზსადენის გადალაგება (P.3.983)</t>
  </si>
  <si>
    <t>(74) ქ.კასპში მდინარის კალაპოტის ცვლილების გამო მოქმედი გაზსადენის გადალაგება (P.3.983)</t>
  </si>
  <si>
    <t>(75) კოსტავას ქუჩაზე  გაზსადენის და მრიცხველების გამოტანა კერძო საკუთრებიდან (P.3.845)</t>
  </si>
  <si>
    <t>(76) კოსტავას ქუჩაზე  გაზსადენის და მრიცხველების გამოტანა კერძო საკუთრებიდან (P.3.845)</t>
  </si>
  <si>
    <t>(77) ქ. გორში 300 არაგველის, ქუჩის რეაბილიტაცია (P.3.201)</t>
  </si>
  <si>
    <t>(78) ქ. გორში 300 არაგველის, ქუჩის რეაბილიტაცია (P.3.201)</t>
  </si>
  <si>
    <t>(79) ქ. კასპი სააკაძის მეტეხის ქუჩაზე გაზსადენის და მრიცხველების გამოტანა კერძო საკუთრებიდან (P.3.832)</t>
  </si>
  <si>
    <t>(80) ქ. კასპი სააკაძის მეტეხის ქუჩაზე გაზსადენის და მრიცხველების გამოტანა კერძო საკუთრებიდან (P.3.832)</t>
  </si>
  <si>
    <t>(81) ქ. კასპში პაატას ქუჩაზე გაზსადენის და მრიცხველების გამოტანა კერძო საკუთრებიდან (P.3.835)</t>
  </si>
  <si>
    <t>(82) ქ. კასპში პაატას ქუჩაზე გაზსადენის და მრიცხველების გამოტანა კერძო საკუთრებიდან (P.3.835)</t>
  </si>
  <si>
    <t>(83) სოფ. ახალდაბაში ძველი გაზსადენის რეაბილიტაცია (P.3.861)</t>
  </si>
  <si>
    <t>(84) სოფ. ახალდაბაში ძველი გაზსადენის რეაბილიტაცია (P.3.861)</t>
  </si>
  <si>
    <t>BCG-240109-1/0(1)</t>
  </si>
  <si>
    <t>BCG-240109-1/0(2)</t>
  </si>
  <si>
    <t>BCG-240109-1/0(3)</t>
  </si>
  <si>
    <t>BCG-240109-1/0(4)</t>
  </si>
  <si>
    <t>BCG-240109-1/0(5)</t>
  </si>
  <si>
    <t>BCG-240109-1/0(6)</t>
  </si>
  <si>
    <t>BCG-240109-1/0(7)</t>
  </si>
  <si>
    <t>BCG-240109-1/0(8)</t>
  </si>
  <si>
    <t>BCG-240109-1/0(9)</t>
  </si>
  <si>
    <t>BCG-240109-1/0(10)</t>
  </si>
  <si>
    <t>BCG-240109-1/0(11)</t>
  </si>
  <si>
    <t>BCG-240109-1/0(12)</t>
  </si>
  <si>
    <t>BCG-240109-1/0(13)</t>
  </si>
  <si>
    <t>BCG-240109-1/0(14)</t>
  </si>
  <si>
    <t>BCG-240109-1/0(15)</t>
  </si>
  <si>
    <t>BCG-240109-1/0(16)</t>
  </si>
  <si>
    <t>BCG-240109-1/0(17)</t>
  </si>
  <si>
    <t>BCG-240109-1/0(18)</t>
  </si>
  <si>
    <t>BCG-240109-1/0(19)</t>
  </si>
  <si>
    <t>BCG-240109-1/0(20)</t>
  </si>
  <si>
    <t>BCG-240109-1/0(21)</t>
  </si>
  <si>
    <t>BCG-240109-1/0(22)</t>
  </si>
  <si>
    <t>BCG-240109-1/0(23)</t>
  </si>
  <si>
    <t>BCG-240109-1/0(24)</t>
  </si>
  <si>
    <t>BCG-240109-1/0(25)</t>
  </si>
  <si>
    <t>BCG-240109-1/0(26)</t>
  </si>
  <si>
    <t>BCG-240109-1/0(27)</t>
  </si>
  <si>
    <t>BCG-240109-1/0(28)</t>
  </si>
  <si>
    <t>BCG-240109-1/0(29)</t>
  </si>
  <si>
    <t>BCG-240109-1/0(30)</t>
  </si>
  <si>
    <t>BCG-240109-1/0(31)</t>
  </si>
  <si>
    <t>BCG-240109-1/0(32)</t>
  </si>
  <si>
    <t>BCG-240109-1/0(33)</t>
  </si>
  <si>
    <t>BCG-240109-1/0(34)</t>
  </si>
  <si>
    <t>BCG-240109-1/0(35)</t>
  </si>
  <si>
    <t>BCG-240109-1/0(36)</t>
  </si>
  <si>
    <t>BCG-240109-1/0(37)</t>
  </si>
  <si>
    <t>BCG-240109-1/0(38)</t>
  </si>
  <si>
    <t>BCG-240109-1/0(39)</t>
  </si>
  <si>
    <t>BCG-240109-1/0(40)</t>
  </si>
  <si>
    <t>BCG-240109-1/0(41)</t>
  </si>
  <si>
    <t>BCG-240109-1/0(42)</t>
  </si>
  <si>
    <t>BCG-240109-1/0(43)</t>
  </si>
  <si>
    <t>BCG-240109-1/0(44)</t>
  </si>
  <si>
    <t>BCG-240109-1/0(45)</t>
  </si>
  <si>
    <t>BCG-240109-1/0(46)</t>
  </si>
  <si>
    <t>BCG-240109-1/0(47)</t>
  </si>
  <si>
    <t>BCG-240109-1/0(48)</t>
  </si>
  <si>
    <t>BCG-240109-1/0(49)</t>
  </si>
  <si>
    <t>BCG-240109-1/0(50)</t>
  </si>
  <si>
    <t>BCG-240109-1/0(51)</t>
  </si>
  <si>
    <t>BCG-240109-1/0(52)</t>
  </si>
  <si>
    <t>BCG-240109-1/0(53)</t>
  </si>
  <si>
    <t>BCG-240109-1/0(54)</t>
  </si>
  <si>
    <t>BCG-240109-1/0(55)</t>
  </si>
  <si>
    <t>BCG-240109-1/0(56)</t>
  </si>
  <si>
    <t>BCG-240109-1/0(57)</t>
  </si>
  <si>
    <t>BCG-240109-1/0(58)</t>
  </si>
  <si>
    <t>BCG-240109-1/0(59)</t>
  </si>
  <si>
    <t>BCG-240109-1/0(60)</t>
  </si>
  <si>
    <t>BCG-240109-1/0(61)</t>
  </si>
  <si>
    <t>BCG-240109-1/0(62)</t>
  </si>
  <si>
    <t>BCG-240109-1/0(63)</t>
  </si>
  <si>
    <t>BCG-240109-1/0(64)</t>
  </si>
  <si>
    <t>BCG-240109-1/0(65)</t>
  </si>
  <si>
    <t>BCG-240109-1/0(66)</t>
  </si>
  <si>
    <t>BCG-240109-1/0(67)</t>
  </si>
  <si>
    <t>BCG-240109-1/0(68)</t>
  </si>
  <si>
    <t>BCG-240109-1/0(69)</t>
  </si>
  <si>
    <t>BCG-240109-1/0(70)</t>
  </si>
  <si>
    <t>BCG-240109-1/0(71)</t>
  </si>
  <si>
    <t>BCG-240109-1/0(72)</t>
  </si>
  <si>
    <t>BCG-240109-1/0(73)</t>
  </si>
  <si>
    <t>BCG-240109-1/0(74)</t>
  </si>
  <si>
    <t>BCG-240109-1/0(75)</t>
  </si>
  <si>
    <t>BCG-240109-1/0(76)</t>
  </si>
  <si>
    <t>BCG-240109-1/0(77)</t>
  </si>
  <si>
    <t>BCG-240109-1/0(78)</t>
  </si>
  <si>
    <t>BCG-240109-1/0(79)</t>
  </si>
  <si>
    <t>BCG-240109-1/0(80)</t>
  </si>
  <si>
    <t>BCG-240109-1/0(81)</t>
  </si>
  <si>
    <t>BCG-240109-1/0(82)</t>
  </si>
  <si>
    <t>BCG-240109-1/0(83)</t>
  </si>
  <si>
    <t>BCG-240109-1/0(84)</t>
  </si>
  <si>
    <t>(3) სოფ. ქვედა მუქედი. გაზსადენის რეაბილიტაცია (P.6.659)</t>
  </si>
  <si>
    <t>(1.1.2) სოფ. ქვედა მუქედი. გაზსადენის რეაბილიტაცია (P.6.659)</t>
  </si>
  <si>
    <t>CC-240116-1/0(1.1.2)</t>
  </si>
  <si>
    <t>CS-240116-1/0(1.1.2)</t>
  </si>
  <si>
    <t>CS-240116-1/0(1.1.1)</t>
  </si>
  <si>
    <t>CS-240116-1/0(1.1.3)</t>
  </si>
  <si>
    <t>CS-240116-1/0(1.1.4)</t>
  </si>
  <si>
    <t>CS-240116-1/0(1.1.5)</t>
  </si>
  <si>
    <t>(1.1.1) მუხრანის გრს-დან N 37 საუბნომდე ცენტრალური გასზადენის რეაბილიტაცია (P.3.955)</t>
  </si>
  <si>
    <t>(1.1.2) ქ. ქარელში (ფანასკერტელის, ვაჟა ფშაველას, მუსხელიშვილის, თბილისის, აბაშიშვილის, მარჯანიშვილის, ახალგაზრდობის, ნონეშვილის სტალინის, თამარ მეფის, ჭავჭავაძის, წერეთლის, კეცხოველის, ავთანდილაშვილის, 9 აპრილის, ბახტრიონის ქ. ქარელში მე2ე და მე4ე საუბნო კვანძებზე არსებული) ქუჩების საჰაერო გაზსადენის შეცვლა (P.3.502)</t>
  </si>
  <si>
    <t>P.3.502 (P.3.503)</t>
  </si>
  <si>
    <t>(1.1.3) სოფ. დვაბზუს ქსელის რეაბილიტაცია (P.4.519)</t>
  </si>
  <si>
    <t>(1.1.4) ოზურგეთში მრიცხველების გამოტანა 85 ოჯახიდან (P.4.16)</t>
  </si>
  <si>
    <t>(1.1.5) ჩოხატაურში მრიცხველების გამოტანა 61 ოჯახიდან P.4.18</t>
  </si>
  <si>
    <t>P.5.34</t>
  </si>
  <si>
    <t>CS-240115-1/0(1.1.1)</t>
  </si>
  <si>
    <t>CS-240115-1/0(1.1.2)</t>
  </si>
  <si>
    <t>CS-240115-1/0(1.1.3)</t>
  </si>
  <si>
    <t>(1.1.2) ხობი, ლითონის D=500 მმ გაზსადენის რეაბილიტაცია (P.4.3)</t>
  </si>
  <si>
    <t>(1.1.3) გაზსადენის მშენებლობა, ადლია, ანგისას დასახლებაში უსაფრთხო უწყვეტი მიწოდებისთვის (P.5.549)</t>
  </si>
  <si>
    <t>(1.1.1) ქ. ქობულეთში საშ. წნევის ფოლადის D-300 მმ ქსელის რეაბილიტაცია (P.5.34)</t>
  </si>
  <si>
    <t>Май 2024</t>
  </si>
  <si>
    <t>(1) #999 გერეესიდან ზ. ალვნამდე არსებული ქსელის რეაბილიტაცია (P.2.525)</t>
  </si>
  <si>
    <t>(2) სოფელ შრომისა და სოფელ კავშირის გაზსადენების რეაბილიტაცია. (P.2.894)</t>
  </si>
  <si>
    <t>(3) სოფ. კაბალში ფოლადის გაზსადენის შეცვლა პოლიეთილენით (P.2.1160)</t>
  </si>
  <si>
    <t>(4) ქ. დედოფლისწყარო-მეგობრობის ქუჩა #4 საუბნო მრიცხველამდე (P.2.553)</t>
  </si>
  <si>
    <t>(5) სოფ ჯანდარის დაბალი წნევის მილის რეაბილიტაცია. (P.2.906)</t>
  </si>
  <si>
    <t>(6) ქ. ყვარელი დურუჯის ქუჩის მიწისქვეშა გაზსადენის რეაბილიტაცია 57. 06. 56. 379-დან 57. 06. 52. 133-მდე (P.2.93)</t>
  </si>
  <si>
    <t>(7) 34-ე საუბნო (სოფ. დარჩეთი, ცენტრალური გზა, ორივე მხრიდან) (არაშენდიდან ქოდალომდე) ბესოს ფერმასთან (შესასვლელში) (დარჩეთის სკოლასთან) წნევის გაზსადენის რეაბილიტაცია. (P.2.871)</t>
  </si>
  <si>
    <t>(8) 43-ე საუბნო კვანძზე (მელაანიდან გზის პირი, გაჩერებამდე) (ჩალაუბანში საშ. წნევის მიყვანა სოფ. მელაანამდე) დაბალი წნევის გაზსადენის რეაბილიტაცია. (P.2.874)</t>
  </si>
  <si>
    <t>(9) N11 საუბნოზე ი ჭავჭავაძის და წმინდა ნინოს ქუჩებზე კერძო საკუთრებაში გამავალი გაზსადენის გამოტანა მრიცხველების შეცვლა 140 აბონენტზე, რეაბილიტაცია . (P.2.809)</t>
  </si>
  <si>
    <t>(10) N12 საუბნოზე თამარმეფის ქუჩისა და წმინდა ნინოს ქუჩებზე კერძო საკუთრებაში გამავალი გაზსადენის გამოტანა მრიცხველების შეცვლა 190 აბონენტზე, რეაბილიტაცია. (P.2.810)</t>
  </si>
  <si>
    <t>(11) სოფ. ზემო მაჩხაანი-აკაკის და ჯამასპიანთ უბანი გაზსადენის რეაბილიტაცია  (P.2.45)</t>
  </si>
  <si>
    <t>(12) სოფ მარაბდის მკვებავი გზსადენის ჩადება მიწაში 2700 გ/მ (P.2.815)</t>
  </si>
  <si>
    <t>(13) სოფ. სართიჭალა, ცხაკაიას ქუჩის გაზსადენის რეაბილიტაცია (P.2.84)</t>
  </si>
  <si>
    <t>(14) გარდაბანი, სოფ. ნაზარლოში ცენტრალური გაზსადენის აწევა და მიწისქვეშა გადასვლების რეაბილიტაცია (P.2.829)</t>
  </si>
  <si>
    <t>(15) ქ. ყვარელი წერეთლის ქუჩის მიწისქვეშა დაბალი წნევის გაზსადენის რეაბილიტაცია 57. 06. 56. 397-დან57. 06. 56. 198-მდე (შუა ქალაქიდან ბოლომდე დასავლეთით) გიორგი მერჩულეს ქუჩა 57. 06. 56. 226-დან 57. 06. 56. 235-მდე (P.2.99)</t>
  </si>
  <si>
    <t>(16) #2 ახმეტის მუნიციპალიტეტი სოფელი მატანის გაზსადენის რეაბილიტაცია მატნის საუბნოდან სოფლის შესასვლელამდე (P.2.518)</t>
  </si>
  <si>
    <t>(17) სოფ. ჭანდარი; მე-7 საუბნო კვანძზე (თენგოს უბანი და განშტოებები) (სონღულაშვილის გივის უბანი) საშუალო წნევის გაზსადენის რეაბილიტაცია. (P.2.856)</t>
  </si>
  <si>
    <t>(18) სოფ. კაბალში და სოფ. ყარაჯალაში აღრიცხვიანობის მოწესრიგება (P.2.1161)</t>
  </si>
  <si>
    <t>(19) მე-9 საუბნო კვანძზე (სკოლიდან მამაოს უბანი, დოხას უბანი) (ხევისუბანი-ჩალიჩების უბნამდე) (ხევისუბნიდან სკოლამდე) საშუალო წნევის გაზსადენის რეაბილიტაცია. (P.2.858)</t>
  </si>
  <si>
    <t>(20) ქ. ყვარელი ქეთევან დედოფლის ქუჩის მიწისქვეშა დაბალი წნევის გაზსადენის რეაბილიტაცია 57. 06. 56. 410-დან 57. 06. 51. 135-მდე ძველი რაიკომის ქუჩა (P.2.104)</t>
  </si>
  <si>
    <t>(21) მე-12 საუბნო კვანძზე (სოფ. ბაკურციხე ტექნიკუმის გზაზე, ორივე მხარეს) (სოფ. ბაკურციხე, პარკისუბანში) საშუალო წნევის გაზსადენის რეაბილიტაცია. (P.2.859)</t>
  </si>
  <si>
    <t>(22) სოფ. არბოშიკი-#20 საუბნო მრიცხველიდან კოტაანი და მაჩხაანის მიმართულება გაზსადენის რეაბილიტაცია (P.2.542)</t>
  </si>
  <si>
    <t>(23) ქ. ყვარელი ქაქუცა ჩოლოყაშვილი ქუჩის მიწისქვეშა დაბალი წნევის გაზსადენის რეაბილიტაცია 57. 06. 54. 506-დან 57. 06. 55. 095-მდე სალავაშეს ქ (P.2.105)</t>
  </si>
  <si>
    <t>(24)  სოფ. მუხროვანი ,არსებული დაბალი წნევის ფოლადის მიწისზედა D50(1000 გრ/მ), რომლის ჩანაცვლება უნდა მოხდეს შემდეგ ნაირად 800 გრ/მ ჩანაცვლდეს D76მმ ფოლადის მიწისზედა მილსადენით ხოლო დარჩენილი 200 გრ/მ D50მმ გადაყვანილი იქნას საშუალო წნევაზე.  D32 300 გრ/მ D25 300 გრ/მ ჩანაცვლებულ იქნას   D50მმ მიწისზედა 300-300 გრ/მ ფოლადის გაზსადენით. აგრეთვე D50მმ მიწისზედა ფოლადის მილი ჩანაცვლდეს  D63 მმ 200 გრ/მ მიწისქვეშა პოლიეთილენის გაზსადენით (P.2.1070)</t>
  </si>
  <si>
    <t>(25) ქ. ყვარელი, თამარ მეფის ქუჩის მიწისქვეშა დაბალი წნევის გაზსადენის რეაბილიტაცია 57.06.56.000.165-დან 57.06.51.000.122-მდე (P.2.1118)</t>
  </si>
  <si>
    <t>(26) ქ. ყვარელი შოთა რუსთაველის ქუჩის მიწისქვეშა დაბალი წნევის გაზსადენის რეაბილიტაცია 57. 06. 56. 019-დან 57. 06. 51. 372-მდე რესპუბლიკა ბანკიდან ძველი სასამართლოს ქუჩა (P.2.995)</t>
  </si>
  <si>
    <t>(27) ქ. მარნეული პირველ და მეორე ქუჩებზე გაზსადენის მოწყობა (P.2.1224)</t>
  </si>
  <si>
    <t>(30) სოფ. სართიჭალა არსებული საშ წნევის D300მმ მიწისქვეშა ფოლადის  გაზსადენის რეაბილიტაცია (P.2.1069)</t>
  </si>
  <si>
    <t>(35) გარდაბანი , სოფ. ლელაშხაში არსებული გაზგამანაწილებელი ქსელის რეაბილიტაცია (P.2.831)</t>
  </si>
  <si>
    <t>(39) ქ. ყვარელი, ელადის ქუჩის მიწისქვეშა დაბალი წნევის გაზსადენის რეაბილიტაცია 57.06.56.000.182-დან 57.06.51.000.454-მდე (P.2.1117)</t>
  </si>
  <si>
    <t>(40) #999 ქ. ახმეტა გორგასლის პირველი შესახვევი მიწისქვეშა გაზსადენის რეაბილიტაცია (P.2.526)</t>
  </si>
  <si>
    <t>(42) სოფ. სართიჭალა, მუღანლოს დასახ. ქუჩის ჩიხის ქსელის რეაბილიტაცია (P.2.81)</t>
  </si>
  <si>
    <t>(43) ქ. წნორი პაპუაშვილის უბნის რეაბილიტაცია (P.2.775)</t>
  </si>
  <si>
    <t>(44) ქ. ყვარელი, ანდრია ბენაშვილის (ერეკლეს) ქუჩის მიწისქვეშა დაბალი წნევის გაზსადენის რეაბილიტაცია 57.06.56.000.154-დან 57.06.51.000.213-მდე (P.2.1116)</t>
  </si>
  <si>
    <t>(45) ქ. დედოფლისწყარო-ბარათაშვილის ქუჩა გაზსადენის რეაბილიტაცია (P.2.991)</t>
  </si>
  <si>
    <t>(46) ქ. ყვარელი, ლაშარის ქუჩის მიწისქვეშა დაბალი წნევის გაზსადენის რეაბილიტაცია 57.06.56.000.293-დან 57.06.51.000.138-მდე (P.2.1115)</t>
  </si>
  <si>
    <t>(47) ქ. ყვარელი, სოლომონ დოდაშვილის ქუჩის მიწისქვეშა დაბალი წნევის გაზსადენის რეაბილიტაცია 57.06.56.000.2675-დან 57.06.51.000.074-მდე (P.2.1119)</t>
  </si>
  <si>
    <t>(48) სოფ. საქობო კლუბის უბნის გაზსადენის რეაბილიტაცია (P.2.777)</t>
  </si>
  <si>
    <t>(49) ქ. წნორი ნოდარ მოლაშვილის უბნის რეაბილიტაცია (P.2.791)</t>
  </si>
  <si>
    <t>CS-240118-1/0 (1)</t>
  </si>
  <si>
    <t>CS-240118-1/0 (2)</t>
  </si>
  <si>
    <t>CS-240118-1/0 (3)</t>
  </si>
  <si>
    <t>CS-240118-1/0 (4)</t>
  </si>
  <si>
    <t>CS-240118-1/0 (5)</t>
  </si>
  <si>
    <t>CS-240118-1/0 (6)</t>
  </si>
  <si>
    <t>CS-240118-1/0 (7)</t>
  </si>
  <si>
    <t>CS-240118-1/0 (8)</t>
  </si>
  <si>
    <t>CS-240118-1/0 (9)</t>
  </si>
  <si>
    <t>CS-240118-1/0 (10)</t>
  </si>
  <si>
    <t>CS-240118-1/0 (11)</t>
  </si>
  <si>
    <t>CS-240118-1/0 (12)</t>
  </si>
  <si>
    <t>CS-240118-1/0 (13)</t>
  </si>
  <si>
    <t>CS-240118-1/0 (14)</t>
  </si>
  <si>
    <t>CS-240118-1/0 (15)</t>
  </si>
  <si>
    <t>CS-240118-1/0 (16)</t>
  </si>
  <si>
    <t>CS-240118-1/0 (17)</t>
  </si>
  <si>
    <t>CS-240118-1/0 (18)</t>
  </si>
  <si>
    <t>CS-240118-1/0 (19)</t>
  </si>
  <si>
    <t>CS-240118-1/0 (20)</t>
  </si>
  <si>
    <t>CS-240118-1/0 (21)</t>
  </si>
  <si>
    <t>CS-240118-1/0 (22)</t>
  </si>
  <si>
    <t>CS-240118-1/0 (23)</t>
  </si>
  <si>
    <t>CS-240118-1/0 (24)</t>
  </si>
  <si>
    <t>CS-240118-1/0 (25)</t>
  </si>
  <si>
    <t>CS-240118-1/0 (26)</t>
  </si>
  <si>
    <t>CS-240118-1/0 (27)</t>
  </si>
  <si>
    <t>CS-240118-1/0 (28)</t>
  </si>
  <si>
    <t>CS-240118-1/0 (29)</t>
  </si>
  <si>
    <t>CS-240118-1/0 (30)</t>
  </si>
  <si>
    <t>CS-240118-1/0 (31)</t>
  </si>
  <si>
    <t>CS-240118-1/0 (32)</t>
  </si>
  <si>
    <t>CS-240118-1/0 (33)</t>
  </si>
  <si>
    <t>CS-240118-1/0 (34)</t>
  </si>
  <si>
    <t>CS-240118-1/0 (35)</t>
  </si>
  <si>
    <t>CS-240118-1/0 (36)</t>
  </si>
  <si>
    <t>CS-240118-1/0 (37)</t>
  </si>
  <si>
    <t>CS-240118-1/0 (38)</t>
  </si>
  <si>
    <t>CS-240118-1/0 (39)</t>
  </si>
  <si>
    <t>CS-240118-1/0 (40)</t>
  </si>
  <si>
    <t>CS-240118-1/0 (41)</t>
  </si>
  <si>
    <t>CS-240118-1/0 (42)</t>
  </si>
  <si>
    <t>CS-240118-1/0 (43)</t>
  </si>
  <si>
    <t>CS-240118-1/0 (44)</t>
  </si>
  <si>
    <t>CS-240118-1/0 (45)</t>
  </si>
  <si>
    <t>CS-240118-1/0 (46)</t>
  </si>
  <si>
    <t>CS-240118-1/0 (47)</t>
  </si>
  <si>
    <t>CS-240118-1/0 (48)</t>
  </si>
  <si>
    <t>CS-240118-1/0 (49)</t>
  </si>
  <si>
    <t>P.2.647</t>
  </si>
  <si>
    <t>P.2.685</t>
  </si>
  <si>
    <t>(1) გამოსატანი მრიცხველების გამოტანა (P.2.647)</t>
  </si>
  <si>
    <t>(4) ქ. თეთრიწყაროს ბაგრატიონის და გ . ბრწყინვალეს ქუჩაზე კერძო საკუთრებაში გამავალი გაზსადენის გამოტანა 105 აბ, რეაბილიტაცია. (P.2.824)</t>
  </si>
  <si>
    <t>(5) გამოსატანი მრიცხველების გამოტანა (P.2.685)</t>
  </si>
  <si>
    <t>(8) მელიქიშვილის ქუჩის მ/ტ-ზე კერძო მესაკუთრის ნაკვეთებზე გამავალი საჰაერო დ - 50 მმ-იანი გაზსადენის დემონტაჟი და ახლი საჰაერო დ - 50 მმ-იანი გაზსადენის მონტაჟი (P.2.581)</t>
  </si>
  <si>
    <t>CC-240118-1/0 (1)</t>
  </si>
  <si>
    <t>CC-240118-1/0 (2)</t>
  </si>
  <si>
    <t>CC-240118-1/0 (3)</t>
  </si>
  <si>
    <t>CC-240118-1/0 (4)</t>
  </si>
  <si>
    <t>CC-240118-1/0 (5)</t>
  </si>
  <si>
    <t>CC-240118-1/0 (6)</t>
  </si>
  <si>
    <t>CC-240118-1/0 (7)</t>
  </si>
  <si>
    <t>CC-240118-1/0 (8)</t>
  </si>
  <si>
    <t>CC-240118-1/0 (9)</t>
  </si>
  <si>
    <t>CC-240118-1/0 (10)</t>
  </si>
  <si>
    <t>CC-240118-1/0 (11)</t>
  </si>
  <si>
    <t>მე-12-ე მკრ. № 2 კორპ</t>
  </si>
  <si>
    <t>მე-12-ე მკრ. № 3 კორპ</t>
  </si>
  <si>
    <t>მე-12-ე მკრ. № 4 კორპ</t>
  </si>
  <si>
    <t>მე-12-ე მკრ. № 6 კორპ</t>
  </si>
  <si>
    <t>მე-7-ე მკრ. № 18 კორპ</t>
  </si>
  <si>
    <t>მე-7-ე მკრ. № 19 კორპ</t>
  </si>
  <si>
    <t>მე-7-ე მკრ. № 27 კორპ</t>
  </si>
  <si>
    <t>მე-21-ე მკრ. № 6 კორპ</t>
  </si>
  <si>
    <t>მე-21-ე მკრ. № 9 კორპ</t>
  </si>
  <si>
    <t>ფალიაშვილის ქუჩა №3-2 კორპ</t>
  </si>
  <si>
    <t>თოდრიას ქუჩა №9 კორპ</t>
  </si>
  <si>
    <t>მესხიშვილის ქუჩა №13 კორპ</t>
  </si>
  <si>
    <t>მესხიშვილის ქუჩა №11 კორპ</t>
  </si>
  <si>
    <t>მესხიშვილის ქუჩა №9 კორპ</t>
  </si>
  <si>
    <t>მესხიშვილის ქუჩა №5 კორპ</t>
  </si>
  <si>
    <t>რუსთაველის ქუჩა №52 კორპ</t>
  </si>
  <si>
    <t>რუსთაველის ქუჩა №50 კორპ</t>
  </si>
  <si>
    <t>ფალიაშვილის ქუჩა №7-1 კორპ</t>
  </si>
  <si>
    <t>ფალიაშვილის ქუჩა №7-2 კორპ</t>
  </si>
  <si>
    <t>მე-17-ე მკრ. № 2 კორპ</t>
  </si>
  <si>
    <t>მე-17-ე მკრ. № 7 კორპ</t>
  </si>
  <si>
    <t>მე-17-ე მკრ. № 20 კორპ</t>
  </si>
  <si>
    <t>მე-17-ე მკრ. № 27 კორპ</t>
  </si>
  <si>
    <t>(1) გამოსატანი მრიცხველების გამოტანა (P.2.647) (მე-12-ე მკრ. № 2 კორპ)</t>
  </si>
  <si>
    <t>(1) გამოსატანი მრიცხველების გამოტანა (P.2.647) (მე-12-ე მკრ. № 3 კორპ)</t>
  </si>
  <si>
    <t>(1) გამოსატანი მრიცხველების გამოტანა (P.2.647) (მე-12-ე მკრ. № 4 კორპ)</t>
  </si>
  <si>
    <t>(1) გამოსატანი მრიცხველების გამოტანა (P.2.647) (მე-12-ე მკრ. № 6 კორპ)</t>
  </si>
  <si>
    <t>(1) გამოსატანი მრიცხველების გამოტანა (P.2.647) (მე-7-ე მკრ. № 18 კორპ)</t>
  </si>
  <si>
    <t>(1) გამოსატანი მრიცხველების გამოტანა (P.2.647) (მე-7-ე მკრ. № 19 კორპ)</t>
  </si>
  <si>
    <t>(1) გამოსატანი მრიცხველების გამოტანა (P.2.647) (მე-7-ე მკრ. № 27 კორპ)</t>
  </si>
  <si>
    <t>(1) გამოსატანი მრიცხველების გამოტანა (P.2.647) (მე-21-ე მკრ. № 6 კორპ)</t>
  </si>
  <si>
    <t>(1) გამოსატანი მრიცხველების გამოტანა (P.2.647) (მე-21-ე მკრ. № 9 კორპ)</t>
  </si>
  <si>
    <t>(1) გამოსატანი მრიცხველების გამოტანა (P.2.647) (რუსთაველის ქუჩა №50 კორპ)</t>
  </si>
  <si>
    <t>(1) გამოსატანი მრიცხველების გამოტანა (P.2.647) (რუსთაველის ქუჩა №52 კორპ)</t>
  </si>
  <si>
    <t>(1) გამოსატანი მრიცხველების გამოტანა (P.2.647) (მესხიშვილის ქუჩა №5 კორპ)</t>
  </si>
  <si>
    <t>(1) გამოსატანი მრიცხველების გამოტანა (P.2.647) (მესხიშვილის ქუჩა №9 კორპ)</t>
  </si>
  <si>
    <t>(1) გამოსატანი მრიცხველების გამოტანა (P.2.647) (მესხიშვილის ქუჩა №11 კორპ)</t>
  </si>
  <si>
    <t>(1) გამოსატანი მრიცხველების გამოტანა (P.2.647) (მესხიშვილის ქუჩა №13 კორპ)</t>
  </si>
  <si>
    <t>(1) გამოსატანი მრიცხველების გამოტანა (P.2.647) (თოდრიას ქუჩა №9 კორპ)</t>
  </si>
  <si>
    <t>(2) გამოსატანი მრიცხველების გამოტანა (P.2.618) (ფალიაშვილის ქუჩა №3-2 კორპ)</t>
  </si>
  <si>
    <t>(2) გამოსატანი მრიცხველების გამოტანა (P.2.618) (ფალიაშვილის ქუჩა №7-1 კორპ)</t>
  </si>
  <si>
    <t>(2) გამოსატანი მრიცხველების გამოტანა (P.2.618) (ფალიაშვილის ქუჩა №7-2 კორპ)</t>
  </si>
  <si>
    <t>(2) გამოსატანი მრიცხველების გამოტანა (P.2.618) (მე-17-ე მკრ. № 2 კორპ)</t>
  </si>
  <si>
    <t>(2) გამოსატანი მრიცხველების გამოტანა (P.2.618) (მე-17-ე მკრ. № 7 კორპ)</t>
  </si>
  <si>
    <t>(2) გამოსატანი მრიცხველების გამოტანა (P.2.618) (მე-17-ე მკრ. № 20 კორპ)</t>
  </si>
  <si>
    <t>(2) გამოსატანი მრიცხველების გამოტანა (P.2.618) (მე-17-ე მკრ. № 27 კორპ)</t>
  </si>
  <si>
    <t>ჰაიდროკორპი</t>
  </si>
  <si>
    <t>13.05.2024-01</t>
  </si>
  <si>
    <t>D-500 მმ ქსელის მშენებლობის პროექტის კორექტირება ყოროლისწყალის მონაკვეთზე (P.5.11)</t>
  </si>
  <si>
    <t>(1) 7 - საუბნო-აღმაშენებლის ქუჩაზე, წმინდა გიორგის ქუჩაზე, ღვალაძის ქუჩაზე, საბჭოს ქუჩაზე, გაგარინის ქუჩაზე,  4-საუბნო-რუსთაველის ქუჩაზე ტყაბლაძის ქუჩაზე, ინტერნაციონალის ქუჩაზე, ქუთაისის ქუჩაზე,  21- საუბნო-ბარათაშვილის ქუჩაზე, ცუცქირიძის ქუჩაზე და ბათუმის ქუჩაზე  გამავალი გაზსადენის შეღებვა. P.6.246</t>
  </si>
  <si>
    <t>(1.1.1) სოფელ ბიწმენდში არსებული შიდა ქსელის რეაბილიტაცია და გამსხვილება P.3.698</t>
  </si>
  <si>
    <t>(1.1.2) სოფელ მუხრანში არსებული შიდა ქსელის რეაბილიტაცია და გამსხვილება P.3.697</t>
  </si>
  <si>
    <t>CS-240119-1/0 (1.1.1)</t>
  </si>
  <si>
    <t>CS-240119-1/0 (1.1.2)</t>
  </si>
  <si>
    <t>ДВД</t>
  </si>
  <si>
    <t>კორპუსები</t>
  </si>
  <si>
    <t>P.6.263 (P.6.264; P.6.265)</t>
  </si>
  <si>
    <t>(14) გაზსადენზე დასამატებელია საყრდენები წმ/გიორგი ქ, აღმაშენებლის ქ 9აპრილის ქ, ჩაჩანიძის ქ, ღვალაძის, ქ სოფ:ნავარძეთი, წინსოფელი 8, 10,11 საუბნო და მეორე ჩასასვლელი, თბილისის ქ., ლეჟუბნის ქ. ტყაბლაძის ქ.P.6.263 (P.6.264; P.6.265)</t>
  </si>
  <si>
    <t>(13) გაზსადენზე დასამატებელია საყრდენები წმ/გიორგი ქ, აღმაშენებლის ქ 9აპრილის ქ, ჩაჩანიძის ქ, ღვალაძის, ქ სოფ:ნავარძეთი, წინსოფელი 8, 10,11 საუბნო და მეორე ჩასასვლელი, თბილისის ქ., ლეჟუბნის ქ. ტყაბლაძის ქ.P.6.263(P.6.264; P.6.265)</t>
  </si>
  <si>
    <t>BCG-240112-1/0(2)</t>
  </si>
  <si>
    <t>BCG-240112-1/0(1)</t>
  </si>
  <si>
    <t>მაისში საირმეზე უკვე გადავიხადეთ ჯამში 1 550 000 დასაზუსტებელია მოვითხოვო თუ არა დღგ.</t>
  </si>
  <si>
    <t>(34) სოფ. ჩუნეშში ე.წ "გოგიაურის" უბნის  ცენტრალური ნაწილის  დ-63მმ-იანი დაბ/წნევის  გაზსადენის რეაბილიტაციის საპროექტო სამუშაოები P.6.874 (P.6.921)</t>
  </si>
  <si>
    <t>(38) N36 საუბნოზე, სოფ. ჩუნეშში ე.წ "მინდორის დასახლება" დ-40მმ-იანი დაბ/წნევის გაზსადენის რეაბილიტაცია. N36 საუბნოზე, სოფ. ჩუნეშში ე.წ "მინდორის დასახლება" დ-63მმ-იანი დაბ/წნევის გაზსადენის რეაბილიტაციის საპროექტო სამუშაოები P.6.921 (შედის P.6.874-ში)</t>
  </si>
  <si>
    <t>P.6.921 (შედის P.6.874-ში)</t>
  </si>
  <si>
    <t>(35) სოფ. ჩუნეშში ე.წ "გოგიაურის" უბნის  ცენტრალური ნაწილის  დ-63მმ-იანი დაბ/წნევის  გაზსადენის რეაბილიტაცია P.6.874 (P.6.921)</t>
  </si>
  <si>
    <t>(39) N36 საუბნოზე, სოფ. ჩუნეშში ე.წ "მინდორის დასახლება" დ-40მმ-იანი დაბ/წნევის გაზსადენის რეაბილიტაცია. N36 საუბნოზე, სოფ. ჩუნეშში ე.წ "მინდორის დასახლება" დ-63მმ-იანი დაბ/წნევის გაზსადენის რეაბილიტაცია P.6.921 (შედის P.6.874-ში)</t>
  </si>
  <si>
    <t>P.6.874 (მოიცავს P.6.921)</t>
  </si>
  <si>
    <t>P.3.178 (P.3.624, P.3.625, P.3.626,  P.3.627)</t>
  </si>
  <si>
    <t>P.6.002</t>
  </si>
  <si>
    <t>P.6.003</t>
  </si>
  <si>
    <t>Июнь 2024</t>
  </si>
  <si>
    <t>(3) სოფ. სხარტალის გაზიფიცირება (P.6.002)</t>
  </si>
  <si>
    <t>(4) სოფ. წკადისის გაზიფიცირება (P.6.003)</t>
  </si>
  <si>
    <t>(1.1.2.) სოფ. სხარტალის გაზიფიცირების პროექტი  (P.6.002)</t>
  </si>
  <si>
    <t>(1.1.1.) სოფ. წკადისის გაზიფიცირების პროექტი  (P.6.003)</t>
  </si>
  <si>
    <t>(1) მუხურა-ხოტევი-ამბროლაური მონაკვეთების მშენებლობა P.6.144(1) (მოიცავს P.6.140)</t>
  </si>
  <si>
    <t>BCG-230105-2/0 (1+2)</t>
  </si>
  <si>
    <t>(2) ხოტევი - ამბროლაურის მონაკვეთის მშენებლობა P.6.140</t>
  </si>
  <si>
    <t>P.6.140</t>
  </si>
  <si>
    <t>P.6.144(1)</t>
  </si>
  <si>
    <t>ივლისი-აგვისტო</t>
  </si>
  <si>
    <t>მერე</t>
  </si>
  <si>
    <t>სხვაობა
2024 (1)</t>
  </si>
  <si>
    <t>სხვაობა
2024 (2)</t>
  </si>
  <si>
    <t>საქორი</t>
  </si>
  <si>
    <t>ალბათ არ იქნება მოსათხოვნი დღგ</t>
  </si>
  <si>
    <t>აღარაა მოსათხოვნი დღგ</t>
  </si>
  <si>
    <t>Июль 2024</t>
  </si>
  <si>
    <t>შალვა დადიანის ქ. #61 კორპ.</t>
  </si>
  <si>
    <t>(1) მრიცხველების შეცვლა გამოტანა 8000  P.6.191 (8) (შალვა დადიანის ქ. #61 კორპ.)</t>
  </si>
  <si>
    <t>შალვა დადიანის ქ. #57 კორპ.</t>
  </si>
  <si>
    <t>(1) მრიცხველების შეცვლა გამოტანა 8000  P.6.191 (8) (შალვა დადიანის ქ. #57 კორპ.)</t>
  </si>
  <si>
    <t>(1) მრიცხველების შეცვლა გამოტანა 8000  P.6.191 (8) (შალვა დადიანის ქ. #59 კორპ.)</t>
  </si>
  <si>
    <t>შალვა დადიანის ქ. #59 კორპ.</t>
  </si>
  <si>
    <t>რევაზ თაბუკაშვილის ქ. #215 კორპ.</t>
  </si>
  <si>
    <t>(1) მრიცხველების შეცვლა გამოტანა 8000  P.6.191 (8) (რევაზ თაბუკაშვილის ქ. #215 კორპ.)</t>
  </si>
  <si>
    <t>კონსტანტინე გამსახურდიას ქ. #58 კორპ.</t>
  </si>
  <si>
    <t>(1) მრიცხველების შეცვლა გამოტანა 8000  P.6.191 (8) (კონსტანტინე გამსახურდიას ქ. #58 კორპ.)</t>
  </si>
  <si>
    <t>სილოვან ხუნდაძის ქ. #50 კორპ.</t>
  </si>
  <si>
    <t>(1) მრიცხველების შეცვლა გამოტანა 8000  P.6.191 (8) (სილოვან ხუნდაძის ქ. #50 კორპ.)</t>
  </si>
  <si>
    <t>(1) მრიცხველების შეცვლა გამოტანა 8000  P.6.191 (8) (სილოვან ხუნდაძის ქ. #51 კორპ.)</t>
  </si>
  <si>
    <t>სილოვან ხუნდაძის ქ. #51 კორპ.</t>
  </si>
  <si>
    <t>(1) მრიცხველების შეცვლა გამოტანა 8000  P.6.191 (8) (სილოვან ხუნდაძის ქ. #51ა კორპ.)</t>
  </si>
  <si>
    <t>სილოვან ხუნდაძის ქ. #51ა კორპ.</t>
  </si>
  <si>
    <t>(1) მრიცხველების შეცვლა გამოტანა 8000  P.6.191 (8) (სილოვან ხუნდაძის ქ. #52 კორპ.)</t>
  </si>
  <si>
    <t>სილოვან ხუნდაძის ქ. #52 კორპ.</t>
  </si>
  <si>
    <t>სილოვან ხუნდაძის ქ. #53 კორპ.</t>
  </si>
  <si>
    <t>სილოვან ხუნდაძის ქ. #54 კორპ.</t>
  </si>
  <si>
    <t>სილოვან ხუნდაძის ქ. #55 კორპ.</t>
  </si>
  <si>
    <t>სილოვან ხუნდაძის ქ. #57 კორპ.</t>
  </si>
  <si>
    <t>(1) მრიცხველების შეცვლა გამოტანა 8000  P.6.191 (8) (სილოვან ხუნდაძის ქ. #53 კორპ.)</t>
  </si>
  <si>
    <t>(1) მრიცხველების შეცვლა გამოტანა 8000  P.6.191 (8) (სილოვან ხუნდაძის ქ. #54 კორპ.)</t>
  </si>
  <si>
    <t>(1) მრიცხველების შეცვლა გამოტანა 8000  P.6.191 (8) (სილოვან ხუნდაძის ქ. #55 კორპ.)</t>
  </si>
  <si>
    <t>(1) მრიცხველების შეცვლა გამოტანა 8000  P.6.191 (8) (სილოვან ხუნდაძის ქ. #57 კორპ.)</t>
  </si>
  <si>
    <t>(1) მრიცხველების შეცვლა გამოტანა 8000  P.6.191 (8) (სილოვან ხუნდაძის ქ. #59 კორპ.)</t>
  </si>
  <si>
    <t>სილოვან ხუნდაძის ქ. #59 კორპ.</t>
  </si>
  <si>
    <t>(1) მრიცხველების შეცვლა გამოტანა 8000  P.6.191 (8) (სილოვან ხუნდაძის ქ. #61 კორპ.)</t>
  </si>
  <si>
    <t>სილოვან ხუნდაძის ქ. #61 კორპ.</t>
  </si>
  <si>
    <t>(1) მრიცხველების შეცვლა გამოტანა 8000  P.6.191 (8) (სილოვან ხუნდაძის ქ. #63 კორპ.)</t>
  </si>
  <si>
    <t>სილოვან ხუნდაძის ქ. #63 კორპ.</t>
  </si>
  <si>
    <t>ფელიქს კაკაურიძის ქ. #5 კორპ.</t>
  </si>
  <si>
    <t>ფელიქს კაკაურიძის ქ. #7 კორპ.</t>
  </si>
  <si>
    <t>ფელიქს კაკაურიძის ქ. #9 კორპ.</t>
  </si>
  <si>
    <t>(1) მრიცხველების შეცვლა გამოტანა 8000  P.6.191 (8) (ფელიქს კაკაურიძის ქ. #5 კორპ.)</t>
  </si>
  <si>
    <t>(1) მრიცხველების შეცვლა გამოტანა 8000  P.6.191 (8) (ფელიქს კაკაურიძის ქ. #7 კორპ.)</t>
  </si>
  <si>
    <t>(1) მრიცხველების შეცვლა გამოტანა 8000  P.6.191 (8) (ფელიქს კაკაურიძის ქ. #9 კორპ.)</t>
  </si>
  <si>
    <t>ეს კორპუსებია!</t>
  </si>
  <si>
    <t>(1) გამოსატანი მრიცხველების გამოტანა (P.2.647) (მე-12-ე მკრ. № 23 კორპ)</t>
  </si>
  <si>
    <t>მე-12-ე მკრ. № 23 კორპ</t>
  </si>
  <si>
    <t>(1) გამოსატანი მრიცხველების გამოტანა (P.2.647) (მე-12-ე მკრ. № 24 კორპ)</t>
  </si>
  <si>
    <t>(1) გამოსატანი მრიცხველების გამოტანა (P.2.647) (მე-12-ე მკრ. № 34 კორპ)</t>
  </si>
  <si>
    <t>მე-12-ე მკრ. № 24 კორპ</t>
  </si>
  <si>
    <t>მე-12-ე მკრ. № 34 კორპ</t>
  </si>
  <si>
    <t>(1) გამოსატანი მრიცხველების გამოტანა (P.2.647) (მე-21-ე მკრ. № 11 კორპ)</t>
  </si>
  <si>
    <t>მე-21-ე მკრ. № 11 კორპ</t>
  </si>
  <si>
    <t>(1) გამოსატანი მრიცხველების გამოტანა (P.2.647) (მე-21-ე მკრ. № 12 კორპ)</t>
  </si>
  <si>
    <t>(1) გამოსატანი მრიცხველების გამოტანა (P.2.647) (მე-21-ე მკრ. № 13 კორპ)</t>
  </si>
  <si>
    <t>მე-21-ე მკრ. № 12 კორპ</t>
  </si>
  <si>
    <t>მე-21-ე მკრ. № 13 კორპ</t>
  </si>
  <si>
    <t>(1) გამოსატანი მრიცხველების გამოტანა (P.2.647) (დავით გარეჯის ქ. №4 კორპ)</t>
  </si>
  <si>
    <t>დავით გარეჯის ქ. №4 კორპ</t>
  </si>
  <si>
    <t>(1) გამოსატანი მრიცხველების გამოტანა (P.2.647) (დავით გარეჯის ქ. №8 კორპ)</t>
  </si>
  <si>
    <t>(1) გამოსატანი მრიცხველების გამოტანა (P.2.647) (დავით გარეჯის ქ. №12 კორპ)</t>
  </si>
  <si>
    <t>(1) გამოსატანი მრიცხველების გამოტანა (P.2.647) (დავით გარეჯის ქ. №14 კორპ)</t>
  </si>
  <si>
    <t>(1) გამოსატანი მრიცხველების გამოტანა (P.2.647) (დავით გარეჯის ქ. №16 კორპ)</t>
  </si>
  <si>
    <t>(1) გამოსატანი მრიცხველების გამოტანა (P.2.647) (დავით გარეჯის ქ. №18 კორპ)</t>
  </si>
  <si>
    <t>დავით გარეჯის ქ. №8 კორპ</t>
  </si>
  <si>
    <t>დავით გარეჯის ქ. №12 კორპ</t>
  </si>
  <si>
    <t>დავით გარეჯის ქ. №14 კორპ</t>
  </si>
  <si>
    <t>დავით გარეჯის ქ. №16 კორპ</t>
  </si>
  <si>
    <t>დავით გარეჯის ქ. №18 კორპ</t>
  </si>
  <si>
    <t>(1) გამოსატანი მრიცხველების გამოტანა (P.2.647) (მესხიშვილის ქ. №3 კორპ)</t>
  </si>
  <si>
    <t>(1) გამოსატანი მრიცხველების გამოტანა (P.2.647) (თოდრიას ქ. II ჩიხი №4 კორპ)</t>
  </si>
  <si>
    <t>თოდრიას ქ. II ჩიხი №4 კორპ</t>
  </si>
  <si>
    <t>ლეონიძის ქ. №2 კორპ</t>
  </si>
  <si>
    <t>ლეონიძის ქ. №4 კორპ</t>
  </si>
  <si>
    <t>ლეონიძის ქ. №6 კორპ</t>
  </si>
  <si>
    <t>(5) გამოსატანი მრიცხველების გამოტანა (P.2.685) (მარჯანიშვილის ქ. №3 კორპ)</t>
  </si>
  <si>
    <t>(2) გამოსატანი მრიცხველების გამოტანა (P.2.618) (ლეონიძის ქ. №2 კორპ)</t>
  </si>
  <si>
    <t>(2) გამოსატანი მრიცხველების გამოტანა (P.2.618) (ლეონიძის ქ. №4 კორპ)</t>
  </si>
  <si>
    <t>(2) გამოსატანი მრიცხველების გამოტანა (P.2.618) (ლეონიძის ქ. №6 კორპ)</t>
  </si>
  <si>
    <t>მე-14-ე მკრ. № 10 კორპ</t>
  </si>
  <si>
    <t>(2) გამოსატანი მრიცხველების გამოტანა (P.2.618) (მე-14-ე მკრ. № 10 კორპ)</t>
  </si>
  <si>
    <t>(2) გამოსატანი მრიცხველების გამოტანა (P.2.618) (მე-17-ე მკრ. № 9 კორპ)</t>
  </si>
  <si>
    <t>მე-17-ე მკრ. № 9 კორპ</t>
  </si>
  <si>
    <t>(2) გამოსატანი მრიცხველების გამოტანა (P.2.618) (მე-17-ე მკრ. № 13 კორპ)</t>
  </si>
  <si>
    <t>(2) გამოსატანი მრიცხველების გამოტანა (P.2.618) (მე-17-ე მკრ. № 14 კორპ)</t>
  </si>
  <si>
    <t>(2) გამოსატანი მრიცხველების გამოტანა (P.2.618) (მე-17-ე მკრ. № 23 კორპ)</t>
  </si>
  <si>
    <t>მე-17-ე მკრ. № 13 კორპ</t>
  </si>
  <si>
    <t>მე-17-ე მკრ. № 14 კორპ</t>
  </si>
  <si>
    <t>მე-17-ე მკრ. № 23 კორპ</t>
  </si>
  <si>
    <t>15-ში საღამოს მოეწერა ხელი! ამიტომ ვეღარ მოხვდა დღგ-ს მოთხოვნაში.</t>
  </si>
  <si>
    <t>ს. ველისციხეში ქსელის რეკონსტრუქცია</t>
  </si>
  <si>
    <t>SGG-K/B-23/90</t>
  </si>
  <si>
    <t>დამკვეთი შპს „ჯავა“</t>
  </si>
  <si>
    <t>ქ. ქობულეთში საშ. წნევის ფოლადის D-300 მმ ქსელის რეაბილიტაცია (P.5.34)</t>
  </si>
  <si>
    <t>Корп</t>
  </si>
  <si>
    <t>BCG-240112-1/0(4)</t>
  </si>
  <si>
    <t>(1) გამოსატანი მრიცხველების გამოტანა (P.2.647) (მე-12-ე მკრ. № 5 კორპ)</t>
  </si>
  <si>
    <t>მე-12-ე მკრ. № 5 კორპ</t>
  </si>
  <si>
    <t>(1) გამოსატანი მრიცხველების გამოტანა (P.2.647) (მე-21-ე მკრ. № 1 კორპ)</t>
  </si>
  <si>
    <t>მე-21-ე მკრ. № 1 კორპ</t>
  </si>
  <si>
    <t>BSG-241507-1/0</t>
  </si>
  <si>
    <t>Август 2024</t>
  </si>
  <si>
    <t>P.3.854 (P.3.821)</t>
  </si>
  <si>
    <t>P.6.689 მოიცავს P.6.690-ს</t>
  </si>
  <si>
    <t>P.6.690 შედის P.6.689-ში</t>
  </si>
  <si>
    <t>(1) მრიცხველების შეცვლა გამოტანა 8000  P.6.191 (8) (რევაზ თაბუკაშვილის ქ. #197 კორპ.)</t>
  </si>
  <si>
    <t>რევაზ თაბუკაშვილის ქ. #197 კორპ.</t>
  </si>
  <si>
    <t>რევაზ თაბუკაშვილის ქ. #181 კორპ.</t>
  </si>
  <si>
    <t>რევაზ თაბუკაშვილის ქ. #179 კორპ.</t>
  </si>
  <si>
    <t>(1) მრიცხველების შეცვლა გამოტანა 8000  P.6.191 (8) (რევაზ თაბუკაშვილის ქ. #181 კორპ.)</t>
  </si>
  <si>
    <t>(1) მრიცხველების შეცვლა გამოტანა 8000  P.6.191 (8) (რევაზ თაბუკაშვილის ქ. #179 კორპ.)</t>
  </si>
  <si>
    <t>Сентябрь 2024</t>
  </si>
  <si>
    <t>მე-7-ე მკრ. № 8 კორპ</t>
  </si>
  <si>
    <t>(1) გამოსატანი მრიცხველების გამოტანა (P.2.647) (მე-7-ე მკრ. № 8 კორპ)</t>
  </si>
  <si>
    <t>(1) გამოსატანი მრიცხველების გამოტანა (P.2.647) (მე-7-ე მკრ. № 9 კორპ)</t>
  </si>
  <si>
    <t>მე-7-ე მკრ. № 9 კორპ</t>
  </si>
  <si>
    <t>(1) გამოსატანი მრიცხველების გამოტანა (P.2.647) (მე-7-ე მკრ. № 13 კორპ)</t>
  </si>
  <si>
    <t>მე-7-ე მკრ. № 13 კორპ</t>
  </si>
  <si>
    <t>მე-7-ე მკრ. № 14 კორპ</t>
  </si>
  <si>
    <t>(1) გამოსატანი მრიცხველების გამოტანა (P.2.647) (მე-7-ე მკრ. № 14 კორპ)</t>
  </si>
  <si>
    <t>მე-7-ე მკრ. № 15 კორპ</t>
  </si>
  <si>
    <t>(1) გამოსატანი მრიცხველების გამოტანა (P.2.647) (მე-7-ე მკრ. № 15 კორპ)</t>
  </si>
  <si>
    <t>(1) გამოსატანი მრიცხველების გამოტანა (P.2.647) (მე-7-ე მკრ. № 16 კორპ)</t>
  </si>
  <si>
    <t>მე-7-ე მკრ. № 16 კორპ</t>
  </si>
  <si>
    <t>მე-12-ე მკრ. № 20 კორპ</t>
  </si>
  <si>
    <t>(1) გამოსატანი მრიცხველების გამოტანა (P.2.647) (მე-12-ე მკრ. № 20 კორპ)</t>
  </si>
  <si>
    <t>(1) გამოსატანი მრიცხველების გამოტანა (P.2.647) (მე-21-ე მკრ. № 4 კორპ)</t>
  </si>
  <si>
    <t>მე-21-ე მკრ. № 4 კორპ</t>
  </si>
  <si>
    <t>ბალანჩივაძის გასასვლელი № 6</t>
  </si>
  <si>
    <t>ბალანჩივაძის გასასვლელი № 8</t>
  </si>
  <si>
    <t>ბალანჩივაძის გასასვლელი № 10</t>
  </si>
  <si>
    <t>(1) გამოსატანი მრიცხველების გამოტანა (P.2.647) (ბალანჩივაძის გასასვლელი № 6)</t>
  </si>
  <si>
    <t>(1) გამოსატანი მრიცხველების გამოტანა (P.2.647) (ბალანჩივაძის გასასვლელი № 8)</t>
  </si>
  <si>
    <t>(1) გამოსატანი მრიცხველების გამოტანა (P.2.647) (ბალანჩივაძის გასასვლელი № 10)</t>
  </si>
  <si>
    <t>(1) გამოსატანი მრიცხველების გამოტანა (P.2.647) (დავით გარეჯის ქ. № 6 კორპ)</t>
  </si>
  <si>
    <t>დავით გარეჯის ქ. № 6 კორპ</t>
  </si>
  <si>
    <t>(1) გამოსატანი მრიცხველების გამოტანა (P.2.647) (დავით გარეჯის ქ. № 10 კორპ)</t>
  </si>
  <si>
    <t>დავით გარეჯის ქ. № 10 კორპ</t>
  </si>
  <si>
    <t>თოდრიას ქ. I ჩიხი № 5 კორპ</t>
  </si>
  <si>
    <t>(1) გამოსატანი მრიცხველების გამოტანა (P.2.647) (თოდრიას ქ. I ჩიხი № 7 კორპ)</t>
  </si>
  <si>
    <t>(1) გამოსატანი მრიცხველების გამოტანა (P.2.647) (თოდრიას ქ. I ჩიხი № 5 კორპ)</t>
  </si>
  <si>
    <t>თოდრიას ქ. I ჩიხი № 7 კორპ</t>
  </si>
  <si>
    <t>(1) გამოსატანი მრიცხველების გამოტანა (P.2.647) (თოდრიას ქ. II ჩიხი № 3 კორპ)</t>
  </si>
  <si>
    <t>თოდრიას ქ. II ჩიხი № 3 კორპ</t>
  </si>
  <si>
    <t>(1) გამოსატანი მრიცხველების გამოტანა (P.2.647) (თოდრიას ქ. II ჩიხი № 5 კორპ)</t>
  </si>
  <si>
    <t>თოდრიას ქ. II ჩიხი № 5 კორპ</t>
  </si>
  <si>
    <t>(1) გამოსატანი მრიცხველების გამოტანა (P.2.647) (კლდიაშვილის ქ. № 12 კორპ)</t>
  </si>
  <si>
    <t>კლდიაშვილის ქ. № 12 კორპ</t>
  </si>
  <si>
    <t>(2) გამოსატანი მრიცხველების გამოტანა (P.2.618) (მე-17-ე მკრ. № 6 კორპ)</t>
  </si>
  <si>
    <t>მე-17-ე მკრ. № 6 კორპ</t>
  </si>
  <si>
    <t>(2) გამოსატანი მრიცხველების გამოტანა (P.2.618) (მე-17-ე მკრ. № 8 კორპ)</t>
  </si>
  <si>
    <t>(2) გამოსატანი მრიცხველების გამოტანა (P.2.618) (მე-17-ე მკრ. № 28 კორპ)</t>
  </si>
  <si>
    <t>მე-17-ე მკრ. № 8 კორპ</t>
  </si>
  <si>
    <t>მე-17-ე მკრ. № 28 კორპ</t>
  </si>
  <si>
    <t>(2) გამოსატანი მრიცხველების გამოტანა (P.2.618) (ლეონიძის ქ. № 14 კორპ)</t>
  </si>
  <si>
    <t>ლეონიძის ქ. № 14 კორპ</t>
  </si>
  <si>
    <t>აქ შეცდომით იყო SGG მითითებული</t>
  </si>
  <si>
    <t>P.6.658 მოიცავს (P.6.659)</t>
  </si>
  <si>
    <t>P.6.659 შედის P.6.658-ში</t>
  </si>
  <si>
    <t>CC-240116-1/0(1.1.1) და (1.1.2)</t>
  </si>
  <si>
    <t>(2) სოფ. ზედა მუქედის (P.6.658) და (3) ქვედა მუქედის (P.6.659) გაზსადენების რეაბილიტაცია.</t>
  </si>
  <si>
    <t>(1.1.1) სოფ. ზედა მუქედის (P.6.658) და (1.1.2) ქვედა მუქედის (P.6.659) გაზსადენების რეაბილიტაცია.</t>
  </si>
  <si>
    <t>BCG-240116-1/0(2)(3)</t>
  </si>
  <si>
    <t>(3) ქ.ბოლნისი დაბა კაზრეთის მაღალსართულიანი კორპუსებიდან (სამზარეულო) მრიცხველების გამოტანა (P.2.401) (კორპუსი №83/85)</t>
  </si>
  <si>
    <t>(3) ქ.ბოლნისი დაბა კაზრეთის მაღალსართულიანი კორპუსებიდან (სამზარეულო) მრიცხველების გამოტანა (P.2.401) (კორპუსი №88/90)</t>
  </si>
  <si>
    <t>(3) ქ.ბოლნისი დაბა კაზრეთის მაღალსართულიანი კორპუსებიდან (სამზარეულო) მრიცხველების გამოტანა (P.2.401) (კორპუსი №9/13)</t>
  </si>
  <si>
    <t>(3) ქ.ბოლნისი დაბა კაზრეთის მაღალსართულიანი კორპუსებიდან (სამზარეულო) მრიცხველების გამოტანა (P.2.401) (კორპუსი №114/115)</t>
  </si>
  <si>
    <t>(3) ქ.ბოლნისი დაბა კაზრეთის მაღალსართულიანი კორპუსებიდან (სამზარეულო) მრიცხველების გამოტანა (P.2.401) (კორპუსი №118/119)</t>
  </si>
  <si>
    <t>(3) ქ.ბოლნისი დაბა კაზრეთის მაღალსართულიანი კორპუსებიდან (სამზარეულო) მრიცხველების გამოტანა (P.2.401) (კორპუსი №103/106)</t>
  </si>
  <si>
    <t>P.2.1069(გაუქმდა ეს p)</t>
  </si>
  <si>
    <t>(2) გგს-"რუისი" P.3.916</t>
  </si>
  <si>
    <t>(4) გგს-"ჭაჭარაქი" P.3.918</t>
  </si>
  <si>
    <t>(1) გგს-"სასირეთი" P.3.915</t>
  </si>
  <si>
    <t>(3) გგს-"ხაშური-2" P.3.917</t>
  </si>
  <si>
    <t>საბოლოოა</t>
  </si>
  <si>
    <t>ს. მუხაესტატედან ს. ქაქუთამდე მიწისქვეშა გაზსადენის რეაბილიტაციის სამშენებლო-სამონტაჟო სამუშაოები.</t>
  </si>
  <si>
    <t>BSG-240805-2/0 (1)</t>
  </si>
  <si>
    <t>BSG-240805-2/0 (2)</t>
  </si>
  <si>
    <t>GGTC-ს აშენებულმა ქსელმა წნევა ვერ დაიჭირა.</t>
  </si>
  <si>
    <t>ს. გვარადან ს. მუხაესტატემდე მიწისქვეშა გაზსადენის რეაბილიტაციის საპროექტო სამუშაოები.</t>
  </si>
  <si>
    <t>BSG-240805-1/0 (1)</t>
  </si>
  <si>
    <t>BSG-240805-1/0 (2)</t>
  </si>
  <si>
    <t>ს. მარტყოფში ქსელის რეაბილიტაციის I ეტაპის (რაგბის მოედნიდან ეკლესიამდე) სამშენებლო-სამონტაჟო სამუშაოები.</t>
  </si>
  <si>
    <t>ს. მარტყოფში ქსელის რეაბილიტაციის I ეტაპის (რაგბის მოედნიდან ეკლესიამდე) პროექტის შედგენა.</t>
  </si>
  <si>
    <t>Чхороцку</t>
  </si>
  <si>
    <t>ხაბუმეს ადმ. ერთ. ს. მოიდანახეს, ეწერის უბნის, 17 ქუჩის ქსელის რეაბილ. პროექტის შედგენა.</t>
  </si>
  <si>
    <t>BSG-240805-3/0 (1)</t>
  </si>
  <si>
    <t>BSG-240805-3/0 (2)</t>
  </si>
  <si>
    <t>BSG-240809-1/0 (1)</t>
  </si>
  <si>
    <t>BSG-240809-1/0 (2)</t>
  </si>
  <si>
    <t>აკრიანი 2026-ის ყოფილი განაწილების არეალი.</t>
  </si>
  <si>
    <t>ს. კაცხში გამავალი გაზსადენის რეაბილიტაციის პროექტის შედგენა</t>
  </si>
  <si>
    <t>BSG-240902-1/0 (1)</t>
  </si>
  <si>
    <t>BSG-240902-1/0 (2)</t>
  </si>
  <si>
    <t>ს. მუშევანის გაზიფიცირების პროექტის შედგენა.</t>
  </si>
  <si>
    <t>СС-240903-1/0</t>
  </si>
  <si>
    <t>ზესტაფონის ს-ცენტრის ოფისის შემოღობვა</t>
  </si>
  <si>
    <t>SGG-C-24-48</t>
  </si>
  <si>
    <t>Октябрь 2024</t>
  </si>
  <si>
    <t>მოსათხოვია დღგ</t>
  </si>
  <si>
    <t>გადახდილია</t>
  </si>
  <si>
    <t>მოსათხოვნია დღგ</t>
  </si>
  <si>
    <t>მოსათხოვნია დღგ 15254,24 ლარი</t>
  </si>
  <si>
    <t>დღგ აღარ მომითხოვია, რადგან ვალი უკვე სრულად გვქონდა გასტუმრებული!</t>
  </si>
  <si>
    <t>შალვა დადიანის ქ. #55 კორპ.</t>
  </si>
  <si>
    <t>(1) მრიცხველების შეცვლა გამოტანა 8000  P.6.191 (8) (შალვა დადიანის ქ. #55 კორპ.)</t>
  </si>
  <si>
    <t>1.2.4 и 1.2.5 с. Гора и с. Зедагора (проектирование и строительство) P.6.127 (5)</t>
  </si>
  <si>
    <t>BCP-220328-1/2(1.2.4 и 1.2.5)</t>
  </si>
  <si>
    <t>(1) გამოსატანი მრიცხველების გამოტანა (P.2.647) (მე-12-ე მკრ. № 21 კორპ)</t>
  </si>
  <si>
    <t>მე-12-ე მკრ. № 21 კორპ</t>
  </si>
  <si>
    <t>მე-15-ე მკრ. № 16 კორპ</t>
  </si>
  <si>
    <t>(2) გამოსატანი მრიცხველების გამოტანა (P.2.618) (მე-15-ე მკრ. № 16 კორპ)</t>
  </si>
  <si>
    <t>1.1.10. В г. Рустави работы по переводу сетей в XVII Микро районе на среднее давление. (P.2.767) (проектирование и строительство)</t>
  </si>
  <si>
    <t>ხელმოწერები აკლია აბასთუმნის რამდენიმე საბუთს.</t>
  </si>
  <si>
    <t>ხელმოწერები აკლია გორა-ზედაგორას რამდენიმე საბუთს.</t>
  </si>
  <si>
    <t>6 სოფელია მოქცეული ერთ p-ში.</t>
  </si>
  <si>
    <t>პროექტია</t>
  </si>
  <si>
    <t>Ноябрь 2024</t>
  </si>
  <si>
    <t>დღგ არ გადახდილა</t>
  </si>
  <si>
    <t>რუსთავის მკვებავის დაპროექტებაზე ინტერსერვისთან ხელშეკრულება არ გვაქვს?!</t>
  </si>
  <si>
    <t>სრული დაფარვაა მოთხოვნილი დასრულებულ ობიექტებთან ერთად</t>
  </si>
  <si>
    <t>P.3.819 (P.3.828)</t>
  </si>
  <si>
    <t>ერეკლეს ქუჩა №25 კორპ</t>
  </si>
  <si>
    <t>მე-12-ე მკრ. № 17 კორპ</t>
  </si>
  <si>
    <t>(1) გამოსატანი მრიცხველების გამოტანა (P.2.647) (მე-12-ე მკრ. № 17 კორპ)</t>
  </si>
  <si>
    <t>(1) გამოსატანი მრიცხველების გამოტანა (P.2.647) (მე-12-ე მკრ. № 18 კორპ)</t>
  </si>
  <si>
    <t>მე-12-ე მკრ. № 18 კორპ</t>
  </si>
  <si>
    <t>მე-12-ე მკრ. № 32 კორპ</t>
  </si>
  <si>
    <t>(1) გამოსატანი მრიცხველების გამოტანა (P.2.647) (მე-12-ე მკრ. № 31 კორპ)</t>
  </si>
  <si>
    <t>(1) გამოსატანი მრიცხველების გამოტანა (P.2.647) (მე-12-ე მკრ. № 32 კორპ)</t>
  </si>
  <si>
    <t>მე-12-ე მკრ. № 31 კორპ</t>
  </si>
  <si>
    <t>მე-12-ე მკრ. № 33 კორპ</t>
  </si>
  <si>
    <t>(1) გამოსატანი მრიცხველების გამოტანა (P.2.647) (მე-12-ე მკრ. № 33 კორპ)</t>
  </si>
  <si>
    <t>ბალანჩივაძის გასასვლელი № 4</t>
  </si>
  <si>
    <t>(1) გამოსატანი მრიცხველების გამოტანა (P.2.647) (ბალანჩივაძის გასასვლელი № 4)</t>
  </si>
  <si>
    <t>(1) გამოსატანი მრიცხველების გამოტანა (P.2.647) (თოდრიას ქ. III ჩიხი № 3 კორპ)</t>
  </si>
  <si>
    <t>თოდრიას ქ. III ჩიხი № 3 კორპ</t>
  </si>
  <si>
    <t>(1) გამოსატანი მრიცხველების გამოტანა (P.2.647) (თოდრიას ქ. III ჩიხი № 7 კორპ)</t>
  </si>
  <si>
    <t>თოდრიას ქ. III ჩიხი № 7 კორპ</t>
  </si>
  <si>
    <t>ლეონიძის ქ. № 30 კორპ</t>
  </si>
  <si>
    <t>(2) გამოსატანი მრიცხველების გამოტანა (P.2.618) (ლეონიძის ქ. № 30 კორპ)</t>
  </si>
  <si>
    <t>ლეონიძის ქ. № 32 კორპ</t>
  </si>
  <si>
    <t>ლეონიძის ქ. № 34 კორპ</t>
  </si>
  <si>
    <t>(2) გამოსატანი მრიცხველების გამოტანა (P.2.618) (ლეონიძის ქ. № 32 კორპ)</t>
  </si>
  <si>
    <t>(2) გამოსატანი მრიცხველების გამოტანა (P.2.618) (ლეონიძის ქ. № 34 კორპ)</t>
  </si>
  <si>
    <t>(1) გამოსატანი მრიცხველების გამოტანა (P.2.647) (მესხიშვილის ქუჩა №3 კორპ)</t>
  </si>
  <si>
    <t>მესხიშვილის ქუჩა №3 კორპ</t>
  </si>
  <si>
    <t>Декабрь 2024</t>
  </si>
  <si>
    <t>1.1.16. В муниципалитете Мцхета, в с. Церовани, с. Презети и с. Цилкани вынос сетей газопроводов и узлов учета с частных территорий. (P.3.58) (წეროვანში)</t>
  </si>
  <si>
    <t>1.1.16. В муниципалитете Мцхета, в с. Церовани, с. Презети и с. Цилкани вынос сетей газопроводов и узлов учета с частных территорий. (P.3.58) (წილკანში)</t>
  </si>
  <si>
    <t>1.1.16. В муниципалитете Мцхета, в с. Церовани, с. Презети и с. Цилкани вынос сетей газопроводов и узлов учета с частных территорий. (P.3.58) (ფრეზეთში)</t>
  </si>
  <si>
    <t>(3) ქ.ბოლნისი დაბა კაზრეთის მაღალსართულიანი კორპუსებიდან (სამზარეულო) მრიცხველების გამოტანა (P.2.401) (კორპუსი №157)</t>
  </si>
  <si>
    <t>(3) ქ.ბოლნისი დაბა კაზრეთის მაღალსართულიანი კორპუსებიდან (სამზარეულო) მრიცხველების გამოტანა (P.2.401) (კორპუსი №156)</t>
  </si>
  <si>
    <t>Энерджи сервис</t>
  </si>
  <si>
    <t>CA-2024-3836</t>
  </si>
  <si>
    <t>რუსთავი</t>
  </si>
  <si>
    <t>ქ. რუსთავი, XVI-მკრ-ნის მიმდებარე ტერიტორიაზე-ბლოკი „ა“</t>
  </si>
  <si>
    <t>ნაწილი მიღებულია ექსპლ.</t>
  </si>
  <si>
    <t>ნაწილის ექსპლ. მიღ. თარიღი</t>
  </si>
  <si>
    <t>SGG-C-24-70</t>
  </si>
  <si>
    <t>აჭარა</t>
  </si>
  <si>
    <t>ქ. ბათუმი, კაჭარავას ქუჩა №7 შპს „აჭარა ბილდინგი“-ს განაცხადი (კორპუსი)</t>
  </si>
  <si>
    <t>ამოსაღებია, ჩაბარდა გორასთან ერთად</t>
  </si>
  <si>
    <t>ამოსაღებია, ჩაბარდა ზედა მუქედთან ერთად</t>
  </si>
  <si>
    <t>გადაწყდა რომ ხარჯში წავიდეს</t>
  </si>
  <si>
    <t>ამოსაღებია ამ ხელშეკრულებიდან, დააპროექტა ცისფერმა ალმა.</t>
  </si>
  <si>
    <t>ხობის საწყობის შეკეთება</t>
  </si>
  <si>
    <t>ამოსაღებია, რაც საჭირო იყო კეთდება P.3.192-ის ფარგლებში!</t>
  </si>
  <si>
    <t>გასაუქმებელია ხელშეკრულება. ვეღარ კეთდება, დაგებულია ახალი ასფალტი. (გასარკვევია, რატომ ჩასვეს 2025-ის გეგმაში!)</t>
  </si>
  <si>
    <t>გასაუქმებელია ხელშეკრულება. სამუშაოები გაკეთდა სხვა ხელშეკრულებით. (გასარკვევია, რატომ ჩასვეს 2025-ის გეგმაში!)</t>
  </si>
  <si>
    <t>1.1.24. В г. Боржоми реабилитация/реконструкция наружных сетей в корпусах на улицах Руставели и Месхети. (P.3.106) (проектирование и строительство)(ერეკლეს ქუჩა №25 კორპ)</t>
  </si>
  <si>
    <t>კორპუსების ჩანართზეა დეტალურად 2024 წელი</t>
  </si>
  <si>
    <t>არ ჭირდება დაპროექტება</t>
  </si>
  <si>
    <t>ინტერსერვისმა შეასრულა 45 კორპუსის მხოლოდ პროექტირება, მშენებლობა გაუფორმდა ბრიჯს.</t>
  </si>
  <si>
    <t>ამოსაღებია, ეს პროექტი ფაქტობრივად გაკეთდა (P.2.72 (1 и 2)-თან ერთად.</t>
  </si>
  <si>
    <t>მესამე პირის დაკვეთით</t>
  </si>
  <si>
    <t>ამოსაღებია, რაც საჭირო იყო კეთდება P.6.659-ის ფარგლებში!</t>
  </si>
  <si>
    <t>ამოსაღებია გაუქმდა ეს მუხლი და გაუფორმდა უნიმშენს!</t>
  </si>
  <si>
    <t>ამოსაღებია არ კეთდება საერთოდ! მოიცავს ვანის სოფლებში დაგეგმილი სხვა სამუშაოები.</t>
  </si>
  <si>
    <t>ამოსაღებია მცირე ეტაპები (გადასვლები) გაკეთდა ექსპლუატაციით.</t>
  </si>
  <si>
    <t>ამოსაღებია კეთდება 2024 წლის ხელშეკრულებით.</t>
  </si>
  <si>
    <t>ამოსაღებია ეს პუნქტი გაზსერვისთან გაუქმდა 2023 წლის 2 ოქტომბრის შეთანხმებით.</t>
  </si>
  <si>
    <t>ეს პუნქტი გაზსერვისთან გაუქმდა 2023 წლის 2 ოქტომბრის შეთანხმებით.</t>
  </si>
  <si>
    <t>ქუთაისის სერვის ცენტრის რემონტი</t>
  </si>
  <si>
    <t>ამოსაღებია შედის შედის P.6.70-ში</t>
  </si>
  <si>
    <t>ამოსაღებია, ამას აღარ ვაკეთებთ, ქსელი სახელმწიფოს საკუთრებაა!</t>
  </si>
  <si>
    <t>ამოსაღებია ჩაბარდა 2023 წლის ხელშეკრულებით.</t>
  </si>
  <si>
    <t>ამოსაღებია, გასაუქმებელია</t>
  </si>
  <si>
    <t>ამოსაღებია შედის P.6.689-ში</t>
  </si>
  <si>
    <t>SGG-C-23-85</t>
  </si>
  <si>
    <t>CA-2024-2541</t>
  </si>
  <si>
    <t>??</t>
  </si>
  <si>
    <t>(1) გამოსატანი მრიცხველების გამოტანა (P.2.647) (მე-7-ე მკრ. № 25 კორპ)</t>
  </si>
  <si>
    <t>მე-7-ე მკრ. № 25 კორპ</t>
  </si>
  <si>
    <t>(1) გამოსატანი მრიცხველების გამოტანა (P.2.647) (მე-7-ე მკრ. № 26 კორპ)</t>
  </si>
  <si>
    <t>მე-7-ე მკრ. № 26 კორპ</t>
  </si>
  <si>
    <t>(1) გამოსატანი მრიცხველების გამოტანა (P.2.647) (მე-12-ე მკრ. № 7 კორპ)</t>
  </si>
  <si>
    <t>მე-12-ე მკრ. № 7 კორპ</t>
  </si>
  <si>
    <t>(1) გამოსატანი მრიცხველების გამოტანა (P.2.647) (მე-12-ე მკრ. № 9 კორპ)</t>
  </si>
  <si>
    <t>მე-12-ე მკრ. № 9 კორპ</t>
  </si>
  <si>
    <t>(1) გამოსატანი მრიცხველების გამოტანა (P.2.647) (მე-12-ე მკრ. № 38 კორპ)</t>
  </si>
  <si>
    <t>მე-12-ე მკრ. № 38 კორპ</t>
  </si>
  <si>
    <t>(1) გამოსატანი მრიცხველების გამოტანა (P.2.647) (ბალანჩივაძის ქუჩა №4 კორპ)</t>
  </si>
  <si>
    <t>ბალანჩივაძის ქუჩა №4 კორპ</t>
  </si>
  <si>
    <t>(1) გამოსატანი მრიცხველების გამოტანა (P.2.647) (ბალანჩივაძის ქუჩა №6 კორპ)</t>
  </si>
  <si>
    <t>ბალანჩივაძის ქუჩა №6 კორპ</t>
  </si>
  <si>
    <t>(1) გამოსატანი მრიცხველების გამოტანა (P.2.647) (მარჯანიშვილის ქუჩა №11 კორპ)</t>
  </si>
  <si>
    <t>მარჯანიშვილის ქუჩა №11 კორპ</t>
  </si>
  <si>
    <t>მარჯანიშვილის ქუჩა №3 კორპ</t>
  </si>
  <si>
    <t>(5) გამოსატანი მრიცხველების გამოტანა (P.2.685) (მარჯანიშვილის ქუჩა №3 კორპ)</t>
  </si>
  <si>
    <t>(1) გამოსატანი მრიცხველების გამოტანა (P.2.647) (რუსთაველის ქუჩა №39 კორპ)</t>
  </si>
  <si>
    <t>რუსთაველის ქუჩა №39 კორპ</t>
  </si>
  <si>
    <t>(1) გამოსატანი მრიცხველების გამოტანა (P.2.647) (თოდრიას ქ. II ჩიხი № 7 კორპ)</t>
  </si>
  <si>
    <t>თოდრიას ქ. II ჩიხი № 7 კორპ</t>
  </si>
  <si>
    <t>(1) გამოსატანი მრიცხველების გამოტანა (P.2.647) (თოდრიას ქ. III ჩიხი № 5 კორპ)</t>
  </si>
  <si>
    <t>თოდრიას ქ. III ჩიხი № 5 კორპ</t>
  </si>
  <si>
    <t>(2) გამოსატანი მრიცხველების გამოტანა (P.2.618) (ფალიაშვილის ქუჩა № 7 კორპ)</t>
  </si>
  <si>
    <t>ფალიაშვილის ქუჩა № 7 კორპ</t>
  </si>
  <si>
    <t>(2) გამოსატანი მრიცხველების გამოტანა (P.2.618) (თბილისის ქუჩა № 6 კორპ)</t>
  </si>
  <si>
    <t>(2) გამოსატანი მრიცხველების გამოტანა (P.2.618) (თბილისის ქუჩა № 7 კორპ)</t>
  </si>
  <si>
    <t>თბილისის ქუჩა № 7 კორპ</t>
  </si>
  <si>
    <t>თბილისის ქუჩა № 6 კორპ</t>
  </si>
  <si>
    <t>(2) გამოსატანი მრიცხველების გამოტანა (P.2.618) (ლეონიძის ქუჩა № 12 კორპ)</t>
  </si>
  <si>
    <t>ლეონიძის ქუჩა № 12 კორპ</t>
  </si>
  <si>
    <t>(2) გამოსატანი მრიცხველების გამოტანა (P.2.618) (ლეონიძის ქუჩა № 22 კორპ)</t>
  </si>
  <si>
    <t>ლეონიძის ქუჩა № 22 კორპ</t>
  </si>
  <si>
    <t>(53) ქალაქ ვალეში ფოლადის გაზსადენის რეაბილიტაცია (P.3.819 (P.3.828))</t>
  </si>
  <si>
    <t>(54) ქალაქ ვალეში ფოლადის გაზსადენის რეაბილიტაცია (P.3.819 (P.3.828))</t>
  </si>
  <si>
    <t>მიერთება - კვანძი</t>
  </si>
  <si>
    <t>ქ. ბათუმი, თბილისის I შესახვევი, №8 შპს „მლ ჰოლდინგი“</t>
  </si>
  <si>
    <t>ქ. ბათუმი, კაჭარავას ქუჩა №7 შპს „აჭარა ბილდინგი“</t>
  </si>
  <si>
    <t>ქ. ქობულეთი, კობახიძის ქუჩა №2-ა „ამხანაგობა რუსთაველი 2023“ (მაია თევზაძე)</t>
  </si>
  <si>
    <t>BSG-230630-1/0 (1)</t>
  </si>
  <si>
    <t>#BCG-230707-1/0 ბორჯომი ახალდაბა(შეთანხმება), GEL</t>
  </si>
  <si>
    <t>#BCG-230105-2/0(P,6,002)(სხარტალა), GEL</t>
  </si>
  <si>
    <t>#BCG-230105-2/0(P,6,003)(წკადისი), GEL</t>
  </si>
  <si>
    <t>#BCG-230105-2/0(P,6,140), GEL</t>
  </si>
  <si>
    <t>#BCG-230707-1/0 1,1 (P,6,643) ვანი სულორო, GEL</t>
  </si>
  <si>
    <t>#BCG-230707-1/0 1,1,2 (P,6,642) ვანი სალომინაო, GEL</t>
  </si>
  <si>
    <t>#BCG-230707-1/0 1,1,3 (P,6,644) ვანი დიხაშხო, GEL</t>
  </si>
  <si>
    <t>#BCG-230707-1/0 პუნქტი 5 (P,6,646) ვანი სალხინო, GEL</t>
  </si>
  <si>
    <t>#BCG-240116-1/0(P,6,658)(P,6,659)ზედა მუქე, და ქვმ, GEL</t>
  </si>
  <si>
    <t>#BCP-220328-1(1,2,6) P,6,127(5) ფერეთა, GEL</t>
  </si>
  <si>
    <t>#BCP-220328-1/0(1,2,1) P,6,127(5) როხი, GEL</t>
  </si>
  <si>
    <t>#BCP-220328-1/0(1,2,3) P,6,127(5)შუა გორა, GEL</t>
  </si>
  <si>
    <t>#BCP-220328-1/0(1,2,5-) P,6,127 გორა და ზედა გორა, GEL</t>
  </si>
  <si>
    <t>გგს</t>
  </si>
  <si>
    <t>კვანძი T-1 (ახალ. აბონ. მიერთება)</t>
  </si>
  <si>
    <t>კვანძი T-11 (ახალ. აბონ. მიერთება)</t>
  </si>
  <si>
    <t>(3) ქ.ბოლნისი დაბა კაზრეთის მაღალსართულიანი კორპუსებიდან (სამზარეულო) მრიცხველების გამოტანა (P.2.401) (კორპუსი №154)</t>
  </si>
  <si>
    <t>გადახდილია სრულად!</t>
  </si>
  <si>
    <t>გადარიცხულია სრულად!</t>
  </si>
  <si>
    <t>P.3.115</t>
  </si>
  <si>
    <t>P.2.6</t>
  </si>
  <si>
    <t>P.2.132</t>
  </si>
  <si>
    <t>P.2.72 (1 и 2) Поручение</t>
  </si>
  <si>
    <t>Поручение (авария) (P.6.4)</t>
  </si>
  <si>
    <t>Поручение (авария) (P.2.822)</t>
  </si>
  <si>
    <t>Поручение (авария) (P.3.877)</t>
  </si>
  <si>
    <t>Поручение (авария) (P.3.836)</t>
  </si>
  <si>
    <t>Поручение (авария) (P.3.850)</t>
  </si>
  <si>
    <t>Поручение (авария) (P.3.160) I этап</t>
  </si>
  <si>
    <t>Поручение (авария) (P.3.165) I этап</t>
  </si>
  <si>
    <t>Поручение (авария) (P.2.907)</t>
  </si>
  <si>
    <t>კვანძი (ახალ. აბონ. მიერთება)</t>
  </si>
  <si>
    <t>I
გად</t>
  </si>
  <si>
    <t>I
შესრ</t>
  </si>
  <si>
    <t>II
შესრ</t>
  </si>
  <si>
    <t>II
გად</t>
  </si>
  <si>
    <t>III
შესრ</t>
  </si>
  <si>
    <t>III
გად</t>
  </si>
  <si>
    <t>IV
შესრ</t>
  </si>
  <si>
    <t>IV
გად</t>
  </si>
  <si>
    <t>V
შესრ</t>
  </si>
  <si>
    <t>V
გად</t>
  </si>
  <si>
    <t>VI
შესრ</t>
  </si>
  <si>
    <t>VI
გად</t>
  </si>
  <si>
    <t>VII
შესრ</t>
  </si>
  <si>
    <t>VII
გად</t>
  </si>
  <si>
    <t>VIII
შესრ</t>
  </si>
  <si>
    <t>VIII
გად</t>
  </si>
  <si>
    <t>IX
შესრ</t>
  </si>
  <si>
    <t>IX
გად</t>
  </si>
  <si>
    <t>X
შესრ</t>
  </si>
  <si>
    <t>X
გად</t>
  </si>
  <si>
    <t>XI
შესრ</t>
  </si>
  <si>
    <t>XI
გად</t>
  </si>
  <si>
    <t>XII
შესრ</t>
  </si>
  <si>
    <t>XII
გად</t>
  </si>
  <si>
    <t>ჰარე</t>
  </si>
  <si>
    <t>SGG-GRP-241101-1/0 (155)</t>
  </si>
  <si>
    <t>კვანძი (საინვესტ. გეგმით)</t>
  </si>
  <si>
    <t>SGG-GRP-241101-1/0 (119)</t>
  </si>
  <si>
    <t>SGG-GRP-241101-1/0 (120)</t>
  </si>
  <si>
    <t>SGG-GRP-241101-1/0 (121)</t>
  </si>
  <si>
    <t>P.3.1094</t>
  </si>
  <si>
    <t>P.3.1124</t>
  </si>
  <si>
    <t>P.3.1095</t>
  </si>
  <si>
    <t>ს. ქსოვრისში, საშუალოდან დაბალ წნევაზე რედუცირების T-2 ტიპის კვანძი. (119) (P.3.1094)</t>
  </si>
  <si>
    <t>ს. წეროვნის აგარაკებში, საშუალოდან დაბალ წნევაზე რედუცირების T-1 ტიპის კვანძი. (120) (P.3.1124)</t>
  </si>
  <si>
    <t>ს. არმაზში, საშუალოდან დაბალ წნევაზე რედუცირების T-1 ტიპის კვანძი. (121) (P.3.1095)</t>
  </si>
  <si>
    <t>შეასრულა ქვეკონტრაქტორმა</t>
  </si>
  <si>
    <t>შენიშვნა</t>
  </si>
  <si>
    <t>იანვარი</t>
  </si>
  <si>
    <t>(1) ქ. ბათუმის პოლითილენის D=315 მმ მაღალი წნევის გაზსადენის რეაბილიტაცია (155) P.5.11 (კვანძი T-5  ს. ჩელტაში)</t>
  </si>
  <si>
    <t>(1) ქ. ბათუმის პოლითილენის D=315 მმ მაღალი წნევის გაზსადენის რეაბილიტაცია (155) P.5.11 (კვანძი T-6  ს. ორთაბათუმში)</t>
  </si>
  <si>
    <t>Месяц
сдачи</t>
  </si>
  <si>
    <t>აკლასნიკური განფასებით</t>
  </si>
  <si>
    <t>სულ
შესრ
2025</t>
  </si>
  <si>
    <t>სულ
გად
2025</t>
  </si>
  <si>
    <t>(1) ქალაქი ვანი (D25-D80). გაზსადენის მშენებლობა/რეაბილიტაცია (P.6.648)</t>
  </si>
  <si>
    <t>(2) სოფ. ზედა მუქედის (P.6.658) და (3) ქვედა მუქედის (P.6.659) გაზსადენების მშენებლობა/რეაბილიტაცია.</t>
  </si>
  <si>
    <t>P.6.659 დაემატა P.6.658-ს</t>
  </si>
  <si>
    <t>P.6.658 დაემატა P.6.659-ი</t>
  </si>
  <si>
    <t>(51) გაზსადენის რეაბილიტაცია სოფ უდეში (P.3.854 (P.3.821))</t>
  </si>
  <si>
    <t>(2) გამოსატანი მრიცხველების გამოტანა (P.2.618) (მე-17-ე მკრ. № 18 კორპ)</t>
  </si>
  <si>
    <t>(1) გამოსატანი მრიცხველების გამოტანა (P.2.647) (მე-21-ე მკრ. № 5 კორპ)</t>
  </si>
  <si>
    <t>(2) მრიცხველების შეცვლა გამოტანა 8000  P.6.191 (8) (ფელიქს კაკაურიძის ქ. #5 კორპ.)</t>
  </si>
  <si>
    <t>ფაქტორ. თანხა 2025</t>
  </si>
  <si>
    <t>ფაქტორ. ხარჯი 2025</t>
  </si>
  <si>
    <t>(2) მრიცხველების შეცვლა გამოტანა 8000  P.6.191 (8) (ფელიქს კაკაურიძის ქ. #7 კორპ.)</t>
  </si>
  <si>
    <t>(2) მრიცხველების შეცვლა გამოტანა 8000  P.6.191 (8) (შალვა დადიანის ქ. #61 კორპ.)</t>
  </si>
  <si>
    <t>(2) მრიცხველების შეცვლა გამოტანა 8000  P.6.191 (8) (შალვა დადიანის ქ. #59 კორპ.)</t>
  </si>
  <si>
    <t>(2) მრიცხველების შეცვლა გამოტანა 8000  P.6.191 (8) (ფელიქს კაკაურიძის ქ. #9 კორპ.)</t>
  </si>
  <si>
    <t>(2) მრიცხველების შეცვლა გამოტანა 8000  P.6.191 (8) (შალვა დადიანის ქ. #57 კორპ.)</t>
  </si>
  <si>
    <t>დირექტორის დავალებით (მარიკა)</t>
  </si>
  <si>
    <t>CC-241203-1/0</t>
  </si>
  <si>
    <t>ს. გვარადან ს. მუხაესტატემდე მიწისქვეშა გაზსადენის რეაბილიტაციის სამშენებლო-სამონტაჟო სამუშაოები. (P-ს გარეშე)</t>
  </si>
  <si>
    <t>ხაბუმეს ადმ. ერთ. ს. მოიდანახეს, ეწერის უბნის, 17 ქუჩის ქსელის რეაბილ. სამშენებლო-სამონტაჟო სამუშაოები. (P-ს გარეშე)</t>
  </si>
  <si>
    <t>ხობის საწყობის შეკეთება (P-ს გარეშე)</t>
  </si>
  <si>
    <t>(3) ქ.ბოლნისი დაბა კაზრეთის მაღალსართულიანი კორპუსებიდან (სამზარეულო) მრიცხველების გამოტანა (P.2.401) (კორპუსი №108)</t>
  </si>
  <si>
    <t>(3) ქ.ბოლნისი დაბა კაზრეთის მაღალსართულიანი კორპუსებიდან (სამზარეულო) მრიცხველების გამოტანა (P.2.401) (კორპუსი №97-3)</t>
  </si>
  <si>
    <t>(3) ქ.ბოლნისი დაბა კაზრეთის მაღალსართულიანი კორპუსებიდან (სამზარეულო) მრიცხველების გამოტანა (P.2.401) (კორპუსი №155)</t>
  </si>
  <si>
    <t>Ткибули-Амбролаури</t>
  </si>
  <si>
    <t>SOG-GRP-241101-1/0 (134)</t>
  </si>
  <si>
    <t>SOG-GRP-241101-1/0 (135)</t>
  </si>
  <si>
    <t>P.3.723</t>
  </si>
  <si>
    <t>P.3.884</t>
  </si>
  <si>
    <t>გორში, სუვოროვის 82-ში საშუალოდან დაბალ წნევაზე რედუცირების T-2 ტიპის კვანძი. (134) (P.3.723)</t>
  </si>
  <si>
    <t>გორში, ცხინვალის 21-ში საშუალოდან დაბალ წნევაზე რედუცირების T-1 ტიპის კვანძი. (135) (P.3.884)</t>
  </si>
  <si>
    <t>თებერვალი</t>
  </si>
  <si>
    <t>კვანძი T-10 (ახალ. აბონ. მიერთება)</t>
  </si>
  <si>
    <t>ქ. ბათუმი, ანგისის I ჩიხი, №6 (კორპუსი) შპს „ნევ ბათუმი“</t>
  </si>
  <si>
    <t>ქ. ქობულეთი, რუსთაველის ქ. №276 (კორპუსი) შპს „ნეო თაიმი“</t>
  </si>
  <si>
    <t>ქ. თბილისი, ვ. კუპრაძის 72, კორპუსი №19 („ხუალინგი“)</t>
  </si>
  <si>
    <t>ქ. ბათუმი, ვახტანგ გორგასლის ქ. №162 (კორპუსი) შპს „თერმო ჯგუფი“</t>
  </si>
  <si>
    <t>ქ. ბათუმი, 9 მარტი-პუშკინი №24-82 (კორპუსი) შპს „ფერმერთა სახლი“</t>
  </si>
  <si>
    <t>ქ. ბათუმი, ბაგრატიონის ქ. №26 (კორპუსი) შპს „ბაგრატიონი 26“</t>
  </si>
  <si>
    <t>ქ. ბათუმი, ტბელ აბუსერიძის ქ. №21 (კორპუსი) შპს „ცენტრალ სითი“</t>
  </si>
  <si>
    <t>ქ. ბათუმი, ანგისის III ჩიხი №4 (კორპუსი) გელა ქათამაძის განცხადება.</t>
  </si>
  <si>
    <t>(45) სოფ. შრომა კავკასიონის ქუჩის რეაბილიტაცია. P.2.886</t>
  </si>
  <si>
    <t>ქ. თბილისი, ვ. კუპრაძის 72, კორპუსი №16 („ხუალინგი“) (დადგა 2 ცალი T-10 ტიპის კვანძი)</t>
  </si>
  <si>
    <t>შესამოწმებელიადა ამოსაღებია</t>
  </si>
  <si>
    <t>Ok</t>
  </si>
  <si>
    <t>აკლასნიკი</t>
  </si>
  <si>
    <t>P.3.855 (მოიცავს P.3.805-ს და P.3.784)</t>
  </si>
  <si>
    <t>P.3.805 (შედის P.3.855-ში)</t>
  </si>
  <si>
    <t>P.3.784 (შედის P.3.855-ში)</t>
  </si>
  <si>
    <t>ქ. რუსთავი, ლომოურის ქუჩა №6 (კორპუსი) შპს „ეიმ რუსთავი“</t>
  </si>
  <si>
    <t>ქ. რუსთავი, შარტავას გამზირი №3 (კორპუსი) შპს „რუსთავი დეველოპმენტი“</t>
  </si>
  <si>
    <t>(52) გაზსადენის რეაბილიტაცია სოფ უდეში (P.3.854 (P.3.821))</t>
  </si>
  <si>
    <t>(13) დაბა ბაკურიანში აღმაშენებლის ქუჩაზე მდებარე ,,ნიკორა"-ს მაღაზიიდან სასტუმრო ,,რედკო"-ს მიმართულებით გაზსადენის რეაბილიტაცია. P.3.855 (მოიცავს P.3.805-ს და P.3.784)</t>
  </si>
  <si>
    <t>SOG-2022/10/30</t>
  </si>
  <si>
    <t>ბორჯომის სერვის-ცენტრის ოფისის რემონტი</t>
  </si>
  <si>
    <t>ბორჯომის სერვის-ცენტრის ოფისის რემონტი (P-ს გარეშე)</t>
  </si>
  <si>
    <t>(3) ქ.ბოლნისი დაბა კაზრეთის მაღალსართულიანი კორპუსებიდან (სამზარეულო) მრიცხველების გამოტანა (P.2.401) (კორპუსი №107)</t>
  </si>
  <si>
    <t>(3) ქ.ბოლნისი დაბა კაზრეთის მაღალსართულიანი კორპუსებიდან (სამზარეულო) მრიცხველების გამოტანა (P.2.401) (კორპუსი №109)</t>
  </si>
  <si>
    <t>(3) ქ.ბოლნისი დაბა კაზრეთის მაღალსართულიანი კორპუსებიდან (სამზარეულო) მრიცხველების გამოტანა (P.2.401) (კორპუსი №95/102)</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</si>
  <si>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№126/1)</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</si>
  <si>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№126/2)</t>
  </si>
  <si>
    <t>ქ. ბათუმი, რურუას ქ. №10 (კორპუსი) შპს „ელთ ბილდინგი“</t>
  </si>
  <si>
    <t>ქ. ბათუმი, გიორგი ბრწყინვალეს ქ. №126 (კორპუსი) შპს „როიალ პალასი“</t>
  </si>
  <si>
    <t>ქ. ბათუმი, გრიგოლ ვოლსკის ქ. №88 შენობა-2 (კორპუსი) შპს „ფრიენდ გრუპი“</t>
  </si>
  <si>
    <t>SGG-GRP-241101-1/0 (145)</t>
  </si>
  <si>
    <t>P.3.1126</t>
  </si>
  <si>
    <t>ლისი, წოდორეთი, მუხაწყაროს სათაო რედუცირების კვანძი. (145) (P.3.1126)</t>
  </si>
  <si>
    <t>პროექტი ჩაბარებულია 2021 წლის 19 მაისს, აქ გასაუქმებელია!</t>
  </si>
  <si>
    <t>1</t>
  </si>
  <si>
    <t>2</t>
  </si>
  <si>
    <t>3</t>
  </si>
  <si>
    <t>4</t>
  </si>
  <si>
    <t>6</t>
  </si>
  <si>
    <t>7</t>
  </si>
  <si>
    <t>8</t>
  </si>
  <si>
    <t>Column1</t>
  </si>
  <si>
    <t>Column2</t>
  </si>
  <si>
    <t>Column3</t>
  </si>
  <si>
    <t>Column4</t>
  </si>
  <si>
    <t>Column6</t>
  </si>
  <si>
    <t>Column7</t>
  </si>
  <si>
    <t>SOG-GRP-241101-1/0 (107)</t>
  </si>
  <si>
    <t>P.2.570</t>
  </si>
  <si>
    <t>ქ. რუსთავი თბილისის ქუჩა, საუბნო №17 საშუალოდან დაბალ წნევაზე რედუცირების T-2 ტიპის კვანძი. (107) (P.2.570)</t>
  </si>
  <si>
    <t>ქ. რუსთავი (ახალი სამგორი, რუსების უბანი საუბნო №47) საშუალოდან დაბალ წნევაზე რედუცირების T-2 ტიპის კვანძი. (123) (P.2.682)</t>
  </si>
  <si>
    <t>P.2.682</t>
  </si>
  <si>
    <t>SOG-GRP-241101-1/0 (123)</t>
  </si>
  <si>
    <t>SOG-GRP-241101-1/0 (127)</t>
  </si>
  <si>
    <t>P.2.694</t>
  </si>
  <si>
    <t>ქ. რუსთავი დუმბაძის ქუჩა საუბნო №4 საშუალოდან დაბალ წნევაზე რედუცირების T-2 ტიპის კვანძი. (127) (P.2.694)</t>
  </si>
  <si>
    <t>მარტი</t>
  </si>
  <si>
    <t>0</t>
  </si>
  <si>
    <t>(2) მუხრანის გრს-დან N 37 საუბნომდე ცენტრალური გაზსადენის რეაბილიტაცია (P.3.955)</t>
  </si>
  <si>
    <t>კონტრქტორი</t>
  </si>
  <si>
    <t>მრიცხველები</t>
  </si>
  <si>
    <t>ქ. ქობულეთში საშ. წნევის ფოლადის D-300 მმ ქსელის მშენებლობა (P.5.34)</t>
  </si>
  <si>
    <t>(3) ქ.ბოლნისი დაბა კაზრეთის მაღალსართულიანი კორპუსებიდან (სამზარეულო) მრიცხველების გამოტანა (კორპუსი №63/66) (P.2.401)</t>
  </si>
  <si>
    <t>ლისი, წოდორეთი, მუხაწყაროს სათაო რედუცირების კვანძი. T-6 (145) (P.3.1126)</t>
  </si>
  <si>
    <t>SGG-GRP-241101-1/0 (40)</t>
  </si>
  <si>
    <t>წეროვნის ინსტიტუტის დასახლება არსებული, ამორტიზირებული გაზსადენის კერძო საკუთრებიდან გამოტანა (I ჩიხში) (T-10) P.3.161</t>
  </si>
  <si>
    <t>წეროვნის ინსტიტუტის დასახლება არსებული, ამორტიზირებული გაზსადენის კერძო საკუთრებიდან გამოტანა (II ჩიხში) (T-11) P.3.161</t>
  </si>
  <si>
    <t>წეროვნის ინსტიტუტის დასახლება არსებული, ამორტიზირებული გაზსადენის კერძო საკუთრებიდან გამოტანა (III ჩიხში) (T-11) P.3.161</t>
  </si>
  <si>
    <t>კვანძი T-12 (ახალ. აბონ. მიერთება)</t>
  </si>
  <si>
    <t>ქ. ბათუმი, ზღვისპირის ქ. №1 ბლოკი „ა“ (კორპუსის მიერთება) შპს „ბათთაუერი“ (T-12)</t>
  </si>
  <si>
    <t>ქ. ბათუმი, გენერალ ასლან აბაშიძის ქ. №25 (კორპუსის მიერთება) ამხანაგობა „მზია შევარდნაძე“ (T-11)</t>
  </si>
  <si>
    <t>ქ. ბათუმი, დავით აღმაშენებლის ქ. №13 (კორპუსის მიერთება) შპს „ბ.თ. ბათუმი“ (T-12)</t>
  </si>
  <si>
    <t>ქ. ბათუმი, შავშეთის ქ. №24 შენობა №3 (კორპუსის მიერთება) შპს „ოთხი ძმა“ (T-11)</t>
  </si>
  <si>
    <t>SGG-GRP-241101-1/0 (3)</t>
  </si>
  <si>
    <t>P.4.594</t>
  </si>
  <si>
    <t>საშუალოდან საშუალო წნევაზე რედუცირების ორხაზიანი კვანძი (T-6) (P.4.594)</t>
  </si>
  <si>
    <t>P.3.1321</t>
  </si>
  <si>
    <t>SOG-GRP-241101-1/0 (39)</t>
  </si>
  <si>
    <t>31 ქარხნის დასახლება (29 დ კორპუსი) (T-12) (P.3.1321)</t>
  </si>
  <si>
    <t>SOG-GRP-241101-1/0 (3)</t>
  </si>
  <si>
    <t>ხოტევი - ამბროლაურის მონაკვეთის მშენებლობა (T-3) (P.6.140)</t>
  </si>
  <si>
    <t>ხოტევი - ამბროლაურის მონაკვეთის მშენებლობა (T-4) (P.6.140)</t>
  </si>
  <si>
    <t>მუხურა-ხოტევის მონაკვეთის მშენებლობა (T-2) P.6.144(1)</t>
  </si>
  <si>
    <t>მუხურა-ხოტევის მონაკვეთის მშენებლობა (T-1) P.6.144(1)</t>
  </si>
  <si>
    <t>SOG-GRP-241101-1/0 (158)</t>
  </si>
  <si>
    <t>(3) ქ.ბოლნისი დაბა კაზრეთის მაღალსართულიანი კორპუსებიდან (სამზარეულო) მრიცხველების გამოტანა (P.2.401) (კორპუსი №99/1)</t>
  </si>
  <si>
    <t>ს. მუხაესტატედან ს. ქაქუთამდე მიწისქვეშა გაზსადენის მშენებლობის საპროექტო სამუშაოები.</t>
  </si>
  <si>
    <t>ს. მუხაესტატედან ს. ქაქუთამდე მიწისქვეშა გაზსადენის სამშენებლო სამუშაოები.</t>
  </si>
  <si>
    <t>SGG-GRP-241101-1/0 (32)</t>
  </si>
  <si>
    <t>P.3.1317</t>
  </si>
  <si>
    <t>მცხეთის მუნიც. ახალგორის გგს-ის მიმდ. ტერიტორია (T-5) P.3.1317</t>
  </si>
  <si>
    <t>SGG-GRP-241101-1/0 (41)</t>
  </si>
  <si>
    <t>P.3.1125</t>
  </si>
  <si>
    <t>დუშეთი, ქვეშეთი.  (T-5) P.3.1125</t>
  </si>
  <si>
    <t>გიორგი ბრწყინვალეს №109-111 შპს „ჯნჯ“ ჯგუფი (T-12) (P-ს გარეშე)</t>
  </si>
  <si>
    <t>ქ. რუსთავი, ვახუშტის ქ. №6, შპს (T-12) „ეიმ რუსთავი“ (P-ს გარეშე)</t>
  </si>
  <si>
    <t>P.6.973</t>
  </si>
  <si>
    <t>SOG-GRP-241101-1/0 (56)</t>
  </si>
  <si>
    <t>ქუთაისში, ი. ჭავჭავაძის გამზირი №55. (T-1) P.6.973</t>
  </si>
  <si>
    <t>P.6.974</t>
  </si>
  <si>
    <t>SOG-GRP-241101-1/0 (57)</t>
  </si>
  <si>
    <t>ქუთაისი, სარბევი (T-1) P.6.974</t>
  </si>
  <si>
    <t>SOG-GRP-241101-1/0 (46)</t>
  </si>
  <si>
    <t>P.6.963</t>
  </si>
  <si>
    <t>ქუთაისი, ქვედა და ზედა აგარაკები (T-1) P.6.963</t>
  </si>
  <si>
    <t>P.6.961</t>
  </si>
  <si>
    <t>SOG-GRP-241101-1/0 (45)</t>
  </si>
  <si>
    <t>ქუთაისი, ხარებავას ქ. №2 (T-1) P.6.961</t>
  </si>
  <si>
    <t>ქუთაისი, გელათის ქ. №81 (T-1) P.6.1024</t>
  </si>
  <si>
    <t>P.6.1024</t>
  </si>
  <si>
    <t>SOG-GRP-241101-1/0 (153)</t>
  </si>
  <si>
    <t>ქუთაისი, კუპრაძის ქ. (T-1) P.6.1037</t>
  </si>
  <si>
    <t>P.6.1037</t>
  </si>
  <si>
    <t>SOG-GRP-241101-1/0 (120)</t>
  </si>
  <si>
    <t>თერჯოლაში №53 საუბნო (T-1) P.6.764</t>
  </si>
  <si>
    <t>P.6.764</t>
  </si>
  <si>
    <t>SOG-GRP-241101-1/0 (12)</t>
  </si>
  <si>
    <t>თერჯოლაში №20 საუბნო (T-1) P.6.763</t>
  </si>
  <si>
    <t>P.6.763</t>
  </si>
  <si>
    <t>SOG-GRP-241101-1/0 (10)</t>
  </si>
  <si>
    <t>თერჯოლაში №22 საუბნო (T-1) P.6.762</t>
  </si>
  <si>
    <t>P.6.762</t>
  </si>
  <si>
    <t>SOG-GRP-241101-1/0 (11)</t>
  </si>
  <si>
    <t>(3) ქ.ბოლნისი დაბა კაზრეთის მაღალსართულიანი კორპუსებიდან (სამზარეულო) მრიცხველების გამოტანა (P.2.401) (კორპუსი №9/5)</t>
  </si>
  <si>
    <t>(3) ქ.ბოლნისი დაბა კაზრეთის მაღალსართულიანი კორპუსებიდან (სამზარეულო) მრიცხველების გამოტანა (P.2.401) (კორპუსი №70/73)</t>
  </si>
  <si>
    <t>(3) ქ.ბოლნისი დაბა კაზრეთის მაღალსართულიანი კორპუსებიდან (სამზარეულო) მრიცხველების გამოტანა (P.2.401) (კორპუსი №67/69)</t>
  </si>
  <si>
    <t>(3) ქ.ბოლნისი დაბა კაზრეთის მაღალსართულიანი კორპუსებიდან (სამზარეულო) მრიცხველების გამოტანა (P.2.401) (კორპუსი №9/1)</t>
  </si>
  <si>
    <t>(3) ქ.ბოლნისი დაბა კაზრეთის მაღალსართულიანი კორპუსებიდან (სამზარეულო) მრიცხველების გამოტანა (P.2.401) (კორპუსი №9/2)</t>
  </si>
  <si>
    <t>VAT</t>
  </si>
  <si>
    <t>ქ. ბათუმი, მეგობრობის ქ. №2 (კორპუსის მიერთება) შპს „ა სექტორი“ (T-12)</t>
  </si>
  <si>
    <t>ქ. რუსთავი ლებანიძის ქუჩა, №6 (კორპუსის მიერთება) T-12 ტიპის კვანძი. შპს „რიტმი“</t>
  </si>
  <si>
    <t>SGG-GRP-241101-1/0 (213)</t>
  </si>
  <si>
    <t>P.3.513</t>
  </si>
  <si>
    <t>P.3.1091</t>
  </si>
  <si>
    <t>P.2.1389</t>
  </si>
  <si>
    <t>P.2.1381</t>
  </si>
  <si>
    <t>ქ. ხაშური №2 საუბო T-1 ტიპის კვანძი (P.3.513)</t>
  </si>
  <si>
    <t>ქ. ხაშური გაგარინი-გორის ქუჩების კვეთა, მარჯვენა მხარე T-1 ტიპის კვანძი (P.3.1091)</t>
  </si>
  <si>
    <t>სართიჭალა, მახარაძის ქუჩა T-2 ტიპის კვანძი (P.2.1389)</t>
  </si>
  <si>
    <t>სართიჭალა, ცხაკაიას ქუჩა T-2 ტიპის კვანძი (P.2.1381)</t>
  </si>
  <si>
    <t>SGG-GRP-241101-1/0 (278)</t>
  </si>
  <si>
    <t>SGG-GRP-241101-1/0 (76)</t>
  </si>
  <si>
    <t>SGG-GRP-241101-1/0 (68)</t>
  </si>
  <si>
    <t>ლაგოდეხში ს. ჩადუნიანის ავარიული რედუცირების კვანძის შეცვლა (ყოფილი შპს „ჩირაღდანი“ (T-1)</t>
  </si>
  <si>
    <t>კვანძი (ავარიული შემთხვევა)</t>
  </si>
  <si>
    <t>კვანძი T-1 (ავარიული შემთხვევა)</t>
  </si>
  <si>
    <t>ქ. ბათუმში, აეროპორტის გზატკეცილი №80ა (კორპუსის მიერთება) T-10 ტიპის კვანძი შპს „ევროპა 2017“</t>
  </si>
  <si>
    <t>ქ. ბათუმში, ზღვისპირის №10-ლ (კორპუსის მიერთება) T-12 ტიპის კვანძი შპს „ანდე“</t>
  </si>
  <si>
    <t>ქ. ბათუმში, ზღვისპირის №12 (კორპუსის მიერთება) T-12 ტიპის კვანძი შპს „ჯორჯიან გრუპი“</t>
  </si>
  <si>
    <t>SOG-GRP-241101-1/0 (7)</t>
  </si>
  <si>
    <t>P.3.721</t>
  </si>
  <si>
    <t>ქ. გორი, ს. ორთაშენის გგს მიმდებარე ტერიტორია (T-7) P.3.721</t>
  </si>
  <si>
    <t>აპრილი</t>
  </si>
  <si>
    <t>ქ. ბათუმში, ზღვის პირის ქ. №6ა (კორპუსის მიერთება) T-12 ტიპის კვანძი შპს „აჭარა ბურჯი“.</t>
  </si>
  <si>
    <t>ქ. ბათუმში, გრიგოლ ლორთქიფანიძის ქ. №6ა (კორპუსის მიერთება) T-12 ტიპის კვანძი შპს „ბულვარი რეზიდენსი“.</t>
  </si>
  <si>
    <t>SOG-GRP-241101-1/0 (22)</t>
  </si>
  <si>
    <t>ქ. რუსთავში, საუბნო№11, რჩეულიშვილის ქუჩა (T-2) P.2.681</t>
  </si>
  <si>
    <t>P.2.681</t>
  </si>
  <si>
    <t>SOG-GRP-241101-1/0 (32)</t>
  </si>
  <si>
    <t>ქ. რუსთავში, საუბნო№30, ბალანჩივაძის ქუჩა (T-2) P.2.697</t>
  </si>
  <si>
    <t>P.2.697</t>
  </si>
  <si>
    <t>(blank)</t>
  </si>
  <si>
    <t>Sum of ფაქტორ. ხარჯი 2025</t>
  </si>
  <si>
    <t>Sum of სულ
შესრ
2025</t>
  </si>
  <si>
    <t>სხვაობა
2025 (1)</t>
  </si>
  <si>
    <t>Работы
сданы по
фактуре (A)</t>
  </si>
  <si>
    <t>P.3.1129</t>
  </si>
  <si>
    <t>ქ. გორი ნაჭარმაგევის გგს-ის მიმდებარე ტერიტორია (T-7) ტიპის კვანძი P.3.1129</t>
  </si>
  <si>
    <t>SOG-GRP-241101-1/0 (6)</t>
  </si>
  <si>
    <t>ქ. ბათუმი, ადლიის ქუჩა №14 შპს „ელთ ბილდინგ-ოპტიმა“ (T-12)</t>
  </si>
  <si>
    <t>ქ. ბათუმი, ტბელ აბუსერიძის ქუჩა №13 შპს „ლაიქ ჰაუსი“ (T-2)</t>
  </si>
  <si>
    <t>კვანძი T-2 (ახალ. აბონ. მიერთება)</t>
  </si>
  <si>
    <t>ქ. ბათუმი, მესხეთის ქუჩა №59 შპს „ბაზის ჯგუფი“ (T-10)</t>
  </si>
  <si>
    <t>ქ. ბათუმი, ლეხ და მარია კაჩნისკების ქუჩა 17 ბლოკი „ც“ შპს „ელთ ბილდინგი“ (T-11)</t>
  </si>
  <si>
    <t>ქ. ბათუმი, ბაგრატიონის ქუჩა №196 შპს „ნიუსითი ბათუმი“ (T-12)</t>
  </si>
  <si>
    <t>ქ. ბათუმი, სელიმ ხიმშიაშვილის ქუჩა №96 ბლოკი-1 შპს „ანაგი“ (T-12)</t>
  </si>
  <si>
    <t>ქ. ბათუმი, სელიმ ხიმშიაშვილის ქუჩა №96 ბლოკი-2 შპს „ანაგი“ (T-11)</t>
  </si>
  <si>
    <t>ქ. ბათუმი, ალექსანდრე ჩხაიძის ქუჩა №7-ის მიმდებარე ბლოკი-2 შპს „ანაგი“ (T-10)</t>
  </si>
  <si>
    <t>ქ. ბათუმი, კაზინეთის ქუჩა №1 შპს „სანიტასი“ (T-10)</t>
  </si>
  <si>
    <t>ქ. ბათუმი, ბაგრატიონის ქუჩა №176 შპს „ანკორ ესთეითი“ (T-10)</t>
  </si>
  <si>
    <t>ქ. ბათუმი, ანგისის I შესახვევი №23 „ამხანაგობა ვაჟა თანდიშვილი“ (T-11)</t>
  </si>
  <si>
    <t>ქ. ბათუმი, ალექსანდრე ჩხაიძის ქუჩა №7-ის მიმდებარე ბლოკი-3 შპს „ანაგი“ (T-10)</t>
  </si>
  <si>
    <t>ქ. ბათუმი, ალექსანდრე ჩხაიძის ქუჩა №7-ის მიმდებარე ბლოკი-4 შპს „ანაგი“ (T-10)</t>
  </si>
  <si>
    <t>ქ. ბათუმი, ალექსანდრე ჩხაიძის ქუჩა №7-ის მიმდებარე ბლოკი-1 შპს „ანაგი“ (T-10)</t>
  </si>
  <si>
    <t>ქ. ფოთი, ძ. ლოლუას ქუჩა №60-62 შპს „ვესტერნ რეზიდენს“ (T-10)</t>
  </si>
  <si>
    <t>(3) ქ.ბოლნისი დაბა კაზრეთის მაღალსართულიანი კორპუსებიდან (სამზარეულო) მრიცხველების გამოტანა (P.2.401) (კორპუსი №9/4)</t>
  </si>
  <si>
    <t>(3) ქ.ბოლნისი დაბა კაზრეთის მაღალსართულიანი კორპუსებიდან (სამზარეულო) მრიცხველების გამოტანა (P.2.401) (კორპუსი №97-4)</t>
  </si>
  <si>
    <t>(3) ქ.ბოლნისი დაბა კაზრეთის მაღალსართულიანი კორპუსებიდან (სამზარეულო) მრიცხველების გამოტანა (P.2.401) (კორპუსი №99/2)</t>
  </si>
  <si>
    <t>მაისი</t>
  </si>
  <si>
    <t>ივნისი</t>
  </si>
  <si>
    <t>SOG-GRP-241101-1/0 (2)</t>
  </si>
  <si>
    <t>P.6.1070</t>
  </si>
  <si>
    <t>ქ. ქუთაისის მიმდებარედ (ს. ქვიტირი) T-9 ტიპის კვანძი (P.6.1070)</t>
  </si>
  <si>
    <t>P.5.561</t>
  </si>
  <si>
    <t>ქობულეთი, ს. გვარა გრს-ის მიმდებარედ T-7 ტიპის კვანძი (P.5.561)</t>
  </si>
  <si>
    <t>SGG-GRP-241101-1/0 (2)</t>
  </si>
  <si>
    <t>ივლისი</t>
  </si>
  <si>
    <t>(3) ქ.ბოლნისი დაბა კაზრეთის მაღალსართულიანი კორპუსებიდან (სამზარეულო) მრიცხველების გამოტანა (P.2.401) (კორპუსი №9/3)</t>
  </si>
  <si>
    <t>SOG-GRP-241101-1/0 (5)</t>
  </si>
  <si>
    <t>P.6.1071</t>
  </si>
  <si>
    <t>თერჯოლის მუნიციპ. ს. ღვანკითი T-8 ტიპის კვანძი (P.6.1071)</t>
  </si>
  <si>
    <t>SGG-GRP-241101-1/0 (285)</t>
  </si>
  <si>
    <t>სოფ. ბებნისის გაზსადენის რეაბილიტაცია, (T-11 ტიპის კვანძი) ლევან კლიმჩუკის ჩიხი (P.3.5)</t>
  </si>
  <si>
    <t>სოფ. ბებნისის გაზსადენის რეაბილიტაცია, (T-11 ტიპის კვანძი) მამუკა წიქარიშვილის ჩიხი (P.3.5)</t>
  </si>
  <si>
    <t>სოფ. ბებნისის გაზსადენის რეაბილიტაცია, (T-10 ტიპის კვანძი) გიორგი არავიაშვილის ჩიხი (P.3.5)</t>
  </si>
  <si>
    <t>მე-19-ე აღრიცხვის კვანძზე არსებული სოფლების (სანებელი, ვედრება, ქობესაანთ უბანი) გაზსადენის შეცვლა (T-11 ტიპის კვანძი) (P.3.501)</t>
  </si>
  <si>
    <t>SGG-GRP-241101-1/0 (284)</t>
  </si>
  <si>
    <t>1.1.16. В муниципалитете Мцхета, в с. Церовани, с. Презети и с. Цилкани вынос сетей газопроводов и узлов учета с частных территорий. (წილკანი) (P.3.58)</t>
  </si>
  <si>
    <t>1.1.16. В муниципалитете Мцхета, в с. Церовани, с. Презети и с. Цилкани вынос сетей газопроводов и узлов учета с частных территорий. (წეროვანი) (P.3.58)</t>
  </si>
  <si>
    <t>1.1.16. В муниципалитете Мцхета, в с. Церовани, с. Презети и с. Цилкани вынос сетей газопроводов и узлов учета с частных территорий. (ფრეზეთი) (P.3.58)</t>
  </si>
  <si>
    <t>ქობულეთი, დაბა ჩაქვი, აღმაშენებლის ქ. №1 შპს „ბათუმი ინვესტმენტი“ (T-10)</t>
  </si>
  <si>
    <t>ქ. რუსთავში, ჩერკასკის ქუჩა №7, შპს „ნიუ დეველოპერი“ (T-12)</t>
  </si>
  <si>
    <t>ქ. ბათუმში, ადლიის ქუჩა №14, შპს „ელთ ბილდინგი-ოპტიმა“ (T-12)</t>
  </si>
  <si>
    <t>ქ. ბათუმში, გ. ლეონიძის ქუჩა №8,  ამხანაგობა ნესტან მიქელაძე (T-10)</t>
  </si>
  <si>
    <t>ქ. ბათუმში, ტბელ აბუსერიძის ქუჩა №32-34,  შპს „გენ-სა“ (T-12)</t>
  </si>
  <si>
    <t>(3) ქ.ბოლნისი დაბა კაზრეთის მაღალსართულიანი კორპუსებიდან (სამზარეულო) მრიცხველების გამოტანა (P.2.401) (კორპუსი №63/66)</t>
  </si>
  <si>
    <t>(3) ქ.ბოლნისი დაბა კაზრეთის მაღალსართულიანი კორპუსებიდან (სამზარეულო) მრიცხველების გამოტანა (P.2.401) (კორპუსი №40/1)</t>
  </si>
  <si>
    <t>(3) ქ.ბოლნისი დაბა კაზრეთის მაღალსართულიანი კორპუსებიდან (სამზარეულო) მრიცხველების გამოტანა (P.2.401) (კორპუსი №60/1)</t>
  </si>
  <si>
    <t>(3) ქ.ბოლნისი დაბა კაზრეთის მაღალსართულიანი კორპუსებიდან (სამზარეულო) მრიცხველების გამოტანა (P.2.401) (კორპუსი №60/2)</t>
  </si>
  <si>
    <t>(3) ქ.ბოლნისი დაბა კაზრეთის მაღალსართულიანი კორპუსებიდან (სამზარეულო) მრიცხველების გამოტანა (P.2.401) (კორპუსი №60/3)</t>
  </si>
  <si>
    <t>(3) ქ.ბოლნისი დაბა კაზრეთის მაღალსართულიანი კორპუსებიდან (სამზარეულო) მრიცხველების გამოტანა (P.2.401) (კორპუსი №60/4)</t>
  </si>
  <si>
    <t>SGG-GRP-241101-1/0 (36)</t>
  </si>
  <si>
    <t>P.6.1072</t>
  </si>
  <si>
    <t>(36) ჭიათურის საკონტროლო ორხაზიანი T-7 ტიპის კვანძი (P.6.1072)</t>
  </si>
  <si>
    <t>P.3.1099</t>
  </si>
  <si>
    <t>(19) ოსტროვსკის ქ.-ის დასაწყისი არხის პირიდან T-1 ტიპის რედუცირების კვანძი (P.3.1099)</t>
  </si>
  <si>
    <t>SGG-GRP-241101-1/0 (19)</t>
  </si>
  <si>
    <t>P.3.1100</t>
  </si>
  <si>
    <t>SGG-GRP-241101-1/0 (20)</t>
  </si>
  <si>
    <t>(20) თევდორე მღვდლის ქუჩა (ბინებთან, ძველ კარადასთან) რედუცირების T-1 ტიპის კვანძი (P.3.1100)</t>
  </si>
  <si>
    <t>P.3.980</t>
  </si>
  <si>
    <t>SGG-GRP-241101-1/0 (16)</t>
  </si>
  <si>
    <t>(16) შუშის ქარხნის დასახლებაში შესასვლელი მე-5 კვანძი (T-2 ტიპის) (P.3.980)</t>
  </si>
  <si>
    <t>(18) დაბა სურამში რუსიას ქ. (გ.რ.პ.-ს შენობასთან) T-2 ტიპის რედუცირების კვანძი (P.3.1092)</t>
  </si>
  <si>
    <t>P.3.1092</t>
  </si>
  <si>
    <t>SGG-GRP-241101-1/0 (18)</t>
  </si>
  <si>
    <t>ს. გვარადან ს. მუხაესტატემდე მიწისქვეშა გაზსადენის სამშენებლო სამუშაოები.</t>
  </si>
  <si>
    <t>ხაბუმეს ადმ. ერთ. ს. მოიდანახეს, ეწერის უბნის, 17 ქუჩის ქსელის სამშენებლო-სამონტაჟო სამუშაოები.</t>
  </si>
  <si>
    <t>ს. კაცხში გამავალი გაზსადენის სამშენებლო-სამონტაჟო სამუშაოები.</t>
  </si>
  <si>
    <t>ქ. ბათუმში, ქეთევან წამებულის ქ. № 18-20, შპს „მ. ფარტ“ (T-11)</t>
  </si>
  <si>
    <t>ქ. ბათუმში, ტაძრის ქ. № 22, შპს „არეალი“ (T-12)</t>
  </si>
  <si>
    <t>ქ. ბათუმში, ფრიდონ ხალვაშის ქ. № 101ბ, შპს „სახლი კახაბერში“ (T-10)</t>
  </si>
  <si>
    <t>ქ. ბათუმში, ფრიდონ ხალვაშის ქ. № 101ბ, შპს „სახლი კახაბერში“ (T-12)</t>
  </si>
  <si>
    <t>ბაკურიანში, კობა წაქაძის ქუჩა №146-ბ შპს „ელ გრუპი“ (T-12)</t>
  </si>
  <si>
    <t>ქ. რუსთავი, VII-„ა“ მკრ.რ. სახლი №2ა შპს „რუსთავი დეველოპმენტი“ (T-12)</t>
  </si>
  <si>
    <t>Sum of 6</t>
  </si>
  <si>
    <t>P.6.1069</t>
  </si>
  <si>
    <t>SOG-GRP-241101-1/0 (1)</t>
  </si>
  <si>
    <t>ქ.ქუთაისი ჰერმან გმაირეის ქ. №4 რედუცირების კვანძი. (სარბევის კვანძი) (T-8) (P.6.1069)</t>
  </si>
  <si>
    <t>P.6.897</t>
  </si>
  <si>
    <t>BCG-250902-1/0 (1)</t>
  </si>
  <si>
    <t>BCG-250902-1/0 (2)</t>
  </si>
  <si>
    <t>ქუთაისში №43 და №77 საუბნოებზე ყაუხჩიშვილის, სარაჯიშვილის, ჩეჩელაშვილის, გალაევი-ნიჟარაძის, ხანძთელის, ჭიათურის და ავალიანის ქუჩებზე გაზსადენის ჩანაცვლების პროექტირება.</t>
  </si>
  <si>
    <t>ქუთაისში №43 და №77 საუბნოებზე ყაუხჩიშვილის, სარაჯიშვილის, ჩეჩელაშვილის, გალაევი-ნიჟარაძის, ხანძთელის, ჭიათურის და ავალიანის ქუჩებზე გაზსადენის ჩანაცვლების მშენებლობა.</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</si>
  <si>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№12/2)</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</si>
  <si>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№12/1)</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</si>
  <si>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№12/3)</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</si>
  <si>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№12/4)</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</si>
  <si>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№12/5)</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</si>
  <si>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№12/6)</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</si>
  <si>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№12/7)</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</si>
  <si>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№12/8)</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</si>
  <si>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№12/9)</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</si>
  <si>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№12/10)</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</si>
  <si>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№12/11)</t>
  </si>
  <si>
    <t>(3) ქ.ბოლნისი დაბა კაზრეთის მაღალსართულიანი კორპუსებიდან (სამზარეულო) მრიცხველების გამოტანა (P.2.401) (კორპუსი №12/12)</t>
  </si>
  <si>
    <t>P.3.1127</t>
  </si>
  <si>
    <t>SGG-GRP-241101-1/0 (30)</t>
  </si>
  <si>
    <t>P.3.1116</t>
  </si>
  <si>
    <t>SGG-GRP-241101-1/0 (27)</t>
  </si>
  <si>
    <t>(30) მუხრანში საკონტროლო აღრიცხვა-რედუცირების კვანძის (T-6) შეცვლა (P.3.1127)</t>
  </si>
  <si>
    <t>(27) საშუალოდან დაბალზე გადამყვანი კვანძის (T-1) შეცვლა, დაბა სურამი, აღმაშენებლის ქ. (ჩუმათელეთის მიმართ) P.3.1116</t>
  </si>
  <si>
    <t>P.3.1093</t>
  </si>
  <si>
    <t>(14) საშუალოდან დაბალზე გადამყვანი კვანძის (T-1) შეცვლა, ხაშური ჭალისუბნის ბინები (P.3.1093)</t>
  </si>
  <si>
    <t>P.3.1049</t>
  </si>
  <si>
    <t>(245) საშუალოდან დაბალზე გადამყვანი კვანძის (T-11) შეცვლა, ქ. ხაშური, ფარნავაზის და ბექაურის ქუჩის კვეთაზე (P.3.1049)</t>
  </si>
  <si>
    <t>SGG-GRP-241101-1/0 (245)</t>
  </si>
  <si>
    <t>SGG-GRP-241101-1/0 (14)</t>
  </si>
  <si>
    <t>All</t>
  </si>
  <si>
    <t>მარტვილის მუნიც. დიდი ჭყონის თემის სოფ. მეორე ნამიკოლაოს გაზმომარაგების პროექტის შედგენა.</t>
  </si>
  <si>
    <t>P.6.1182</t>
  </si>
  <si>
    <t>მარტვილის მუნიც. დიდი ჭყონის თემის სოფ. ლედგებეს გაზმომარაგების პროექტის შედგენა. (P.6.1182)</t>
  </si>
  <si>
    <t>(15) მცხეთის გმს-თან საკონტროლო რედუცირების კვანძი (T-6) P.3.1320</t>
  </si>
  <si>
    <t>P.3.1320</t>
  </si>
  <si>
    <t>SGG-GRP-241101-1/0 (15)</t>
  </si>
  <si>
    <t>ქ. ბათუმში, ფრიდონ ხალვაშის ქ. VIII შესახვევი №10 შპს „ქინგ კონსტრაქშენი 2024“ (T-10) ტიპის კვანძი.</t>
  </si>
  <si>
    <t>ქ. ბათუმში, ზღვისპირეთის ქ. №1 ბ ბლოკი შპს „ბათთაუერსი“ (T-12) ტიპის კვანძი.</t>
  </si>
  <si>
    <t>ქ. ბათუმში, ლეხ და მარია კაჩინსკების ქ. №17 ბ ბლოკი შპს „ელთ ბილდინგი“ (T-11) ტიპის კვანძი.</t>
  </si>
  <si>
    <t>ბაკურიანში, კობა წაქაძის ქუჩა №30 ამხანაგობა „ბაკურიანი 2025“ (T-12) ტიპის კვანძი</t>
  </si>
  <si>
    <t>P.2.571</t>
  </si>
  <si>
    <t>SOG-GRP-241101-1/0 (24)</t>
  </si>
  <si>
    <t>სოფ. ლიბანის გაზმომარაგების ქსელის დაპროექტება</t>
  </si>
  <si>
    <t>CC-250910-1/0</t>
  </si>
  <si>
    <t>ალეკოს დავალებით</t>
  </si>
  <si>
    <t>ალეკოს დავალებით (რუსთავის მერის თხოვნით, ასფალტს აგებდნენ!)</t>
  </si>
  <si>
    <t>BCG-250901-1/0 (1)</t>
  </si>
  <si>
    <t>BCG-250901-1/0 (2)</t>
  </si>
  <si>
    <t>(1) ქ. რუსთავში, რუსთაველისა და მოდებაძის ქუჩებზე გაზსადენის ჩანაცვლება. (პროექტირება)</t>
  </si>
  <si>
    <t>(2) ქ. რუსთავში, რუსთაველისა და მოდებაძის ქუჩებზე გაზსადენის ჩანაცვლება. (მშენებლობა)</t>
  </si>
  <si>
    <t>BCG-250925-1/0 (2)</t>
  </si>
  <si>
    <t>BCG-250925-1/0 (1)</t>
  </si>
  <si>
    <t>P.6.1184</t>
  </si>
  <si>
    <t>(1) ქ. მარტვილში მშვიდობის ქუჩაზე მდებარე გაზსადენის ჩანაცვლება-გამსხვილება (პროექტირება) (P.6.1184)</t>
  </si>
  <si>
    <t>(2) ქ. მარტვილში მშვიდობის ქუჩაზე მდებარე გაზსადენის ჩანაცვლება-გამსხვილება (მშენებლობა) (P.6.1184)</t>
  </si>
  <si>
    <t>სხვაობა
2025 (2)</t>
  </si>
  <si>
    <t>ქ. ბათუმი, სულაბერიძის ქუჩა №88-86  შპს „ურბან ქონსტრაქშენ დეველოპმენტი“ (T-10)</t>
  </si>
  <si>
    <t>ქ. ბათუმი, ფიროსმანის ქუჩა №17  შპს „ბათმშენი“ (T-12)</t>
  </si>
  <si>
    <t>SGG-GRP-241101-1/0 (287)</t>
  </si>
  <si>
    <t>(287) მცხეთა, ქსოვრისი, თორნიკე ერისთავის ქ. T-12 ტიპის კვანძი (P.3.949)</t>
  </si>
  <si>
    <t>(287) მცხეთა, ქსოვრისი, ვაჟა ფშაველას ქ. T-11 ტიპის კვანძი (P.3.949)</t>
  </si>
  <si>
    <t>(287) მცხეთა, ქსოვრისი საბავშვო ბაღის მიმდებარედ T-10 ტიპის კვანძი (P.3.949)</t>
  </si>
  <si>
    <t>(287) მცხეთა, ქსოვრისი მერაბ კოსტავას ქ. T-10 ტიპის კვანძი (P.3.949)</t>
  </si>
  <si>
    <t>(287) მცხეთა, ქსოვრისი ირაკლი მორბედაძის ჩიხი 1, T-10 ტიპის კვანძი (P.3.949)</t>
  </si>
  <si>
    <t>(287) მცხეთა, ქსოვრისი წმინდა მარინეს ქ. T-10 ტიპის კვანძი (P.3.949)</t>
  </si>
  <si>
    <t>SGG-GRP-241101-1/0 (42)</t>
  </si>
  <si>
    <t>P.3.612</t>
  </si>
  <si>
    <t>(42) დუშეთში, სოფ. ციხისძირი გგს-თან T-5 ტიპის კვანძი (P.3.612)</t>
  </si>
  <si>
    <t>SGG-GRP-241101-1/0 (37)</t>
  </si>
  <si>
    <t>P.3.1130</t>
  </si>
  <si>
    <t>(37) დუშეთში, ქუბრიაანთკარი გგს-თან T-7 ტიპის კვანძი (P.3.1130)</t>
  </si>
  <si>
    <t>ქ. რუსთავში, ვახუშტის ქუჩაზე (21-ე საუბნო) მე-4 გმპ-ის რედუცირების კვანძით შეცვლა P.2.571 (T-2)</t>
  </si>
  <si>
    <t>აგვისტო</t>
  </si>
  <si>
    <t>სექტემბერი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</si>
</sst>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 _₾_-;\-* #,##0.00\ _₾_-;_-* &quot;-&quot;??\ _₾_-;_-@_-"/>
    <numFmt numFmtId="165" formatCode="_-* #,##0.00_р_._-;\-* #,##0.00_р_._-;_-* &quot;-&quot;??_р_._-;_-@_-"/>
    <numFmt numFmtId="166" formatCode="_-* #,##0\ &quot;Lari&quot;_-;\-* #,##0\ &quot;Lari&quot;_-;_-* &quot;-&quot;\ &quot;Lari&quot;_-;_-@_-"/>
    <numFmt numFmtId="167" formatCode="[$-419]d\ mmm\ yy;@"/>
    <numFmt numFmtId="168" formatCode="#,##0_ ;\-#,##0\ "/>
    <numFmt numFmtId="169" formatCode="_(* #,##0_);_(* \(#,##0\);_(* &quot;-&quot;??_);_(@_)"/>
    <numFmt numFmtId="170" formatCode="_-* #,##0_р_._-;\-* #,##0_р_._-;_-* &quot;-&quot;??_р_._-;_-@_-"/>
    <numFmt numFmtId="171" formatCode="_-* #,##0.00\ &quot;Lari&quot;_-;\-* #,##0.00\ &quot;Lari&quot;_-;_-* &quot;-&quot;\ &quot;Lari&quot;_-;_-@_-"/>
    <numFmt numFmtId="172" formatCode="_-* #,##0\ _₾_-;\-* #,##0\ _₾_-;_-* &quot;-&quot;??\ _₾_-;_-@_-"/>
    <numFmt numFmtId="173" formatCode="[$-409]dd\-mmm\-yy;@"/>
  </numFmts>
  <fonts count="36" x14ac:knownFonts="1">
    <font>
      <sz val="11"/>
      <color theme="1"/>
      <name val="Calibri"/>
      <family val="2"/>
      <scheme val="minor"/>
    </font>
    <font>
      <sz val="11"/>
      <color theme="1"/>
      <name val="Calibri"/>
      <family val="2"/>
      <charset val="1"/>
      <scheme val="minor"/>
    </font>
    <font>
      <b/>
      <sz val="11"/>
      <color theme="1"/>
      <name val="Calibri"/>
      <family val="2"/>
      <scheme val="minor"/>
    </font>
    <font>
      <b/>
      <sz val="10"/>
      <name val="Calibri"/>
      <family val="2"/>
      <charset val="204"/>
    </font>
    <font>
      <sz val="10"/>
      <name val="Calibri"/>
      <family val="2"/>
      <charset val="204"/>
    </font>
    <font>
      <sz val="9"/>
      <name val="Calibri"/>
      <family val="2"/>
      <charset val="204"/>
    </font>
    <font>
      <b/>
      <sz val="12"/>
      <name val="Calibri"/>
      <family val="2"/>
      <charset val="204"/>
    </font>
    <font>
      <b/>
      <sz val="10"/>
      <color rgb="FFFF0000"/>
      <name val="Calibri"/>
      <family val="2"/>
      <charset val="204"/>
    </font>
    <font>
      <sz val="11"/>
      <color theme="1"/>
      <name val="Calibri"/>
      <family val="2"/>
      <scheme val="minor"/>
    </font>
    <font>
      <b/>
      <sz val="12"/>
      <color theme="1"/>
      <name val="Calibri"/>
      <family val="2"/>
      <charset val="204"/>
      <scheme val="minor"/>
    </font>
    <font>
      <sz val="10"/>
      <color rgb="FFFF0000"/>
      <name val="Calibri"/>
      <family val="2"/>
      <charset val="204"/>
    </font>
    <font>
      <b/>
      <sz val="15"/>
      <color rgb="FFFF0000"/>
      <name val="Calibri"/>
      <family val="2"/>
      <charset val="204"/>
    </font>
    <font>
      <sz val="9"/>
      <color indexed="81"/>
      <name val="Tahoma"/>
      <family val="2"/>
    </font>
    <font>
      <b/>
      <sz val="9"/>
      <color indexed="81"/>
      <name val="Tahoma"/>
      <family val="2"/>
    </font>
    <font>
      <sz val="9"/>
      <color indexed="81"/>
      <name val="Tahoma"/>
      <family val="2"/>
      <charset val="204"/>
    </font>
    <font>
      <b/>
      <sz val="9"/>
      <color indexed="81"/>
      <name val="Tahoma"/>
      <family val="2"/>
      <charset val="204"/>
    </font>
    <font>
      <sz val="10"/>
      <color rgb="FF000000"/>
      <name val="Sylfaen"/>
      <family val="1"/>
      <charset val="204"/>
    </font>
    <font>
      <vertAlign val="superscript"/>
      <sz val="11"/>
      <color theme="1"/>
      <name val="Calibri"/>
      <family val="2"/>
      <charset val="204"/>
      <scheme val="minor"/>
    </font>
    <font>
      <sz val="11"/>
      <color rgb="FFFF0000"/>
      <name val="Calibri"/>
      <family val="2"/>
      <scheme val="minor"/>
    </font>
    <font>
      <sz val="11"/>
      <name val="Calibri"/>
      <family val="2"/>
      <scheme val="minor"/>
    </font>
    <font>
      <b/>
      <sz val="11"/>
      <color rgb="FFFF0000"/>
      <name val="Calibri"/>
      <family val="2"/>
      <charset val="204"/>
      <scheme val="minor"/>
    </font>
    <font>
      <vertAlign val="superscript"/>
      <sz val="11"/>
      <color theme="1"/>
      <name val="Calibri"/>
      <family val="2"/>
      <scheme val="minor"/>
    </font>
    <font>
      <sz val="11"/>
      <name val="Calibri"/>
      <family val="2"/>
      <charset val="204"/>
    </font>
    <font>
      <sz val="10"/>
      <name val="Arial"/>
      <family val="2"/>
    </font>
    <font>
      <sz val="8"/>
      <color indexed="8"/>
      <name val="Arial"/>
      <family val="2"/>
    </font>
    <font>
      <b/>
      <sz val="10"/>
      <name val="Calibri"/>
      <family val="2"/>
    </font>
    <font>
      <sz val="11"/>
      <color theme="1"/>
      <name val="Calibri"/>
      <family val="2"/>
      <charset val="204"/>
      <scheme val="minor"/>
    </font>
    <font>
      <sz val="10"/>
      <color theme="0" tint="-0.499984740745262"/>
      <name val="Calibri"/>
      <family val="2"/>
      <charset val="204"/>
    </font>
    <font>
      <b/>
      <sz val="15"/>
      <color theme="0" tint="-0.499984740745262"/>
      <name val="Calibri"/>
      <family val="2"/>
      <charset val="204"/>
    </font>
    <font>
      <sz val="10"/>
      <color theme="0" tint="-0.34998626667073579"/>
      <name val="Calibri"/>
      <family val="2"/>
      <charset val="204"/>
    </font>
    <font>
      <sz val="10"/>
      <name val="Calibri"/>
      <family val="2"/>
    </font>
    <font>
      <sz val="14"/>
      <color theme="1"/>
      <name val="Calibri"/>
      <family val="2"/>
      <scheme val="minor"/>
    </font>
    <font>
      <sz val="8"/>
      <name val="Calibri"/>
      <family val="2"/>
      <scheme val="minor"/>
    </font>
    <font>
      <sz val="10"/>
      <color rgb="FFC00000"/>
      <name val="Calibri"/>
      <family val="2"/>
      <charset val="204"/>
    </font>
    <font>
      <sz val="10"/>
      <color theme="1"/>
      <name val="Calibri"/>
      <family val="2"/>
      <scheme val="minor"/>
    </font>
    <font>
      <b/>
      <sz val="10"/>
      <color rgb="FFFF0000"/>
      <name val="Calibri"/>
      <family val="2"/>
    </font>
  </fonts>
  <fills count="2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00B050"/>
        <bgColor indexed="64"/>
      </patternFill>
    </fill>
    <fill>
      <patternFill patternType="solid">
        <fgColor rgb="FFF27A7A"/>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6" tint="0.79998168889431442"/>
        <bgColor indexed="64"/>
      </patternFill>
    </fill>
  </fills>
  <borders count="24">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thin">
        <color indexed="60"/>
      </left>
      <right style="thin">
        <color indexed="60"/>
      </right>
      <top style="thin">
        <color indexed="60"/>
      </top>
      <bottom style="thin">
        <color indexed="60"/>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2" fillId="0" borderId="0">
      <alignment horizontal="center" vertical="center" wrapText="1"/>
    </xf>
    <xf numFmtId="43" fontId="8" fillId="0" borderId="0" applyFont="0" applyFill="0" applyBorder="0" applyAlignment="0" applyProtection="0"/>
    <xf numFmtId="0" fontId="23" fillId="0" borderId="0"/>
    <xf numFmtId="0" fontId="8" fillId="0" borderId="0"/>
    <xf numFmtId="164" fontId="1" fillId="0" borderId="0" applyFont="0" applyFill="0" applyBorder="0" applyAlignment="0" applyProtection="0"/>
    <xf numFmtId="164" fontId="8" fillId="0" borderId="0" applyFont="0" applyFill="0" applyBorder="0" applyAlignment="0" applyProtection="0"/>
  </cellStyleXfs>
  <cellXfs count="349">
    <xf numFmtId="0" fontId="0" fillId="0" borderId="0" xfId="0"/>
    <xf numFmtId="0" fontId="4" fillId="0" borderId="9" xfId="0" applyFont="1" applyBorder="1" applyProtection="1">
      <protection hidden="1"/>
    </xf>
    <xf numFmtId="0" fontId="4" fillId="0" borderId="9" xfId="0" applyFont="1" applyBorder="1" applyAlignment="1" applyProtection="1">
      <alignment vertical="center"/>
      <protection locked="0"/>
    </xf>
    <xf numFmtId="0" fontId="0" fillId="0" borderId="9" xfId="0" applyBorder="1"/>
    <xf numFmtId="169" fontId="9" fillId="0" borderId="0" xfId="2" applyNumberFormat="1" applyFont="1"/>
    <xf numFmtId="43" fontId="0" fillId="0" borderId="0" xfId="0" applyNumberFormat="1"/>
    <xf numFmtId="43" fontId="0" fillId="0" borderId="9" xfId="2" applyFont="1" applyFill="1" applyBorder="1"/>
    <xf numFmtId="0" fontId="4" fillId="4" borderId="9" xfId="0" applyFont="1" applyFill="1" applyBorder="1" applyAlignment="1" applyProtection="1">
      <alignment vertical="center"/>
      <protection hidden="1"/>
    </xf>
    <xf numFmtId="0" fontId="4" fillId="0" borderId="9" xfId="0" applyFont="1" applyBorder="1" applyAlignment="1" applyProtection="1">
      <alignment vertical="center"/>
      <protection hidden="1"/>
    </xf>
    <xf numFmtId="167" fontId="4" fillId="0" borderId="9" xfId="0" applyNumberFormat="1" applyFont="1" applyBorder="1" applyProtection="1">
      <protection hidden="1"/>
    </xf>
    <xf numFmtId="14" fontId="4" fillId="0" borderId="9" xfId="0" applyNumberFormat="1" applyFont="1" applyBorder="1" applyAlignment="1" applyProtection="1">
      <alignment vertical="center"/>
      <protection locked="0"/>
    </xf>
    <xf numFmtId="0" fontId="0" fillId="0" borderId="9" xfId="0" applyBorder="1" applyAlignment="1">
      <alignment horizontal="left" vertical="center"/>
    </xf>
    <xf numFmtId="14" fontId="0" fillId="0" borderId="9" xfId="0" applyNumberFormat="1" applyBorder="1"/>
    <xf numFmtId="166" fontId="4" fillId="0" borderId="9" xfId="0" applyNumberFormat="1" applyFont="1" applyBorder="1" applyAlignment="1">
      <alignment vertical="center"/>
    </xf>
    <xf numFmtId="43" fontId="0" fillId="6" borderId="9" xfId="2" applyFont="1" applyFill="1" applyBorder="1"/>
    <xf numFmtId="169" fontId="0" fillId="0" borderId="0" xfId="2" applyNumberFormat="1" applyFont="1"/>
    <xf numFmtId="169" fontId="0" fillId="0" borderId="0" xfId="0" applyNumberFormat="1"/>
    <xf numFmtId="0" fontId="0" fillId="0" borderId="9" xfId="0" applyBorder="1" applyAlignment="1">
      <alignment horizontal="center" vertical="center"/>
    </xf>
    <xf numFmtId="0" fontId="0" fillId="0" borderId="5" xfId="0" applyBorder="1"/>
    <xf numFmtId="165" fontId="0" fillId="0" borderId="0" xfId="0" applyNumberFormat="1"/>
    <xf numFmtId="0" fontId="4" fillId="3" borderId="9" xfId="0" applyFont="1" applyFill="1" applyBorder="1" applyAlignment="1" applyProtection="1">
      <alignment vertical="center"/>
      <protection locked="0"/>
    </xf>
    <xf numFmtId="0" fontId="0" fillId="3" borderId="9" xfId="0" applyFill="1" applyBorder="1"/>
    <xf numFmtId="43" fontId="0" fillId="3" borderId="9" xfId="2" applyFont="1" applyFill="1" applyBorder="1"/>
    <xf numFmtId="0" fontId="0" fillId="0" borderId="9" xfId="0" applyBorder="1" applyAlignment="1">
      <alignment horizontal="center" vertical="center" wrapText="1"/>
    </xf>
    <xf numFmtId="166" fontId="4" fillId="5" borderId="9" xfId="0" applyNumberFormat="1" applyFont="1" applyFill="1" applyBorder="1" applyAlignment="1">
      <alignment vertical="center"/>
    </xf>
    <xf numFmtId="0" fontId="0" fillId="0" borderId="0" xfId="0" applyAlignment="1">
      <alignment horizontal="center" vertical="center"/>
    </xf>
    <xf numFmtId="43" fontId="0" fillId="0" borderId="0" xfId="0" applyNumberFormat="1" applyAlignment="1">
      <alignment horizontal="center" vertical="center"/>
    </xf>
    <xf numFmtId="0" fontId="0" fillId="5" borderId="9" xfId="0" applyFill="1" applyBorder="1"/>
    <xf numFmtId="0" fontId="4" fillId="5" borderId="9" xfId="0" applyFont="1" applyFill="1" applyBorder="1" applyAlignment="1" applyProtection="1">
      <alignment vertical="center"/>
      <protection locked="0"/>
    </xf>
    <xf numFmtId="43" fontId="0" fillId="5" borderId="9" xfId="2" applyFont="1" applyFill="1" applyBorder="1"/>
    <xf numFmtId="170" fontId="0" fillId="0" borderId="0" xfId="0" applyNumberFormat="1" applyAlignment="1">
      <alignment horizontal="center" vertical="center"/>
    </xf>
    <xf numFmtId="170" fontId="0" fillId="0" borderId="0" xfId="0" applyNumberFormat="1"/>
    <xf numFmtId="170" fontId="0" fillId="0" borderId="0" xfId="0" applyNumberFormat="1" applyAlignment="1">
      <alignment horizontal="center" vertical="center" wrapText="1"/>
    </xf>
    <xf numFmtId="0" fontId="0" fillId="15" borderId="9" xfId="0" applyFill="1" applyBorder="1"/>
    <xf numFmtId="43" fontId="0" fillId="15" borderId="9" xfId="2" applyFont="1" applyFill="1" applyBorder="1"/>
    <xf numFmtId="0" fontId="0" fillId="15" borderId="0" xfId="0" applyFill="1"/>
    <xf numFmtId="170" fontId="0" fillId="15" borderId="0" xfId="0" applyNumberFormat="1" applyFill="1"/>
    <xf numFmtId="0" fontId="0" fillId="10" borderId="0" xfId="0" applyFill="1"/>
    <xf numFmtId="43" fontId="0" fillId="12" borderId="9" xfId="2" applyFont="1" applyFill="1" applyBorder="1"/>
    <xf numFmtId="0" fontId="0" fillId="11" borderId="0" xfId="0" applyFill="1"/>
    <xf numFmtId="0" fontId="0" fillId="12" borderId="9" xfId="0" applyFill="1" applyBorder="1"/>
    <xf numFmtId="0" fontId="4" fillId="12" borderId="9" xfId="0" applyFont="1" applyFill="1" applyBorder="1" applyAlignment="1" applyProtection="1">
      <alignment vertical="center"/>
      <protection locked="0"/>
    </xf>
    <xf numFmtId="0" fontId="0" fillId="12" borderId="0" xfId="0" applyFill="1"/>
    <xf numFmtId="170" fontId="0" fillId="12" borderId="0" xfId="0" applyNumberFormat="1" applyFill="1"/>
    <xf numFmtId="0" fontId="0" fillId="16" borderId="9" xfId="0" applyFill="1" applyBorder="1"/>
    <xf numFmtId="43" fontId="0" fillId="16" borderId="9" xfId="2" applyFont="1" applyFill="1" applyBorder="1"/>
    <xf numFmtId="0" fontId="0" fillId="16" borderId="0" xfId="0" applyFill="1"/>
    <xf numFmtId="170" fontId="0" fillId="16" borderId="0" xfId="0" applyNumberFormat="1" applyFill="1"/>
    <xf numFmtId="0" fontId="0" fillId="5" borderId="0" xfId="0" applyFill="1"/>
    <xf numFmtId="0" fontId="0" fillId="16" borderId="5" xfId="0" applyFill="1" applyBorder="1"/>
    <xf numFmtId="0" fontId="0" fillId="11" borderId="9" xfId="0" applyFill="1" applyBorder="1"/>
    <xf numFmtId="43" fontId="0" fillId="11" borderId="9" xfId="2" applyFont="1" applyFill="1" applyBorder="1"/>
    <xf numFmtId="165" fontId="0" fillId="0" borderId="0" xfId="0" applyNumberFormat="1" applyAlignment="1">
      <alignment horizontal="center"/>
    </xf>
    <xf numFmtId="0" fontId="4" fillId="11" borderId="9" xfId="0" applyFont="1" applyFill="1" applyBorder="1" applyAlignment="1" applyProtection="1">
      <alignment vertical="center"/>
      <protection locked="0"/>
    </xf>
    <xf numFmtId="0" fontId="0" fillId="18" borderId="9" xfId="0" applyFill="1" applyBorder="1"/>
    <xf numFmtId="0" fontId="4" fillId="18" borderId="9" xfId="0" applyFont="1" applyFill="1" applyBorder="1" applyAlignment="1" applyProtection="1">
      <alignment vertical="center"/>
      <protection locked="0"/>
    </xf>
    <xf numFmtId="43" fontId="0" fillId="18" borderId="9" xfId="2" applyFont="1" applyFill="1" applyBorder="1"/>
    <xf numFmtId="0" fontId="0" fillId="18" borderId="0" xfId="0" applyFill="1"/>
    <xf numFmtId="0" fontId="0" fillId="17" borderId="9" xfId="0" applyFill="1" applyBorder="1"/>
    <xf numFmtId="0" fontId="4" fillId="17" borderId="9" xfId="0" applyFont="1" applyFill="1" applyBorder="1" applyAlignment="1" applyProtection="1">
      <alignment vertical="center"/>
      <protection locked="0"/>
    </xf>
    <xf numFmtId="43" fontId="0" fillId="17" borderId="9" xfId="2" applyFont="1" applyFill="1" applyBorder="1"/>
    <xf numFmtId="0" fontId="0" fillId="17" borderId="0" xfId="0" applyFill="1"/>
    <xf numFmtId="0" fontId="0" fillId="10" borderId="9" xfId="0" applyFill="1" applyBorder="1"/>
    <xf numFmtId="0" fontId="4" fillId="10" borderId="9" xfId="0" applyFont="1" applyFill="1" applyBorder="1" applyAlignment="1" applyProtection="1">
      <alignment vertical="center"/>
      <protection locked="0"/>
    </xf>
    <xf numFmtId="43" fontId="0" fillId="10" borderId="9" xfId="2" applyFont="1" applyFill="1" applyBorder="1"/>
    <xf numFmtId="0" fontId="0" fillId="14" borderId="0" xfId="0" applyFill="1"/>
    <xf numFmtId="0" fontId="0" fillId="19" borderId="9" xfId="0" applyFill="1" applyBorder="1"/>
    <xf numFmtId="0" fontId="4" fillId="19" borderId="9" xfId="0" applyFont="1" applyFill="1" applyBorder="1" applyAlignment="1" applyProtection="1">
      <alignment vertical="center"/>
      <protection locked="0"/>
    </xf>
    <xf numFmtId="43" fontId="0" fillId="19" borderId="9" xfId="2" applyFont="1" applyFill="1" applyBorder="1"/>
    <xf numFmtId="0" fontId="0" fillId="19" borderId="0" xfId="0" applyFill="1"/>
    <xf numFmtId="0" fontId="0" fillId="0" borderId="15" xfId="0" applyBorder="1"/>
    <xf numFmtId="169" fontId="9" fillId="0" borderId="0" xfId="2" applyNumberFormat="1" applyFont="1" applyFill="1"/>
    <xf numFmtId="0" fontId="0" fillId="3" borderId="0" xfId="0" applyFill="1"/>
    <xf numFmtId="43" fontId="19" fillId="0" borderId="9" xfId="2" applyFont="1" applyFill="1" applyBorder="1"/>
    <xf numFmtId="0" fontId="18" fillId="16" borderId="0" xfId="0" applyFont="1" applyFill="1"/>
    <xf numFmtId="0" fontId="20" fillId="16" borderId="0" xfId="0" applyFont="1" applyFill="1"/>
    <xf numFmtId="43" fontId="9" fillId="0" borderId="0" xfId="2" applyFont="1"/>
    <xf numFmtId="169" fontId="0" fillId="0" borderId="0" xfId="2" applyNumberFormat="1" applyFont="1" applyFill="1"/>
    <xf numFmtId="169" fontId="0" fillId="0" borderId="0" xfId="2" applyNumberFormat="1" applyFont="1" applyFill="1" applyBorder="1"/>
    <xf numFmtId="164" fontId="0" fillId="0" borderId="0" xfId="0" applyNumberFormat="1"/>
    <xf numFmtId="43" fontId="0" fillId="0" borderId="0" xfId="2" applyFont="1"/>
    <xf numFmtId="170" fontId="0" fillId="0" borderId="0" xfId="0" applyNumberFormat="1" applyAlignment="1">
      <alignment horizontal="left"/>
    </xf>
    <xf numFmtId="170" fontId="0" fillId="16" borderId="0" xfId="0" applyNumberFormat="1" applyFill="1" applyAlignment="1">
      <alignment horizontal="left"/>
    </xf>
    <xf numFmtId="43" fontId="0" fillId="3" borderId="0" xfId="2" applyFont="1" applyFill="1"/>
    <xf numFmtId="0" fontId="19" fillId="9" borderId="0" xfId="0" applyFont="1" applyFill="1"/>
    <xf numFmtId="0" fontId="0" fillId="9" borderId="0" xfId="0" applyFill="1"/>
    <xf numFmtId="43" fontId="0" fillId="9" borderId="9" xfId="2" applyFont="1" applyFill="1" applyBorder="1"/>
    <xf numFmtId="43" fontId="0" fillId="0" borderId="0" xfId="2" applyFont="1" applyFill="1"/>
    <xf numFmtId="43" fontId="0" fillId="0" borderId="0" xfId="2" applyFont="1" applyFill="1" applyBorder="1"/>
    <xf numFmtId="43" fontId="0" fillId="10" borderId="0" xfId="2" applyFont="1" applyFill="1"/>
    <xf numFmtId="0" fontId="0" fillId="0" borderId="0" xfId="0" applyAlignment="1">
      <alignment horizontal="center"/>
    </xf>
    <xf numFmtId="43" fontId="0" fillId="0" borderId="0" xfId="0" applyNumberFormat="1" applyAlignment="1">
      <alignment horizontal="center" vertical="top" wrapText="1"/>
    </xf>
    <xf numFmtId="0" fontId="0" fillId="0" borderId="0" xfId="0" pivotButton="1"/>
    <xf numFmtId="0" fontId="0" fillId="0" borderId="0" xfId="0" applyAlignment="1">
      <alignment horizontal="left"/>
    </xf>
    <xf numFmtId="0" fontId="0" fillId="0" borderId="0" xfId="0" applyAlignment="1">
      <alignment horizontal="center" vertical="center" wrapText="1"/>
    </xf>
    <xf numFmtId="0" fontId="2" fillId="0" borderId="5" xfId="0" applyFont="1" applyBorder="1" applyAlignment="1">
      <alignment horizontal="center" vertical="center" wrapText="1"/>
    </xf>
    <xf numFmtId="43" fontId="0" fillId="0" borderId="0" xfId="2" applyFont="1" applyFill="1" applyBorder="1" applyAlignment="1">
      <alignment vertical="center"/>
    </xf>
    <xf numFmtId="43" fontId="0" fillId="0" borderId="5" xfId="0" applyNumberFormat="1" applyBorder="1"/>
    <xf numFmtId="165" fontId="0" fillId="0" borderId="5" xfId="0" applyNumberFormat="1" applyBorder="1"/>
    <xf numFmtId="43" fontId="0" fillId="0" borderId="5" xfId="2" applyFont="1" applyFill="1" applyBorder="1"/>
    <xf numFmtId="0" fontId="4" fillId="3" borderId="0" xfId="0" applyFont="1" applyFill="1" applyProtection="1">
      <protection locked="0"/>
    </xf>
    <xf numFmtId="0" fontId="4" fillId="0" borderId="0" xfId="0" applyFont="1" applyProtection="1">
      <protection locked="0"/>
    </xf>
    <xf numFmtId="0" fontId="4" fillId="4" borderId="0" xfId="0" applyFont="1" applyFill="1" applyProtection="1">
      <protection locked="0"/>
    </xf>
    <xf numFmtId="166" fontId="4" fillId="4" borderId="0" xfId="0" applyNumberFormat="1" applyFont="1" applyFill="1" applyProtection="1">
      <protection locked="0"/>
    </xf>
    <xf numFmtId="166" fontId="4" fillId="0" borderId="0" xfId="0" applyNumberFormat="1" applyFont="1" applyAlignment="1" applyProtection="1">
      <alignment horizontal="left" vertical="center"/>
      <protection locked="0"/>
    </xf>
    <xf numFmtId="43" fontId="4" fillId="0" borderId="0" xfId="2" applyFont="1" applyFill="1" applyBorder="1" applyProtection="1">
      <protection locked="0"/>
    </xf>
    <xf numFmtId="43" fontId="4" fillId="0" borderId="0" xfId="2" applyFont="1" applyFill="1" applyBorder="1" applyAlignment="1" applyProtection="1">
      <alignment horizontal="left" vertical="center"/>
      <protection locked="0"/>
    </xf>
    <xf numFmtId="165" fontId="4" fillId="0" borderId="0" xfId="0" applyNumberFormat="1" applyFont="1" applyProtection="1">
      <protection locked="0"/>
    </xf>
    <xf numFmtId="166" fontId="4" fillId="0" borderId="0" xfId="0" applyNumberFormat="1" applyFont="1" applyProtection="1">
      <protection locked="0"/>
    </xf>
    <xf numFmtId="3" fontId="4" fillId="0" borderId="0" xfId="0" applyNumberFormat="1" applyFont="1" applyProtection="1">
      <protection locked="0"/>
    </xf>
    <xf numFmtId="43" fontId="4" fillId="0" borderId="0" xfId="2" applyFont="1" applyFill="1" applyProtection="1">
      <protection locked="0"/>
    </xf>
    <xf numFmtId="4" fontId="4" fillId="0" borderId="0" xfId="0" applyNumberFormat="1" applyFont="1" applyProtection="1">
      <protection locked="0"/>
    </xf>
    <xf numFmtId="169" fontId="4" fillId="0" borderId="0" xfId="0" applyNumberFormat="1" applyFont="1" applyProtection="1">
      <protection locked="0"/>
    </xf>
    <xf numFmtId="169" fontId="4" fillId="0" borderId="0" xfId="2" applyNumberFormat="1" applyFont="1" applyFill="1" applyProtection="1">
      <protection locked="0"/>
    </xf>
    <xf numFmtId="166" fontId="4" fillId="0" borderId="0" xfId="0" applyNumberFormat="1" applyFont="1" applyAlignment="1" applyProtection="1">
      <alignment horizontal="center"/>
      <protection locked="0"/>
    </xf>
    <xf numFmtId="0" fontId="4" fillId="0" borderId="0" xfId="0" applyFont="1" applyAlignment="1" applyProtection="1">
      <alignment horizontal="center"/>
      <protection locked="0"/>
    </xf>
    <xf numFmtId="170" fontId="4" fillId="0" borderId="0" xfId="0" applyNumberFormat="1" applyFont="1" applyAlignment="1" applyProtection="1">
      <alignment horizontal="left" vertical="center"/>
      <protection locked="0"/>
    </xf>
    <xf numFmtId="171" fontId="4" fillId="0" borderId="0" xfId="0" applyNumberFormat="1" applyFont="1" applyAlignment="1" applyProtection="1">
      <alignment vertical="center"/>
      <protection locked="0"/>
    </xf>
    <xf numFmtId="165" fontId="4" fillId="0" borderId="0" xfId="0" applyNumberFormat="1" applyFont="1" applyAlignment="1" applyProtection="1">
      <alignment horizontal="left" vertical="center"/>
      <protection locked="0"/>
    </xf>
    <xf numFmtId="43" fontId="4" fillId="0" borderId="0" xfId="0" applyNumberFormat="1" applyFont="1" applyAlignment="1" applyProtection="1">
      <alignment horizontal="left" vertical="center"/>
      <protection locked="0"/>
    </xf>
    <xf numFmtId="43" fontId="4" fillId="4" borderId="0" xfId="2" applyFont="1" applyFill="1" applyProtection="1">
      <protection locked="0"/>
    </xf>
    <xf numFmtId="43" fontId="4" fillId="0" borderId="0" xfId="0" applyNumberFormat="1" applyFont="1" applyProtection="1">
      <protection locked="0"/>
    </xf>
    <xf numFmtId="3" fontId="4" fillId="0" borderId="0" xfId="0" applyNumberFormat="1" applyFont="1" applyAlignment="1" applyProtection="1">
      <alignment vertical="center"/>
      <protection locked="0"/>
    </xf>
    <xf numFmtId="166" fontId="3" fillId="0" borderId="0" xfId="0" applyNumberFormat="1" applyFont="1" applyProtection="1">
      <protection locked="0"/>
    </xf>
    <xf numFmtId="166" fontId="4" fillId="0" borderId="0" xfId="0" applyNumberFormat="1" applyFont="1" applyAlignment="1" applyProtection="1">
      <alignment horizontal="center" vertical="center"/>
      <protection locked="0"/>
    </xf>
    <xf numFmtId="3" fontId="4" fillId="0" borderId="0" xfId="0" applyNumberFormat="1" applyFont="1" applyAlignment="1" applyProtection="1">
      <alignment horizontal="left"/>
      <protection locked="0"/>
    </xf>
    <xf numFmtId="167" fontId="4" fillId="0" borderId="0" xfId="0" applyNumberFormat="1" applyFont="1" applyProtection="1">
      <protection locked="0"/>
    </xf>
    <xf numFmtId="172" fontId="4" fillId="0" borderId="0" xfId="0" applyNumberFormat="1" applyFont="1" applyProtection="1">
      <protection locked="0"/>
    </xf>
    <xf numFmtId="166" fontId="4" fillId="0" borderId="11" xfId="0" applyNumberFormat="1" applyFont="1" applyBorder="1" applyProtection="1">
      <protection locked="0"/>
    </xf>
    <xf numFmtId="3" fontId="3" fillId="0" borderId="0" xfId="0" applyNumberFormat="1" applyFont="1" applyProtection="1">
      <protection locked="0"/>
    </xf>
    <xf numFmtId="0" fontId="3" fillId="0" borderId="0" xfId="0" applyFont="1" applyAlignment="1" applyProtection="1">
      <alignment horizontal="center" vertical="center"/>
      <protection locked="0"/>
    </xf>
    <xf numFmtId="0" fontId="4" fillId="4" borderId="9" xfId="0" applyFont="1" applyFill="1" applyBorder="1" applyAlignment="1" applyProtection="1">
      <alignment vertical="center"/>
      <protection locked="0"/>
    </xf>
    <xf numFmtId="166" fontId="4" fillId="0" borderId="9" xfId="0" applyNumberFormat="1" applyFont="1" applyBorder="1" applyAlignment="1" applyProtection="1">
      <alignment vertical="center"/>
      <protection locked="0"/>
    </xf>
    <xf numFmtId="3" fontId="4" fillId="0" borderId="9" xfId="0" applyNumberFormat="1" applyFont="1" applyBorder="1" applyAlignment="1" applyProtection="1">
      <alignment vertical="center"/>
      <protection locked="0"/>
    </xf>
    <xf numFmtId="3" fontId="11" fillId="0" borderId="9" xfId="0" applyNumberFormat="1" applyFont="1" applyBorder="1" applyAlignment="1" applyProtection="1">
      <alignment horizontal="center" vertical="center"/>
      <protection locked="0"/>
    </xf>
    <xf numFmtId="43" fontId="4" fillId="0" borderId="9" xfId="2" applyFont="1" applyFill="1" applyBorder="1" applyAlignment="1" applyProtection="1">
      <alignment vertical="center"/>
      <protection locked="0"/>
    </xf>
    <xf numFmtId="167" fontId="4" fillId="0" borderId="9" xfId="0" applyNumberFormat="1" applyFont="1" applyBorder="1" applyAlignment="1" applyProtection="1">
      <alignment vertical="center"/>
      <protection locked="0"/>
    </xf>
    <xf numFmtId="167" fontId="4" fillId="0" borderId="9" xfId="0" applyNumberFormat="1" applyFont="1" applyBorder="1" applyAlignment="1" applyProtection="1">
      <alignment horizontal="center" vertical="center"/>
      <protection locked="0"/>
    </xf>
    <xf numFmtId="0" fontId="4" fillId="0" borderId="0" xfId="0" applyFont="1" applyAlignment="1" applyProtection="1">
      <alignment vertical="center"/>
      <protection locked="0"/>
    </xf>
    <xf numFmtId="167" fontId="4" fillId="3" borderId="9" xfId="0" applyNumberFormat="1" applyFont="1" applyFill="1" applyBorder="1" applyAlignment="1" applyProtection="1">
      <alignment vertical="center"/>
      <protection locked="0"/>
    </xf>
    <xf numFmtId="43" fontId="4" fillId="9" borderId="9" xfId="2" applyFont="1" applyFill="1" applyBorder="1" applyAlignment="1" applyProtection="1">
      <alignment vertical="center"/>
      <protection locked="0"/>
    </xf>
    <xf numFmtId="3" fontId="10" fillId="0" borderId="9" xfId="0" applyNumberFormat="1" applyFont="1" applyBorder="1" applyAlignment="1" applyProtection="1">
      <alignment vertical="center"/>
      <protection locked="0"/>
    </xf>
    <xf numFmtId="169" fontId="4" fillId="0" borderId="9" xfId="2" applyNumberFormat="1" applyFont="1" applyFill="1" applyBorder="1" applyAlignment="1" applyProtection="1">
      <alignment vertical="center"/>
      <protection locked="0"/>
    </xf>
    <xf numFmtId="0" fontId="16" fillId="0" borderId="9" xfId="0" applyFont="1" applyBorder="1" applyProtection="1">
      <protection locked="0"/>
    </xf>
    <xf numFmtId="0" fontId="10" fillId="0" borderId="9" xfId="0" applyFont="1" applyBorder="1" applyAlignment="1" applyProtection="1">
      <alignment vertical="center"/>
      <protection locked="0"/>
    </xf>
    <xf numFmtId="166" fontId="4" fillId="3" borderId="9" xfId="0" applyNumberFormat="1" applyFont="1" applyFill="1" applyBorder="1" applyAlignment="1" applyProtection="1">
      <alignment vertical="center"/>
      <protection locked="0"/>
    </xf>
    <xf numFmtId="169" fontId="4" fillId="9" borderId="9" xfId="2" applyNumberFormat="1" applyFont="1" applyFill="1" applyBorder="1" applyAlignment="1" applyProtection="1">
      <alignment vertical="center"/>
      <protection locked="0"/>
    </xf>
    <xf numFmtId="166" fontId="10" fillId="0" borderId="9" xfId="0" applyNumberFormat="1" applyFont="1" applyBorder="1" applyAlignment="1" applyProtection="1">
      <alignment vertical="center"/>
      <protection locked="0"/>
    </xf>
    <xf numFmtId="167" fontId="10" fillId="0" borderId="9" xfId="0" applyNumberFormat="1" applyFont="1" applyBorder="1" applyAlignment="1" applyProtection="1">
      <alignment vertical="center"/>
      <protection locked="0"/>
    </xf>
    <xf numFmtId="167" fontId="10" fillId="0" borderId="9" xfId="0" applyNumberFormat="1" applyFont="1" applyBorder="1" applyAlignment="1" applyProtection="1">
      <alignment horizontal="center" vertical="center"/>
      <protection locked="0"/>
    </xf>
    <xf numFmtId="171" fontId="4" fillId="0" borderId="9" xfId="0" applyNumberFormat="1" applyFont="1" applyBorder="1" applyAlignment="1" applyProtection="1">
      <alignment vertical="center"/>
      <protection locked="0"/>
    </xf>
    <xf numFmtId="3" fontId="3" fillId="8" borderId="12" xfId="0" applyNumberFormat="1" applyFont="1" applyFill="1" applyBorder="1" applyAlignment="1">
      <alignment horizontal="center" vertical="center" wrapText="1"/>
    </xf>
    <xf numFmtId="3" fontId="4" fillId="0" borderId="0" xfId="0" applyNumberFormat="1" applyFont="1"/>
    <xf numFmtId="43" fontId="4" fillId="0" borderId="9" xfId="2" applyFont="1" applyFill="1" applyBorder="1" applyAlignment="1" applyProtection="1">
      <alignment vertical="center"/>
    </xf>
    <xf numFmtId="43" fontId="4" fillId="9" borderId="9" xfId="2" applyFont="1" applyFill="1" applyBorder="1" applyAlignment="1" applyProtection="1">
      <alignment vertical="center"/>
    </xf>
    <xf numFmtId="169" fontId="4" fillId="20" borderId="9" xfId="2" applyNumberFormat="1" applyFont="1" applyFill="1" applyBorder="1" applyAlignment="1" applyProtection="1">
      <alignment vertical="center"/>
    </xf>
    <xf numFmtId="169" fontId="4" fillId="0" borderId="9" xfId="2" applyNumberFormat="1" applyFont="1" applyFill="1" applyBorder="1" applyAlignment="1" applyProtection="1">
      <alignment vertical="center"/>
    </xf>
    <xf numFmtId="169" fontId="4" fillId="0" borderId="0" xfId="2" applyNumberFormat="1" applyFont="1" applyFill="1" applyProtection="1"/>
    <xf numFmtId="0" fontId="4" fillId="0" borderId="0" xfId="0" applyFont="1"/>
    <xf numFmtId="167" fontId="4" fillId="0" borderId="0" xfId="0" applyNumberFormat="1" applyFont="1"/>
    <xf numFmtId="171" fontId="4" fillId="4" borderId="10" xfId="0" applyNumberFormat="1" applyFont="1" applyFill="1" applyBorder="1"/>
    <xf numFmtId="171" fontId="4" fillId="4" borderId="2" xfId="0" applyNumberFormat="1" applyFont="1" applyFill="1" applyBorder="1"/>
    <xf numFmtId="0" fontId="4" fillId="0" borderId="3" xfId="0" applyFont="1" applyBorder="1"/>
    <xf numFmtId="0" fontId="4" fillId="0" borderId="8" xfId="0" applyFont="1" applyBorder="1"/>
    <xf numFmtId="0" fontId="4" fillId="0" borderId="5" xfId="0" applyFont="1" applyBorder="1"/>
    <xf numFmtId="0" fontId="5" fillId="0" borderId="5" xfId="0" applyFont="1" applyBorder="1"/>
    <xf numFmtId="0" fontId="5" fillId="0" borderId="6" xfId="0" applyFont="1" applyBorder="1"/>
    <xf numFmtId="0" fontId="4" fillId="0" borderId="1" xfId="0" applyFont="1" applyBorder="1"/>
    <xf numFmtId="0" fontId="4" fillId="4" borderId="0" xfId="0" applyFont="1" applyFill="1"/>
    <xf numFmtId="166" fontId="4" fillId="0" borderId="0" xfId="0" applyNumberFormat="1" applyFont="1"/>
    <xf numFmtId="3" fontId="3" fillId="0" borderId="7" xfId="0" applyNumberFormat="1" applyFont="1" applyBorder="1" applyAlignment="1">
      <alignment horizontal="center" vertical="top"/>
    </xf>
    <xf numFmtId="166" fontId="4" fillId="0" borderId="0" xfId="0" applyNumberFormat="1" applyFont="1" applyAlignment="1">
      <alignment horizontal="center" vertical="center"/>
    </xf>
    <xf numFmtId="166" fontId="4" fillId="0" borderId="2" xfId="0" applyNumberFormat="1" applyFont="1" applyBorder="1" applyAlignment="1">
      <alignment horizontal="center" vertical="center"/>
    </xf>
    <xf numFmtId="166" fontId="4" fillId="0" borderId="3" xfId="0" applyNumberFormat="1" applyFont="1" applyBorder="1" applyAlignment="1">
      <alignment horizontal="right"/>
    </xf>
    <xf numFmtId="166" fontId="4" fillId="0" borderId="4" xfId="0" applyNumberFormat="1" applyFont="1" applyBorder="1"/>
    <xf numFmtId="166" fontId="4" fillId="0" borderId="5" xfId="0" applyNumberFormat="1" applyFont="1" applyBorder="1" applyAlignment="1">
      <alignment horizontal="right"/>
    </xf>
    <xf numFmtId="43" fontId="4" fillId="0" borderId="0" xfId="0" applyNumberFormat="1" applyFont="1"/>
    <xf numFmtId="0" fontId="4" fillId="0" borderId="4" xfId="0" applyFont="1" applyBorder="1"/>
    <xf numFmtId="166" fontId="4" fillId="0" borderId="6" xfId="0" applyNumberFormat="1" applyFont="1" applyBorder="1" applyAlignment="1">
      <alignment horizontal="right"/>
    </xf>
    <xf numFmtId="166" fontId="4" fillId="0" borderId="1" xfId="0" applyNumberFormat="1" applyFont="1" applyBorder="1"/>
    <xf numFmtId="166" fontId="4" fillId="0" borderId="7" xfId="0" applyNumberFormat="1" applyFont="1" applyBorder="1"/>
    <xf numFmtId="166" fontId="4" fillId="0" borderId="3" xfId="0" applyNumberFormat="1" applyFont="1" applyBorder="1"/>
    <xf numFmtId="168" fontId="4" fillId="0" borderId="2" xfId="0" applyNumberFormat="1" applyFont="1" applyBorder="1" applyAlignment="1">
      <alignment horizontal="right"/>
    </xf>
    <xf numFmtId="166" fontId="4" fillId="0" borderId="5" xfId="0" applyNumberFormat="1" applyFont="1" applyBorder="1"/>
    <xf numFmtId="168" fontId="4" fillId="0" borderId="4" xfId="0" applyNumberFormat="1" applyFont="1" applyBorder="1" applyAlignment="1">
      <alignment horizontal="right"/>
    </xf>
    <xf numFmtId="166" fontId="4" fillId="0" borderId="6" xfId="0" applyNumberFormat="1" applyFont="1" applyBorder="1"/>
    <xf numFmtId="168" fontId="4" fillId="0" borderId="7" xfId="0" applyNumberFormat="1" applyFont="1" applyBorder="1" applyAlignment="1">
      <alignment horizontal="right"/>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13" xfId="1" applyFont="1" applyFill="1" applyBorder="1">
      <alignment horizontal="center" vertical="center" wrapText="1"/>
    </xf>
    <xf numFmtId="166" fontId="3" fillId="2" borderId="13" xfId="0" applyNumberFormat="1" applyFont="1" applyFill="1" applyBorder="1" applyAlignment="1">
      <alignment horizontal="center" vertical="center" wrapText="1"/>
    </xf>
    <xf numFmtId="166" fontId="3" fillId="2" borderId="12" xfId="0" applyNumberFormat="1" applyFont="1" applyFill="1" applyBorder="1" applyAlignment="1">
      <alignment horizontal="center" vertical="center" wrapText="1"/>
    </xf>
    <xf numFmtId="3" fontId="3" fillId="2" borderId="14" xfId="0" applyNumberFormat="1" applyFont="1" applyFill="1" applyBorder="1" applyAlignment="1">
      <alignment horizontal="center" vertical="center" wrapText="1"/>
    </xf>
    <xf numFmtId="3" fontId="3" fillId="2" borderId="12" xfId="0" applyNumberFormat="1" applyFont="1" applyFill="1" applyBorder="1" applyAlignment="1">
      <alignment horizontal="center" vertical="center" wrapText="1"/>
    </xf>
    <xf numFmtId="0" fontId="3" fillId="6" borderId="13" xfId="1" applyFont="1" applyFill="1" applyBorder="1">
      <alignment horizontal="center" vertical="center" wrapText="1"/>
    </xf>
    <xf numFmtId="3" fontId="3" fillId="8" borderId="12" xfId="0" applyNumberFormat="1" applyFont="1" applyFill="1" applyBorder="1" applyAlignment="1">
      <alignment horizontal="left" vertical="top" wrapText="1"/>
    </xf>
    <xf numFmtId="167" fontId="3" fillId="2" borderId="13" xfId="0" applyNumberFormat="1" applyFont="1" applyFill="1" applyBorder="1" applyAlignment="1">
      <alignment horizontal="center" vertical="center" wrapText="1"/>
    </xf>
    <xf numFmtId="168" fontId="4" fillId="0" borderId="0" xfId="0" applyNumberFormat="1" applyFont="1" applyAlignment="1">
      <alignment horizontal="right"/>
    </xf>
    <xf numFmtId="3" fontId="25" fillId="3" borderId="0" xfId="0" applyNumberFormat="1" applyFont="1" applyFill="1" applyProtection="1">
      <protection locked="0"/>
    </xf>
    <xf numFmtId="43" fontId="25" fillId="3" borderId="0" xfId="2" applyFont="1" applyFill="1" applyProtection="1">
      <protection locked="0"/>
    </xf>
    <xf numFmtId="171" fontId="4" fillId="4" borderId="0" xfId="0" applyNumberFormat="1" applyFont="1" applyFill="1"/>
    <xf numFmtId="43" fontId="25" fillId="0" borderId="0" xfId="2" applyFont="1" applyFill="1" applyProtection="1">
      <protection locked="0"/>
    </xf>
    <xf numFmtId="43" fontId="0" fillId="8" borderId="9" xfId="2" applyFont="1" applyFill="1" applyBorder="1"/>
    <xf numFmtId="0" fontId="0" fillId="8" borderId="9" xfId="0" applyFill="1" applyBorder="1"/>
    <xf numFmtId="1" fontId="4" fillId="0" borderId="9" xfId="0" applyNumberFormat="1" applyFont="1" applyBorder="1" applyAlignment="1" applyProtection="1">
      <alignment vertical="center"/>
      <protection locked="0"/>
    </xf>
    <xf numFmtId="171" fontId="4" fillId="0" borderId="0" xfId="0" applyNumberFormat="1" applyFont="1" applyAlignment="1" applyProtection="1">
      <alignment horizontal="left" vertical="center"/>
      <protection locked="0"/>
    </xf>
    <xf numFmtId="171" fontId="4" fillId="3" borderId="0" xfId="0" applyNumberFormat="1" applyFont="1" applyFill="1" applyAlignment="1" applyProtection="1">
      <alignment horizontal="left" vertical="center"/>
      <protection locked="0"/>
    </xf>
    <xf numFmtId="0" fontId="0" fillId="2" borderId="0" xfId="0" applyFill="1"/>
    <xf numFmtId="0" fontId="0" fillId="13" borderId="0" xfId="0" applyFill="1"/>
    <xf numFmtId="43" fontId="0" fillId="21" borderId="18" xfId="2" applyFont="1" applyFill="1" applyBorder="1"/>
    <xf numFmtId="43" fontId="0" fillId="16" borderId="19" xfId="2" applyFont="1" applyFill="1" applyBorder="1"/>
    <xf numFmtId="43" fontId="0" fillId="21" borderId="20" xfId="2" applyFont="1" applyFill="1" applyBorder="1"/>
    <xf numFmtId="43" fontId="0" fillId="16" borderId="21" xfId="2" applyFont="1" applyFill="1" applyBorder="1"/>
    <xf numFmtId="43" fontId="0" fillId="21" borderId="22" xfId="2" applyFont="1" applyFill="1" applyBorder="1"/>
    <xf numFmtId="43" fontId="0" fillId="16" borderId="23" xfId="2" applyFont="1" applyFill="1" applyBorder="1"/>
    <xf numFmtId="43" fontId="0" fillId="17" borderId="18" xfId="2" applyFont="1" applyFill="1" applyBorder="1"/>
    <xf numFmtId="43" fontId="0" fillId="17" borderId="20" xfId="2" applyFont="1" applyFill="1" applyBorder="1"/>
    <xf numFmtId="43" fontId="0" fillId="17" borderId="22" xfId="2" applyFont="1" applyFill="1" applyBorder="1"/>
    <xf numFmtId="43" fontId="0" fillId="13" borderId="0" xfId="2" applyFont="1" applyFill="1"/>
    <xf numFmtId="0" fontId="0" fillId="13" borderId="0" xfId="0" applyFill="1" applyAlignment="1">
      <alignment horizontal="left"/>
    </xf>
    <xf numFmtId="0" fontId="0" fillId="19" borderId="0" xfId="0" applyFill="1" applyAlignment="1">
      <alignment horizontal="left"/>
    </xf>
    <xf numFmtId="43" fontId="0" fillId="19" borderId="0" xfId="2" applyFont="1" applyFill="1"/>
    <xf numFmtId="0" fontId="0" fillId="2" borderId="0" xfId="0" applyFill="1" applyAlignment="1">
      <alignment horizontal="left"/>
    </xf>
    <xf numFmtId="164" fontId="0" fillId="2" borderId="0" xfId="0" applyNumberFormat="1" applyFill="1"/>
    <xf numFmtId="43" fontId="0" fillId="12" borderId="18" xfId="2" applyFont="1" applyFill="1" applyBorder="1"/>
    <xf numFmtId="43" fontId="0" fillId="12" borderId="19" xfId="2" applyFont="1" applyFill="1" applyBorder="1"/>
    <xf numFmtId="43" fontId="0" fillId="12" borderId="20" xfId="2" applyFont="1" applyFill="1" applyBorder="1"/>
    <xf numFmtId="43" fontId="0" fillId="12" borderId="21" xfId="2" applyFont="1" applyFill="1" applyBorder="1"/>
    <xf numFmtId="43" fontId="0" fillId="12" borderId="22" xfId="2" applyFont="1" applyFill="1" applyBorder="1"/>
    <xf numFmtId="43" fontId="0" fillId="12" borderId="23" xfId="2" applyFont="1" applyFill="1" applyBorder="1"/>
    <xf numFmtId="0" fontId="22" fillId="0" borderId="9" xfId="0" applyFont="1" applyBorder="1" applyAlignment="1" applyProtection="1">
      <alignment vertical="center"/>
      <protection locked="0"/>
    </xf>
    <xf numFmtId="0" fontId="26" fillId="0" borderId="9" xfId="0" applyFont="1" applyBorder="1"/>
    <xf numFmtId="0" fontId="7" fillId="0" borderId="9" xfId="0" applyFont="1" applyBorder="1" applyAlignment="1" applyProtection="1">
      <alignment vertical="center"/>
      <protection locked="0"/>
    </xf>
    <xf numFmtId="169" fontId="0" fillId="0" borderId="5" xfId="0" applyNumberFormat="1" applyBorder="1"/>
    <xf numFmtId="0" fontId="27" fillId="0" borderId="9" xfId="0" applyFont="1" applyBorder="1" applyAlignment="1" applyProtection="1">
      <alignment vertical="center"/>
      <protection locked="0"/>
    </xf>
    <xf numFmtId="166" fontId="27" fillId="0" borderId="9" xfId="0" applyNumberFormat="1" applyFont="1" applyBorder="1" applyAlignment="1" applyProtection="1">
      <alignment vertical="center"/>
      <protection locked="0"/>
    </xf>
    <xf numFmtId="3" fontId="27" fillId="0" borderId="9" xfId="0" applyNumberFormat="1" applyFont="1" applyBorder="1" applyAlignment="1" applyProtection="1">
      <alignment vertical="center"/>
      <protection locked="0"/>
    </xf>
    <xf numFmtId="3" fontId="28" fillId="0" borderId="9" xfId="0" applyNumberFormat="1" applyFont="1" applyBorder="1" applyAlignment="1" applyProtection="1">
      <alignment horizontal="center" vertical="center"/>
      <protection locked="0"/>
    </xf>
    <xf numFmtId="167" fontId="27" fillId="0" borderId="9" xfId="0" applyNumberFormat="1" applyFont="1" applyBorder="1" applyAlignment="1" applyProtection="1">
      <alignment vertical="center"/>
      <protection locked="0"/>
    </xf>
    <xf numFmtId="167" fontId="27" fillId="0" borderId="9" xfId="0" applyNumberFormat="1" applyFont="1" applyBorder="1" applyAlignment="1" applyProtection="1">
      <alignment horizontal="center" vertical="center"/>
      <protection locked="0"/>
    </xf>
    <xf numFmtId="0" fontId="0" fillId="0" borderId="15" xfId="0" applyBorder="1" applyAlignment="1">
      <alignment horizontal="center" vertical="center" wrapText="1"/>
    </xf>
    <xf numFmtId="168" fontId="4" fillId="0" borderId="0" xfId="0" applyNumberFormat="1" applyFont="1" applyAlignment="1">
      <alignment horizontal="left"/>
    </xf>
    <xf numFmtId="0" fontId="29" fillId="0" borderId="9" xfId="0" applyFont="1" applyBorder="1" applyAlignment="1" applyProtection="1">
      <alignment vertical="center"/>
      <protection locked="0"/>
    </xf>
    <xf numFmtId="167" fontId="29" fillId="0" borderId="9" xfId="0" applyNumberFormat="1" applyFont="1" applyBorder="1" applyAlignment="1" applyProtection="1">
      <alignment vertical="center"/>
      <protection locked="0"/>
    </xf>
    <xf numFmtId="1" fontId="29" fillId="0" borderId="9" xfId="0" applyNumberFormat="1" applyFont="1" applyBorder="1" applyAlignment="1" applyProtection="1">
      <alignment vertical="center"/>
      <protection locked="0"/>
    </xf>
    <xf numFmtId="167" fontId="29" fillId="0" borderId="9" xfId="0" applyNumberFormat="1" applyFont="1" applyBorder="1" applyAlignment="1" applyProtection="1">
      <alignment horizontal="center" vertical="center"/>
      <protection locked="0"/>
    </xf>
    <xf numFmtId="171" fontId="4" fillId="4" borderId="0" xfId="0" applyNumberFormat="1" applyFont="1" applyFill="1" applyProtection="1">
      <protection locked="0"/>
    </xf>
    <xf numFmtId="164" fontId="0" fillId="0" borderId="0" xfId="0" applyNumberFormat="1" applyAlignment="1">
      <alignment horizontal="center" vertical="center"/>
    </xf>
    <xf numFmtId="169" fontId="4" fillId="4" borderId="0" xfId="2" applyNumberFormat="1" applyFont="1" applyFill="1" applyProtection="1">
      <protection locked="0"/>
    </xf>
    <xf numFmtId="0" fontId="0" fillId="0" borderId="9" xfId="0" applyBorder="1" applyAlignment="1">
      <alignment wrapText="1"/>
    </xf>
    <xf numFmtId="43" fontId="19" fillId="3" borderId="9" xfId="2" applyFont="1" applyFill="1" applyBorder="1"/>
    <xf numFmtId="43" fontId="0" fillId="22" borderId="9" xfId="2" applyFont="1" applyFill="1" applyBorder="1"/>
    <xf numFmtId="43" fontId="0" fillId="23" borderId="9" xfId="2" applyFont="1" applyFill="1" applyBorder="1"/>
    <xf numFmtId="43" fontId="0" fillId="2" borderId="9" xfId="2" applyFont="1" applyFill="1" applyBorder="1"/>
    <xf numFmtId="43" fontId="0" fillId="24" borderId="9" xfId="2" applyFont="1" applyFill="1" applyBorder="1"/>
    <xf numFmtId="0" fontId="19" fillId="0" borderId="9" xfId="0" applyFont="1" applyBorder="1"/>
    <xf numFmtId="0" fontId="19" fillId="0" borderId="5" xfId="0" applyFont="1" applyBorder="1"/>
    <xf numFmtId="0" fontId="19" fillId="0" borderId="0" xfId="0" applyFont="1"/>
    <xf numFmtId="43" fontId="19" fillId="0" borderId="0" xfId="2" applyFont="1" applyFill="1"/>
    <xf numFmtId="0" fontId="18" fillId="0" borderId="9" xfId="0" applyFont="1" applyBorder="1"/>
    <xf numFmtId="3" fontId="4" fillId="3" borderId="9" xfId="0" applyNumberFormat="1" applyFont="1" applyFill="1" applyBorder="1" applyAlignment="1" applyProtection="1">
      <alignment vertical="center"/>
      <protection locked="0"/>
    </xf>
    <xf numFmtId="3" fontId="11" fillId="3" borderId="9" xfId="0" applyNumberFormat="1" applyFont="1" applyFill="1" applyBorder="1" applyAlignment="1" applyProtection="1">
      <alignment horizontal="center" vertical="center"/>
      <protection locked="0"/>
    </xf>
    <xf numFmtId="43" fontId="4" fillId="3" borderId="9" xfId="2" applyFont="1" applyFill="1" applyBorder="1" applyAlignment="1" applyProtection="1">
      <alignment vertical="center"/>
    </xf>
    <xf numFmtId="43" fontId="4" fillId="3" borderId="9" xfId="2" applyFont="1" applyFill="1" applyBorder="1" applyAlignment="1" applyProtection="1">
      <alignment vertical="center"/>
      <protection locked="0"/>
    </xf>
    <xf numFmtId="0" fontId="4" fillId="3" borderId="0" xfId="0" applyFont="1" applyFill="1" applyAlignment="1" applyProtection="1">
      <alignment horizontal="center"/>
      <protection locked="0"/>
    </xf>
    <xf numFmtId="3" fontId="3" fillId="8" borderId="12" xfId="0" applyNumberFormat="1" applyFont="1" applyFill="1" applyBorder="1" applyAlignment="1">
      <alignment horizontal="center" vertical="top" wrapText="1"/>
    </xf>
    <xf numFmtId="43" fontId="0" fillId="11" borderId="0" xfId="2" applyFont="1" applyFill="1"/>
    <xf numFmtId="43" fontId="0" fillId="15" borderId="0" xfId="2" applyFont="1" applyFill="1"/>
    <xf numFmtId="43" fontId="0" fillId="7" borderId="0" xfId="2" applyFont="1" applyFill="1"/>
    <xf numFmtId="43" fontId="0" fillId="17" borderId="0" xfId="2" applyFont="1" applyFill="1"/>
    <xf numFmtId="43" fontId="24" fillId="0" borderId="16" xfId="2" applyFont="1" applyFill="1" applyBorder="1" applyAlignment="1" applyProtection="1">
      <alignment horizontal="right" vertical="top" wrapText="1"/>
      <protection locked="0"/>
    </xf>
    <xf numFmtId="43" fontId="24" fillId="0" borderId="16" xfId="2" applyFont="1" applyFill="1" applyBorder="1" applyAlignment="1">
      <alignment horizontal="right" vertical="top" wrapText="1"/>
    </xf>
    <xf numFmtId="3" fontId="3" fillId="0" borderId="0" xfId="0" applyNumberFormat="1" applyFont="1" applyAlignment="1">
      <alignment horizontal="center" vertical="top"/>
    </xf>
    <xf numFmtId="166" fontId="4" fillId="0" borderId="0" xfId="0" applyNumberFormat="1" applyFont="1" applyAlignment="1">
      <alignment horizontal="right"/>
    </xf>
    <xf numFmtId="43" fontId="4" fillId="4" borderId="0" xfId="2" applyFont="1" applyFill="1" applyBorder="1" applyProtection="1">
      <protection locked="0"/>
    </xf>
    <xf numFmtId="0" fontId="5" fillId="0" borderId="0" xfId="0" applyFont="1"/>
    <xf numFmtId="169" fontId="4" fillId="17" borderId="0" xfId="2" applyNumberFormat="1" applyFont="1" applyFill="1" applyProtection="1">
      <protection locked="0"/>
    </xf>
    <xf numFmtId="169" fontId="4" fillId="17" borderId="0" xfId="2" applyNumberFormat="1" applyFont="1" applyFill="1" applyProtection="1"/>
    <xf numFmtId="3" fontId="3" fillId="16" borderId="12" xfId="0" applyNumberFormat="1" applyFont="1" applyFill="1" applyBorder="1" applyAlignment="1">
      <alignment horizontal="center" vertical="center" wrapText="1"/>
    </xf>
    <xf numFmtId="3" fontId="3" fillId="11" borderId="12" xfId="0" applyNumberFormat="1" applyFont="1" applyFill="1" applyBorder="1" applyAlignment="1">
      <alignment horizontal="center" vertical="center" wrapText="1"/>
    </xf>
    <xf numFmtId="3" fontId="3" fillId="9" borderId="12" xfId="0" applyNumberFormat="1" applyFont="1" applyFill="1" applyBorder="1" applyAlignment="1">
      <alignment horizontal="center" vertical="center" wrapText="1"/>
    </xf>
    <xf numFmtId="3" fontId="3" fillId="0" borderId="12" xfId="0" applyNumberFormat="1" applyFont="1" applyBorder="1" applyAlignment="1">
      <alignment horizontal="center" vertical="center" wrapText="1"/>
    </xf>
    <xf numFmtId="43" fontId="4" fillId="10" borderId="9" xfId="2" applyFont="1" applyFill="1" applyBorder="1" applyAlignment="1" applyProtection="1">
      <alignment vertical="center"/>
      <protection locked="0"/>
    </xf>
    <xf numFmtId="17" fontId="0" fillId="0" borderId="9" xfId="0" applyNumberFormat="1" applyBorder="1"/>
    <xf numFmtId="173" fontId="0" fillId="0" borderId="0" xfId="0" applyNumberFormat="1"/>
    <xf numFmtId="3" fontId="3" fillId="25" borderId="12" xfId="0" applyNumberFormat="1" applyFont="1" applyFill="1" applyBorder="1" applyAlignment="1">
      <alignment horizontal="center" vertical="center" wrapText="1"/>
    </xf>
    <xf numFmtId="3" fontId="4" fillId="9" borderId="9" xfId="0" applyNumberFormat="1" applyFont="1" applyFill="1" applyBorder="1" applyAlignment="1" applyProtection="1">
      <alignment vertical="center"/>
      <protection locked="0"/>
    </xf>
    <xf numFmtId="43" fontId="4" fillId="16" borderId="9" xfId="2" applyFont="1" applyFill="1" applyBorder="1" applyAlignment="1" applyProtection="1">
      <alignment vertical="center"/>
    </xf>
    <xf numFmtId="43" fontId="4" fillId="16" borderId="9" xfId="2" applyFont="1" applyFill="1" applyBorder="1" applyAlignment="1" applyProtection="1">
      <alignment vertical="center"/>
      <protection locked="0"/>
    </xf>
    <xf numFmtId="43" fontId="4" fillId="10" borderId="9" xfId="2" applyFont="1" applyFill="1" applyBorder="1" applyAlignment="1" applyProtection="1">
      <alignment vertical="center"/>
    </xf>
    <xf numFmtId="3" fontId="11" fillId="0" borderId="9" xfId="0" applyNumberFormat="1" applyFont="1" applyBorder="1" applyAlignment="1" applyProtection="1">
      <alignment horizontal="left" vertical="center"/>
      <protection locked="0"/>
    </xf>
    <xf numFmtId="166" fontId="4" fillId="24" borderId="9" xfId="0" applyNumberFormat="1" applyFont="1" applyFill="1" applyBorder="1" applyAlignment="1" applyProtection="1">
      <alignment vertical="center"/>
      <protection locked="0"/>
    </xf>
    <xf numFmtId="43" fontId="4" fillId="0" borderId="9" xfId="2" applyFont="1" applyBorder="1" applyAlignment="1" applyProtection="1">
      <alignment vertical="center"/>
      <protection locked="0"/>
    </xf>
    <xf numFmtId="43" fontId="4" fillId="0" borderId="0" xfId="2" applyFont="1" applyProtection="1">
      <protection locked="0"/>
    </xf>
    <xf numFmtId="0" fontId="31" fillId="0" borderId="0" xfId="0" applyFont="1"/>
    <xf numFmtId="171" fontId="4" fillId="0" borderId="0" xfId="0" applyNumberFormat="1" applyFont="1" applyProtection="1">
      <protection locked="0"/>
    </xf>
    <xf numFmtId="4" fontId="4" fillId="0" borderId="9" xfId="0" applyNumberFormat="1" applyFont="1" applyBorder="1" applyAlignment="1" applyProtection="1">
      <alignment vertical="center"/>
      <protection locked="0"/>
    </xf>
    <xf numFmtId="0" fontId="0" fillId="0" borderId="10" xfId="0" applyBorder="1"/>
    <xf numFmtId="0" fontId="19" fillId="19" borderId="10" xfId="0" applyFont="1" applyFill="1" applyBorder="1" applyAlignment="1">
      <alignment horizontal="center" vertical="center" wrapText="1"/>
    </xf>
    <xf numFmtId="0" fontId="19" fillId="19" borderId="9" xfId="0" applyFont="1" applyFill="1" applyBorder="1" applyAlignment="1">
      <alignment horizontal="center" vertical="center" wrapText="1"/>
    </xf>
    <xf numFmtId="0" fontId="19" fillId="19" borderId="9" xfId="0" applyFont="1" applyFill="1" applyBorder="1" applyAlignment="1">
      <alignment horizontal="center" vertical="center"/>
    </xf>
    <xf numFmtId="0" fontId="19" fillId="19" borderId="15" xfId="0" applyFont="1" applyFill="1" applyBorder="1" applyAlignment="1">
      <alignment horizontal="center" vertical="center" wrapText="1"/>
    </xf>
    <xf numFmtId="0" fontId="19" fillId="19" borderId="0" xfId="0" applyFont="1" applyFill="1"/>
    <xf numFmtId="170" fontId="19" fillId="19" borderId="0" xfId="0" applyNumberFormat="1" applyFont="1" applyFill="1"/>
    <xf numFmtId="0" fontId="30" fillId="0" borderId="9" xfId="0" applyFont="1" applyBorder="1" applyAlignment="1" applyProtection="1">
      <alignment vertical="center"/>
      <protection locked="0"/>
    </xf>
    <xf numFmtId="0" fontId="4" fillId="0" borderId="0" xfId="0" applyFont="1" applyAlignment="1" applyProtection="1">
      <alignment horizontal="center" vertical="center"/>
      <protection locked="0"/>
    </xf>
    <xf numFmtId="43" fontId="0" fillId="0" borderId="10" xfId="2" applyFont="1" applyBorder="1"/>
    <xf numFmtId="0" fontId="0" fillId="0" borderId="0" xfId="0" pivotButton="1" applyAlignment="1">
      <alignment horizontal="center"/>
    </xf>
    <xf numFmtId="0" fontId="19" fillId="19" borderId="9" xfId="0" applyFont="1" applyFill="1" applyBorder="1"/>
    <xf numFmtId="164" fontId="0" fillId="0" borderId="9" xfId="0" applyNumberFormat="1" applyBorder="1"/>
    <xf numFmtId="169" fontId="0" fillId="0" borderId="9" xfId="0" applyNumberFormat="1" applyBorder="1"/>
    <xf numFmtId="43" fontId="0" fillId="0" borderId="10" xfId="2" applyFont="1" applyFill="1" applyBorder="1"/>
    <xf numFmtId="43" fontId="4" fillId="0" borderId="0" xfId="2" applyFont="1" applyAlignment="1" applyProtection="1">
      <alignment horizontal="left" vertical="center"/>
      <protection locked="0"/>
    </xf>
    <xf numFmtId="0" fontId="18" fillId="0" borderId="0" xfId="0" applyFont="1"/>
    <xf numFmtId="0" fontId="19" fillId="0" borderId="10" xfId="0" applyFont="1" applyBorder="1"/>
    <xf numFmtId="43" fontId="19" fillId="0" borderId="10" xfId="2" applyFont="1" applyFill="1" applyBorder="1"/>
    <xf numFmtId="169" fontId="25" fillId="9" borderId="9" xfId="2" applyNumberFormat="1" applyFont="1" applyFill="1" applyBorder="1" applyProtection="1"/>
    <xf numFmtId="3" fontId="33" fillId="0" borderId="9" xfId="0" applyNumberFormat="1" applyFont="1" applyBorder="1" applyAlignment="1" applyProtection="1">
      <alignment vertical="center"/>
      <protection locked="0"/>
    </xf>
    <xf numFmtId="3" fontId="4" fillId="25" borderId="9" xfId="0" applyNumberFormat="1" applyFont="1" applyFill="1" applyBorder="1" applyAlignment="1" applyProtection="1">
      <alignment vertical="center"/>
      <protection locked="0"/>
    </xf>
    <xf numFmtId="43" fontId="4" fillId="0" borderId="0" xfId="2" applyFont="1" applyAlignment="1" applyProtection="1">
      <alignment vertical="center"/>
      <protection locked="0"/>
    </xf>
    <xf numFmtId="3" fontId="25" fillId="16" borderId="12" xfId="0" applyNumberFormat="1" applyFont="1" applyFill="1" applyBorder="1" applyAlignment="1">
      <alignment horizontal="center" vertical="center" wrapText="1"/>
    </xf>
    <xf numFmtId="43" fontId="4" fillId="6" borderId="9" xfId="2" applyFont="1" applyFill="1" applyBorder="1" applyAlignment="1" applyProtection="1">
      <alignment vertical="center"/>
      <protection locked="0"/>
    </xf>
    <xf numFmtId="166" fontId="4" fillId="16" borderId="9" xfId="0" applyNumberFormat="1" applyFont="1" applyFill="1" applyBorder="1" applyAlignment="1" applyProtection="1">
      <alignment vertical="center"/>
      <protection locked="0"/>
    </xf>
    <xf numFmtId="166" fontId="4" fillId="11" borderId="9" xfId="0" applyNumberFormat="1" applyFont="1" applyFill="1" applyBorder="1" applyAlignment="1" applyProtection="1">
      <alignment vertical="center"/>
      <protection locked="0"/>
    </xf>
    <xf numFmtId="169" fontId="30" fillId="25" borderId="9" xfId="2" applyNumberFormat="1" applyFont="1" applyFill="1" applyBorder="1" applyProtection="1"/>
    <xf numFmtId="43" fontId="4" fillId="0" borderId="0" xfId="2" applyFont="1" applyAlignment="1">
      <alignment horizontal="right"/>
    </xf>
    <xf numFmtId="166" fontId="3" fillId="10" borderId="12" xfId="0" applyNumberFormat="1" applyFont="1" applyFill="1" applyBorder="1" applyAlignment="1">
      <alignment horizontal="center" vertical="center" wrapText="1"/>
    </xf>
    <xf numFmtId="166" fontId="10" fillId="3" borderId="9" xfId="0" applyNumberFormat="1" applyFont="1" applyFill="1" applyBorder="1" applyAlignment="1" applyProtection="1">
      <alignment vertical="center"/>
      <protection locked="0"/>
    </xf>
    <xf numFmtId="0" fontId="34" fillId="0" borderId="9" xfId="0" applyFont="1" applyBorder="1"/>
    <xf numFmtId="43" fontId="3" fillId="0" borderId="0" xfId="2" applyFont="1" applyProtection="1">
      <protection locked="0"/>
    </xf>
    <xf numFmtId="0" fontId="4" fillId="6" borderId="9" xfId="0" applyFont="1" applyFill="1" applyBorder="1" applyAlignment="1" applyProtection="1">
      <alignment vertical="center"/>
      <protection locked="0"/>
    </xf>
    <xf numFmtId="166" fontId="4" fillId="6" borderId="9" xfId="0" applyNumberFormat="1" applyFont="1" applyFill="1" applyBorder="1" applyAlignment="1" applyProtection="1">
      <alignment vertical="center"/>
      <protection locked="0"/>
    </xf>
    <xf numFmtId="0" fontId="10" fillId="3" borderId="9" xfId="0" applyFont="1" applyFill="1" applyBorder="1" applyAlignment="1" applyProtection="1">
      <alignment vertical="center"/>
      <protection locked="0"/>
    </xf>
    <xf numFmtId="169" fontId="4" fillId="0" borderId="0" xfId="2" applyNumberFormat="1" applyFont="1" applyFill="1" applyBorder="1" applyProtection="1"/>
    <xf numFmtId="169" fontId="25" fillId="0" borderId="0" xfId="2" applyNumberFormat="1" applyFont="1" applyFill="1" applyBorder="1" applyProtection="1"/>
    <xf numFmtId="169" fontId="30" fillId="0" borderId="0" xfId="2" applyNumberFormat="1" applyFont="1" applyFill="1" applyBorder="1" applyProtection="1"/>
    <xf numFmtId="0" fontId="2" fillId="21" borderId="14" xfId="0" applyFont="1" applyFill="1" applyBorder="1" applyAlignment="1">
      <alignment horizontal="center"/>
    </xf>
    <xf numFmtId="0" fontId="2" fillId="21" borderId="17" xfId="0" applyFont="1" applyFill="1" applyBorder="1" applyAlignment="1">
      <alignment horizontal="center"/>
    </xf>
    <xf numFmtId="0" fontId="2" fillId="21" borderId="13" xfId="0" applyFont="1" applyFill="1" applyBorder="1" applyAlignment="1">
      <alignment horizontal="center"/>
    </xf>
    <xf numFmtId="0" fontId="2" fillId="17" borderId="14" xfId="0" applyFont="1" applyFill="1" applyBorder="1" applyAlignment="1">
      <alignment horizontal="center"/>
    </xf>
    <xf numFmtId="0" fontId="2" fillId="17" borderId="17" xfId="0" applyFont="1" applyFill="1" applyBorder="1" applyAlignment="1">
      <alignment horizontal="center"/>
    </xf>
    <xf numFmtId="0" fontId="2" fillId="17" borderId="13" xfId="0" applyFont="1" applyFill="1" applyBorder="1" applyAlignment="1">
      <alignment horizontal="center"/>
    </xf>
    <xf numFmtId="0" fontId="0" fillId="12" borderId="14" xfId="0" applyFill="1" applyBorder="1" applyAlignment="1">
      <alignment horizontal="center"/>
    </xf>
    <xf numFmtId="0" fontId="0" fillId="12" borderId="17" xfId="0" applyFill="1" applyBorder="1" applyAlignment="1">
      <alignment horizontal="center"/>
    </xf>
    <xf numFmtId="0" fontId="0" fillId="12" borderId="13" xfId="0" applyFill="1" applyBorder="1" applyAlignment="1">
      <alignment horizontal="center"/>
    </xf>
    <xf numFmtId="0" fontId="0" fillId="0" borderId="0" xfId="0" applyAlignment="1">
      <alignment horizontal="center"/>
    </xf>
    <xf numFmtId="43" fontId="35" fillId="0" borderId="0" xfId="2" applyFont="1" applyFill="1" applyProtection="1">
      <protection locked="0"/>
    </xf>
    <xf numFmtId="3" fontId="4" fillId="0" borderId="0" xfId="0" applyNumberFormat="1" applyFont="1" applyFill="1" applyProtection="1">
      <protection locked="0"/>
    </xf>
  </cellXfs>
  <cellStyles count="7">
    <cellStyle name="Comma" xfId="2" builtinId="3"/>
    <cellStyle name="Comma 2" xfId="5" xr:uid="{00000000-0005-0000-0000-000001000000}"/>
    <cellStyle name="Comma 3" xfId="6" xr:uid="{00000000-0005-0000-0000-000002000000}"/>
    <cellStyle name="Normal" xfId="0" builtinId="0"/>
    <cellStyle name="Normal 10" xfId="4" xr:uid="{00000000-0005-0000-0000-000004000000}"/>
    <cellStyle name="Standard 3" xfId="3" xr:uid="{00000000-0005-0000-0000-000005000000}"/>
    <cellStyle name="სათაური" xfId="1" xr:uid="{00000000-0005-0000-0000-000006000000}"/>
  </cellStyles>
  <dxfs count="22">
    <dxf>
      <numFmt numFmtId="169" formatCode="_(* #,##0_);_(* \(#,##0\);_(* &quot;-&quot;??_);_(@_)"/>
    </dxf>
    <dxf>
      <alignment horizontal="center"/>
    </dxf>
    <dxf>
      <numFmt numFmtId="169" formatCode="_(* #,##0_);_(* \(#,##0\);_(* &quot;-&quot;??_);_(@_)"/>
    </dxf>
    <dxf>
      <alignment horizontal="center"/>
    </dxf>
    <dxf>
      <font>
        <b/>
        <i val="0"/>
        <color rgb="FFFF0000"/>
      </font>
    </dxf>
    <dxf>
      <font>
        <b/>
        <i val="0"/>
        <color rgb="FFFFFF00"/>
      </font>
      <fill>
        <patternFill>
          <bgColor rgb="FFFF0000"/>
        </patternFill>
      </fill>
    </dxf>
    <dxf>
      <font>
        <b/>
        <i val="0"/>
        <color rgb="FFFFFF00"/>
      </font>
      <fill>
        <patternFill>
          <bgColor rgb="FFFF000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ylfaen"/>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ylfaen"/>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ont>
        <strike val="0"/>
        <outline val="0"/>
        <shadow val="0"/>
        <u val="none"/>
        <vertAlign val="baseline"/>
        <sz val="11"/>
        <color auto="1"/>
        <name val="Sylfaen"/>
        <family val="2"/>
        <scheme val="minor"/>
      </font>
      <fill>
        <patternFill patternType="solid">
          <fgColor indexed="64"/>
          <bgColor theme="9" tint="0.79998168889431442"/>
        </patternFill>
      </fill>
    </dxf>
    <dxf>
      <alignment horizontal="center"/>
    </dxf>
    <dxf>
      <numFmt numFmtId="169" formatCode="_(* #,##0_);_(* \(#,##0\);_(* &quot;-&quot;??_);_(@_)"/>
    </dxf>
    <dxf>
      <numFmt numFmtId="169" formatCode="_(* #,##0_);_(* \(#,##0\);_(* &quot;-&quot;??_);_(@_)"/>
    </dxf>
  </dxfs>
  <tableStyles count="0" defaultTableStyle="TableStyleMedium9" defaultPivotStyle="PivotStyleLight16"/>
  <colors>
    <mruColors>
      <color rgb="FFF27A7A"/>
      <color rgb="FF38D473"/>
      <color rgb="FFE5E5FF"/>
      <color rgb="FFFFCC99"/>
      <color rgb="FFFFFAB9"/>
      <color rgb="FFA66BD3"/>
      <color rgb="FFB6DDE8"/>
      <color rgb="FFEEF3F8"/>
      <color rgb="FFFEFB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13.715720601853" createdVersion="8" refreshedVersion="8" minRefreshableVersion="3" recordCount="1155" xr:uid="{EB69C24B-E1AB-4F49-AAF3-AC9A50865725}">
  <cacheSource type="worksheet">
    <worksheetSource ref="A9:BQ1164" sheet="ДВД"/>
  </cacheSource>
  <cacheFields count="67">
    <cacheField name="№_x000a_пп" numFmtId="0">
      <sharedItems containsSemiMixedTypes="0" containsString="0" containsNumber="1" containsInteger="1" minValue="1" maxValue="2653"/>
    </cacheField>
    <cacheField name="Регион" numFmtId="0">
      <sharedItems containsBlank="1" containsMixedTypes="1" containsNumber="1" containsInteger="1" minValue="2" maxValue="2"/>
    </cacheField>
    <cacheField name="Район/_x000a_Город" numFmtId="0">
      <sharedItems containsBlank="1" containsMixedTypes="1" containsNumber="1" containsInteger="1" minValue="3" maxValue="3"/>
    </cacheField>
    <cacheField name="Обьект" numFmtId="0">
      <sharedItems containsBlank="1" containsMixedTypes="1" containsNumber="1" containsInteger="1" minValue="4" maxValue="4" longText="1"/>
    </cacheField>
    <cacheField name="Подрядная_x000a_организация" numFmtId="0">
      <sharedItems containsBlank="1" containsMixedTypes="1" containsNumber="1" containsInteger="1" minValue="5" maxValue="5" count="21">
        <n v="5"/>
        <s v="(Пр)-Архитект-Проджект Компани"/>
        <s v="(Пр)-Унимшени"/>
        <s v="Унимшени"/>
        <s v="Газсервис"/>
        <s v="Газ Констракт"/>
        <s v="Бриджи"/>
        <s v="Интерсервис 2011"/>
        <s v="Интер Газ"/>
        <s v="(Пр)-Газсервис"/>
        <s v="(Пр)-Интерсервис 2011"/>
        <s v="(Пр)-Интер Газ"/>
        <s v="(Пр)-Газ Констракт"/>
        <s v="Аркмшенсервис"/>
        <s v="(Пр)-Циспери Али"/>
        <s v="(Пр)-Джи Пи"/>
        <m/>
        <s v="Джорджия Газ Проджект"/>
        <s v="ჰაიდროკორპი"/>
        <s v="(Пр)-Джорджия Газ Проджект"/>
        <s v="Энерджи сервис"/>
      </sharedItems>
    </cacheField>
    <cacheField name="Договорная_x000a_стоймость_x000a_обьекта" numFmtId="0">
      <sharedItems containsSemiMixedTypes="0" containsString="0" containsNumber="1" minValue="0" maxValue="16000000"/>
    </cacheField>
    <cacheField name="X" numFmtId="0">
      <sharedItems containsBlank="1" containsMixedTypes="1" containsNumber="1" containsInteger="1" minValue="2" maxValue="7"/>
    </cacheField>
    <cacheField name="Работы_x000a_сданы_x000a_по фактуре (A)" numFmtId="0">
      <sharedItems containsString="0" containsBlank="1" containsNumber="1" minValue="0" maxValue="11611643"/>
    </cacheField>
    <cacheField name="ღირებულება პროექტის გარეშე" numFmtId="0">
      <sharedItems containsString="0" containsBlank="1" containsNumber="1" minValue="0" maxValue="11611643"/>
    </cacheField>
    <cacheField name="Оплачено" numFmtId="0">
      <sharedItems containsString="0" containsBlank="1" containsNumber="1" minValue="0" maxValue="11593301.470000003"/>
    </cacheField>
    <cacheField name="Осталось_x000a_от договорн._x000a_стоймости" numFmtId="0">
      <sharedItems containsSemiMixedTypes="0" containsString="0" containsNumber="1" minValue="-3322783.4610000001" maxValue="7918254"/>
    </cacheField>
    <cacheField name="Осталось_x000a_от сданных_x000a_работ" numFmtId="0">
      <sharedItems containsSemiMixedTypes="0" containsString="0" containsNumber="1" minValue="-0.24000000000523869" maxValue="1500000"/>
    </cacheField>
    <cacheField name="Дл. (м)_x000a_строящ._x000a_газопр." numFmtId="0">
      <sharedItems containsBlank="1" containsMixedTypes="1" containsNumber="1" minValue="0" maxValue="34332.589999999997"/>
    </cacheField>
    <cacheField name="Возможный_x000a_долг_x000a_(Д)" numFmtId="0">
      <sharedItems containsSemiMixedTypes="0" containsString="0" containsNumber="1" minValue="-3322783.4610000001" maxValue="7918254"/>
    </cacheField>
    <cacheField name="1" numFmtId="0">
      <sharedItems containsBlank="1" containsMixedTypes="1" containsNumber="1" containsInteger="1" minValue="0" maxValue="15"/>
    </cacheField>
    <cacheField name="Кол._x000a_нов._x000a_абон." numFmtId="0">
      <sharedItems containsString="0" containsBlank="1" containsNumber="1" containsInteger="1" minValue="0" maxValue="98"/>
    </cacheField>
    <cacheField name="№ по бюджету" numFmtId="0">
      <sharedItems containsBlank="1" containsMixedTypes="1" containsNumber="1" containsInteger="1" minValue="17" maxValue="17"/>
    </cacheField>
    <cacheField name="სულ_x000a_შესრ_x000a_2025" numFmtId="0">
      <sharedItems containsSemiMixedTypes="0" containsString="0" containsNumber="1" minValue="0" maxValue="6330000"/>
    </cacheField>
    <cacheField name="სულ_x000a_გად_x000a_2025" numFmtId="0">
      <sharedItems containsSemiMixedTypes="0" containsString="0" containsNumber="1" minValue="0" maxValue="736779.48"/>
    </cacheField>
    <cacheField name="I_x000a_შესრ" numFmtId="0">
      <sharedItems containsString="0" containsBlank="1" containsNumber="1" minValue="0" maxValue="3000000"/>
    </cacheField>
    <cacheField name="I_x000a_გად" numFmtId="0">
      <sharedItems containsString="0" containsBlank="1" containsNumber="1" minValue="0" maxValue="16779.66"/>
    </cacheField>
    <cacheField name="II_x000a_შესრ" numFmtId="0">
      <sharedItems containsString="0" containsBlank="1" containsNumber="1" minValue="25" maxValue="1360000"/>
    </cacheField>
    <cacheField name="II_x000a_გად" numFmtId="0">
      <sharedItems containsString="0" containsBlank="1" containsNumber="1" minValue="26" maxValue="457627.12"/>
    </cacheField>
    <cacheField name="III_x000a_შესრ" numFmtId="0">
      <sharedItems containsString="0" containsBlank="1" containsNumber="1" minValue="20.66" maxValue="1000000"/>
    </cacheField>
    <cacheField name="III_x000a_გად" numFmtId="0">
      <sharedItems containsString="0" containsBlank="1" containsNumber="1" minValue="29" maxValue="207457.63"/>
    </cacheField>
    <cacheField name="IV_x000a_შესრ" numFmtId="0">
      <sharedItems containsString="0" containsBlank="1" containsNumber="1" minValue="31" maxValue="700000"/>
    </cacheField>
    <cacheField name="IV_x000a_გად" numFmtId="0">
      <sharedItems containsString="0" containsBlank="1" containsNumber="1" minValue="32" maxValue="498728.82"/>
    </cacheField>
    <cacheField name="V_x000a_შესრ" numFmtId="0">
      <sharedItems containsString="0" containsBlank="1" containsNumber="1" minValue="34" maxValue="1500000"/>
    </cacheField>
    <cacheField name="V_x000a_გად" numFmtId="0">
      <sharedItems containsString="0" containsBlank="1" containsNumber="1" minValue="35" maxValue="106779.66"/>
    </cacheField>
    <cacheField name="VI_x000a_შესრ" numFmtId="0">
      <sharedItems containsString="0" containsBlank="1" containsNumber="1" minValue="37" maxValue="40000"/>
    </cacheField>
    <cacheField name="VI_x000a_გად" numFmtId="0">
      <sharedItems containsString="0" containsBlank="1" containsNumber="1" containsInteger="1" minValue="38" maxValue="38"/>
    </cacheField>
    <cacheField name="VII_x000a_შესრ" numFmtId="0">
      <sharedItems containsString="0" containsBlank="1" containsNumber="1" containsInteger="1" minValue="40" maxValue="40"/>
    </cacheField>
    <cacheField name="VII_x000a_გად" numFmtId="0">
      <sharedItems containsString="0" containsBlank="1" containsNumber="1" containsInteger="1" minValue="41" maxValue="41"/>
    </cacheField>
    <cacheField name="VIII_x000a_შესრ" numFmtId="0">
      <sharedItems containsString="0" containsBlank="1" containsNumber="1" containsInteger="1" minValue="43" maxValue="43"/>
    </cacheField>
    <cacheField name="VIII_x000a_გად" numFmtId="0">
      <sharedItems containsString="0" containsBlank="1" containsNumber="1" containsInteger="1" minValue="44" maxValue="44"/>
    </cacheField>
    <cacheField name="IX_x000a_შესრ" numFmtId="0">
      <sharedItems containsString="0" containsBlank="1" containsNumber="1" containsInteger="1" minValue="46" maxValue="46"/>
    </cacheField>
    <cacheField name="IX_x000a_გად" numFmtId="0">
      <sharedItems containsString="0" containsBlank="1" containsNumber="1" containsInteger="1" minValue="47" maxValue="47"/>
    </cacheField>
    <cacheField name="X_x000a_შესრ" numFmtId="0">
      <sharedItems containsString="0" containsBlank="1" containsNumber="1" containsInteger="1" minValue="49" maxValue="49"/>
    </cacheField>
    <cacheField name="X_x000a_გად" numFmtId="0">
      <sharedItems containsString="0" containsBlank="1" containsNumber="1" containsInteger="1" minValue="50" maxValue="50"/>
    </cacheField>
    <cacheField name="XI_x000a_შესრ" numFmtId="0">
      <sharedItems containsString="0" containsBlank="1" containsNumber="1" containsInteger="1" minValue="52" maxValue="52"/>
    </cacheField>
    <cacheField name="XI_x000a_გად" numFmtId="0">
      <sharedItems containsString="0" containsBlank="1" containsNumber="1" containsInteger="1" minValue="53" maxValue="53"/>
    </cacheField>
    <cacheField name="XII_x000a_შესრ" numFmtId="0">
      <sharedItems containsString="0" containsBlank="1" containsNumber="1" containsInteger="1" minValue="55" maxValue="55"/>
    </cacheField>
    <cacheField name="XII_x000a_გად" numFmtId="0">
      <sharedItems containsString="0" containsBlank="1" containsNumber="1" containsInteger="1" minValue="56" maxValue="56"/>
    </cacheField>
    <cacheField name="ჰარე" numFmtId="0">
      <sharedItems containsBlank="1" containsMixedTypes="1" containsNumber="1" containsInteger="1" minValue="57" maxValue="57"/>
    </cacheField>
    <cacheField name="ფაქტორ. თანხა 2022" numFmtId="0">
      <sharedItems containsSemiMixedTypes="0" containsString="0" containsNumber="1" minValue="0" maxValue="2796610.17"/>
    </cacheField>
    <cacheField name="ფაქტორ. ხარჯი 2022" numFmtId="0">
      <sharedItems containsSemiMixedTypes="0" containsString="0" containsNumber="1" minValue="0" maxValue="247979.81"/>
    </cacheField>
    <cacheField name="სხვაობა_x000a_2022" numFmtId="0">
      <sharedItems containsSemiMixedTypes="0" containsString="0" containsNumber="1" minValue="0" maxValue="256238.06411362716"/>
    </cacheField>
    <cacheField name="ფაქტორ. თანხა 2023" numFmtId="0">
      <sharedItems containsString="0" containsBlank="1" containsNumber="1" minValue="0" maxValue="6709997.1200000001"/>
    </cacheField>
    <cacheField name="ფაქტორ. ხარჯი 2023" numFmtId="0">
      <sharedItems containsString="0" containsBlank="1" containsNumber="1" minValue="0" maxValue="765838.66999999993"/>
    </cacheField>
    <cacheField name="სხვაობა_x000a_2023" numFmtId="0">
      <sharedItems containsString="0" containsBlank="1" containsNumber="1" minValue="0" maxValue="335529.22769142379"/>
    </cacheField>
    <cacheField name="ფაქტორ. თანხა 2024" numFmtId="0">
      <sharedItems containsString="0" containsBlank="1" containsNumber="1" minValue="0" maxValue="1521186.44"/>
    </cacheField>
    <cacheField name="ფაქტორ. ხარჯი 2024" numFmtId="0">
      <sharedItems containsString="0" containsBlank="1" containsNumber="1" minValue="0" maxValue="148064.26"/>
    </cacheField>
    <cacheField name="სხვაობა_x000a_2024 (1)" numFmtId="0">
      <sharedItems containsString="0" containsBlank="1" containsNumber="1" minValue="0" maxValue="623558.95072881354"/>
    </cacheField>
    <cacheField name="სხვაობა_x000a_2024 (2)" numFmtId="0">
      <sharedItems containsBlank="1" containsMixedTypes="1" containsNumber="1" minValue="0" maxValue="414941.55672881362"/>
    </cacheField>
    <cacheField name="ფაქტორ. თანხა 2025" numFmtId="0">
      <sharedItems containsString="0" containsBlank="1" containsNumber="1" minValue="0" maxValue="4093220.5199999996"/>
    </cacheField>
    <cacheField name="ფაქტორ. ხარჯი 2025" numFmtId="0">
      <sharedItems containsString="0" containsBlank="1" containsNumber="1" minValue="0" maxValue="245905.74"/>
    </cacheField>
    <cacheField name="ნაწილი მიღებულია ექსპლ." numFmtId="0">
      <sharedItems containsString="0" containsBlank="1" containsNumber="1" minValue="0" maxValue="11328541"/>
    </cacheField>
    <cacheField name="ნაწილის ექსპლ. მიღ. თარიღი" numFmtId="0">
      <sharedItems containsDate="1" containsString="0" containsBlank="1" containsMixedTypes="1" minDate="1899-12-31T00:00:00" maxDate="2024-12-10T00:00:00"/>
    </cacheField>
    <cacheField name="Тип_x000a_пр." numFmtId="0">
      <sharedItems containsBlank="1" containsMixedTypes="1" containsNumber="1" containsInteger="1" minValue="72" maxValue="72"/>
    </cacheField>
    <cacheField name="Дата_x000a_приема" numFmtId="0">
      <sharedItems containsDate="1" containsString="0" containsBlank="1" containsMixedTypes="1" minDate="1900-01-02T17:23:04" maxDate="2025-06-05T00:00:00"/>
    </cacheField>
    <cacheField name="Статус/прием в эксплуатацию" numFmtId="0">
      <sharedItems containsBlank="1" containsMixedTypes="1" containsNumber="1" minValue="0" maxValue="540365.09"/>
    </cacheField>
    <cacheField name="Примеч._x000a_Или_x000a_Компания" numFmtId="0">
      <sharedItems containsBlank="1" containsMixedTypes="1" containsNumber="1" containsInteger="1" minValue="75" maxValue="75"/>
    </cacheField>
    <cacheField name="Дата закл._x000a_договора" numFmtId="0">
      <sharedItems containsDate="1" containsString="0" containsBlank="1" containsMixedTypes="1" minDate="1899-12-31T01:24:04" maxDate="2024-12-10T00:00:00"/>
    </cacheField>
    <cacheField name="№_x000a_Догов." numFmtId="0">
      <sharedItems containsBlank="1" containsMixedTypes="1" containsNumber="1" containsInteger="1" minValue="77" maxValue="77"/>
    </cacheField>
    <cacheField name="№_x000a_Эксп._x000a_Сметы" numFmtId="0">
      <sharedItems containsBlank="1" containsMixedTypes="1" containsNumber="1" containsInteger="1" minValue="78" maxValue="1516"/>
    </cacheField>
    <cacheField name="Регистрация/_x000a_კომენტარი" numFmtId="0">
      <sharedItems containsBlank="1" containsMixedTypes="1" containsNumber="1" containsInteger="1" minValue="79" maxValue="79"/>
    </cacheField>
    <cacheField name="Примечание" numFmtId="0">
      <sharedItems containsBlank="1" containsMixedTypes="1" containsNumber="1" containsInteger="1" minValue="80" maxValue="8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988.580162268518" backgroundQuery="1" createdVersion="8" refreshedVersion="8" minRefreshableVersion="3" recordCount="0" supportSubquery="1" supportAdvancedDrill="1" xr:uid="{100832D3-35F6-4DB7-837E-1B664516DD59}">
  <cacheSource type="external" connectionId="2"/>
  <cacheFields count="4">
    <cacheField name="[Table2].[4].[4]" caption="4" numFmtId="0" hierarchy="4" level="1">
      <sharedItems count="12">
        <s v="(Пр)-Газ Констракт"/>
        <s v="(Пр)-Газсервис"/>
        <s v="(Пр)-Унимшени"/>
        <s v="Аркмшенсервис"/>
        <s v="Бриджи"/>
        <s v="Газ Констракт"/>
        <s v="Газсервис"/>
        <s v="Джорджия Газ Проджект"/>
        <s v="Интер Газ"/>
        <s v="Интерсервис 2011"/>
        <s v="Унимшени"/>
        <s v="Энерджи сервис"/>
      </sharedItems>
    </cacheField>
    <cacheField name="[Table2].[7].[7]" caption="7" numFmtId="0" hierarchy="7" level="1">
      <sharedItems containsSemiMixedTypes="0" containsNonDate="0" containsString="0"/>
    </cacheField>
    <cacheField name="[Table2].[8].[8]" caption="8" numFmtId="0" hierarchy="8" level="1">
      <sharedItems count="2">
        <s v="SGG"/>
        <s v="Сакорггаз"/>
      </sharedItems>
    </cacheField>
    <cacheField name="[Measures].[Sum of 6]" caption="Sum of 6" numFmtId="0" hierarchy="21" level="32767"/>
  </cacheFields>
  <cacheHierarchies count="22">
    <cacheHierarchy uniqueName="[Table2].[0]" caption="0" attribute="1" defaultMemberUniqueName="[Table2].[0].[All]" allUniqueName="[Table2].[0].[All]" dimensionUniqueName="[Table2]" displayFolder="" count="0" memberValueDatatype="20" unbalanced="0"/>
    <cacheHierarchy uniqueName="[Table2].[1]" caption="1" attribute="1" defaultMemberUniqueName="[Table2].[1].[All]" allUniqueName="[Table2].[1].[All]" dimensionUniqueName="[Table2]" displayFolder="" count="0" memberValueDatatype="130" unbalanced="0"/>
    <cacheHierarchy uniqueName="[Table2].[2]" caption="2" attribute="1" defaultMemberUniqueName="[Table2].[2].[All]" allUniqueName="[Table2].[2].[All]" dimensionUniqueName="[Table2]" displayFolder="" count="0" memberValueDatatype="130" unbalanced="0"/>
    <cacheHierarchy uniqueName="[Table2].[3]" caption="3" attribute="1" defaultMemberUniqueName="[Table2].[3].[All]" allUniqueName="[Table2].[3].[All]" dimensionUniqueName="[Table2]" displayFolder="" count="0" memberValueDatatype="130" unbalanced="0"/>
    <cacheHierarchy uniqueName="[Table2].[4]" caption="4" attribute="1" defaultMemberUniqueName="[Table2].[4].[All]" allUniqueName="[Table2].[4].[All]" dimensionUniqueName="[Table2]" displayFolder="" count="2" memberValueDatatype="130" unbalanced="0">
      <fieldsUsage count="2">
        <fieldUsage x="-1"/>
        <fieldUsage x="0"/>
      </fieldsUsage>
    </cacheHierarchy>
    <cacheHierarchy uniqueName="[Table2].[VAT]" caption="VAT" attribute="1" defaultMemberUniqueName="[Table2].[VAT].[All]" allUniqueName="[Table2].[VAT].[All]" dimensionUniqueName="[Table2]" displayFolder="" count="0" memberValueDatatype="5" unbalanced="0"/>
    <cacheHierarchy uniqueName="[Table2].[6]" caption="6" attribute="1" defaultMemberUniqueName="[Table2].[6].[All]" allUniqueName="[Table2].[6].[All]" dimensionUniqueName="[Table2]" displayFolder="" count="0" memberValueDatatype="5" unbalanced="0"/>
    <cacheHierarchy uniqueName="[Table2].[7]" caption="7" attribute="1" defaultMemberUniqueName="[Table2].[7].[All]" allUniqueName="[Table2].[7].[All]" dimensionUniqueName="[Table2]" displayFolder="" count="2" memberValueDatatype="130" unbalanced="0">
      <fieldsUsage count="2">
        <fieldUsage x="-1"/>
        <fieldUsage x="1"/>
      </fieldsUsage>
    </cacheHierarchy>
    <cacheHierarchy uniqueName="[Table2].[8]" caption="8" attribute="1" defaultMemberUniqueName="[Table2].[8].[All]" allUniqueName="[Table2].[8].[All]" dimensionUniqueName="[Table2]" displayFolder="" count="2" memberValueDatatype="130" unbalanced="0">
      <fieldsUsage count="2">
        <fieldUsage x="-1"/>
        <fieldUsage x="2"/>
      </fieldsUsage>
    </cacheHierarchy>
    <cacheHierarchy uniqueName="[Table2].[Column1]" caption="Column1" attribute="1" defaultMemberUniqueName="[Table2].[Column1].[All]" allUniqueName="[Table2].[Column1].[All]" dimensionUniqueName="[Table2]" displayFolder="" count="0" memberValueDatatype="130" unbalanced="0"/>
    <cacheHierarchy uniqueName="[Table2].[Column2]" caption="Column2" attribute="1" defaultMemberUniqueName="[Table2].[Column2].[All]" allUniqueName="[Table2].[Column2].[All]" dimensionUniqueName="[Table2]" displayFolder="" count="0" memberValueDatatype="130" unbalanced="0"/>
    <cacheHierarchy uniqueName="[Table2].[Column3]" caption="Column3" attribute="1" defaultMemberUniqueName="[Table2].[Column3].[All]" allUniqueName="[Table2].[Column3].[All]" dimensionUniqueName="[Table2]" displayFolder="" count="0" memberValueDatatype="130" unbalanced="0"/>
    <cacheHierarchy uniqueName="[Table2].[Column4]" caption="Column4" attribute="1" defaultMemberUniqueName="[Table2].[Column4].[All]" allUniqueName="[Table2].[Column4].[All]" dimensionUniqueName="[Table2]" displayFolder="" count="0" memberValueDatatype="130" unbalanced="0"/>
    <cacheHierarchy uniqueName="[Table2].[მრიცხველები]" caption="მრიცხველები" attribute="1" defaultMemberUniqueName="[Table2].[მრიცხველები].[All]" allUniqueName="[Table2].[მრიცხველები].[All]" dimensionUniqueName="[Table2]" displayFolder="" count="0" memberValueDatatype="20" unbalanced="0"/>
    <cacheHierarchy uniqueName="[Table2].[Column6]" caption="Column6" attribute="1" defaultMemberUniqueName="[Table2].[Column6].[All]" allUniqueName="[Table2].[Column6].[All]" dimensionUniqueName="[Table2]" displayFolder="" count="0" memberValueDatatype="130" unbalanced="0"/>
    <cacheHierarchy uniqueName="[Table2].[Column7]" caption="Column7" attribute="1" defaultMemberUniqueName="[Table2].[Column7].[All]" allUniqueName="[Table2].[Column7].[All]" dimensionUniqueName="[Table2]" displayFolder="" count="0" memberValueDatatype="130"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6]" caption="Count of 6" measure="1" displayFolder="" measureGroup="Table2" count="0" hidden="1">
      <extLst>
        <ext xmlns:x15="http://schemas.microsoft.com/office/spreadsheetml/2010/11/main" uri="{B97F6D7D-B522-45F9-BDA1-12C45D357490}">
          <x15:cacheHierarchy aggregatedColumn="6"/>
        </ext>
      </extLst>
    </cacheHierarchy>
    <cacheHierarchy uniqueName="[Measures].[Count of 7]" caption="Count of 7" measure="1" displayFolder="" measureGroup="Table2" count="0" hidden="1">
      <extLst>
        <ext xmlns:x15="http://schemas.microsoft.com/office/spreadsheetml/2010/11/main" uri="{B97F6D7D-B522-45F9-BDA1-12C45D357490}">
          <x15:cacheHierarchy aggregatedColumn="7"/>
        </ext>
      </extLst>
    </cacheHierarchy>
    <cacheHierarchy uniqueName="[Measures].[Count of 8]" caption="Count of 8" measure="1" displayFolder="" measureGroup="Table2" count="0" hidden="1">
      <extLst>
        <ext xmlns:x15="http://schemas.microsoft.com/office/spreadsheetml/2010/11/main" uri="{B97F6D7D-B522-45F9-BDA1-12C45D357490}">
          <x15:cacheHierarchy aggregatedColumn="8"/>
        </ext>
      </extLst>
    </cacheHierarchy>
    <cacheHierarchy uniqueName="[Measures].[Sum of 6]" caption="Sum of 6" measure="1" displayFolder="" measureGroup="Table2" count="0" oneField="1" hidden="1">
      <fieldsUsage count="1">
        <fieldUsage x="3"/>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5">
  <r>
    <n v="1"/>
    <n v="2"/>
    <n v="3"/>
    <n v="4"/>
    <x v="0"/>
    <n v="6"/>
    <n v="7"/>
    <n v="8"/>
    <n v="9"/>
    <n v="10"/>
    <n v="11"/>
    <n v="12"/>
    <n v="13"/>
    <n v="14"/>
    <n v="15"/>
    <n v="16"/>
    <n v="17"/>
    <n v="19"/>
    <n v="20"/>
    <n v="22"/>
    <n v="23"/>
    <n v="25"/>
    <n v="26"/>
    <n v="28"/>
    <n v="29"/>
    <n v="31"/>
    <n v="32"/>
    <n v="34"/>
    <n v="35"/>
    <n v="37"/>
    <n v="38"/>
    <n v="40"/>
    <n v="41"/>
    <n v="43"/>
    <n v="44"/>
    <n v="46"/>
    <n v="47"/>
    <n v="49"/>
    <n v="50"/>
    <n v="52"/>
    <n v="53"/>
    <n v="55"/>
    <n v="56"/>
    <n v="57"/>
    <n v="58"/>
    <n v="59"/>
    <n v="60"/>
    <n v="61"/>
    <n v="62"/>
    <n v="63"/>
    <n v="64"/>
    <n v="65"/>
    <n v="66"/>
    <n v="67"/>
    <n v="68"/>
    <n v="69"/>
    <n v="70"/>
    <n v="71"/>
    <n v="72"/>
    <n v="73"/>
    <n v="74"/>
    <n v="75"/>
    <n v="76"/>
    <n v="77"/>
    <n v="78"/>
    <n v="79"/>
    <n v="80"/>
  </r>
  <r>
    <n v="700"/>
    <s v="Квемо Картли"/>
    <s v="Болниси"/>
    <s v="ს. მუშევანის გაზიფიცირების პროექტის შედგენა."/>
    <x v="1"/>
    <n v="26113.5"/>
    <n v="2"/>
    <n v="26113.5"/>
    <m/>
    <n v="26113.5"/>
    <n v="0"/>
    <n v="0"/>
    <m/>
    <n v="0"/>
    <n v="0"/>
    <m/>
    <m/>
    <n v="0"/>
    <n v="0"/>
    <m/>
    <m/>
    <m/>
    <m/>
    <m/>
    <m/>
    <m/>
    <m/>
    <m/>
    <m/>
    <m/>
    <m/>
    <m/>
    <m/>
    <m/>
    <m/>
    <m/>
    <m/>
    <m/>
    <m/>
    <m/>
    <m/>
    <m/>
    <m/>
    <m/>
    <n v="0"/>
    <n v="0"/>
    <n v="0"/>
    <m/>
    <m/>
    <m/>
    <m/>
    <m/>
    <m/>
    <m/>
    <m/>
    <m/>
    <m/>
    <m/>
    <s v="Проектирование"/>
    <d v="2024-11-29T00:00:00"/>
    <s v="ПриПро"/>
    <s v="Сакорггаз"/>
    <d v="2024-09-03T00:00:00"/>
    <s v="СС-240903-1/0"/>
    <m/>
    <m/>
    <m/>
  </r>
  <r>
    <n v="905"/>
    <s v="Аджара"/>
    <s v="Кобулети"/>
    <s v="ს. მუხაესტატედან ს. ქაქუთამდე მიწისქვეშა გაზსადენის მშენებლობის საპროექტო სამუშაოები."/>
    <x v="2"/>
    <n v="0"/>
    <n v="2"/>
    <n v="11102"/>
    <m/>
    <m/>
    <n v="0"/>
    <n v="11102"/>
    <m/>
    <n v="0"/>
    <n v="2"/>
    <n v="0"/>
    <m/>
    <n v="11102"/>
    <n v="0"/>
    <m/>
    <m/>
    <m/>
    <m/>
    <m/>
    <m/>
    <m/>
    <m/>
    <n v="11102"/>
    <m/>
    <m/>
    <m/>
    <m/>
    <m/>
    <m/>
    <m/>
    <m/>
    <m/>
    <m/>
    <m/>
    <m/>
    <m/>
    <m/>
    <m/>
    <m/>
    <n v="0"/>
    <n v="0"/>
    <n v="0"/>
    <m/>
    <m/>
    <m/>
    <m/>
    <m/>
    <m/>
    <m/>
    <m/>
    <m/>
    <m/>
    <m/>
    <s v="Проектирование"/>
    <d v="2025-05-28T00:00:00"/>
    <s v="ПриПро"/>
    <s v="SGG"/>
    <d v="2024-08-05T00:00:00"/>
    <s v="BSG-240805-2/0 (1)"/>
    <m/>
    <s v="GGTC-ს აშენებულმა ქსელმა წნევა ვერ დაიჭირა."/>
    <s v="No"/>
  </r>
  <r>
    <n v="980"/>
    <s v="Аджара"/>
    <s v="Кобулети"/>
    <s v="ს. მუხაესტატედან ს. ქაქუთამდე მიწისქვეშა გაზსადენის სამშენებლო სამუშაოები."/>
    <x v="3"/>
    <n v="1200000"/>
    <n v="2"/>
    <n v="690000"/>
    <m/>
    <n v="151016.94"/>
    <n v="1048983.06"/>
    <n v="538983.06000000006"/>
    <m/>
    <n v="1048983.06"/>
    <n v="1"/>
    <m/>
    <m/>
    <n v="690000"/>
    <n v="74745.75"/>
    <m/>
    <m/>
    <n v="90000"/>
    <m/>
    <n v="200000"/>
    <n v="13728.81"/>
    <n v="200000"/>
    <n v="30508.47"/>
    <n v="200000"/>
    <n v="30508.47"/>
    <m/>
    <m/>
    <m/>
    <m/>
    <m/>
    <m/>
    <m/>
    <m/>
    <m/>
    <m/>
    <m/>
    <m/>
    <m/>
    <m/>
    <m/>
    <n v="0"/>
    <n v="0"/>
    <n v="0"/>
    <m/>
    <m/>
    <m/>
    <m/>
    <m/>
    <m/>
    <m/>
    <n v="76271.19"/>
    <m/>
    <m/>
    <m/>
    <s v="Реаб."/>
    <m/>
    <n v="0"/>
    <s v="SGG"/>
    <d v="2024-08-05T00:00:00"/>
    <s v="BSG-240805-2/0 (2)"/>
    <m/>
    <s v="GGTC-ს აშენებულმა ქსელმა წნევა ვერ დაიჭირა."/>
    <s v="Yes"/>
  </r>
  <r>
    <n v="1374"/>
    <s v="Имерети"/>
    <s v="Багдати"/>
    <s v="Ремонт офиса с/центра Багдади"/>
    <x v="4"/>
    <n v="69496"/>
    <m/>
    <n v="87450.58"/>
    <m/>
    <n v="87450.58"/>
    <n v="-17954.580000000002"/>
    <n v="0"/>
    <n v="0"/>
    <n v="0"/>
    <n v="0"/>
    <m/>
    <m/>
    <n v="0"/>
    <n v="0"/>
    <m/>
    <m/>
    <m/>
    <m/>
    <m/>
    <m/>
    <m/>
    <m/>
    <m/>
    <m/>
    <m/>
    <m/>
    <m/>
    <m/>
    <m/>
    <m/>
    <m/>
    <m/>
    <m/>
    <m/>
    <m/>
    <m/>
    <m/>
    <m/>
    <m/>
    <n v="0"/>
    <n v="0"/>
    <n v="0"/>
    <m/>
    <m/>
    <m/>
    <m/>
    <m/>
    <m/>
    <m/>
    <m/>
    <m/>
    <m/>
    <m/>
    <s v="Ремонт офиса"/>
    <d v="2022-12-30T00:00:00"/>
    <s v="Принят"/>
    <s v="SGG"/>
    <d v="2022-09-07T00:00:00"/>
    <s v="SGG-C-22-64"/>
    <m/>
    <m/>
    <s v="No"/>
  </r>
  <r>
    <n v="1487"/>
    <s v="Шида Картли"/>
    <s v="Гори"/>
    <s v="На ул. Размадзе, реаб. Газопр."/>
    <x v="5"/>
    <n v="65177"/>
    <m/>
    <n v="45857"/>
    <m/>
    <n v="45857"/>
    <n v="19320"/>
    <n v="0"/>
    <n v="1012"/>
    <n v="0"/>
    <n v="0"/>
    <m/>
    <s v="P.3.115"/>
    <n v="0"/>
    <n v="0"/>
    <m/>
    <m/>
    <m/>
    <m/>
    <m/>
    <m/>
    <m/>
    <m/>
    <m/>
    <m/>
    <m/>
    <m/>
    <m/>
    <m/>
    <m/>
    <m/>
    <m/>
    <m/>
    <m/>
    <m/>
    <m/>
    <m/>
    <m/>
    <m/>
    <m/>
    <n v="0"/>
    <n v="0"/>
    <n v="0"/>
    <m/>
    <m/>
    <m/>
    <m/>
    <m/>
    <m/>
    <m/>
    <m/>
    <m/>
    <m/>
    <m/>
    <s v="Реаб."/>
    <d v="2022-01-31T00:00:00"/>
    <s v="Принят"/>
    <s v="Сакорггаз"/>
    <d v="2021-10-08T00:00:00"/>
    <s v="BC-211008-1/0"/>
    <n v="120"/>
    <m/>
    <s v="Yes"/>
  </r>
  <r>
    <n v="1494"/>
    <s v="Самцхе Джавахети"/>
    <s v="Адигени"/>
    <s v="В с. Вархани реабилитация подз. Газопровода."/>
    <x v="5"/>
    <n v="6286"/>
    <m/>
    <n v="2939"/>
    <m/>
    <n v="2939"/>
    <n v="3347"/>
    <n v="0"/>
    <n v="226"/>
    <n v="0"/>
    <n v="0"/>
    <m/>
    <s v="Поручение"/>
    <n v="0"/>
    <n v="0"/>
    <m/>
    <m/>
    <m/>
    <m/>
    <m/>
    <m/>
    <m/>
    <m/>
    <m/>
    <m/>
    <m/>
    <m/>
    <m/>
    <m/>
    <m/>
    <m/>
    <m/>
    <m/>
    <m/>
    <m/>
    <m/>
    <m/>
    <m/>
    <m/>
    <m/>
    <n v="0"/>
    <n v="0"/>
    <n v="0"/>
    <m/>
    <m/>
    <m/>
    <m/>
    <m/>
    <m/>
    <m/>
    <m/>
    <m/>
    <m/>
    <m/>
    <s v="Реаб."/>
    <d v="2022-03-07T00:00:00"/>
    <s v="Принят"/>
    <s v="SGG"/>
    <d v="2021-10-19T00:00:00"/>
    <s v="BS-211019-1/0"/>
    <n v="144"/>
    <m/>
    <s v="Yes"/>
  </r>
  <r>
    <n v="1496"/>
    <s v="Кахети"/>
    <s v="Лагодехи"/>
    <s v="Питающий газопровод Цнори-Лагодехи, по направлению Лагодехи"/>
    <x v="6"/>
    <n v="1251034"/>
    <m/>
    <n v="1251034"/>
    <m/>
    <n v="1251034"/>
    <n v="0"/>
    <n v="0"/>
    <n v="11377"/>
    <n v="0"/>
    <n v="0"/>
    <n v="0"/>
    <s v="P.2.6"/>
    <n v="0"/>
    <n v="0"/>
    <m/>
    <m/>
    <m/>
    <m/>
    <m/>
    <m/>
    <m/>
    <m/>
    <m/>
    <m/>
    <m/>
    <m/>
    <m/>
    <m/>
    <m/>
    <m/>
    <m/>
    <m/>
    <m/>
    <m/>
    <m/>
    <m/>
    <m/>
    <m/>
    <m/>
    <n v="0"/>
    <n v="0"/>
    <n v="0"/>
    <m/>
    <m/>
    <m/>
    <m/>
    <m/>
    <m/>
    <m/>
    <m/>
    <m/>
    <m/>
    <m/>
    <s v="Н. Стр."/>
    <d v="2022-02-28T00:00:00"/>
    <s v="Принят"/>
    <s v="SGG"/>
    <d v="2022-02-28T00:00:00"/>
    <s v="BS-211018-1/1"/>
    <n v="1511"/>
    <m/>
    <s v="Yes"/>
  </r>
  <r>
    <n v="1619"/>
    <s v="Имерети"/>
    <s v="Самтредия"/>
    <s v="1.1.10. Строительство питающего газопровода Самтредиа - Хони. (P.6.115)"/>
    <x v="4"/>
    <n v="3286000"/>
    <m/>
    <n v="3523977.93"/>
    <m/>
    <n v="3523977.9299999997"/>
    <n v="-237977.9299999997"/>
    <n v="0"/>
    <n v="14407"/>
    <n v="4.6566128730773926E-10"/>
    <n v="0"/>
    <m/>
    <s v="P.6.115"/>
    <n v="0"/>
    <n v="0"/>
    <m/>
    <m/>
    <m/>
    <m/>
    <m/>
    <m/>
    <m/>
    <m/>
    <m/>
    <m/>
    <m/>
    <m/>
    <m/>
    <m/>
    <m/>
    <m/>
    <m/>
    <m/>
    <m/>
    <m/>
    <m/>
    <m/>
    <m/>
    <m/>
    <m/>
    <n v="2762711.86"/>
    <n v="247979.81"/>
    <n v="256238.06411362716"/>
    <m/>
    <m/>
    <m/>
    <m/>
    <m/>
    <m/>
    <m/>
    <m/>
    <m/>
    <m/>
    <m/>
    <s v="Реаб."/>
    <d v="2022-12-30T00:00:00"/>
    <s v="Принят"/>
    <s v="Сакорггаз"/>
    <d v="2022-03-21T00:00:00"/>
    <s v="BCP-220321-1/2(1.1.10)"/>
    <m/>
    <s v="GGG"/>
    <m/>
  </r>
  <r>
    <n v="1610"/>
    <s v="Имерети"/>
    <s v="Вани"/>
    <s v="1.1.1. В г. Вани, строительство газопровода от улицы Соломона II до центра с . Сулори. (P.6.121)"/>
    <x v="4"/>
    <n v="1203300"/>
    <m/>
    <n v="1876237.45"/>
    <m/>
    <n v="1876237.45"/>
    <n v="-672937.45"/>
    <n v="0"/>
    <n v="10540"/>
    <n v="0"/>
    <n v="0"/>
    <m/>
    <s v="P.6.121"/>
    <n v="0"/>
    <n v="0"/>
    <m/>
    <m/>
    <m/>
    <m/>
    <m/>
    <m/>
    <m/>
    <m/>
    <m/>
    <m/>
    <m/>
    <m/>
    <m/>
    <m/>
    <m/>
    <m/>
    <m/>
    <m/>
    <m/>
    <m/>
    <m/>
    <m/>
    <m/>
    <m/>
    <m/>
    <n v="1228813.56"/>
    <n v="110836.44"/>
    <n v="146418.53976881359"/>
    <m/>
    <m/>
    <m/>
    <m/>
    <m/>
    <m/>
    <m/>
    <m/>
    <m/>
    <m/>
    <m/>
    <s v="Реаб."/>
    <d v="2022-12-30T00:00:00"/>
    <s v="Принят"/>
    <s v="Сакорггаз"/>
    <d v="2022-03-21T00:00:00"/>
    <s v="BCP-220321-1/2(1.1.1)"/>
    <m/>
    <m/>
    <m/>
  </r>
  <r>
    <n v="1620"/>
    <s v="Имерети"/>
    <s v="Самтредия"/>
    <s v="1.1.11. В с. Патара Джихайши, строительство питающего газопровода. (P.6.101)"/>
    <x v="4"/>
    <n v="1185000"/>
    <m/>
    <n v="1333360.3199999998"/>
    <m/>
    <n v="1333360.3199999998"/>
    <n v="-148360.31999999983"/>
    <n v="0"/>
    <n v="5393"/>
    <n v="0"/>
    <n v="0"/>
    <m/>
    <s v="P.6.101"/>
    <n v="0"/>
    <n v="0"/>
    <m/>
    <m/>
    <m/>
    <m/>
    <m/>
    <m/>
    <m/>
    <m/>
    <m/>
    <m/>
    <m/>
    <m/>
    <m/>
    <m/>
    <m/>
    <m/>
    <m/>
    <m/>
    <m/>
    <m/>
    <m/>
    <m/>
    <m/>
    <m/>
    <m/>
    <n v="544067.80000000005"/>
    <n v="32964.550000000003"/>
    <n v="102750.05703213561"/>
    <m/>
    <m/>
    <m/>
    <m/>
    <m/>
    <m/>
    <m/>
    <m/>
    <m/>
    <m/>
    <m/>
    <s v="Реаб."/>
    <d v="2022-12-30T00:00:00"/>
    <s v="Принят"/>
    <s v="Сакорггаз"/>
    <d v="2022-03-21T00:00:00"/>
    <s v="BCP-220321-1/2(1.1.11)"/>
    <m/>
    <m/>
    <m/>
  </r>
  <r>
    <n v="1505"/>
    <s v="Кахети"/>
    <s v="Ахмета"/>
    <s v="Часть (30м) ул. Руставели (I этап)"/>
    <x v="7"/>
    <n v="5313"/>
    <m/>
    <n v="3751"/>
    <m/>
    <n v="3751"/>
    <n v="1562"/>
    <n v="0"/>
    <n v="13"/>
    <n v="0"/>
    <n v="0"/>
    <m/>
    <s v="P.2.94"/>
    <n v="0"/>
    <n v="0"/>
    <m/>
    <m/>
    <m/>
    <m/>
    <m/>
    <m/>
    <m/>
    <m/>
    <m/>
    <m/>
    <m/>
    <m/>
    <m/>
    <m/>
    <m/>
    <m/>
    <m/>
    <m/>
    <m/>
    <m/>
    <m/>
    <m/>
    <m/>
    <m/>
    <m/>
    <n v="0"/>
    <n v="0"/>
    <n v="0"/>
    <m/>
    <m/>
    <m/>
    <m/>
    <m/>
    <m/>
    <m/>
    <m/>
    <m/>
    <m/>
    <m/>
    <s v="Реаб."/>
    <d v="2022-03-31T00:00:00"/>
    <s v="Принят"/>
    <s v="SGG"/>
    <d v="2021-11-11T00:00:00"/>
    <s v="BS-211111-1/0"/>
    <n v="1516"/>
    <m/>
    <s v="Yes"/>
  </r>
  <r>
    <n v="1497"/>
    <s v="Квемо Картли"/>
    <s v="Гардабани"/>
    <s v="Реаб. в селе Вахтангиси, Гардабанского муниципалитета включая замену и вынос счетчиков;"/>
    <x v="7"/>
    <n v="658219"/>
    <m/>
    <n v="656406"/>
    <m/>
    <n v="656406"/>
    <n v="1813"/>
    <n v="0"/>
    <n v="13346"/>
    <n v="0"/>
    <n v="0"/>
    <m/>
    <s v="обязательство перед государством"/>
    <n v="0"/>
    <n v="0"/>
    <m/>
    <m/>
    <m/>
    <m/>
    <m/>
    <m/>
    <m/>
    <m/>
    <m/>
    <m/>
    <m/>
    <m/>
    <m/>
    <m/>
    <m/>
    <m/>
    <m/>
    <m/>
    <m/>
    <m/>
    <m/>
    <m/>
    <m/>
    <m/>
    <m/>
    <n v="0"/>
    <n v="0"/>
    <n v="52098.610454237292"/>
    <m/>
    <m/>
    <m/>
    <m/>
    <m/>
    <m/>
    <m/>
    <m/>
    <m/>
    <m/>
    <m/>
    <s v="Реаб."/>
    <d v="2022-05-31T00:00:00"/>
    <s v="Принят"/>
    <s v="SGG"/>
    <d v="2021-08-15T00:00:00"/>
    <s v="BS-210815-1/0"/>
    <n v="1505"/>
    <m/>
    <s v="Yes"/>
  </r>
  <r>
    <n v="1616"/>
    <s v="Имерети"/>
    <s v="Терджола"/>
    <s v="1.1.7. В г. Тержола, поселке Метлахис Кархана, реабилитация питающего газопровода. (проектирование и строительство). (P.6.135)"/>
    <x v="4"/>
    <n v="610000"/>
    <m/>
    <n v="605185.43999999994"/>
    <m/>
    <n v="605185.43999999994"/>
    <n v="4814.5600000000559"/>
    <n v="0"/>
    <n v="4354"/>
    <n v="0"/>
    <n v="0"/>
    <m/>
    <s v="P.6.135"/>
    <n v="0"/>
    <n v="0"/>
    <m/>
    <m/>
    <m/>
    <m/>
    <m/>
    <m/>
    <m/>
    <m/>
    <m/>
    <m/>
    <m/>
    <m/>
    <m/>
    <m/>
    <m/>
    <m/>
    <m/>
    <m/>
    <m/>
    <m/>
    <m/>
    <m/>
    <m/>
    <m/>
    <m/>
    <n v="466101.69"/>
    <n v="43787.44"/>
    <n v="46424.009342915255"/>
    <m/>
    <m/>
    <m/>
    <m/>
    <m/>
    <m/>
    <m/>
    <m/>
    <m/>
    <m/>
    <m/>
    <s v="Реаб."/>
    <d v="2022-12-30T00:00:00"/>
    <s v="Принят"/>
    <s v="Сакорггаз"/>
    <d v="2022-03-21T00:00:00"/>
    <s v="BCP-220321-1/2(1.1.7)"/>
    <m/>
    <m/>
    <m/>
  </r>
  <r>
    <n v="1509"/>
    <s v="Квемо Картли"/>
    <s v="Рустави"/>
    <s v="Вынос счетчиков на ул. Тбилиси №22, №3 I-го прохода Мегоброба, ул. Руставели №16 и ул. Батуми №17"/>
    <x v="7"/>
    <n v="22886"/>
    <m/>
    <n v="22751"/>
    <m/>
    <n v="22751"/>
    <n v="135"/>
    <n v="0"/>
    <n v="448.5"/>
    <n v="0"/>
    <n v="0"/>
    <m/>
    <s v="P.2.72 (1 и 2) Поручение"/>
    <n v="0"/>
    <n v="0"/>
    <m/>
    <m/>
    <m/>
    <m/>
    <m/>
    <m/>
    <m/>
    <m/>
    <m/>
    <m/>
    <m/>
    <m/>
    <m/>
    <m/>
    <m/>
    <m/>
    <m/>
    <m/>
    <m/>
    <m/>
    <m/>
    <m/>
    <m/>
    <m/>
    <m/>
    <n v="0"/>
    <n v="0"/>
    <n v="0"/>
    <m/>
    <m/>
    <m/>
    <m/>
    <m/>
    <m/>
    <m/>
    <m/>
    <m/>
    <m/>
    <m/>
    <s v="Реаб."/>
    <d v="2022-03-31T00:00:00"/>
    <s v="Принят"/>
    <s v="Сакорггаз"/>
    <d v="2021-12-03T00:00:00"/>
    <s v="BC-211203-1/0"/>
    <n v="155"/>
    <m/>
    <s v="Yes"/>
  </r>
  <r>
    <n v="1513"/>
    <s v="Самцхе Джавахети"/>
    <s v="Адигени"/>
    <s v="в Абастумани, строит. сети вместе с Фондом Муниц. Развития (I этап 1.6 км.)"/>
    <x v="8"/>
    <n v="66692.039999999994"/>
    <m/>
    <n v="66692.039999999994"/>
    <m/>
    <n v="66692.040000000008"/>
    <n v="0"/>
    <n v="0"/>
    <n v="1604"/>
    <n v="-1.4551915228366852E-11"/>
    <n v="0"/>
    <m/>
    <s v="P.3.231"/>
    <n v="0"/>
    <n v="0"/>
    <m/>
    <m/>
    <m/>
    <m/>
    <m/>
    <m/>
    <m/>
    <m/>
    <m/>
    <m/>
    <m/>
    <m/>
    <m/>
    <m/>
    <m/>
    <m/>
    <m/>
    <m/>
    <m/>
    <m/>
    <m/>
    <m/>
    <m/>
    <m/>
    <m/>
    <n v="0"/>
    <n v="0"/>
    <n v="0"/>
    <m/>
    <m/>
    <m/>
    <m/>
    <m/>
    <m/>
    <m/>
    <m/>
    <m/>
    <m/>
    <m/>
    <s v="Н. Стр."/>
    <d v="2022-04-04T00:00:00"/>
    <s v="Принят"/>
    <s v="SGG"/>
    <d v="2021-11-08T00:00:00"/>
    <s v="BSP-211108-1/0"/>
    <s v="Бюро Экспертизы Самхараули"/>
    <m/>
    <s v="No"/>
  </r>
  <r>
    <n v="1514"/>
    <s v="Гурия"/>
    <s v="Чохатаури"/>
    <s v="Реаб. Газопр. На ул. Думбадзе"/>
    <x v="2"/>
    <n v="1426.25"/>
    <m/>
    <n v="1426.25"/>
    <m/>
    <n v="1426.25"/>
    <n v="0"/>
    <n v="0"/>
    <m/>
    <n v="0"/>
    <n v="0"/>
    <m/>
    <s v="Поручение"/>
    <n v="0"/>
    <n v="0"/>
    <m/>
    <m/>
    <m/>
    <m/>
    <m/>
    <m/>
    <m/>
    <m/>
    <m/>
    <m/>
    <m/>
    <m/>
    <m/>
    <m/>
    <m/>
    <m/>
    <m/>
    <m/>
    <m/>
    <m/>
    <m/>
    <m/>
    <m/>
    <m/>
    <m/>
    <n v="0"/>
    <n v="0"/>
    <n v="0"/>
    <m/>
    <m/>
    <m/>
    <m/>
    <m/>
    <m/>
    <m/>
    <m/>
    <m/>
    <m/>
    <m/>
    <s v="Проектирование"/>
    <d v="2022-03-01T00:00:00"/>
    <s v="ПриПро"/>
    <s v="SGG"/>
    <d v="2022-02-15T00:00:00"/>
    <s v="CS-220215-1/0"/>
    <m/>
    <m/>
    <m/>
  </r>
  <r>
    <n v="1515"/>
    <s v="Гурия"/>
    <s v="Чохатаури"/>
    <s v="Реаб. Газопр. На ул. Думбадзе"/>
    <x v="3"/>
    <n v="47083"/>
    <m/>
    <n v="42187"/>
    <m/>
    <n v="42186.999999999956"/>
    <n v="4896.0000000000437"/>
    <n v="0"/>
    <n v="813.8"/>
    <n v="4.3655745685100555E-11"/>
    <n v="0"/>
    <m/>
    <s v="Поручение"/>
    <n v="0"/>
    <n v="0"/>
    <m/>
    <m/>
    <m/>
    <m/>
    <m/>
    <m/>
    <m/>
    <m/>
    <m/>
    <m/>
    <m/>
    <m/>
    <m/>
    <m/>
    <m/>
    <m/>
    <m/>
    <m/>
    <m/>
    <m/>
    <m/>
    <m/>
    <m/>
    <m/>
    <m/>
    <n v="0"/>
    <n v="0"/>
    <n v="0"/>
    <m/>
    <m/>
    <m/>
    <m/>
    <m/>
    <m/>
    <m/>
    <m/>
    <m/>
    <m/>
    <m/>
    <s v="Реаб."/>
    <d v="2022-04-30T00:00:00"/>
    <s v="Принят"/>
    <s v="SGG"/>
    <d v="2022-03-01T00:00:00"/>
    <s v="BS-220301-1/0"/>
    <s v="001-22"/>
    <m/>
    <s v="Yes"/>
  </r>
  <r>
    <n v="1516"/>
    <s v="Имерети"/>
    <s v="Чиатура"/>
    <s v="Реаб. Газопр. в с. Дарквети. d-40 mm (из за оползни)"/>
    <x v="9"/>
    <n v="549.5"/>
    <m/>
    <n v="549.5"/>
    <m/>
    <n v="549.5"/>
    <n v="0"/>
    <n v="0"/>
    <m/>
    <n v="0"/>
    <n v="0"/>
    <m/>
    <s v="Поручение"/>
    <n v="0"/>
    <n v="0"/>
    <m/>
    <m/>
    <m/>
    <m/>
    <m/>
    <m/>
    <m/>
    <m/>
    <m/>
    <m/>
    <m/>
    <m/>
    <m/>
    <m/>
    <m/>
    <m/>
    <m/>
    <m/>
    <m/>
    <m/>
    <m/>
    <m/>
    <m/>
    <m/>
    <m/>
    <n v="0"/>
    <n v="0"/>
    <n v="0"/>
    <m/>
    <m/>
    <m/>
    <m/>
    <m/>
    <m/>
    <m/>
    <m/>
    <m/>
    <m/>
    <m/>
    <s v="Проектирование"/>
    <d v="2022-02-28T00:00:00"/>
    <s v="ПриПро"/>
    <s v="SGG"/>
    <d v="2022-02-10T00:00:00"/>
    <s v="CS-220210-1/0"/>
    <m/>
    <m/>
    <m/>
  </r>
  <r>
    <n v="1517"/>
    <s v="Имерети"/>
    <s v="Чиатура"/>
    <s v="Реаб. Газопр. в с. Дарквети. d-40 mm (из за оползни)"/>
    <x v="4"/>
    <n v="12812"/>
    <m/>
    <n v="12801"/>
    <m/>
    <n v="12801"/>
    <n v="11"/>
    <n v="0"/>
    <n v="319"/>
    <n v="0"/>
    <n v="0"/>
    <m/>
    <s v="Поручение"/>
    <n v="0"/>
    <n v="0"/>
    <m/>
    <m/>
    <m/>
    <m/>
    <m/>
    <m/>
    <m/>
    <m/>
    <m/>
    <m/>
    <m/>
    <m/>
    <m/>
    <m/>
    <m/>
    <m/>
    <m/>
    <m/>
    <m/>
    <m/>
    <m/>
    <m/>
    <m/>
    <m/>
    <m/>
    <n v="0"/>
    <n v="0"/>
    <n v="0"/>
    <m/>
    <m/>
    <m/>
    <m/>
    <m/>
    <m/>
    <m/>
    <m/>
    <m/>
    <m/>
    <m/>
    <s v="Реаб."/>
    <d v="2022-03-31T00:00:00"/>
    <s v="Принят"/>
    <s v="SGG"/>
    <d v="2022-03-04T00:00:00"/>
    <s v="BS-220304-1/0"/>
    <s v="002-22"/>
    <m/>
    <s v="Yes"/>
  </r>
  <r>
    <n v="1518"/>
    <s v="Имерети"/>
    <s v="Кутаиси"/>
    <s v="Участ. ул. Давида Агмашенебели (от ул. Гамсахурдиа до ул. Ниношвили)"/>
    <x v="9"/>
    <n v="3024"/>
    <m/>
    <n v="3024"/>
    <m/>
    <n v="3024"/>
    <n v="0"/>
    <n v="0"/>
    <m/>
    <n v="0"/>
    <n v="0"/>
    <m/>
    <s v="Поручение"/>
    <n v="0"/>
    <n v="0"/>
    <m/>
    <m/>
    <m/>
    <m/>
    <m/>
    <m/>
    <m/>
    <m/>
    <m/>
    <m/>
    <m/>
    <m/>
    <m/>
    <m/>
    <m/>
    <m/>
    <m/>
    <m/>
    <m/>
    <m/>
    <m/>
    <m/>
    <m/>
    <m/>
    <m/>
    <n v="0"/>
    <n v="0"/>
    <n v="0"/>
    <m/>
    <m/>
    <m/>
    <m/>
    <m/>
    <m/>
    <m/>
    <m/>
    <m/>
    <m/>
    <m/>
    <s v="Проектирование"/>
    <d v="2022-03-07T00:00:00"/>
    <s v="ПриПро"/>
    <s v="Сакорггаз"/>
    <d v="2022-02-28T00:00:00"/>
    <s v="CC-220228-1/0"/>
    <m/>
    <m/>
    <m/>
  </r>
  <r>
    <n v="1519"/>
    <s v="Имерети"/>
    <s v="Кутаиси"/>
    <s v="Участ. ул. Давида Агмашенебели (от ул. Гамсахурдиа до ул. Ниношвили)"/>
    <x v="4"/>
    <n v="306010"/>
    <s v="ამოსაღებია მცირე ეტაპები (გადასვლები) გაკეთდა ექსპლუატაციით."/>
    <m/>
    <m/>
    <m/>
    <n v="306010"/>
    <n v="0"/>
    <n v="1728"/>
    <n v="306010"/>
    <s v="XO"/>
    <m/>
    <s v="Поручение"/>
    <n v="0"/>
    <n v="0"/>
    <m/>
    <m/>
    <m/>
    <m/>
    <m/>
    <m/>
    <m/>
    <m/>
    <m/>
    <m/>
    <m/>
    <m/>
    <m/>
    <m/>
    <m/>
    <m/>
    <m/>
    <m/>
    <m/>
    <m/>
    <m/>
    <m/>
    <m/>
    <m/>
    <m/>
    <n v="0"/>
    <n v="0"/>
    <n v="0"/>
    <m/>
    <m/>
    <m/>
    <m/>
    <m/>
    <m/>
    <m/>
    <m/>
    <m/>
    <m/>
    <m/>
    <s v="Реаб."/>
    <m/>
    <n v="0"/>
    <s v="Сакорггаз"/>
    <d v="2022-03-11T00:00:00"/>
    <s v="BC-220311-1/0"/>
    <s v="001-22"/>
    <s v="გასაუქმებელია, მცირე ეტაპები (გადასვლები) გაკეთდა ექსპლუატაციით."/>
    <s v="Yes"/>
  </r>
  <r>
    <n v="1520"/>
    <s v="Квемо Картли"/>
    <s v="Рустави"/>
    <s v="Вынос счетч. С корпусов ул. Костава №25, ул. Мегоброба №26."/>
    <x v="10"/>
    <n v="2593.5"/>
    <m/>
    <n v="2593.5"/>
    <m/>
    <n v="2593.5"/>
    <n v="0"/>
    <n v="0"/>
    <m/>
    <n v="0"/>
    <n v="0"/>
    <m/>
    <s v="P"/>
    <n v="0"/>
    <n v="0"/>
    <m/>
    <m/>
    <m/>
    <m/>
    <m/>
    <m/>
    <m/>
    <m/>
    <m/>
    <m/>
    <m/>
    <m/>
    <m/>
    <m/>
    <m/>
    <m/>
    <m/>
    <m/>
    <m/>
    <m/>
    <m/>
    <m/>
    <m/>
    <m/>
    <m/>
    <n v="0"/>
    <n v="0"/>
    <n v="0"/>
    <m/>
    <m/>
    <m/>
    <m/>
    <m/>
    <m/>
    <m/>
    <m/>
    <m/>
    <m/>
    <m/>
    <s v="Проектирование"/>
    <d v="2022-03-21T00:00:00"/>
    <s v="ПриПро"/>
    <s v="Сакорггаз"/>
    <d v="2022-02-28T00:00:00"/>
    <s v="CC-220228-2/0"/>
    <m/>
    <m/>
    <m/>
  </r>
  <r>
    <n v="1584"/>
    <s v="Квемо Картли"/>
    <s v="Рустави"/>
    <s v="1.1.7. В г. Рустави замена полиэтиленовых труб на фасадах корпусов (I и II этап). (P.2.72 (1 и 2)) (проектирование и строительство)"/>
    <x v="7"/>
    <n v="3380000"/>
    <s v="??"/>
    <n v="4601287.84"/>
    <m/>
    <n v="4601287.8344000001"/>
    <n v="-1221287.8344000001"/>
    <n v="5.59999980032444E-3"/>
    <m/>
    <n v="-1221287.8344000001"/>
    <n v="1"/>
    <m/>
    <s v="P.2.72 (1 и 2)"/>
    <n v="0"/>
    <n v="0"/>
    <m/>
    <m/>
    <m/>
    <m/>
    <m/>
    <m/>
    <m/>
    <m/>
    <m/>
    <m/>
    <m/>
    <m/>
    <m/>
    <m/>
    <m/>
    <m/>
    <m/>
    <m/>
    <m/>
    <m/>
    <m/>
    <m/>
    <m/>
    <m/>
    <m/>
    <n v="2113185.44"/>
    <n v="13852"/>
    <n v="43976.152067796618"/>
    <n v="785737.77"/>
    <m/>
    <m/>
    <m/>
    <m/>
    <m/>
    <m/>
    <m/>
    <m/>
    <m/>
    <m/>
    <s v="Корп"/>
    <m/>
    <n v="540365.09"/>
    <s v="Сакорггаз"/>
    <d v="2022-04-26T00:00:00"/>
    <s v="BCP-220426-1/2(1.1.7)"/>
    <m/>
    <s v="გასაყოფია სწორად, 2022-სა და 2023-ს შორის!"/>
    <m/>
  </r>
  <r>
    <n v="1626"/>
    <s v="Имерети"/>
    <s v="Кутаиси"/>
    <s v="1.1.17. Реабилитация газопроводов по улицам Хандзтели, Сараджишвили, Каухчишвили и Табидзе в г. Кутаиси. (P.6.303)"/>
    <x v="4"/>
    <n v="700000"/>
    <m/>
    <n v="524696.55000000005"/>
    <m/>
    <n v="524696.55000000005"/>
    <n v="175303.44999999995"/>
    <n v="0"/>
    <n v="1307"/>
    <n v="0"/>
    <n v="0"/>
    <m/>
    <s v="P.6.303"/>
    <n v="0"/>
    <n v="0"/>
    <m/>
    <m/>
    <m/>
    <m/>
    <m/>
    <m/>
    <m/>
    <m/>
    <m/>
    <m/>
    <m/>
    <m/>
    <m/>
    <m/>
    <m/>
    <m/>
    <m/>
    <m/>
    <m/>
    <m/>
    <m/>
    <m/>
    <m/>
    <m/>
    <m/>
    <n v="364406.78"/>
    <n v="26571.75"/>
    <n v="41388.877082033905"/>
    <m/>
    <m/>
    <m/>
    <m/>
    <m/>
    <m/>
    <m/>
    <m/>
    <m/>
    <m/>
    <m/>
    <s v="Реаб."/>
    <d v="2022-12-30T00:00:00"/>
    <s v="Принят"/>
    <s v="Сакорггаз"/>
    <d v="2022-03-21T00:00:00"/>
    <s v="BCP-220321-1/2(1.1.17)"/>
    <m/>
    <m/>
    <m/>
  </r>
  <r>
    <n v="1625"/>
    <s v="Имерети"/>
    <s v="Кутаиси"/>
    <s v="1.1.16. В г. Кутаиси, реабилитация газопровода на ул. Гелати. (P.6.68)"/>
    <x v="4"/>
    <n v="253000"/>
    <m/>
    <n v="519999.52"/>
    <m/>
    <n v="519999.52"/>
    <n v="-266999.52"/>
    <n v="0"/>
    <n v="2126"/>
    <n v="0"/>
    <n v="0"/>
    <m/>
    <s v="P.6.68"/>
    <n v="0"/>
    <n v="0"/>
    <m/>
    <m/>
    <m/>
    <m/>
    <m/>
    <m/>
    <m/>
    <m/>
    <m/>
    <m/>
    <m/>
    <m/>
    <m/>
    <m/>
    <m/>
    <m/>
    <m/>
    <m/>
    <m/>
    <m/>
    <m/>
    <m/>
    <m/>
    <m/>
    <m/>
    <n v="338983.05"/>
    <n v="29384.719999999998"/>
    <n v="40713.284316203404"/>
    <m/>
    <m/>
    <m/>
    <m/>
    <m/>
    <m/>
    <m/>
    <m/>
    <m/>
    <m/>
    <m/>
    <s v="Реаб."/>
    <d v="2022-12-30T00:00:00"/>
    <s v="Принят"/>
    <s v="Сакорггаз"/>
    <d v="2022-03-21T00:00:00"/>
    <s v="BCP-220321-1/2(1.1.16)"/>
    <m/>
    <m/>
    <m/>
  </r>
  <r>
    <n v="1524"/>
    <s v="Шида Картли"/>
    <s v="Каспи"/>
    <s v="ул. Костава, А. Церетели и Ширикашвили (пересечения Важа Пшавела и Цулукидзе) (I этап)"/>
    <x v="5"/>
    <n v="47622"/>
    <m/>
    <n v="47622"/>
    <m/>
    <n v="47622"/>
    <n v="0"/>
    <n v="0"/>
    <n v="1143"/>
    <n v="0"/>
    <n v="0"/>
    <m/>
    <s v="часть от P 3.49; и часть от P 3.105"/>
    <n v="0"/>
    <n v="0"/>
    <m/>
    <m/>
    <m/>
    <m/>
    <m/>
    <m/>
    <m/>
    <m/>
    <m/>
    <m/>
    <m/>
    <m/>
    <m/>
    <m/>
    <m/>
    <m/>
    <m/>
    <m/>
    <m/>
    <m/>
    <m/>
    <m/>
    <m/>
    <m/>
    <m/>
    <n v="0"/>
    <n v="0"/>
    <n v="0"/>
    <m/>
    <m/>
    <m/>
    <m/>
    <m/>
    <m/>
    <m/>
    <m/>
    <m/>
    <m/>
    <m/>
    <s v="Реаб."/>
    <d v="2022-03-31T00:00:00"/>
    <s v="Принят"/>
    <s v="Сакорггаз"/>
    <d v="2022-01-10T00:00:00"/>
    <s v="BC-220110-1/1"/>
    <n v="133"/>
    <m/>
    <s v="Yes"/>
  </r>
  <r>
    <n v="1525"/>
    <s v="Имерети"/>
    <s v="Кутаиси"/>
    <s v="ул. Джибладзе реаб. Газопр."/>
    <x v="9"/>
    <n v="633.5"/>
    <m/>
    <n v="633.5"/>
    <m/>
    <n v="633.5"/>
    <n v="0"/>
    <n v="0"/>
    <m/>
    <n v="0"/>
    <n v="0"/>
    <m/>
    <s v="Поручение"/>
    <n v="0"/>
    <n v="0"/>
    <m/>
    <m/>
    <m/>
    <m/>
    <m/>
    <m/>
    <m/>
    <m/>
    <m/>
    <m/>
    <m/>
    <m/>
    <m/>
    <m/>
    <m/>
    <m/>
    <m/>
    <m/>
    <m/>
    <m/>
    <m/>
    <m/>
    <m/>
    <m/>
    <m/>
    <n v="0"/>
    <n v="0"/>
    <n v="0"/>
    <m/>
    <m/>
    <m/>
    <m/>
    <m/>
    <m/>
    <m/>
    <m/>
    <m/>
    <m/>
    <m/>
    <s v="Проектирование"/>
    <d v="2022-03-29T00:00:00"/>
    <s v="ПриПро"/>
    <s v="Сакорггаз"/>
    <d v="2022-03-25T00:00:00"/>
    <s v="CC-220325-1/0"/>
    <m/>
    <m/>
    <m/>
  </r>
  <r>
    <n v="1526"/>
    <s v="Имерети"/>
    <s v="Кутаиси"/>
    <s v="ул. Джибладзе реаб. Газопр."/>
    <x v="4"/>
    <n v="29668"/>
    <m/>
    <n v="29579"/>
    <m/>
    <n v="29579"/>
    <n v="89"/>
    <n v="0"/>
    <n v="362"/>
    <n v="0"/>
    <n v="0"/>
    <m/>
    <s v="Поручение"/>
    <n v="0"/>
    <n v="0"/>
    <m/>
    <m/>
    <m/>
    <m/>
    <m/>
    <m/>
    <m/>
    <m/>
    <m/>
    <m/>
    <m/>
    <m/>
    <m/>
    <m/>
    <m/>
    <m/>
    <m/>
    <m/>
    <m/>
    <m/>
    <m/>
    <m/>
    <m/>
    <m/>
    <m/>
    <n v="0"/>
    <n v="0"/>
    <n v="0"/>
    <m/>
    <m/>
    <m/>
    <m/>
    <m/>
    <m/>
    <m/>
    <m/>
    <m/>
    <m/>
    <m/>
    <s v="Реаб."/>
    <d v="2022-04-30T00:00:00"/>
    <s v="Принят"/>
    <s v="Сакорггаз"/>
    <d v="2022-03-30T00:00:00"/>
    <s v="BC-220330-1/0"/>
    <s v="005-22"/>
    <m/>
    <s v="Yes"/>
  </r>
  <r>
    <n v="1527"/>
    <s v="Шида Картли"/>
    <s v="Гори"/>
    <s v="1.11 Реабилитация газопровода в селе Бербуки. (P 3.109)"/>
    <x v="5"/>
    <n v="29862"/>
    <m/>
    <n v="29442"/>
    <m/>
    <n v="29442"/>
    <n v="420"/>
    <n v="0"/>
    <n v="768"/>
    <n v="0"/>
    <n v="0"/>
    <m/>
    <s v="P 3.109"/>
    <n v="0"/>
    <n v="0"/>
    <m/>
    <m/>
    <m/>
    <m/>
    <m/>
    <m/>
    <m/>
    <m/>
    <m/>
    <m/>
    <m/>
    <m/>
    <m/>
    <m/>
    <m/>
    <m/>
    <m/>
    <m/>
    <m/>
    <m/>
    <m/>
    <m/>
    <m/>
    <m/>
    <m/>
    <n v="0"/>
    <n v="0"/>
    <n v="0"/>
    <m/>
    <m/>
    <m/>
    <m/>
    <m/>
    <m/>
    <m/>
    <m/>
    <m/>
    <m/>
    <m/>
    <s v="Реаб."/>
    <d v="2022-05-31T00:00:00"/>
    <s v="Принят"/>
    <s v="Сакорггаз"/>
    <d v="2022-04-07T00:00:00"/>
    <s v="BC-220407-1/0"/>
    <m/>
    <m/>
    <s v="Yes"/>
  </r>
  <r>
    <n v="1528"/>
    <s v="Самцхе Джавахети"/>
    <s v="Адигени"/>
    <s v="в Абастумани, строит. сети вместе с Фондом Муниц. Развития (II этап 1.8 км.) (проектирование и строительство) (P.3.231)"/>
    <x v="8"/>
    <n v="600000"/>
    <m/>
    <n v="1206050.75"/>
    <n v="1183026"/>
    <n v="1206050.75"/>
    <n v="-606050.75"/>
    <n v="0"/>
    <n v="7400"/>
    <n v="0"/>
    <n v="0"/>
    <m/>
    <s v="P.3.231"/>
    <n v="0"/>
    <n v="0"/>
    <m/>
    <m/>
    <m/>
    <m/>
    <m/>
    <m/>
    <m/>
    <m/>
    <m/>
    <m/>
    <m/>
    <m/>
    <m/>
    <m/>
    <m/>
    <m/>
    <m/>
    <m/>
    <m/>
    <m/>
    <m/>
    <m/>
    <m/>
    <m/>
    <m/>
    <n v="0"/>
    <n v="0"/>
    <n v="0"/>
    <m/>
    <m/>
    <m/>
    <n v="237398.91"/>
    <n v="13843.74"/>
    <n v="0"/>
    <n v="0"/>
    <m/>
    <m/>
    <m/>
    <m/>
    <s v="Реаб."/>
    <d v="2024-10-28T00:00:00"/>
    <s v="Принят"/>
    <s v="SGG"/>
    <d v="2022-05-02T00:00:00"/>
    <s v="BSP-220502-1/0"/>
    <m/>
    <m/>
    <s v="No"/>
  </r>
  <r>
    <n v="1529"/>
    <s v="Имерети"/>
    <s v="Багдати"/>
    <s v="1.2.1. С. Рохи (проектирование и строительство) P.6.127 (5)"/>
    <x v="8"/>
    <n v="3154968.256969959"/>
    <m/>
    <n v="3337207.99"/>
    <n v="3266945.49"/>
    <n v="3337207.99"/>
    <n v="-182239.73303004121"/>
    <n v="0"/>
    <n v="34332.589999999997"/>
    <n v="0"/>
    <n v="0"/>
    <m/>
    <s v="P.6.127 (5)"/>
    <n v="0"/>
    <n v="0"/>
    <m/>
    <m/>
    <m/>
    <m/>
    <m/>
    <m/>
    <m/>
    <m/>
    <m/>
    <m/>
    <m/>
    <m/>
    <m/>
    <m/>
    <m/>
    <m/>
    <m/>
    <m/>
    <m/>
    <m/>
    <m/>
    <m/>
    <m/>
    <m/>
    <m/>
    <n v="1745762.7080000001"/>
    <n v="172056.88"/>
    <n v="0"/>
    <n v="152542.37"/>
    <n v="18980.03"/>
    <m/>
    <m/>
    <m/>
    <m/>
    <m/>
    <m/>
    <m/>
    <n v="2419436.3004820701"/>
    <d v="2022-12-30T00:00:00"/>
    <s v="Реаб."/>
    <d v="2023-11-29T00:00:00"/>
    <s v="Принят"/>
    <s v="Сакорггаз"/>
    <d v="2022-03-28T00:00:00"/>
    <s v="BCP-220328-1/2(1.2.1)"/>
    <m/>
    <s v="6 სოფელია მოქცეული ერთ p-ში."/>
    <s v="No"/>
  </r>
  <r>
    <n v="1530"/>
    <s v="Имерети"/>
    <s v="Вани"/>
    <s v="1.2.2 С. Зеиндари (проектирование и строительство) P.6.127 (5)"/>
    <x v="8"/>
    <n v="1871293.003025719"/>
    <m/>
    <n v="2307007.8199999998"/>
    <n v="2265333.3199999998"/>
    <n v="2307007.8190000001"/>
    <n v="-435714.81597428117"/>
    <n v="9.9999969825148582E-4"/>
    <n v="23814"/>
    <n v="9.9999969825148582E-4"/>
    <n v="0"/>
    <m/>
    <s v="P.6.127 (5)"/>
    <n v="0"/>
    <n v="0"/>
    <m/>
    <m/>
    <m/>
    <m/>
    <m/>
    <m/>
    <m/>
    <m/>
    <m/>
    <m/>
    <m/>
    <m/>
    <m/>
    <m/>
    <m/>
    <m/>
    <m/>
    <m/>
    <m/>
    <m/>
    <m/>
    <m/>
    <m/>
    <m/>
    <m/>
    <n v="1381355.93"/>
    <n v="135451.47"/>
    <n v="0"/>
    <n v="0"/>
    <n v="0"/>
    <m/>
    <m/>
    <m/>
    <m/>
    <m/>
    <m/>
    <m/>
    <n v="1557235.7342740099"/>
    <d v="2022-12-30T00:00:00"/>
    <s v="Реаб."/>
    <d v="2023-11-29T00:00:00"/>
    <s v="Принят"/>
    <s v="Сакорггаз"/>
    <d v="2022-03-28T00:00:00"/>
    <s v="BCP-220328-1/2(1.2.2)"/>
    <m/>
    <s v="6 სოფელია მოქცეული ერთ p-ში."/>
    <s v="No"/>
  </r>
  <r>
    <n v="1531"/>
    <s v="Имерети"/>
    <s v="Вани"/>
    <s v="1.2.3 С. Шуагора (проектирование и строительство) P.6.127 (5)"/>
    <x v="8"/>
    <n v="1180500.32688567"/>
    <n v="2"/>
    <n v="1525314.95"/>
    <n v="1499024.7"/>
    <n v="1525314.95"/>
    <n v="-344814.62311433"/>
    <n v="0"/>
    <n v="14170"/>
    <n v="0"/>
    <n v="0"/>
    <m/>
    <s v="P.6.127 (5)"/>
    <n v="0"/>
    <n v="0"/>
    <m/>
    <m/>
    <m/>
    <m/>
    <m/>
    <m/>
    <m/>
    <m/>
    <m/>
    <m/>
    <m/>
    <m/>
    <m/>
    <m/>
    <m/>
    <m/>
    <m/>
    <m/>
    <m/>
    <m/>
    <m/>
    <m/>
    <m/>
    <m/>
    <m/>
    <n v="1194915.25"/>
    <n v="97098.09"/>
    <n v="0"/>
    <n v="0"/>
    <n v="0"/>
    <m/>
    <m/>
    <m/>
    <n v="0"/>
    <n v="0"/>
    <m/>
    <m/>
    <n v="1075564.9636097399"/>
    <d v="2022-12-30T00:00:00"/>
    <s v="Реаб."/>
    <d v="2024-02-29T00:00:00"/>
    <s v="Принят"/>
    <s v="Сакорггаз"/>
    <d v="2022-03-28T00:00:00"/>
    <s v="BCP-220328-1/2(1.2.3)"/>
    <m/>
    <s v="6 სოფელია მოქცეული ერთ p-ში."/>
    <s v="No"/>
  </r>
  <r>
    <n v="1532"/>
    <s v="Имерети"/>
    <s v="Вани"/>
    <s v="1.2.4 и 1.2.5 с. Гора и с. Зедагора (проектирование и строительство) P.6.127 (5)"/>
    <x v="8"/>
    <n v="1493011.13032202"/>
    <n v="2"/>
    <n v="2053313.25"/>
    <n v="2014024"/>
    <n v="2053313.26"/>
    <n v="-560302.12967797997"/>
    <n v="-1.0000000009313226E-2"/>
    <n v="22089"/>
    <n v="-1.0000000009313226E-2"/>
    <n v="0"/>
    <m/>
    <s v="P.6.127 (5)"/>
    <n v="0"/>
    <n v="0"/>
    <m/>
    <m/>
    <m/>
    <m/>
    <m/>
    <m/>
    <m/>
    <m/>
    <m/>
    <m/>
    <m/>
    <m/>
    <m/>
    <m/>
    <m/>
    <m/>
    <m/>
    <m/>
    <m/>
    <m/>
    <m/>
    <m/>
    <m/>
    <m/>
    <m/>
    <n v="1480508.48"/>
    <n v="130958.33"/>
    <n v="0"/>
    <m/>
    <m/>
    <m/>
    <m/>
    <m/>
    <n v="0"/>
    <n v="0"/>
    <m/>
    <m/>
    <n v="1030156.76303532"/>
    <d v="2022-12-30T00:00:00"/>
    <s v="Реаб."/>
    <d v="2024-10-11T00:00:00"/>
    <s v="Принят"/>
    <s v="Сакорггаз"/>
    <d v="2022-03-28T00:00:00"/>
    <s v="BCP-220328-1/2(1.2.4 и 1.2.5)"/>
    <m/>
    <s v="6 სოფელია მოქცეული ერთ p-ში."/>
    <s v="No"/>
  </r>
  <r>
    <n v="1533"/>
    <s v="Имерети"/>
    <s v="Вани"/>
    <s v="1.2.5 С. Зедагора (проектирование и строительство) P.6.127 (5)"/>
    <x v="8"/>
    <n v="134371.00172898205"/>
    <s v="ამოსაღებია, ჩაბარდა გორასთან ერთად"/>
    <n v="0"/>
    <n v="0"/>
    <n v="0"/>
    <n v="134371.00172898205"/>
    <n v="0"/>
    <n v="1710"/>
    <n v="134371.00172898205"/>
    <s v="X"/>
    <m/>
    <s v="P.6.127 (5)"/>
    <n v="0"/>
    <n v="0"/>
    <m/>
    <m/>
    <m/>
    <m/>
    <m/>
    <m/>
    <m/>
    <m/>
    <m/>
    <m/>
    <m/>
    <m/>
    <m/>
    <m/>
    <m/>
    <m/>
    <m/>
    <m/>
    <m/>
    <m/>
    <m/>
    <m/>
    <m/>
    <m/>
    <m/>
    <n v="0"/>
    <n v="0"/>
    <n v="0"/>
    <m/>
    <m/>
    <m/>
    <m/>
    <m/>
    <m/>
    <m/>
    <m/>
    <m/>
    <m/>
    <m/>
    <s v="Реаб."/>
    <m/>
    <n v="0"/>
    <s v="Сакорггаз"/>
    <d v="2022-03-28T00:00:00"/>
    <s v="BCP-220328-1/2(1.2.5)"/>
    <m/>
    <s v="6 სოფელია მოქცეული ერთ p-ში."/>
    <s v="No"/>
  </r>
  <r>
    <n v="1534"/>
    <s v="Имерети"/>
    <s v="Вани"/>
    <s v="1.2.6 С. Перета (проектирование и строительство) P.6.127 (5)"/>
    <x v="8"/>
    <n v="891956.28106764646"/>
    <n v="2"/>
    <n v="1055166.25"/>
    <n v="1035302"/>
    <n v="1055166.25"/>
    <n v="-163209.96893235354"/>
    <n v="0"/>
    <n v="9970.2000000000007"/>
    <n v="0"/>
    <n v="0"/>
    <m/>
    <s v="P.6.127 (5)"/>
    <n v="0"/>
    <n v="0"/>
    <m/>
    <m/>
    <m/>
    <m/>
    <m/>
    <m/>
    <m/>
    <m/>
    <m/>
    <m/>
    <m/>
    <m/>
    <m/>
    <m/>
    <m/>
    <m/>
    <m/>
    <m/>
    <m/>
    <m/>
    <m/>
    <m/>
    <m/>
    <m/>
    <m/>
    <n v="593220.34"/>
    <n v="56943.35"/>
    <n v="0"/>
    <m/>
    <m/>
    <m/>
    <m/>
    <m/>
    <n v="0"/>
    <n v="0"/>
    <m/>
    <m/>
    <n v="448527.73758930201"/>
    <d v="2022-12-30T00:00:00"/>
    <s v="Реаб."/>
    <d v="2024-05-22T00:00:00"/>
    <s v="Принят"/>
    <s v="Сакорггаз"/>
    <d v="2022-03-28T00:00:00"/>
    <s v="BCP-220328-1/2(1.2.6)"/>
    <m/>
    <s v="6 სოფელია მოქცეული ერთ p-ში."/>
    <s v="No"/>
  </r>
  <r>
    <n v="1535"/>
    <s v="Рача"/>
    <s v="Терджола"/>
    <s v="1.2.1 Участок Муджирети-Мухура (проектирование и строительство) (P.6.144)"/>
    <x v="8"/>
    <n v="1540000"/>
    <m/>
    <n v="3702893.2199999997"/>
    <m/>
    <n v="3702893.23"/>
    <n v="-2162893.23"/>
    <n v="-1.0000000242143869E-2"/>
    <n v="7200"/>
    <n v="-1.0000000242143869E-2"/>
    <n v="0"/>
    <m/>
    <s v="P.6.144"/>
    <n v="0"/>
    <n v="0"/>
    <m/>
    <m/>
    <m/>
    <m/>
    <m/>
    <m/>
    <m/>
    <m/>
    <m/>
    <m/>
    <m/>
    <m/>
    <m/>
    <m/>
    <m/>
    <m/>
    <m/>
    <m/>
    <m/>
    <m/>
    <m/>
    <m/>
    <m/>
    <m/>
    <m/>
    <n v="2796610.17"/>
    <n v="217296.26"/>
    <n v="0"/>
    <n v="330825.19"/>
    <n v="0"/>
    <m/>
    <m/>
    <m/>
    <m/>
    <m/>
    <m/>
    <m/>
    <n v="2678697.9300000002"/>
    <d v="2022-12-30T00:00:00"/>
    <s v="Реаб."/>
    <d v="2023-04-24T00:00:00"/>
    <s v="Принят"/>
    <s v="Сакорггаз"/>
    <d v="2022-03-28T00:00:00"/>
    <s v="BCP-220328-2/2(1.2.1)"/>
    <m/>
    <m/>
    <s v="No"/>
  </r>
  <r>
    <n v="1536"/>
    <s v="Рача"/>
    <s v="Амбролаури"/>
    <s v="(1.2.2 и 1.2.3) Участок Мухура-Хотеви-Амбролаури (проектные работы) P.6.144 (1) + P.6.140"/>
    <x v="11"/>
    <n v="85000"/>
    <m/>
    <n v="62482"/>
    <m/>
    <n v="62482"/>
    <n v="22518"/>
    <n v="0"/>
    <m/>
    <n v="0"/>
    <n v="0"/>
    <m/>
    <s v="P.6.144 (1) + P.6.140"/>
    <n v="0"/>
    <n v="0"/>
    <m/>
    <m/>
    <m/>
    <m/>
    <m/>
    <m/>
    <m/>
    <m/>
    <m/>
    <m/>
    <m/>
    <m/>
    <m/>
    <m/>
    <m/>
    <m/>
    <m/>
    <m/>
    <m/>
    <m/>
    <m/>
    <m/>
    <m/>
    <m/>
    <m/>
    <n v="0"/>
    <n v="0"/>
    <n v="0"/>
    <m/>
    <m/>
    <m/>
    <m/>
    <m/>
    <m/>
    <m/>
    <m/>
    <m/>
    <m/>
    <m/>
    <s v="Проектирование"/>
    <d v="2022-12-27T00:00:00"/>
    <s v="ПриПро"/>
    <s v="Сакорггаз"/>
    <d v="2022-03-28T00:00:00"/>
    <s v="BCP-220328-2/2(1.2.2)(1.2.3)"/>
    <m/>
    <m/>
    <m/>
  </r>
  <r>
    <n v="1538"/>
    <s v="Мцхета-Мтианети"/>
    <s v="Мцхета"/>
    <s v="1.1.1. Ребилитационные работы питающего газопровода сёл Мухатцкаро-Цодорети Мцхетского муниципалитета. (P.3.153)"/>
    <x v="5"/>
    <n v="432000"/>
    <m/>
    <n v="795672.53"/>
    <m/>
    <n v="795672.48"/>
    <n v="-363672.48"/>
    <n v="5.0000000046566129E-2"/>
    <n v="6709"/>
    <n v="5.0000000046566129E-2"/>
    <n v="0"/>
    <m/>
    <s v="P.3.153"/>
    <n v="0"/>
    <n v="0"/>
    <m/>
    <m/>
    <m/>
    <m/>
    <m/>
    <m/>
    <m/>
    <m/>
    <m/>
    <m/>
    <m/>
    <m/>
    <m/>
    <m/>
    <m/>
    <m/>
    <m/>
    <m/>
    <m/>
    <m/>
    <m/>
    <m/>
    <m/>
    <m/>
    <m/>
    <n v="610169.43999999994"/>
    <n v="31202.23"/>
    <n v="0"/>
    <n v="63976.72"/>
    <n v="8123.29"/>
    <n v="63497.323423728812"/>
    <m/>
    <m/>
    <m/>
    <m/>
    <m/>
    <m/>
    <m/>
    <m/>
    <s v="Реаб."/>
    <d v="2023-05-23T00:00:00"/>
    <s v="Принят"/>
    <s v="SGG"/>
    <d v="2022-04-05T00:00:00"/>
    <s v="BSP-220405-1/2(1.1.1)"/>
    <m/>
    <s v="ალბათ ჯობია სრულად 2023-ში გადმოტანა, მიუხედავად იმისა, რომ 2022-ში შუალედურით ჩაბარდა ნაწილი. გასათვალისწინებელია, რომ იყო ფაქტორინგი!"/>
    <s v="Yes"/>
  </r>
  <r>
    <n v="1539"/>
    <s v="Мцхета-Мтианети"/>
    <s v="Мцхета"/>
    <s v="1.1.2.  Реаб. работы газопровода среднего давления В с. Сагурамо  Мцхетского муниципалитета. (P.3.239)"/>
    <x v="5"/>
    <n v="70000"/>
    <m/>
    <n v="60010.52"/>
    <m/>
    <n v="60010.520000000004"/>
    <n v="9989.4799999999959"/>
    <n v="0"/>
    <n v="950"/>
    <n v="-7.2759576141834259E-12"/>
    <n v="0"/>
    <m/>
    <s v="P.3.239"/>
    <n v="0"/>
    <n v="0"/>
    <m/>
    <m/>
    <m/>
    <m/>
    <m/>
    <m/>
    <m/>
    <m/>
    <m/>
    <m/>
    <m/>
    <m/>
    <m/>
    <m/>
    <m/>
    <m/>
    <m/>
    <m/>
    <m/>
    <m/>
    <m/>
    <m/>
    <m/>
    <m/>
    <m/>
    <n v="0"/>
    <n v="0"/>
    <n v="0"/>
    <n v="0"/>
    <n v="0"/>
    <n v="5085.6372881355937"/>
    <m/>
    <m/>
    <m/>
    <m/>
    <m/>
    <m/>
    <m/>
    <m/>
    <s v="Реаб."/>
    <d v="2023-02-28T00:00:00"/>
    <s v="Принят"/>
    <s v="SGG"/>
    <d v="2022-04-05T00:00:00"/>
    <s v="BSP-220405-1/2(1.1.2)"/>
    <m/>
    <m/>
    <s v="Yes"/>
  </r>
  <r>
    <n v="1540"/>
    <s v="Мцхета-Мтианети"/>
    <s v="Мцхета"/>
    <s v="1.1.3. Реаб. работы газопрю ср. давления от с. Джигаура до  с.Битсменди,"/>
    <x v="5"/>
    <n v="35000"/>
    <m/>
    <n v="29747.43"/>
    <m/>
    <n v="29747.43"/>
    <n v="5252.57"/>
    <n v="0"/>
    <n v="510.5"/>
    <n v="0"/>
    <n v="0"/>
    <m/>
    <s v="P.3.241"/>
    <n v="0"/>
    <n v="0"/>
    <m/>
    <m/>
    <m/>
    <m/>
    <m/>
    <m/>
    <m/>
    <m/>
    <m/>
    <m/>
    <m/>
    <m/>
    <m/>
    <m/>
    <m/>
    <m/>
    <m/>
    <m/>
    <m/>
    <m/>
    <m/>
    <m/>
    <m/>
    <m/>
    <m/>
    <n v="0"/>
    <n v="0"/>
    <n v="0"/>
    <n v="0"/>
    <n v="0"/>
    <n v="2520.968644067797"/>
    <m/>
    <m/>
    <m/>
    <m/>
    <m/>
    <m/>
    <m/>
    <m/>
    <s v="Реаб."/>
    <d v="2023-02-28T00:00:00"/>
    <s v="Принят"/>
    <s v="SGG"/>
    <d v="2022-04-05T00:00:00"/>
    <s v="BSP-220405-1/2(1.1.3)"/>
    <m/>
    <m/>
    <s v="Yes"/>
  </r>
  <r>
    <n v="1541"/>
    <s v="Мцхета-Мтианети"/>
    <s v="Мцхета"/>
    <s v="1.1.4. Реаб. Газопр. ср. давления в Марнис убани с.Сагурамо"/>
    <x v="5"/>
    <n v="30000"/>
    <m/>
    <n v="49694.01"/>
    <m/>
    <n v="49694.01"/>
    <n v="-19694.010000000002"/>
    <n v="0"/>
    <n v="600"/>
    <n v="0"/>
    <n v="0"/>
    <m/>
    <s v="P.3.242"/>
    <n v="0"/>
    <n v="0"/>
    <m/>
    <m/>
    <m/>
    <m/>
    <m/>
    <m/>
    <m/>
    <m/>
    <m/>
    <m/>
    <m/>
    <m/>
    <m/>
    <m/>
    <m/>
    <m/>
    <m/>
    <m/>
    <m/>
    <m/>
    <m/>
    <m/>
    <m/>
    <m/>
    <m/>
    <n v="0"/>
    <n v="0"/>
    <n v="0"/>
    <n v="0"/>
    <n v="0"/>
    <n v="4211.3567796610178"/>
    <m/>
    <m/>
    <m/>
    <m/>
    <m/>
    <m/>
    <m/>
    <m/>
    <s v="Реаб."/>
    <d v="2023-02-28T00:00:00"/>
    <s v="Принят"/>
    <s v="SGG"/>
    <d v="2022-04-05T00:00:00"/>
    <s v="BSP-220405-1/2(1.1.4)"/>
    <m/>
    <m/>
    <s v="Yes"/>
  </r>
  <r>
    <n v="1542"/>
    <s v="Мцхета-Мтианети"/>
    <s v="Мцхета"/>
    <s v="1.1.5. Реабилитация газопровода по улице Тевзадзе (P.3.64), улица Горького (P.3.63), тупик Бараташвили (P.3.76), Цкарос Убани (P.3.75) в пос.Коджори."/>
    <x v="5"/>
    <n v="30000"/>
    <n v="2"/>
    <n v="86581.75"/>
    <n v="84081"/>
    <n v="86581.75"/>
    <n v="-56581.75"/>
    <n v="0"/>
    <n v="1428"/>
    <n v="0"/>
    <n v="0"/>
    <m/>
    <s v="P.3.64; P.3.63; P.3.76; P.3.75"/>
    <n v="0"/>
    <n v="0"/>
    <m/>
    <m/>
    <m/>
    <m/>
    <m/>
    <m/>
    <m/>
    <m/>
    <m/>
    <m/>
    <m/>
    <m/>
    <m/>
    <m/>
    <m/>
    <m/>
    <m/>
    <m/>
    <m/>
    <m/>
    <m/>
    <m/>
    <m/>
    <m/>
    <m/>
    <n v="0"/>
    <n v="0"/>
    <n v="0"/>
    <n v="0"/>
    <n v="0"/>
    <m/>
    <m/>
    <m/>
    <n v="7125.5084745762715"/>
    <n v="0"/>
    <m/>
    <m/>
    <m/>
    <m/>
    <s v="Реаб."/>
    <d v="2024-01-31T00:00:00"/>
    <s v="Принят"/>
    <s v="SGG"/>
    <d v="2022-04-05T00:00:00"/>
    <s v="BSP-220405-1/2(1.1.5)"/>
    <m/>
    <s v="დასრულდა"/>
    <s v="Yes"/>
  </r>
  <r>
    <n v="1543"/>
    <s v="Шида Картли"/>
    <s v="Карели"/>
    <s v="1.1.6. Реаб. Газопр. пос.Агара Карельского муниципалитета. (проектирование и строительство)"/>
    <x v="5"/>
    <n v="33000"/>
    <m/>
    <n v="45807.89"/>
    <m/>
    <n v="45807.89"/>
    <n v="-12807.89"/>
    <n v="0"/>
    <n v="690"/>
    <n v="0"/>
    <n v="0"/>
    <m/>
    <s v="P.3.4"/>
    <n v="0"/>
    <n v="0"/>
    <m/>
    <m/>
    <m/>
    <m/>
    <m/>
    <m/>
    <m/>
    <m/>
    <m/>
    <m/>
    <m/>
    <m/>
    <m/>
    <m/>
    <m/>
    <m/>
    <m/>
    <m/>
    <m/>
    <m/>
    <m/>
    <m/>
    <m/>
    <m/>
    <m/>
    <n v="0"/>
    <n v="0"/>
    <n v="0"/>
    <n v="0"/>
    <n v="0"/>
    <n v="3781.9186440677968"/>
    <m/>
    <m/>
    <m/>
    <m/>
    <m/>
    <m/>
    <m/>
    <m/>
    <s v="Реаб."/>
    <d v="2023-02-28T00:00:00"/>
    <s v="Принят"/>
    <s v="SGG"/>
    <d v="2022-04-05T00:00:00"/>
    <s v="BSP-220405-1/2(1.1.6)"/>
    <m/>
    <m/>
    <s v="Yes"/>
  </r>
  <r>
    <n v="1544"/>
    <s v="Шида Картли"/>
    <s v="Хашури"/>
    <s v="1.1.7. Г. Хашури, Реабилитация  газопровода на улицах Сумбаташвили (P.3.10), Св. Нино и Хетагурова (P.3.11)."/>
    <x v="5"/>
    <n v="70000"/>
    <m/>
    <n v="108334.6"/>
    <m/>
    <n v="108334.59999999999"/>
    <n v="-38334.599999999991"/>
    <n v="0"/>
    <n v="1580"/>
    <n v="1.4551915228366852E-11"/>
    <n v="0"/>
    <m/>
    <s v="P.3.10; P.3.11"/>
    <n v="0"/>
    <n v="0"/>
    <m/>
    <m/>
    <m/>
    <m/>
    <m/>
    <m/>
    <m/>
    <m/>
    <m/>
    <m/>
    <m/>
    <m/>
    <m/>
    <m/>
    <m/>
    <m/>
    <m/>
    <m/>
    <m/>
    <m/>
    <m/>
    <m/>
    <m/>
    <m/>
    <m/>
    <n v="0"/>
    <n v="0"/>
    <n v="0"/>
    <n v="91808.98"/>
    <n v="11657.23"/>
    <n v="8015.1753050847474"/>
    <m/>
    <m/>
    <m/>
    <m/>
    <m/>
    <m/>
    <m/>
    <m/>
    <s v="Реаб."/>
    <d v="2023-05-23T00:00:00"/>
    <s v="Принят"/>
    <s v="SGG"/>
    <d v="2022-04-05T00:00:00"/>
    <s v="BSP-220405-1/2(1.1.7)"/>
    <m/>
    <s v="გადმოსატანია 2023-ში, ჩასაბარებელია."/>
    <s v="Yes"/>
  </r>
  <r>
    <n v="1545"/>
    <s v="Шида Картли"/>
    <s v="Хашури"/>
    <s v="1.1.8. Г. Хашури, вынос счетчиков на Улицах Цхвирашвили и Руставели. P.3.26"/>
    <x v="5"/>
    <n v="30000"/>
    <n v="2"/>
    <n v="75583.39"/>
    <n v="73801.39"/>
    <n v="75583.39"/>
    <n v="-45583.39"/>
    <n v="0"/>
    <n v="2080.4"/>
    <n v="0"/>
    <n v="0"/>
    <m/>
    <s v="P.3.26"/>
    <n v="0"/>
    <n v="0"/>
    <m/>
    <m/>
    <m/>
    <m/>
    <m/>
    <m/>
    <m/>
    <m/>
    <m/>
    <m/>
    <m/>
    <m/>
    <m/>
    <m/>
    <m/>
    <m/>
    <m/>
    <m/>
    <m/>
    <m/>
    <m/>
    <m/>
    <m/>
    <m/>
    <m/>
    <n v="0"/>
    <n v="0"/>
    <n v="0"/>
    <m/>
    <m/>
    <m/>
    <m/>
    <m/>
    <n v="6254.3550847457627"/>
    <n v="0"/>
    <m/>
    <m/>
    <m/>
    <m/>
    <s v="Реаб."/>
    <d v="2024-02-29T00:00:00"/>
    <s v="Принят"/>
    <s v="SGG"/>
    <d v="2022-04-05T00:00:00"/>
    <s v="BSP-220405-1/2(1.1.8)"/>
    <m/>
    <s v="დასრულდა"/>
    <s v="Yes"/>
  </r>
  <r>
    <n v="1546"/>
    <s v="Шида Картли"/>
    <s v="Хашури"/>
    <s v="1.1.9. Г. Хашури, ул Хачидзе, (cанаторий «Сурами») вынос счетчиков."/>
    <x v="5"/>
    <n v="25000"/>
    <m/>
    <n v="29184.28"/>
    <m/>
    <n v="29184.28"/>
    <n v="-4184.2799999999988"/>
    <n v="0"/>
    <n v="513.5"/>
    <n v="0"/>
    <n v="0"/>
    <m/>
    <s v="P.3.235"/>
    <n v="0"/>
    <n v="0"/>
    <m/>
    <m/>
    <m/>
    <m/>
    <m/>
    <m/>
    <m/>
    <m/>
    <m/>
    <m/>
    <m/>
    <m/>
    <m/>
    <m/>
    <m/>
    <m/>
    <m/>
    <m/>
    <m/>
    <m/>
    <m/>
    <m/>
    <m/>
    <m/>
    <m/>
    <n v="0"/>
    <n v="0"/>
    <n v="0"/>
    <n v="0"/>
    <n v="0"/>
    <n v="2473.2440677966101"/>
    <m/>
    <m/>
    <m/>
    <m/>
    <m/>
    <m/>
    <m/>
    <m/>
    <s v="Реаб."/>
    <d v="2023-02-28T00:00:00"/>
    <s v="Принят"/>
    <s v="SGG"/>
    <d v="2022-04-05T00:00:00"/>
    <s v="BSP-220405-1/2(1.1.9)"/>
    <m/>
    <m/>
    <s v="Yes"/>
  </r>
  <r>
    <n v="1547"/>
    <s v="Шида Картли"/>
    <s v="Карели"/>
    <s v="1.1.10.  Окольцование газопровода с.Цвери Карельского муниципалитета. (проектирование и строительство) ( P.3.147)"/>
    <x v="5"/>
    <n v="40000"/>
    <m/>
    <n v="72398.59"/>
    <m/>
    <n v="72398.59"/>
    <n v="-32398.589999999997"/>
    <n v="0"/>
    <n v="849.3"/>
    <n v="0"/>
    <n v="0"/>
    <m/>
    <s v="P.3.147"/>
    <n v="0"/>
    <n v="0"/>
    <m/>
    <m/>
    <m/>
    <m/>
    <m/>
    <m/>
    <m/>
    <m/>
    <m/>
    <m/>
    <m/>
    <m/>
    <m/>
    <m/>
    <m/>
    <m/>
    <m/>
    <m/>
    <m/>
    <m/>
    <m/>
    <m/>
    <m/>
    <m/>
    <m/>
    <n v="0"/>
    <n v="0"/>
    <n v="0"/>
    <n v="0"/>
    <n v="0"/>
    <n v="5994.4355932203398"/>
    <m/>
    <m/>
    <m/>
    <m/>
    <m/>
    <m/>
    <m/>
    <m/>
    <s v="Реаб."/>
    <d v="2023-02-28T00:00:00"/>
    <s v="Принят"/>
    <s v="SGG"/>
    <d v="2022-04-05T00:00:00"/>
    <s v="BSP-220405-1/2(1.1.10)"/>
    <m/>
    <m/>
    <s v="Yes"/>
  </r>
  <r>
    <n v="1548"/>
    <s v="Шида Картли"/>
    <s v="Хашури"/>
    <s v="1.1.11.  Переключение 110 абонентов с узла №1 на узел №29 в с.Цхрамуха Хашурского муниципалитета. (проектирование и строительство)"/>
    <x v="5"/>
    <n v="5000"/>
    <m/>
    <n v="5388.94"/>
    <m/>
    <n v="5388.9400000000005"/>
    <n v="-388.94000000000051"/>
    <n v="0"/>
    <n v="69.900000000000006"/>
    <n v="-9.0949470177292824E-13"/>
    <n v="0"/>
    <m/>
    <s v="P.3.16"/>
    <n v="0"/>
    <n v="0"/>
    <m/>
    <m/>
    <m/>
    <m/>
    <m/>
    <m/>
    <m/>
    <m/>
    <m/>
    <m/>
    <m/>
    <m/>
    <m/>
    <m/>
    <m/>
    <m/>
    <m/>
    <m/>
    <m/>
    <m/>
    <m/>
    <m/>
    <m/>
    <m/>
    <m/>
    <n v="0"/>
    <n v="0"/>
    <n v="0"/>
    <n v="0"/>
    <n v="0"/>
    <n v="456.68983050847459"/>
    <m/>
    <m/>
    <m/>
    <m/>
    <m/>
    <m/>
    <m/>
    <m/>
    <s v="Реаб."/>
    <d v="2023-02-28T00:00:00"/>
    <s v="Принят"/>
    <s v="SGG"/>
    <d v="2022-04-05T00:00:00"/>
    <s v="BSP-220405-1/2(1.1.11)"/>
    <m/>
    <m/>
    <s v="Yes"/>
  </r>
  <r>
    <n v="1549"/>
    <s v="Самцхе Джавахети"/>
    <s v="Аспиндза"/>
    <s v="1.1.1. В муниципалитете Адигени, с. Саро и с. Хизабавра Реабилитация сети, замена и вынос счетчиков. (P.3.104, P.3.112, P.3.30, P.3.31, P.3.32, P.3.33)"/>
    <x v="5"/>
    <n v="350000"/>
    <m/>
    <n v="862015.37999999989"/>
    <n v="829545.78999999992"/>
    <n v="862015.37990000017"/>
    <n v="-512015.37990000017"/>
    <n v="9.9999713711440563E-5"/>
    <n v="18554.75"/>
    <n v="9.9999713711440563E-5"/>
    <n v="0"/>
    <m/>
    <s v="P.3.104; P.3.112; P.3.30; P.3.31; P.3.32; P.3.33"/>
    <n v="0"/>
    <n v="0"/>
    <m/>
    <m/>
    <m/>
    <m/>
    <m/>
    <m/>
    <m/>
    <m/>
    <m/>
    <m/>
    <m/>
    <m/>
    <m/>
    <m/>
    <m/>
    <m/>
    <m/>
    <m/>
    <m/>
    <m/>
    <m/>
    <m/>
    <m/>
    <m/>
    <m/>
    <n v="0"/>
    <n v="0"/>
    <n v="0"/>
    <n v="250567.79"/>
    <n v="27521.42"/>
    <n v="67548.348677966089"/>
    <m/>
    <m/>
    <m/>
    <m/>
    <m/>
    <m/>
    <n v="488913.91999999998"/>
    <d v="2022-12-30T00:00:00"/>
    <s v="Реаб."/>
    <d v="2023-12-27T00:00:00"/>
    <s v="Принят"/>
    <s v="Сакорггаз"/>
    <d v="2022-04-25T00:00:00"/>
    <s v="BCP-220425-1/2(1.1.1)"/>
    <m/>
    <m/>
    <s v="Yes"/>
  </r>
  <r>
    <n v="1550"/>
    <s v="Шида Картли"/>
    <s v="Гори"/>
    <s v="1.1.2. В муниципалитете Гори, реабилитация газопровода от ГРС-а Начармагеви до c. Кицниси. (P.3.93) (проектирование и строительство)"/>
    <x v="5"/>
    <n v="2200000"/>
    <m/>
    <n v="2986776.4699999997"/>
    <n v="2961404.9699999997"/>
    <n v="2986776.4600000004"/>
    <n v="-786776.46000000043"/>
    <n v="9.9999993108212948E-3"/>
    <n v="15217"/>
    <n v="9.9999993108212948E-3"/>
    <n v="0"/>
    <m/>
    <s v="P.3.93"/>
    <n v="0"/>
    <n v="0"/>
    <m/>
    <m/>
    <m/>
    <m/>
    <m/>
    <m/>
    <m/>
    <m/>
    <m/>
    <m/>
    <m/>
    <m/>
    <m/>
    <m/>
    <m/>
    <m/>
    <m/>
    <m/>
    <m/>
    <m/>
    <m/>
    <m/>
    <m/>
    <m/>
    <m/>
    <n v="1894152.54"/>
    <n v="110641.34"/>
    <n v="0"/>
    <n v="0"/>
    <n v="0"/>
    <n v="239902.38888135596"/>
    <m/>
    <m/>
    <m/>
    <m/>
    <m/>
    <m/>
    <n v="2880126.17"/>
    <d v="2022-12-30T00:00:00"/>
    <s v="Реаб."/>
    <d v="2023-08-31T00:00:00"/>
    <s v="Принят"/>
    <s v="Сакорггаз"/>
    <d v="2022-04-25T00:00:00"/>
    <s v="BCP-220425-1/2(1.1.2)"/>
    <m/>
    <m/>
    <s v="Yes"/>
  </r>
  <r>
    <n v="1551"/>
    <s v="Шида Картли"/>
    <s v="Гори"/>
    <s v="1.1.3. Г. Гори замена-вынос счётчиков на ул. Пушкина, Цхинвалское шоссе, с. Свенети и реабилитационные работы сети в с. Тинисхиди. (P.3.94 (1))"/>
    <x v="5"/>
    <n v="250000"/>
    <n v="2"/>
    <m/>
    <m/>
    <m/>
    <n v="250000"/>
    <n v="0"/>
    <m/>
    <n v="250000"/>
    <n v="1"/>
    <m/>
    <s v="P.3.94 (1)"/>
    <n v="0"/>
    <n v="0"/>
    <m/>
    <m/>
    <m/>
    <m/>
    <m/>
    <m/>
    <m/>
    <m/>
    <m/>
    <m/>
    <m/>
    <m/>
    <m/>
    <m/>
    <m/>
    <m/>
    <m/>
    <m/>
    <m/>
    <m/>
    <m/>
    <m/>
    <m/>
    <m/>
    <m/>
    <n v="0"/>
    <n v="0"/>
    <n v="0"/>
    <m/>
    <m/>
    <m/>
    <m/>
    <m/>
    <m/>
    <m/>
    <m/>
    <m/>
    <m/>
    <m/>
    <s v="Реаб."/>
    <m/>
    <n v="0"/>
    <s v="Сакорггаз"/>
    <d v="2022-04-25T00:00:00"/>
    <s v="BCP-220425-1/2(1.1.3)"/>
    <m/>
    <s v="გადმოსატანია 2023-ში"/>
    <m/>
  </r>
  <r>
    <n v="1552"/>
    <s v="Шида Картли"/>
    <s v="Гори"/>
    <s v="1.1.4. Г. Гори работы по выносу счётчиков на улицах Тамар Мепе, Беруашвили, Чантурия, Багратиони, Кутаиси и Чочишвили. (P.3.95)"/>
    <x v="5"/>
    <n v="240000"/>
    <n v="2"/>
    <n v="804"/>
    <m/>
    <n v="804"/>
    <n v="239196"/>
    <n v="0"/>
    <m/>
    <n v="239196"/>
    <n v="1"/>
    <m/>
    <s v="P.3.95"/>
    <n v="0"/>
    <n v="0"/>
    <m/>
    <m/>
    <m/>
    <m/>
    <m/>
    <m/>
    <m/>
    <m/>
    <m/>
    <m/>
    <m/>
    <m/>
    <m/>
    <m/>
    <m/>
    <m/>
    <m/>
    <m/>
    <m/>
    <m/>
    <m/>
    <m/>
    <m/>
    <m/>
    <m/>
    <n v="0"/>
    <n v="0"/>
    <n v="0"/>
    <m/>
    <m/>
    <m/>
    <m/>
    <m/>
    <m/>
    <m/>
    <m/>
    <m/>
    <m/>
    <m/>
    <s v="Реаб."/>
    <m/>
    <n v="0"/>
    <s v="Сакорггаз"/>
    <d v="2022-04-25T00:00:00"/>
    <s v="BCP-220425-1/2(1.1.4)"/>
    <m/>
    <m/>
    <m/>
  </r>
  <r>
    <n v="1553"/>
    <s v="Шида Картли"/>
    <s v="Гори"/>
    <s v="1.1.5. В муниципалитете Гори, в с. Меджврисхеви реабилитация питающего газопровода от узла учета до центра села. (P.3.81)"/>
    <x v="5"/>
    <n v="200000"/>
    <m/>
    <n v="372609.3"/>
    <m/>
    <n v="372609.3"/>
    <n v="-172609.3"/>
    <n v="0"/>
    <n v="2130"/>
    <n v="0"/>
    <n v="0"/>
    <m/>
    <s v="P.3.81"/>
    <n v="0"/>
    <n v="0"/>
    <m/>
    <m/>
    <m/>
    <m/>
    <m/>
    <m/>
    <m/>
    <m/>
    <m/>
    <m/>
    <m/>
    <m/>
    <m/>
    <m/>
    <m/>
    <m/>
    <m/>
    <m/>
    <m/>
    <m/>
    <m/>
    <m/>
    <m/>
    <m/>
    <m/>
    <n v="0"/>
    <n v="0"/>
    <n v="0"/>
    <n v="271186.44"/>
    <n v="32014.86"/>
    <n v="28375.573322033903"/>
    <m/>
    <m/>
    <m/>
    <m/>
    <m/>
    <m/>
    <m/>
    <m/>
    <s v="Реаб."/>
    <d v="2023-12-29T00:00:00"/>
    <s v="Принят"/>
    <s v="Сакорггаз"/>
    <d v="2022-04-25T00:00:00"/>
    <s v="BCP-220425-1/2(1.1.5)"/>
    <m/>
    <m/>
    <s v="Yes"/>
  </r>
  <r>
    <n v="1554"/>
    <s v="Шида Картли"/>
    <s v="Гори"/>
    <s v="1.1.6. Работы по реабилитации газопровода от центра Меджврисхеви по направлению Ахалубани в Горийском муниципалитете. (P.3.101) (проектирование и строительство)"/>
    <x v="5"/>
    <n v="130000"/>
    <m/>
    <n v="209463.64"/>
    <n v="205722.14"/>
    <n v="209463.636"/>
    <n v="-79463.635999999999"/>
    <n v="4.0000000153668225E-3"/>
    <n v="2246.4"/>
    <n v="4.0000000153668225E-3"/>
    <n v="0"/>
    <m/>
    <s v="P.3.101"/>
    <n v="0"/>
    <n v="0"/>
    <m/>
    <m/>
    <m/>
    <m/>
    <m/>
    <m/>
    <m/>
    <m/>
    <m/>
    <m/>
    <m/>
    <m/>
    <m/>
    <m/>
    <m/>
    <m/>
    <m/>
    <m/>
    <m/>
    <m/>
    <m/>
    <m/>
    <m/>
    <m/>
    <m/>
    <n v="0"/>
    <n v="0"/>
    <n v="0"/>
    <n v="173728.81"/>
    <n v="20509.52"/>
    <n v="15383.127661016953"/>
    <m/>
    <m/>
    <m/>
    <m/>
    <m/>
    <m/>
    <m/>
    <m/>
    <s v="Реаб."/>
    <d v="2023-11-30T00:00:00"/>
    <s v="Принят"/>
    <s v="Сакорггаз"/>
    <d v="2022-04-25T00:00:00"/>
    <s v="BCP-220425-1/2(1.1.6)"/>
    <m/>
    <m/>
    <s v="Yes"/>
  </r>
  <r>
    <n v="1555"/>
    <s v="Шида Картли"/>
    <s v="Гори"/>
    <s v="1.1.7. В муниципалитете Гори, с. Реха работы по реабилитации питающего газопровода (P.3.98) (проектирование и строительство)"/>
    <x v="5"/>
    <n v="90000"/>
    <m/>
    <n v="231566.08000000002"/>
    <n v="225990.58000000002"/>
    <n v="231566.07999999999"/>
    <n v="-141566.07999999999"/>
    <n v="0"/>
    <n v="3062"/>
    <n v="2.9103830456733704E-11"/>
    <n v="0"/>
    <m/>
    <s v="P.3.98"/>
    <n v="0"/>
    <n v="0"/>
    <m/>
    <m/>
    <m/>
    <m/>
    <m/>
    <m/>
    <m/>
    <m/>
    <m/>
    <m/>
    <m/>
    <m/>
    <m/>
    <m/>
    <m/>
    <m/>
    <m/>
    <m/>
    <m/>
    <m/>
    <m/>
    <m/>
    <m/>
    <m/>
    <m/>
    <n v="154550.85"/>
    <n v="5743.79"/>
    <n v="0"/>
    <n v="36966.589999999997"/>
    <n v="4646.6499999999996"/>
    <n v="18112.700067796613"/>
    <m/>
    <m/>
    <m/>
    <m/>
    <m/>
    <m/>
    <m/>
    <m/>
    <s v="Реаб."/>
    <d v="2023-05-23T00:00:00"/>
    <s v="Принят"/>
    <s v="Сакорггаз"/>
    <d v="2022-04-25T00:00:00"/>
    <s v="BCP-220425-1/2(1.1.7)"/>
    <m/>
    <m/>
    <s v="Yes"/>
  </r>
  <r>
    <n v="1556"/>
    <s v="Шида Картли"/>
    <s v="Гори"/>
    <s v="1.1.8. Реабилитационные работы газопровода возле Университета в Гори. (P.3.90) (проектирование и строительство)"/>
    <x v="5"/>
    <n v="90000"/>
    <m/>
    <n v="193930.22"/>
    <n v="191383.97"/>
    <n v="193930.22500000001"/>
    <n v="-103930.22500000001"/>
    <n v="-5.0000000046566129E-3"/>
    <n v="1416.5"/>
    <n v="-5.0000000046566129E-3"/>
    <n v="0"/>
    <m/>
    <s v="P.3.90"/>
    <n v="0"/>
    <n v="0"/>
    <m/>
    <m/>
    <m/>
    <m/>
    <m/>
    <m/>
    <m/>
    <m/>
    <m/>
    <m/>
    <m/>
    <m/>
    <m/>
    <m/>
    <m/>
    <m/>
    <m/>
    <m/>
    <m/>
    <m/>
    <m/>
    <m/>
    <m/>
    <m/>
    <m/>
    <n v="0"/>
    <n v="0"/>
    <n v="0"/>
    <n v="164347.65"/>
    <n v="20387.04"/>
    <n v="14180.276508474577"/>
    <m/>
    <m/>
    <m/>
    <m/>
    <m/>
    <m/>
    <m/>
    <m/>
    <s v="Реаб."/>
    <d v="2023-05-30T00:00:00"/>
    <s v="Принят"/>
    <s v="Сакорггаз"/>
    <d v="2022-04-25T00:00:00"/>
    <s v="BCP-220425-1/2(1.1.8)"/>
    <m/>
    <s v="გადმოსატანია 2023-ში"/>
    <s v="Yes"/>
  </r>
  <r>
    <n v="1557"/>
    <s v="Шида Картли"/>
    <s v="Гори"/>
    <s v="1.1.9. В муниципалитете Гори, реабилитация газопровода от с. Тквиави по направлению сёл Тирдзниси-Дици. (P.3.97)"/>
    <x v="5"/>
    <n v="460000"/>
    <m/>
    <n v="997763.31"/>
    <m/>
    <n v="997763.33000000007"/>
    <n v="-537763.33000000007"/>
    <n v="-2.0000000018626451E-2"/>
    <n v="6028"/>
    <n v="-2.0000000018626451E-2"/>
    <n v="0"/>
    <m/>
    <s v="P.3.97"/>
    <n v="0"/>
    <n v="0"/>
    <m/>
    <m/>
    <m/>
    <m/>
    <m/>
    <m/>
    <m/>
    <m/>
    <m/>
    <m/>
    <m/>
    <m/>
    <m/>
    <m/>
    <m/>
    <m/>
    <m/>
    <m/>
    <m/>
    <m/>
    <m/>
    <m/>
    <m/>
    <m/>
    <m/>
    <n v="320339"/>
    <n v="16381.17"/>
    <n v="0"/>
    <n v="525223.14"/>
    <n v="65573.75"/>
    <n v="76360.720711864415"/>
    <m/>
    <m/>
    <m/>
    <m/>
    <m/>
    <m/>
    <m/>
    <m/>
    <s v="Реаб."/>
    <d v="2023-04-28T00:00:00"/>
    <s v="Принят"/>
    <s v="Сакорггаз"/>
    <d v="2022-04-25T00:00:00"/>
    <s v="BCP-220425-1/2(1.1.9)"/>
    <m/>
    <m/>
    <s v="Yes"/>
  </r>
  <r>
    <n v="1558"/>
    <s v="Шида Картли"/>
    <s v="Гори"/>
    <s v="1.1.10. В г. Гори реабилитация участка ул. Сухишвили и ул. Меджврисхеви. (P.3.114) (проектирование и строительство)"/>
    <x v="5"/>
    <n v="50000"/>
    <m/>
    <n v="146053.84"/>
    <n v="143371.09"/>
    <n v="146053.84"/>
    <n v="-96053.84"/>
    <n v="0"/>
    <n v="1056"/>
    <n v="0"/>
    <n v="0"/>
    <m/>
    <s v="P.3.114"/>
    <n v="0"/>
    <n v="0"/>
    <m/>
    <m/>
    <m/>
    <m/>
    <m/>
    <m/>
    <m/>
    <m/>
    <m/>
    <m/>
    <m/>
    <m/>
    <m/>
    <m/>
    <m/>
    <m/>
    <m/>
    <m/>
    <m/>
    <m/>
    <m/>
    <m/>
    <m/>
    <m/>
    <m/>
    <n v="0"/>
    <n v="0"/>
    <n v="0"/>
    <n v="121500.92"/>
    <n v="15272.9"/>
    <n v="10622.802372881357"/>
    <m/>
    <m/>
    <m/>
    <m/>
    <m/>
    <m/>
    <m/>
    <m/>
    <s v="Реаб."/>
    <d v="2023-05-30T00:00:00"/>
    <s v="Принят"/>
    <s v="Сакорггаз"/>
    <d v="2022-04-25T00:00:00"/>
    <s v="BCP-220425-1/2(1.1.10)"/>
    <m/>
    <s v="მხოლოდ პროექტია მიღებული 2022-ის დეკემბერში, შესაძლებელია გაყოფა."/>
    <s v="Yes"/>
  </r>
  <r>
    <n v="1559"/>
    <s v="Шида Картли"/>
    <s v="Гори"/>
    <s v="1.1.11. В муниципалитете Гори, в с.  Шавшвеби реабилитационные работы по восстановлению/реконструкции газопровода. (P.3.80) (проектирование и строительство)"/>
    <x v="5"/>
    <n v="145000"/>
    <m/>
    <n v="272515.37"/>
    <n v="264370.87"/>
    <n v="272515.37"/>
    <n v="-127515.37"/>
    <n v="0"/>
    <n v="4580.3999999999996"/>
    <n v="0"/>
    <n v="0"/>
    <m/>
    <s v="P.3.80"/>
    <n v="0"/>
    <n v="0"/>
    <m/>
    <m/>
    <m/>
    <m/>
    <m/>
    <m/>
    <m/>
    <m/>
    <m/>
    <m/>
    <m/>
    <m/>
    <m/>
    <m/>
    <m/>
    <m/>
    <m/>
    <m/>
    <m/>
    <m/>
    <m/>
    <m/>
    <m/>
    <m/>
    <m/>
    <n v="142034.75"/>
    <n v="5278.63"/>
    <n v="0"/>
    <n v="72033.899999999994"/>
    <n v="7945.44"/>
    <n v="21081.904016949153"/>
    <m/>
    <m/>
    <m/>
    <m/>
    <m/>
    <m/>
    <m/>
    <m/>
    <s v="Реаб."/>
    <d v="2023-11-30T00:00:00"/>
    <s v="Принят"/>
    <s v="Сакорггаз"/>
    <d v="2022-04-25T00:00:00"/>
    <s v="BCP-220425-1/2(1.1.11)"/>
    <m/>
    <m/>
    <s v="Yes"/>
  </r>
  <r>
    <n v="1596"/>
    <s v="Кахети"/>
    <s v="Гурджаани"/>
    <s v="1.1.5. Гурджаанском муниципалитете реабилитационные работы на газопроводах низкого давления в с.Чумлаки: участок Баги (P.2.24), участок Липарташвили (P.2.23), участок Гогра (P.2.180), участок Бадуашвили (P.2.19), Гагма Чумлаки (P.2.33), по направлению с. Китаани (P.2.31)."/>
    <x v="7"/>
    <n v="365000"/>
    <m/>
    <n v="475474"/>
    <m/>
    <n v="475473.995"/>
    <n v="-110473.995"/>
    <n v="5.0000000046566129E-3"/>
    <n v="7694"/>
    <n v="5.0000000046566129E-3"/>
    <n v="0"/>
    <m/>
    <s v="P.2.24; P.2.23; P.2.180; P.2.19; P.2.33; P.2.31"/>
    <n v="0"/>
    <n v="0"/>
    <m/>
    <m/>
    <m/>
    <m/>
    <m/>
    <m/>
    <m/>
    <m/>
    <m/>
    <m/>
    <m/>
    <m/>
    <m/>
    <m/>
    <m/>
    <m/>
    <m/>
    <m/>
    <m/>
    <m/>
    <m/>
    <m/>
    <m/>
    <m/>
    <m/>
    <n v="292372.88"/>
    <n v="13268.92"/>
    <n v="38587.135579661022"/>
    <n v="0"/>
    <n v="0"/>
    <m/>
    <m/>
    <m/>
    <m/>
    <m/>
    <m/>
    <m/>
    <m/>
    <m/>
    <s v="Реаб."/>
    <d v="2022-12-30T00:00:00"/>
    <s v="Принят"/>
    <s v="SGG"/>
    <d v="2022-04-29T00:00:00"/>
    <s v="BSP-220429-1/2(1.1.5)"/>
    <m/>
    <m/>
    <m/>
  </r>
  <r>
    <n v="1627"/>
    <s v="Имерети"/>
    <s v="Кутаиси"/>
    <s v="1.1.18. В г. Кутаиси, реаибилитация газопровода по алее Агмашенебели. (P.6.799)"/>
    <x v="4"/>
    <n v="420000"/>
    <m/>
    <n v="395453.67000000004"/>
    <m/>
    <n v="395453.67000000004"/>
    <n v="24546.329999999958"/>
    <n v="0"/>
    <n v="1684"/>
    <n v="0"/>
    <n v="0"/>
    <m/>
    <s v="P.6.799"/>
    <n v="0"/>
    <n v="0"/>
    <m/>
    <m/>
    <m/>
    <m/>
    <m/>
    <m/>
    <m/>
    <m/>
    <m/>
    <m/>
    <m/>
    <m/>
    <m/>
    <m/>
    <m/>
    <m/>
    <m/>
    <m/>
    <m/>
    <m/>
    <m/>
    <m/>
    <m/>
    <m/>
    <m/>
    <n v="323162.95"/>
    <n v="30911.43"/>
    <n v="30105.516945355939"/>
    <m/>
    <m/>
    <m/>
    <m/>
    <m/>
    <m/>
    <m/>
    <m/>
    <m/>
    <m/>
    <m/>
    <s v="Реаб."/>
    <d v="2022-12-30T00:00:00"/>
    <s v="Принят"/>
    <s v="Сакорггаз"/>
    <d v="2022-03-21T00:00:00"/>
    <s v="BCP-220321-1/2(1.1.18)"/>
    <m/>
    <m/>
    <m/>
  </r>
  <r>
    <n v="1617"/>
    <s v="Имерети"/>
    <s v="Терджола"/>
    <s v="1.1.8. В г. Терджола, реабилитация газопровода по ул. Леселидзе. (P.6.138)"/>
    <x v="4"/>
    <n v="226000"/>
    <m/>
    <n v="347820.83"/>
    <m/>
    <n v="347820.82999999996"/>
    <n v="-121820.82999999996"/>
    <n v="0"/>
    <n v="1658"/>
    <n v="5.8207660913467407E-11"/>
    <n v="0"/>
    <m/>
    <s v="P.6.138"/>
    <n v="0"/>
    <n v="0"/>
    <m/>
    <m/>
    <m/>
    <m/>
    <m/>
    <m/>
    <m/>
    <m/>
    <m/>
    <m/>
    <m/>
    <m/>
    <m/>
    <m/>
    <m/>
    <m/>
    <m/>
    <m/>
    <m/>
    <m/>
    <m/>
    <m/>
    <m/>
    <m/>
    <m/>
    <n v="228813.56"/>
    <n v="19484.670000000002"/>
    <n v="27249.617861423736"/>
    <m/>
    <m/>
    <m/>
    <m/>
    <m/>
    <m/>
    <m/>
    <m/>
    <m/>
    <m/>
    <m/>
    <s v="Реаб."/>
    <d v="2022-12-30T00:00:00"/>
    <s v="Принят"/>
    <s v="Сакорггаз"/>
    <d v="2022-03-21T00:00:00"/>
    <s v="BCP-220321-1/2(1.1.8)"/>
    <m/>
    <m/>
    <m/>
  </r>
  <r>
    <n v="1606"/>
    <s v="Аджара"/>
    <s v="Кобулети"/>
    <s v="1.1.2. Замена металлического газопровода D=200мм, проходящего через реку В Кобулети, с. Бобоквати на металлический газопровод D=500мм. (P.5.4)"/>
    <x v="4"/>
    <n v="210000"/>
    <m/>
    <n v="331198.46000000002"/>
    <m/>
    <n v="331198.46000000002"/>
    <n v="-121198.46000000002"/>
    <n v="0"/>
    <n v="246"/>
    <n v="0"/>
    <n v="0"/>
    <m/>
    <s v="P.5.4"/>
    <n v="0"/>
    <n v="0"/>
    <m/>
    <m/>
    <m/>
    <m/>
    <m/>
    <m/>
    <m/>
    <m/>
    <m/>
    <m/>
    <m/>
    <m/>
    <m/>
    <m/>
    <m/>
    <m/>
    <m/>
    <m/>
    <m/>
    <m/>
    <m/>
    <m/>
    <m/>
    <m/>
    <m/>
    <n v="186441"/>
    <n v="13594.85"/>
    <n v="26443.222333694921"/>
    <m/>
    <m/>
    <m/>
    <m/>
    <m/>
    <m/>
    <m/>
    <m/>
    <m/>
    <m/>
    <m/>
    <s v="Реаб."/>
    <d v="2022-12-30T00:00:00"/>
    <s v="Принят"/>
    <s v="SGG"/>
    <d v="2022-05-02T00:00:00"/>
    <s v="BSP-220502-2/3(1.1.2)"/>
    <m/>
    <m/>
    <m/>
  </r>
  <r>
    <n v="1564"/>
    <s v="Мцхета-Мтианети"/>
    <s v="Мцхета"/>
    <s v="1.1.16. В муниципалитете Мцхета, в с. Церовани, с. Презети и с. Цилкани вынос сетей газопроводов и узлов учета с частных территорий. (P.3.58)"/>
    <x v="5"/>
    <n v="3287000"/>
    <n v="2"/>
    <n v="7009015.1399999997"/>
    <m/>
    <n v="6609783.4610000001"/>
    <n v="-3322783.4610000001"/>
    <n v="399231.67899999954"/>
    <m/>
    <n v="-3322783.4610000001"/>
    <n v="1"/>
    <m/>
    <s v="P.3.58"/>
    <n v="750000"/>
    <n v="77708.115000000005"/>
    <m/>
    <n v="9064.0450000000001"/>
    <n v="450000"/>
    <m/>
    <m/>
    <n v="68644.070000000007"/>
    <m/>
    <m/>
    <n v="300000"/>
    <m/>
    <m/>
    <m/>
    <m/>
    <m/>
    <m/>
    <m/>
    <m/>
    <m/>
    <m/>
    <m/>
    <m/>
    <m/>
    <m/>
    <m/>
    <m/>
    <n v="2030094.07"/>
    <n v="0"/>
    <n v="0"/>
    <n v="1101694.93"/>
    <m/>
    <m/>
    <n v="508474.57999999996"/>
    <m/>
    <n v="420311.54847457627"/>
    <m/>
    <n v="381355.93"/>
    <m/>
    <n v="4241921.74"/>
    <d v="2022-12-30T00:00:00"/>
    <s v="Реаб."/>
    <m/>
    <m/>
    <s v="Сакорггаз"/>
    <d v="2022-04-25T00:00:00"/>
    <s v="BCP-220425-1/2(1.1.16)"/>
    <m/>
    <m/>
    <s v="Yes"/>
  </r>
  <r>
    <n v="1565"/>
    <s v="Шида Картли"/>
    <s v="Каспи"/>
    <s v="1.1.17. В г. Каспи реабилитация газопровода на улицах Мириан Мепе, Леселидзе, Костава, Руставели и Чавчавадзе. (P.3.105 (1))"/>
    <x v="5"/>
    <n v="300000"/>
    <n v="2"/>
    <m/>
    <m/>
    <m/>
    <n v="300000"/>
    <n v="0"/>
    <m/>
    <n v="300000"/>
    <n v="1"/>
    <m/>
    <s v="P.3.105 (1)"/>
    <n v="0"/>
    <n v="0"/>
    <m/>
    <m/>
    <m/>
    <m/>
    <m/>
    <m/>
    <m/>
    <m/>
    <m/>
    <m/>
    <m/>
    <m/>
    <m/>
    <m/>
    <m/>
    <m/>
    <m/>
    <m/>
    <m/>
    <m/>
    <m/>
    <m/>
    <m/>
    <m/>
    <m/>
    <n v="0"/>
    <n v="0"/>
    <n v="0"/>
    <m/>
    <m/>
    <m/>
    <m/>
    <m/>
    <m/>
    <m/>
    <m/>
    <m/>
    <m/>
    <m/>
    <s v="Реаб."/>
    <m/>
    <n v="0"/>
    <s v="Сакорггаз"/>
    <d v="2022-04-25T00:00:00"/>
    <s v="BCP-220425-1/2(1.1.17)"/>
    <m/>
    <s v="ეს გასაუქმებელია რადგან კეთდება P.3.49 (1)-თან ერთად."/>
    <m/>
  </r>
  <r>
    <n v="1566"/>
    <s v="Шида Картли"/>
    <s v="Каспи"/>
    <s v="1.1.18. В г. Каспи замена и вынос счетчиков на улицах Церетели, 26 Мая, Шарикашвили, Гурамишвили и Агмашенебели (II Этап). (P.3.49 (1))"/>
    <x v="5"/>
    <n v="1200000"/>
    <n v="2"/>
    <n v="21620"/>
    <m/>
    <n v="19483.187000000002"/>
    <n v="1180516.8130000001"/>
    <n v="2136.8129999999983"/>
    <m/>
    <n v="1180516.8130000001"/>
    <n v="1"/>
    <m/>
    <s v="P.3.49 (1)"/>
    <n v="0"/>
    <n v="0"/>
    <m/>
    <m/>
    <m/>
    <m/>
    <m/>
    <m/>
    <m/>
    <m/>
    <m/>
    <m/>
    <m/>
    <m/>
    <m/>
    <m/>
    <m/>
    <m/>
    <m/>
    <m/>
    <m/>
    <m/>
    <m/>
    <m/>
    <m/>
    <m/>
    <m/>
    <n v="0"/>
    <n v="0"/>
    <n v="0"/>
    <m/>
    <n v="3726"/>
    <m/>
    <m/>
    <m/>
    <m/>
    <m/>
    <m/>
    <m/>
    <m/>
    <m/>
    <s v="Реаб."/>
    <m/>
    <n v="45"/>
    <s v="Сакорггаз"/>
    <d v="2022-04-25T00:00:00"/>
    <s v="BCP-220425-1/2(1.1.18)"/>
    <m/>
    <m/>
    <s v="Yes"/>
  </r>
  <r>
    <n v="1567"/>
    <s v="Шида Картли"/>
    <s v="Каспи"/>
    <s v="1.1.19. В г. Каспи реабилитационные работы газопровода по улице Бахтриони-Мазанашвили. (P.3.43)"/>
    <x v="5"/>
    <n v="18000"/>
    <m/>
    <n v="20844.45"/>
    <m/>
    <n v="20844.45"/>
    <n v="-2844.4500000000007"/>
    <n v="0"/>
    <n v="103"/>
    <n v="0"/>
    <n v="0"/>
    <m/>
    <s v="P.3.43"/>
    <n v="0"/>
    <n v="0"/>
    <m/>
    <m/>
    <m/>
    <m/>
    <m/>
    <m/>
    <m/>
    <m/>
    <m/>
    <m/>
    <m/>
    <m/>
    <m/>
    <m/>
    <m/>
    <m/>
    <m/>
    <m/>
    <m/>
    <m/>
    <m/>
    <m/>
    <m/>
    <m/>
    <m/>
    <n v="0"/>
    <n v="0"/>
    <n v="0"/>
    <m/>
    <m/>
    <m/>
    <m/>
    <m/>
    <m/>
    <m/>
    <m/>
    <m/>
    <m/>
    <m/>
    <s v="Реаб."/>
    <d v="2022-12-30T00:00:00"/>
    <s v="Принят"/>
    <s v="Сакорггаз"/>
    <d v="2022-04-25T00:00:00"/>
    <s v="BCP-220425-1/2(1.1.19)"/>
    <m/>
    <m/>
    <m/>
  </r>
  <r>
    <n v="1568"/>
    <s v="Шида Картли"/>
    <s v="Каспи"/>
    <s v="1.1.20. В Каспском муниципалитете, в с. Кодисцкаро установка стояков. (P.3.48)"/>
    <x v="5"/>
    <n v="9000"/>
    <m/>
    <n v="19192.849999999999"/>
    <m/>
    <n v="19192.849999999999"/>
    <n v="-10192.849999999999"/>
    <n v="0"/>
    <n v="0"/>
    <n v="0"/>
    <n v="0"/>
    <m/>
    <s v="P.3.48"/>
    <n v="0"/>
    <n v="0"/>
    <m/>
    <m/>
    <m/>
    <m/>
    <m/>
    <m/>
    <m/>
    <m/>
    <m/>
    <m/>
    <m/>
    <m/>
    <m/>
    <m/>
    <m/>
    <m/>
    <m/>
    <m/>
    <m/>
    <m/>
    <m/>
    <m/>
    <m/>
    <m/>
    <m/>
    <n v="0"/>
    <n v="0"/>
    <n v="0"/>
    <n v="0"/>
    <n v="0"/>
    <n v="1626.5127118644068"/>
    <m/>
    <m/>
    <m/>
    <m/>
    <m/>
    <m/>
    <m/>
    <m/>
    <s v="Реаб."/>
    <d v="2023-02-28T00:00:00"/>
    <s v="Принят"/>
    <s v="Сакорггаз"/>
    <d v="2022-04-25T00:00:00"/>
    <s v="BCP-220425-1/2(1.1.20)"/>
    <m/>
    <m/>
    <s v="Yes"/>
  </r>
  <r>
    <n v="1569"/>
    <s v="Шида Картли"/>
    <s v="Каспи"/>
    <s v="1.1.21. В г. Каспи реабилитационные работы газопроводов на пересечении улиц Агмашенебели и Габашвили. (P.3.47, P.3.50)"/>
    <x v="5"/>
    <n v="23000"/>
    <n v="2"/>
    <n v="63711.67"/>
    <n v="63711.67"/>
    <n v="63711.67"/>
    <n v="-40711.67"/>
    <n v="0"/>
    <n v="535"/>
    <n v="0"/>
    <n v="0"/>
    <m/>
    <s v="P.3.47; P.3.50"/>
    <n v="0"/>
    <n v="0"/>
    <m/>
    <m/>
    <m/>
    <m/>
    <m/>
    <m/>
    <m/>
    <m/>
    <m/>
    <m/>
    <m/>
    <m/>
    <m/>
    <m/>
    <m/>
    <m/>
    <m/>
    <m/>
    <m/>
    <m/>
    <m/>
    <m/>
    <m/>
    <m/>
    <m/>
    <n v="0"/>
    <n v="0"/>
    <n v="0"/>
    <m/>
    <m/>
    <m/>
    <m/>
    <m/>
    <n v="0"/>
    <n v="5399.2940677966108"/>
    <m/>
    <m/>
    <m/>
    <m/>
    <s v="Реаб."/>
    <d v="2024-11-25T00:00:00"/>
    <s v="Принят"/>
    <s v="Сакорггаз"/>
    <d v="2022-04-25T00:00:00"/>
    <s v="BCP-220425-1/2(1.1.21)"/>
    <m/>
    <m/>
    <s v="Yes"/>
  </r>
  <r>
    <n v="1570"/>
    <s v="Самцхе Джавахети"/>
    <s v="Борджоми"/>
    <s v="1.1.22. В Боржоми проектно-строительные работы по реабилитации подземного стального газопровода от моста Чархисцкали до церкви Давида. (P.3.34) (проектирование и строительство)"/>
    <x v="5"/>
    <n v="50000"/>
    <n v="2"/>
    <m/>
    <m/>
    <m/>
    <n v="50000"/>
    <n v="0"/>
    <m/>
    <n v="50000"/>
    <n v="1"/>
    <m/>
    <s v="P.3.34"/>
    <n v="0"/>
    <n v="0"/>
    <m/>
    <m/>
    <m/>
    <m/>
    <m/>
    <m/>
    <m/>
    <m/>
    <m/>
    <m/>
    <m/>
    <m/>
    <m/>
    <m/>
    <m/>
    <m/>
    <m/>
    <m/>
    <m/>
    <m/>
    <m/>
    <m/>
    <m/>
    <m/>
    <m/>
    <n v="0"/>
    <n v="0"/>
    <n v="0"/>
    <m/>
    <m/>
    <m/>
    <m/>
    <m/>
    <m/>
    <m/>
    <m/>
    <m/>
    <m/>
    <m/>
    <s v="Реаб."/>
    <m/>
    <n v="0"/>
    <s v="Сакорггаз"/>
    <d v="2022-04-25T00:00:00"/>
    <s v="BCP-220425-1/2(1.1.22)"/>
    <m/>
    <s v="გასაუქმებელია ხელშეკრულება. ვეღარ კეთდება, დაგებულია ახალი ასფალტი. (გასარკვევია, რატომ ჩასვეს 2025-ის გეგმაში!)"/>
    <m/>
  </r>
  <r>
    <n v="1571"/>
    <s v="Самцхе Джавахети"/>
    <s v="Бакуриани"/>
    <s v="1.1.23. В пос. Бакуриани реабилитационные работы воздушного газопровода D200 по ул. Агмашенебели в районе &quot;Никора&quot; (P.3.35)"/>
    <x v="5"/>
    <n v="18000"/>
    <m/>
    <n v="41721.870000000003"/>
    <m/>
    <n v="41721.869999999995"/>
    <n v="-23721.869999999995"/>
    <n v="0"/>
    <n v="150.94999999999999"/>
    <n v="7.2759576141834259E-12"/>
    <n v="0"/>
    <m/>
    <s v="P.3.35"/>
    <n v="0"/>
    <n v="0"/>
    <m/>
    <m/>
    <m/>
    <m/>
    <m/>
    <m/>
    <m/>
    <m/>
    <m/>
    <m/>
    <m/>
    <m/>
    <m/>
    <m/>
    <m/>
    <m/>
    <m/>
    <m/>
    <m/>
    <m/>
    <m/>
    <m/>
    <m/>
    <m/>
    <m/>
    <n v="0"/>
    <n v="0"/>
    <n v="0"/>
    <m/>
    <m/>
    <m/>
    <m/>
    <m/>
    <m/>
    <m/>
    <m/>
    <m/>
    <m/>
    <m/>
    <s v="Реаб."/>
    <d v="2022-12-30T00:00:00"/>
    <s v="Принят"/>
    <s v="Сакорггаз"/>
    <d v="2022-04-25T00:00:00"/>
    <s v="BCP-220425-1/2(1.1.23)"/>
    <m/>
    <m/>
    <m/>
  </r>
  <r>
    <n v="1572"/>
    <s v="Самцхе Джавахети"/>
    <s v="Борджоми"/>
    <s v="1.1.24. В г. Боржоми реабилитация/реконструкция наружных сетей в корпусах на улицах Руставели и Месхети. (P.3.106) (проектирование и строительство)"/>
    <x v="5"/>
    <n v="105000"/>
    <s v="კორპუსების ჩანართზეა დეტალურად 2024 წელი"/>
    <n v="225168.66999999998"/>
    <n v="212647.41999999998"/>
    <n v="158061.084"/>
    <n v="-53061.084000000003"/>
    <n v="67107.585999999981"/>
    <n v="3897.7000000000003"/>
    <n v="-53061.084000000003"/>
    <s v="შესამოწმებელიადა ამოსაღებია"/>
    <m/>
    <s v="P.3.106"/>
    <n v="0"/>
    <n v="0"/>
    <m/>
    <m/>
    <m/>
    <m/>
    <m/>
    <m/>
    <m/>
    <m/>
    <m/>
    <m/>
    <m/>
    <m/>
    <m/>
    <m/>
    <m/>
    <m/>
    <m/>
    <m/>
    <m/>
    <m/>
    <m/>
    <m/>
    <m/>
    <m/>
    <m/>
    <n v="0"/>
    <n v="0"/>
    <n v="0"/>
    <n v="0"/>
    <n v="0"/>
    <m/>
    <m/>
    <m/>
    <m/>
    <m/>
    <m/>
    <m/>
    <n v="212647.42"/>
    <m/>
    <s v="Реаб."/>
    <m/>
    <n v="65"/>
    <s v="Сакорггаз"/>
    <d v="2022-04-25T00:00:00"/>
    <s v="BCP-220425-1/2(1.1.24)"/>
    <m/>
    <m/>
    <s v="Yes"/>
  </r>
  <r>
    <n v="1573"/>
    <s v="Самцхе Джавахети"/>
    <s v="Борджоми"/>
    <s v="1.1.25. Замена старых счетчиков G 4 в Сервис/центре Боржоми (I этап). (P.3.42 (1))"/>
    <x v="5"/>
    <n v="80000"/>
    <m/>
    <n v="52737.01"/>
    <m/>
    <n v="52737.01"/>
    <n v="27262.989999999998"/>
    <n v="0"/>
    <n v="23.7"/>
    <n v="0"/>
    <n v="0"/>
    <m/>
    <s v="P.3.42 (1)"/>
    <n v="0"/>
    <n v="0"/>
    <m/>
    <m/>
    <m/>
    <m/>
    <m/>
    <m/>
    <m/>
    <m/>
    <m/>
    <m/>
    <m/>
    <m/>
    <m/>
    <m/>
    <m/>
    <m/>
    <m/>
    <m/>
    <m/>
    <m/>
    <m/>
    <m/>
    <m/>
    <m/>
    <m/>
    <n v="8992.3700000000008"/>
    <n v="652.01"/>
    <n v="0"/>
    <n v="0"/>
    <n v="0"/>
    <n v="4404.0371355932211"/>
    <m/>
    <m/>
    <m/>
    <m/>
    <m/>
    <m/>
    <m/>
    <m/>
    <s v="Реаб."/>
    <d v="2023-03-30T00:00:00"/>
    <s v="Принят"/>
    <s v="Сакорггаз"/>
    <d v="2022-04-25T00:00:00"/>
    <s v="BCP-220425-1/2(1.1.25)"/>
    <m/>
    <m/>
    <s v="Yes"/>
  </r>
  <r>
    <n v="1574"/>
    <s v="Самцхе Джавахети"/>
    <s v="Бакуриани"/>
    <s v="1.1.26. В Бакуриани реабилитация питающего газопровода (D 150 мм) от участка №53 по улицам Цакадзе и Боржоми до улицы 9 Апреля. (P.3.128) (проектирование и строительство)"/>
    <x v="5"/>
    <n v="140000"/>
    <m/>
    <n v="145507.88"/>
    <n v="143959.13"/>
    <n v="145507.88"/>
    <n v="-5507.8800000000047"/>
    <n v="0"/>
    <n v="858"/>
    <n v="0"/>
    <n v="0"/>
    <m/>
    <s v="P.3.128"/>
    <n v="0"/>
    <n v="0"/>
    <m/>
    <m/>
    <m/>
    <m/>
    <m/>
    <m/>
    <m/>
    <m/>
    <m/>
    <m/>
    <m/>
    <m/>
    <m/>
    <m/>
    <m/>
    <m/>
    <m/>
    <m/>
    <m/>
    <m/>
    <m/>
    <m/>
    <m/>
    <m/>
    <m/>
    <n v="0"/>
    <n v="0"/>
    <n v="0"/>
    <n v="0"/>
    <n v="0"/>
    <n v="12199.926271186443"/>
    <m/>
    <m/>
    <m/>
    <m/>
    <m/>
    <m/>
    <m/>
    <m/>
    <s v="Реаб."/>
    <d v="2023-02-28T00:00:00"/>
    <s v="Принят"/>
    <s v="Сакорггаз"/>
    <d v="2022-04-25T00:00:00"/>
    <s v="BCP-220425-1/2(1.1.26)"/>
    <m/>
    <m/>
    <s v="Yes"/>
  </r>
  <r>
    <n v="1575"/>
    <s v="Самцхе Джавахети"/>
    <s v="Бакуриани"/>
    <s v="1.1.27. В Бакуриани, от ГРС-а Квибиси до с. Квибиси реабилитация трассы газопровода среднего давления (мохрешва). (P.3.121)"/>
    <x v="5"/>
    <n v="70000"/>
    <m/>
    <n v="59440.47"/>
    <m/>
    <n v="59440.47"/>
    <n v="10559.529999999999"/>
    <n v="0"/>
    <n v="0"/>
    <n v="0"/>
    <n v="0"/>
    <m/>
    <s v="P.3.121"/>
    <n v="0"/>
    <n v="0"/>
    <m/>
    <m/>
    <m/>
    <m/>
    <m/>
    <m/>
    <m/>
    <m/>
    <m/>
    <m/>
    <m/>
    <m/>
    <m/>
    <m/>
    <m/>
    <m/>
    <m/>
    <m/>
    <m/>
    <m/>
    <m/>
    <m/>
    <m/>
    <m/>
    <m/>
    <n v="0"/>
    <n v="0"/>
    <n v="0"/>
    <n v="0"/>
    <n v="0"/>
    <n v="5037.3279661016959"/>
    <m/>
    <m/>
    <m/>
    <m/>
    <m/>
    <m/>
    <m/>
    <m/>
    <s v="Реаб."/>
    <d v="2023-02-28T00:00:00"/>
    <s v="Принят"/>
    <s v="Сакорггаз"/>
    <d v="2022-04-25T00:00:00"/>
    <s v="BCP-220425-1/2(1.1.27)"/>
    <m/>
    <m/>
    <s v="Yes"/>
  </r>
  <r>
    <n v="1561"/>
    <s v="Шида Картли"/>
    <s v="Гори"/>
    <s v="1.1.13. II этап работ по реабилитации газопровода от ООО «Гори» до въезда в село Меджврисхеви Горийского муниципалитета (P.3.100)"/>
    <x v="5"/>
    <n v="240000"/>
    <m/>
    <n v="322082.09999999998"/>
    <m/>
    <n v="322082.10000000003"/>
    <n v="-82082.100000000035"/>
    <n v="0"/>
    <n v="3326"/>
    <n v="-5.8207660913467407E-11"/>
    <n v="0"/>
    <m/>
    <s v="P.3.100"/>
    <n v="0"/>
    <n v="0"/>
    <m/>
    <m/>
    <m/>
    <m/>
    <m/>
    <m/>
    <m/>
    <m/>
    <m/>
    <m/>
    <m/>
    <m/>
    <m/>
    <m/>
    <m/>
    <m/>
    <m/>
    <m/>
    <m/>
    <m/>
    <m/>
    <m/>
    <m/>
    <m/>
    <m/>
    <n v="258531.35"/>
    <n v="9608.16"/>
    <n v="26076.611540338985"/>
    <m/>
    <m/>
    <m/>
    <m/>
    <m/>
    <m/>
    <m/>
    <m/>
    <m/>
    <m/>
    <m/>
    <s v="Реаб."/>
    <d v="2022-12-30T00:00:00"/>
    <s v="Принят"/>
    <s v="Сакорггаз"/>
    <d v="2022-04-25T00:00:00"/>
    <s v="BCP-220425-1/2(1.1.13)"/>
    <m/>
    <m/>
    <m/>
  </r>
  <r>
    <n v="1506"/>
    <s v="Кахети"/>
    <s v="Гурджаани"/>
    <s v="В г. Гурджаани район Ибра замена газопровода до с. Веджини"/>
    <x v="7"/>
    <n v="300457"/>
    <m/>
    <n v="300386"/>
    <m/>
    <n v="300386"/>
    <n v="71"/>
    <n v="0"/>
    <n v="3631"/>
    <n v="0"/>
    <n v="0"/>
    <m/>
    <s v="Поручение"/>
    <n v="0"/>
    <n v="0"/>
    <m/>
    <m/>
    <m/>
    <m/>
    <m/>
    <m/>
    <m/>
    <m/>
    <m/>
    <m/>
    <m/>
    <m/>
    <m/>
    <m/>
    <m/>
    <m/>
    <m/>
    <m/>
    <m/>
    <m/>
    <m/>
    <m/>
    <m/>
    <m/>
    <m/>
    <n v="0"/>
    <n v="0"/>
    <n v="23841.484081355935"/>
    <m/>
    <m/>
    <m/>
    <m/>
    <m/>
    <m/>
    <m/>
    <m/>
    <m/>
    <m/>
    <m/>
    <s v="Реаб."/>
    <d v="2022-02-28T00:00:00"/>
    <s v="Принят"/>
    <s v="SGG"/>
    <d v="2021-10-26T00:00:00"/>
    <s v="BS-211026-1/0"/>
    <n v="1475"/>
    <m/>
    <s v="Yes"/>
  </r>
  <r>
    <n v="1578"/>
    <s v="Квемо Картли"/>
    <s v="Болниси"/>
    <s v="1.1.1. В муниципалитетах Болниси и Тетрицкаро замена и вынос счетчиков (этап I). (P.2.156 (1)) (проектирование и строительство)"/>
    <x v="7"/>
    <n v="430000"/>
    <n v="2"/>
    <m/>
    <m/>
    <m/>
    <n v="430000"/>
    <n v="0"/>
    <m/>
    <n v="430000"/>
    <n v="1"/>
    <m/>
    <s v="P.2.156 (1)"/>
    <n v="0"/>
    <n v="0"/>
    <m/>
    <m/>
    <m/>
    <m/>
    <m/>
    <m/>
    <m/>
    <m/>
    <m/>
    <m/>
    <m/>
    <m/>
    <m/>
    <m/>
    <m/>
    <m/>
    <m/>
    <m/>
    <m/>
    <m/>
    <m/>
    <m/>
    <m/>
    <m/>
    <m/>
    <n v="0"/>
    <n v="0"/>
    <n v="0"/>
    <m/>
    <m/>
    <m/>
    <m/>
    <m/>
    <m/>
    <m/>
    <m/>
    <m/>
    <m/>
    <m/>
    <s v="Реаб."/>
    <m/>
    <n v="0"/>
    <s v="Сакорггаз"/>
    <d v="2022-04-26T00:00:00"/>
    <s v="BCP-220426-1/2(1.1.1)"/>
    <m/>
    <m/>
    <m/>
  </r>
  <r>
    <n v="1579"/>
    <s v="Квемо Картли"/>
    <s v="Болниси"/>
    <s v="1.1.2. В муниципалитете Болниси в посёлке  Казрети с корпусов, вынос счётчиков. (P.2.401) (проектирование и строительство)"/>
    <x v="7"/>
    <n v="670000"/>
    <n v="2"/>
    <m/>
    <m/>
    <m/>
    <n v="670000"/>
    <n v="0"/>
    <m/>
    <n v="670000"/>
    <n v="0"/>
    <m/>
    <s v="P.2.401"/>
    <n v="0"/>
    <n v="0"/>
    <m/>
    <m/>
    <m/>
    <m/>
    <m/>
    <m/>
    <m/>
    <m/>
    <m/>
    <m/>
    <m/>
    <m/>
    <m/>
    <m/>
    <m/>
    <m/>
    <m/>
    <m/>
    <m/>
    <m/>
    <m/>
    <m/>
    <m/>
    <m/>
    <m/>
    <n v="0"/>
    <n v="0"/>
    <n v="0"/>
    <m/>
    <m/>
    <m/>
    <m/>
    <m/>
    <m/>
    <m/>
    <m/>
    <m/>
    <m/>
    <m/>
    <s v="Реаб."/>
    <m/>
    <n v="0"/>
    <s v="Сакорггаз"/>
    <d v="2022-04-26T00:00:00"/>
    <s v="BCP-220426-1/2(1.1.2)"/>
    <m/>
    <s v="ინტერსერვისმა შეასრულა 45 კორპუსის მხოლოდ პროექტირება, მშენებლობა გაუფორმდა ბრიჯს."/>
    <m/>
  </r>
  <r>
    <n v="1580"/>
    <s v="Квемо Картли"/>
    <s v="Болниси"/>
    <s v="1.1.3. В муниципалитете Болниси посёлок Казрети реабилитация газопровода на 350 абонентов. (P.2.141)"/>
    <x v="7"/>
    <n v="130000"/>
    <n v="2"/>
    <n v="159283"/>
    <m/>
    <n v="159283.08290000001"/>
    <n v="-29283.082900000009"/>
    <n v="-8.2900000008521602E-2"/>
    <m/>
    <n v="-29283.082900000009"/>
    <n v="1"/>
    <m/>
    <s v="P.2.141"/>
    <n v="0"/>
    <n v="0"/>
    <m/>
    <m/>
    <m/>
    <m/>
    <m/>
    <m/>
    <m/>
    <m/>
    <m/>
    <m/>
    <m/>
    <m/>
    <m/>
    <m/>
    <m/>
    <m/>
    <m/>
    <m/>
    <m/>
    <m/>
    <m/>
    <m/>
    <m/>
    <m/>
    <m/>
    <n v="129661.02"/>
    <n v="0"/>
    <n v="0"/>
    <n v="3629.66"/>
    <m/>
    <m/>
    <n v="1695"/>
    <m/>
    <m/>
    <m/>
    <m/>
    <m/>
    <m/>
    <m/>
    <s v="Реаб."/>
    <m/>
    <m/>
    <s v="Сакорггаз"/>
    <d v="2022-04-26T00:00:00"/>
    <s v="BCP-220426-1/2(1.1.3)"/>
    <m/>
    <m/>
    <m/>
  </r>
  <r>
    <n v="1581"/>
    <s v="Квемо Картли"/>
    <s v="Болниси"/>
    <s v="1.1.4. В г. Болниси реабилитация газопровода на улице Сулхан Саба. (P.2.140)"/>
    <x v="7"/>
    <n v="40000"/>
    <n v="2"/>
    <n v="68210"/>
    <n v="68210"/>
    <n v="68210"/>
    <n v="-28210"/>
    <n v="0"/>
    <n v="308"/>
    <n v="0"/>
    <n v="0"/>
    <m/>
    <s v="P.2.140"/>
    <n v="0"/>
    <n v="0"/>
    <m/>
    <m/>
    <m/>
    <m/>
    <m/>
    <m/>
    <m/>
    <m/>
    <m/>
    <m/>
    <m/>
    <m/>
    <m/>
    <m/>
    <m/>
    <m/>
    <m/>
    <m/>
    <m/>
    <m/>
    <m/>
    <m/>
    <m/>
    <m/>
    <m/>
    <n v="0"/>
    <n v="0"/>
    <n v="0"/>
    <n v="50847.46"/>
    <n v="2545.16"/>
    <m/>
    <m/>
    <m/>
    <n v="5525.9924745762728"/>
    <n v="0"/>
    <m/>
    <m/>
    <m/>
    <m/>
    <s v="Реаб."/>
    <d v="2024-01-30T00:00:00"/>
    <s v="Принят"/>
    <s v="Сакорггаз"/>
    <d v="2022-04-26T00:00:00"/>
    <s v="BCP-220426-1/2(1.1.4)"/>
    <m/>
    <s v="გადასატანია 2023-ში ეს სუხან-საბას ქუჩა უკვე გაკეთებულია, მაგრამ ამავე პროექტშია თამარ მეფის ქუჩაც, რომელიც იყო P.2.138 მაგრამ ეს P სემეკს უკვე რატომღაც აღარ უზის და გასარკვევია რატომ."/>
    <s v="Yes"/>
  </r>
  <r>
    <n v="1582"/>
    <s v="Квемо Картли"/>
    <s v="Болниси"/>
    <s v="1.1.5. В г. Болниси реабилитация газопровода на улице Тамар Мепе. (P.2.138)"/>
    <x v="7"/>
    <n v="30000"/>
    <n v="2"/>
    <m/>
    <m/>
    <m/>
    <n v="30000"/>
    <n v="0"/>
    <m/>
    <n v="30000"/>
    <s v="X"/>
    <m/>
    <s v="P.2.138"/>
    <n v="0"/>
    <n v="0"/>
    <m/>
    <m/>
    <m/>
    <m/>
    <m/>
    <m/>
    <m/>
    <m/>
    <m/>
    <m/>
    <m/>
    <m/>
    <m/>
    <m/>
    <m/>
    <m/>
    <m/>
    <m/>
    <m/>
    <m/>
    <m/>
    <m/>
    <m/>
    <m/>
    <m/>
    <n v="0"/>
    <n v="0"/>
    <n v="0"/>
    <m/>
    <m/>
    <m/>
    <m/>
    <m/>
    <m/>
    <m/>
    <m/>
    <m/>
    <m/>
    <m/>
    <s v="Реаб."/>
    <m/>
    <n v="0"/>
    <s v="Сакорггаз"/>
    <d v="2022-04-26T00:00:00"/>
    <s v="BCP-220426-1/2(1.1.5)"/>
    <m/>
    <s v="გადასატანია 2023-ში კეთდება P.2.140-თან ერთად, მაგრამ ეს P.2.138 სემეკს უკვე რატომღაც აღარ უზის და გასარკვევია რატომ."/>
    <m/>
  </r>
  <r>
    <n v="1583"/>
    <s v="Квемо Картли"/>
    <s v="Болниси"/>
    <s v="1.1.6. В муниципалитете Болниси, в с. Нахидури установка стояков. (P.2.139)"/>
    <x v="7"/>
    <n v="29000"/>
    <n v="2"/>
    <m/>
    <m/>
    <m/>
    <n v="29000"/>
    <n v="0"/>
    <m/>
    <n v="29000"/>
    <s v="X"/>
    <m/>
    <s v="P.2.139"/>
    <n v="0"/>
    <n v="0"/>
    <m/>
    <m/>
    <m/>
    <m/>
    <m/>
    <m/>
    <m/>
    <m/>
    <m/>
    <m/>
    <m/>
    <m/>
    <m/>
    <m/>
    <m/>
    <m/>
    <m/>
    <m/>
    <m/>
    <m/>
    <m/>
    <m/>
    <m/>
    <m/>
    <m/>
    <n v="0"/>
    <n v="0"/>
    <n v="0"/>
    <m/>
    <m/>
    <m/>
    <m/>
    <m/>
    <m/>
    <m/>
    <m/>
    <m/>
    <m/>
    <m/>
    <s v="Реаб."/>
    <m/>
    <n v="0"/>
    <s v="Сакорггаз"/>
    <d v="2022-04-26T00:00:00"/>
    <s v="BCP-220426-1/2(1.1.6)"/>
    <m/>
    <s v="საერთოდ არ არის გასაკეთებელი, ვერ გაკეთდება, გასაუქმებელია!"/>
    <m/>
  </r>
  <r>
    <n v="1609"/>
    <s v="Имерети"/>
    <s v="Чиатура"/>
    <s v="1.1.5. Работы по реабилитации газопровода в г. Чиатура на улице Иашвили проведение. (P.6.53)"/>
    <x v="4"/>
    <n v="100000"/>
    <m/>
    <n v="253393.34286770099"/>
    <m/>
    <n v="253393.34286770091"/>
    <n v="-153393.34286770091"/>
    <n v="0"/>
    <n v="1007"/>
    <n v="8.7311491370201111E-11"/>
    <n v="0"/>
    <m/>
    <s v="P.6.53"/>
    <n v="0"/>
    <n v="0"/>
    <m/>
    <m/>
    <m/>
    <m/>
    <m/>
    <m/>
    <m/>
    <m/>
    <m/>
    <m/>
    <m/>
    <m/>
    <m/>
    <m/>
    <m/>
    <m/>
    <m/>
    <m/>
    <m/>
    <m/>
    <m/>
    <m/>
    <m/>
    <m/>
    <m/>
    <n v="173729"/>
    <n v="14059.27"/>
    <n v="19865.37043313813"/>
    <m/>
    <m/>
    <m/>
    <m/>
    <m/>
    <m/>
    <m/>
    <m/>
    <m/>
    <m/>
    <m/>
    <s v="Реаб."/>
    <d v="2022-12-30T00:00:00"/>
    <s v="Принят"/>
    <s v="SGG"/>
    <d v="2022-05-02T00:00:00"/>
    <s v="BSP-220502-2/3(1.1.5)"/>
    <m/>
    <m/>
    <m/>
  </r>
  <r>
    <n v="1585"/>
    <s v="Квемо Картли"/>
    <s v="Рустави"/>
    <s v="1.1.8. В г. Рустави работы по замене счетчиков и ящиков для счётчиков (этап I) (P.2.157 (1))"/>
    <x v="7"/>
    <n v="1400000"/>
    <s v="ამოსაღებია, ეს პროექტი ფაქტობრივად გაკეთდა (P.2.72 (1 и 2)-თან ერთად."/>
    <m/>
    <m/>
    <m/>
    <n v="1400000"/>
    <n v="0"/>
    <m/>
    <n v="1400000"/>
    <s v="X"/>
    <m/>
    <s v="P.2.157 (1)"/>
    <n v="0"/>
    <n v="0"/>
    <m/>
    <m/>
    <m/>
    <m/>
    <m/>
    <m/>
    <m/>
    <m/>
    <m/>
    <m/>
    <m/>
    <m/>
    <m/>
    <m/>
    <m/>
    <m/>
    <m/>
    <m/>
    <m/>
    <m/>
    <m/>
    <m/>
    <m/>
    <m/>
    <m/>
    <n v="0"/>
    <n v="0"/>
    <n v="0"/>
    <m/>
    <m/>
    <m/>
    <m/>
    <m/>
    <m/>
    <m/>
    <m/>
    <m/>
    <m/>
    <m/>
    <s v="Реаб."/>
    <m/>
    <n v="0"/>
    <s v="Сакорггаз"/>
    <d v="2022-04-26T00:00:00"/>
    <s v="BCP-220426-1/2(1.1.8)"/>
    <m/>
    <s v="ეს პროექტი ფაქტობრივად გაკეთდა (P.2.72 (1 и 2)-თან ერთად. ამიტომ არსად გადასატანი არ არის."/>
    <m/>
  </r>
  <r>
    <n v="1586"/>
    <s v="Квемо Картли"/>
    <s v="Рустави"/>
    <s v="1.1.9. В г. Рустави работы по переводу сетей в VII (а) микрорайоне на среднее давление. (P.2.402) (новый номер P.2.765) (проектирование и строительство)"/>
    <x v="7"/>
    <n v="78000"/>
    <n v="2"/>
    <m/>
    <m/>
    <m/>
    <n v="78000"/>
    <n v="0"/>
    <m/>
    <n v="78000"/>
    <n v="1"/>
    <m/>
    <s v="P.2.402 (новый номер P.2.765)"/>
    <n v="0"/>
    <n v="0"/>
    <m/>
    <m/>
    <m/>
    <m/>
    <m/>
    <m/>
    <m/>
    <m/>
    <m/>
    <m/>
    <m/>
    <m/>
    <m/>
    <m/>
    <m/>
    <m/>
    <m/>
    <m/>
    <m/>
    <m/>
    <m/>
    <m/>
    <m/>
    <m/>
    <m/>
    <n v="0"/>
    <n v="0"/>
    <n v="0"/>
    <m/>
    <m/>
    <m/>
    <m/>
    <m/>
    <m/>
    <m/>
    <m/>
    <m/>
    <m/>
    <m/>
    <s v="Реаб."/>
    <m/>
    <n v="0"/>
    <s v="Сакорггаз"/>
    <d v="2022-04-26T00:00:00"/>
    <s v="BCP-220426-1/2(1.1.9)"/>
    <m/>
    <s v="გადასატანია 2023-ში!"/>
    <m/>
  </r>
  <r>
    <n v="1587"/>
    <s v="Квемо Картли"/>
    <s v="Рустави"/>
    <s v="1.1.10. В г. Рустави работы по переводу сетей в XVII Микро районе на среднее давление. (P.2.404) (новый номер P.2.767) (проектирование и строительство)"/>
    <x v="7"/>
    <n v="65000"/>
    <n v="2"/>
    <n v="25539"/>
    <n v="25000"/>
    <n v="25538.707000000002"/>
    <n v="39461.292999999998"/>
    <n v="0.29299999999784632"/>
    <m/>
    <n v="39461.292999999998"/>
    <n v="1"/>
    <m/>
    <s v="P.2.404 (новый номер P.2.767)"/>
    <n v="0"/>
    <n v="0"/>
    <m/>
    <m/>
    <m/>
    <m/>
    <m/>
    <m/>
    <m/>
    <m/>
    <m/>
    <m/>
    <m/>
    <m/>
    <m/>
    <m/>
    <m/>
    <m/>
    <m/>
    <m/>
    <m/>
    <m/>
    <m/>
    <m/>
    <m/>
    <m/>
    <m/>
    <n v="0"/>
    <n v="0"/>
    <n v="0"/>
    <m/>
    <m/>
    <m/>
    <n v="21186.15"/>
    <m/>
    <m/>
    <m/>
    <m/>
    <m/>
    <m/>
    <m/>
    <s v="Реаб."/>
    <m/>
    <n v="30"/>
    <s v="Сакорггаз"/>
    <d v="2022-04-26T00:00:00"/>
    <s v="BCP-220426-1/2(1.1.10)"/>
    <m/>
    <m/>
    <m/>
  </r>
  <r>
    <n v="1588"/>
    <s v="Квемо Картли"/>
    <s v="Рустави"/>
    <s v="1.1.11. В г. Рустави работы по переводу сетей в VII Микро районе на среднее давление. (P.2.405) (новый номер P.2.768) (проектирование и строительство)"/>
    <x v="7"/>
    <n v="65000"/>
    <n v="2"/>
    <m/>
    <m/>
    <m/>
    <n v="65000"/>
    <n v="0"/>
    <m/>
    <n v="65000"/>
    <n v="1"/>
    <m/>
    <s v="P.2.405 (новый номер P.2.768)"/>
    <n v="0"/>
    <n v="0"/>
    <m/>
    <m/>
    <m/>
    <m/>
    <m/>
    <m/>
    <m/>
    <m/>
    <m/>
    <m/>
    <m/>
    <m/>
    <m/>
    <m/>
    <m/>
    <m/>
    <m/>
    <m/>
    <m/>
    <m/>
    <m/>
    <m/>
    <m/>
    <m/>
    <m/>
    <n v="0"/>
    <n v="0"/>
    <n v="0"/>
    <m/>
    <m/>
    <m/>
    <m/>
    <m/>
    <m/>
    <m/>
    <m/>
    <m/>
    <m/>
    <m/>
    <s v="Реаб."/>
    <m/>
    <n v="0"/>
    <s v="Сакорггаз"/>
    <d v="2022-04-26T00:00:00"/>
    <s v="BCP-220426-1/2(1.1.11)"/>
    <m/>
    <s v="გადასატანია 2023-ში!"/>
    <m/>
  </r>
  <r>
    <n v="1589"/>
    <s v="Квемо Картли"/>
    <s v="Рустави"/>
    <s v="1.1.12. В г. Рустави работы по переводу сетей в IXХ Микро районе на среднее давление. (P.2.408) (новый номер P.2.769) (проектирование и строительство)"/>
    <x v="7"/>
    <n v="33000"/>
    <n v="2"/>
    <m/>
    <m/>
    <m/>
    <n v="33000"/>
    <n v="0"/>
    <m/>
    <n v="33000"/>
    <n v="1"/>
    <m/>
    <s v="P.2.408 (новый номер P.2.769)"/>
    <n v="0"/>
    <n v="0"/>
    <m/>
    <m/>
    <m/>
    <m/>
    <m/>
    <m/>
    <m/>
    <m/>
    <m/>
    <m/>
    <m/>
    <m/>
    <m/>
    <m/>
    <m/>
    <m/>
    <m/>
    <m/>
    <m/>
    <m/>
    <m/>
    <m/>
    <m/>
    <m/>
    <m/>
    <n v="0"/>
    <n v="0"/>
    <n v="0"/>
    <m/>
    <m/>
    <m/>
    <m/>
    <m/>
    <m/>
    <m/>
    <m/>
    <m/>
    <m/>
    <m/>
    <s v="Реаб."/>
    <m/>
    <n v="0"/>
    <s v="Сакорггаз"/>
    <d v="2022-04-26T00:00:00"/>
    <s v="BCP-220426-1/2(1.1.12)"/>
    <m/>
    <s v="გადასატანია 2023-ში!"/>
    <m/>
  </r>
  <r>
    <n v="1590"/>
    <s v="Квемо Картли"/>
    <s v="Дманиси"/>
    <s v="Село Мтисдзири, строиетльство газораспределительной сети (газификация). (P.2.407)"/>
    <x v="6"/>
    <n v="104630"/>
    <m/>
    <n v="104630.23"/>
    <m/>
    <n v="104630.23"/>
    <n v="-0.22999999999592499"/>
    <n v="0"/>
    <n v="3162"/>
    <n v="0"/>
    <n v="0"/>
    <n v="55"/>
    <s v="P.2.407"/>
    <n v="0"/>
    <n v="0"/>
    <m/>
    <m/>
    <m/>
    <m/>
    <m/>
    <m/>
    <m/>
    <m/>
    <m/>
    <m/>
    <m/>
    <m/>
    <m/>
    <m/>
    <m/>
    <m/>
    <m/>
    <m/>
    <m/>
    <m/>
    <m/>
    <m/>
    <m/>
    <m/>
    <m/>
    <n v="0"/>
    <n v="0"/>
    <n v="0"/>
    <m/>
    <m/>
    <m/>
    <m/>
    <m/>
    <m/>
    <m/>
    <m/>
    <m/>
    <m/>
    <m/>
    <s v="Н. Стр."/>
    <d v="2022-06-28T00:00:00"/>
    <s v="Принят"/>
    <s v="SGG"/>
    <d v="2022-05-13T00:00:00"/>
    <s v="BS-220513-1/0"/>
    <m/>
    <m/>
    <m/>
  </r>
  <r>
    <n v="1591"/>
    <s v="Квемо Картли"/>
    <s v="Дманиси"/>
    <s v="Село Далари, строиетльство газораспределительной сети (газификация). (P.2.406)"/>
    <x v="6"/>
    <n v="421818"/>
    <m/>
    <n v="420543.75"/>
    <m/>
    <n v="420543.75"/>
    <n v="1274.25"/>
    <n v="0"/>
    <n v="6884"/>
    <n v="0"/>
    <n v="0"/>
    <n v="98"/>
    <s v="P.2.406"/>
    <n v="0"/>
    <n v="0"/>
    <m/>
    <m/>
    <m/>
    <m/>
    <m/>
    <m/>
    <m/>
    <m/>
    <m/>
    <m/>
    <m/>
    <m/>
    <m/>
    <m/>
    <m/>
    <m/>
    <m/>
    <m/>
    <m/>
    <m/>
    <m/>
    <m/>
    <m/>
    <m/>
    <m/>
    <n v="0"/>
    <n v="0"/>
    <n v="0"/>
    <m/>
    <m/>
    <m/>
    <m/>
    <m/>
    <m/>
    <m/>
    <m/>
    <m/>
    <m/>
    <m/>
    <s v="Н. Стр."/>
    <d v="2022-09-05T00:00:00"/>
    <s v="Принят"/>
    <s v="SGG"/>
    <d v="2022-05-13T00:00:00"/>
    <s v="BS-220513-2/0"/>
    <m/>
    <m/>
    <m/>
  </r>
  <r>
    <n v="1592"/>
    <s v="Квемо Картли"/>
    <s v="Дманиси"/>
    <s v="1.1.1. В г. Дманиси. с.Гантиади, c. Тнуси и с. Джавахи замена корозированного стального газопровода. (P.2.174) (проектирование и строительство)"/>
    <x v="7"/>
    <n v="190000"/>
    <n v="2"/>
    <n v="211371.77"/>
    <n v="206655.52"/>
    <n v="209968.7879"/>
    <n v="-19968.787899999996"/>
    <n v="1402.9820999999938"/>
    <n v="2540.3000000000002"/>
    <n v="1402.9820999999938"/>
    <n v="1"/>
    <m/>
    <s v="P.2.174"/>
    <n v="1655.52"/>
    <n v="252.54"/>
    <n v="1655.52"/>
    <m/>
    <m/>
    <n v="252.54"/>
    <m/>
    <m/>
    <m/>
    <m/>
    <m/>
    <m/>
    <m/>
    <m/>
    <m/>
    <m/>
    <m/>
    <m/>
    <m/>
    <m/>
    <m/>
    <m/>
    <m/>
    <m/>
    <m/>
    <m/>
    <m/>
    <n v="0"/>
    <n v="0"/>
    <n v="0"/>
    <m/>
    <m/>
    <m/>
    <n v="173728.81"/>
    <n v="18184.190000000002"/>
    <n v="10169.491525423731"/>
    <n v="5525.2691355932184"/>
    <m/>
    <m/>
    <m/>
    <m/>
    <s v="Реаб."/>
    <d v="2025-01-17T00:00:00"/>
    <s v="Принят"/>
    <s v="SGG"/>
    <d v="2022-04-29T00:00:00"/>
    <s v="BSP-220429-1/2(1.1.1)"/>
    <m/>
    <m/>
    <s v="Yes"/>
  </r>
  <r>
    <n v="1593"/>
    <s v="Квемо Картли"/>
    <s v="Гардабани"/>
    <s v="1.1.2. В Гардабанском муниципалитете реабилитационные работы питающего газопровода c. Караджалар и с. Каратаклия. (P.2.134)"/>
    <x v="7"/>
    <n v="335000"/>
    <n v="2"/>
    <m/>
    <m/>
    <m/>
    <n v="335000"/>
    <n v="0"/>
    <m/>
    <n v="335000"/>
    <n v="1"/>
    <m/>
    <s v="P.2.134"/>
    <n v="0"/>
    <n v="0"/>
    <m/>
    <m/>
    <m/>
    <m/>
    <m/>
    <m/>
    <m/>
    <m/>
    <m/>
    <m/>
    <m/>
    <m/>
    <m/>
    <m/>
    <m/>
    <m/>
    <m/>
    <m/>
    <m/>
    <m/>
    <m/>
    <m/>
    <m/>
    <m/>
    <m/>
    <n v="0"/>
    <n v="0"/>
    <n v="0"/>
    <m/>
    <m/>
    <m/>
    <m/>
    <m/>
    <m/>
    <m/>
    <m/>
    <m/>
    <m/>
    <m/>
    <s v="Реаб."/>
    <m/>
    <n v="0"/>
    <s v="SGG"/>
    <d v="2022-04-29T00:00:00"/>
    <s v="BSP-220429-1/2(1.1.2)"/>
    <m/>
    <s v="გადასატანია 2023-ში, ჯერ არაფერი გაკეთებულა, რადგან საგზაომ არ მოგვცა ნებართვა ავტობანის მშენებლობის გამო. ალბათ გავყობთ პროექტს და გავაკეთებთ მხოლოდ იმ ნაწილს რაც ავტობანს არ ეხება."/>
    <m/>
  </r>
  <r>
    <n v="1624"/>
    <m/>
    <m/>
    <s v="1.1.15. В г. Кутаиси (до 3000), в г. Тержола (до 400) и в г. Амбролаури (до 100), вынос-замена счётчиков. (P.6.191)"/>
    <x v="4"/>
    <n v="1457000"/>
    <m/>
    <n v="185320.46"/>
    <m/>
    <n v="185320.46000000002"/>
    <n v="1271679.54"/>
    <n v="0"/>
    <n v="0"/>
    <n v="-2.9103830456733704E-11"/>
    <n v="0"/>
    <m/>
    <s v="P.6.191"/>
    <n v="0"/>
    <n v="0"/>
    <m/>
    <m/>
    <m/>
    <m/>
    <m/>
    <m/>
    <m/>
    <m/>
    <m/>
    <m/>
    <m/>
    <m/>
    <m/>
    <m/>
    <m/>
    <m/>
    <m/>
    <m/>
    <m/>
    <m/>
    <m/>
    <m/>
    <m/>
    <m/>
    <m/>
    <n v="0"/>
    <n v="0"/>
    <n v="14708.79067945763"/>
    <m/>
    <m/>
    <m/>
    <m/>
    <m/>
    <m/>
    <m/>
    <m/>
    <m/>
    <m/>
    <m/>
    <s v="Реаб."/>
    <d v="2022-12-30T00:00:00"/>
    <s v="Принят"/>
    <s v="Сакорггаз"/>
    <d v="2022-03-21T00:00:00"/>
    <s v="BCP-220321-1/2(1.1.15)"/>
    <m/>
    <m/>
    <m/>
  </r>
  <r>
    <n v="1595"/>
    <s v="Кахети"/>
    <s v="Гурджаани"/>
    <s v="1.1.4. Окольцование газопровода  для обеспечения стандартного газоснабжения г. Гурджаани и г. Лагодехи. (P.2.403) (проектирование и строительство)"/>
    <x v="7"/>
    <n v="880000"/>
    <m/>
    <n v="1105084"/>
    <n v="1075467"/>
    <n v="1105084.003"/>
    <n v="-225084.00300000003"/>
    <n v="-3.0000000260770321E-3"/>
    <n v="16687"/>
    <n v="-3.0000000260770321E-3"/>
    <n v="0"/>
    <m/>
    <s v="P.2.403"/>
    <n v="0"/>
    <n v="0"/>
    <m/>
    <m/>
    <m/>
    <m/>
    <m/>
    <m/>
    <m/>
    <m/>
    <m/>
    <m/>
    <m/>
    <m/>
    <m/>
    <m/>
    <m/>
    <m/>
    <m/>
    <m/>
    <m/>
    <m/>
    <m/>
    <m/>
    <m/>
    <m/>
    <m/>
    <n v="369237.29"/>
    <n v="16123.45"/>
    <n v="0"/>
    <n v="0"/>
    <n v="0"/>
    <n v="89528.926186440687"/>
    <m/>
    <m/>
    <m/>
    <m/>
    <m/>
    <m/>
    <m/>
    <m/>
    <s v="Н. Стр."/>
    <d v="2023-02-21T00:00:00"/>
    <s v="Принят"/>
    <s v="SGG"/>
    <d v="2022-04-29T00:00:00"/>
    <s v="BSP-220429-1/2(1.1.4)"/>
    <m/>
    <s v="ამის გადმოტანა გაჭირდება, შუალედურები იყო 2022-ში, ექსპლუატაციაში მიღება არა და ასევე იყო ფაქტორინგიც!"/>
    <s v="Yes"/>
  </r>
  <r>
    <n v="1594"/>
    <s v="Квемо Картли"/>
    <s v="Гардабани"/>
    <s v="1.1.3. В Гардабанском муниципалитете реабилитационные работы с. Назарло. (P.2.135)"/>
    <x v="7"/>
    <n v="98000"/>
    <m/>
    <n v="156030"/>
    <m/>
    <n v="156030.07"/>
    <n v="-58030.070000000007"/>
    <n v="-7.0000000006984919E-2"/>
    <n v="1702"/>
    <n v="-7.0000000006984919E-2"/>
    <n v="0"/>
    <m/>
    <s v="P.2.135"/>
    <n v="0"/>
    <n v="0"/>
    <m/>
    <m/>
    <m/>
    <m/>
    <m/>
    <m/>
    <m/>
    <m/>
    <m/>
    <m/>
    <m/>
    <m/>
    <m/>
    <m/>
    <m/>
    <m/>
    <m/>
    <m/>
    <m/>
    <m/>
    <m/>
    <m/>
    <m/>
    <m/>
    <m/>
    <n v="120338.98000000001"/>
    <n v="5461.41"/>
    <n v="12551.916355932204"/>
    <m/>
    <m/>
    <m/>
    <m/>
    <m/>
    <m/>
    <m/>
    <m/>
    <m/>
    <m/>
    <m/>
    <s v="Реаб."/>
    <d v="2022-12-30T00:00:00"/>
    <s v="Принят"/>
    <s v="SGG"/>
    <d v="2022-04-29T00:00:00"/>
    <s v="BSP-220429-1/2(1.1.3)"/>
    <m/>
    <m/>
    <m/>
  </r>
  <r>
    <n v="1597"/>
    <s v="Кахети"/>
    <s v="Гурджаани"/>
    <s v="1.1.6. В Гурджаанском муниципалитете в селе Гурджаани: в Хевисубани у узла №9 (P.2.28), в I участке Гугулашвили (P.2.18) и во II участке Гугулашвили (P.2.17) реабилитационные работы газопровода."/>
    <x v="7"/>
    <n v="77000"/>
    <m/>
    <n v="84923"/>
    <n v="84923"/>
    <n v="84923"/>
    <n v="-7923"/>
    <n v="0"/>
    <n v="1246"/>
    <n v="0"/>
    <n v="0"/>
    <m/>
    <s v="P.2.28; P.2.18; P.2.17"/>
    <n v="0"/>
    <n v="0"/>
    <m/>
    <m/>
    <m/>
    <m/>
    <m/>
    <m/>
    <m/>
    <m/>
    <m/>
    <m/>
    <m/>
    <m/>
    <m/>
    <m/>
    <m/>
    <m/>
    <m/>
    <m/>
    <m/>
    <m/>
    <m/>
    <m/>
    <m/>
    <m/>
    <m/>
    <n v="29661.02"/>
    <n v="0"/>
    <n v="0"/>
    <n v="0"/>
    <n v="0"/>
    <n v="7196.8644067796622"/>
    <m/>
    <m/>
    <m/>
    <m/>
    <m/>
    <m/>
    <m/>
    <m/>
    <s v="Реаб."/>
    <d v="2023-02-21T00:00:00"/>
    <s v="Принят"/>
    <s v="SGG"/>
    <d v="2022-04-29T00:00:00"/>
    <s v="BSP-220429-1/2(1.1.6)"/>
    <m/>
    <m/>
    <s v="Yes"/>
  </r>
  <r>
    <n v="1598"/>
    <s v="Кахети"/>
    <s v="Сигнаги"/>
    <s v="1.1.7. В Сигнагском муниципалитете с. Машнаари на участках детского сада (P.2.150) и Чахнашвили (P.2.151) работы по реабилитации газопроводов. (проектирование и строительство)"/>
    <x v="7"/>
    <n v="76000"/>
    <m/>
    <n v="113021"/>
    <n v="110081"/>
    <n v="113021.00349999999"/>
    <n v="-37021.003499999992"/>
    <n v="-3.4999999916180968E-3"/>
    <n v="1666"/>
    <n v="-3.4999999916180968E-3"/>
    <n v="0"/>
    <m/>
    <s v="P.2.150; P.2.151"/>
    <n v="0"/>
    <n v="0"/>
    <m/>
    <m/>
    <m/>
    <m/>
    <m/>
    <m/>
    <m/>
    <m/>
    <m/>
    <m/>
    <m/>
    <m/>
    <m/>
    <m/>
    <m/>
    <m/>
    <m/>
    <m/>
    <m/>
    <m/>
    <m/>
    <m/>
    <m/>
    <m/>
    <m/>
    <n v="82322.039999999994"/>
    <n v="0"/>
    <n v="0"/>
    <m/>
    <m/>
    <n v="9328.8983050847473"/>
    <m/>
    <m/>
    <m/>
    <m/>
    <m/>
    <m/>
    <m/>
    <m/>
    <s v="Реаб."/>
    <d v="2023-02-21T00:00:00"/>
    <s v="Принят"/>
    <s v="SGG"/>
    <d v="2022-04-29T00:00:00"/>
    <s v="BSP-220429-1/2(1.1.7)"/>
    <m/>
    <m/>
    <s v="Yes"/>
  </r>
  <r>
    <n v="1599"/>
    <s v="Кахети"/>
    <s v="Дедоплисцкаро"/>
    <s v="1.1.8. В Дедоплисцкаройском муниципалитете, в с.Озаани реабилитация газопровода (II этап). (P.2.52) (проектирование и строительство)"/>
    <x v="7"/>
    <n v="140000"/>
    <m/>
    <n v="76181.75"/>
    <n v="76181.75"/>
    <n v="76181.754000000001"/>
    <n v="63818.245999999999"/>
    <n v="-4.0000000008149073E-3"/>
    <n v="1663"/>
    <n v="-4.0000000008149073E-3"/>
    <n v="0"/>
    <m/>
    <s v="P.2.52"/>
    <n v="0"/>
    <n v="0"/>
    <m/>
    <m/>
    <m/>
    <m/>
    <m/>
    <m/>
    <m/>
    <m/>
    <m/>
    <m/>
    <m/>
    <m/>
    <m/>
    <m/>
    <m/>
    <m/>
    <m/>
    <m/>
    <m/>
    <m/>
    <m/>
    <m/>
    <m/>
    <m/>
    <m/>
    <n v="0"/>
    <n v="0"/>
    <n v="0"/>
    <n v="0"/>
    <n v="0"/>
    <n v="6456.0805084745771"/>
    <m/>
    <m/>
    <m/>
    <m/>
    <m/>
    <m/>
    <m/>
    <m/>
    <s v="Реаб."/>
    <d v="2023-02-21T00:00:00"/>
    <s v="Принят"/>
    <s v="SGG"/>
    <d v="2022-04-29T00:00:00"/>
    <s v="BSP-220429-1/2(1.1.8)"/>
    <m/>
    <s v="2022-ში მივიღეთ მხოლოდ პროექტი, გადმოსატანია 2023-ში. სრულადაა ჩაბარებული."/>
    <s v="Yes"/>
  </r>
  <r>
    <n v="1522"/>
    <s v="Шида Картли"/>
    <s v="Каспи"/>
    <s v="1.19 Реаб. Газоп. в с. Оками."/>
    <x v="5"/>
    <n v="189119"/>
    <m/>
    <n v="135842"/>
    <m/>
    <n v="135842"/>
    <n v="53277"/>
    <n v="0"/>
    <n v="2521"/>
    <n v="0"/>
    <n v="0"/>
    <m/>
    <s v="Поручение"/>
    <n v="0"/>
    <n v="0"/>
    <m/>
    <m/>
    <m/>
    <m/>
    <m/>
    <m/>
    <m/>
    <m/>
    <m/>
    <m/>
    <m/>
    <m/>
    <m/>
    <m/>
    <m/>
    <m/>
    <m/>
    <m/>
    <m/>
    <m/>
    <m/>
    <m/>
    <m/>
    <m/>
    <m/>
    <n v="0"/>
    <n v="0"/>
    <n v="10781.710467796611"/>
    <m/>
    <m/>
    <m/>
    <m/>
    <m/>
    <m/>
    <m/>
    <m/>
    <m/>
    <m/>
    <m/>
    <s v="Реаб."/>
    <d v="2022-03-31T00:00:00"/>
    <s v="Принят"/>
    <s v="Сакорггаз"/>
    <d v="2022-03-10T00:00:00"/>
    <s v="BC-220310-1/0"/>
    <s v="002-22"/>
    <m/>
    <s v="Yes"/>
  </r>
  <r>
    <n v="1601"/>
    <s v="Кахети"/>
    <s v="Дедоплисцкаро"/>
    <s v="1.1.10. В Дедоплисцкаройском муниципалитете, в с. Арбошики реабилитация питающего газопровода. (P.2.37) (проектирование и строительство)"/>
    <x v="7"/>
    <n v="150000"/>
    <m/>
    <n v="116391"/>
    <n v="113668"/>
    <n v="116391"/>
    <n v="33609"/>
    <n v="0"/>
    <n v="1468"/>
    <n v="0"/>
    <n v="0"/>
    <m/>
    <s v="P.2.37"/>
    <n v="0"/>
    <n v="0"/>
    <m/>
    <m/>
    <m/>
    <m/>
    <m/>
    <m/>
    <m/>
    <m/>
    <m/>
    <m/>
    <m/>
    <m/>
    <m/>
    <m/>
    <m/>
    <m/>
    <m/>
    <m/>
    <m/>
    <m/>
    <m/>
    <m/>
    <m/>
    <m/>
    <m/>
    <n v="0"/>
    <n v="0"/>
    <n v="0"/>
    <n v="0"/>
    <n v="0"/>
    <n v="9632.8813559322043"/>
    <m/>
    <m/>
    <m/>
    <m/>
    <m/>
    <m/>
    <m/>
    <m/>
    <s v="Реаб."/>
    <d v="2023-02-21T00:00:00"/>
    <s v="Принят"/>
    <s v="SGG"/>
    <d v="2022-04-29T00:00:00"/>
    <s v="BSP-220429-1/2(1.1.10)"/>
    <m/>
    <s v="2022-ში მივიღეთ მხოლოდ პროექტი, გადმოსატანია 2023-ში. სრულადაა ჩაბარებული."/>
    <s v="Yes"/>
  </r>
  <r>
    <n v="1602"/>
    <s v="Кахети"/>
    <s v="Дедоплисцкаро"/>
    <s v="1.1.11. В Дедоплисцкаройском муниципалитете, в с. Арбошики реабилитация газопровода на участке Гзириант Убани. (P.2.39)"/>
    <x v="7"/>
    <n v="60000"/>
    <m/>
    <n v="29269"/>
    <n v="29269"/>
    <n v="29269"/>
    <n v="30731"/>
    <n v="0"/>
    <n v="588"/>
    <n v="0"/>
    <n v="0"/>
    <m/>
    <s v="P.2.39"/>
    <n v="0"/>
    <n v="0"/>
    <m/>
    <m/>
    <m/>
    <m/>
    <m/>
    <m/>
    <m/>
    <m/>
    <m/>
    <m/>
    <m/>
    <m/>
    <m/>
    <m/>
    <m/>
    <m/>
    <m/>
    <m/>
    <m/>
    <m/>
    <m/>
    <m/>
    <m/>
    <m/>
    <m/>
    <n v="12711.86"/>
    <n v="503.77"/>
    <n v="0"/>
    <m/>
    <m/>
    <n v="2430.0467288135596"/>
    <m/>
    <m/>
    <m/>
    <m/>
    <m/>
    <m/>
    <m/>
    <m/>
    <s v="Реаб."/>
    <d v="2023-03-30T00:00:00"/>
    <s v="Принят"/>
    <s v="SGG"/>
    <d v="2022-04-29T00:00:00"/>
    <s v="BSP-220429-1/2(1.1.11)"/>
    <m/>
    <s v="შესაძლებელია „ვთხოვოთ“ სემეკს 2023-ში გადმოტანა."/>
    <s v="Yes"/>
  </r>
  <r>
    <n v="1603"/>
    <s v="Кахети"/>
    <s v="Дедоплисцкаро"/>
    <s v="1.1.12. В г. Дедоплисцкаро реабилитация газопровода на ул. Чавчавадзе. (P.2.43) (проектирование и строительство)"/>
    <x v="7"/>
    <n v="84000"/>
    <m/>
    <n v="191998.5"/>
    <n v="188334"/>
    <n v="191998.51"/>
    <n v="-107998.51000000001"/>
    <n v="-1.0000000009313226E-2"/>
    <n v="2014"/>
    <n v="-1.0000000009313226E-2"/>
    <n v="0"/>
    <m/>
    <s v="P.2.43"/>
    <n v="0"/>
    <n v="0"/>
    <m/>
    <m/>
    <m/>
    <m/>
    <m/>
    <m/>
    <m/>
    <m/>
    <m/>
    <m/>
    <m/>
    <m/>
    <m/>
    <m/>
    <m/>
    <m/>
    <m/>
    <m/>
    <m/>
    <m/>
    <m/>
    <m/>
    <m/>
    <m/>
    <m/>
    <n v="138698.73000000001"/>
    <n v="16954.5"/>
    <n v="0"/>
    <m/>
    <m/>
    <n v="14265.058474576274"/>
    <m/>
    <m/>
    <m/>
    <m/>
    <m/>
    <m/>
    <m/>
    <m/>
    <s v="Реаб."/>
    <d v="2023-07-28T00:00:00"/>
    <s v="Принят"/>
    <s v="SGG"/>
    <d v="2022-04-29T00:00:00"/>
    <s v="BSP-220429-1/2(1.1.12)"/>
    <m/>
    <s v="გადასატანია 2023-ში, მაისში უნდა ჩაბარდეს, შარშან ჩაბარდა მხოლოდ პროექტი."/>
    <s v="Yes"/>
  </r>
  <r>
    <n v="1604"/>
    <s v="Кахети"/>
    <s v="Дедоплисцкаро"/>
    <s v="1.1.13. В Дедоплисцкаройском муниципалитете, в с. Земо Мачхаани, на участке Абанос Убани реабилитация газопровода. (P.2.40)"/>
    <x v="7"/>
    <n v="45000"/>
    <m/>
    <n v="43706"/>
    <n v="43706"/>
    <n v="43706"/>
    <n v="1294"/>
    <n v="0"/>
    <n v="994"/>
    <n v="0"/>
    <n v="0"/>
    <m/>
    <s v="P.2.40"/>
    <n v="0"/>
    <n v="0"/>
    <m/>
    <m/>
    <m/>
    <m/>
    <m/>
    <m/>
    <m/>
    <m/>
    <m/>
    <m/>
    <m/>
    <m/>
    <m/>
    <m/>
    <m/>
    <m/>
    <m/>
    <m/>
    <m/>
    <m/>
    <m/>
    <m/>
    <m/>
    <m/>
    <m/>
    <n v="16949.150000000001"/>
    <n v="0"/>
    <n v="0"/>
    <n v="0"/>
    <n v="0"/>
    <n v="3703.8983050847464"/>
    <m/>
    <m/>
    <m/>
    <m/>
    <m/>
    <m/>
    <m/>
    <m/>
    <s v="Реаб."/>
    <d v="2023-02-28T00:00:00"/>
    <s v="Принят"/>
    <s v="SGG"/>
    <d v="2022-04-29T00:00:00"/>
    <s v="BSP-220429-1/2(1.1.13)"/>
    <m/>
    <m/>
    <s v="Yes"/>
  </r>
  <r>
    <n v="1605"/>
    <s v="Аджара"/>
    <s v="Кобулети"/>
    <s v="1.1.1. Работы по выносу счетчиков/сетей с частных территорий в г. Кобулети. (I этап) (P.5.16)"/>
    <x v="4"/>
    <n v="700000"/>
    <s v="ამოსაღებია გაუქმდა ეს მუხლი და გაუფორმდა უნიმშენს!"/>
    <m/>
    <m/>
    <m/>
    <n v="700000"/>
    <n v="0"/>
    <m/>
    <n v="700000"/>
    <s v="X"/>
    <m/>
    <s v="P.5.16"/>
    <n v="0"/>
    <n v="0"/>
    <m/>
    <m/>
    <m/>
    <m/>
    <m/>
    <m/>
    <m/>
    <m/>
    <m/>
    <m/>
    <m/>
    <m/>
    <m/>
    <m/>
    <m/>
    <m/>
    <m/>
    <m/>
    <m/>
    <m/>
    <m/>
    <m/>
    <m/>
    <m/>
    <m/>
    <n v="0"/>
    <n v="0"/>
    <n v="0"/>
    <m/>
    <m/>
    <m/>
    <m/>
    <m/>
    <m/>
    <m/>
    <m/>
    <m/>
    <m/>
    <m/>
    <s v="Реаб."/>
    <m/>
    <n v="0"/>
    <s v="SGG"/>
    <d v="2022-05-02T00:00:00"/>
    <s v="BSP-220502-2/3(1.1.1)"/>
    <m/>
    <m/>
    <m/>
  </r>
  <r>
    <n v="1507"/>
    <s v="Квемо Картли"/>
    <s v="Марнеули"/>
    <s v="с. Тамариси, реаб. Пит. Газопр."/>
    <x v="7"/>
    <n v="124952"/>
    <m/>
    <n v="124952"/>
    <m/>
    <n v="124952"/>
    <n v="0"/>
    <n v="0"/>
    <n v="4071"/>
    <n v="0"/>
    <n v="0"/>
    <m/>
    <s v="Поручение"/>
    <n v="0"/>
    <n v="0"/>
    <m/>
    <m/>
    <m/>
    <m/>
    <m/>
    <m/>
    <m/>
    <m/>
    <m/>
    <m/>
    <m/>
    <m/>
    <m/>
    <m/>
    <m/>
    <m/>
    <m/>
    <m/>
    <m/>
    <m/>
    <m/>
    <m/>
    <m/>
    <m/>
    <m/>
    <n v="0"/>
    <n v="0"/>
    <n v="9917.3767050847473"/>
    <m/>
    <m/>
    <m/>
    <m/>
    <m/>
    <m/>
    <m/>
    <m/>
    <m/>
    <m/>
    <m/>
    <s v="Реаб."/>
    <d v="2022-02-28T00:00:00"/>
    <s v="Принят"/>
    <s v="SGG"/>
    <d v="2022-02-28T00:00:00"/>
    <s v="BS-211124-1/1"/>
    <n v="1494"/>
    <m/>
    <s v="Yes"/>
  </r>
  <r>
    <n v="1607"/>
    <s v="Аджара"/>
    <s v="Хелвачаури"/>
    <s v="1.1.3. Работы по реабилитации газопровода среднего давления в Сарпи в Квариати Хелвачаурского муниципалитета. (проектирование и строительство) (P.5.33)"/>
    <x v="4"/>
    <n v="90000"/>
    <n v="2"/>
    <n v="105962.215"/>
    <n v="104211.69"/>
    <n v="105962.215"/>
    <n v="-15962.214999999997"/>
    <n v="0"/>
    <n v="1007.5"/>
    <n v="0"/>
    <n v="0"/>
    <m/>
    <s v="P.5.33"/>
    <n v="0"/>
    <n v="0"/>
    <m/>
    <m/>
    <m/>
    <m/>
    <m/>
    <m/>
    <m/>
    <m/>
    <m/>
    <m/>
    <m/>
    <m/>
    <m/>
    <m/>
    <m/>
    <m/>
    <m/>
    <m/>
    <m/>
    <m/>
    <m/>
    <m/>
    <m/>
    <m/>
    <m/>
    <n v="0"/>
    <n v="0"/>
    <n v="0"/>
    <n v="0"/>
    <n v="0"/>
    <n v="0"/>
    <n v="0"/>
    <n v="0"/>
    <n v="0"/>
    <n v="8831.4991525423738"/>
    <m/>
    <m/>
    <m/>
    <m/>
    <s v="Реаб."/>
    <d v="2024-07-15T00:00:00"/>
    <s v="Принят"/>
    <s v="SGG"/>
    <d v="2022-05-02T00:00:00"/>
    <s v="BSP-220502-2/3(1.1.3)"/>
    <m/>
    <m/>
    <s v="Yes"/>
  </r>
  <r>
    <n v="1608"/>
    <s v="Имерети"/>
    <s v="Цкалтубо"/>
    <s v="1.1.4. Работы по реабилитации входящего газопровода ср. давления в г. Цкалтубо. (проектирование и строительство) (P.6.46, P.6.47, P.6.48)"/>
    <x v="4"/>
    <n v="2490000"/>
    <m/>
    <n v="4294439.75"/>
    <m/>
    <n v="4294439.75"/>
    <n v="-1804439.75"/>
    <n v="0"/>
    <n v="13757"/>
    <n v="0"/>
    <n v="0"/>
    <m/>
    <s v="P.6.46; P.6.48; P.6.47"/>
    <n v="0"/>
    <n v="0"/>
    <m/>
    <m/>
    <m/>
    <m/>
    <m/>
    <m/>
    <m/>
    <m/>
    <m/>
    <m/>
    <m/>
    <m/>
    <m/>
    <m/>
    <m/>
    <m/>
    <m/>
    <m/>
    <m/>
    <m/>
    <m/>
    <m/>
    <m/>
    <m/>
    <m/>
    <n v="1973629.8"/>
    <n v="131595.68"/>
    <n v="0"/>
    <n v="0"/>
    <n v="0"/>
    <n v="335529.22769142379"/>
    <m/>
    <m/>
    <m/>
    <m/>
    <m/>
    <m/>
    <m/>
    <m/>
    <s v="Реаб."/>
    <d v="2023-02-28T00:00:00"/>
    <s v="Принят"/>
    <s v="SGG"/>
    <d v="2022-05-02T00:00:00"/>
    <s v="BSP-220502-2/3(1.1.4)"/>
    <m/>
    <m/>
    <s v="Yes"/>
  </r>
  <r>
    <n v="1576"/>
    <s v="Самцхе Джавахети"/>
    <s v="Бакуриани"/>
    <s v="1.1.28. В Бакуриани вынос-замена счётчиков с частных территорий. (P.3.129) (проектирование и строительство)"/>
    <x v="5"/>
    <n v="135000"/>
    <m/>
    <n v="128489.44"/>
    <n v="108889.3559322034"/>
    <n v="128489.44"/>
    <n v="6510.5599999999977"/>
    <n v="0"/>
    <n v="2456"/>
    <n v="0"/>
    <n v="0"/>
    <m/>
    <s v="P.3.129"/>
    <n v="0"/>
    <n v="0"/>
    <m/>
    <m/>
    <m/>
    <m/>
    <m/>
    <m/>
    <m/>
    <m/>
    <m/>
    <m/>
    <m/>
    <m/>
    <m/>
    <m/>
    <m/>
    <m/>
    <m/>
    <m/>
    <m/>
    <m/>
    <m/>
    <m/>
    <m/>
    <m/>
    <m/>
    <n v="0"/>
    <n v="0"/>
    <n v="10198.141519186443"/>
    <m/>
    <m/>
    <m/>
    <m/>
    <m/>
    <m/>
    <m/>
    <m/>
    <m/>
    <m/>
    <m/>
    <s v="Реаб."/>
    <d v="2022-12-30T00:00:00"/>
    <s v="Принят"/>
    <s v="Сакорггаз"/>
    <d v="2022-04-25T00:00:00"/>
    <s v="BCP-220425-1/2(1.1.28)"/>
    <m/>
    <m/>
    <m/>
  </r>
  <r>
    <n v="1562"/>
    <s v="Шида Картли"/>
    <s v="Гори"/>
    <s v="1.1.14. В г. Гори работы по реабилитации улицы Робакидзе. (P.3.205) (проектирование и строительство)"/>
    <x v="5"/>
    <n v="60000"/>
    <m/>
    <n v="117772.42"/>
    <m/>
    <n v="117772.42"/>
    <n v="-57772.42"/>
    <n v="0"/>
    <n v="1260.5"/>
    <n v="0"/>
    <n v="0"/>
    <m/>
    <s v="P.3.205"/>
    <n v="0"/>
    <n v="0"/>
    <m/>
    <m/>
    <m/>
    <m/>
    <m/>
    <m/>
    <m/>
    <m/>
    <m/>
    <m/>
    <m/>
    <m/>
    <m/>
    <m/>
    <m/>
    <m/>
    <m/>
    <m/>
    <m/>
    <m/>
    <m/>
    <m/>
    <m/>
    <m/>
    <m/>
    <n v="92798.31"/>
    <n v="3448.79"/>
    <n v="9541.6166233220356"/>
    <m/>
    <m/>
    <m/>
    <m/>
    <m/>
    <m/>
    <m/>
    <m/>
    <m/>
    <m/>
    <m/>
    <s v="Реаб."/>
    <d v="2022-12-30T00:00:00"/>
    <s v="Принят"/>
    <s v="Сакорггаз"/>
    <d v="2022-04-25T00:00:00"/>
    <s v="BCP-220425-1/2(1.1.14)"/>
    <m/>
    <s v="დასრულდა 2022-ში"/>
    <m/>
  </r>
  <r>
    <n v="1611"/>
    <s v="Имерети"/>
    <s v="Вани"/>
    <s v="1.1.2. В селе Амаглеба, перекладка сети на среднее давление. (P.6.172)"/>
    <x v="4"/>
    <n v="26000"/>
    <m/>
    <n v="5273.67"/>
    <m/>
    <n v="5273.67"/>
    <n v="20726.330000000002"/>
    <n v="0"/>
    <n v="17"/>
    <n v="0"/>
    <n v="0"/>
    <m/>
    <s v="P.6.172"/>
    <n v="0"/>
    <n v="0"/>
    <m/>
    <m/>
    <m/>
    <m/>
    <m/>
    <m/>
    <m/>
    <m/>
    <m/>
    <m/>
    <m/>
    <m/>
    <m/>
    <m/>
    <m/>
    <m/>
    <m/>
    <m/>
    <m/>
    <m/>
    <m/>
    <m/>
    <m/>
    <m/>
    <m/>
    <n v="0"/>
    <n v="0"/>
    <n v="0"/>
    <m/>
    <m/>
    <m/>
    <m/>
    <m/>
    <m/>
    <m/>
    <m/>
    <m/>
    <m/>
    <m/>
    <s v="Реаб."/>
    <d v="2022-12-30T00:00:00"/>
    <s v="Принят"/>
    <s v="Сакорггаз"/>
    <d v="2022-03-21T00:00:00"/>
    <s v="BCP-220321-1/2(1.1.2)"/>
    <m/>
    <m/>
    <m/>
  </r>
  <r>
    <n v="1612"/>
    <s v="Имерети"/>
    <s v="Вани"/>
    <s v="1.1.3. В селе Гагмавани укрепление стояков воздушного газопровода на сети низкого давления. (P.6.122)"/>
    <x v="4"/>
    <n v="25000"/>
    <s v="ამოსაღებია არ კეთდება საერთოდ! მოიცავს ვანის სოფლებში დაგეგმილი სხვა სამუშაოები."/>
    <m/>
    <m/>
    <m/>
    <n v="25000"/>
    <n v="0"/>
    <m/>
    <n v="25000"/>
    <s v="X"/>
    <m/>
    <s v="P.6.122"/>
    <n v="0"/>
    <n v="0"/>
    <m/>
    <m/>
    <m/>
    <m/>
    <m/>
    <m/>
    <m/>
    <m/>
    <m/>
    <m/>
    <m/>
    <m/>
    <m/>
    <m/>
    <m/>
    <m/>
    <m/>
    <m/>
    <m/>
    <m/>
    <m/>
    <m/>
    <m/>
    <m/>
    <m/>
    <n v="0"/>
    <n v="0"/>
    <n v="0"/>
    <m/>
    <m/>
    <m/>
    <m/>
    <m/>
    <m/>
    <m/>
    <m/>
    <m/>
    <m/>
    <m/>
    <s v="Реаб."/>
    <m/>
    <n v="0"/>
    <s v="Сакорггаз"/>
    <d v="2022-03-21T00:00:00"/>
    <s v="BCP-220321-1/2(1.1.3)"/>
    <m/>
    <s v="არ კეთდება საერთოდ! მოიცავს ვანის სოფლებში დაგეგმილი სხვა სამუშაოები."/>
    <m/>
  </r>
  <r>
    <n v="1613"/>
    <s v="Имерети"/>
    <s v="Вани"/>
    <s v="1.1.4. В селах Амаглеба и Копитнари, на 18-ом узле перекладка сети на среднее давление. (P.6.170)"/>
    <x v="4"/>
    <n v="22000"/>
    <m/>
    <n v="4154.16"/>
    <m/>
    <n v="4154.16"/>
    <n v="17845.84"/>
    <n v="0"/>
    <n v="10"/>
    <n v="0"/>
    <n v="0"/>
    <m/>
    <s v="P.6.170"/>
    <n v="0"/>
    <n v="0"/>
    <m/>
    <m/>
    <m/>
    <m/>
    <m/>
    <m/>
    <m/>
    <m/>
    <m/>
    <m/>
    <m/>
    <m/>
    <m/>
    <m/>
    <m/>
    <m/>
    <m/>
    <m/>
    <m/>
    <m/>
    <m/>
    <m/>
    <m/>
    <m/>
    <m/>
    <n v="0"/>
    <n v="0"/>
    <n v="0"/>
    <m/>
    <m/>
    <m/>
    <m/>
    <m/>
    <m/>
    <m/>
    <m/>
    <m/>
    <m/>
    <m/>
    <s v="Реаб."/>
    <d v="2022-12-30T00:00:00"/>
    <s v="Принят"/>
    <s v="Сакорггаз"/>
    <d v="2022-03-21T00:00:00"/>
    <s v="BCP-220321-1/2(1.1.4)"/>
    <m/>
    <m/>
    <m/>
  </r>
  <r>
    <n v="1614"/>
    <s v="Имерети"/>
    <s v="Вани"/>
    <s v="1.1.5. В селе Инашаури, на 19-ом узле перекладка сети на среднее давление. (P.6.171)"/>
    <x v="4"/>
    <n v="22000"/>
    <m/>
    <n v="4499.84"/>
    <m/>
    <n v="4499.84"/>
    <n v="17500.16"/>
    <n v="0"/>
    <n v="4"/>
    <n v="0"/>
    <n v="0"/>
    <m/>
    <s v="P.6.171"/>
    <n v="0"/>
    <n v="0"/>
    <m/>
    <m/>
    <m/>
    <m/>
    <m/>
    <m/>
    <m/>
    <m/>
    <m/>
    <m/>
    <m/>
    <m/>
    <m/>
    <m/>
    <m/>
    <m/>
    <m/>
    <m/>
    <m/>
    <m/>
    <m/>
    <m/>
    <m/>
    <m/>
    <m/>
    <n v="0"/>
    <n v="0"/>
    <n v="0"/>
    <m/>
    <m/>
    <m/>
    <m/>
    <m/>
    <m/>
    <m/>
    <m/>
    <m/>
    <m/>
    <m/>
    <s v="Реаб."/>
    <d v="2022-12-30T00:00:00"/>
    <s v="Принят"/>
    <s v="Сакорггаз"/>
    <d v="2022-03-21T00:00:00"/>
    <s v="BCP-220321-1/2(1.1.5)"/>
    <m/>
    <m/>
    <m/>
  </r>
  <r>
    <n v="1615"/>
    <s v="Имерети"/>
    <s v="Вани"/>
    <s v="1.1.6. В с. Кумури (от школы Микелефона до центра Кумури) реабилитация/перекладка на среднее давление. (P.6.126)"/>
    <x v="4"/>
    <n v="20000"/>
    <m/>
    <n v="3187.99"/>
    <m/>
    <n v="3187.9900000000002"/>
    <n v="16812.009999999998"/>
    <n v="0"/>
    <n v="5"/>
    <n v="-4.5474735088646412E-13"/>
    <n v="0"/>
    <m/>
    <s v="P.6.126"/>
    <n v="0"/>
    <n v="0"/>
    <m/>
    <m/>
    <m/>
    <m/>
    <m/>
    <m/>
    <m/>
    <m/>
    <m/>
    <m/>
    <m/>
    <m/>
    <m/>
    <m/>
    <m/>
    <m/>
    <m/>
    <m/>
    <m/>
    <m/>
    <m/>
    <m/>
    <m/>
    <m/>
    <m/>
    <n v="0"/>
    <n v="0"/>
    <n v="0"/>
    <m/>
    <m/>
    <m/>
    <m/>
    <m/>
    <m/>
    <m/>
    <m/>
    <m/>
    <m/>
    <m/>
    <s v="Реаб."/>
    <d v="2022-12-30T00:00:00"/>
    <s v="Принят"/>
    <s v="Сакорггаз"/>
    <d v="2022-03-21T00:00:00"/>
    <s v="BCP-220321-1/2(1.1.6)"/>
    <m/>
    <m/>
    <m/>
  </r>
  <r>
    <n v="1523"/>
    <s v="Шида Картли"/>
    <s v="Каспи"/>
    <s v="1.20; 1.21; 1.22 Реаб. газоп. в с. Перма+от Перма в сторонй Чангилари+в Перма через ветрянную полосу."/>
    <x v="5"/>
    <n v="118668"/>
    <m/>
    <n v="110443"/>
    <m/>
    <n v="110443"/>
    <n v="8225"/>
    <n v="0"/>
    <n v="2742"/>
    <n v="0"/>
    <n v="0"/>
    <m/>
    <s v="P 3.51"/>
    <n v="0"/>
    <n v="0"/>
    <m/>
    <m/>
    <m/>
    <m/>
    <m/>
    <m/>
    <m/>
    <m/>
    <m/>
    <m/>
    <m/>
    <m/>
    <m/>
    <m/>
    <m/>
    <m/>
    <m/>
    <m/>
    <m/>
    <m/>
    <m/>
    <m/>
    <m/>
    <m/>
    <m/>
    <n v="0"/>
    <n v="0"/>
    <n v="8765.8047525423735"/>
    <m/>
    <m/>
    <m/>
    <m/>
    <m/>
    <m/>
    <m/>
    <m/>
    <m/>
    <m/>
    <m/>
    <s v="Реаб."/>
    <d v="2022-03-31T00:00:00"/>
    <s v="Принят"/>
    <s v="Сакорггаз"/>
    <d v="2022-01-10T00:00:00"/>
    <s v="BC-220110-2/0"/>
    <n v="140"/>
    <m/>
    <s v="Yes"/>
  </r>
  <r>
    <n v="1504"/>
    <s v="Мцхета-Мтианети"/>
    <s v="Тианети"/>
    <s v="с. Тетрахева"/>
    <x v="7"/>
    <n v="110078"/>
    <m/>
    <n v="110078"/>
    <m/>
    <n v="110078"/>
    <n v="0"/>
    <n v="0"/>
    <n v="4479"/>
    <n v="0"/>
    <n v="0"/>
    <n v="32"/>
    <s v="Поручение"/>
    <n v="0"/>
    <n v="0"/>
    <m/>
    <m/>
    <m/>
    <m/>
    <m/>
    <m/>
    <m/>
    <m/>
    <m/>
    <m/>
    <m/>
    <m/>
    <m/>
    <m/>
    <m/>
    <m/>
    <m/>
    <m/>
    <m/>
    <m/>
    <m/>
    <m/>
    <m/>
    <m/>
    <m/>
    <n v="0"/>
    <n v="0"/>
    <n v="8736.8348881355942"/>
    <m/>
    <m/>
    <m/>
    <m/>
    <m/>
    <m/>
    <m/>
    <m/>
    <m/>
    <m/>
    <m/>
    <s v="Н. Стр."/>
    <d v="2022-04-29T00:00:00"/>
    <s v="Принят"/>
    <s v="SGG"/>
    <d v="2022-04-29T00:00:00"/>
    <s v="BS-211115-1/1"/>
    <n v="1515"/>
    <m/>
    <s v="Yes"/>
  </r>
  <r>
    <n v="1633"/>
    <s v="Квемо Картли"/>
    <s v="Рустави"/>
    <s v="Реаб. Газопр. По ул. Клдиашвили в г. Рустави"/>
    <x v="7"/>
    <n v="85000"/>
    <m/>
    <n v="82840"/>
    <m/>
    <n v="82840"/>
    <n v="2160"/>
    <n v="0"/>
    <n v="776"/>
    <n v="0"/>
    <n v="0"/>
    <m/>
    <s v="Поручение (авария)"/>
    <n v="0"/>
    <n v="0"/>
    <m/>
    <m/>
    <m/>
    <m/>
    <m/>
    <m/>
    <m/>
    <m/>
    <m/>
    <m/>
    <m/>
    <m/>
    <m/>
    <m/>
    <m/>
    <m/>
    <m/>
    <m/>
    <m/>
    <m/>
    <m/>
    <m/>
    <m/>
    <m/>
    <m/>
    <n v="0"/>
    <n v="0"/>
    <n v="6574.9686779661024"/>
    <m/>
    <m/>
    <m/>
    <m/>
    <m/>
    <m/>
    <m/>
    <m/>
    <m/>
    <m/>
    <m/>
    <s v="Реаб."/>
    <d v="2022-12-30T00:00:00"/>
    <s v="Принят"/>
    <s v="Сакорггаз"/>
    <d v="2022-07-10T00:00:00"/>
    <s v="BCP-220710-1/0"/>
    <m/>
    <m/>
    <s v="Yes"/>
  </r>
  <r>
    <n v="1618"/>
    <s v="Имерети"/>
    <s v="Терджола"/>
    <s v="1.1.9. В г. Терджола, работы по замене регуляторов. (P.6.146)"/>
    <x v="4"/>
    <n v="126000"/>
    <m/>
    <n v="73926.681524850006"/>
    <m/>
    <n v="73926.681524850006"/>
    <n v="52073.318475149994"/>
    <n v="0"/>
    <n v="0"/>
    <n v="0"/>
    <n v="0"/>
    <m/>
    <s v="P.6.146"/>
    <n v="0"/>
    <n v="0"/>
    <m/>
    <m/>
    <m/>
    <m/>
    <m/>
    <m/>
    <m/>
    <m/>
    <m/>
    <m/>
    <m/>
    <m/>
    <m/>
    <m/>
    <m/>
    <m/>
    <m/>
    <m/>
    <m/>
    <m/>
    <m/>
    <m/>
    <m/>
    <m/>
    <m/>
    <n v="0"/>
    <n v="0"/>
    <n v="5867.5231227892818"/>
    <m/>
    <m/>
    <m/>
    <m/>
    <m/>
    <m/>
    <m/>
    <m/>
    <m/>
    <m/>
    <m/>
    <s v="Реаб."/>
    <d v="2022-12-30T00:00:00"/>
    <s v="Принят"/>
    <s v="Сакорггаз"/>
    <d v="2022-03-21T00:00:00"/>
    <s v="BCP-220321-1/2(1.1.9)"/>
    <m/>
    <m/>
    <m/>
  </r>
  <r>
    <n v="1501"/>
    <s v="Квемо Картли"/>
    <s v="Гардабани"/>
    <s v="1.11 Вынос счетчиков в с. Кесало Гардабанского муниципалитета"/>
    <x v="7"/>
    <n v="74153"/>
    <m/>
    <n v="71076"/>
    <m/>
    <n v="71076"/>
    <n v="3077"/>
    <n v="0"/>
    <n v="1521"/>
    <n v="0"/>
    <n v="0"/>
    <m/>
    <s v="P.2.132"/>
    <n v="0"/>
    <n v="0"/>
    <m/>
    <m/>
    <m/>
    <m/>
    <m/>
    <m/>
    <m/>
    <m/>
    <m/>
    <m/>
    <m/>
    <m/>
    <m/>
    <m/>
    <m/>
    <m/>
    <m/>
    <m/>
    <m/>
    <m/>
    <m/>
    <m/>
    <m/>
    <m/>
    <m/>
    <n v="0"/>
    <n v="0"/>
    <n v="5641.2659796610169"/>
    <m/>
    <m/>
    <m/>
    <m/>
    <m/>
    <m/>
    <m/>
    <m/>
    <m/>
    <m/>
    <m/>
    <s v="Реаб."/>
    <d v="2022-03-31T00:00:00"/>
    <s v="Принят"/>
    <s v="SGG"/>
    <d v="2021-11-24T00:00:00"/>
    <s v="BS-211124-2/0"/>
    <n v="1479"/>
    <m/>
    <s v="Yes"/>
  </r>
  <r>
    <n v="1621"/>
    <s v="Имерети"/>
    <s v="Самтредия"/>
    <s v="1.1.12. В г. Самтредиа, на улицах Телия, Чавчавадзе и Руставели реабилитационные работы газопроводов. (P.6.103) и (P.6.104)"/>
    <x v="4"/>
    <n v="840000"/>
    <m/>
    <n v="1132273.8500000001"/>
    <m/>
    <n v="1132273.8500000001"/>
    <n v="-292273.85000000009"/>
    <n v="0"/>
    <m/>
    <n v="0"/>
    <n v="0"/>
    <m/>
    <s v="P.6.103; P.6.104"/>
    <n v="0"/>
    <n v="0"/>
    <m/>
    <m/>
    <m/>
    <m/>
    <m/>
    <m/>
    <m/>
    <m/>
    <m/>
    <m/>
    <m/>
    <m/>
    <m/>
    <m/>
    <m/>
    <m/>
    <m/>
    <m/>
    <m/>
    <m/>
    <m/>
    <m/>
    <m/>
    <m/>
    <m/>
    <n v="593220.34"/>
    <n v="30579.289528674246"/>
    <n v="0"/>
    <n v="0"/>
    <n v="0"/>
    <n v="92897.482064081749"/>
    <m/>
    <m/>
    <m/>
    <m/>
    <m/>
    <m/>
    <m/>
    <m/>
    <s v="Реаб."/>
    <d v="2023-04-30T00:00:00"/>
    <s v="Принят"/>
    <s v="Сакорггаз"/>
    <d v="2022-03-21T00:00:00"/>
    <s v="BCP-220321-1/2(1.1.12)"/>
    <m/>
    <m/>
    <s v="Yes"/>
  </r>
  <r>
    <n v="1622"/>
    <s v="Имерети"/>
    <s v="Самтредия"/>
    <s v="1.1.13. В г. Самтредиа, реабилитация газопровода на ул. Дидгори. (P.6.108)"/>
    <x v="4"/>
    <n v="225700"/>
    <m/>
    <n v="227410.19"/>
    <m/>
    <n v="227410.19"/>
    <n v="-1710.1900000000023"/>
    <n v="0"/>
    <n v="2180"/>
    <n v="0"/>
    <n v="0"/>
    <m/>
    <s v="P.6.108"/>
    <n v="0"/>
    <n v="0"/>
    <m/>
    <m/>
    <m/>
    <m/>
    <m/>
    <m/>
    <m/>
    <m/>
    <m/>
    <m/>
    <m/>
    <m/>
    <m/>
    <m/>
    <m/>
    <m/>
    <m/>
    <m/>
    <m/>
    <m/>
    <m/>
    <m/>
    <m/>
    <m/>
    <m/>
    <n v="84745.76"/>
    <n v="4368.4690000000001"/>
    <n v="0"/>
    <n v="0"/>
    <n v="0"/>
    <n v="18835.203099999999"/>
    <m/>
    <m/>
    <m/>
    <m/>
    <m/>
    <m/>
    <m/>
    <m/>
    <s v="Реаб."/>
    <d v="2023-05-31T00:00:00"/>
    <s v="Принят"/>
    <s v="Сакорггаз"/>
    <d v="2022-03-21T00:00:00"/>
    <s v="BCP-220321-1/2(1.1.13)"/>
    <m/>
    <m/>
    <s v="Yes"/>
  </r>
  <r>
    <n v="1623"/>
    <s v="Рача"/>
    <s v="Амбролаури"/>
    <s v="1.1.14. В г. Амбролаури, по разным локациям, в местах переходов, прокладка газопроводов в кожух. (P.6.97)"/>
    <x v="4"/>
    <n v="53000"/>
    <s v="ამოსაღებია მცირე ეტაპები (გადასვლები) გაკეთდა ექსპლუატაციით."/>
    <m/>
    <m/>
    <m/>
    <n v="53000"/>
    <n v="0"/>
    <m/>
    <n v="53000"/>
    <s v="X"/>
    <m/>
    <s v="P.6.97"/>
    <n v="0"/>
    <n v="0"/>
    <m/>
    <m/>
    <m/>
    <m/>
    <m/>
    <m/>
    <m/>
    <m/>
    <m/>
    <m/>
    <m/>
    <m/>
    <m/>
    <m/>
    <m/>
    <m/>
    <m/>
    <m/>
    <m/>
    <m/>
    <m/>
    <m/>
    <m/>
    <m/>
    <m/>
    <n v="0"/>
    <n v="0"/>
    <n v="0"/>
    <m/>
    <m/>
    <m/>
    <m/>
    <m/>
    <m/>
    <m/>
    <m/>
    <m/>
    <m/>
    <m/>
    <s v="Реаб."/>
    <m/>
    <n v="0"/>
    <s v="Сакорггаз"/>
    <d v="2022-03-21T00:00:00"/>
    <s v="BCP-220321-1/2(1.1.14)"/>
    <m/>
    <s v="გასაუქმებელია, მცირე ეტაპები (გადასვლები) გაკეთდა ექსპლუატაციით."/>
    <m/>
  </r>
  <r>
    <n v="1600"/>
    <s v="Кахети"/>
    <s v="Дедоплисцкаро"/>
    <s v="1.1.9. В Дедоплисцкаройском муниципалитете, в с.Озаани реабилитация питающего газопровода. (P.2.36)"/>
    <x v="7"/>
    <n v="150000"/>
    <m/>
    <n v="62321"/>
    <m/>
    <n v="62320.999999999993"/>
    <n v="87679"/>
    <n v="0"/>
    <n v="1228"/>
    <n v="7.2759576141834259E-12"/>
    <n v="0"/>
    <m/>
    <s v="P.2.36"/>
    <n v="0"/>
    <n v="0"/>
    <m/>
    <m/>
    <m/>
    <m/>
    <m/>
    <m/>
    <m/>
    <m/>
    <m/>
    <m/>
    <m/>
    <m/>
    <m/>
    <m/>
    <m/>
    <m/>
    <m/>
    <m/>
    <m/>
    <m/>
    <m/>
    <m/>
    <m/>
    <m/>
    <m/>
    <n v="48305.079999999994"/>
    <n v="2133.75"/>
    <n v="5018.2088779661026"/>
    <m/>
    <m/>
    <m/>
    <m/>
    <m/>
    <m/>
    <m/>
    <m/>
    <m/>
    <m/>
    <m/>
    <s v="Реаб."/>
    <d v="2022-12-30T00:00:00"/>
    <s v="Принят"/>
    <s v="SGG"/>
    <d v="2022-04-29T00:00:00"/>
    <s v="BSP-220429-1/2(1.1.9)"/>
    <m/>
    <m/>
    <m/>
  </r>
  <r>
    <n v="1577"/>
    <s v="Самцхе Джавахети"/>
    <s v="Бакуриани"/>
    <s v="1.1.29. В Бакуриани реабилитационные работы газопровода (D=150) по улице Триалети. (P. 3.240)"/>
    <x v="5"/>
    <n v="50000"/>
    <m/>
    <n v="62290.37"/>
    <m/>
    <n v="62290.369999999995"/>
    <n v="-12290.369999999995"/>
    <n v="0"/>
    <n v="376"/>
    <n v="7.2759576141834259E-12"/>
    <n v="0"/>
    <m/>
    <s v="P. 3.240"/>
    <n v="0"/>
    <n v="0"/>
    <m/>
    <m/>
    <m/>
    <m/>
    <m/>
    <m/>
    <m/>
    <m/>
    <m/>
    <m/>
    <m/>
    <m/>
    <m/>
    <m/>
    <m/>
    <m/>
    <m/>
    <m/>
    <m/>
    <m/>
    <m/>
    <m/>
    <m/>
    <m/>
    <m/>
    <n v="0"/>
    <n v="0"/>
    <n v="4943.9549938305099"/>
    <m/>
    <m/>
    <m/>
    <m/>
    <m/>
    <m/>
    <m/>
    <m/>
    <m/>
    <m/>
    <m/>
    <s v="Реаб."/>
    <d v="2022-12-30T00:00:00"/>
    <s v="Принят"/>
    <s v="Сакорггаз"/>
    <d v="2022-04-25T00:00:00"/>
    <s v="BCP-220425-1/2(1.1.29)"/>
    <m/>
    <m/>
    <m/>
  </r>
  <r>
    <n v="1560"/>
    <s v="Шида Картли"/>
    <s v="Гори"/>
    <s v="1.1.12. В муниципалитете Гори, в с. Бербуки работы по реабилитации газопровода. (P.3.109)"/>
    <x v="5"/>
    <n v="30000"/>
    <m/>
    <n v="55782.94"/>
    <m/>
    <n v="55782.94"/>
    <n v="-25782.940000000002"/>
    <n v="0"/>
    <n v="1119"/>
    <n v="0"/>
    <n v="0"/>
    <m/>
    <s v="P.3.109"/>
    <n v="0"/>
    <n v="0"/>
    <m/>
    <m/>
    <m/>
    <m/>
    <m/>
    <m/>
    <m/>
    <m/>
    <m/>
    <m/>
    <m/>
    <m/>
    <m/>
    <m/>
    <m/>
    <m/>
    <m/>
    <m/>
    <m/>
    <m/>
    <m/>
    <m/>
    <m/>
    <m/>
    <m/>
    <n v="0"/>
    <n v="0"/>
    <n v="4427.4635835932204"/>
    <m/>
    <m/>
    <m/>
    <m/>
    <m/>
    <m/>
    <m/>
    <m/>
    <m/>
    <m/>
    <m/>
    <s v="Реаб."/>
    <d v="2022-12-30T00:00:00"/>
    <s v="Принят"/>
    <s v="Сакорггаз"/>
    <d v="2022-04-25T00:00:00"/>
    <s v="BCP-220425-1/2(1.1.12)"/>
    <m/>
    <m/>
    <m/>
  </r>
  <r>
    <n v="1521"/>
    <s v="Квемо Картли"/>
    <s v="Рустави"/>
    <s v="Вынос счетч. с корпусов ул. Костава №25, ул. Мегоброба №26."/>
    <x v="7"/>
    <n v="64967"/>
    <m/>
    <n v="52848"/>
    <m/>
    <n v="52848"/>
    <n v="12119"/>
    <n v="0"/>
    <n v="1027"/>
    <n v="0"/>
    <n v="0"/>
    <m/>
    <s v="P.2.72 (1 и 2)"/>
    <n v="0"/>
    <n v="0"/>
    <m/>
    <m/>
    <m/>
    <m/>
    <m/>
    <m/>
    <m/>
    <m/>
    <m/>
    <m/>
    <m/>
    <m/>
    <m/>
    <m/>
    <m/>
    <m/>
    <m/>
    <m/>
    <m/>
    <m/>
    <m/>
    <m/>
    <m/>
    <m/>
    <m/>
    <n v="0"/>
    <n v="0"/>
    <n v="4194.5188881355934"/>
    <m/>
    <m/>
    <m/>
    <m/>
    <m/>
    <m/>
    <m/>
    <m/>
    <m/>
    <m/>
    <m/>
    <s v="Реаб."/>
    <d v="2022-06-30T00:00:00"/>
    <s v="Принят"/>
    <s v="Сакорггаз"/>
    <d v="2022-03-22T00:00:00"/>
    <s v="BC-220322-1/0"/>
    <s v="003-22; 004-22"/>
    <m/>
    <s v="Yes"/>
  </r>
  <r>
    <n v="1628"/>
    <s v="Шида Картли"/>
    <s v="Гори"/>
    <s v="от сёл Свенети и Бербуки Гориского муниципалитета по ул. Сухишвили г. Гори, реаб. Газопр.  ср. давления P.3.84"/>
    <x v="6"/>
    <n v="801612"/>
    <m/>
    <n v="847375.33"/>
    <m/>
    <n v="847375.33"/>
    <n v="-45763.329999999958"/>
    <n v="0"/>
    <n v="5512"/>
    <n v="0"/>
    <n v="0"/>
    <m/>
    <s v="P.3.84"/>
    <n v="0"/>
    <n v="0"/>
    <m/>
    <m/>
    <m/>
    <m/>
    <m/>
    <m/>
    <m/>
    <m/>
    <m/>
    <m/>
    <m/>
    <m/>
    <m/>
    <m/>
    <m/>
    <m/>
    <m/>
    <m/>
    <m/>
    <m/>
    <m/>
    <m/>
    <m/>
    <m/>
    <m/>
    <n v="0"/>
    <n v="0"/>
    <n v="0"/>
    <m/>
    <m/>
    <m/>
    <m/>
    <m/>
    <m/>
    <m/>
    <m/>
    <m/>
    <m/>
    <m/>
    <s v="Реаб."/>
    <d v="2023-03-15T00:00:00"/>
    <s v="Принят"/>
    <s v="Сакорггаз"/>
    <d v="2022-06-13T00:00:00"/>
    <s v="BC-220613-1/2"/>
    <s v="B-008-22"/>
    <m/>
    <m/>
  </r>
  <r>
    <n v="1629"/>
    <s v="Шида Картли"/>
    <s v="Гори"/>
    <s v="Ул. Робакидзе (P.3.205) и ул. Гвердцители (P.3.716) (I этап)"/>
    <x v="5"/>
    <n v="160000"/>
    <n v="2"/>
    <m/>
    <m/>
    <m/>
    <n v="160000"/>
    <n v="0"/>
    <m/>
    <n v="160000"/>
    <n v="1"/>
    <m/>
    <s v="P.3.205; P.3.716"/>
    <n v="0"/>
    <n v="0"/>
    <m/>
    <m/>
    <m/>
    <m/>
    <m/>
    <m/>
    <m/>
    <m/>
    <m/>
    <m/>
    <m/>
    <m/>
    <m/>
    <m/>
    <m/>
    <m/>
    <m/>
    <m/>
    <m/>
    <m/>
    <m/>
    <m/>
    <m/>
    <m/>
    <m/>
    <n v="0"/>
    <n v="0"/>
    <n v="0"/>
    <m/>
    <m/>
    <m/>
    <m/>
    <m/>
    <m/>
    <m/>
    <m/>
    <m/>
    <m/>
    <m/>
    <s v="Реаб."/>
    <m/>
    <n v="0"/>
    <s v="Сакорггаз"/>
    <d v="2022-06-08T00:00:00"/>
    <s v="BCP-220608-1/0"/>
    <m/>
    <s v="გასაუქმებელია ხელშეკრულება. სამუშაოები გაკეთდა სხვა ხელშეკრულებით. (გასარკვევია, რატომ ჩასვეს 2025-ის გეგმაში!)"/>
    <m/>
  </r>
  <r>
    <n v="1630"/>
    <s v="Самцхе Джавахети"/>
    <s v="Адигени"/>
    <s v="Перекладка газопр. у реки Поцхови поврежденного из за наваднения. (A.3.004)"/>
    <x v="5"/>
    <n v="46000"/>
    <m/>
    <n v="42482.67"/>
    <m/>
    <n v="42482.670000000006"/>
    <n v="3517.3299999999945"/>
    <n v="0"/>
    <n v="210"/>
    <n v="-7.2759576141834259E-12"/>
    <n v="0"/>
    <m/>
    <s v="Поручение (авария) (A.3.004)"/>
    <n v="0"/>
    <n v="0"/>
    <m/>
    <m/>
    <m/>
    <m/>
    <m/>
    <m/>
    <m/>
    <m/>
    <m/>
    <m/>
    <m/>
    <m/>
    <m/>
    <m/>
    <m/>
    <m/>
    <m/>
    <m/>
    <m/>
    <m/>
    <m/>
    <m/>
    <m/>
    <m/>
    <m/>
    <n v="0"/>
    <n v="0"/>
    <n v="0"/>
    <n v="0"/>
    <n v="0"/>
    <n v="3575.3110169491529"/>
    <m/>
    <m/>
    <m/>
    <m/>
    <m/>
    <m/>
    <m/>
    <m/>
    <s v="Реаб."/>
    <d v="2023-02-28T00:00:00"/>
    <s v="Принят"/>
    <s v="SGG"/>
    <d v="2022-05-16T00:00:00"/>
    <s v="BSP-220516-1/0"/>
    <m/>
    <m/>
    <s v="Yes"/>
  </r>
  <r>
    <n v="1631"/>
    <s v="Мцхета-Мтианети"/>
    <s v="Мцхета"/>
    <s v="Перекладка газопр. у реки Арагви, около Бебрисцихе, поврежденного из за наваднения. В Мцхета (A.3.003)"/>
    <x v="5"/>
    <n v="16000"/>
    <m/>
    <n v="10412"/>
    <m/>
    <n v="10412"/>
    <n v="5588"/>
    <n v="0"/>
    <n v="248"/>
    <n v="0"/>
    <n v="0"/>
    <m/>
    <s v="Поручение (авария) (A.3.003)"/>
    <n v="0"/>
    <n v="0"/>
    <m/>
    <m/>
    <m/>
    <m/>
    <m/>
    <m/>
    <m/>
    <m/>
    <m/>
    <m/>
    <m/>
    <m/>
    <m/>
    <m/>
    <m/>
    <m/>
    <m/>
    <m/>
    <m/>
    <m/>
    <m/>
    <m/>
    <m/>
    <m/>
    <m/>
    <n v="0"/>
    <n v="0"/>
    <n v="0"/>
    <n v="0"/>
    <n v="0"/>
    <n v="845.5932203389832"/>
    <m/>
    <m/>
    <m/>
    <m/>
    <m/>
    <m/>
    <m/>
    <m/>
    <s v="Реаб."/>
    <d v="2023-02-28T00:00:00"/>
    <s v="Принят"/>
    <s v="SGG"/>
    <d v="2022-07-11T00:00:00"/>
    <s v="BSP-220711-1/0"/>
    <m/>
    <m/>
    <s v="Yes"/>
  </r>
  <r>
    <n v="1632"/>
    <s v="Мцхета-Мтианети"/>
    <s v="Мцхета"/>
    <s v="Реаб. Газопр. D=150мм вдоль трассы Армази-Дзегви (I этап P.3.155) в Мцхета"/>
    <x v="5"/>
    <n v="25000"/>
    <n v="2"/>
    <n v="700000"/>
    <m/>
    <n v="106779.66"/>
    <n v="-81779.66"/>
    <n v="593220.34"/>
    <n v="200"/>
    <n v="-81779.66"/>
    <n v="1"/>
    <m/>
    <s v="P.3.155"/>
    <n v="700000"/>
    <n v="106779.66"/>
    <m/>
    <m/>
    <m/>
    <m/>
    <m/>
    <m/>
    <n v="700000"/>
    <m/>
    <m/>
    <n v="106779.66"/>
    <m/>
    <m/>
    <m/>
    <m/>
    <m/>
    <m/>
    <m/>
    <m/>
    <m/>
    <m/>
    <m/>
    <m/>
    <m/>
    <m/>
    <m/>
    <n v="0"/>
    <n v="0"/>
    <n v="0"/>
    <m/>
    <m/>
    <m/>
    <m/>
    <m/>
    <m/>
    <m/>
    <m/>
    <m/>
    <m/>
    <m/>
    <s v="Реаб."/>
    <m/>
    <n v="0"/>
    <s v="SGG"/>
    <d v="2022-06-08T00:00:00"/>
    <s v="BSP-220608-1/0"/>
    <m/>
    <m/>
    <s v="Yes"/>
  </r>
  <r>
    <n v="1563"/>
    <s v="Шида Картли"/>
    <s v="Гори"/>
    <s v="1.1.15. В г. Гори реабилитация газопровода на ул. Гвердцители. (P.3.716) (проектирование и строительство)"/>
    <x v="5"/>
    <n v="80000"/>
    <m/>
    <n v="51230.32"/>
    <m/>
    <n v="51230.32"/>
    <n v="28769.68"/>
    <n v="0"/>
    <n v="364"/>
    <n v="0"/>
    <n v="0"/>
    <m/>
    <s v="P.3.716"/>
    <n v="0"/>
    <n v="0"/>
    <m/>
    <m/>
    <m/>
    <m/>
    <m/>
    <m/>
    <m/>
    <m/>
    <m/>
    <m/>
    <m/>
    <m/>
    <m/>
    <m/>
    <m/>
    <m/>
    <m/>
    <m/>
    <m/>
    <m/>
    <m/>
    <m/>
    <m/>
    <m/>
    <m/>
    <n v="0"/>
    <n v="0"/>
    <n v="4066.1244490847466"/>
    <m/>
    <m/>
    <m/>
    <m/>
    <m/>
    <m/>
    <m/>
    <m/>
    <m/>
    <m/>
    <m/>
    <s v="Реаб."/>
    <d v="2022-12-30T00:00:00"/>
    <s v="Принят"/>
    <s v="Сакорггаз"/>
    <d v="2022-04-25T00:00:00"/>
    <s v="BCP-220425-1/2(1.1.15)"/>
    <m/>
    <s v="დასრულდა 2022-ში"/>
    <m/>
  </r>
  <r>
    <n v="1634"/>
    <s v="Рача"/>
    <s v="Амбролаури"/>
    <s v="с. Пирвели Тола реабилитация поврежденного опользнем участка. (проектирование строительство) (P.6.277)"/>
    <x v="4"/>
    <n v="10000"/>
    <m/>
    <n v="9653.7000000000007"/>
    <m/>
    <n v="9653.7000000000007"/>
    <n v="346.29999999999927"/>
    <n v="0"/>
    <n v="106"/>
    <n v="0"/>
    <n v="0"/>
    <m/>
    <s v="(P.6.277)"/>
    <n v="0"/>
    <n v="0"/>
    <m/>
    <m/>
    <m/>
    <m/>
    <m/>
    <m/>
    <m/>
    <m/>
    <m/>
    <m/>
    <m/>
    <m/>
    <m/>
    <m/>
    <m/>
    <m/>
    <m/>
    <m/>
    <m/>
    <m/>
    <m/>
    <m/>
    <m/>
    <m/>
    <m/>
    <n v="0"/>
    <n v="0"/>
    <n v="0"/>
    <m/>
    <m/>
    <m/>
    <m/>
    <m/>
    <m/>
    <m/>
    <m/>
    <m/>
    <m/>
    <m/>
    <s v="Реаб."/>
    <d v="2022-12-30T00:00:00"/>
    <s v="Принят"/>
    <s v="Сакорггаз"/>
    <d v="2022-07-14T00:00:00"/>
    <s v="BCP-220714-1/0"/>
    <m/>
    <m/>
    <s v="Yes"/>
  </r>
  <r>
    <n v="1635"/>
    <s v="Квемо Картли"/>
    <s v="Дманиси"/>
    <s v="ул. Горгасали перекладка газопровода с воздушного в подземний. (проектирование строительство)"/>
    <x v="7"/>
    <n v="3929"/>
    <m/>
    <n v="3416"/>
    <m/>
    <n v="3416"/>
    <n v="513"/>
    <n v="0"/>
    <n v="101"/>
    <n v="0"/>
    <n v="0"/>
    <m/>
    <s v="Заказ"/>
    <n v="0"/>
    <n v="0"/>
    <m/>
    <m/>
    <m/>
    <m/>
    <m/>
    <m/>
    <m/>
    <m/>
    <m/>
    <m/>
    <m/>
    <m/>
    <m/>
    <m/>
    <m/>
    <m/>
    <m/>
    <m/>
    <m/>
    <m/>
    <m/>
    <m/>
    <m/>
    <m/>
    <m/>
    <n v="0"/>
    <n v="0"/>
    <n v="0"/>
    <m/>
    <m/>
    <m/>
    <m/>
    <m/>
    <m/>
    <m/>
    <m/>
    <m/>
    <m/>
    <m/>
    <s v="Заказ"/>
    <d v="2022-08-19T00:00:00"/>
    <s v="Принят"/>
    <s v="SGG"/>
    <d v="2022-07-14T00:00:00"/>
    <s v="BSP-220714-2/0"/>
    <m/>
    <m/>
    <s v="Yes"/>
  </r>
  <r>
    <n v="1636"/>
    <s v="Мцхета-Мтианети"/>
    <s v="Мцхета"/>
    <s v="(1.1.1.) ул. Руставели №72 вынос счетчиков с 5-ти этажного корпуса (P.3.78) (I Этап) Проектирование строительство."/>
    <x v="5"/>
    <n v="7000"/>
    <m/>
    <n v="15907.62"/>
    <m/>
    <n v="15907.619999999999"/>
    <n v="-8907.619999999999"/>
    <n v="0"/>
    <n v="317"/>
    <n v="1.8189894035458565E-12"/>
    <n v="0"/>
    <m/>
    <s v="(P.3.78) (I Этап)"/>
    <n v="0"/>
    <n v="0"/>
    <m/>
    <m/>
    <m/>
    <m/>
    <m/>
    <m/>
    <m/>
    <m/>
    <m/>
    <m/>
    <m/>
    <m/>
    <m/>
    <m/>
    <m/>
    <m/>
    <m/>
    <m/>
    <m/>
    <m/>
    <m/>
    <m/>
    <m/>
    <m/>
    <m/>
    <n v="0"/>
    <n v="0"/>
    <n v="0"/>
    <n v="0"/>
    <n v="0"/>
    <n v="1293.3788135593222"/>
    <m/>
    <m/>
    <m/>
    <m/>
    <m/>
    <m/>
    <m/>
    <m/>
    <s v="Реаб."/>
    <d v="2023-02-28T00:00:00"/>
    <s v="Принят"/>
    <s v="SGG"/>
    <d v="2022-07-20T00:00:00"/>
    <s v="BSP-220720-1/0(1.1.1.)"/>
    <m/>
    <m/>
    <s v="Yes"/>
  </r>
  <r>
    <n v="1637"/>
    <s v="Мцхета-Мтианети"/>
    <s v="Гудаури"/>
    <s v="(1.1.2.) Реаб. Газопровода около здания полиции. (P.3.66) (I этап) Проектирование строительство."/>
    <x v="5"/>
    <n v="13000"/>
    <m/>
    <n v="8371.7200000000012"/>
    <m/>
    <n v="8371.7200000000012"/>
    <n v="4628.2799999999988"/>
    <n v="0"/>
    <n v="121.5"/>
    <n v="0"/>
    <n v="0"/>
    <m/>
    <s v="(P.3.66) (I этап)"/>
    <n v="0"/>
    <n v="0"/>
    <m/>
    <m/>
    <m/>
    <m/>
    <m/>
    <m/>
    <m/>
    <m/>
    <m/>
    <m/>
    <m/>
    <m/>
    <m/>
    <m/>
    <m/>
    <m/>
    <m/>
    <m/>
    <m/>
    <m/>
    <m/>
    <m/>
    <m/>
    <m/>
    <m/>
    <n v="0"/>
    <n v="0"/>
    <n v="0"/>
    <n v="0"/>
    <n v="0"/>
    <n v="691.0779661016951"/>
    <m/>
    <m/>
    <m/>
    <m/>
    <m/>
    <m/>
    <m/>
    <m/>
    <s v="Реаб."/>
    <d v="2023-02-28T00:00:00"/>
    <s v="Принят"/>
    <s v="SGG"/>
    <d v="2022-07-20T00:00:00"/>
    <s v="BSP-220720-1/0(1.1.2.)"/>
    <m/>
    <m/>
    <s v="Yes"/>
  </r>
  <r>
    <n v="1638"/>
    <s v="Мцхета-Мтианети"/>
    <s v="Душети"/>
    <s v="(1.1.3.) В сёлах Чирики и Цинкобани реаб. Поврежденного от наводнения газопровода. Проектирование и строительство. (A.3.001)"/>
    <x v="5"/>
    <n v="25000"/>
    <m/>
    <n v="16494.120000000003"/>
    <m/>
    <n v="16494.12"/>
    <n v="8505.880000000001"/>
    <n v="0"/>
    <n v="192"/>
    <n v="3.637978807091713E-12"/>
    <n v="0"/>
    <m/>
    <s v="авария (A.3.001)"/>
    <n v="0"/>
    <n v="0"/>
    <m/>
    <m/>
    <m/>
    <m/>
    <m/>
    <m/>
    <m/>
    <m/>
    <m/>
    <m/>
    <m/>
    <m/>
    <m/>
    <m/>
    <m/>
    <m/>
    <m/>
    <m/>
    <m/>
    <m/>
    <m/>
    <m/>
    <m/>
    <m/>
    <m/>
    <n v="0"/>
    <n v="0"/>
    <n v="0"/>
    <n v="0"/>
    <n v="0"/>
    <n v="1368.4423728813563"/>
    <m/>
    <m/>
    <m/>
    <m/>
    <m/>
    <m/>
    <m/>
    <m/>
    <s v="Реаб."/>
    <d v="2023-02-28T00:00:00"/>
    <s v="Принят"/>
    <s v="SGG"/>
    <d v="2022-07-20T00:00:00"/>
    <s v="BSP-220720-1/0(1.1.3.)"/>
    <m/>
    <m/>
    <s v="Yes"/>
  </r>
  <r>
    <n v="1639"/>
    <s v="Самегрело"/>
    <s v="Абаша"/>
    <s v="Реабилитация газопровода низ. давления в г. Абаша (P.4.5)"/>
    <x v="3"/>
    <n v="650000"/>
    <m/>
    <n v="1489290"/>
    <m/>
    <n v="1489290"/>
    <n v="-839290"/>
    <n v="0"/>
    <n v="12928"/>
    <n v="0"/>
    <n v="0"/>
    <m/>
    <s v="(P.4.5)"/>
    <n v="0"/>
    <n v="0"/>
    <m/>
    <m/>
    <m/>
    <m/>
    <m/>
    <m/>
    <m/>
    <m/>
    <m/>
    <m/>
    <m/>
    <m/>
    <m/>
    <m/>
    <m/>
    <m/>
    <m/>
    <m/>
    <m/>
    <m/>
    <m/>
    <m/>
    <m/>
    <m/>
    <m/>
    <n v="0"/>
    <n v="0"/>
    <n v="0"/>
    <n v="0"/>
    <n v="0"/>
    <n v="126211.01694915256"/>
    <m/>
    <m/>
    <m/>
    <m/>
    <m/>
    <m/>
    <m/>
    <m/>
    <s v="Реаб."/>
    <d v="2023-05-31T00:00:00"/>
    <s v="Принят"/>
    <s v="SGG"/>
    <d v="2022-04-11T00:00:00"/>
    <s v="BS-220411-1/2"/>
    <m/>
    <m/>
    <s v="Yes"/>
  </r>
  <r>
    <n v="1640"/>
    <s v="Имерети"/>
    <s v="Багдати"/>
    <s v="Проектирование реабилитации питающего газопровода в с. Персати (P.6.4)"/>
    <x v="9"/>
    <n v="9282"/>
    <m/>
    <n v="9282"/>
    <m/>
    <n v="9282"/>
    <n v="0"/>
    <n v="0"/>
    <m/>
    <n v="0"/>
    <n v="0"/>
    <m/>
    <s v="(P.6.4)"/>
    <n v="0"/>
    <n v="0"/>
    <m/>
    <m/>
    <m/>
    <m/>
    <m/>
    <m/>
    <m/>
    <m/>
    <m/>
    <m/>
    <m/>
    <m/>
    <m/>
    <m/>
    <m/>
    <m/>
    <m/>
    <m/>
    <m/>
    <m/>
    <m/>
    <m/>
    <m/>
    <m/>
    <m/>
    <n v="0"/>
    <n v="0"/>
    <n v="0"/>
    <m/>
    <m/>
    <m/>
    <m/>
    <m/>
    <m/>
    <m/>
    <m/>
    <m/>
    <m/>
    <m/>
    <s v="Проектирование"/>
    <d v="2022-11-14T00:00:00"/>
    <s v="ПриПро"/>
    <s v="SGG"/>
    <d v="2022-10-13T00:00:00"/>
    <s v="CS-221013-1/0"/>
    <m/>
    <m/>
    <m/>
  </r>
  <r>
    <n v="1641"/>
    <s v="Имерети"/>
    <s v="Багдати"/>
    <s v="Реабилитация питающего газопровода в с. Персати (I этап) (P.6.4)"/>
    <x v="4"/>
    <n v="61800"/>
    <m/>
    <n v="48342.67"/>
    <m/>
    <n v="48342.67"/>
    <n v="13457.330000000002"/>
    <n v="0"/>
    <n v="220"/>
    <n v="0"/>
    <n v="0"/>
    <m/>
    <s v="Поручение (авария) (P.6.4)"/>
    <n v="0"/>
    <n v="0"/>
    <m/>
    <m/>
    <m/>
    <m/>
    <m/>
    <m/>
    <m/>
    <m/>
    <m/>
    <m/>
    <m/>
    <m/>
    <m/>
    <m/>
    <m/>
    <m/>
    <m/>
    <m/>
    <m/>
    <m/>
    <m/>
    <m/>
    <m/>
    <m/>
    <m/>
    <n v="0"/>
    <n v="0"/>
    <n v="0"/>
    <m/>
    <m/>
    <m/>
    <m/>
    <m/>
    <m/>
    <m/>
    <m/>
    <m/>
    <m/>
    <m/>
    <s v="Реаб."/>
    <d v="2022-12-30T00:00:00"/>
    <s v="Принят"/>
    <s v="SGG"/>
    <d v="2022-11-16T00:00:00"/>
    <s v="BS-221116-1/0"/>
    <m/>
    <m/>
    <m/>
  </r>
  <r>
    <n v="1642"/>
    <s v="Квемо Картли"/>
    <s v="Тетрицкаро"/>
    <s v="Реаб. Газопровода под жд в с. Косалари (проектирование и строительство) (P.2.822) I этап"/>
    <x v="7"/>
    <n v="42000"/>
    <m/>
    <n v="29076"/>
    <m/>
    <n v="29076"/>
    <n v="12924"/>
    <n v="0"/>
    <n v="41"/>
    <n v="0"/>
    <n v="0"/>
    <m/>
    <s v="Поручение (авария) (P.2.822)"/>
    <n v="0"/>
    <n v="0"/>
    <m/>
    <m/>
    <m/>
    <m/>
    <m/>
    <m/>
    <m/>
    <m/>
    <m/>
    <m/>
    <m/>
    <m/>
    <m/>
    <m/>
    <m/>
    <m/>
    <m/>
    <m/>
    <m/>
    <m/>
    <m/>
    <m/>
    <m/>
    <m/>
    <m/>
    <n v="0"/>
    <n v="0"/>
    <n v="0"/>
    <m/>
    <m/>
    <n v="2458.1355932203392"/>
    <m/>
    <m/>
    <m/>
    <m/>
    <m/>
    <m/>
    <m/>
    <m/>
    <s v="Реаб."/>
    <d v="2023-03-30T00:00:00"/>
    <s v="Принят"/>
    <s v="Сакорггаз"/>
    <d v="2022-11-02T00:00:00"/>
    <s v="BCP-221102-1/0"/>
    <m/>
    <s v="დავალებით დავიწყეთ 2022-ში. პროექტი დამტკიცებულია სემეკის მიერ 2025-ში!"/>
    <s v="Yes"/>
  </r>
  <r>
    <n v="1643"/>
    <s v="Шида Картли"/>
    <s v="Гори"/>
    <s v="Реаб. Газопровода на ул. Бесики, Сохуми и Кутаиси (проектирование и строительство) (P.3.877) I этап"/>
    <x v="5"/>
    <n v="81000"/>
    <m/>
    <n v="73230.58"/>
    <n v="70672.08"/>
    <n v="73230.58"/>
    <n v="7769.4199999999983"/>
    <n v="0"/>
    <n v="1055.3"/>
    <n v="0"/>
    <n v="0"/>
    <m/>
    <s v="Поручение (авария) (P.3.877)"/>
    <n v="0"/>
    <n v="0"/>
    <m/>
    <m/>
    <m/>
    <m/>
    <m/>
    <m/>
    <m/>
    <m/>
    <m/>
    <m/>
    <m/>
    <m/>
    <m/>
    <m/>
    <m/>
    <m/>
    <m/>
    <m/>
    <m/>
    <m/>
    <m/>
    <m/>
    <m/>
    <m/>
    <m/>
    <n v="0"/>
    <n v="0"/>
    <n v="0"/>
    <n v="0"/>
    <n v="0"/>
    <n v="5989.1593220338991"/>
    <m/>
    <m/>
    <m/>
    <m/>
    <m/>
    <m/>
    <m/>
    <m/>
    <s v="Реаб."/>
    <d v="2023-02-28T00:00:00"/>
    <s v="Принят"/>
    <s v="Сакорггаз"/>
    <d v="2022-11-07T00:00:00"/>
    <s v="BCP-221107-1/0"/>
    <m/>
    <m/>
    <s v="Yes"/>
  </r>
  <r>
    <n v="1644"/>
    <s v="Шида Картли"/>
    <s v="Каспи"/>
    <s v="Реаб. Газопровода на ул. Конституции (проектирование и строительство) (P.3.836)"/>
    <x v="5"/>
    <n v="37000"/>
    <m/>
    <n v="48526.29"/>
    <m/>
    <n v="48526.29"/>
    <n v="-11526.29"/>
    <n v="0"/>
    <n v="832.8"/>
    <n v="0"/>
    <n v="0"/>
    <m/>
    <s v="Поручение (авария) (P.3.836)"/>
    <n v="0"/>
    <n v="0"/>
    <m/>
    <m/>
    <m/>
    <m/>
    <m/>
    <m/>
    <m/>
    <m/>
    <m/>
    <m/>
    <m/>
    <m/>
    <m/>
    <m/>
    <m/>
    <m/>
    <m/>
    <m/>
    <m/>
    <m/>
    <m/>
    <m/>
    <m/>
    <m/>
    <m/>
    <n v="0"/>
    <n v="0"/>
    <n v="0"/>
    <m/>
    <m/>
    <m/>
    <m/>
    <m/>
    <m/>
    <m/>
    <m/>
    <m/>
    <m/>
    <m/>
    <s v="Реаб."/>
    <d v="2022-12-30T00:00:00"/>
    <s v="Принят"/>
    <s v="Сакорггаз"/>
    <d v="2022-11-21T00:00:00"/>
    <s v="BCP-221121-1/0"/>
    <m/>
    <m/>
    <m/>
  </r>
  <r>
    <n v="1645"/>
    <s v="Шида Картли"/>
    <s v="Каспи"/>
    <s v="Реаб. Газопровода на ул. Тамар Мепе и ул. Габашвили (P.3.850) (проектирование и строительство)"/>
    <x v="5"/>
    <n v="27000"/>
    <m/>
    <n v="24010.1"/>
    <m/>
    <n v="24010.100000000002"/>
    <n v="2989.8999999999978"/>
    <n v="0"/>
    <n v="433"/>
    <n v="-3.637978807091713E-12"/>
    <n v="0"/>
    <m/>
    <s v="Поручение (авария) (P.3.850)"/>
    <n v="0"/>
    <n v="0"/>
    <m/>
    <m/>
    <m/>
    <m/>
    <m/>
    <m/>
    <m/>
    <m/>
    <m/>
    <m/>
    <m/>
    <m/>
    <m/>
    <m/>
    <m/>
    <m/>
    <m/>
    <m/>
    <m/>
    <m/>
    <m/>
    <m/>
    <m/>
    <m/>
    <m/>
    <n v="0"/>
    <n v="0"/>
    <n v="0"/>
    <m/>
    <m/>
    <m/>
    <m/>
    <m/>
    <m/>
    <m/>
    <m/>
    <m/>
    <m/>
    <m/>
    <s v="Реаб."/>
    <d v="2022-12-30T00:00:00"/>
    <s v="Принят"/>
    <s v="Сакорггаз"/>
    <d v="2022-11-07T00:00:00"/>
    <s v="BCP-221107-2/0"/>
    <m/>
    <m/>
    <m/>
  </r>
  <r>
    <n v="1646"/>
    <s v="Мцхета-Мтианети"/>
    <s v="Мцхета"/>
    <s v="Реаб. Газопр. в с. Сагурамо (авария) (проектирование-строительство)"/>
    <x v="5"/>
    <n v="12000"/>
    <m/>
    <n v="7985.85"/>
    <m/>
    <n v="7985.85"/>
    <n v="4014.1499999999996"/>
    <n v="0"/>
    <n v="142.19999999999999"/>
    <n v="0"/>
    <n v="0"/>
    <m/>
    <s v="авария"/>
    <n v="0"/>
    <n v="0"/>
    <m/>
    <m/>
    <m/>
    <m/>
    <m/>
    <m/>
    <m/>
    <m/>
    <m/>
    <m/>
    <m/>
    <m/>
    <m/>
    <m/>
    <m/>
    <m/>
    <m/>
    <m/>
    <m/>
    <m/>
    <m/>
    <m/>
    <m/>
    <m/>
    <m/>
    <n v="0"/>
    <n v="0"/>
    <n v="0"/>
    <n v="0"/>
    <n v="0"/>
    <n v="676.76694915254257"/>
    <m/>
    <m/>
    <m/>
    <m/>
    <m/>
    <m/>
    <m/>
    <m/>
    <s v="Реаб."/>
    <d v="2023-02-28T00:00:00"/>
    <s v="Принят"/>
    <s v="SGG"/>
    <d v="2022-11-10T00:00:00"/>
    <s v="BSP-221110-1/0"/>
    <m/>
    <m/>
    <s v="Yes"/>
  </r>
  <r>
    <n v="1647"/>
    <s v="Мцхета-Мтианети"/>
    <s v="Мцхета"/>
    <s v="Реаб. Газоп.в с. Мухрани (Патара Канда) (проектирование-строительство) (P.3.160) I этап"/>
    <x v="5"/>
    <n v="120000"/>
    <m/>
    <n v="122713.34"/>
    <m/>
    <n v="122713.34"/>
    <n v="-2713.3399999999965"/>
    <n v="0"/>
    <n v="612"/>
    <n v="0"/>
    <n v="0"/>
    <m/>
    <s v="Поручение (авария) (P.3.160) I этап"/>
    <n v="0"/>
    <n v="0"/>
    <m/>
    <m/>
    <m/>
    <m/>
    <m/>
    <m/>
    <m/>
    <m/>
    <m/>
    <m/>
    <m/>
    <m/>
    <m/>
    <m/>
    <m/>
    <m/>
    <m/>
    <m/>
    <m/>
    <m/>
    <m/>
    <m/>
    <m/>
    <m/>
    <m/>
    <n v="0"/>
    <n v="0"/>
    <n v="0"/>
    <n v="0"/>
    <n v="0"/>
    <n v="10313.122033898306"/>
    <m/>
    <m/>
    <m/>
    <m/>
    <m/>
    <m/>
    <m/>
    <m/>
    <s v="Реаб."/>
    <d v="2023-02-28T00:00:00"/>
    <s v="Принят"/>
    <s v="SGG"/>
    <d v="2022-11-11T00:00:00"/>
    <s v="BSP-221111-1/0"/>
    <m/>
    <m/>
    <s v="Yes"/>
  </r>
  <r>
    <n v="1648"/>
    <s v="Мцхета-Мтианети"/>
    <s v="Мцхета"/>
    <s v="Реаб. Газопр. (D-112 мм) в с. Натахтари (проектирование-строительство) (P.3.165) I этап"/>
    <x v="5"/>
    <n v="22000"/>
    <m/>
    <n v="12480.85"/>
    <m/>
    <n v="12480.85"/>
    <n v="9519.15"/>
    <n v="0"/>
    <n v="233"/>
    <n v="0"/>
    <n v="0"/>
    <m/>
    <s v="Поручение (авария) (P.3.165) I этап"/>
    <n v="0"/>
    <n v="0"/>
    <m/>
    <m/>
    <m/>
    <m/>
    <m/>
    <m/>
    <m/>
    <m/>
    <m/>
    <m/>
    <m/>
    <m/>
    <m/>
    <m/>
    <m/>
    <m/>
    <m/>
    <m/>
    <m/>
    <m/>
    <m/>
    <m/>
    <m/>
    <m/>
    <m/>
    <n v="0"/>
    <n v="0"/>
    <n v="0"/>
    <n v="0"/>
    <n v="0"/>
    <n v="1030.707627118644"/>
    <m/>
    <m/>
    <m/>
    <m/>
    <m/>
    <m/>
    <m/>
    <m/>
    <s v="Реаб."/>
    <d v="2023-02-28T00:00:00"/>
    <s v="Принят"/>
    <s v="SGG"/>
    <d v="2022-11-18T00:00:00"/>
    <s v="BSP-221118-1/0"/>
    <m/>
    <m/>
    <s v="Yes"/>
  </r>
  <r>
    <n v="1649"/>
    <s v="Шида Картли"/>
    <s v="Хашури"/>
    <s v="Реаб. Газопровода в тупике на ул. Гамсахурдиа (проектирование-строительство) (Авария)"/>
    <x v="5"/>
    <n v="6000"/>
    <n v="2"/>
    <m/>
    <m/>
    <m/>
    <n v="6000"/>
    <n v="0"/>
    <n v="110"/>
    <n v="6000"/>
    <n v="1"/>
    <m/>
    <s v="авария"/>
    <n v="0"/>
    <n v="0"/>
    <m/>
    <m/>
    <m/>
    <m/>
    <m/>
    <m/>
    <m/>
    <m/>
    <m/>
    <m/>
    <m/>
    <m/>
    <m/>
    <m/>
    <m/>
    <m/>
    <m/>
    <m/>
    <m/>
    <m/>
    <m/>
    <m/>
    <m/>
    <m/>
    <m/>
    <n v="0"/>
    <n v="0"/>
    <n v="0"/>
    <m/>
    <m/>
    <m/>
    <m/>
    <m/>
    <m/>
    <m/>
    <m/>
    <m/>
    <m/>
    <m/>
    <s v="Реаб."/>
    <m/>
    <n v="0"/>
    <s v="SGG"/>
    <d v="2022-12-12T00:00:00"/>
    <s v="BSP-221212-1/0"/>
    <m/>
    <m/>
    <m/>
  </r>
  <r>
    <n v="1650"/>
    <s v="Квемо Картли"/>
    <s v="Марнеули"/>
    <s v="Реаб. Газопровода на ул. Самед Мургули (проектирование-строительство) (P.2.907)"/>
    <x v="7"/>
    <n v="75000"/>
    <m/>
    <n v="50612.5"/>
    <n v="49552"/>
    <n v="50612.5"/>
    <n v="24387.5"/>
    <n v="0"/>
    <n v="600"/>
    <n v="0"/>
    <n v="0"/>
    <m/>
    <s v="Поручение (авария) (P.2.907)"/>
    <n v="0"/>
    <n v="0"/>
    <m/>
    <m/>
    <m/>
    <m/>
    <m/>
    <m/>
    <m/>
    <m/>
    <m/>
    <m/>
    <m/>
    <m/>
    <m/>
    <m/>
    <m/>
    <m/>
    <m/>
    <m/>
    <m/>
    <m/>
    <m/>
    <m/>
    <m/>
    <m/>
    <m/>
    <n v="0"/>
    <n v="0"/>
    <n v="0"/>
    <m/>
    <m/>
    <n v="4199.3220338983056"/>
    <m/>
    <m/>
    <m/>
    <m/>
    <m/>
    <m/>
    <m/>
    <m/>
    <s v="Реаб."/>
    <d v="2023-03-30T00:00:00"/>
    <s v="Принят"/>
    <s v="SGG"/>
    <d v="2022-11-22T00:00:00"/>
    <s v="BSP-221122-1/2"/>
    <m/>
    <s v="ეს ისედაც 2023-ის გეგმაში იყო, სამუშაოები დავიწყეთ 2022-ში"/>
    <s v="Yes"/>
  </r>
  <r>
    <n v="1651"/>
    <s v="Аджара"/>
    <s v="Кобулети"/>
    <s v="Установка ГРС-а, обустройство територии с. Гвара (P.5.005)"/>
    <x v="9"/>
    <n v="5200"/>
    <m/>
    <n v="5200"/>
    <m/>
    <n v="5200"/>
    <n v="0"/>
    <n v="0"/>
    <m/>
    <n v="0"/>
    <n v="0"/>
    <m/>
    <s v="(P.5.005)"/>
    <n v="0"/>
    <n v="0"/>
    <m/>
    <m/>
    <m/>
    <m/>
    <m/>
    <m/>
    <m/>
    <m/>
    <m/>
    <m/>
    <m/>
    <m/>
    <m/>
    <m/>
    <m/>
    <m/>
    <m/>
    <m/>
    <m/>
    <m/>
    <m/>
    <m/>
    <m/>
    <m/>
    <m/>
    <n v="0"/>
    <n v="0"/>
    <n v="0"/>
    <m/>
    <m/>
    <m/>
    <m/>
    <m/>
    <m/>
    <m/>
    <m/>
    <m/>
    <m/>
    <m/>
    <s v="Проектирование"/>
    <d v="2022-12-02T00:00:00"/>
    <s v="ПриПро"/>
    <s v="SGG"/>
    <d v="2022-11-03T00:00:00"/>
    <s v="CS-221103-1/0"/>
    <m/>
    <m/>
    <m/>
  </r>
  <r>
    <n v="1652"/>
    <s v="Аджара"/>
    <s v="Кобулети"/>
    <s v="Установка ГРС-а, обустройство территории с. Гвара (P.5.005)"/>
    <x v="3"/>
    <n v="140000"/>
    <m/>
    <n v="123747"/>
    <m/>
    <n v="123747.00099999999"/>
    <n v="16252.999000000011"/>
    <n v="-9.9999998928979039E-4"/>
    <n v="0"/>
    <n v="-9.9999998928979039E-4"/>
    <n v="0"/>
    <m/>
    <s v="(P.5.005)"/>
    <n v="0"/>
    <n v="0"/>
    <m/>
    <m/>
    <m/>
    <m/>
    <m/>
    <m/>
    <m/>
    <m/>
    <m/>
    <m/>
    <m/>
    <m/>
    <m/>
    <m/>
    <m/>
    <m/>
    <m/>
    <m/>
    <m/>
    <m/>
    <m/>
    <m/>
    <m/>
    <m/>
    <m/>
    <n v="0"/>
    <n v="0"/>
    <n v="0"/>
    <n v="0"/>
    <n v="0"/>
    <n v="10487.033898305086"/>
    <m/>
    <m/>
    <m/>
    <m/>
    <m/>
    <m/>
    <m/>
    <m/>
    <s v="Реаб."/>
    <d v="2023-07-12T00:00:00"/>
    <s v="Принят"/>
    <s v="SGG"/>
    <d v="2022-12-08T00:00:00"/>
    <s v="BS-221208-1/1"/>
    <m/>
    <m/>
    <s v="Yes"/>
  </r>
  <r>
    <n v="1653"/>
    <s v="Кахети"/>
    <s v="Кварели"/>
    <s v="В г. Кварели реаб. Газопровода поблизости заправки. (P.2.96) (I этап)"/>
    <x v="7"/>
    <n v="55000"/>
    <m/>
    <n v="67567.25"/>
    <n v="67163"/>
    <n v="67567.25"/>
    <n v="-12567.25"/>
    <n v="0"/>
    <n v="216"/>
    <n v="0"/>
    <n v="0"/>
    <m/>
    <s v="(P.2.96)(I этап)"/>
    <n v="0"/>
    <n v="0"/>
    <m/>
    <m/>
    <m/>
    <m/>
    <m/>
    <m/>
    <m/>
    <m/>
    <m/>
    <m/>
    <m/>
    <m/>
    <m/>
    <m/>
    <m/>
    <m/>
    <m/>
    <m/>
    <m/>
    <m/>
    <m/>
    <m/>
    <m/>
    <m/>
    <m/>
    <n v="0"/>
    <n v="0"/>
    <n v="0"/>
    <m/>
    <m/>
    <n v="5691.7796610169498"/>
    <m/>
    <m/>
    <m/>
    <m/>
    <m/>
    <m/>
    <m/>
    <m/>
    <s v="Реаб."/>
    <d v="2023-02-28T00:00:00"/>
    <s v="Принят"/>
    <s v="SGG"/>
    <d v="2023-01-06T00:00:00"/>
    <s v="BSP-230106-1/0"/>
    <m/>
    <m/>
    <s v="Yes"/>
  </r>
  <r>
    <n v="1654"/>
    <s v="Квемо Картли"/>
    <s v="Гардабани"/>
    <s v="Газификация с. Крцаниси (P.2.010)"/>
    <x v="7"/>
    <n v="228000"/>
    <m/>
    <n v="231541.5"/>
    <n v="222214"/>
    <n v="231541.5"/>
    <n v="-3541.5"/>
    <n v="0"/>
    <n v="5385"/>
    <n v="0"/>
    <n v="0"/>
    <n v="35"/>
    <s v="Поручение (Присоединили 35 абонентов) (P.2.010)"/>
    <n v="0"/>
    <n v="0"/>
    <m/>
    <m/>
    <m/>
    <m/>
    <m/>
    <m/>
    <m/>
    <m/>
    <m/>
    <m/>
    <m/>
    <m/>
    <m/>
    <m/>
    <m/>
    <m/>
    <m/>
    <m/>
    <m/>
    <m/>
    <m/>
    <m/>
    <m/>
    <m/>
    <m/>
    <n v="0"/>
    <n v="0"/>
    <n v="0"/>
    <m/>
    <m/>
    <n v="18831.69491525424"/>
    <m/>
    <m/>
    <m/>
    <m/>
    <m/>
    <m/>
    <m/>
    <m/>
    <s v="Н. Стр."/>
    <d v="2023-04-27T00:00:00"/>
    <s v="Принят"/>
    <s v="SGG"/>
    <d v="2023-01-05T00:00:00"/>
    <s v="BSP-230105-1/0"/>
    <m/>
    <m/>
    <s v="Yes"/>
  </r>
  <r>
    <n v="1655"/>
    <s v="Имерети"/>
    <s v="Вани"/>
    <s v="Ремонт офиса с/центра Вани"/>
    <x v="4"/>
    <n v="289307"/>
    <m/>
    <n v="469259.54"/>
    <m/>
    <n v="469259.54"/>
    <n v="-179952.53999999998"/>
    <n v="0"/>
    <n v="0"/>
    <n v="0"/>
    <n v="0"/>
    <m/>
    <s v="(N.6.7)"/>
    <n v="0"/>
    <n v="0"/>
    <m/>
    <m/>
    <m/>
    <m/>
    <m/>
    <m/>
    <m/>
    <m/>
    <m/>
    <m/>
    <m/>
    <m/>
    <m/>
    <m/>
    <m/>
    <m/>
    <m/>
    <m/>
    <m/>
    <m/>
    <m/>
    <m/>
    <m/>
    <m/>
    <m/>
    <n v="0"/>
    <n v="0"/>
    <n v="0"/>
    <m/>
    <m/>
    <m/>
    <m/>
    <m/>
    <m/>
    <m/>
    <m/>
    <m/>
    <m/>
    <m/>
    <s v="Ремонт офиса"/>
    <d v="2022-12-30T00:00:00"/>
    <s v="Принят"/>
    <s v="Сакорггаз"/>
    <d v="2022-09-06T00:00:00"/>
    <s v="BCR-220906-1/0"/>
    <m/>
    <m/>
    <m/>
  </r>
  <r>
    <n v="1656"/>
    <s v="Кахети"/>
    <s v="Дедоплисцкаро"/>
    <s v="с. Квемо Кеди, (Кедеби) реаб. Газопр. (A.2.003)"/>
    <x v="7"/>
    <n v="194000"/>
    <m/>
    <n v="351417"/>
    <n v="346762"/>
    <n v="351416.99799999996"/>
    <n v="-157416.99799999996"/>
    <n v="2.0000000367872417E-3"/>
    <n v="2470"/>
    <n v="2.0000000367872417E-3"/>
    <n v="0"/>
    <m/>
    <s v="(Авария!) (A.2.003)"/>
    <n v="0"/>
    <n v="0"/>
    <m/>
    <m/>
    <m/>
    <m/>
    <m/>
    <m/>
    <m/>
    <m/>
    <m/>
    <m/>
    <m/>
    <m/>
    <m/>
    <m/>
    <m/>
    <m/>
    <m/>
    <m/>
    <m/>
    <m/>
    <m/>
    <m/>
    <m/>
    <m/>
    <m/>
    <n v="0"/>
    <n v="0"/>
    <n v="0"/>
    <m/>
    <m/>
    <n v="29386.610169491527"/>
    <m/>
    <m/>
    <m/>
    <m/>
    <m/>
    <m/>
    <m/>
    <m/>
    <s v="Реаб."/>
    <d v="2023-04-27T00:00:00"/>
    <s v="Принят"/>
    <s v="SGG"/>
    <d v="2022-11-10T00:00:00"/>
    <s v="BSP-221110-2/2"/>
    <m/>
    <s v="გადმოსატანია 2003-ში, სამუშაოები დასრულდა ეხლა მისაღები. ეს ავარიით წავიდა არ ჰქონდა &quot;P&quot;"/>
    <s v="Yes"/>
  </r>
  <r>
    <n v="1657"/>
    <s v="Рача"/>
    <m/>
    <s v="(1) მუხურა-ხოტევის მონაკვეთის მშენებლობა P.6.144(1)"/>
    <x v="8"/>
    <n v="16000000"/>
    <n v="2"/>
    <n v="11611643"/>
    <n v="11611643"/>
    <n v="11593301.470000003"/>
    <n v="4406698.5299999975"/>
    <n v="18341.529999997467"/>
    <n v="20350"/>
    <n v="18341.529999997467"/>
    <n v="1"/>
    <m/>
    <s v="P.6.144(1)"/>
    <n v="261643"/>
    <n v="39911.64"/>
    <n v="240000"/>
    <m/>
    <m/>
    <n v="36610.17"/>
    <m/>
    <m/>
    <n v="21643"/>
    <m/>
    <m/>
    <n v="3301.47"/>
    <m/>
    <m/>
    <m/>
    <m/>
    <m/>
    <m/>
    <m/>
    <m/>
    <m/>
    <m/>
    <m/>
    <m/>
    <m/>
    <m/>
    <s v="საბოლოო"/>
    <n v="0"/>
    <n v="0"/>
    <n v="0"/>
    <n v="6709997.1200000001"/>
    <n v="765838.66999999993"/>
    <m/>
    <n v="0"/>
    <m/>
    <n v="0"/>
    <n v="414941.55672881362"/>
    <n v="203389.83"/>
    <n v="4134.66"/>
    <n v="11328541"/>
    <d v="2024-12-09T00:00:00"/>
    <s v="Н. Стр."/>
    <d v="2025-04-30T00:00:00"/>
    <s v="Принят"/>
    <s v="Сакорггаз"/>
    <d v="2023-01-05T00:00:00"/>
    <s v="BCG-230105-2/0 (1)"/>
    <m/>
    <m/>
    <s v="Yes"/>
  </r>
  <r>
    <n v="1658"/>
    <s v="Рача"/>
    <m/>
    <s v="(2) ხოტევი - ამბროლაურის მონაკვეთის მშენებლობა P.6.140"/>
    <x v="8"/>
    <n v="4500000"/>
    <n v="2"/>
    <n v="7660506"/>
    <n v="7660506"/>
    <n v="7660506"/>
    <n v="-3160506"/>
    <n v="0"/>
    <n v="15006.2"/>
    <n v="0"/>
    <n v="0"/>
    <m/>
    <s v="P.6.140"/>
    <n v="0"/>
    <n v="0"/>
    <m/>
    <m/>
    <m/>
    <m/>
    <m/>
    <m/>
    <m/>
    <m/>
    <m/>
    <m/>
    <m/>
    <m/>
    <m/>
    <m/>
    <m/>
    <m/>
    <m/>
    <m/>
    <m/>
    <m/>
    <m/>
    <m/>
    <m/>
    <m/>
    <m/>
    <n v="0"/>
    <n v="0"/>
    <n v="0"/>
    <n v="2018816.4300000002"/>
    <n v="256364.73"/>
    <m/>
    <m/>
    <m/>
    <n v="623558.95072881354"/>
    <n v="0"/>
    <m/>
    <m/>
    <m/>
    <m/>
    <s v="Н. Стр."/>
    <d v="2024-06-28T00:00:00"/>
    <s v="Принят"/>
    <s v="Сакорггаз"/>
    <d v="2023-01-05T00:00:00"/>
    <s v="BCG-230105-2/0 (2)"/>
    <m/>
    <m/>
    <s v="Yes"/>
  </r>
  <r>
    <n v="1659"/>
    <s v="Шида Картли"/>
    <s v="Гори"/>
    <s v="Ремонт офиса с/центра Гори"/>
    <x v="5"/>
    <n v="459568.35"/>
    <m/>
    <n v="994342"/>
    <m/>
    <n v="994342"/>
    <n v="-534773.65"/>
    <n v="0"/>
    <n v="0"/>
    <n v="0"/>
    <n v="0"/>
    <m/>
    <m/>
    <n v="0"/>
    <n v="0"/>
    <m/>
    <m/>
    <m/>
    <m/>
    <m/>
    <m/>
    <m/>
    <m/>
    <m/>
    <m/>
    <m/>
    <m/>
    <m/>
    <m/>
    <m/>
    <m/>
    <m/>
    <m/>
    <m/>
    <m/>
    <m/>
    <m/>
    <m/>
    <m/>
    <m/>
    <n v="0"/>
    <n v="0"/>
    <n v="0"/>
    <n v="0"/>
    <n v="0"/>
    <n v="0"/>
    <m/>
    <m/>
    <m/>
    <m/>
    <m/>
    <m/>
    <m/>
    <m/>
    <s v="Ремонт офиса"/>
    <d v="2023-12-29T00:00:00"/>
    <s v="Принят"/>
    <s v="Сакорггаз"/>
    <d v="2022-10-27T00:00:00"/>
    <s v="G-2022-2710 "/>
    <m/>
    <m/>
    <s v="No"/>
  </r>
  <r>
    <n v="1660"/>
    <s v="Квемо Картли"/>
    <s v="Рустави"/>
    <s v="(13) ქ. რუსთავი. 9 ძმა ხერხეულიძის ქუჩის გადაყვანა საშუალო წნევაზე (P.2.766)"/>
    <x v="10"/>
    <n v="1732"/>
    <m/>
    <n v="1732"/>
    <m/>
    <n v="1732"/>
    <n v="0"/>
    <n v="0"/>
    <m/>
    <n v="0"/>
    <n v="0"/>
    <m/>
    <s v="P.2.766"/>
    <n v="0"/>
    <n v="0"/>
    <m/>
    <m/>
    <m/>
    <m/>
    <m/>
    <m/>
    <m/>
    <m/>
    <m/>
    <m/>
    <m/>
    <m/>
    <m/>
    <m/>
    <m/>
    <m/>
    <m/>
    <m/>
    <m/>
    <m/>
    <m/>
    <m/>
    <m/>
    <m/>
    <m/>
    <n v="0"/>
    <n v="0"/>
    <n v="0"/>
    <m/>
    <m/>
    <m/>
    <m/>
    <m/>
    <m/>
    <m/>
    <m/>
    <m/>
    <m/>
    <m/>
    <s v="Проектирование"/>
    <d v="2023-05-01T00:00:00"/>
    <s v="ПриПро"/>
    <s v="Сакорггаз"/>
    <d v="2023-01-09T00:00:00"/>
    <s v="BCG-230109-1/0(13)"/>
    <m/>
    <m/>
    <s v="No"/>
  </r>
  <r>
    <n v="1661"/>
    <s v="Квемо Картли"/>
    <s v="Рустави"/>
    <s v="(14) ქ. რუსთავი. 9 ძმა ხერხეულიძის ქუჩის გადაყვანა საშუალო წნევაზე (P.2.766)"/>
    <x v="7"/>
    <n v="90000"/>
    <m/>
    <n v="92486"/>
    <m/>
    <n v="92486"/>
    <n v="-2486"/>
    <n v="0"/>
    <n v="918"/>
    <n v="0"/>
    <n v="0"/>
    <m/>
    <s v="P.2.766"/>
    <n v="0"/>
    <n v="0"/>
    <m/>
    <m/>
    <m/>
    <m/>
    <m/>
    <m/>
    <m/>
    <m/>
    <m/>
    <m/>
    <m/>
    <m/>
    <m/>
    <m/>
    <m/>
    <m/>
    <m/>
    <m/>
    <m/>
    <m/>
    <m/>
    <m/>
    <m/>
    <m/>
    <m/>
    <n v="0"/>
    <n v="0"/>
    <n v="0"/>
    <n v="78377.97"/>
    <n v="8023.01"/>
    <n v="7035.4956101694934"/>
    <m/>
    <m/>
    <m/>
    <m/>
    <m/>
    <m/>
    <m/>
    <m/>
    <s v="Реаб."/>
    <d v="2023-05-29T00:00:00"/>
    <s v="Принят"/>
    <s v="Сакорггаз"/>
    <d v="2023-01-09T00:00:00"/>
    <s v="BCG-230109-1/0(14)"/>
    <m/>
    <m/>
    <s v="Yes"/>
  </r>
  <r>
    <n v="1662"/>
    <s v="Квемо Картли"/>
    <s v="Рустави"/>
    <s v="(5) გამოტანილი მრიცხველების პოლიეთილენის მილების შეცვლა რკინის მილებით (P.2.619)"/>
    <x v="10"/>
    <n v="23475.75"/>
    <n v="2"/>
    <n v="23475.75"/>
    <m/>
    <n v="22363.954999999998"/>
    <n v="1111.7950000000019"/>
    <n v="1111.7950000000019"/>
    <m/>
    <n v="1111.7950000000019"/>
    <s v="შესამოწმებელიადა ამოსაღებია"/>
    <m/>
    <s v="P.2.619"/>
    <n v="0"/>
    <n v="0"/>
    <m/>
    <m/>
    <m/>
    <m/>
    <m/>
    <m/>
    <m/>
    <m/>
    <m/>
    <m/>
    <m/>
    <m/>
    <m/>
    <m/>
    <m/>
    <m/>
    <m/>
    <m/>
    <m/>
    <m/>
    <m/>
    <m/>
    <m/>
    <m/>
    <m/>
    <n v="0"/>
    <n v="0"/>
    <n v="0"/>
    <m/>
    <m/>
    <m/>
    <m/>
    <m/>
    <m/>
    <m/>
    <m/>
    <m/>
    <m/>
    <m/>
    <s v="Проектирование"/>
    <m/>
    <n v="0"/>
    <s v="Сакорггаз"/>
    <d v="2023-01-09T00:00:00"/>
    <s v="BCG-230109-1/0(5)"/>
    <m/>
    <m/>
    <s v="No"/>
  </r>
  <r>
    <n v="1663"/>
    <s v="Квемо Картли"/>
    <s v="Рустави"/>
    <s v="(6) გამოტანილი მრიცხველების პოლიეთილენის მილების შეცვლა რკინის მილებით (P.2.619)"/>
    <x v="7"/>
    <n v="540000"/>
    <n v="2"/>
    <n v="1123798"/>
    <m/>
    <n v="850098.00550001033"/>
    <n v="-310098.00550001033"/>
    <n v="273699.99449998967"/>
    <n v="7807"/>
    <n v="-310098.00550001033"/>
    <s v="შესამოწმებელიადა ამოსაღებია"/>
    <m/>
    <s v="P.2.619"/>
    <n v="0"/>
    <n v="0"/>
    <m/>
    <m/>
    <m/>
    <m/>
    <m/>
    <m/>
    <m/>
    <m/>
    <m/>
    <m/>
    <m/>
    <m/>
    <m/>
    <m/>
    <m/>
    <m/>
    <m/>
    <m/>
    <m/>
    <m/>
    <m/>
    <m/>
    <m/>
    <m/>
    <m/>
    <n v="0"/>
    <n v="0"/>
    <n v="0"/>
    <n v="609322.04000000015"/>
    <n v="52536.530000000006"/>
    <m/>
    <m/>
    <m/>
    <m/>
    <m/>
    <m/>
    <m/>
    <m/>
    <m/>
    <s v="Корп"/>
    <m/>
    <n v="55"/>
    <s v="Сакорггаз"/>
    <d v="2023-01-09T00:00:00"/>
    <s v="BCG-230109-1/0(6)"/>
    <m/>
    <m/>
    <m/>
  </r>
  <r>
    <n v="1664"/>
    <s v="Квемо Картли"/>
    <s v="Рустави"/>
    <s v="(11) გამოტანილი მრიცხველების პოლიეთილენის მილების შეცვლა რკინის მილებით (P.2.648)"/>
    <x v="10"/>
    <n v="5871.25"/>
    <n v="2"/>
    <n v="5871.25"/>
    <m/>
    <n v="3083.11"/>
    <n v="2788.14"/>
    <n v="2788.14"/>
    <m/>
    <n v="2788.14"/>
    <s v="შესამოწმებელიადა ამოსაღებია"/>
    <m/>
    <s v="P.2.648"/>
    <n v="0"/>
    <n v="0"/>
    <m/>
    <m/>
    <m/>
    <m/>
    <m/>
    <m/>
    <m/>
    <m/>
    <m/>
    <m/>
    <m/>
    <m/>
    <m/>
    <m/>
    <m/>
    <m/>
    <m/>
    <m/>
    <m/>
    <m/>
    <m/>
    <m/>
    <m/>
    <m/>
    <m/>
    <n v="0"/>
    <n v="0"/>
    <n v="0"/>
    <m/>
    <m/>
    <m/>
    <m/>
    <m/>
    <m/>
    <m/>
    <m/>
    <m/>
    <m/>
    <m/>
    <s v="Проектирование"/>
    <m/>
    <n v="0"/>
    <s v="Сакорггаз"/>
    <d v="2023-01-09T00:00:00"/>
    <s v="BCG-230109-1/0(11)"/>
    <m/>
    <m/>
    <s v="No"/>
  </r>
  <r>
    <n v="1665"/>
    <s v="Квемо Картли"/>
    <s v="Рустави"/>
    <s v="(12) გამოტანილი მრიცხველების პოლიეთილენის მილების შეცვლა რკინის მილებით (P.2.648)"/>
    <x v="7"/>
    <n v="450000"/>
    <n v="2"/>
    <n v="344585"/>
    <m/>
    <n v="120716.353001"/>
    <n v="329283.64699899999"/>
    <n v="223868.64699899999"/>
    <n v="2578"/>
    <n v="329283.64699899999"/>
    <s v="შესამოწმებელიადა ამოსაღებია"/>
    <m/>
    <s v="P.2.648"/>
    <n v="0"/>
    <n v="0"/>
    <m/>
    <m/>
    <m/>
    <m/>
    <m/>
    <m/>
    <m/>
    <m/>
    <m/>
    <m/>
    <m/>
    <m/>
    <m/>
    <m/>
    <m/>
    <m/>
    <m/>
    <m/>
    <m/>
    <m/>
    <m/>
    <m/>
    <m/>
    <m/>
    <m/>
    <n v="44915.25"/>
    <n v="5588.56"/>
    <n v="0"/>
    <n v="135593.22"/>
    <n v="13474"/>
    <m/>
    <m/>
    <m/>
    <m/>
    <m/>
    <m/>
    <m/>
    <m/>
    <m/>
    <s v="Корп"/>
    <m/>
    <n v="35"/>
    <s v="Сакорггаз"/>
    <d v="2023-01-09T00:00:00"/>
    <s v="BCG-230109-1/0(12)"/>
    <m/>
    <m/>
    <m/>
  </r>
  <r>
    <n v="1666"/>
    <s v="Квемо Картли"/>
    <s v="Рустави"/>
    <s v="(7) გამოტანილი მრიცხველების პოლიეთილენის მილების შეცვლა რკინის მილებით (P.2.701)"/>
    <x v="10"/>
    <n v="3347.75"/>
    <n v="2"/>
    <n v="3347.75"/>
    <m/>
    <n v="1443.51"/>
    <n v="1904.24"/>
    <n v="1904.24"/>
    <m/>
    <n v="1904.24"/>
    <s v="შესამოწმებელიადა ამოსაღებია"/>
    <m/>
    <s v="P.2.701"/>
    <n v="0"/>
    <n v="0"/>
    <m/>
    <m/>
    <m/>
    <m/>
    <m/>
    <m/>
    <m/>
    <m/>
    <m/>
    <m/>
    <m/>
    <m/>
    <m/>
    <m/>
    <m/>
    <m/>
    <m/>
    <m/>
    <m/>
    <m/>
    <m/>
    <m/>
    <m/>
    <m/>
    <m/>
    <n v="0"/>
    <n v="0"/>
    <n v="0"/>
    <m/>
    <m/>
    <m/>
    <m/>
    <m/>
    <m/>
    <m/>
    <m/>
    <m/>
    <m/>
    <m/>
    <s v="Проектирование"/>
    <m/>
    <n v="0"/>
    <s v="Сакорггаз"/>
    <d v="2023-01-09T00:00:00"/>
    <s v="BCG-230109-1/0(7)"/>
    <m/>
    <m/>
    <s v="No"/>
  </r>
  <r>
    <n v="1667"/>
    <s v="Квемо Картли"/>
    <s v="Рустави"/>
    <s v="(8) გამოტანილი მრიცხველების პოლიეთილენის მილების შეცვლა რკინის მილებით (P.2.701)"/>
    <x v="7"/>
    <n v="470000"/>
    <n v="2"/>
    <n v="144496"/>
    <m/>
    <n v="72535.580000999995"/>
    <n v="397464.41999900003"/>
    <n v="71960.419999000005"/>
    <n v="50"/>
    <n v="397464.41999900003"/>
    <s v="შესამოწმებელიადა ამოსაღებია"/>
    <m/>
    <s v="P.2.701"/>
    <n v="0"/>
    <n v="0"/>
    <m/>
    <m/>
    <m/>
    <m/>
    <m/>
    <m/>
    <m/>
    <m/>
    <m/>
    <m/>
    <m/>
    <m/>
    <m/>
    <m/>
    <m/>
    <m/>
    <m/>
    <m/>
    <m/>
    <m/>
    <m/>
    <m/>
    <m/>
    <m/>
    <m/>
    <n v="50847.46"/>
    <n v="6326.6799999999994"/>
    <n v="0"/>
    <m/>
    <m/>
    <m/>
    <m/>
    <m/>
    <m/>
    <m/>
    <m/>
    <m/>
    <m/>
    <m/>
    <s v="Корп"/>
    <m/>
    <n v="5"/>
    <s v="Сакорггаз"/>
    <d v="2023-01-09T00:00:00"/>
    <s v="BCG-230109-1/0(8)"/>
    <m/>
    <m/>
    <m/>
  </r>
  <r>
    <n v="1668"/>
    <s v="Имерети"/>
    <s v="Кутаиси"/>
    <s v="(1) თამარ მეფის ქუჩის 1 ჩიხის გაზსადენის რეაბილიტაცია P.6.612"/>
    <x v="9"/>
    <n v="707"/>
    <m/>
    <n v="707"/>
    <m/>
    <n v="707"/>
    <n v="0"/>
    <n v="0"/>
    <m/>
    <n v="0"/>
    <n v="0"/>
    <m/>
    <s v="P.6.612"/>
    <n v="0"/>
    <n v="0"/>
    <m/>
    <m/>
    <m/>
    <m/>
    <m/>
    <m/>
    <m/>
    <m/>
    <m/>
    <m/>
    <m/>
    <m/>
    <m/>
    <m/>
    <m/>
    <m/>
    <m/>
    <m/>
    <m/>
    <m/>
    <m/>
    <m/>
    <m/>
    <m/>
    <m/>
    <n v="0"/>
    <n v="0"/>
    <n v="0"/>
    <m/>
    <m/>
    <m/>
    <m/>
    <m/>
    <m/>
    <m/>
    <m/>
    <m/>
    <m/>
    <m/>
    <s v="Проектирование"/>
    <d v="2023-06-14T00:00:00"/>
    <s v="ПриПро"/>
    <s v="Сакорггаз"/>
    <d v="2023-01-10T00:00:00"/>
    <s v="BCG-230110-1/0(1)"/>
    <m/>
    <m/>
    <s v="No"/>
  </r>
  <r>
    <n v="1669"/>
    <s v="Имерети"/>
    <s v="Кутаиси"/>
    <s v="(2) თამარ მეფის ქუჩის 1 ჩიხის გაზსადენის რეაბილიტაცია P.6.612"/>
    <x v="4"/>
    <n v="45000"/>
    <m/>
    <n v="56305.94"/>
    <m/>
    <n v="56305.94"/>
    <n v="-11305.940000000002"/>
    <n v="0"/>
    <n v="344"/>
    <n v="0"/>
    <n v="0"/>
    <m/>
    <s v="P.6.612"/>
    <n v="0"/>
    <n v="0"/>
    <m/>
    <m/>
    <m/>
    <m/>
    <m/>
    <m/>
    <m/>
    <m/>
    <m/>
    <m/>
    <m/>
    <m/>
    <m/>
    <m/>
    <m/>
    <m/>
    <m/>
    <m/>
    <m/>
    <m/>
    <m/>
    <m/>
    <m/>
    <m/>
    <m/>
    <n v="0"/>
    <n v="0"/>
    <n v="0"/>
    <n v="0"/>
    <n v="0"/>
    <n v="4771.6898305084751"/>
    <m/>
    <m/>
    <m/>
    <m/>
    <m/>
    <m/>
    <m/>
    <m/>
    <s v="Реаб."/>
    <d v="2023-12-28T00:00:00"/>
    <s v="Принят"/>
    <s v="Сакорггаз"/>
    <d v="2023-01-10T00:00:00"/>
    <s v="BCG-230110-1/0(2)"/>
    <m/>
    <m/>
    <s v="Yes"/>
  </r>
  <r>
    <n v="1670"/>
    <s v="Имерети"/>
    <s v="Мартвили"/>
    <s v="(3) მარტვილი ენგელსის ქ .საყრდენების რეაბილიტაცია P.6.684"/>
    <x v="9"/>
    <n v="0"/>
    <s v="ამოსაღებია, ამას აღარ ვაკეთებთ, ქსელი სახელმწიფოს საკუთრებაა!"/>
    <m/>
    <m/>
    <m/>
    <n v="0"/>
    <n v="0"/>
    <m/>
    <n v="0"/>
    <n v="0"/>
    <m/>
    <s v="P.6.684"/>
    <n v="0"/>
    <n v="0"/>
    <m/>
    <m/>
    <m/>
    <m/>
    <m/>
    <m/>
    <m/>
    <m/>
    <m/>
    <m/>
    <m/>
    <m/>
    <m/>
    <m/>
    <m/>
    <m/>
    <m/>
    <m/>
    <m/>
    <m/>
    <m/>
    <m/>
    <m/>
    <m/>
    <m/>
    <n v="0"/>
    <n v="0"/>
    <n v="0"/>
    <m/>
    <m/>
    <m/>
    <m/>
    <m/>
    <m/>
    <m/>
    <m/>
    <m/>
    <m/>
    <m/>
    <s v="Проектирование"/>
    <m/>
    <n v="0"/>
    <s v="Сакорггаз"/>
    <d v="2023-01-10T00:00:00"/>
    <s v="BCG-230110-1/0(3)"/>
    <m/>
    <m/>
    <m/>
  </r>
  <r>
    <n v="1671"/>
    <s v="Имерети"/>
    <s v="Мартвили"/>
    <s v="(4) მარტვილი ენგელსის ქ .საყრდენების რეაბილიტაცია P.6.684"/>
    <x v="4"/>
    <n v="16000"/>
    <m/>
    <n v="3546.04"/>
    <m/>
    <n v="3546.04"/>
    <n v="12453.96"/>
    <n v="0"/>
    <n v="0"/>
    <n v="0"/>
    <n v="0"/>
    <m/>
    <s v="P.6.684"/>
    <n v="0"/>
    <n v="0"/>
    <m/>
    <m/>
    <m/>
    <m/>
    <m/>
    <m/>
    <m/>
    <m/>
    <m/>
    <m/>
    <m/>
    <m/>
    <m/>
    <m/>
    <m/>
    <m/>
    <m/>
    <m/>
    <m/>
    <m/>
    <m/>
    <m/>
    <m/>
    <m/>
    <m/>
    <n v="0"/>
    <n v="0"/>
    <n v="0"/>
    <n v="0"/>
    <n v="0"/>
    <n v="300.51186440677969"/>
    <m/>
    <m/>
    <m/>
    <m/>
    <m/>
    <m/>
    <m/>
    <m/>
    <s v="Реаб."/>
    <d v="2023-11-30T00:00:00"/>
    <s v="Принят"/>
    <s v="Сакорггаз"/>
    <d v="2023-01-10T00:00:00"/>
    <s v="BCG-230110-1/0(4)"/>
    <m/>
    <m/>
    <s v="Yes"/>
  </r>
  <r>
    <n v="1672"/>
    <s v="Имерети"/>
    <s v="Терджола"/>
    <s v="(5) მრიცხველების შეცვლა გამოტანა ქ. თერჯოლაა 300 და ქ.ამბროლაური 200 (P.6.191 (3))"/>
    <x v="9"/>
    <n v="10459.75"/>
    <m/>
    <n v="10459.75"/>
    <m/>
    <n v="10459.75"/>
    <n v="0"/>
    <n v="0"/>
    <m/>
    <n v="0"/>
    <n v="0"/>
    <m/>
    <s v="P.6.191 (3)"/>
    <n v="0"/>
    <n v="0"/>
    <m/>
    <m/>
    <m/>
    <m/>
    <m/>
    <m/>
    <m/>
    <m/>
    <m/>
    <m/>
    <m/>
    <m/>
    <m/>
    <m/>
    <m/>
    <m/>
    <m/>
    <m/>
    <m/>
    <m/>
    <m/>
    <m/>
    <m/>
    <m/>
    <m/>
    <n v="0"/>
    <n v="0"/>
    <n v="0"/>
    <m/>
    <m/>
    <m/>
    <m/>
    <m/>
    <m/>
    <m/>
    <m/>
    <m/>
    <m/>
    <m/>
    <s v="Проектирование"/>
    <d v="2023-11-14T00:00:00"/>
    <s v="ПриПро"/>
    <s v="Сакорггаз"/>
    <d v="2023-01-10T00:00:00"/>
    <s v="BCG-230110-1/0(5)"/>
    <m/>
    <m/>
    <s v="No"/>
  </r>
  <r>
    <n v="1673"/>
    <s v="Имерети"/>
    <s v="Терджола"/>
    <s v="(6) მრიცხველების შეცვლა გამოტანა ქ. თერჯოლაა 300 და ქ.ამბროლაური 200 (P.6.191 (3))"/>
    <x v="4"/>
    <n v="240000"/>
    <n v="2"/>
    <n v="287086.37"/>
    <n v="287086.37"/>
    <n v="287086.37"/>
    <n v="-47086.369999999995"/>
    <n v="0"/>
    <n v="5839"/>
    <n v="0"/>
    <n v="0"/>
    <m/>
    <s v="P.6.191 (3)"/>
    <n v="0"/>
    <n v="0"/>
    <m/>
    <m/>
    <m/>
    <m/>
    <m/>
    <m/>
    <m/>
    <m/>
    <m/>
    <m/>
    <m/>
    <m/>
    <m/>
    <m/>
    <m/>
    <m/>
    <m/>
    <m/>
    <m/>
    <m/>
    <m/>
    <m/>
    <m/>
    <m/>
    <m/>
    <n v="0"/>
    <n v="0"/>
    <n v="0"/>
    <m/>
    <m/>
    <m/>
    <m/>
    <m/>
    <n v="6779.6610169491541"/>
    <n v="17549.692372881356"/>
    <m/>
    <m/>
    <m/>
    <m/>
    <s v="Реаб."/>
    <d v="2024-10-29T00:00:00"/>
    <s v="Принят"/>
    <s v="Сакорггаз"/>
    <d v="2023-01-10T00:00:00"/>
    <s v="BCG-230110-1/0(6)"/>
    <m/>
    <m/>
    <s v="Yes"/>
  </r>
  <r>
    <n v="1674"/>
    <s v="Имерети"/>
    <s v="Самтредия"/>
    <s v="(7) სამტრედია იმერეთის და ბოლქვაძის ქ. საყრდენების რეაბილიტაცია P.6.686"/>
    <x v="9"/>
    <n v="65"/>
    <n v="2"/>
    <n v="65"/>
    <m/>
    <n v="65"/>
    <n v="0"/>
    <n v="0"/>
    <m/>
    <n v="0"/>
    <n v="0"/>
    <m/>
    <s v="P.6.686"/>
    <n v="0"/>
    <n v="0"/>
    <m/>
    <m/>
    <m/>
    <m/>
    <m/>
    <m/>
    <m/>
    <m/>
    <m/>
    <m/>
    <m/>
    <m/>
    <m/>
    <m/>
    <m/>
    <m/>
    <m/>
    <m/>
    <m/>
    <m/>
    <m/>
    <m/>
    <m/>
    <m/>
    <m/>
    <n v="0"/>
    <n v="0"/>
    <n v="0"/>
    <m/>
    <m/>
    <m/>
    <m/>
    <m/>
    <m/>
    <m/>
    <m/>
    <m/>
    <m/>
    <m/>
    <s v="Проектирование"/>
    <d v="2024-05-15T00:00:00"/>
    <s v="ПриПро"/>
    <s v="Сакорггаз"/>
    <d v="2023-01-10T00:00:00"/>
    <s v="BCG-230110-1/0(7)"/>
    <m/>
    <m/>
    <m/>
  </r>
  <r>
    <n v="1675"/>
    <s v="Имерети"/>
    <s v="Самтредия"/>
    <s v="(8) სამტრედია იმერეთის და ბოლქვაძის ქ. საყრდენების რეაბილიტაცია P.6.686"/>
    <x v="4"/>
    <n v="55000"/>
    <n v="2"/>
    <n v="14731.1"/>
    <n v="14731.1"/>
    <n v="14731.1"/>
    <n v="40268.9"/>
    <n v="0"/>
    <n v="120"/>
    <n v="0"/>
    <n v="0"/>
    <m/>
    <s v="P.6.686"/>
    <n v="0"/>
    <n v="0"/>
    <m/>
    <m/>
    <m/>
    <m/>
    <m/>
    <m/>
    <m/>
    <m/>
    <m/>
    <m/>
    <m/>
    <m/>
    <m/>
    <m/>
    <m/>
    <m/>
    <m/>
    <m/>
    <m/>
    <m/>
    <m/>
    <m/>
    <m/>
    <m/>
    <m/>
    <n v="0"/>
    <n v="0"/>
    <n v="0"/>
    <m/>
    <m/>
    <m/>
    <m/>
    <m/>
    <n v="0"/>
    <n v="1248.398305084746"/>
    <m/>
    <m/>
    <m/>
    <m/>
    <s v="Реаб."/>
    <d v="2024-07-15T00:00:00"/>
    <s v="Принят"/>
    <s v="Сакорггаз"/>
    <d v="2023-01-10T00:00:00"/>
    <s v="BCG-230110-1/0(8)"/>
    <m/>
    <m/>
    <s v="Yes"/>
  </r>
  <r>
    <n v="1676"/>
    <s v="Имерети"/>
    <s v="Самтредия"/>
    <s v="(9) სამტრედია ნინოშვილის ქუჩა და ნინოშვილის ჩიხის გაზსადენის რეაბილიტაცია P.6.681"/>
    <x v="9"/>
    <n v="2866.5"/>
    <m/>
    <n v="2866.5"/>
    <m/>
    <n v="2866.5"/>
    <n v="0"/>
    <n v="0"/>
    <m/>
    <n v="0"/>
    <n v="0"/>
    <m/>
    <s v="P.6.681"/>
    <n v="0"/>
    <n v="0"/>
    <m/>
    <m/>
    <m/>
    <m/>
    <m/>
    <m/>
    <m/>
    <m/>
    <m/>
    <m/>
    <m/>
    <m/>
    <m/>
    <m/>
    <m/>
    <m/>
    <m/>
    <m/>
    <m/>
    <m/>
    <m/>
    <m/>
    <m/>
    <m/>
    <m/>
    <n v="0"/>
    <n v="0"/>
    <n v="0"/>
    <m/>
    <m/>
    <m/>
    <m/>
    <m/>
    <m/>
    <m/>
    <m/>
    <m/>
    <m/>
    <m/>
    <s v="Проектирование"/>
    <d v="2023-08-31T00:00:00"/>
    <s v="ПриПро"/>
    <s v="Сакорггаз"/>
    <d v="2023-01-10T00:00:00"/>
    <s v="BCG-230110-1/0(9)"/>
    <m/>
    <m/>
    <s v="No"/>
  </r>
  <r>
    <n v="1677"/>
    <s v="Имерети"/>
    <s v="Самтредия"/>
    <s v="(10) სამტრედია ნინოშვილის ქუჩა და ნინოშვილის ჩიხის გაზსადენის რეაბილიტაცია P.6.681"/>
    <x v="4"/>
    <n v="57000"/>
    <s v="ამოსაღებია კეთდება 2024 წლის ხელშეკრულებით."/>
    <m/>
    <m/>
    <m/>
    <n v="57000"/>
    <n v="0"/>
    <m/>
    <n v="57000"/>
    <s v="X"/>
    <m/>
    <s v="P.6.681"/>
    <n v="0"/>
    <n v="0"/>
    <m/>
    <m/>
    <m/>
    <m/>
    <m/>
    <m/>
    <m/>
    <m/>
    <m/>
    <m/>
    <m/>
    <m/>
    <m/>
    <m/>
    <m/>
    <m/>
    <m/>
    <m/>
    <m/>
    <m/>
    <m/>
    <m/>
    <m/>
    <m/>
    <m/>
    <n v="0"/>
    <n v="0"/>
    <n v="0"/>
    <m/>
    <m/>
    <m/>
    <m/>
    <m/>
    <m/>
    <m/>
    <m/>
    <m/>
    <m/>
    <m/>
    <s v="Реаб."/>
    <m/>
    <n v="0"/>
    <s v="Сакорггаз"/>
    <d v="2023-01-10T00:00:00"/>
    <s v="BCG-230110-1/0(10)"/>
    <m/>
    <m/>
    <s v="No"/>
  </r>
  <r>
    <n v="1678"/>
    <s v="Имерети"/>
    <s v="Вани"/>
    <s v="(11) სოფ. ზენობანი. გაზსადენის რეაბილიტაცია P.6.647"/>
    <x v="4"/>
    <n v="461805.49"/>
    <n v="2"/>
    <n v="461805.49"/>
    <n v="461805.49"/>
    <n v="442817.77999999997"/>
    <n v="18987.710000000021"/>
    <n v="18987.710000000021"/>
    <n v="8608"/>
    <n v="18987.710000000021"/>
    <n v="1"/>
    <m/>
    <s v="P.6.647"/>
    <n v="206805.49"/>
    <n v="31546.600000000002"/>
    <n v="202000"/>
    <m/>
    <n v="4805.49"/>
    <n v="30813.56"/>
    <m/>
    <n v="733.04"/>
    <m/>
    <m/>
    <m/>
    <m/>
    <m/>
    <m/>
    <m/>
    <m/>
    <m/>
    <m/>
    <m/>
    <m/>
    <m/>
    <m/>
    <m/>
    <m/>
    <m/>
    <m/>
    <s v="საბოლოო"/>
    <n v="0"/>
    <n v="0"/>
    <n v="0"/>
    <m/>
    <m/>
    <m/>
    <n v="211864.4"/>
    <n v="20987.120000000003"/>
    <n v="12203.389830508475"/>
    <n v="24833.956644067803"/>
    <n v="171186.44"/>
    <n v="3480.01"/>
    <m/>
    <m/>
    <s v="Реаб."/>
    <d v="2025-02-18T00:00:00"/>
    <s v="Принят"/>
    <s v="Сакорггаз"/>
    <d v="2023-01-10T00:00:00"/>
    <s v="BCG-230110-1/0(11)"/>
    <m/>
    <m/>
    <s v="Yes"/>
  </r>
  <r>
    <n v="1679"/>
    <s v="Имерети"/>
    <s v="Вани"/>
    <s v="(12) სოფ. ისრითი. გაზსადენის რეაბილიტაცია P.6.645"/>
    <x v="4"/>
    <n v="471804.33999999997"/>
    <n v="2"/>
    <n v="471804.33999999997"/>
    <n v="471804.33999999997"/>
    <n v="452478.62"/>
    <n v="19325.719999999972"/>
    <n v="19325.719999999972"/>
    <n v="7963"/>
    <n v="19325.719999999972"/>
    <n v="1"/>
    <m/>
    <s v="P.6.645"/>
    <n v="141804.34"/>
    <n v="21631.17"/>
    <n v="138000"/>
    <m/>
    <n v="3804.34"/>
    <n v="21050.85"/>
    <m/>
    <n v="580.32000000000005"/>
    <m/>
    <m/>
    <m/>
    <m/>
    <m/>
    <m/>
    <m/>
    <m/>
    <m/>
    <m/>
    <m/>
    <m/>
    <m/>
    <m/>
    <m/>
    <m/>
    <m/>
    <m/>
    <s v="საბოლოო"/>
    <n v="0"/>
    <n v="0"/>
    <n v="0"/>
    <m/>
    <m/>
    <m/>
    <n v="271186.44"/>
    <n v="27216.801245273818"/>
    <n v="18305.084745762717"/>
    <n v="18956.653773777703"/>
    <n v="116949.15"/>
    <m/>
    <m/>
    <m/>
    <s v="Реаб."/>
    <d v="2025-02-18T00:00:00"/>
    <s v="Принят"/>
    <s v="Сакорггаз"/>
    <d v="2023-01-10T00:00:00"/>
    <s v="BCG-230110-1/0(12)"/>
    <m/>
    <m/>
    <s v="Yes"/>
  </r>
  <r>
    <n v="1680"/>
    <s v="Имерети"/>
    <s v="Вани"/>
    <s v="(13) სოფ. სალხინო. გაზსადენის რეაბილიტაცია P.6.646"/>
    <x v="4"/>
    <n v="475000"/>
    <s v="ამოსაღებია ეს პუნქტი გაზსერვისთან გაუქმდა 2023 წლის 2 ოქტომბრის შეთანხმებით."/>
    <n v="0"/>
    <m/>
    <n v="0"/>
    <n v="475000"/>
    <n v="0"/>
    <m/>
    <n v="475000"/>
    <s v="X"/>
    <m/>
    <s v="P.6.646"/>
    <n v="0"/>
    <n v="0"/>
    <m/>
    <m/>
    <m/>
    <m/>
    <m/>
    <m/>
    <m/>
    <m/>
    <m/>
    <m/>
    <m/>
    <m/>
    <m/>
    <m/>
    <m/>
    <m/>
    <m/>
    <m/>
    <m/>
    <m/>
    <m/>
    <m/>
    <m/>
    <m/>
    <m/>
    <n v="0"/>
    <n v="0"/>
    <n v="0"/>
    <m/>
    <m/>
    <m/>
    <m/>
    <m/>
    <m/>
    <m/>
    <m/>
    <m/>
    <m/>
    <m/>
    <s v="Реаб."/>
    <m/>
    <n v="0"/>
    <s v="Сакорггаз"/>
    <d v="2023-01-10T00:00:00"/>
    <s v="BCG-230110-1/0(13)"/>
    <m/>
    <s v="ეს პუნქტი გაზსერვისთან გაუქმდა 2023 წლის 2 ოქტომბრის შეთანხმებით."/>
    <m/>
  </r>
  <r>
    <n v="1681"/>
    <s v="Имерети"/>
    <s v="Терджола"/>
    <s v="(14) ქალაქ თერჯოლის ცენტრალური დასახლების, მასში შემავალი ტაბიძის,ნინოშვილის, ვაჟა ფშაველას.რობაქიძის, ოთხი ძმის, თამარმფის ქუჩების მცხოვრებ აბონენტთა გაზმომარაგების ქსელის რეაბილიტაცია (N 5 - N 6 საუბნოები და მათი მკვებავი საშუალო წნევის გაზსადენი) P.6.741"/>
    <x v="9"/>
    <n v="26078.5"/>
    <m/>
    <n v="26078.5"/>
    <m/>
    <n v="26078.5"/>
    <n v="0"/>
    <n v="0"/>
    <m/>
    <n v="0"/>
    <n v="0"/>
    <m/>
    <s v="P.6.741"/>
    <n v="0"/>
    <n v="0"/>
    <m/>
    <m/>
    <m/>
    <m/>
    <m/>
    <m/>
    <m/>
    <m/>
    <m/>
    <m/>
    <m/>
    <m/>
    <m/>
    <m/>
    <m/>
    <m/>
    <m/>
    <m/>
    <m/>
    <m/>
    <m/>
    <m/>
    <m/>
    <m/>
    <m/>
    <n v="0"/>
    <n v="0"/>
    <n v="0"/>
    <m/>
    <m/>
    <m/>
    <m/>
    <m/>
    <m/>
    <m/>
    <m/>
    <m/>
    <m/>
    <m/>
    <s v="Проектирование"/>
    <d v="2023-06-14T00:00:00"/>
    <s v="ПриПро"/>
    <s v="Сакорггаз"/>
    <d v="2023-01-10T00:00:00"/>
    <s v="BCG-230110-1/0(14)"/>
    <m/>
    <m/>
    <s v="No"/>
  </r>
  <r>
    <n v="1682"/>
    <s v="Имерети"/>
    <s v="Кутаиси"/>
    <s v="(15) ქუთაისი თაბუკაშვილის ქუჩის ყველა მონაკვეთის ასევე შესახვევების არსებული გაზსადენის რეაბილიტაცია P.6.87"/>
    <x v="4"/>
    <n v="1130000"/>
    <m/>
    <n v="1234513.17"/>
    <m/>
    <n v="1234513.17"/>
    <n v="-104513.16999999993"/>
    <n v="0"/>
    <n v="7426"/>
    <n v="0"/>
    <n v="0"/>
    <m/>
    <s v="P.6.87"/>
    <n v="0"/>
    <n v="0"/>
    <m/>
    <m/>
    <m/>
    <m/>
    <m/>
    <m/>
    <m/>
    <m/>
    <m/>
    <m/>
    <m/>
    <m/>
    <m/>
    <m/>
    <m/>
    <m/>
    <m/>
    <m/>
    <m/>
    <m/>
    <m/>
    <m/>
    <m/>
    <m/>
    <m/>
    <n v="0"/>
    <n v="0"/>
    <n v="0"/>
    <n v="805084.74"/>
    <n v="87031.58"/>
    <n v="95916.602169491525"/>
    <m/>
    <m/>
    <m/>
    <m/>
    <m/>
    <m/>
    <m/>
    <m/>
    <s v="Реаб."/>
    <d v="2023-12-28T00:00:00"/>
    <s v="Принят"/>
    <s v="Сакорггаз"/>
    <d v="2023-01-10T00:00:00"/>
    <s v="BCG-230110-1/0(15)"/>
    <m/>
    <m/>
    <s v="Yes"/>
  </r>
  <r>
    <n v="1683"/>
    <s v="Имерети"/>
    <s v="Кутаиси"/>
    <s v="(16) ქუთაისში ყოფილი საავტომობილო ქარხნის ტერიტორიაზე საშუალო წნევის ქსელის შენებლობა P.6.831"/>
    <x v="9"/>
    <n v="3823.75"/>
    <m/>
    <n v="3823.75"/>
    <m/>
    <n v="3823.75"/>
    <n v="0"/>
    <n v="0"/>
    <m/>
    <n v="0"/>
    <n v="0"/>
    <m/>
    <s v="P.6.831"/>
    <n v="0"/>
    <n v="0"/>
    <m/>
    <m/>
    <m/>
    <m/>
    <m/>
    <m/>
    <m/>
    <m/>
    <m/>
    <m/>
    <m/>
    <m/>
    <m/>
    <m/>
    <m/>
    <m/>
    <m/>
    <m/>
    <m/>
    <m/>
    <m/>
    <m/>
    <m/>
    <m/>
    <m/>
    <n v="0"/>
    <n v="0"/>
    <n v="0"/>
    <m/>
    <m/>
    <m/>
    <m/>
    <m/>
    <m/>
    <m/>
    <m/>
    <m/>
    <m/>
    <m/>
    <s v="Проектирование"/>
    <d v="2023-06-14T00:00:00"/>
    <s v="ПриПро"/>
    <s v="Сакорггаз"/>
    <d v="2023-01-10T00:00:00"/>
    <s v="BCG-230110-1/0(16)"/>
    <m/>
    <m/>
    <s v="No"/>
  </r>
  <r>
    <n v="1684"/>
    <s v="Имерети"/>
    <s v="Кутаиси"/>
    <s v="(17) ქუთაისში ყოფილი საავტომობილო ქარხნის ტერიტორიაზე საშუალო წნევის ქსელის შენებლობა P.6.831"/>
    <x v="4"/>
    <n v="190000"/>
    <m/>
    <n v="187721.14"/>
    <m/>
    <n v="187721.13999999998"/>
    <n v="2278.8600000000151"/>
    <n v="0"/>
    <n v="2045"/>
    <n v="2.9103830456733704E-11"/>
    <n v="0"/>
    <m/>
    <s v="P.6.831"/>
    <n v="0"/>
    <n v="0"/>
    <m/>
    <m/>
    <m/>
    <m/>
    <m/>
    <m/>
    <m/>
    <m/>
    <m/>
    <m/>
    <m/>
    <m/>
    <m/>
    <m/>
    <m/>
    <m/>
    <m/>
    <m/>
    <m/>
    <m/>
    <m/>
    <m/>
    <m/>
    <m/>
    <m/>
    <n v="0"/>
    <n v="0"/>
    <n v="0"/>
    <n v="127118.64"/>
    <n v="12959.14"/>
    <n v="14612.657186440681"/>
    <m/>
    <m/>
    <m/>
    <m/>
    <m/>
    <m/>
    <m/>
    <m/>
    <s v="Реаб."/>
    <d v="2023-11-30T00:00:00"/>
    <s v="Принят"/>
    <s v="Сакорггаз"/>
    <d v="2023-01-10T00:00:00"/>
    <s v="BCG-230110-1/0(17)"/>
    <m/>
    <m/>
    <s v="Yes"/>
  </r>
  <r>
    <n v="1685"/>
    <s v="Имерети"/>
    <s v="Чиатура"/>
    <s v="(1) 7 - საუბნო-აღმაშენებლის ქუჩაზე, წმინდა გიორგის ქუჩაზე, ღვალაძის ქუჩაზე, საბჭოს ქუჩაზე, გაგარინის ქუჩაზე,  4-საუბნო-რუსთაველის ქუჩაზე ტყაბლაძის ქუჩაზე, ინტერნაციონალის ქუჩაზე, ქუთაისის ქუჩაზე,  21- საუბნო-ბარათაშვილის ქუჩაზე, ცუცქირიძის ქუჩაზე და ბათუმის ქუჩაზე  გამავალი გაზსადენის შეღებვა. P.6.246"/>
    <x v="4"/>
    <n v="82600"/>
    <n v="2"/>
    <n v="48392.41"/>
    <n v="48392.41"/>
    <n v="48392.409999999996"/>
    <n v="34207.590000000004"/>
    <n v="0"/>
    <n v="1E-3"/>
    <n v="7.2759576141834259E-12"/>
    <n v="0"/>
    <m/>
    <s v="P.6.246"/>
    <n v="0"/>
    <n v="0"/>
    <m/>
    <m/>
    <m/>
    <m/>
    <m/>
    <m/>
    <m/>
    <m/>
    <m/>
    <m/>
    <m/>
    <m/>
    <m/>
    <m/>
    <m/>
    <m/>
    <m/>
    <m/>
    <m/>
    <m/>
    <m/>
    <m/>
    <m/>
    <m/>
    <m/>
    <n v="0"/>
    <n v="0"/>
    <n v="0"/>
    <m/>
    <m/>
    <m/>
    <m/>
    <m/>
    <n v="4101.0516949152543"/>
    <n v="0"/>
    <m/>
    <m/>
    <m/>
    <m/>
    <s v="Реаб."/>
    <d v="2024-04-30T00:00:00"/>
    <s v="Принят"/>
    <s v="SGG"/>
    <d v="2023-01-10T00:00:00"/>
    <s v="BSG-230110-1/0(1)"/>
    <m/>
    <m/>
    <s v="Yes"/>
  </r>
  <r>
    <n v="1686"/>
    <s v="Имерети"/>
    <s v="Цкалтубо"/>
    <s v="(2) N1 საუბნო გაზსადენის, გამაგრებითი და სარეაბილიტაციო სამუშაოები. სოფ. თერნალში ე.წ &quot;კაკოჩაშვილების&quot; ჩიხში ამორტიზებული ქსელის რეაბილიტაცია. ასევე ე.წ &quot;შუღლაძის&quot; ჩიხში გაზსადენის რეაბილიტაცია P.6.209"/>
    <x v="9"/>
    <n v="5661.25"/>
    <m/>
    <n v="5661.25"/>
    <m/>
    <n v="5661.25"/>
    <n v="0"/>
    <n v="0"/>
    <m/>
    <n v="0"/>
    <n v="0"/>
    <m/>
    <s v="P.6.209"/>
    <n v="0"/>
    <n v="0"/>
    <m/>
    <m/>
    <m/>
    <m/>
    <m/>
    <m/>
    <m/>
    <m/>
    <m/>
    <m/>
    <m/>
    <m/>
    <m/>
    <m/>
    <m/>
    <m/>
    <m/>
    <m/>
    <m/>
    <m/>
    <m/>
    <m/>
    <m/>
    <m/>
    <m/>
    <n v="0"/>
    <n v="0"/>
    <n v="0"/>
    <m/>
    <m/>
    <m/>
    <m/>
    <m/>
    <m/>
    <m/>
    <m/>
    <m/>
    <m/>
    <m/>
    <s v="Проектирование"/>
    <d v="2023-09-16T00:00:00"/>
    <s v="ПриПро"/>
    <s v="SGG"/>
    <d v="2023-01-10T00:00:00"/>
    <s v="BSG-230110-1/0(2)"/>
    <m/>
    <m/>
    <s v="No"/>
  </r>
  <r>
    <n v="1687"/>
    <s v="Имерети"/>
    <s v="Цкалтубо"/>
    <s v="(3) N1 საუბნო გაზსადენის, გამაგრებითი და სარეაბილიტაციო სამუშაოები. სოფ. თერნალში ე.წ &quot;კაკოჩაშვილების&quot; ჩიხში ამორტიზებული ქსელის რეაბილიტაცია. ასევე ე.წ &quot;შუღლაძის&quot; ჩიხში გაზსადენის რეაბილიტაციაP.6.209"/>
    <x v="4"/>
    <n v="185000"/>
    <n v="2"/>
    <n v="259004.11"/>
    <n v="259004.11"/>
    <n v="259004.11"/>
    <n v="-74004.109999999986"/>
    <n v="0"/>
    <n v="3268"/>
    <n v="0"/>
    <n v="0"/>
    <m/>
    <s v="P.6.209"/>
    <n v="0"/>
    <n v="0"/>
    <m/>
    <m/>
    <m/>
    <m/>
    <m/>
    <m/>
    <m/>
    <m/>
    <m/>
    <m/>
    <m/>
    <m/>
    <m/>
    <m/>
    <m/>
    <m/>
    <m/>
    <m/>
    <m/>
    <m/>
    <m/>
    <m/>
    <m/>
    <m/>
    <m/>
    <n v="0"/>
    <n v="0"/>
    <n v="0"/>
    <n v="0"/>
    <n v="0"/>
    <n v="0"/>
    <n v="0"/>
    <n v="0"/>
    <n v="21949.500847457628"/>
    <n v="0"/>
    <m/>
    <m/>
    <m/>
    <m/>
    <s v="Реаб."/>
    <d v="2024-02-29T00:00:00"/>
    <s v="Принят"/>
    <s v="SGG"/>
    <d v="2023-01-10T00:00:00"/>
    <s v="BSG-230110-1/0(3)"/>
    <m/>
    <m/>
    <s v="Yes"/>
  </r>
  <r>
    <n v="1688"/>
    <s v="Имерети"/>
    <s v="Цкалтубо"/>
    <s v="(4) N21 საუბნოზე, მიწისქვეშა დ-100 მმ ფოლადის ამორტიზებული გაზსადენის შეცლა პოლიეთილენის გაზსადენითP.6.213"/>
    <x v="9"/>
    <n v="1249.5"/>
    <m/>
    <n v="1249.5"/>
    <m/>
    <n v="1249.5"/>
    <n v="0"/>
    <n v="0"/>
    <m/>
    <n v="0"/>
    <n v="0"/>
    <m/>
    <s v="P.6.213"/>
    <n v="0"/>
    <n v="0"/>
    <m/>
    <m/>
    <m/>
    <m/>
    <m/>
    <m/>
    <m/>
    <m/>
    <m/>
    <m/>
    <m/>
    <m/>
    <m/>
    <m/>
    <m/>
    <m/>
    <m/>
    <m/>
    <m/>
    <m/>
    <m/>
    <m/>
    <m/>
    <m/>
    <m/>
    <n v="0"/>
    <n v="0"/>
    <n v="0"/>
    <m/>
    <m/>
    <m/>
    <m/>
    <m/>
    <m/>
    <m/>
    <m/>
    <m/>
    <m/>
    <m/>
    <s v="Проектирование"/>
    <d v="2023-11-14T00:00:00"/>
    <s v="ПриПро"/>
    <s v="SGG"/>
    <d v="2023-01-10T00:00:00"/>
    <s v="BSG-230110-1/0(4)"/>
    <m/>
    <m/>
    <s v="No"/>
  </r>
  <r>
    <n v="1689"/>
    <s v="Имерети"/>
    <s v="Цкалтубо"/>
    <s v="(5) N21 საუბნოზე, მიწისქვეშა დ-100 მმ ფოლადის ამორტიზებული გაზსადენის შეცლა პოლიეთილენის გაზსადენითP.6.213"/>
    <x v="4"/>
    <n v="35000"/>
    <n v="2"/>
    <n v="119014.7"/>
    <n v="119014.7"/>
    <n v="119014.7"/>
    <n v="-84014.7"/>
    <n v="0"/>
    <n v="723"/>
    <n v="0"/>
    <n v="0"/>
    <m/>
    <s v="P.6.213"/>
    <n v="0"/>
    <n v="0"/>
    <m/>
    <m/>
    <m/>
    <m/>
    <m/>
    <m/>
    <m/>
    <m/>
    <m/>
    <m/>
    <m/>
    <m/>
    <m/>
    <m/>
    <m/>
    <m/>
    <m/>
    <m/>
    <m/>
    <m/>
    <m/>
    <m/>
    <m/>
    <m/>
    <m/>
    <n v="0"/>
    <n v="0"/>
    <n v="0"/>
    <m/>
    <m/>
    <m/>
    <m/>
    <m/>
    <n v="0"/>
    <n v="10085.991525423729"/>
    <m/>
    <m/>
    <m/>
    <m/>
    <s v="Реаб."/>
    <d v="2024-08-27T00:00:00"/>
    <s v="Принят"/>
    <s v="SGG"/>
    <d v="2023-01-10T00:00:00"/>
    <s v="BSG-230110-1/0(5)"/>
    <m/>
    <m/>
    <s v="Yes"/>
  </r>
  <r>
    <n v="1690"/>
    <s v="Имерети"/>
    <s v="Цкалтубо"/>
    <s v="(6) N26 საუბნოზე, მიწისქვეშა დ-100 მმ ფოლადის ამორტიზებული გაზსადენის შეცლა პოლიეთილენის გაზსადენითP.6.214"/>
    <x v="9"/>
    <n v="1319.5"/>
    <m/>
    <n v="1319.5"/>
    <m/>
    <n v="1319.5"/>
    <n v="0"/>
    <n v="0"/>
    <m/>
    <n v="0"/>
    <n v="0"/>
    <m/>
    <s v="P.6.214"/>
    <n v="0"/>
    <n v="0"/>
    <m/>
    <m/>
    <m/>
    <m/>
    <m/>
    <m/>
    <m/>
    <m/>
    <m/>
    <m/>
    <m/>
    <m/>
    <m/>
    <m/>
    <m/>
    <m/>
    <m/>
    <m/>
    <m/>
    <m/>
    <m/>
    <m/>
    <m/>
    <m/>
    <m/>
    <n v="0"/>
    <n v="0"/>
    <n v="0"/>
    <m/>
    <m/>
    <m/>
    <m/>
    <m/>
    <m/>
    <m/>
    <m/>
    <m/>
    <m/>
    <m/>
    <s v="Проектирование"/>
    <d v="2023-11-14T00:00:00"/>
    <s v="ПриПро"/>
    <s v="SGG"/>
    <d v="2023-01-10T00:00:00"/>
    <s v="BSG-230110-1/0(6)"/>
    <m/>
    <m/>
    <s v="No"/>
  </r>
  <r>
    <n v="1691"/>
    <s v="Имерети"/>
    <s v="Цкалтубо"/>
    <s v="(7) N26 საუბნოზე, მიწისქვეშა დ-100 მმ ფოლადის ამორტიზებული გაზსადენის შეცლა პოლიეთილენის გაზსადენითP.6.214"/>
    <x v="4"/>
    <n v="33000"/>
    <n v="2"/>
    <n v="91665.17"/>
    <n v="91665.17"/>
    <n v="91665.170000000013"/>
    <n v="-58665.170000000013"/>
    <n v="0"/>
    <n v="714"/>
    <n v="-1.4551915228366852E-11"/>
    <n v="0"/>
    <m/>
    <s v="P.6.214"/>
    <n v="0"/>
    <n v="0"/>
    <m/>
    <m/>
    <m/>
    <m/>
    <m/>
    <m/>
    <m/>
    <m/>
    <m/>
    <m/>
    <m/>
    <m/>
    <m/>
    <m/>
    <m/>
    <m/>
    <m/>
    <m/>
    <m/>
    <m/>
    <m/>
    <m/>
    <m/>
    <m/>
    <m/>
    <n v="0"/>
    <n v="0"/>
    <n v="0"/>
    <n v="0"/>
    <n v="0"/>
    <m/>
    <n v="0"/>
    <n v="0"/>
    <n v="7768.2347457627129"/>
    <n v="0"/>
    <m/>
    <m/>
    <m/>
    <m/>
    <s v="Реаб."/>
    <d v="2024-03-31T00:00:00"/>
    <s v="Принят"/>
    <s v="SGG"/>
    <d v="2023-01-10T00:00:00"/>
    <s v="BSG-230110-1/0(7)"/>
    <m/>
    <m/>
    <s v="Yes"/>
  </r>
  <r>
    <n v="1692"/>
    <s v="Имерети"/>
    <s v="Зестафони"/>
    <s v="(8) N37 და N24 საუბნოებზე კორპუსებს შორის დამაკავშირებელი მიწისქვეშა გაზსადენის რეაბილიტაციაP.6.12"/>
    <x v="9"/>
    <n v="304.5"/>
    <m/>
    <n v="304.5"/>
    <m/>
    <n v="304.5"/>
    <n v="0"/>
    <n v="0"/>
    <m/>
    <n v="0"/>
    <n v="0"/>
    <m/>
    <s v="P.6.12"/>
    <n v="0"/>
    <n v="0"/>
    <m/>
    <m/>
    <m/>
    <m/>
    <m/>
    <m/>
    <m/>
    <m/>
    <m/>
    <m/>
    <m/>
    <m/>
    <m/>
    <m/>
    <m/>
    <m/>
    <m/>
    <m/>
    <m/>
    <m/>
    <m/>
    <m/>
    <m/>
    <m/>
    <m/>
    <n v="0"/>
    <n v="0"/>
    <n v="0"/>
    <m/>
    <m/>
    <m/>
    <m/>
    <m/>
    <m/>
    <m/>
    <m/>
    <m/>
    <m/>
    <m/>
    <s v="Проектирование"/>
    <d v="2023-11-14T00:00:00"/>
    <s v="ПриПро"/>
    <s v="SGG"/>
    <d v="2023-01-10T00:00:00"/>
    <s v="BSG-230110-1/0(8)"/>
    <m/>
    <m/>
    <s v="No"/>
  </r>
  <r>
    <n v="1693"/>
    <s v="Имерети"/>
    <s v="Зестафони"/>
    <s v="(9) N37 და N24 საუბნოებზე კორპუსებს შორის დამაკავშირებელი მიწისქვეშა გაზსადენის რეაბილიტაციაP.6.12"/>
    <x v="4"/>
    <n v="35000"/>
    <n v="2"/>
    <n v="43287.19"/>
    <n v="43287.19"/>
    <n v="43287.189999999995"/>
    <n v="-8287.1899999999951"/>
    <n v="0"/>
    <n v="193"/>
    <n v="7.2759576141834259E-12"/>
    <n v="0"/>
    <m/>
    <s v="P.6.12"/>
    <n v="0"/>
    <n v="0"/>
    <m/>
    <m/>
    <m/>
    <m/>
    <m/>
    <m/>
    <m/>
    <m/>
    <m/>
    <m/>
    <m/>
    <m/>
    <m/>
    <m/>
    <m/>
    <m/>
    <m/>
    <m/>
    <m/>
    <m/>
    <m/>
    <m/>
    <m/>
    <m/>
    <m/>
    <n v="0"/>
    <n v="0"/>
    <n v="0"/>
    <n v="0"/>
    <n v="0"/>
    <n v="0"/>
    <n v="0"/>
    <n v="0"/>
    <n v="3668.40593220339"/>
    <n v="0"/>
    <m/>
    <m/>
    <m/>
    <m/>
    <s v="Реаб."/>
    <d v="2024-02-29T00:00:00"/>
    <s v="Принят"/>
    <s v="SGG"/>
    <d v="2023-01-10T00:00:00"/>
    <s v="BSG-230110-1/0(9)"/>
    <m/>
    <m/>
    <s v="Yes"/>
  </r>
  <r>
    <n v="1694"/>
    <s v="Имерети"/>
    <s v="Зестафони"/>
    <s v="(10) აბესაძის ქ. საშ. წნევის გაზსადენის რეაბილიტაციაP.6.25"/>
    <x v="4"/>
    <n v="159000"/>
    <m/>
    <n v="183369.35"/>
    <m/>
    <n v="183369.34999999998"/>
    <n v="-24369.349999999977"/>
    <n v="0"/>
    <n v="486"/>
    <n v="2.9103830456733704E-11"/>
    <n v="0"/>
    <m/>
    <s v="P.6.25"/>
    <n v="0"/>
    <n v="0"/>
    <m/>
    <m/>
    <m/>
    <m/>
    <m/>
    <m/>
    <m/>
    <m/>
    <m/>
    <m/>
    <m/>
    <m/>
    <m/>
    <m/>
    <m/>
    <m/>
    <m/>
    <m/>
    <m/>
    <m/>
    <m/>
    <m/>
    <m/>
    <m/>
    <m/>
    <n v="0"/>
    <n v="0"/>
    <n v="0"/>
    <n v="84745.76"/>
    <n v="10508.47424"/>
    <n v="14488.927999728814"/>
    <m/>
    <m/>
    <m/>
    <m/>
    <m/>
    <m/>
    <m/>
    <m/>
    <s v="Реаб."/>
    <d v="2023-09-30T00:00:00"/>
    <s v="Принят"/>
    <s v="SGG"/>
    <d v="2023-01-10T00:00:00"/>
    <s v="BSG-230110-1/0(10)"/>
    <m/>
    <m/>
    <s v="Yes"/>
  </r>
  <r>
    <n v="1695"/>
    <s v="Имерети"/>
    <s v="Цкалтубо"/>
    <s v="(11) ბარათაშვილის და ნინოშვილის ქუჩების ქსელის რეაბილიტაცია. ასევე ქსელების კერძო საკუთრებიდან გამოტანაP.6.43"/>
    <x v="9"/>
    <n v="4775.75"/>
    <m/>
    <n v="4775.75"/>
    <m/>
    <n v="4775.75"/>
    <n v="0"/>
    <n v="0"/>
    <m/>
    <n v="0"/>
    <n v="0"/>
    <m/>
    <s v="P.6.43"/>
    <n v="0"/>
    <n v="0"/>
    <m/>
    <m/>
    <m/>
    <m/>
    <m/>
    <m/>
    <m/>
    <m/>
    <m/>
    <m/>
    <m/>
    <m/>
    <m/>
    <m/>
    <m/>
    <m/>
    <m/>
    <m/>
    <m/>
    <m/>
    <m/>
    <m/>
    <m/>
    <m/>
    <m/>
    <n v="0"/>
    <n v="0"/>
    <n v="0"/>
    <m/>
    <m/>
    <m/>
    <m/>
    <m/>
    <m/>
    <m/>
    <m/>
    <m/>
    <m/>
    <m/>
    <s v="Проектирование"/>
    <d v="2023-08-31T00:00:00"/>
    <s v="ПриПро"/>
    <s v="SGG"/>
    <d v="2023-01-10T00:00:00"/>
    <s v="BSG-230110-1/0(11)"/>
    <m/>
    <m/>
    <s v="No"/>
  </r>
  <r>
    <n v="1696"/>
    <s v="Имерети"/>
    <s v="Цкалтубо"/>
    <s v="(12) ბარათაშვილის და ნინოშვილის ქუჩების ქსელის რეაბილიტაცია. ასევე ქსელების კერძო საკუთრებიდან გამოტანაP.6.43"/>
    <x v="4"/>
    <n v="114530.79999999999"/>
    <n v="2"/>
    <n v="229853.5"/>
    <n v="229853.5"/>
    <n v="229853.5"/>
    <n v="-115322.70000000001"/>
    <n v="0"/>
    <n v="2660"/>
    <n v="0"/>
    <n v="0"/>
    <m/>
    <s v="P.6.43"/>
    <n v="0"/>
    <n v="0"/>
    <m/>
    <m/>
    <m/>
    <m/>
    <m/>
    <m/>
    <m/>
    <m/>
    <m/>
    <m/>
    <m/>
    <m/>
    <m/>
    <m/>
    <m/>
    <m/>
    <m/>
    <m/>
    <m/>
    <m/>
    <m/>
    <m/>
    <m/>
    <m/>
    <m/>
    <n v="0"/>
    <n v="0"/>
    <n v="0"/>
    <n v="0"/>
    <n v="0"/>
    <m/>
    <m/>
    <m/>
    <n v="19479.110169491527"/>
    <n v="0"/>
    <m/>
    <m/>
    <m/>
    <m/>
    <s v="Реаб."/>
    <d v="2024-01-31T00:00:00"/>
    <s v="Принят"/>
    <s v="SGG"/>
    <d v="2023-01-10T00:00:00"/>
    <s v="BSG-230110-1/0(12)"/>
    <m/>
    <m/>
    <s v="Yes"/>
  </r>
  <r>
    <n v="1697"/>
    <s v="Имерети"/>
    <s v="Чиатура"/>
    <s v="(13) გაზსადენზე დასამატებელია საყრდენები წმ/გიორგი ქ, აღმაშენებლის ქ 9აპრილის ქ, ჩაჩანიძის ქ, ღვალაძის, ქ სოფ:ნავარძეთი, წინსოფელი 8, 10,11 საუბნო და მეორე ჩასასვლელი, თბილისის ქ., ლეჟუბნის ქ. ტყაბლაძის ქ.P.6.263(P.6.264; P.6.265)"/>
    <x v="9"/>
    <n v="640"/>
    <n v="2"/>
    <n v="640"/>
    <n v="0"/>
    <n v="640"/>
    <n v="0"/>
    <n v="0"/>
    <m/>
    <n v="0"/>
    <n v="0"/>
    <m/>
    <s v="P.6.263"/>
    <n v="0"/>
    <n v="0"/>
    <m/>
    <m/>
    <m/>
    <m/>
    <m/>
    <m/>
    <m/>
    <m/>
    <m/>
    <m/>
    <m/>
    <m/>
    <m/>
    <m/>
    <m/>
    <m/>
    <m/>
    <m/>
    <m/>
    <m/>
    <m/>
    <m/>
    <m/>
    <m/>
    <m/>
    <n v="0"/>
    <n v="0"/>
    <n v="0"/>
    <m/>
    <m/>
    <m/>
    <m/>
    <m/>
    <m/>
    <m/>
    <m/>
    <m/>
    <m/>
    <m/>
    <s v="Проектирование"/>
    <d v="2024-02-05T00:00:00"/>
    <s v="ПриПро"/>
    <s v="SGG"/>
    <d v="2023-01-10T00:00:00"/>
    <s v="BSG-230110-1/0(13)"/>
    <m/>
    <m/>
    <s v="No"/>
  </r>
  <r>
    <n v="1698"/>
    <s v="Имерети"/>
    <s v="Чиатура"/>
    <s v="(14) გაზსადენზე დასამატებელია საყრდენები წმ/გიორგი ქ, აღმაშენებლის ქ 9აპრილის ქ, ჩაჩანიძის ქ, ღვალაძის, ქ სოფ:ნავარძეთი, წინსოფელი 8, 10,11 საუბნო და მეორე ჩასასვლელი, თბილისის ქ., ლეჟუბნის ქ. ტყაბლაძის ქ.P.6.263 (P.6.264; P.6.265)"/>
    <x v="4"/>
    <n v="23600"/>
    <n v="2"/>
    <n v="33559.82"/>
    <n v="33559.82"/>
    <n v="33559.82"/>
    <n v="-9959.82"/>
    <n v="0"/>
    <n v="1E-3"/>
    <n v="0"/>
    <n v="0"/>
    <m/>
    <s v="P.6.263 (P.6.264; P.6.265)"/>
    <n v="0"/>
    <n v="0"/>
    <m/>
    <m/>
    <m/>
    <m/>
    <m/>
    <m/>
    <m/>
    <m/>
    <m/>
    <m/>
    <m/>
    <m/>
    <m/>
    <m/>
    <m/>
    <m/>
    <m/>
    <m/>
    <m/>
    <m/>
    <m/>
    <m/>
    <m/>
    <m/>
    <m/>
    <n v="0"/>
    <n v="0"/>
    <n v="0"/>
    <n v="0"/>
    <n v="0"/>
    <n v="0"/>
    <n v="0"/>
    <n v="0"/>
    <n v="2844.0525423728814"/>
    <n v="0"/>
    <m/>
    <m/>
    <m/>
    <m/>
    <s v="Реаб."/>
    <d v="2024-02-29T00:00:00"/>
    <s v="Принят"/>
    <s v="SGG"/>
    <d v="2023-01-10T00:00:00"/>
    <s v="BSG-230110-1/0(14)"/>
    <m/>
    <m/>
    <s v="Yes"/>
  </r>
  <r>
    <n v="1699"/>
    <s v="Имерети"/>
    <s v="Цкалтубо"/>
    <s v="(15) დედაენის ქუჩაზე გაზსადენის გამაგრება და კერძო საკუთრებაში გამავალი ქსელის გადმოტანაP.6.577"/>
    <x v="9"/>
    <n v="448"/>
    <m/>
    <n v="448"/>
    <m/>
    <n v="448"/>
    <n v="0"/>
    <n v="0"/>
    <m/>
    <n v="0"/>
    <n v="0"/>
    <m/>
    <s v="P.6.577"/>
    <n v="0"/>
    <n v="0"/>
    <m/>
    <m/>
    <m/>
    <m/>
    <m/>
    <m/>
    <m/>
    <m/>
    <m/>
    <m/>
    <m/>
    <m/>
    <m/>
    <m/>
    <m/>
    <m/>
    <m/>
    <m/>
    <m/>
    <m/>
    <m/>
    <m/>
    <m/>
    <m/>
    <m/>
    <n v="0"/>
    <n v="0"/>
    <n v="0"/>
    <m/>
    <m/>
    <m/>
    <m/>
    <m/>
    <m/>
    <m/>
    <m/>
    <m/>
    <m/>
    <m/>
    <s v="Проектирование"/>
    <d v="2023-08-31T00:00:00"/>
    <s v="ПриПро"/>
    <s v="SGG"/>
    <d v="2023-01-10T00:00:00"/>
    <s v="BSG-230110-1/0(15)"/>
    <m/>
    <m/>
    <s v="No"/>
  </r>
  <r>
    <n v="1700"/>
    <s v="Имерети"/>
    <s v="Цкалтубо"/>
    <s v="(16) დედაენის ქუჩაზე გაზსადენის გამაგრება და კერძო საკუთრებაში გამავალი ქსელის გადმოტანაP.6.577"/>
    <x v="4"/>
    <n v="16461"/>
    <m/>
    <n v="33858.1"/>
    <m/>
    <n v="33858.099900000001"/>
    <n v="-17397.099900000001"/>
    <n v="9.9999997473787516E-5"/>
    <n v="0"/>
    <n v="9.9999997473787516E-5"/>
    <n v="0"/>
    <m/>
    <s v="P.6.577"/>
    <n v="0"/>
    <n v="0"/>
    <m/>
    <m/>
    <m/>
    <m/>
    <m/>
    <m/>
    <m/>
    <m/>
    <m/>
    <m/>
    <m/>
    <m/>
    <m/>
    <m/>
    <m/>
    <m/>
    <m/>
    <m/>
    <m/>
    <m/>
    <m/>
    <m/>
    <m/>
    <m/>
    <m/>
    <n v="0"/>
    <n v="0"/>
    <n v="0"/>
    <n v="0"/>
    <n v="0"/>
    <n v="2869.3305084745766"/>
    <m/>
    <m/>
    <m/>
    <m/>
    <m/>
    <m/>
    <m/>
    <m/>
    <s v="Реаб."/>
    <d v="2023-11-30T00:00:00"/>
    <s v="Принят"/>
    <s v="SGG"/>
    <d v="2023-01-10T00:00:00"/>
    <s v="BSG-230110-1/0(16)"/>
    <m/>
    <m/>
    <s v="Yes"/>
  </r>
  <r>
    <n v="1701"/>
    <s v="Имерети"/>
    <s v="Багдати"/>
    <s v="(17) ვარციხე-დიმის გაზსადენის რეაბილიტაციაP.6.3"/>
    <x v="9"/>
    <n v="12769.75"/>
    <m/>
    <n v="12769.75"/>
    <m/>
    <n v="12769.75"/>
    <n v="0"/>
    <n v="0"/>
    <m/>
    <n v="0"/>
    <n v="0"/>
    <m/>
    <s v="P.6.3"/>
    <n v="0"/>
    <n v="0"/>
    <m/>
    <m/>
    <m/>
    <m/>
    <m/>
    <m/>
    <m/>
    <m/>
    <m/>
    <m/>
    <m/>
    <m/>
    <m/>
    <m/>
    <m/>
    <m/>
    <m/>
    <m/>
    <m/>
    <m/>
    <m/>
    <m/>
    <m/>
    <m/>
    <m/>
    <n v="0"/>
    <n v="0"/>
    <n v="0"/>
    <m/>
    <m/>
    <m/>
    <m/>
    <m/>
    <m/>
    <m/>
    <m/>
    <m/>
    <m/>
    <m/>
    <s v="Проектирование"/>
    <d v="2023-08-31T00:00:00"/>
    <s v="ПриПро"/>
    <s v="SGG"/>
    <d v="2023-01-10T00:00:00"/>
    <s v="BSG-230110-1/0(17)"/>
    <m/>
    <m/>
    <s v="No"/>
  </r>
  <r>
    <n v="1702"/>
    <s v="Имерети"/>
    <s v="Багдати"/>
    <s v="(18) ვარციხე-დიმის გაზსადენის რეაბილიტაციაP.6.3"/>
    <x v="4"/>
    <n v="1714000"/>
    <n v="2"/>
    <n v="2279430.2779999999"/>
    <n v="2279430.2779999999"/>
    <n v="2279430.2779999999"/>
    <n v="-565430.27799999993"/>
    <n v="0"/>
    <n v="7271"/>
    <n v="0"/>
    <n v="0"/>
    <m/>
    <s v="P.6.3"/>
    <n v="0"/>
    <n v="0"/>
    <m/>
    <m/>
    <m/>
    <m/>
    <m/>
    <m/>
    <m/>
    <m/>
    <m/>
    <m/>
    <m/>
    <m/>
    <m/>
    <m/>
    <m/>
    <m/>
    <m/>
    <m/>
    <m/>
    <m/>
    <m/>
    <m/>
    <m/>
    <m/>
    <m/>
    <n v="0"/>
    <n v="0"/>
    <n v="0"/>
    <n v="949152.54"/>
    <n v="48694.65"/>
    <m/>
    <n v="635593.22"/>
    <n v="75700.56"/>
    <n v="180732.53645762714"/>
    <n v="0"/>
    <m/>
    <m/>
    <m/>
    <m/>
    <s v="Реаб."/>
    <d v="2024-05-31T00:00:00"/>
    <s v="Принят"/>
    <s v="SGG"/>
    <d v="2023-01-10T00:00:00"/>
    <s v="BSG-230110-1/0(18)"/>
    <m/>
    <m/>
    <s v="Yes"/>
  </r>
  <r>
    <n v="1703"/>
    <s v="Имерети"/>
    <s v="Цкалтубо"/>
    <s v="(19) თბილისის ქუჩის გაზსადენის რეაბილიტაცია და ქსელის კერძო საკუთრებიდან გამოტანაP.6.44"/>
    <x v="9"/>
    <n v="962.5"/>
    <m/>
    <n v="962.5"/>
    <m/>
    <n v="962.5"/>
    <n v="0"/>
    <n v="0"/>
    <m/>
    <n v="0"/>
    <n v="0"/>
    <m/>
    <s v="P.6.44"/>
    <n v="0"/>
    <n v="0"/>
    <m/>
    <m/>
    <m/>
    <m/>
    <m/>
    <m/>
    <m/>
    <m/>
    <m/>
    <m/>
    <m/>
    <m/>
    <m/>
    <m/>
    <m/>
    <m/>
    <m/>
    <m/>
    <m/>
    <m/>
    <m/>
    <m/>
    <m/>
    <m/>
    <m/>
    <n v="0"/>
    <n v="0"/>
    <n v="0"/>
    <m/>
    <m/>
    <m/>
    <m/>
    <m/>
    <m/>
    <m/>
    <m/>
    <m/>
    <m/>
    <m/>
    <s v="Проектирование"/>
    <d v="2023-08-31T00:00:00"/>
    <s v="ПриПро"/>
    <s v="SGG"/>
    <d v="2023-01-10T00:00:00"/>
    <s v="BSG-230110-1/0(19)"/>
    <m/>
    <m/>
    <s v="No"/>
  </r>
  <r>
    <n v="1704"/>
    <s v="Имерети"/>
    <s v="Цкалтубо"/>
    <s v="(20) თბილისის ქუჩის გაზსადენის რეაბილიტაცია და ქსელის კერძო საკუთრებიდან გამოტანაP.6.44"/>
    <x v="4"/>
    <n v="18183.8"/>
    <n v="2"/>
    <n v="61880.480000000003"/>
    <n v="61880.480000000003"/>
    <n v="61880.479999999996"/>
    <n v="-43696.679999999993"/>
    <n v="0"/>
    <n v="514"/>
    <n v="7.2759576141834259E-12"/>
    <n v="0"/>
    <m/>
    <s v="P.6.44"/>
    <n v="0"/>
    <n v="0"/>
    <m/>
    <m/>
    <m/>
    <m/>
    <m/>
    <m/>
    <m/>
    <m/>
    <m/>
    <m/>
    <m/>
    <m/>
    <m/>
    <m/>
    <m/>
    <m/>
    <m/>
    <m/>
    <m/>
    <m/>
    <m/>
    <m/>
    <m/>
    <m/>
    <m/>
    <n v="0"/>
    <n v="0"/>
    <n v="0"/>
    <n v="0"/>
    <n v="0"/>
    <n v="0"/>
    <n v="0"/>
    <n v="0"/>
    <n v="5244.1084745762719"/>
    <n v="0"/>
    <m/>
    <m/>
    <m/>
    <m/>
    <s v="Реаб."/>
    <d v="2024-02-29T00:00:00"/>
    <s v="Принят"/>
    <s v="SGG"/>
    <d v="2023-01-10T00:00:00"/>
    <s v="BSG-230110-1/0(20)"/>
    <m/>
    <m/>
    <s v="Yes"/>
  </r>
  <r>
    <n v="1705"/>
    <s v="Имерети"/>
    <s v="Цкалтубо"/>
    <s v="(21) იმერეთის ქუჩის მე-4 ჩიხის და ე.წ &quot;ხობუას&quot; ჩიხის ქსელის რეაბილიტაციაP.6.268"/>
    <x v="9"/>
    <n v="1258.25"/>
    <m/>
    <n v="1258.25"/>
    <m/>
    <n v="1258.25"/>
    <n v="0"/>
    <n v="0"/>
    <m/>
    <n v="0"/>
    <n v="0"/>
    <m/>
    <s v="P.6.268"/>
    <n v="0"/>
    <n v="0"/>
    <m/>
    <m/>
    <m/>
    <m/>
    <m/>
    <m/>
    <m/>
    <m/>
    <m/>
    <m/>
    <m/>
    <m/>
    <m/>
    <m/>
    <m/>
    <m/>
    <m/>
    <m/>
    <m/>
    <m/>
    <m/>
    <m/>
    <m/>
    <m/>
    <m/>
    <n v="0"/>
    <n v="0"/>
    <n v="0"/>
    <m/>
    <m/>
    <m/>
    <m/>
    <m/>
    <m/>
    <m/>
    <m/>
    <m/>
    <m/>
    <m/>
    <s v="Проектирование"/>
    <d v="2023-08-31T00:00:00"/>
    <s v="ПриПро"/>
    <s v="SGG"/>
    <d v="2023-01-10T00:00:00"/>
    <s v="BSG-230110-1/0(21)"/>
    <m/>
    <m/>
    <s v="No"/>
  </r>
  <r>
    <n v="1706"/>
    <s v="Имерети"/>
    <s v="Цкалтубо"/>
    <s v="(22) იმერეთის ქუჩის მე-4 ჩიხის და ე.წ &quot;ხობუას&quot; ჩიხის ქსელის რეაბილიტაციაP.6.268"/>
    <x v="4"/>
    <n v="27387.439999999999"/>
    <m/>
    <n v="30779.65"/>
    <m/>
    <n v="30779.65"/>
    <n v="-3392.2100000000028"/>
    <n v="0"/>
    <n v="579"/>
    <n v="0"/>
    <n v="0"/>
    <m/>
    <s v="P.6.268"/>
    <n v="0"/>
    <n v="0"/>
    <m/>
    <m/>
    <m/>
    <m/>
    <m/>
    <m/>
    <m/>
    <m/>
    <m/>
    <m/>
    <m/>
    <m/>
    <m/>
    <m/>
    <m/>
    <m/>
    <m/>
    <m/>
    <m/>
    <m/>
    <m/>
    <m/>
    <m/>
    <m/>
    <m/>
    <n v="0"/>
    <n v="0"/>
    <n v="0"/>
    <n v="0"/>
    <n v="0"/>
    <n v="2608.4449152542379"/>
    <m/>
    <m/>
    <m/>
    <m/>
    <m/>
    <m/>
    <m/>
    <m/>
    <s v="Реаб."/>
    <d v="2023-12-28T00:00:00"/>
    <s v="Принят"/>
    <s v="SGG"/>
    <d v="2023-01-10T00:00:00"/>
    <s v="BSG-230110-1/0(22)"/>
    <m/>
    <m/>
    <s v="Yes"/>
  </r>
  <r>
    <n v="1707"/>
    <s v="Имерети"/>
    <s v="Зестафони"/>
    <s v="(23) საკონიაკე, N1 საჯარო სკოლის მიმიდებარედ საშ. წნევის გაზსადენის რეაბილიტაციაP.6.23"/>
    <x v="4"/>
    <n v="493497.42"/>
    <m/>
    <n v="438179.3"/>
    <m/>
    <n v="438179.3"/>
    <n v="55318.119999999995"/>
    <n v="0"/>
    <n v="645"/>
    <n v="0"/>
    <n v="0"/>
    <m/>
    <s v="P.6.23"/>
    <n v="0"/>
    <n v="0"/>
    <m/>
    <m/>
    <m/>
    <m/>
    <m/>
    <m/>
    <m/>
    <m/>
    <m/>
    <m/>
    <m/>
    <m/>
    <m/>
    <m/>
    <m/>
    <m/>
    <m/>
    <m/>
    <m/>
    <m/>
    <m/>
    <m/>
    <m/>
    <m/>
    <m/>
    <n v="0"/>
    <n v="0"/>
    <n v="0"/>
    <n v="288135.59999999998"/>
    <n v="33112.139719999999"/>
    <n v="33822.625011050855"/>
    <m/>
    <m/>
    <m/>
    <m/>
    <m/>
    <m/>
    <m/>
    <m/>
    <s v="Реаб."/>
    <d v="2023-09-30T00:00:00"/>
    <s v="Принят"/>
    <s v="SGG"/>
    <d v="2023-01-10T00:00:00"/>
    <s v="BSG-230110-1/0(23)"/>
    <m/>
    <m/>
    <s v="Yes"/>
  </r>
  <r>
    <n v="1708"/>
    <s v="Имерети"/>
    <s v="Багдати"/>
    <s v="(24) სარბევი-ტეკას გაზსადენის რეაბილიტაციაP.6.2"/>
    <x v="9"/>
    <n v="7178.5"/>
    <m/>
    <n v="7178.5"/>
    <m/>
    <n v="7178.5"/>
    <n v="0"/>
    <n v="0"/>
    <m/>
    <n v="0"/>
    <n v="0"/>
    <m/>
    <s v="P.6.2"/>
    <n v="0"/>
    <n v="0"/>
    <m/>
    <m/>
    <m/>
    <m/>
    <m/>
    <m/>
    <m/>
    <m/>
    <m/>
    <m/>
    <m/>
    <m/>
    <m/>
    <m/>
    <m/>
    <m/>
    <m/>
    <m/>
    <m/>
    <m/>
    <m/>
    <m/>
    <m/>
    <m/>
    <m/>
    <n v="0"/>
    <n v="0"/>
    <n v="0"/>
    <m/>
    <m/>
    <m/>
    <m/>
    <m/>
    <m/>
    <m/>
    <m/>
    <m/>
    <m/>
    <m/>
    <s v="Проектирование"/>
    <d v="2023-06-14T00:00:00"/>
    <s v="ПриПро"/>
    <s v="SGG"/>
    <d v="2023-01-10T00:00:00"/>
    <s v="BSG-230110-1/0(24)"/>
    <m/>
    <m/>
    <s v="No"/>
  </r>
  <r>
    <n v="1709"/>
    <s v="Имерети"/>
    <s v="Багдати"/>
    <s v="(25) სარბევი-ტეკას გაზსადენის რეაბილიტაციაP.6.2"/>
    <x v="4"/>
    <n v="823000"/>
    <n v="2"/>
    <n v="1301828.1400000001"/>
    <n v="1301828.1400000001"/>
    <n v="1301828.1400000001"/>
    <n v="-478828.14000000013"/>
    <n v="0"/>
    <n v="4205"/>
    <n v="0"/>
    <n v="0"/>
    <m/>
    <s v="P.6.2"/>
    <n v="0"/>
    <n v="0"/>
    <m/>
    <m/>
    <m/>
    <m/>
    <m/>
    <m/>
    <m/>
    <m/>
    <m/>
    <m/>
    <m/>
    <m/>
    <m/>
    <m/>
    <m/>
    <m/>
    <m/>
    <m/>
    <m/>
    <m/>
    <m/>
    <m/>
    <m/>
    <m/>
    <m/>
    <n v="0"/>
    <n v="0"/>
    <n v="0"/>
    <n v="906779.65999999992"/>
    <n v="47422.520000000004"/>
    <m/>
    <m/>
    <m/>
    <n v="105582.16664406781"/>
    <n v="0"/>
    <m/>
    <m/>
    <m/>
    <m/>
    <s v="Реаб."/>
    <d v="2024-02-29T00:00:00"/>
    <s v="Принят"/>
    <s v="SGG"/>
    <d v="2023-01-10T00:00:00"/>
    <s v="BSG-230110-1/0(25)"/>
    <m/>
    <m/>
    <s v="Yes"/>
  </r>
  <r>
    <n v="1710"/>
    <s v="Имерети"/>
    <s v="Зестафони"/>
    <s v="(26) სოფ. მეორე სვირის ტყის ზოლის საშ. წნევის გაზსადენის რეაბილიტაციაP.6.13"/>
    <x v="9"/>
    <n v="6496"/>
    <m/>
    <n v="6496"/>
    <m/>
    <n v="6496"/>
    <n v="0"/>
    <n v="0"/>
    <m/>
    <n v="0"/>
    <n v="0"/>
    <m/>
    <s v="P.6.13"/>
    <n v="0"/>
    <n v="0"/>
    <m/>
    <m/>
    <m/>
    <m/>
    <m/>
    <m/>
    <m/>
    <m/>
    <m/>
    <m/>
    <m/>
    <m/>
    <m/>
    <m/>
    <m/>
    <m/>
    <m/>
    <m/>
    <m/>
    <m/>
    <m/>
    <m/>
    <m/>
    <m/>
    <m/>
    <n v="0"/>
    <n v="0"/>
    <n v="0"/>
    <m/>
    <m/>
    <m/>
    <m/>
    <m/>
    <m/>
    <m/>
    <m/>
    <m/>
    <m/>
    <m/>
    <s v="Проектирование"/>
    <d v="2023-06-14T00:00:00"/>
    <s v="ПриПро"/>
    <s v="SGG"/>
    <d v="2023-01-10T00:00:00"/>
    <s v="BSG-230110-1/0(26)"/>
    <m/>
    <m/>
    <s v="No"/>
  </r>
  <r>
    <n v="1711"/>
    <s v="Имерети"/>
    <s v="Чиатура"/>
    <s v="(27) სოფ. მღიმევი მიწისქვეშა D-63 მმ ქსელის რეაბილიტაცია მიწისზედა D-50 მმ გაზსადენითP.6.226"/>
    <x v="9"/>
    <n v="784"/>
    <m/>
    <n v="784"/>
    <m/>
    <n v="784"/>
    <n v="0"/>
    <n v="0"/>
    <m/>
    <n v="0"/>
    <n v="0"/>
    <m/>
    <s v="P.6.226"/>
    <n v="0"/>
    <n v="0"/>
    <m/>
    <m/>
    <m/>
    <m/>
    <m/>
    <m/>
    <m/>
    <m/>
    <m/>
    <m/>
    <m/>
    <m/>
    <m/>
    <m/>
    <m/>
    <m/>
    <m/>
    <m/>
    <m/>
    <m/>
    <m/>
    <m/>
    <m/>
    <m/>
    <m/>
    <n v="0"/>
    <n v="0"/>
    <n v="0"/>
    <m/>
    <m/>
    <m/>
    <m/>
    <m/>
    <m/>
    <m/>
    <m/>
    <m/>
    <m/>
    <m/>
    <s v="Проектирование"/>
    <d v="2023-06-14T00:00:00"/>
    <s v="ПриПро"/>
    <s v="SGG"/>
    <d v="2023-01-10T00:00:00"/>
    <s v="BSG-230110-1/0(27)"/>
    <m/>
    <m/>
    <s v="No"/>
  </r>
  <r>
    <n v="1712"/>
    <s v="Имерети"/>
    <s v="Чиатура"/>
    <s v="(28) სოფ. მღიმევი მიწისქვეშა D-63 მმ ქსელის რეაბილიტაცია მიწისზედა D-50 მმ გაზსადენითP.6.226"/>
    <x v="4"/>
    <n v="19823"/>
    <m/>
    <n v="17010.64"/>
    <m/>
    <n v="17010.64"/>
    <n v="2812.3600000000006"/>
    <n v="0"/>
    <n v="457"/>
    <n v="0"/>
    <n v="0"/>
    <m/>
    <s v="P.6.226"/>
    <n v="0"/>
    <n v="0"/>
    <m/>
    <m/>
    <m/>
    <m/>
    <m/>
    <m/>
    <m/>
    <m/>
    <m/>
    <m/>
    <m/>
    <m/>
    <m/>
    <m/>
    <m/>
    <m/>
    <m/>
    <m/>
    <m/>
    <m/>
    <m/>
    <m/>
    <m/>
    <m/>
    <m/>
    <n v="0"/>
    <n v="0"/>
    <n v="0"/>
    <n v="0"/>
    <n v="0"/>
    <n v="1441.5796610169491"/>
    <m/>
    <m/>
    <m/>
    <m/>
    <m/>
    <m/>
    <m/>
    <m/>
    <s v="Реаб."/>
    <d v="2023-10-31T00:00:00"/>
    <s v="Принят"/>
    <s v="SGG"/>
    <d v="2023-01-10T00:00:00"/>
    <s v="BSG-230110-1/0(28)"/>
    <m/>
    <m/>
    <s v="Yes"/>
  </r>
  <r>
    <n v="1713"/>
    <s v="Имерети"/>
    <s v="Багдати"/>
    <s v="(29) სოფ. ფერსათის ცენტრალური გაზსადენის და გადასვლების რეაბილიტაციაP.6.4"/>
    <x v="4"/>
    <n v="1475000"/>
    <m/>
    <n v="1090686.22"/>
    <m/>
    <n v="1090686.22"/>
    <n v="384313.78"/>
    <n v="0"/>
    <n v="4812"/>
    <n v="0"/>
    <n v="0"/>
    <m/>
    <s v="P.6.4"/>
    <n v="0"/>
    <n v="0"/>
    <m/>
    <m/>
    <m/>
    <m/>
    <m/>
    <m/>
    <m/>
    <m/>
    <m/>
    <m/>
    <m/>
    <m/>
    <m/>
    <m/>
    <m/>
    <m/>
    <m/>
    <m/>
    <m/>
    <m/>
    <m/>
    <m/>
    <m/>
    <m/>
    <m/>
    <n v="0"/>
    <n v="0"/>
    <n v="0"/>
    <n v="813559.32000000007"/>
    <n v="76593.61"/>
    <n v="84771.674593220348"/>
    <m/>
    <m/>
    <m/>
    <m/>
    <m/>
    <m/>
    <m/>
    <m/>
    <s v="Реаб."/>
    <d v="2023-12-28T00:00:00"/>
    <s v="Принят"/>
    <s v="SGG"/>
    <d v="2023-01-10T00:00:00"/>
    <s v="BSG-230110-1/0(29)"/>
    <m/>
    <m/>
    <s v="Yes"/>
  </r>
  <r>
    <n v="1714"/>
    <s v="Имерети"/>
    <s v="Чиатура"/>
    <s v="(30) სოფ. წინსოფელში არსებული D=150 მმ საჰაერო გაზსადენის რეაბილიტაციაP.6.507"/>
    <x v="9"/>
    <n v="1153.25"/>
    <m/>
    <n v="1153.25"/>
    <m/>
    <n v="1153.25"/>
    <n v="0"/>
    <n v="0"/>
    <m/>
    <n v="0"/>
    <n v="0"/>
    <m/>
    <s v="P.6.507"/>
    <n v="0"/>
    <n v="0"/>
    <m/>
    <m/>
    <m/>
    <m/>
    <m/>
    <m/>
    <m/>
    <m/>
    <m/>
    <m/>
    <m/>
    <m/>
    <m/>
    <m/>
    <m/>
    <m/>
    <m/>
    <m/>
    <m/>
    <m/>
    <m/>
    <m/>
    <m/>
    <m/>
    <m/>
    <n v="0"/>
    <n v="0"/>
    <n v="0"/>
    <m/>
    <m/>
    <m/>
    <m/>
    <m/>
    <m/>
    <m/>
    <m/>
    <m/>
    <m/>
    <m/>
    <s v="Проектирование"/>
    <d v="2023-06-14T00:00:00"/>
    <s v="ПриПро"/>
    <s v="SGG"/>
    <d v="2023-01-10T00:00:00"/>
    <s v="BSG-230110-1/0(30)"/>
    <m/>
    <m/>
    <s v="No"/>
  </r>
  <r>
    <n v="1715"/>
    <s v="Имерети"/>
    <s v="Чиатура"/>
    <s v="(31) სოფ. წინსოფელში არსებული D=150 მმ საჰაერო გაზსადენის რეაბილიტაციაP.6.507"/>
    <x v="4"/>
    <n v="49347.6"/>
    <m/>
    <n v="49450.64"/>
    <m/>
    <n v="49450.64"/>
    <n v="-103.04000000000087"/>
    <n v="0"/>
    <n v="619"/>
    <n v="0"/>
    <n v="0"/>
    <m/>
    <s v="P.6.507"/>
    <n v="0"/>
    <n v="0"/>
    <m/>
    <m/>
    <m/>
    <m/>
    <m/>
    <m/>
    <m/>
    <m/>
    <m/>
    <m/>
    <m/>
    <m/>
    <m/>
    <m/>
    <m/>
    <m/>
    <m/>
    <m/>
    <m/>
    <m/>
    <m/>
    <m/>
    <m/>
    <m/>
    <m/>
    <n v="0"/>
    <n v="0"/>
    <n v="0"/>
    <n v="0"/>
    <n v="0"/>
    <n v="4190.7322033898308"/>
    <m/>
    <m/>
    <m/>
    <m/>
    <m/>
    <m/>
    <m/>
    <m/>
    <s v="Реаб."/>
    <d v="2023-10-31T00:00:00"/>
    <s v="Принят"/>
    <s v="SGG"/>
    <d v="2023-01-10T00:00:00"/>
    <s v="BSG-230110-1/0(31)"/>
    <m/>
    <m/>
    <s v="Yes"/>
  </r>
  <r>
    <n v="1716"/>
    <s v="Имерети"/>
    <s v="Чиатура"/>
    <s v="(32) ქ. ჭიათურა. აღმაშენებლის ქუჩის ფოლადის მიწისქვეშა დაბალი წნევის გაზსადენის რეაბილიტაციაP.6.510"/>
    <x v="9"/>
    <n v="203"/>
    <m/>
    <n v="203"/>
    <m/>
    <n v="203"/>
    <n v="0"/>
    <n v="0"/>
    <m/>
    <n v="0"/>
    <n v="0"/>
    <m/>
    <s v="P.6.510"/>
    <n v="0"/>
    <n v="0"/>
    <m/>
    <m/>
    <m/>
    <m/>
    <m/>
    <m/>
    <m/>
    <m/>
    <m/>
    <m/>
    <m/>
    <m/>
    <m/>
    <m/>
    <m/>
    <m/>
    <m/>
    <m/>
    <m/>
    <m/>
    <m/>
    <m/>
    <m/>
    <m/>
    <m/>
    <n v="0"/>
    <n v="0"/>
    <n v="0"/>
    <m/>
    <m/>
    <m/>
    <m/>
    <m/>
    <m/>
    <m/>
    <m/>
    <m/>
    <m/>
    <m/>
    <s v="Проектирование"/>
    <d v="2023-06-14T00:00:00"/>
    <s v="ПриПро"/>
    <s v="SGG"/>
    <d v="2023-01-10T00:00:00"/>
    <s v="BSG-230110-1/0(32)"/>
    <m/>
    <m/>
    <s v="No"/>
  </r>
  <r>
    <n v="1717"/>
    <s v="Имерети"/>
    <s v="Чиатура"/>
    <s v="(33) ქ. ჭიათურა. აღმაშენებლის ქუჩის ფოლადის მიწისქვეშა დაბალი წნევის გაზსადენის რეაბილიტაციაP.6.510"/>
    <x v="4"/>
    <n v="4000"/>
    <n v="2"/>
    <n v="9013.67"/>
    <n v="9013.67"/>
    <n v="9013.67"/>
    <n v="-5013.67"/>
    <n v="0"/>
    <n v="107"/>
    <n v="0"/>
    <n v="0"/>
    <m/>
    <s v="P.6.510"/>
    <n v="0"/>
    <n v="0"/>
    <m/>
    <m/>
    <m/>
    <m/>
    <m/>
    <m/>
    <m/>
    <m/>
    <m/>
    <m/>
    <m/>
    <m/>
    <m/>
    <m/>
    <m/>
    <m/>
    <m/>
    <m/>
    <m/>
    <m/>
    <m/>
    <m/>
    <m/>
    <m/>
    <m/>
    <n v="0"/>
    <n v="0"/>
    <n v="0"/>
    <n v="0"/>
    <n v="0"/>
    <m/>
    <m/>
    <m/>
    <n v="763.87033898305094"/>
    <n v="0"/>
    <m/>
    <m/>
    <m/>
    <m/>
    <s v="Реаб."/>
    <d v="2024-01-31T00:00:00"/>
    <s v="Принят"/>
    <s v="SGG"/>
    <d v="2023-01-10T00:00:00"/>
    <s v="BSG-230110-1/0(33)"/>
    <m/>
    <m/>
    <s v="Yes"/>
  </r>
  <r>
    <n v="1718"/>
    <s v="Имерети"/>
    <s v="Чиатура"/>
    <s v="(34) ქ. ჭიათურა. ვაჟა-ფშაველას და 9 აპრილის ქუჩებზე არსებული D=150 მმ და D=80 მმ საჰაერო გაზსადენების საყრდენების რეაბილიტაციაP.6.504"/>
    <x v="9"/>
    <n v="365.75"/>
    <m/>
    <n v="365.75"/>
    <m/>
    <n v="365.75"/>
    <n v="0"/>
    <n v="0"/>
    <m/>
    <n v="0"/>
    <n v="0"/>
    <m/>
    <s v="P.6.504"/>
    <n v="0"/>
    <n v="0"/>
    <m/>
    <m/>
    <m/>
    <m/>
    <m/>
    <m/>
    <m/>
    <m/>
    <m/>
    <m/>
    <m/>
    <m/>
    <m/>
    <m/>
    <m/>
    <m/>
    <m/>
    <m/>
    <m/>
    <m/>
    <m/>
    <m/>
    <m/>
    <m/>
    <m/>
    <n v="0"/>
    <n v="0"/>
    <n v="0"/>
    <m/>
    <m/>
    <m/>
    <m/>
    <m/>
    <m/>
    <m/>
    <m/>
    <m/>
    <m/>
    <m/>
    <s v="Проектирование"/>
    <d v="2023-06-14T00:00:00"/>
    <s v="ПриПро"/>
    <s v="SGG"/>
    <d v="2023-01-10T00:00:00"/>
    <s v="BSG-230110-1/0(34)"/>
    <m/>
    <m/>
    <s v="No"/>
  </r>
  <r>
    <n v="1719"/>
    <s v="Имерети"/>
    <s v="Чиатура"/>
    <s v="(35) ქ. ჭიათურა. ვაჟა-ფშაველას და 9 აპრილის ქუჩებზე არსებული D=150 მმ და D=80 მმ საჰაერო გაზსადენების საყრდენების რეაბილიტაციაP.6.504"/>
    <x v="4"/>
    <n v="39568.939999999995"/>
    <n v="2"/>
    <n v="33892.870000000003"/>
    <n v="33892.870000000003"/>
    <n v="33892.870000000003"/>
    <n v="5676.0699999999924"/>
    <n v="0"/>
    <n v="223"/>
    <n v="0"/>
    <n v="0"/>
    <m/>
    <s v="P.6.504"/>
    <n v="0"/>
    <n v="0"/>
    <m/>
    <m/>
    <m/>
    <m/>
    <m/>
    <m/>
    <m/>
    <m/>
    <m/>
    <m/>
    <m/>
    <m/>
    <m/>
    <m/>
    <m/>
    <m/>
    <m/>
    <m/>
    <m/>
    <m/>
    <m/>
    <m/>
    <m/>
    <m/>
    <m/>
    <n v="0"/>
    <n v="0"/>
    <n v="0"/>
    <n v="0"/>
    <n v="0"/>
    <m/>
    <m/>
    <m/>
    <n v="2872.2771186440682"/>
    <n v="0"/>
    <m/>
    <m/>
    <m/>
    <m/>
    <s v="Реаб."/>
    <d v="2024-01-31T00:00:00"/>
    <s v="Принят"/>
    <s v="SGG"/>
    <d v="2023-01-10T00:00:00"/>
    <s v="BSG-230110-1/0(35)"/>
    <m/>
    <m/>
    <s v="Yes"/>
  </r>
  <r>
    <n v="1720"/>
    <s v="Имерети"/>
    <s v="Чиатура"/>
    <s v="(36) ქ. ჭიათურა. წმ. გიორგის და აღმაშენებლის ქუჩებზე ფოლადის მიწისქვეშა გაზსადენების რეაბილიტაცია. აღმაშენებლის ქუჩაზე D=80 მმ საჰაერო გაზსადენისთვის საყრდენების მოწყობა.P.6.506"/>
    <x v="9"/>
    <n v="99.75"/>
    <m/>
    <n v="99.75"/>
    <m/>
    <n v="99.75"/>
    <n v="0"/>
    <n v="0"/>
    <m/>
    <n v="0"/>
    <n v="0"/>
    <m/>
    <s v="P.6.506"/>
    <n v="0"/>
    <n v="0"/>
    <m/>
    <m/>
    <m/>
    <m/>
    <m/>
    <m/>
    <m/>
    <m/>
    <m/>
    <m/>
    <m/>
    <m/>
    <m/>
    <m/>
    <m/>
    <m/>
    <m/>
    <m/>
    <m/>
    <m/>
    <m/>
    <m/>
    <m/>
    <m/>
    <m/>
    <n v="0"/>
    <n v="0"/>
    <n v="0"/>
    <m/>
    <m/>
    <m/>
    <m/>
    <m/>
    <m/>
    <m/>
    <m/>
    <m/>
    <m/>
    <m/>
    <s v="Проектирование"/>
    <d v="2023-06-14T00:00:00"/>
    <s v="ПриПро"/>
    <s v="SGG"/>
    <d v="2023-01-10T00:00:00"/>
    <s v="BSG-230110-1/0(36)"/>
    <m/>
    <m/>
    <s v="No"/>
  </r>
  <r>
    <n v="1721"/>
    <s v="Имерети"/>
    <s v="Чиатура"/>
    <s v="(37) ქ. ჭიათურა. წმ. გიორგის და აღმაშენებლის ქუჩებზე ფოლადის მიწისქვეშა გაზსადენების რეაბილიტაცია. აღმაშენებლის ქუჩაზე D=80 მმ საჰაერო გაზსადენისთვის საყრდენების მოწყობა.P.6.506"/>
    <x v="4"/>
    <n v="28000"/>
    <n v="2"/>
    <n v="12849.22"/>
    <n v="12849.22"/>
    <n v="12849.22"/>
    <n v="15150.78"/>
    <n v="0"/>
    <n v="46"/>
    <n v="0"/>
    <n v="0"/>
    <m/>
    <s v="P.6.506"/>
    <n v="0"/>
    <n v="0"/>
    <m/>
    <m/>
    <m/>
    <m/>
    <m/>
    <m/>
    <m/>
    <m/>
    <m/>
    <m/>
    <m/>
    <m/>
    <m/>
    <m/>
    <m/>
    <m/>
    <m/>
    <m/>
    <m/>
    <m/>
    <m/>
    <m/>
    <m/>
    <m/>
    <m/>
    <n v="0"/>
    <n v="0"/>
    <n v="0"/>
    <n v="0"/>
    <n v="0"/>
    <m/>
    <m/>
    <m/>
    <n v="1088.9169491525424"/>
    <n v="0"/>
    <m/>
    <m/>
    <m/>
    <m/>
    <s v="Реаб."/>
    <d v="2024-01-31T00:00:00"/>
    <s v="Принят"/>
    <s v="SGG"/>
    <d v="2023-01-10T00:00:00"/>
    <s v="BSG-230110-1/0(37)"/>
    <m/>
    <m/>
    <s v="Yes"/>
  </r>
  <r>
    <n v="1722"/>
    <s v="Имерети"/>
    <s v="Чиатура"/>
    <s v="(38) ქ. ჭიათურა. თბილისის და ტოლსტოის ქუჩების კორპუსებზე წოლანას შეცვლაP.6.223"/>
    <x v="9"/>
    <n v="320.25"/>
    <m/>
    <n v="320.25"/>
    <m/>
    <n v="320.25"/>
    <n v="0"/>
    <n v="0"/>
    <m/>
    <n v="0"/>
    <n v="0"/>
    <m/>
    <s v="P.6.223"/>
    <n v="0"/>
    <n v="0"/>
    <m/>
    <m/>
    <m/>
    <m/>
    <m/>
    <m/>
    <m/>
    <m/>
    <m/>
    <m/>
    <m/>
    <m/>
    <m/>
    <m/>
    <m/>
    <m/>
    <m/>
    <m/>
    <m/>
    <m/>
    <m/>
    <m/>
    <m/>
    <m/>
    <m/>
    <n v="0"/>
    <n v="0"/>
    <n v="0"/>
    <m/>
    <m/>
    <m/>
    <m/>
    <m/>
    <m/>
    <m/>
    <m/>
    <m/>
    <m/>
    <m/>
    <s v="Проектирование"/>
    <d v="2023-06-14T00:00:00"/>
    <s v="ПриПро"/>
    <s v="SGG"/>
    <d v="2023-01-10T00:00:00"/>
    <s v="BSG-230110-1/0(38)"/>
    <m/>
    <m/>
    <s v="No"/>
  </r>
  <r>
    <n v="1723"/>
    <s v="Имерети"/>
    <s v="Чиатура"/>
    <s v="(39) ქ. ჭიათურა. თბილისის და ტოლსტოის ქუჩების კორპუსებზე წოლანას შეცვლაP.6.223"/>
    <x v="4"/>
    <n v="25000"/>
    <m/>
    <n v="11942.65"/>
    <m/>
    <n v="11942.65"/>
    <n v="13057.35"/>
    <n v="0"/>
    <n v="159"/>
    <n v="0"/>
    <n v="0"/>
    <m/>
    <s v="P.6.223"/>
    <n v="0"/>
    <n v="0"/>
    <m/>
    <m/>
    <m/>
    <m/>
    <m/>
    <m/>
    <m/>
    <m/>
    <m/>
    <m/>
    <m/>
    <m/>
    <m/>
    <m/>
    <m/>
    <m/>
    <m/>
    <m/>
    <m/>
    <m/>
    <m/>
    <m/>
    <m/>
    <m/>
    <m/>
    <n v="0"/>
    <n v="0"/>
    <n v="0"/>
    <n v="0"/>
    <n v="0"/>
    <n v="1012.0889830508476"/>
    <m/>
    <m/>
    <m/>
    <m/>
    <m/>
    <m/>
    <m/>
    <m/>
    <s v="Реаб."/>
    <d v="2023-11-30T00:00:00"/>
    <s v="Принят"/>
    <s v="SGG"/>
    <d v="2023-01-10T00:00:00"/>
    <s v="BSG-230110-1/0(39)"/>
    <m/>
    <m/>
    <s v="Yes"/>
  </r>
  <r>
    <n v="1724"/>
    <s v="Имерети"/>
    <s v="Чиатура"/>
    <s v="(40) ქ.ჭიათურა. გიორგაძის ქუჩაზე არსებული დაბალი წნევის მიწისქვეშა და საჰაერო გაზსადენის რეაბილიტაციაP.6.511"/>
    <x v="9"/>
    <n v="696.5"/>
    <m/>
    <n v="696.5"/>
    <m/>
    <n v="696.5"/>
    <n v="0"/>
    <n v="0"/>
    <m/>
    <n v="0"/>
    <n v="0"/>
    <m/>
    <s v="P.6.511"/>
    <n v="0"/>
    <n v="0"/>
    <m/>
    <m/>
    <m/>
    <m/>
    <m/>
    <m/>
    <m/>
    <m/>
    <m/>
    <m/>
    <m/>
    <m/>
    <m/>
    <m/>
    <m/>
    <m/>
    <m/>
    <m/>
    <m/>
    <m/>
    <m/>
    <m/>
    <m/>
    <m/>
    <m/>
    <n v="0"/>
    <n v="0"/>
    <n v="0"/>
    <m/>
    <m/>
    <m/>
    <m/>
    <m/>
    <m/>
    <m/>
    <m/>
    <m/>
    <m/>
    <m/>
    <s v="Проектирование"/>
    <d v="2023-06-14T00:00:00"/>
    <s v="ПриПро"/>
    <s v="SGG"/>
    <d v="2023-01-10T00:00:00"/>
    <s v="BSG-230110-1/0(40)"/>
    <m/>
    <m/>
    <s v="No"/>
  </r>
  <r>
    <n v="1725"/>
    <s v="Имерети"/>
    <s v="Чиатура"/>
    <s v="(41) ქ.ჭიათურა. გიორგაძის ქუჩაზე არსებული დაბალი წნევის მიწისქვეშა და საჰაერო გაზსადენის რეაბილიტაციაP.6.511"/>
    <x v="4"/>
    <n v="27000"/>
    <m/>
    <n v="45483.5"/>
    <m/>
    <n v="45483.5"/>
    <n v="-18483.5"/>
    <n v="0"/>
    <n v="417"/>
    <n v="0"/>
    <n v="0"/>
    <m/>
    <s v="P.6.511"/>
    <n v="0"/>
    <n v="0"/>
    <m/>
    <m/>
    <m/>
    <m/>
    <m/>
    <m/>
    <m/>
    <m/>
    <m/>
    <m/>
    <m/>
    <m/>
    <m/>
    <m/>
    <m/>
    <m/>
    <m/>
    <m/>
    <m/>
    <m/>
    <m/>
    <m/>
    <m/>
    <m/>
    <m/>
    <n v="0"/>
    <n v="0"/>
    <n v="0"/>
    <n v="0"/>
    <n v="0"/>
    <n v="3854.5338983050847"/>
    <m/>
    <m/>
    <m/>
    <m/>
    <m/>
    <m/>
    <m/>
    <m/>
    <s v="Реаб."/>
    <d v="2023-11-30T00:00:00"/>
    <s v="Принят"/>
    <s v="SGG"/>
    <d v="2023-01-10T00:00:00"/>
    <s v="BSG-230110-1/0(41)"/>
    <m/>
    <m/>
    <s v="Yes"/>
  </r>
  <r>
    <n v="1726"/>
    <s v="Аджара"/>
    <s v="Кобулети"/>
    <s v="(42) ქობულეთი, თამარ მეფი ქუჩაზე D=50 მმ-იანი დაბალი წნევის გაზსადენის რეაბილიტაციაP.5.63"/>
    <x v="9"/>
    <n v="1019.8999999999999"/>
    <n v="2"/>
    <n v="1019.8999999999999"/>
    <n v="0"/>
    <n v="1019.9000000000001"/>
    <n v="0"/>
    <n v="0"/>
    <m/>
    <n v="-2.2737367544323206E-13"/>
    <n v="0"/>
    <m/>
    <s v="P.5.63"/>
    <n v="0"/>
    <n v="0"/>
    <m/>
    <m/>
    <m/>
    <m/>
    <m/>
    <m/>
    <m/>
    <m/>
    <m/>
    <m/>
    <m/>
    <m/>
    <m/>
    <m/>
    <m/>
    <m/>
    <m/>
    <m/>
    <m/>
    <m/>
    <m/>
    <m/>
    <m/>
    <m/>
    <m/>
    <n v="0"/>
    <n v="0"/>
    <n v="0"/>
    <m/>
    <m/>
    <m/>
    <m/>
    <m/>
    <m/>
    <m/>
    <m/>
    <m/>
    <m/>
    <m/>
    <s v="Проектирование"/>
    <d v="2024-05-02T00:00:00"/>
    <s v="ПриПро"/>
    <s v="SGG"/>
    <d v="2023-01-10T00:00:00"/>
    <s v="BSG-230110-1/0(42)"/>
    <m/>
    <m/>
    <m/>
  </r>
  <r>
    <n v="1727"/>
    <s v="Аджара"/>
    <s v="Кобулети"/>
    <s v="(43) ქობულეთი, თამარ მეფი ქუჩაზე D=50 მმ-იანი დაბალი წნევის გაზსადენის რეაბილიტაციაP.5.63"/>
    <x v="4"/>
    <n v="35000"/>
    <n v="2"/>
    <n v="23866.77"/>
    <n v="23866.77"/>
    <n v="23866.77"/>
    <n v="11133.23"/>
    <n v="0"/>
    <n v="582.79999999999995"/>
    <n v="0"/>
    <n v="0"/>
    <m/>
    <s v="P.5.63"/>
    <n v="0"/>
    <n v="0"/>
    <m/>
    <m/>
    <m/>
    <m/>
    <m/>
    <m/>
    <m/>
    <m/>
    <m/>
    <m/>
    <m/>
    <m/>
    <m/>
    <m/>
    <m/>
    <m/>
    <m/>
    <m/>
    <m/>
    <m/>
    <m/>
    <m/>
    <m/>
    <m/>
    <m/>
    <n v="0"/>
    <n v="0"/>
    <n v="0"/>
    <n v="0"/>
    <n v="0"/>
    <n v="0"/>
    <n v="0"/>
    <n v="0"/>
    <n v="0"/>
    <n v="2022.6076271186441"/>
    <m/>
    <m/>
    <m/>
    <m/>
    <s v="Реаб."/>
    <d v="2024-07-15T00:00:00"/>
    <s v="Принят"/>
    <s v="SGG"/>
    <d v="2023-01-10T00:00:00"/>
    <s v="BSG-230110-1/0(43)"/>
    <m/>
    <m/>
    <s v="Yes"/>
  </r>
  <r>
    <n v="1728"/>
    <s v="Имерети"/>
    <s v="Зестафони"/>
    <s v="(44) ჩხეიძის პირველი ჩიხის გაზსადენის რეაბილიტაციაP.6.15"/>
    <x v="9"/>
    <n v="652.75"/>
    <m/>
    <n v="652.75"/>
    <m/>
    <n v="652.75"/>
    <n v="0"/>
    <n v="0"/>
    <m/>
    <n v="0"/>
    <n v="0"/>
    <m/>
    <s v="P.6.15"/>
    <n v="0"/>
    <n v="0"/>
    <m/>
    <m/>
    <m/>
    <m/>
    <m/>
    <m/>
    <m/>
    <m/>
    <m/>
    <m/>
    <m/>
    <m/>
    <m/>
    <m/>
    <m/>
    <m/>
    <m/>
    <m/>
    <m/>
    <m/>
    <m/>
    <m/>
    <m/>
    <m/>
    <m/>
    <n v="0"/>
    <n v="0"/>
    <n v="0"/>
    <m/>
    <m/>
    <m/>
    <m/>
    <m/>
    <m/>
    <m/>
    <m/>
    <m/>
    <m/>
    <m/>
    <s v="Проектирование"/>
    <d v="2023-09-16T00:00:00"/>
    <s v="ПриПро"/>
    <s v="SGG"/>
    <d v="2023-01-10T00:00:00"/>
    <s v="BSG-230110-1/0(44)"/>
    <m/>
    <m/>
    <s v="No"/>
  </r>
  <r>
    <n v="1729"/>
    <s v="Имерети"/>
    <s v="Зестафони"/>
    <s v="(45) ჩხეიძის პირველი ჩიხის გაზსადენის რეაბილიტაციაP.6.15"/>
    <x v="4"/>
    <n v="12000"/>
    <m/>
    <n v="22266.13"/>
    <m/>
    <n v="22266.129999999997"/>
    <n v="-10266.129999999997"/>
    <n v="0"/>
    <n v="390"/>
    <n v="3.637978807091713E-12"/>
    <n v="0"/>
    <m/>
    <s v="P.6.15"/>
    <n v="0"/>
    <n v="0"/>
    <m/>
    <m/>
    <m/>
    <m/>
    <m/>
    <m/>
    <m/>
    <m/>
    <m/>
    <m/>
    <m/>
    <m/>
    <m/>
    <m/>
    <m/>
    <m/>
    <m/>
    <m/>
    <m/>
    <m/>
    <m/>
    <m/>
    <m/>
    <m/>
    <m/>
    <n v="0"/>
    <n v="0"/>
    <n v="0"/>
    <n v="0"/>
    <n v="0"/>
    <n v="1886.9601694915254"/>
    <m/>
    <m/>
    <m/>
    <m/>
    <m/>
    <m/>
    <m/>
    <m/>
    <s v="Реаб."/>
    <d v="2023-10-31T00:00:00"/>
    <s v="Принят"/>
    <s v="SGG"/>
    <d v="2023-01-10T00:00:00"/>
    <s v="BSG-230110-1/0(45)"/>
    <m/>
    <m/>
    <s v="Yes"/>
  </r>
  <r>
    <n v="1730"/>
    <s v="Имерети"/>
    <s v="Зестафони"/>
    <s v="(46) ჩხეიძის ქუჩის პირველი შესახვევის დაბალი წნევა გაზდასენის რეაბილიტაციაP.6.16"/>
    <x v="4"/>
    <n v="31000"/>
    <m/>
    <n v="12462.8"/>
    <m/>
    <n v="12462.8"/>
    <n v="18537.2"/>
    <n v="0"/>
    <n v="157"/>
    <n v="0"/>
    <n v="0"/>
    <m/>
    <s v="P.6.16"/>
    <n v="0"/>
    <n v="0"/>
    <m/>
    <m/>
    <m/>
    <m/>
    <m/>
    <m/>
    <m/>
    <m/>
    <m/>
    <m/>
    <m/>
    <m/>
    <m/>
    <m/>
    <m/>
    <m/>
    <m/>
    <m/>
    <m/>
    <m/>
    <m/>
    <m/>
    <m/>
    <m/>
    <m/>
    <n v="0"/>
    <n v="0"/>
    <n v="0"/>
    <n v="0"/>
    <n v="0"/>
    <n v="1056.1694915254236"/>
    <m/>
    <m/>
    <m/>
    <m/>
    <m/>
    <m/>
    <m/>
    <m/>
    <s v="Реаб."/>
    <d v="2023-09-30T00:00:00"/>
    <s v="Принят"/>
    <s v="SGG"/>
    <d v="2023-01-10T00:00:00"/>
    <s v="BSG-230110-1/0(46)"/>
    <m/>
    <m/>
    <s v="Yes"/>
  </r>
  <r>
    <n v="1731"/>
    <s v="Имерети"/>
    <s v="Цкалтубо"/>
    <s v="(47) ჭავჭავაძის ქუჩა, კოლხეთის ქუჩა, გურამიშვილის ქუჩა,ბესიკის ქუჩა, გოგობაშვილის ქუჩა, კოსტავას ქუჩა, გამსახურდიას ქუჩა,ნუცუბიძის ქუჩა, ლერმონტოვის ქუჩა, ხანძთელის ქუჩა, დუმბაძის ქუჩა, მესხის ქუჩა, კეცხოველის ქუჩა.-გაზსადენის შეღებვაP.6.234"/>
    <x v="4"/>
    <n v="83000"/>
    <m/>
    <n v="77024.740000000005"/>
    <m/>
    <n v="77024.739999999991"/>
    <n v="5975.2600000000093"/>
    <n v="0"/>
    <n v="0"/>
    <n v="1.4551915228366852E-11"/>
    <n v="0"/>
    <m/>
    <s v="P.6.234"/>
    <n v="0"/>
    <n v="0"/>
    <m/>
    <m/>
    <m/>
    <m/>
    <m/>
    <m/>
    <m/>
    <m/>
    <m/>
    <m/>
    <m/>
    <m/>
    <m/>
    <m/>
    <m/>
    <m/>
    <m/>
    <m/>
    <m/>
    <m/>
    <m/>
    <m/>
    <m/>
    <m/>
    <m/>
    <n v="0"/>
    <n v="0"/>
    <n v="0"/>
    <n v="0"/>
    <n v="0"/>
    <n v="6527.5203389830522"/>
    <m/>
    <m/>
    <m/>
    <m/>
    <m/>
    <m/>
    <m/>
    <m/>
    <s v="Реаб."/>
    <d v="2023-09-30T00:00:00"/>
    <s v="Принят"/>
    <s v="SGG"/>
    <d v="2023-01-10T00:00:00"/>
    <s v="BSG-230110-1/0(47)"/>
    <m/>
    <m/>
    <s v="Yes"/>
  </r>
  <r>
    <n v="1732"/>
    <s v="Имерети"/>
    <s v="Чиатура"/>
    <s v="(48) ჭანტურიას ქუჩაზე D=100 მმ დ/წნევის მიწისქვეშა გაზსადენის (48) გაუქმება და დ-160 მმ მიწისქვეშა საშ/წნევის პოლიეთილენის გაზსადენზე არსებული კორპუსების გადალაგებაP.6.505"/>
    <x v="9"/>
    <n v="162.75"/>
    <m/>
    <n v="162.75"/>
    <m/>
    <n v="162.75"/>
    <n v="0"/>
    <n v="0"/>
    <m/>
    <n v="0"/>
    <n v="0"/>
    <m/>
    <s v="P.6.505"/>
    <n v="0"/>
    <n v="0"/>
    <m/>
    <m/>
    <m/>
    <m/>
    <m/>
    <m/>
    <m/>
    <m/>
    <m/>
    <m/>
    <m/>
    <m/>
    <m/>
    <m/>
    <m/>
    <m/>
    <m/>
    <m/>
    <m/>
    <m/>
    <m/>
    <m/>
    <m/>
    <m/>
    <m/>
    <n v="0"/>
    <n v="0"/>
    <n v="0"/>
    <m/>
    <m/>
    <m/>
    <m/>
    <m/>
    <m/>
    <m/>
    <m/>
    <m/>
    <m/>
    <m/>
    <s v="Проектирование"/>
    <d v="2023-06-14T00:00:00"/>
    <s v="ПриПро"/>
    <s v="SGG"/>
    <d v="2023-01-10T00:00:00"/>
    <s v="BSG-230110-1/0(48)"/>
    <m/>
    <m/>
    <s v="No"/>
  </r>
  <r>
    <n v="1733"/>
    <s v="Имерети"/>
    <s v="Чиатура"/>
    <s v="(49) ჭანტურიას ქუჩაზე D=100 მმ დ/წნევის მიწისქვეშა გაზსადენის გაუქმება და დ-160 მმ მიწისქვეშა საშ/წნევის პოლიეთილენის გაზსადენზე არსებული კორპუსების გადალაგებაP.6.505"/>
    <x v="4"/>
    <n v="6000"/>
    <n v="2"/>
    <n v="16529.25"/>
    <n v="16529.25"/>
    <n v="16529.25"/>
    <n v="-10529.25"/>
    <n v="0"/>
    <n v="94"/>
    <n v="0"/>
    <n v="0"/>
    <m/>
    <s v="P.6.505"/>
    <n v="0"/>
    <n v="0"/>
    <m/>
    <m/>
    <m/>
    <m/>
    <m/>
    <m/>
    <m/>
    <m/>
    <m/>
    <m/>
    <m/>
    <m/>
    <m/>
    <m/>
    <m/>
    <m/>
    <m/>
    <m/>
    <m/>
    <m/>
    <m/>
    <m/>
    <m/>
    <m/>
    <m/>
    <n v="0"/>
    <n v="0"/>
    <n v="0"/>
    <n v="0"/>
    <n v="0"/>
    <m/>
    <m/>
    <m/>
    <n v="1400.7838983050849"/>
    <n v="0"/>
    <m/>
    <m/>
    <m/>
    <m/>
    <s v="Реаб."/>
    <d v="2024-01-31T00:00:00"/>
    <s v="Принят"/>
    <s v="SGG"/>
    <d v="2023-01-10T00:00:00"/>
    <s v="BSG-230110-1/0(49)"/>
    <m/>
    <m/>
    <s v="Yes"/>
  </r>
  <r>
    <n v="1734"/>
    <s v="Имерети"/>
    <s v="Чиатура"/>
    <s v="(50) ჭიათურა 21 საუბნო (ნაგუთი) ბარათაშვილის ქუჩის გაზსადენის რეაბილიტაციაP.6.58"/>
    <x v="4"/>
    <n v="255000"/>
    <m/>
    <n v="289016.31"/>
    <m/>
    <n v="289016.31"/>
    <n v="89745.767999999996"/>
    <n v="0"/>
    <n v="1427"/>
    <n v="0"/>
    <n v="0"/>
    <m/>
    <s v="P.6.58"/>
    <n v="0"/>
    <n v="0"/>
    <m/>
    <m/>
    <m/>
    <m/>
    <m/>
    <m/>
    <m/>
    <m/>
    <m/>
    <m/>
    <m/>
    <m/>
    <m/>
    <m/>
    <m/>
    <m/>
    <m/>
    <m/>
    <m/>
    <m/>
    <m/>
    <m/>
    <m/>
    <m/>
    <m/>
    <n v="0"/>
    <n v="0"/>
    <n v="0"/>
    <n v="127118.64"/>
    <n v="7842.7899999999936"/>
    <n v="23708.628627118644"/>
    <m/>
    <m/>
    <m/>
    <m/>
    <m/>
    <m/>
    <m/>
    <m/>
    <s v="Реаб."/>
    <d v="2023-11-30T00:00:00"/>
    <s v="Принят"/>
    <s v="SGG"/>
    <d v="2023-01-10T00:00:00"/>
    <s v="BSG-230110-1/0(50)"/>
    <m/>
    <m/>
    <s v="Yes"/>
  </r>
  <r>
    <n v="1735"/>
    <s v="Квемо Картли"/>
    <s v="Цалка"/>
    <s v="(1) ქ. წალკის მკვებავი D-150 გაზსადენის რეაბილიტაცია P.2.828"/>
    <x v="6"/>
    <n v="376000"/>
    <m/>
    <n v="402262.46"/>
    <m/>
    <n v="402262.46"/>
    <n v="-26262.460000000021"/>
    <n v="0"/>
    <n v="3586"/>
    <n v="0"/>
    <n v="0"/>
    <n v="0"/>
    <s v="P.2.828"/>
    <n v="0"/>
    <n v="0"/>
    <m/>
    <m/>
    <m/>
    <m/>
    <m/>
    <m/>
    <m/>
    <m/>
    <m/>
    <m/>
    <m/>
    <m/>
    <m/>
    <m/>
    <m/>
    <m/>
    <m/>
    <m/>
    <m/>
    <m/>
    <m/>
    <m/>
    <m/>
    <m/>
    <m/>
    <n v="0"/>
    <n v="0"/>
    <n v="0"/>
    <n v="279661.01"/>
    <n v="27589.5"/>
    <m/>
    <m/>
    <m/>
    <m/>
    <m/>
    <m/>
    <m/>
    <m/>
    <m/>
    <s v="Реаб."/>
    <d v="2023-10-04T00:00:00"/>
    <s v="Принят"/>
    <s v="SGG"/>
    <d v="2023-06-29T00:00:00"/>
    <s v="BSG-230629-1/0(1)"/>
    <m/>
    <m/>
    <m/>
  </r>
  <r>
    <n v="1736"/>
    <s v="Имерети"/>
    <s v="Зестафони"/>
    <s v="(2) სოფ. მეორე სვირის ტყის ზოლის საშ. წნევის გაზსადენის რეაბილიტაცია P.6.13"/>
    <x v="6"/>
    <n v="488000"/>
    <n v="2"/>
    <n v="503018.16"/>
    <m/>
    <n v="503018.16"/>
    <n v="-15018.159999999974"/>
    <n v="0"/>
    <n v="3668"/>
    <n v="0"/>
    <n v="0"/>
    <m/>
    <s v="P.6.13"/>
    <n v="0"/>
    <n v="0"/>
    <m/>
    <m/>
    <m/>
    <m/>
    <m/>
    <m/>
    <m/>
    <m/>
    <m/>
    <m/>
    <m/>
    <m/>
    <m/>
    <m/>
    <m/>
    <m/>
    <m/>
    <m/>
    <m/>
    <m/>
    <m/>
    <m/>
    <m/>
    <m/>
    <m/>
    <n v="0"/>
    <n v="0"/>
    <n v="0"/>
    <n v="169491.53"/>
    <n v="9612.26"/>
    <m/>
    <m/>
    <m/>
    <n v="0"/>
    <n v="0"/>
    <m/>
    <m/>
    <m/>
    <m/>
    <s v="Реаб."/>
    <d v="2024-01-30T00:00:00"/>
    <s v="Принят"/>
    <s v="SGG"/>
    <d v="2023-06-29T00:00:00"/>
    <s v="BSG-230629-1/0(2)"/>
    <m/>
    <m/>
    <s v="No"/>
  </r>
  <r>
    <n v="1737"/>
    <s v="Квемо Картли"/>
    <s v="Болниси"/>
    <s v="(1) N 17 საუბნოზე მაღალსართულიანი ბინებიდან მრიცხველების გამოტანა შეცვლა 200 აბონენტზე, რეაბილიტაცია. P.2.813"/>
    <x v="6"/>
    <n v="248000"/>
    <n v="2"/>
    <n v="238500.95"/>
    <m/>
    <n v="238500.94999999998"/>
    <n v="9499.0500000000175"/>
    <n v="0"/>
    <n v="5270"/>
    <n v="2.9103830456733704E-11"/>
    <n v="0"/>
    <m/>
    <s v="P.2.813"/>
    <n v="0"/>
    <n v="0"/>
    <m/>
    <m/>
    <m/>
    <m/>
    <m/>
    <m/>
    <m/>
    <m/>
    <m/>
    <m/>
    <m/>
    <m/>
    <m/>
    <m/>
    <m/>
    <m/>
    <m/>
    <m/>
    <m/>
    <m/>
    <m/>
    <m/>
    <m/>
    <m/>
    <m/>
    <n v="0"/>
    <n v="0"/>
    <n v="0"/>
    <n v="169491.52"/>
    <n v="13025.31"/>
    <m/>
    <m/>
    <m/>
    <m/>
    <n v="0"/>
    <m/>
    <m/>
    <m/>
    <m/>
    <s v="Реаб."/>
    <d v="2024-11-25T00:00:00"/>
    <s v="Принят"/>
    <s v="Сакорггаз"/>
    <d v="2023-06-29T00:00:00"/>
    <s v="BCG-230629-1/0(1)"/>
    <m/>
    <m/>
    <s v="No"/>
  </r>
  <r>
    <n v="1738"/>
    <s v="Квемо Картли"/>
    <s v="Болниси"/>
    <s v="(2) N 18 N 19 N20 N 21 საუბნო დ აღმაშენებელის ქუჩაზე კერძო საკუთრებაში გამავალი გაზსადენის გამოტანა 80 აბონენტზე, მაღალსართულიანი ბინებიდან მრიცხელების გამოტანა შეცვლა 160 აბ. რეაბილიტაცია. P.2.814"/>
    <x v="6"/>
    <n v="217000"/>
    <n v="2"/>
    <n v="350653.96"/>
    <m/>
    <n v="350653.96"/>
    <n v="-133653.96000000002"/>
    <n v="0"/>
    <n v="7251"/>
    <n v="0"/>
    <n v="0"/>
    <m/>
    <s v="P.2.814"/>
    <n v="0"/>
    <n v="0"/>
    <m/>
    <m/>
    <m/>
    <m/>
    <m/>
    <m/>
    <m/>
    <m/>
    <m/>
    <m/>
    <m/>
    <m/>
    <m/>
    <m/>
    <m/>
    <m/>
    <m/>
    <m/>
    <m/>
    <m/>
    <m/>
    <m/>
    <m/>
    <m/>
    <m/>
    <n v="0"/>
    <n v="0"/>
    <n v="0"/>
    <n v="84745.76"/>
    <n v="6025.08"/>
    <m/>
    <n v="110169.49"/>
    <n v="11517.99"/>
    <m/>
    <n v="0"/>
    <m/>
    <m/>
    <m/>
    <m/>
    <s v="Реаб."/>
    <d v="2024-11-25T00:00:00"/>
    <s v="Принят"/>
    <s v="Сакорггаз"/>
    <d v="2023-06-29T00:00:00"/>
    <s v="BCG-230629-1/0(2)"/>
    <m/>
    <m/>
    <s v="No"/>
  </r>
  <r>
    <n v="1739"/>
    <s v="Квемо Картли"/>
    <s v="Болниси"/>
    <s v="(3) N 16 საუბნოზე რუსთაველი სააკაძე ფარნავაზ მეფის ქუჩებზე კერძო საკუთრებაში გამავალი გაზსადენის გამოტანა 115 აბონენტზე, რეაბილიტაცია. P.2.812"/>
    <x v="6"/>
    <n v="135000"/>
    <n v="2"/>
    <n v="49819.94"/>
    <m/>
    <n v="49819.94"/>
    <n v="85180.06"/>
    <n v="0"/>
    <n v="709"/>
    <n v="0"/>
    <n v="0"/>
    <m/>
    <s v="P.2.812"/>
    <n v="0"/>
    <n v="0"/>
    <m/>
    <m/>
    <m/>
    <m/>
    <m/>
    <m/>
    <m/>
    <m/>
    <m/>
    <m/>
    <m/>
    <m/>
    <m/>
    <m/>
    <m/>
    <m/>
    <m/>
    <m/>
    <m/>
    <m/>
    <m/>
    <m/>
    <m/>
    <m/>
    <m/>
    <n v="0"/>
    <n v="0"/>
    <n v="0"/>
    <m/>
    <m/>
    <m/>
    <n v="38135.589999999997"/>
    <n v="3987"/>
    <m/>
    <n v="0"/>
    <m/>
    <m/>
    <m/>
    <m/>
    <s v="Реаб."/>
    <d v="2024-11-25T00:00:00"/>
    <s v="Принят"/>
    <s v="Сакорггаз"/>
    <d v="2023-06-29T00:00:00"/>
    <s v="BCG-230629-1/0(3)"/>
    <m/>
    <m/>
    <s v="No"/>
  </r>
  <r>
    <n v="1740"/>
    <s v="Гурия"/>
    <s v="Ланчхути"/>
    <s v="(1) ლანჩხუთი, თამარ მეფის, ცინცაძის,  კოსტავას და ვადაჭკორიას ქუჩებზე გამავალი ქსელის რეაბილიტაცია P.4.511"/>
    <x v="2"/>
    <n v="0"/>
    <s v="ამოსაღებია ამ ხელშეკრულებიდან, დააპროექტა ცისფერმა ალმა."/>
    <m/>
    <m/>
    <m/>
    <n v="0"/>
    <n v="0"/>
    <m/>
    <n v="0"/>
    <n v="2"/>
    <m/>
    <s v="P.4.511"/>
    <n v="0"/>
    <n v="0"/>
    <m/>
    <m/>
    <m/>
    <m/>
    <m/>
    <m/>
    <m/>
    <m/>
    <m/>
    <m/>
    <m/>
    <m/>
    <m/>
    <m/>
    <m/>
    <m/>
    <m/>
    <m/>
    <m/>
    <m/>
    <m/>
    <m/>
    <m/>
    <m/>
    <m/>
    <n v="0"/>
    <n v="0"/>
    <n v="0"/>
    <m/>
    <m/>
    <m/>
    <m/>
    <m/>
    <m/>
    <m/>
    <m/>
    <m/>
    <m/>
    <m/>
    <s v="Проектирование"/>
    <m/>
    <n v="0"/>
    <s v="SGG"/>
    <d v="2023-01-11T00:00:00"/>
    <s v="BSG-230111-1/1(1)"/>
    <m/>
    <m/>
    <m/>
  </r>
  <r>
    <n v="1741"/>
    <s v="Гурия"/>
    <s v="Ланчхути"/>
    <s v="(2) ლანჩხუთი, თამარ მეფის, ცინცაძის, კოსტავას და ვადაჭკორიას ქუჩებზე გამავალი ქსელის რეაბილიტაცია P.4.511"/>
    <x v="3"/>
    <n v="230000"/>
    <n v="2"/>
    <n v="539602.43999999994"/>
    <n v="539602.43999999994"/>
    <n v="539602.43400000001"/>
    <n v="-309602.43400000001"/>
    <n v="5.9999999357387424E-3"/>
    <n v="5473.44"/>
    <n v="5.9999999357387424E-3"/>
    <n v="0"/>
    <m/>
    <s v="P.4.511"/>
    <n v="0"/>
    <n v="0"/>
    <m/>
    <m/>
    <m/>
    <m/>
    <m/>
    <m/>
    <m/>
    <m/>
    <m/>
    <m/>
    <m/>
    <m/>
    <m/>
    <m/>
    <m/>
    <m/>
    <m/>
    <m/>
    <m/>
    <m/>
    <m/>
    <m/>
    <m/>
    <m/>
    <m/>
    <n v="0"/>
    <n v="0"/>
    <n v="0"/>
    <n v="167796.61"/>
    <n v="10964.24"/>
    <m/>
    <n v="283050.84000000003"/>
    <n v="23021.72"/>
    <n v="36067.796610169498"/>
    <n v="6262.6277288135534"/>
    <m/>
    <m/>
    <m/>
    <m/>
    <s v="Реаб."/>
    <d v="2024-07-26T00:00:00"/>
    <s v="Принят"/>
    <s v="SGG"/>
    <d v="2023-01-11T00:00:00"/>
    <s v="BSG-230111-1/1(2)"/>
    <m/>
    <s v="ივლისი-აგვისტო"/>
    <s v="Yes"/>
  </r>
  <r>
    <n v="1742"/>
    <s v="Гурия"/>
    <s v="Озургети"/>
    <s v="(3) ოზურგეთის მკვებავი D=300 და D=500 მმ გაზსადენის რეაბილიტაცია P.4.60"/>
    <x v="3"/>
    <n v="370000"/>
    <n v="2"/>
    <n v="1805000"/>
    <m/>
    <n v="1604999.9899999998"/>
    <n v="-1234999.9899999998"/>
    <n v="200000.01000000024"/>
    <m/>
    <n v="-1234999.9899999998"/>
    <n v="1"/>
    <m/>
    <s v="P.4.60"/>
    <n v="800000"/>
    <n v="122033.89"/>
    <n v="200000"/>
    <m/>
    <n v="400000"/>
    <n v="30508.47"/>
    <n v="200000"/>
    <n v="61016.95"/>
    <m/>
    <n v="30508.47"/>
    <m/>
    <m/>
    <m/>
    <m/>
    <m/>
    <m/>
    <m/>
    <m/>
    <m/>
    <m/>
    <m/>
    <m/>
    <m/>
    <m/>
    <m/>
    <m/>
    <m/>
    <n v="0"/>
    <n v="0"/>
    <n v="0"/>
    <n v="194915.25"/>
    <n v="16741.349999999999"/>
    <m/>
    <n v="656779.66999999993"/>
    <m/>
    <m/>
    <m/>
    <n v="508474.57999999996"/>
    <m/>
    <m/>
    <m/>
    <s v="Реаб."/>
    <m/>
    <n v="70"/>
    <s v="SGG"/>
    <d v="2023-01-11T00:00:00"/>
    <s v="BSG-230111-1/1(3)"/>
    <m/>
    <m/>
    <s v="Yes"/>
  </r>
  <r>
    <n v="1743"/>
    <s v="Квемо Картли"/>
    <s v="Рустави"/>
    <s v="(1) გამოტანილი მრიცხველების პოლიეთილენის მილების შეცვლა რკინის მილებით P.2.744"/>
    <x v="10"/>
    <n v="15589"/>
    <n v="2"/>
    <n v="15589"/>
    <m/>
    <n v="11488.359"/>
    <n v="4100.6409999999996"/>
    <n v="4100.6409999999996"/>
    <m/>
    <n v="4100.6409999999996"/>
    <s v="შესამოწმებელიადა ამოსაღებია"/>
    <m/>
    <s v="P.2.744"/>
    <n v="0"/>
    <n v="0"/>
    <m/>
    <m/>
    <m/>
    <m/>
    <m/>
    <m/>
    <m/>
    <m/>
    <m/>
    <m/>
    <m/>
    <m/>
    <m/>
    <m/>
    <m/>
    <m/>
    <m/>
    <m/>
    <m/>
    <m/>
    <m/>
    <m/>
    <m/>
    <m/>
    <m/>
    <n v="0"/>
    <n v="0"/>
    <n v="0"/>
    <n v="0"/>
    <n v="0"/>
    <m/>
    <m/>
    <m/>
    <m/>
    <m/>
    <m/>
    <m/>
    <m/>
    <m/>
    <s v="Проектирование"/>
    <m/>
    <n v="30"/>
    <s v="Сакорггаз"/>
    <d v="2023-01-09T00:00:00"/>
    <s v="BCG-230109-1/0(1)"/>
    <m/>
    <m/>
    <s v="No"/>
  </r>
  <r>
    <n v="1744"/>
    <s v="Квемо Картли"/>
    <s v="Рустави"/>
    <s v="(2) გამოტანილი მრიცხველების პოლიეთილენის მილების შეცვლა რკინის მილებით P.2.744"/>
    <x v="7"/>
    <n v="640000"/>
    <n v="2"/>
    <n v="843844"/>
    <m/>
    <n v="763195.46900100028"/>
    <n v="-123195.46900100028"/>
    <n v="80648.530998999719"/>
    <n v="5798"/>
    <n v="-123195.46900100028"/>
    <s v="შესამოწმებელიადა ამოსაღებია"/>
    <m/>
    <s v="P.2.744"/>
    <n v="0"/>
    <n v="0"/>
    <m/>
    <m/>
    <m/>
    <m/>
    <m/>
    <m/>
    <m/>
    <m/>
    <m/>
    <m/>
    <m/>
    <m/>
    <m/>
    <m/>
    <m/>
    <m/>
    <m/>
    <m/>
    <m/>
    <m/>
    <m/>
    <m/>
    <m/>
    <m/>
    <m/>
    <n v="59322.03"/>
    <n v="7381.119999999999"/>
    <n v="0"/>
    <n v="440677.96000000008"/>
    <n v="33984.519999999997"/>
    <m/>
    <m/>
    <m/>
    <m/>
    <m/>
    <m/>
    <m/>
    <m/>
    <m/>
    <s v="Корп"/>
    <m/>
    <n v="45"/>
    <s v="Сакорггаз"/>
    <d v="2023-01-09T00:00:00"/>
    <s v="BCG-230109-1/0(2)"/>
    <m/>
    <m/>
    <m/>
  </r>
  <r>
    <n v="1745"/>
    <s v="Квемо Картли"/>
    <s v="Рустави"/>
    <s v="(3) გამოსატანი მრიცხველების გამოტანა P.2.577"/>
    <x v="10"/>
    <n v="20585.25"/>
    <n v="2"/>
    <n v="20585.25"/>
    <m/>
    <n v="6321.2438999999995"/>
    <n v="14264.006100000001"/>
    <n v="14264.006100000001"/>
    <m/>
    <n v="14264.006100000001"/>
    <s v="შესამოწმებელიადა ამოსაღებია"/>
    <m/>
    <s v="P.2.577"/>
    <n v="0"/>
    <n v="0"/>
    <m/>
    <m/>
    <m/>
    <m/>
    <m/>
    <m/>
    <m/>
    <m/>
    <m/>
    <m/>
    <m/>
    <m/>
    <m/>
    <m/>
    <m/>
    <m/>
    <m/>
    <m/>
    <m/>
    <m/>
    <m/>
    <m/>
    <m/>
    <m/>
    <m/>
    <n v="0"/>
    <n v="0"/>
    <n v="0"/>
    <m/>
    <m/>
    <m/>
    <m/>
    <m/>
    <m/>
    <m/>
    <m/>
    <m/>
    <m/>
    <m/>
    <s v="Проектирование"/>
    <m/>
    <n v="0"/>
    <s v="Сакорггаз"/>
    <d v="2023-01-09T00:00:00"/>
    <s v="BCG-230109-1/0(3)"/>
    <m/>
    <m/>
    <s v="No"/>
  </r>
  <r>
    <n v="1746"/>
    <s v="Квемо Картли"/>
    <s v="Рустави"/>
    <s v="(4) გამოსატანი მრიცხველების გამოტანა P.2.577"/>
    <x v="7"/>
    <n v="612000"/>
    <n v="2"/>
    <n v="430000"/>
    <m/>
    <n v="65593.210000999999"/>
    <n v="546406.78999900003"/>
    <n v="364406.78999900003"/>
    <m/>
    <n v="546406.78999900003"/>
    <s v="შესამოწმებელიადა ამოსაღებია"/>
    <m/>
    <s v="P.2.577"/>
    <n v="0"/>
    <n v="0"/>
    <m/>
    <m/>
    <m/>
    <m/>
    <m/>
    <m/>
    <m/>
    <m/>
    <m/>
    <m/>
    <m/>
    <m/>
    <m/>
    <m/>
    <m/>
    <m/>
    <m/>
    <m/>
    <m/>
    <m/>
    <m/>
    <m/>
    <m/>
    <m/>
    <m/>
    <n v="0"/>
    <n v="0"/>
    <n v="0"/>
    <m/>
    <m/>
    <m/>
    <m/>
    <m/>
    <m/>
    <m/>
    <m/>
    <m/>
    <m/>
    <m/>
    <s v="Корп"/>
    <m/>
    <n v="0"/>
    <s v="Сакорггаз"/>
    <d v="2023-01-09T00:00:00"/>
    <s v="BCG-230109-1/0(4)"/>
    <m/>
    <m/>
    <m/>
  </r>
  <r>
    <n v="1747"/>
    <s v="Квемо Картли"/>
    <s v="Рустави"/>
    <s v="(9) გამოტანილი მრიცხველების პოლიეთილენის მილების შეცვლა რკინის მილებით P.2.721"/>
    <x v="10"/>
    <n v="15393"/>
    <n v="2"/>
    <n v="16546.25"/>
    <m/>
    <n v="6338.4070000000002"/>
    <n v="9054.5930000000008"/>
    <n v="10207.843000000001"/>
    <m/>
    <n v="9054.5930000000008"/>
    <s v="შესამოწმებელიადა ამოსაღებია"/>
    <m/>
    <s v="P.2.721"/>
    <n v="0"/>
    <n v="0"/>
    <m/>
    <m/>
    <m/>
    <m/>
    <m/>
    <m/>
    <m/>
    <m/>
    <m/>
    <m/>
    <m/>
    <m/>
    <m/>
    <m/>
    <m/>
    <m/>
    <m/>
    <m/>
    <m/>
    <m/>
    <m/>
    <m/>
    <m/>
    <m/>
    <m/>
    <n v="0"/>
    <n v="0"/>
    <n v="0"/>
    <m/>
    <m/>
    <m/>
    <m/>
    <m/>
    <m/>
    <m/>
    <m/>
    <m/>
    <m/>
    <m/>
    <s v="Проектирование"/>
    <m/>
    <n v="0"/>
    <s v="Сакорггаз"/>
    <d v="2023-01-09T00:00:00"/>
    <s v="BCG-230109-1/0(9)"/>
    <m/>
    <m/>
    <s v="No"/>
  </r>
  <r>
    <n v="1748"/>
    <s v="Квемо Картли"/>
    <s v="Рустави"/>
    <s v="(10) გამოტანილი მრიცხველების პოლიეთილენის მილების შეცვლა რკინის მილებით P.2.721"/>
    <x v="7"/>
    <n v="455000"/>
    <n v="2"/>
    <n v="635134"/>
    <m/>
    <n v="459995.19400099997"/>
    <n v="-4995.1940009999671"/>
    <n v="175138.80599900003"/>
    <n v="4925"/>
    <n v="-4995.1940009999671"/>
    <s v="შესამოწმებელიადა ამოსაღებია"/>
    <m/>
    <s v="P.2.721"/>
    <n v="0"/>
    <n v="0"/>
    <m/>
    <m/>
    <m/>
    <m/>
    <m/>
    <m/>
    <m/>
    <m/>
    <m/>
    <m/>
    <m/>
    <m/>
    <m/>
    <m/>
    <m/>
    <m/>
    <m/>
    <m/>
    <m/>
    <m/>
    <m/>
    <m/>
    <m/>
    <m/>
    <m/>
    <n v="0"/>
    <n v="0"/>
    <n v="0"/>
    <n v="321186.43000000005"/>
    <n v="27607.67"/>
    <m/>
    <m/>
    <m/>
    <m/>
    <m/>
    <m/>
    <m/>
    <m/>
    <m/>
    <s v="Корп"/>
    <m/>
    <n v="45"/>
    <s v="Сакорггаз"/>
    <d v="2023-01-09T00:00:00"/>
    <s v="BCG-230109-1/0(10)"/>
    <m/>
    <m/>
    <m/>
  </r>
  <r>
    <n v="1749"/>
    <s v="Квемо Картли"/>
    <s v="Рустави"/>
    <s v="(15) ნეკრასოვის ქუჩა და ნეკრასოვის ჩიხებში დაბალი წნევის დ - 80 მმ-იანი ახალი გამანაწილებელი ქსელის მშენებლობა P.2.690"/>
    <x v="10"/>
    <n v="0"/>
    <n v="2"/>
    <m/>
    <m/>
    <m/>
    <n v="0"/>
    <n v="0"/>
    <m/>
    <n v="0"/>
    <n v="2"/>
    <m/>
    <s v="P.2.690"/>
    <n v="0"/>
    <n v="0"/>
    <m/>
    <m/>
    <m/>
    <m/>
    <m/>
    <m/>
    <m/>
    <m/>
    <m/>
    <m/>
    <m/>
    <m/>
    <m/>
    <m/>
    <m/>
    <m/>
    <m/>
    <m/>
    <m/>
    <m/>
    <m/>
    <m/>
    <m/>
    <m/>
    <m/>
    <n v="0"/>
    <n v="0"/>
    <n v="0"/>
    <m/>
    <m/>
    <m/>
    <m/>
    <m/>
    <m/>
    <m/>
    <m/>
    <m/>
    <m/>
    <m/>
    <s v="Проектирование"/>
    <m/>
    <n v="0"/>
    <s v="Сакорггаз"/>
    <d v="2023-01-09T00:00:00"/>
    <s v="BCG-230109-1/0(15)"/>
    <m/>
    <m/>
    <m/>
  </r>
  <r>
    <n v="1750"/>
    <s v="Квемо Картли"/>
    <s v="Рустави"/>
    <s v="(16) ნეკრასოვის ქუჩა და ნეკრასოვის ჩიხებში დაბალი წნევის დ - 80 მმ-იანი ახალი გამანაწილებელი ქსელის მშენებლობა P.2.690"/>
    <x v="7"/>
    <n v="20000"/>
    <n v="2"/>
    <m/>
    <m/>
    <n v="0"/>
    <n v="20000"/>
    <n v="0"/>
    <m/>
    <n v="20000"/>
    <n v="1"/>
    <m/>
    <s v="P.2.690"/>
    <n v="0"/>
    <n v="0"/>
    <m/>
    <m/>
    <m/>
    <m/>
    <m/>
    <m/>
    <m/>
    <m/>
    <m/>
    <m/>
    <m/>
    <m/>
    <m/>
    <m/>
    <m/>
    <m/>
    <m/>
    <m/>
    <m/>
    <m/>
    <m/>
    <m/>
    <m/>
    <m/>
    <m/>
    <n v="0"/>
    <n v="0"/>
    <n v="0"/>
    <m/>
    <m/>
    <m/>
    <m/>
    <m/>
    <m/>
    <m/>
    <m/>
    <m/>
    <m/>
    <m/>
    <s v="Реаб."/>
    <m/>
    <n v="0"/>
    <s v="Сакорггаз"/>
    <d v="2023-01-09T00:00:00"/>
    <s v="BCG-230109-1/0(16)"/>
    <m/>
    <m/>
    <m/>
  </r>
  <r>
    <n v="1751"/>
    <s v="Квемо Картли"/>
    <s v="Тетрицкаро"/>
    <s v="(17) კოდის დევნილები 450 აბონენტი გაზადენის რეაბ. P.2.819"/>
    <x v="10"/>
    <n v="1947.75"/>
    <m/>
    <n v="1947.75"/>
    <m/>
    <n v="1947.7540000000001"/>
    <n v="-4.0000000001327862E-3"/>
    <n v="-4.0000000001327862E-3"/>
    <m/>
    <n v="-4.0000000001327862E-3"/>
    <n v="0"/>
    <m/>
    <s v="P.2.819"/>
    <n v="0"/>
    <n v="0"/>
    <m/>
    <m/>
    <m/>
    <m/>
    <m/>
    <m/>
    <m/>
    <m/>
    <m/>
    <m/>
    <m/>
    <m/>
    <m/>
    <m/>
    <m/>
    <m/>
    <m/>
    <m/>
    <m/>
    <m/>
    <m/>
    <m/>
    <m/>
    <m/>
    <m/>
    <n v="0"/>
    <n v="0"/>
    <n v="0"/>
    <m/>
    <m/>
    <m/>
    <m/>
    <m/>
    <m/>
    <m/>
    <m/>
    <m/>
    <m/>
    <m/>
    <s v="Проектирование"/>
    <d v="2023-11-03T00:00:00"/>
    <s v="ПриПро"/>
    <s v="Сакорггаз"/>
    <d v="2023-01-09T00:00:00"/>
    <s v="BCG-230109-1/0(17)"/>
    <m/>
    <m/>
    <s v="No"/>
  </r>
  <r>
    <n v="1752"/>
    <s v="Квемо Картли"/>
    <s v="Тетрицкаро"/>
    <s v="(18) კოდის დევნილები 450 აბონენტი გაზადენის რეაბ. P.2.819"/>
    <x v="7"/>
    <n v="15000"/>
    <m/>
    <n v="41987"/>
    <m/>
    <n v="41987"/>
    <n v="-26987"/>
    <n v="0"/>
    <n v="1126"/>
    <n v="0"/>
    <n v="0"/>
    <m/>
    <s v="P.2.819"/>
    <n v="0"/>
    <n v="0"/>
    <m/>
    <m/>
    <m/>
    <m/>
    <m/>
    <m/>
    <m/>
    <m/>
    <m/>
    <m/>
    <m/>
    <m/>
    <m/>
    <m/>
    <m/>
    <m/>
    <m/>
    <m/>
    <m/>
    <m/>
    <m/>
    <m/>
    <m/>
    <m/>
    <m/>
    <n v="0"/>
    <n v="0"/>
    <n v="0"/>
    <n v="29661.02"/>
    <n v="1816.23"/>
    <m/>
    <m/>
    <m/>
    <m/>
    <m/>
    <m/>
    <m/>
    <m/>
    <m/>
    <s v="Реаб."/>
    <d v="2023-12-18T00:00:00"/>
    <s v="Принят"/>
    <s v="Сакорггаз"/>
    <d v="2023-01-09T00:00:00"/>
    <s v="BCG-230109-1/0(18)"/>
    <m/>
    <m/>
    <s v="Yes"/>
  </r>
  <r>
    <n v="1753"/>
    <s v="Квемо Картли"/>
    <s v="Рустави"/>
    <s v="(19) ქ. რუსთავი. მე-18 მკ. რაიონის გადაყვანა საშ. წნევაზე P.2.770"/>
    <x v="10"/>
    <n v="0"/>
    <n v="2"/>
    <m/>
    <m/>
    <m/>
    <n v="0"/>
    <n v="0"/>
    <m/>
    <n v="0"/>
    <n v="2"/>
    <m/>
    <s v="P.2.770"/>
    <n v="0"/>
    <n v="0"/>
    <m/>
    <m/>
    <m/>
    <m/>
    <m/>
    <m/>
    <m/>
    <m/>
    <m/>
    <m/>
    <m/>
    <m/>
    <m/>
    <m/>
    <m/>
    <m/>
    <m/>
    <m/>
    <m/>
    <m/>
    <m/>
    <m/>
    <m/>
    <m/>
    <m/>
    <n v="0"/>
    <n v="0"/>
    <n v="0"/>
    <m/>
    <m/>
    <m/>
    <m/>
    <m/>
    <m/>
    <m/>
    <m/>
    <m/>
    <m/>
    <m/>
    <s v="Проектирование"/>
    <m/>
    <n v="0"/>
    <s v="Сакорггаз"/>
    <d v="2023-01-09T00:00:00"/>
    <s v="BCG-230109-1/0(19)"/>
    <m/>
    <m/>
    <m/>
  </r>
  <r>
    <n v="1754"/>
    <s v="Квемо Картли"/>
    <s v="Рустави"/>
    <s v="(20) ქ. რუსთავი. მე-18 მკ. რაიონის გადაყვანა საშ. წნევაზე P.2.770"/>
    <x v="7"/>
    <n v="8000"/>
    <n v="2"/>
    <m/>
    <m/>
    <n v="0"/>
    <n v="8000"/>
    <n v="0"/>
    <m/>
    <n v="8000"/>
    <n v="1"/>
    <m/>
    <s v="P.2.770"/>
    <n v="0"/>
    <n v="0"/>
    <m/>
    <m/>
    <m/>
    <m/>
    <m/>
    <m/>
    <m/>
    <m/>
    <m/>
    <m/>
    <m/>
    <m/>
    <m/>
    <m/>
    <m/>
    <m/>
    <m/>
    <m/>
    <m/>
    <m/>
    <m/>
    <m/>
    <m/>
    <m/>
    <m/>
    <n v="0"/>
    <n v="0"/>
    <n v="0"/>
    <m/>
    <m/>
    <m/>
    <m/>
    <m/>
    <m/>
    <m/>
    <m/>
    <m/>
    <m/>
    <m/>
    <s v="Реаб."/>
    <m/>
    <n v="0"/>
    <s v="Сакорггаз"/>
    <d v="2023-01-09T00:00:00"/>
    <s v="BCG-230109-1/0(20)"/>
    <m/>
    <m/>
    <m/>
  </r>
  <r>
    <n v="1755"/>
    <s v="Квемо Картли"/>
    <s v="Болниси"/>
    <s v="(21) N 17 საუბნოზე მაღალსართულიანი ბინებიდან მრიცხველების გამოტანა შეცვლა 200 აბონენტზე, რეაბ. P.2.813"/>
    <x v="10"/>
    <n v="6795"/>
    <m/>
    <n v="6795"/>
    <m/>
    <n v="6795"/>
    <n v="0"/>
    <n v="0"/>
    <m/>
    <n v="0"/>
    <n v="0"/>
    <m/>
    <s v="P.2.813"/>
    <n v="0"/>
    <n v="0"/>
    <m/>
    <m/>
    <m/>
    <m/>
    <m/>
    <m/>
    <m/>
    <m/>
    <m/>
    <m/>
    <m/>
    <m/>
    <m/>
    <m/>
    <m/>
    <m/>
    <m/>
    <m/>
    <m/>
    <m/>
    <m/>
    <m/>
    <m/>
    <m/>
    <m/>
    <n v="0"/>
    <n v="0"/>
    <n v="0"/>
    <m/>
    <m/>
    <m/>
    <m/>
    <m/>
    <m/>
    <m/>
    <m/>
    <m/>
    <m/>
    <m/>
    <s v="Проектирование"/>
    <d v="2023-06-23T00:00:00"/>
    <s v="ПриПро"/>
    <s v="Сакорггаз"/>
    <d v="2023-01-09T00:00:00"/>
    <s v="BCG-230109-1/0(21)"/>
    <m/>
    <m/>
    <s v="No"/>
  </r>
  <r>
    <n v="1756"/>
    <s v="Квемо Картли"/>
    <s v="Болниси"/>
    <s v="(22) N 18 N 19 N20 N 21 საუბნო დ აღმაშენებელის ქუჩაზე კერძო საკუთრებაში გამავალი გაზსადენის გამოტანა 80 აბონენტზე, მაღალსართულიანი ბინებიდან მრიცხელების გამოტანა შეცვლა 160 აბ. რეაბილიტაცია. P.2.814"/>
    <x v="10"/>
    <n v="10540"/>
    <m/>
    <n v="10540"/>
    <m/>
    <n v="10540"/>
    <n v="0"/>
    <n v="0"/>
    <m/>
    <n v="0"/>
    <n v="0"/>
    <m/>
    <s v="P.2.814"/>
    <n v="0"/>
    <n v="0"/>
    <m/>
    <m/>
    <m/>
    <m/>
    <m/>
    <m/>
    <m/>
    <m/>
    <m/>
    <m/>
    <m/>
    <m/>
    <m/>
    <m/>
    <m/>
    <m/>
    <m/>
    <m/>
    <m/>
    <m/>
    <m/>
    <m/>
    <m/>
    <m/>
    <m/>
    <n v="0"/>
    <n v="0"/>
    <n v="0"/>
    <m/>
    <m/>
    <m/>
    <m/>
    <m/>
    <m/>
    <m/>
    <m/>
    <m/>
    <m/>
    <m/>
    <s v="Проектирование"/>
    <d v="2023-06-23T00:00:00"/>
    <s v="ПриПро"/>
    <s v="Сакорггаз"/>
    <d v="2023-01-09T00:00:00"/>
    <s v="BCG-230109-1/0(22)"/>
    <m/>
    <m/>
    <s v="No"/>
  </r>
  <r>
    <n v="1757"/>
    <s v="Квемо Картли"/>
    <s v="Болниси"/>
    <s v="(23) N 16 საუბნოზე რუსთაველი სააკაძე ფარნავაზ მეფის ქუჩებზე კერძო საკუთრებაში გამავალი გაზსადენის გამოტანა 115 აბონენტზე, რეაბილიტაცია. P.2.812"/>
    <x v="10"/>
    <n v="3552"/>
    <m/>
    <n v="3552"/>
    <m/>
    <n v="3552"/>
    <n v="0"/>
    <n v="0"/>
    <m/>
    <n v="0"/>
    <n v="0"/>
    <m/>
    <s v="P.2.812"/>
    <n v="0"/>
    <n v="0"/>
    <m/>
    <m/>
    <m/>
    <m/>
    <m/>
    <m/>
    <m/>
    <m/>
    <m/>
    <m/>
    <m/>
    <m/>
    <m/>
    <m/>
    <m/>
    <m/>
    <m/>
    <m/>
    <m/>
    <m/>
    <m/>
    <m/>
    <m/>
    <m/>
    <m/>
    <n v="0"/>
    <n v="0"/>
    <n v="0"/>
    <m/>
    <m/>
    <m/>
    <m/>
    <m/>
    <m/>
    <m/>
    <m/>
    <m/>
    <m/>
    <m/>
    <s v="Проектирование"/>
    <d v="2023-06-23T00:00:00"/>
    <s v="ПриПро"/>
    <s v="Сакорггаз"/>
    <d v="2023-01-09T00:00:00"/>
    <s v="BCG-230109-1/0(23)"/>
    <m/>
    <m/>
    <s v="No"/>
  </r>
  <r>
    <n v="1758"/>
    <s v="Самцхе Джавахети"/>
    <s v="Борджоми"/>
    <s v="(1) 26 ოჯახის მკვებავი გაზსადენის  გადმოტანა ცენტრალური გზის პირას. P.3.120"/>
    <x v="12"/>
    <n v="0"/>
    <n v="2"/>
    <m/>
    <m/>
    <m/>
    <n v="0"/>
    <n v="0"/>
    <m/>
    <n v="0"/>
    <n v="2"/>
    <m/>
    <s v="P.3.120"/>
    <n v="0"/>
    <n v="0"/>
    <m/>
    <m/>
    <m/>
    <m/>
    <m/>
    <m/>
    <m/>
    <m/>
    <m/>
    <m/>
    <m/>
    <m/>
    <m/>
    <m/>
    <m/>
    <m/>
    <m/>
    <m/>
    <m/>
    <m/>
    <m/>
    <m/>
    <m/>
    <m/>
    <m/>
    <n v="0"/>
    <n v="0"/>
    <n v="0"/>
    <m/>
    <m/>
    <m/>
    <m/>
    <m/>
    <m/>
    <m/>
    <m/>
    <m/>
    <m/>
    <m/>
    <s v="Проектирование"/>
    <m/>
    <n v="0"/>
    <s v="Сакорггаз"/>
    <d v="2023-01-05T00:00:00"/>
    <s v="BCG-230105-1/0(1)"/>
    <m/>
    <m/>
    <m/>
  </r>
  <r>
    <n v="1759"/>
    <s v="Самцхе Джавахети"/>
    <s v="Борджоми"/>
    <s v="(2) 26 ოჯახის მკვებავი გაზსადენის  გადმოტანა ცენტრალური გზის პირას. P.3.120"/>
    <x v="5"/>
    <n v="18000"/>
    <n v="2"/>
    <m/>
    <m/>
    <m/>
    <n v="18000"/>
    <n v="0"/>
    <m/>
    <n v="18000"/>
    <n v="1"/>
    <m/>
    <s v="P.3.120"/>
    <n v="0"/>
    <n v="0"/>
    <m/>
    <m/>
    <m/>
    <m/>
    <m/>
    <m/>
    <m/>
    <m/>
    <m/>
    <m/>
    <m/>
    <m/>
    <m/>
    <m/>
    <m/>
    <m/>
    <m/>
    <m/>
    <m/>
    <m/>
    <m/>
    <m/>
    <m/>
    <m/>
    <m/>
    <n v="0"/>
    <n v="0"/>
    <n v="0"/>
    <m/>
    <m/>
    <m/>
    <m/>
    <m/>
    <m/>
    <m/>
    <m/>
    <m/>
    <m/>
    <m/>
    <s v="Реаб."/>
    <m/>
    <n v="0"/>
    <s v="Сакорггаз"/>
    <d v="2023-01-05T00:00:00"/>
    <s v="BCG-230105-1/0(2)"/>
    <m/>
    <m/>
    <m/>
  </r>
  <r>
    <n v="1760"/>
    <s v="Шида Картли"/>
    <s v="Каспи"/>
    <s v="(3) აღმაშენებლის ქუჩაზე მკვებავი გაზსადენის რეაბილიტაცია P.3.848"/>
    <x v="12"/>
    <n v="1925"/>
    <n v="2"/>
    <n v="1925"/>
    <m/>
    <n v="1925"/>
    <n v="0"/>
    <n v="0"/>
    <m/>
    <n v="0"/>
    <n v="0"/>
    <m/>
    <s v="P.3.848"/>
    <n v="0"/>
    <n v="0"/>
    <m/>
    <m/>
    <m/>
    <m/>
    <m/>
    <m/>
    <m/>
    <m/>
    <m/>
    <m/>
    <m/>
    <m/>
    <m/>
    <m/>
    <m/>
    <m/>
    <m/>
    <m/>
    <m/>
    <m/>
    <m/>
    <m/>
    <m/>
    <m/>
    <m/>
    <n v="0"/>
    <n v="0"/>
    <n v="0"/>
    <m/>
    <m/>
    <m/>
    <m/>
    <m/>
    <m/>
    <m/>
    <m/>
    <m/>
    <m/>
    <m/>
    <s v="Проектирование"/>
    <d v="2024-03-01T00:00:00"/>
    <s v="ПриПро"/>
    <s v="Сакорггаз"/>
    <d v="2023-01-05T00:00:00"/>
    <s v="BCG-230105-1/0(3)"/>
    <m/>
    <m/>
    <s v="No"/>
  </r>
  <r>
    <n v="1761"/>
    <s v="Шида Картли"/>
    <s v="Каспи"/>
    <s v="(4) აღმაშენებლის ქუჩაზე მკვებავი გაზსადენის რეაბილიტაცია P.3.848"/>
    <x v="5"/>
    <n v="66000"/>
    <n v="2"/>
    <n v="70081.759999999995"/>
    <n v="70081.759999999995"/>
    <n v="70081.760000000009"/>
    <n v="-4081.7600000000093"/>
    <n v="0"/>
    <n v="1389"/>
    <n v="-1.4551915228366852E-11"/>
    <n v="0"/>
    <m/>
    <s v="P.3.848"/>
    <n v="0"/>
    <n v="0"/>
    <m/>
    <m/>
    <m/>
    <m/>
    <m/>
    <m/>
    <m/>
    <m/>
    <m/>
    <m/>
    <m/>
    <m/>
    <m/>
    <m/>
    <m/>
    <m/>
    <m/>
    <m/>
    <m/>
    <m/>
    <m/>
    <m/>
    <m/>
    <m/>
    <m/>
    <n v="0"/>
    <n v="0"/>
    <n v="0"/>
    <m/>
    <m/>
    <m/>
    <n v="42372.88"/>
    <n v="2384.1999999999998"/>
    <n v="0"/>
    <n v="5700.7122033898304"/>
    <m/>
    <m/>
    <m/>
    <m/>
    <s v="Реаб."/>
    <d v="2024-11-25T00:00:00"/>
    <s v="Принят"/>
    <s v="Сакорггаз"/>
    <d v="2023-01-05T00:00:00"/>
    <s v="BCG-230105-1/0(4)"/>
    <m/>
    <m/>
    <s v="Yes"/>
  </r>
  <r>
    <n v="1762"/>
    <s v="Шида Картли"/>
    <s v="Гори"/>
    <s v="(5) ბაქოს N 8 ქუჩიდან მშიდობის გამზ. N 2-მდე გადამავალი გაზსადენის რეაბილიტაცია P.3.197"/>
    <x v="12"/>
    <n v="1134"/>
    <m/>
    <n v="1134"/>
    <m/>
    <n v="1134"/>
    <n v="0"/>
    <n v="0"/>
    <m/>
    <n v="0"/>
    <n v="0"/>
    <m/>
    <s v="P.3.197"/>
    <n v="0"/>
    <n v="0"/>
    <m/>
    <m/>
    <m/>
    <m/>
    <m/>
    <m/>
    <m/>
    <m/>
    <m/>
    <m/>
    <m/>
    <m/>
    <m/>
    <m/>
    <m/>
    <m/>
    <m/>
    <m/>
    <m/>
    <m/>
    <m/>
    <m/>
    <m/>
    <m/>
    <m/>
    <n v="0"/>
    <n v="0"/>
    <n v="0"/>
    <m/>
    <m/>
    <m/>
    <m/>
    <m/>
    <m/>
    <m/>
    <m/>
    <m/>
    <m/>
    <m/>
    <s v="Проектирование"/>
    <d v="2023-10-23T00:00:00"/>
    <s v="ПриПро"/>
    <s v="Сакорггаз"/>
    <d v="2023-01-05T00:00:00"/>
    <s v="BCG-230105-1/0(5)"/>
    <m/>
    <m/>
    <s v="No"/>
  </r>
  <r>
    <n v="1763"/>
    <s v="Шида Картли"/>
    <s v="Гори"/>
    <s v="(6) ბაქოს N 8 ქუჩიდან მშიდობის გამზ. N 2-მდე გადამავალი გაზსადენის რეაბილიტაცია P.3.197"/>
    <x v="5"/>
    <n v="17000"/>
    <n v="2"/>
    <n v="52174.95"/>
    <n v="52174.95"/>
    <n v="52174.95"/>
    <n v="-35174.949999999997"/>
    <n v="0"/>
    <n v="579"/>
    <n v="0"/>
    <n v="0"/>
    <m/>
    <s v="P.3.197"/>
    <n v="0"/>
    <n v="0"/>
    <m/>
    <m/>
    <m/>
    <m/>
    <m/>
    <m/>
    <m/>
    <m/>
    <m/>
    <m/>
    <m/>
    <m/>
    <m/>
    <m/>
    <m/>
    <m/>
    <m/>
    <m/>
    <m/>
    <m/>
    <m/>
    <m/>
    <m/>
    <m/>
    <m/>
    <n v="0"/>
    <n v="0"/>
    <n v="0"/>
    <m/>
    <m/>
    <m/>
    <n v="33898.31"/>
    <n v="215.46"/>
    <n v="2711.8644067796613"/>
    <n v="1688.1955254237291"/>
    <m/>
    <m/>
    <m/>
    <m/>
    <s v="Реаб."/>
    <d v="2024-08-20T00:00:00"/>
    <s v="Принят"/>
    <s v="Сакорггаз"/>
    <d v="2023-01-05T00:00:00"/>
    <s v="BCG-230105-1/0(6)"/>
    <m/>
    <m/>
    <s v="Yes"/>
  </r>
  <r>
    <n v="1764"/>
    <s v="Самцхе Джавахети"/>
    <s v="Борджоми"/>
    <s v="(7) ბორჯომი სააკაძის ქუჩაზე საჰაერო დ=100 ფოლადის მილი 20 გრძ/მ. რეაბილიტაცია. P.3.118"/>
    <x v="12"/>
    <n v="35"/>
    <n v="2"/>
    <n v="35"/>
    <m/>
    <n v="35"/>
    <n v="0"/>
    <n v="0"/>
    <m/>
    <n v="0"/>
    <n v="0"/>
    <m/>
    <s v="P.3.118"/>
    <n v="0"/>
    <n v="0"/>
    <m/>
    <m/>
    <m/>
    <m/>
    <m/>
    <m/>
    <m/>
    <m/>
    <m/>
    <m/>
    <m/>
    <m/>
    <m/>
    <m/>
    <m/>
    <m/>
    <m/>
    <m/>
    <m/>
    <m/>
    <m/>
    <m/>
    <m/>
    <m/>
    <m/>
    <n v="0"/>
    <n v="0"/>
    <n v="0"/>
    <m/>
    <m/>
    <m/>
    <m/>
    <m/>
    <m/>
    <m/>
    <m/>
    <m/>
    <m/>
    <m/>
    <s v="Проектирование"/>
    <d v="2024-01-08T00:00:00"/>
    <s v="ПриПро"/>
    <s v="Сакорггаз"/>
    <d v="2023-01-05T00:00:00"/>
    <s v="BCG-230105-1/0(7)"/>
    <m/>
    <m/>
    <s v="No"/>
  </r>
  <r>
    <n v="1765"/>
    <s v="Самцхе Джавахети"/>
    <s v="Борджоми"/>
    <s v="(8) ბორჯომი სააკაძის ქუჩაზე საჰაერო დ=100 ფოლადის მილი 20 გრძ/მ. რეაბილიტაცია. P.3.118"/>
    <x v="5"/>
    <n v="2000"/>
    <n v="2"/>
    <n v="1438.77"/>
    <n v="1438.77"/>
    <n v="1438.77"/>
    <n v="561.23"/>
    <n v="0"/>
    <n v="20"/>
    <n v="0"/>
    <n v="0"/>
    <m/>
    <s v="P.3.118"/>
    <n v="0"/>
    <n v="0"/>
    <m/>
    <m/>
    <m/>
    <m/>
    <m/>
    <m/>
    <m/>
    <m/>
    <m/>
    <m/>
    <m/>
    <m/>
    <m/>
    <m/>
    <m/>
    <m/>
    <m/>
    <m/>
    <m/>
    <m/>
    <m/>
    <m/>
    <m/>
    <m/>
    <m/>
    <n v="0"/>
    <n v="0"/>
    <n v="0"/>
    <n v="0"/>
    <n v="0"/>
    <n v="0"/>
    <m/>
    <m/>
    <n v="121.92966101694915"/>
    <n v="0"/>
    <m/>
    <m/>
    <m/>
    <m/>
    <s v="Реаб."/>
    <d v="2024-01-31T00:00:00"/>
    <s v="Принят"/>
    <s v="Сакорггаз"/>
    <d v="2023-01-05T00:00:00"/>
    <s v="BCG-230105-1/0(8)"/>
    <m/>
    <m/>
    <s v="Yes"/>
  </r>
  <r>
    <n v="1766"/>
    <s v="Самцхе Джавахети"/>
    <s v="Борджоми"/>
    <s v="(9) ბორჯომის სერვის ცენტრში ძველი G 4 მრიცხველების შეცვლა ახალი მრიცხველებით. (II ეტაპი) P.3.42 (2)"/>
    <x v="5"/>
    <n v="118000"/>
    <n v="2"/>
    <n v="287874.77"/>
    <m/>
    <n v="188993.91700000002"/>
    <n v="-70993.917000000016"/>
    <n v="98880.853000000003"/>
    <n v="1556.4"/>
    <n v="98880.853000000003"/>
    <n v="1"/>
    <m/>
    <s v="P.3.42 (2)"/>
    <n v="80898.760000000009"/>
    <n v="12633.470000000001"/>
    <m/>
    <n v="292.98"/>
    <n v="38000"/>
    <m/>
    <n v="42898.76"/>
    <n v="5796.61"/>
    <m/>
    <n v="6543.88"/>
    <m/>
    <m/>
    <m/>
    <m/>
    <m/>
    <m/>
    <m/>
    <m/>
    <m/>
    <m/>
    <m/>
    <m/>
    <m/>
    <m/>
    <m/>
    <m/>
    <m/>
    <n v="0"/>
    <n v="0"/>
    <n v="0"/>
    <n v="3569.49"/>
    <n v="448.68"/>
    <m/>
    <n v="59322.03"/>
    <n v="6257.37"/>
    <m/>
    <m/>
    <n v="32203.39"/>
    <n v="395.26"/>
    <n v="63555.37"/>
    <d v="2024-01-31T00:00:00"/>
    <s v="Реаб."/>
    <d v="2025-03-31T00:00:00"/>
    <s v="Принят"/>
    <s v="Сакорггаз"/>
    <d v="2023-01-05T00:00:00"/>
    <s v="BCG-230105-1/0(9)"/>
    <m/>
    <m/>
    <s v="Yes"/>
  </r>
  <r>
    <n v="1767"/>
    <s v="Шида Картли"/>
    <s v="Каспи"/>
    <s v="(10) გერესიდან მომავალი 6 საუბნოს მკვებავი საშუალო წნევის გაზსადენის რეაბილიტაცია P.3.876"/>
    <x v="12"/>
    <n v="0"/>
    <s v="ამოსაღებია, რაც საჭირო იყო კეთდება P.3.192-ის ფარგლებში!"/>
    <m/>
    <m/>
    <m/>
    <n v="0"/>
    <n v="0"/>
    <m/>
    <n v="0"/>
    <n v="2"/>
    <m/>
    <s v="P.3.876"/>
    <n v="0"/>
    <n v="0"/>
    <m/>
    <m/>
    <m/>
    <m/>
    <m/>
    <m/>
    <m/>
    <m/>
    <m/>
    <m/>
    <m/>
    <m/>
    <m/>
    <m/>
    <m/>
    <m/>
    <m/>
    <m/>
    <m/>
    <m/>
    <m/>
    <m/>
    <m/>
    <m/>
    <m/>
    <n v="0"/>
    <n v="0"/>
    <n v="0"/>
    <m/>
    <m/>
    <m/>
    <m/>
    <m/>
    <m/>
    <m/>
    <m/>
    <m/>
    <m/>
    <m/>
    <s v="Проектирование"/>
    <m/>
    <n v="0"/>
    <s v="Сакорггаз"/>
    <d v="2023-01-05T00:00:00"/>
    <s v="BCG-230105-1/0(10)"/>
    <m/>
    <s v="ეს აღარ კეთდება ამოსაღებია, რაც საჭირო იყო კეთდება P.3.192-ის ფარგლებში!"/>
    <m/>
  </r>
  <r>
    <n v="1768"/>
    <s v="Шида Картли"/>
    <s v="Каспи"/>
    <s v="(11) გერესიდან მომავალი 6 საუბნოს მკვებავი საშუალო წნევის გაზსადენის რეაბილიტაცია P.3.876"/>
    <x v="5"/>
    <n v="236000"/>
    <s v="ამოსაღებია, რაც საჭირო იყო კეთდება P.3.192-ის ფარგლებში!"/>
    <m/>
    <m/>
    <m/>
    <n v="236000"/>
    <n v="0"/>
    <m/>
    <n v="236000"/>
    <n v="1"/>
    <m/>
    <s v="P.3.876"/>
    <n v="0"/>
    <n v="0"/>
    <m/>
    <m/>
    <m/>
    <m/>
    <m/>
    <m/>
    <m/>
    <m/>
    <m/>
    <m/>
    <m/>
    <m/>
    <m/>
    <m/>
    <m/>
    <m/>
    <m/>
    <m/>
    <m/>
    <m/>
    <m/>
    <m/>
    <m/>
    <m/>
    <m/>
    <n v="0"/>
    <n v="0"/>
    <n v="0"/>
    <m/>
    <m/>
    <m/>
    <m/>
    <m/>
    <m/>
    <m/>
    <m/>
    <m/>
    <m/>
    <m/>
    <s v="Реаб."/>
    <m/>
    <n v="0"/>
    <s v="Сакорггаз"/>
    <d v="2023-01-05T00:00:00"/>
    <s v="BCG-230105-1/0(11)"/>
    <m/>
    <s v="ეს აღარ კეთდება ამოსაღებია, რაც საჭირო იყო კეთდება P.3.192-ის ფარგლებში!"/>
    <m/>
  </r>
  <r>
    <n v="1769"/>
    <s v="Самцхе Джавахети"/>
    <s v="Борджоми"/>
    <s v="(12) დაბა ბაკურიანში აღმაშენებლის ქუჩაზე მდებარე ,,ნიკორა&quot;-ს მაღაზიიდან სასტუმრო ,,რედკო&quot;-ს მიმართულებით გაზსადენის რეაბილიტაცია. P.3.855"/>
    <x v="12"/>
    <n v="3337.25"/>
    <m/>
    <n v="3337.25"/>
    <m/>
    <n v="3337.25"/>
    <n v="0"/>
    <n v="0"/>
    <m/>
    <n v="0"/>
    <n v="0"/>
    <m/>
    <s v="P.3.855"/>
    <n v="0"/>
    <n v="0"/>
    <m/>
    <m/>
    <m/>
    <m/>
    <m/>
    <m/>
    <m/>
    <m/>
    <m/>
    <m/>
    <m/>
    <m/>
    <m/>
    <m/>
    <m/>
    <m/>
    <m/>
    <m/>
    <m/>
    <m/>
    <m/>
    <m/>
    <m/>
    <m/>
    <m/>
    <n v="0"/>
    <n v="0"/>
    <n v="0"/>
    <m/>
    <m/>
    <m/>
    <m/>
    <m/>
    <m/>
    <m/>
    <m/>
    <m/>
    <m/>
    <m/>
    <s v="Проектирование"/>
    <d v="2023-12-12T00:00:00"/>
    <s v="ПриПро"/>
    <s v="Сакорггаз"/>
    <d v="2023-01-05T00:00:00"/>
    <s v="BCG-230105-1/0(12)"/>
    <m/>
    <m/>
    <s v="No"/>
  </r>
  <r>
    <n v="1770"/>
    <s v="Самцхе Джавахети"/>
    <s v="Борджоми"/>
    <s v="(13) დაბა ბაკურიანში აღმაშენებლის ქუჩაზე მდებარე ,,ნიკორა&quot;-ს მაღაზიიდან სასტუმრო ,,რედკო&quot;-ს მიმართულებით გაზსადენის რეაბილიტაცია. P.3.855 (მოიცავს P.3.805-ს და P.3.784)"/>
    <x v="5"/>
    <n v="180000"/>
    <n v="2"/>
    <n v="575728.86"/>
    <m/>
    <n v="563246.75"/>
    <n v="-383246.75"/>
    <n v="12482.109999999986"/>
    <n v="2831"/>
    <n v="12482.109999999986"/>
    <n v="1"/>
    <m/>
    <s v="P.3.855 (მოიცავს P.3.805-ს და P.3.784)"/>
    <n v="275728.86"/>
    <n v="42060.34"/>
    <m/>
    <m/>
    <n v="191000"/>
    <m/>
    <n v="70000"/>
    <n v="29135.59"/>
    <n v="14728.86"/>
    <n v="10677.97"/>
    <m/>
    <n v="2246.7800000000002"/>
    <m/>
    <m/>
    <m/>
    <m/>
    <m/>
    <m/>
    <m/>
    <m/>
    <m/>
    <m/>
    <m/>
    <m/>
    <m/>
    <m/>
    <m/>
    <n v="0"/>
    <n v="0"/>
    <n v="0"/>
    <m/>
    <m/>
    <m/>
    <n v="254237.29"/>
    <n v="11109.82"/>
    <n v="20338.983050847462"/>
    <m/>
    <n v="221186.41"/>
    <n v="10929.72"/>
    <m/>
    <m/>
    <s v="Реаб."/>
    <d v="2025-04-30T00:00:00"/>
    <s v="Принят"/>
    <s v="Сакорггаз"/>
    <d v="2023-01-05T00:00:00"/>
    <s v="BCG-230105-1/0(13)"/>
    <m/>
    <m/>
    <s v="Yes"/>
  </r>
  <r>
    <n v="1771"/>
    <s v="Самцхе Джавахети"/>
    <s v="Борджоми"/>
    <s v="(14) დაბა ბაკურიანში მელისის 8 კოტეჯის მიმართულებით D=100 საჰაერო ფოლადის მილის რეაბილიტაცია. P.3.116"/>
    <x v="12"/>
    <n v="309.75"/>
    <m/>
    <n v="309.75"/>
    <m/>
    <n v="309.75"/>
    <n v="0"/>
    <n v="0"/>
    <m/>
    <n v="0"/>
    <n v="0"/>
    <m/>
    <s v="P.3.116"/>
    <n v="0"/>
    <n v="0"/>
    <m/>
    <m/>
    <m/>
    <m/>
    <m/>
    <m/>
    <m/>
    <m/>
    <m/>
    <m/>
    <m/>
    <m/>
    <m/>
    <m/>
    <m/>
    <m/>
    <m/>
    <m/>
    <m/>
    <m/>
    <m/>
    <m/>
    <m/>
    <m/>
    <m/>
    <n v="0"/>
    <n v="0"/>
    <n v="0"/>
    <m/>
    <m/>
    <m/>
    <m/>
    <m/>
    <m/>
    <m/>
    <m/>
    <m/>
    <m/>
    <m/>
    <s v="Проектирование"/>
    <d v="2023-10-09T00:00:00"/>
    <s v="ПриПро"/>
    <s v="Сакорггаз"/>
    <d v="2023-01-05T00:00:00"/>
    <s v="BCG-230105-1/0(14)"/>
    <m/>
    <m/>
    <s v="No"/>
  </r>
  <r>
    <n v="1772"/>
    <s v="Самцхе Джавахети"/>
    <s v="Бакуриани"/>
    <s v="(15) დაბა ბაკურიანში მელისის 8 კოტეჯის მიმართულებით D=100 საჰაერო ფოლადის მილის რეაბილიტაცია. P.3.116"/>
    <x v="5"/>
    <n v="9000"/>
    <m/>
    <n v="17643.259999999998"/>
    <m/>
    <n v="17643.259999999998"/>
    <n v="-8643.2599999999984"/>
    <n v="0"/>
    <n v="202"/>
    <n v="0"/>
    <n v="0"/>
    <m/>
    <s v="P.3.116"/>
    <n v="0"/>
    <n v="0"/>
    <m/>
    <m/>
    <m/>
    <m/>
    <m/>
    <m/>
    <m/>
    <m/>
    <m/>
    <m/>
    <m/>
    <m/>
    <m/>
    <m/>
    <m/>
    <m/>
    <m/>
    <m/>
    <m/>
    <m/>
    <m/>
    <m/>
    <m/>
    <m/>
    <m/>
    <n v="0"/>
    <n v="0"/>
    <n v="0"/>
    <n v="0"/>
    <n v="0"/>
    <n v="1495.1915254237288"/>
    <m/>
    <m/>
    <m/>
    <m/>
    <m/>
    <m/>
    <m/>
    <m/>
    <s v="Реаб."/>
    <d v="2023-12-29T00:00:00"/>
    <s v="Принят"/>
    <s v="Сакорггаз"/>
    <d v="2023-01-05T00:00:00"/>
    <s v="BCG-230105-1/0(15)"/>
    <m/>
    <m/>
    <s v="Yes"/>
  </r>
  <r>
    <n v="1773"/>
    <s v="Самцхе Джавахети"/>
    <s v="Борджоми"/>
    <s v="(16) დაბა ბაკურიანში ცაბაძის ქ. გაზსადენის განშტოების დ=50 მმ გაზსადენის რეაბილიტაცია. P.3.779"/>
    <x v="12"/>
    <n v="1849.75"/>
    <m/>
    <n v="1849.75"/>
    <m/>
    <n v="1849.75"/>
    <n v="0"/>
    <n v="0"/>
    <m/>
    <n v="0"/>
    <n v="0"/>
    <m/>
    <s v="P.3.779"/>
    <n v="0"/>
    <n v="0"/>
    <m/>
    <m/>
    <m/>
    <m/>
    <m/>
    <m/>
    <m/>
    <m/>
    <m/>
    <m/>
    <m/>
    <m/>
    <m/>
    <m/>
    <m/>
    <m/>
    <m/>
    <m/>
    <m/>
    <m/>
    <m/>
    <m/>
    <m/>
    <m/>
    <m/>
    <n v="0"/>
    <n v="0"/>
    <n v="0"/>
    <m/>
    <m/>
    <m/>
    <m/>
    <m/>
    <m/>
    <m/>
    <m/>
    <m/>
    <m/>
    <m/>
    <s v="Проектирование"/>
    <d v="2023-12-29T00:00:00"/>
    <s v="ПриПро"/>
    <s v="Сакорггаз"/>
    <d v="2023-01-05T00:00:00"/>
    <s v="BCG-230105-1/0(16)"/>
    <m/>
    <m/>
    <s v="No"/>
  </r>
  <r>
    <n v="1774"/>
    <s v="Самцхе Джавахети"/>
    <s v="Борджоми"/>
    <s v="(17) დაბა ბაკურიანში ცაბაძის ქ. გაზსადენის განშტოების დ=50 მმ გაზსადენის რეაბილიტაცია. P.3.779"/>
    <x v="5"/>
    <n v="9000"/>
    <n v="2"/>
    <n v="262323.02"/>
    <n v="262323.02"/>
    <n v="262323.02"/>
    <n v="-253323.02000000002"/>
    <n v="0"/>
    <n v="958"/>
    <n v="0"/>
    <n v="0"/>
    <m/>
    <s v="P.3.779"/>
    <n v="0"/>
    <n v="0"/>
    <m/>
    <m/>
    <m/>
    <m/>
    <m/>
    <m/>
    <m/>
    <m/>
    <m/>
    <m/>
    <m/>
    <m/>
    <m/>
    <m/>
    <m/>
    <m/>
    <m/>
    <m/>
    <m/>
    <m/>
    <m/>
    <m/>
    <m/>
    <m/>
    <m/>
    <n v="0"/>
    <n v="0"/>
    <n v="0"/>
    <m/>
    <m/>
    <m/>
    <n v="148304.91"/>
    <n v="12670.099999999999"/>
    <n v="4745.7627118644077"/>
    <n v="16217.991694915258"/>
    <m/>
    <m/>
    <m/>
    <m/>
    <s v="Реаб."/>
    <d v="2024-11-25T00:00:00"/>
    <s v="Принят"/>
    <s v="Сакорггаз"/>
    <d v="2023-01-05T00:00:00"/>
    <s v="BCG-230105-1/0(17)"/>
    <m/>
    <m/>
    <s v="Yes"/>
  </r>
  <r>
    <n v="1775"/>
    <s v="Самцхе Джавахети"/>
    <s v="Борджоми"/>
    <s v="(18) დაბა ბაკურიანში, დიდველზე 56 საუბნოდან სასტუმრო ,, ანა-ბაზის&quot;-მდე საჰაერო დ=100 მმ-იანი გაზსადენის რეაბილიტაცია. P.3.805"/>
    <x v="12"/>
    <n v="1470"/>
    <m/>
    <n v="1470"/>
    <m/>
    <n v="1470"/>
    <n v="0"/>
    <n v="0"/>
    <m/>
    <n v="0"/>
    <n v="0"/>
    <m/>
    <s v="P.3.805"/>
    <n v="0"/>
    <n v="0"/>
    <m/>
    <m/>
    <m/>
    <m/>
    <m/>
    <m/>
    <m/>
    <m/>
    <m/>
    <m/>
    <m/>
    <m/>
    <m/>
    <m/>
    <m/>
    <m/>
    <m/>
    <m/>
    <m/>
    <m/>
    <m/>
    <m/>
    <m/>
    <m/>
    <m/>
    <n v="0"/>
    <n v="0"/>
    <n v="0"/>
    <m/>
    <m/>
    <m/>
    <m/>
    <m/>
    <m/>
    <m/>
    <m/>
    <m/>
    <m/>
    <m/>
    <s v="Проектирование"/>
    <d v="2023-12-12T00:00:00"/>
    <s v="ПриПро"/>
    <s v="Сакорггаз"/>
    <d v="2023-01-05T00:00:00"/>
    <s v="BCG-230105-1/0(18)"/>
    <m/>
    <m/>
    <s v="No"/>
  </r>
  <r>
    <n v="1776"/>
    <s v="Самцхе Джавахети"/>
    <s v="Борджоми"/>
    <s v="(19) დაბა ბაკურიანში, დიდველზე 56 საუბნოდან სასტუმრო ,, ანა-ბაზის&quot;-მდე საჰაერო დ=100 მმ-იანი გაზსადენის რეაბილიტაცია. P.3.805"/>
    <x v="5"/>
    <n v="65000"/>
    <n v="2"/>
    <m/>
    <m/>
    <m/>
    <n v="65000"/>
    <n v="0"/>
    <m/>
    <n v="65000"/>
    <n v="1"/>
    <m/>
    <s v="P.3.805 (შედის P.3.855-ში)"/>
    <n v="0"/>
    <n v="0"/>
    <m/>
    <m/>
    <m/>
    <m/>
    <m/>
    <m/>
    <m/>
    <m/>
    <m/>
    <m/>
    <m/>
    <m/>
    <m/>
    <m/>
    <m/>
    <m/>
    <m/>
    <m/>
    <m/>
    <m/>
    <m/>
    <m/>
    <m/>
    <m/>
    <m/>
    <n v="0"/>
    <n v="0"/>
    <n v="0"/>
    <m/>
    <m/>
    <m/>
    <m/>
    <m/>
    <m/>
    <m/>
    <m/>
    <m/>
    <m/>
    <m/>
    <s v="Реаб."/>
    <m/>
    <n v="0"/>
    <s v="Сакорггаз"/>
    <d v="2023-01-05T00:00:00"/>
    <s v="BCG-230105-1/0(19)"/>
    <m/>
    <m/>
    <m/>
  </r>
  <r>
    <n v="1777"/>
    <s v="Самцхе Джавахети"/>
    <s v="Борджоми"/>
    <s v="(20) დაბა ბაკურიანში, დიდველზე სასტუმრო ,,რედკო&quot;-სთან, ცენტრალური მკვებავი მიწისქვეშა და სასტუმრო ,,ანაბაზის&quot;-ის მიმდებარე საჰაერო გაზსადენების რეაბილიტაცია. P.3.784"/>
    <x v="12"/>
    <n v="647.5"/>
    <m/>
    <n v="647.5"/>
    <m/>
    <n v="647.5"/>
    <n v="0"/>
    <n v="0"/>
    <m/>
    <n v="0"/>
    <n v="0"/>
    <m/>
    <s v="P.3.784"/>
    <n v="0"/>
    <n v="0"/>
    <m/>
    <m/>
    <m/>
    <m/>
    <m/>
    <m/>
    <m/>
    <m/>
    <m/>
    <m/>
    <m/>
    <m/>
    <m/>
    <m/>
    <m/>
    <m/>
    <m/>
    <m/>
    <m/>
    <m/>
    <m/>
    <m/>
    <m/>
    <m/>
    <m/>
    <n v="0"/>
    <n v="0"/>
    <n v="0"/>
    <m/>
    <m/>
    <m/>
    <m/>
    <m/>
    <m/>
    <m/>
    <m/>
    <m/>
    <m/>
    <m/>
    <s v="Проектирование"/>
    <d v="2023-12-12T00:00:00"/>
    <s v="ПриПро"/>
    <s v="Сакорггаз"/>
    <d v="2023-01-05T00:00:00"/>
    <s v="BCG-230105-1/0(20)"/>
    <m/>
    <m/>
    <s v="No"/>
  </r>
  <r>
    <n v="1778"/>
    <s v="Самцхе Джавахети"/>
    <s v="Борджоми"/>
    <s v="(21) დაბა ბაკურიანში, დიდველზე სასტუმრო ,,რედკო&quot;-სთან, ცენტრალური მკვებავი მიწისქვეშა და სასტუმრო ,,ანაბაზის&quot;-ის მიმდებარე საჰაერო გაზსადენების რეაბილიტაცია. P.3.784"/>
    <x v="5"/>
    <n v="50000"/>
    <n v="2"/>
    <m/>
    <m/>
    <m/>
    <n v="50000"/>
    <n v="0"/>
    <m/>
    <n v="50000"/>
    <n v="1"/>
    <m/>
    <s v="P.3.784 (შედის P.3.855-ში)"/>
    <n v="0"/>
    <n v="0"/>
    <m/>
    <m/>
    <m/>
    <m/>
    <m/>
    <m/>
    <m/>
    <m/>
    <m/>
    <m/>
    <m/>
    <m/>
    <m/>
    <m/>
    <m/>
    <m/>
    <m/>
    <m/>
    <m/>
    <m/>
    <m/>
    <m/>
    <m/>
    <m/>
    <m/>
    <n v="0"/>
    <n v="0"/>
    <n v="0"/>
    <m/>
    <m/>
    <m/>
    <m/>
    <m/>
    <m/>
    <m/>
    <m/>
    <m/>
    <m/>
    <m/>
    <s v="Реаб."/>
    <m/>
    <n v="0"/>
    <s v="Сакорггаз"/>
    <d v="2023-01-05T00:00:00"/>
    <s v="BCG-230105-1/0(21)"/>
    <m/>
    <m/>
    <m/>
  </r>
  <r>
    <n v="1779"/>
    <s v="Самцхе Джавахети"/>
    <s v="Борджоми"/>
    <s v="(22) დაბა ბაკურიანში, ქუმარიტაშვილის ქუჩაზე, არსებული საჰაერო ფოლადის D=50 მილის რეაბილიტაცია. P.3.786"/>
    <x v="12"/>
    <n v="1715"/>
    <m/>
    <n v="1715"/>
    <m/>
    <n v="1715"/>
    <n v="0"/>
    <n v="0"/>
    <m/>
    <n v="0"/>
    <n v="0"/>
    <m/>
    <s v="P.3.786"/>
    <n v="0"/>
    <n v="0"/>
    <m/>
    <m/>
    <m/>
    <m/>
    <m/>
    <m/>
    <m/>
    <m/>
    <m/>
    <m/>
    <m/>
    <m/>
    <m/>
    <m/>
    <m/>
    <m/>
    <m/>
    <m/>
    <m/>
    <m/>
    <m/>
    <m/>
    <m/>
    <m/>
    <m/>
    <n v="0"/>
    <n v="0"/>
    <n v="0"/>
    <m/>
    <m/>
    <m/>
    <m/>
    <m/>
    <m/>
    <m/>
    <m/>
    <m/>
    <m/>
    <m/>
    <s v="Проектирование"/>
    <d v="2023-12-29T00:00:00"/>
    <s v="ПриПро"/>
    <s v="Сакорггаз"/>
    <d v="2023-01-05T00:00:00"/>
    <s v="BCG-230105-1/0(22)"/>
    <m/>
    <m/>
    <s v="No"/>
  </r>
  <r>
    <n v="1780"/>
    <s v="Самцхе Джавахети"/>
    <s v="Борджоми"/>
    <s v="(23) დაბა ბაკურიანში, ქუმარიტაშვილის ქუჩაზე, არსებული საჰაერო ფოლადის D=50 მილის რეაბილიტაცია. P.3.786"/>
    <x v="5"/>
    <n v="25000"/>
    <n v="2"/>
    <n v="239389.08"/>
    <n v="239389.08"/>
    <n v="239389.07990000001"/>
    <n v="-214389.07990000001"/>
    <n v="9.9999975645914674E-5"/>
    <n v="960"/>
    <n v="9.9999975645914674E-5"/>
    <n v="0"/>
    <m/>
    <s v="P.3.786"/>
    <n v="0"/>
    <n v="0"/>
    <m/>
    <m/>
    <m/>
    <m/>
    <m/>
    <m/>
    <m/>
    <m/>
    <m/>
    <m/>
    <m/>
    <m/>
    <m/>
    <m/>
    <m/>
    <m/>
    <m/>
    <m/>
    <m/>
    <m/>
    <m/>
    <m/>
    <m/>
    <m/>
    <m/>
    <n v="0"/>
    <n v="0"/>
    <n v="0"/>
    <m/>
    <m/>
    <m/>
    <n v="194915.25"/>
    <n v="13175.470000000001"/>
    <n v="12203.389830508475"/>
    <n v="6766.2733389830482"/>
    <m/>
    <m/>
    <m/>
    <m/>
    <s v="Реаб."/>
    <d v="2024-11-25T00:00:00"/>
    <s v="Принят"/>
    <s v="Сакорггаз"/>
    <d v="2023-01-05T00:00:00"/>
    <s v="BCG-230105-1/0(23)"/>
    <m/>
    <m/>
    <s v="Yes"/>
  </r>
  <r>
    <n v="1781"/>
    <s v="Шида Картли"/>
    <s v="Каспи"/>
    <s v="(24) კასპის გერეესიდან კავთისხევის მიმართულებით დ 200 მკვებავი გაზსადენის რეაბილიტაცია P.3.192"/>
    <x v="12"/>
    <n v="9462.25"/>
    <m/>
    <n v="9462.25"/>
    <m/>
    <n v="9462.25"/>
    <n v="0"/>
    <n v="0"/>
    <m/>
    <n v="0"/>
    <n v="0"/>
    <m/>
    <s v="P.3.192"/>
    <n v="0"/>
    <n v="0"/>
    <m/>
    <m/>
    <m/>
    <m/>
    <m/>
    <m/>
    <m/>
    <m/>
    <m/>
    <m/>
    <m/>
    <m/>
    <m/>
    <m/>
    <m/>
    <m/>
    <m/>
    <m/>
    <m/>
    <m/>
    <m/>
    <m/>
    <m/>
    <m/>
    <m/>
    <n v="0"/>
    <n v="0"/>
    <n v="0"/>
    <m/>
    <m/>
    <m/>
    <m/>
    <m/>
    <m/>
    <m/>
    <m/>
    <m/>
    <m/>
    <m/>
    <s v="Проектирование"/>
    <d v="2023-11-03T00:00:00"/>
    <s v="ПриПро"/>
    <s v="Сакорггаз"/>
    <d v="2023-01-05T00:00:00"/>
    <s v="BCG-230105-1/0(24)"/>
    <m/>
    <m/>
    <s v="No"/>
  </r>
  <r>
    <n v="1782"/>
    <s v="Шида Картли"/>
    <s v="Каспи"/>
    <s v="(25) კასპის გერეესიდან კავთისხევის მიმართულებით დ 200 მკვებავი გაზსადენის რეაბილიტაცია P.3.192"/>
    <x v="5"/>
    <n v="950000"/>
    <n v="2"/>
    <n v="936894.93"/>
    <n v="936894.93"/>
    <n v="936894.92999999993"/>
    <n v="13105.070000000065"/>
    <n v="0"/>
    <n v="4933"/>
    <n v="1.1641532182693481E-10"/>
    <n v="0"/>
    <m/>
    <s v="P.3.192"/>
    <n v="0"/>
    <n v="0"/>
    <m/>
    <m/>
    <m/>
    <m/>
    <m/>
    <m/>
    <m/>
    <m/>
    <m/>
    <m/>
    <m/>
    <m/>
    <m/>
    <m/>
    <m/>
    <m/>
    <m/>
    <m/>
    <m/>
    <m/>
    <m/>
    <m/>
    <m/>
    <m/>
    <m/>
    <n v="0"/>
    <n v="0"/>
    <n v="0"/>
    <n v="661016.94999999995"/>
    <n v="61393.08"/>
    <m/>
    <n v="84745.76"/>
    <n v="2524.96"/>
    <n v="73006.071423728834"/>
    <n v="0"/>
    <m/>
    <m/>
    <m/>
    <m/>
    <s v="Реаб."/>
    <d v="2024-03-29T00:00:00"/>
    <s v="Принят"/>
    <s v="Сакорггаз"/>
    <d v="2023-01-05T00:00:00"/>
    <s v="BCG-230105-1/0(25)"/>
    <m/>
    <s v="დასრულდა"/>
    <s v="Yes"/>
  </r>
  <r>
    <n v="1783"/>
    <s v="Шида Картли"/>
    <s v="Каспи"/>
    <s v="(26) კოჯორის, მშვიდობის და გრიშაშვილის ქუჩებზე ქსელის გამოტანა კერძო ტერიტორიებიდან. P.3.846"/>
    <x v="12"/>
    <n v="2241.75"/>
    <m/>
    <n v="2241.75"/>
    <m/>
    <n v="2241.75"/>
    <n v="0"/>
    <n v="0"/>
    <m/>
    <n v="0"/>
    <n v="0"/>
    <m/>
    <s v="P.3.846"/>
    <n v="0"/>
    <n v="0"/>
    <m/>
    <m/>
    <m/>
    <m/>
    <m/>
    <m/>
    <m/>
    <m/>
    <m/>
    <m/>
    <m/>
    <m/>
    <m/>
    <m/>
    <m/>
    <m/>
    <m/>
    <m/>
    <m/>
    <m/>
    <m/>
    <m/>
    <m/>
    <m/>
    <m/>
    <n v="0"/>
    <n v="0"/>
    <n v="0"/>
    <m/>
    <m/>
    <m/>
    <m/>
    <m/>
    <m/>
    <m/>
    <m/>
    <m/>
    <m/>
    <m/>
    <s v="Проектирование"/>
    <d v="2023-12-29T00:00:00"/>
    <s v="ПриПро"/>
    <s v="Сакорггаз"/>
    <d v="2023-01-05T00:00:00"/>
    <s v="BCG-230105-1/0(26)"/>
    <m/>
    <m/>
    <s v="No"/>
  </r>
  <r>
    <n v="1784"/>
    <s v="Шида Картли"/>
    <s v="Каспи"/>
    <s v="(27) კოჯორის, მშვიდობის და გრიშაშვილის ქუჩებზე ქსელის გამოტანა კერძო ტერიტორიებიდან. P.3.846"/>
    <x v="5"/>
    <n v="36000"/>
    <n v="2"/>
    <m/>
    <m/>
    <m/>
    <n v="36000"/>
    <n v="0"/>
    <m/>
    <n v="36000"/>
    <n v="1"/>
    <m/>
    <s v="P.3.846"/>
    <n v="0"/>
    <n v="0"/>
    <m/>
    <m/>
    <m/>
    <m/>
    <m/>
    <m/>
    <m/>
    <m/>
    <m/>
    <m/>
    <m/>
    <m/>
    <m/>
    <m/>
    <m/>
    <m/>
    <m/>
    <m/>
    <m/>
    <m/>
    <m/>
    <m/>
    <m/>
    <m/>
    <m/>
    <n v="0"/>
    <n v="0"/>
    <n v="0"/>
    <m/>
    <m/>
    <m/>
    <m/>
    <m/>
    <m/>
    <m/>
    <m/>
    <m/>
    <m/>
    <m/>
    <s v="Реаб."/>
    <m/>
    <n v="0"/>
    <s v="Сакорггаз"/>
    <d v="2023-01-05T00:00:00"/>
    <s v="BCG-230105-1/0(27)"/>
    <m/>
    <m/>
    <m/>
  </r>
  <r>
    <n v="1785"/>
    <s v="Самцхе Джавахети"/>
    <s v="Борджоми"/>
    <s v="(28) სოფ ყვიბისში მიწისქვეშა დ=100 ფოლადის გაზსადენის რეაბილიტაცია. P.3.117"/>
    <x v="12"/>
    <n v="229.25"/>
    <n v="2"/>
    <n v="229.25"/>
    <m/>
    <n v="229.25"/>
    <n v="0"/>
    <n v="0"/>
    <m/>
    <n v="0"/>
    <n v="0"/>
    <m/>
    <s v="P.3.117"/>
    <n v="0"/>
    <n v="0"/>
    <m/>
    <m/>
    <m/>
    <m/>
    <m/>
    <m/>
    <m/>
    <m/>
    <m/>
    <m/>
    <m/>
    <m/>
    <m/>
    <m/>
    <m/>
    <m/>
    <m/>
    <m/>
    <m/>
    <m/>
    <m/>
    <m/>
    <m/>
    <m/>
    <m/>
    <n v="0"/>
    <n v="0"/>
    <n v="0"/>
    <m/>
    <m/>
    <m/>
    <m/>
    <m/>
    <m/>
    <m/>
    <m/>
    <m/>
    <m/>
    <m/>
    <s v="Проектирование"/>
    <d v="2024-01-08T00:00:00"/>
    <s v="ПриПро"/>
    <s v="Сакорггаз"/>
    <d v="2023-01-05T00:00:00"/>
    <s v="BCG-230105-1/0(28)"/>
    <m/>
    <m/>
    <s v="No"/>
  </r>
  <r>
    <n v="1786"/>
    <s v="Самцхе Джавахети"/>
    <s v="Борджоми"/>
    <s v="(29) სოფ ყვიბისში მიწისქვეშა დ=100 ფოლადის გაზსადენის რეაბილიტაცია. P.3.117"/>
    <x v="5"/>
    <n v="2000"/>
    <n v="2"/>
    <n v="7491.71"/>
    <n v="7491.71"/>
    <n v="7491.71"/>
    <n v="-5491.71"/>
    <n v="0"/>
    <n v="132"/>
    <n v="0"/>
    <n v="0"/>
    <m/>
    <s v="P.3.117"/>
    <n v="0"/>
    <n v="0"/>
    <m/>
    <m/>
    <m/>
    <m/>
    <m/>
    <m/>
    <m/>
    <m/>
    <m/>
    <m/>
    <m/>
    <m/>
    <m/>
    <m/>
    <m/>
    <m/>
    <m/>
    <m/>
    <m/>
    <m/>
    <m/>
    <m/>
    <m/>
    <m/>
    <m/>
    <n v="0"/>
    <n v="0"/>
    <n v="0"/>
    <m/>
    <m/>
    <m/>
    <m/>
    <m/>
    <n v="634.89067796610175"/>
    <n v="0"/>
    <m/>
    <m/>
    <m/>
    <m/>
    <s v="Реаб."/>
    <d v="2024-02-29T00:00:00"/>
    <s v="Принят"/>
    <s v="Сакорггаз"/>
    <d v="2023-01-05T00:00:00"/>
    <s v="BCG-230105-1/0(29)"/>
    <m/>
    <m/>
    <s v="Yes"/>
  </r>
  <r>
    <n v="1787"/>
    <s v="Шида Картли"/>
    <s v="Гори"/>
    <s v="(30) სოფ. სათემოში გამავალი გაზსადენის რეკონსტრუქცია P.3.211"/>
    <x v="12"/>
    <n v="10422.299999999999"/>
    <m/>
    <n v="10422.300000000001"/>
    <m/>
    <n v="10422.299999999999"/>
    <n v="0"/>
    <n v="0"/>
    <m/>
    <n v="1.8189894035458565E-12"/>
    <n v="0"/>
    <m/>
    <s v="P.3.211"/>
    <n v="0"/>
    <n v="0"/>
    <m/>
    <m/>
    <m/>
    <m/>
    <m/>
    <m/>
    <m/>
    <m/>
    <m/>
    <m/>
    <m/>
    <m/>
    <m/>
    <m/>
    <m/>
    <m/>
    <m/>
    <m/>
    <m/>
    <m/>
    <m/>
    <m/>
    <m/>
    <m/>
    <m/>
    <n v="0"/>
    <n v="0"/>
    <n v="0"/>
    <m/>
    <m/>
    <m/>
    <m/>
    <m/>
    <m/>
    <m/>
    <m/>
    <m/>
    <m/>
    <m/>
    <s v="Проектирование"/>
    <d v="2023-11-20T00:00:00"/>
    <s v="ПриПро"/>
    <s v="Сакорггаз"/>
    <d v="2023-01-05T00:00:00"/>
    <s v="BCG-230105-1/0(30)"/>
    <m/>
    <m/>
    <s v="No"/>
  </r>
  <r>
    <n v="1788"/>
    <s v="Шида Картли"/>
    <s v="Гори"/>
    <s v="(31) სოფ. სათემოში გამავალი გაზსადენის რეკონსტრუქცია P.3.211"/>
    <x v="5"/>
    <n v="95000"/>
    <n v="2"/>
    <n v="555410.79"/>
    <n v="555410.79"/>
    <n v="555410.79"/>
    <n v="-460410.79000000004"/>
    <n v="0"/>
    <n v="5613"/>
    <n v="0"/>
    <n v="0"/>
    <m/>
    <s v="P.3.211"/>
    <n v="0"/>
    <n v="0"/>
    <m/>
    <m/>
    <m/>
    <m/>
    <m/>
    <m/>
    <m/>
    <m/>
    <m/>
    <m/>
    <m/>
    <m/>
    <m/>
    <m/>
    <m/>
    <m/>
    <m/>
    <m/>
    <m/>
    <m/>
    <m/>
    <m/>
    <m/>
    <m/>
    <m/>
    <n v="0"/>
    <n v="0"/>
    <n v="0"/>
    <n v="254237.29"/>
    <n v="15254.24"/>
    <m/>
    <n v="127118.64"/>
    <n v="13289.99"/>
    <n v="30508.474576271194"/>
    <n v="13705.813440677968"/>
    <m/>
    <m/>
    <m/>
    <m/>
    <s v="Реаб."/>
    <d v="2024-11-25T00:00:00"/>
    <s v="Принят"/>
    <s v="Сакорггаз"/>
    <d v="2023-01-05T00:00:00"/>
    <s v="BCG-230105-1/0(31)"/>
    <m/>
    <m/>
    <s v="Yes"/>
  </r>
  <r>
    <n v="1789"/>
    <s v="Шида Картли"/>
    <s v="Гори"/>
    <s v="(32) სოფელ ნადარბაზევის მკვებავი გაზსადენის რეაბილიტაცია P.3.718"/>
    <x v="12"/>
    <n v="4560.5"/>
    <m/>
    <n v="4560.5"/>
    <m/>
    <n v="4560.4989999999998"/>
    <n v="1.0000000002037268E-3"/>
    <n v="1.0000000002037268E-3"/>
    <m/>
    <n v="1.0000000002037268E-3"/>
    <n v="0"/>
    <m/>
    <s v="P.3.718"/>
    <n v="0"/>
    <n v="0"/>
    <m/>
    <m/>
    <m/>
    <m/>
    <m/>
    <m/>
    <m/>
    <m/>
    <m/>
    <m/>
    <m/>
    <m/>
    <m/>
    <m/>
    <m/>
    <m/>
    <m/>
    <m/>
    <m/>
    <m/>
    <m/>
    <m/>
    <m/>
    <m/>
    <m/>
    <n v="0"/>
    <n v="0"/>
    <n v="0"/>
    <m/>
    <m/>
    <m/>
    <m/>
    <m/>
    <m/>
    <m/>
    <m/>
    <m/>
    <m/>
    <m/>
    <s v="Проектирование"/>
    <d v="2023-08-31T00:00:00"/>
    <s v="ПриПро"/>
    <s v="Сакорггаз"/>
    <d v="2023-01-05T00:00:00"/>
    <s v="BCG-230105-1/0(32)"/>
    <m/>
    <m/>
    <s v="No"/>
  </r>
  <r>
    <n v="1790"/>
    <s v="Шида Картли"/>
    <s v="Гори"/>
    <s v="(33) სოფელ ნადარბაზევის მკვებავი გაზსადენის რეაბილიტაცია P.3.718"/>
    <x v="5"/>
    <n v="50000"/>
    <m/>
    <n v="160274.20000000001"/>
    <m/>
    <n v="160274.20000000001"/>
    <n v="-110274.20000000001"/>
    <n v="0"/>
    <m/>
    <n v="0"/>
    <n v="0"/>
    <m/>
    <s v="P.3.718"/>
    <n v="0"/>
    <n v="0"/>
    <m/>
    <m/>
    <m/>
    <m/>
    <m/>
    <m/>
    <m/>
    <m/>
    <m/>
    <m/>
    <m/>
    <m/>
    <m/>
    <m/>
    <m/>
    <m/>
    <m/>
    <m/>
    <m/>
    <m/>
    <m/>
    <m/>
    <m/>
    <m/>
    <m/>
    <n v="0"/>
    <n v="0"/>
    <n v="0"/>
    <n v="118644.06999999999"/>
    <n v="8706.76"/>
    <n v="12711.883322033902"/>
    <m/>
    <m/>
    <m/>
    <m/>
    <m/>
    <m/>
    <m/>
    <m/>
    <s v="Реаб."/>
    <d v="2023-12-29T00:00:00"/>
    <s v="Принят"/>
    <s v="Сакорггаз"/>
    <d v="2023-01-05T00:00:00"/>
    <s v="BCG-230105-1/0(33)"/>
    <m/>
    <m/>
    <s v="Yes"/>
  </r>
  <r>
    <n v="1791"/>
    <s v="Шида Картли"/>
    <s v="Гори"/>
    <s v="(34) სოფელ ტინისხიდის გაზსადენის რეაბილიტაცია P.3.734"/>
    <x v="12"/>
    <n v="2872.1"/>
    <m/>
    <n v="2872.1"/>
    <m/>
    <n v="2872.1"/>
    <n v="0"/>
    <n v="0"/>
    <m/>
    <n v="0"/>
    <n v="0"/>
    <m/>
    <s v="P.3.734"/>
    <n v="0"/>
    <n v="0"/>
    <m/>
    <m/>
    <m/>
    <m/>
    <m/>
    <m/>
    <m/>
    <m/>
    <m/>
    <m/>
    <m/>
    <m/>
    <m/>
    <m/>
    <m/>
    <m/>
    <m/>
    <m/>
    <m/>
    <m/>
    <m/>
    <m/>
    <m/>
    <m/>
    <m/>
    <n v="0"/>
    <n v="0"/>
    <n v="0"/>
    <m/>
    <m/>
    <m/>
    <m/>
    <m/>
    <m/>
    <m/>
    <m/>
    <m/>
    <m/>
    <m/>
    <s v="Проектирование"/>
    <d v="2023-10-23T00:00:00"/>
    <s v="ПриПро"/>
    <s v="Сакорггаз"/>
    <d v="2023-01-05T00:00:00"/>
    <s v="BCG-230105-1/0(34)"/>
    <m/>
    <m/>
    <s v="No"/>
  </r>
  <r>
    <n v="1792"/>
    <s v="Шида Картли"/>
    <s v="Гори"/>
    <s v="(35) სოფელ ტინისხიდის გაზსადენის რეაბილიტაცია P.3.734"/>
    <x v="5"/>
    <n v="55000"/>
    <n v="2"/>
    <n v="161759.18"/>
    <m/>
    <n v="160268.35"/>
    <n v="-105268.35"/>
    <n v="1490.8299999999872"/>
    <n v="1517"/>
    <n v="1490.8299999999872"/>
    <n v="1"/>
    <m/>
    <s v="P.3.734"/>
    <n v="41038.94"/>
    <n v="6370.0399999999991"/>
    <n v="40000"/>
    <n v="109.87"/>
    <m/>
    <n v="6101.69"/>
    <n v="1038.94"/>
    <m/>
    <m/>
    <n v="158.47999999999999"/>
    <m/>
    <m/>
    <m/>
    <m/>
    <m/>
    <m/>
    <m/>
    <m/>
    <m/>
    <m/>
    <m/>
    <m/>
    <m/>
    <m/>
    <m/>
    <m/>
    <s v="საბოლოო"/>
    <n v="0"/>
    <n v="0"/>
    <n v="0"/>
    <n v="0"/>
    <n v="0"/>
    <n v="0"/>
    <n v="101694.92"/>
    <n v="11001.16"/>
    <n v="8135.5932203389839"/>
    <n v="4472.6958644067799"/>
    <n v="33898.31"/>
    <n v="505.22"/>
    <m/>
    <m/>
    <s v="Реаб."/>
    <d v="2025-03-12T00:00:00"/>
    <s v="Принят"/>
    <s v="Сакорггаз"/>
    <d v="2023-01-05T00:00:00"/>
    <s v="BCG-230105-1/0(35)"/>
    <m/>
    <m/>
    <s v="Yes"/>
  </r>
  <r>
    <n v="1793"/>
    <s v="Самцхе Джавахети"/>
    <s v="Борджоми"/>
    <s v="(36) სოფელ ჭიხარულაში, საჰაერო დაბალი წნევის დ=32 მმ-იანი გაზსადენის რეაბილიტაცია. P.3.811"/>
    <x v="12"/>
    <n v="1435"/>
    <m/>
    <n v="1435"/>
    <m/>
    <n v="1435"/>
    <n v="0"/>
    <n v="0"/>
    <m/>
    <n v="0"/>
    <n v="0"/>
    <m/>
    <s v="P.3.811"/>
    <n v="0"/>
    <n v="0"/>
    <m/>
    <m/>
    <m/>
    <m/>
    <m/>
    <m/>
    <m/>
    <m/>
    <m/>
    <m/>
    <m/>
    <m/>
    <m/>
    <m/>
    <m/>
    <m/>
    <m/>
    <m/>
    <m/>
    <m/>
    <m/>
    <m/>
    <m/>
    <m/>
    <m/>
    <n v="0"/>
    <n v="0"/>
    <n v="0"/>
    <m/>
    <m/>
    <m/>
    <m/>
    <m/>
    <m/>
    <m/>
    <m/>
    <m/>
    <m/>
    <m/>
    <s v="Проектирование"/>
    <d v="2023-11-20T00:00:00"/>
    <s v="ПриПро"/>
    <s v="Сакорггаз"/>
    <d v="2023-01-05T00:00:00"/>
    <s v="BCG-230105-1/0(36)"/>
    <m/>
    <m/>
    <s v="No"/>
  </r>
  <r>
    <n v="1794"/>
    <s v="Самцхе Джавахети"/>
    <s v="Борджоми"/>
    <s v="(37) სოფელ ჭიხარულაში, საჰაერო დაბალი წნევის დ=32 მმ-იანი გაზსადენის რეაბილიტაცია. P.3.811"/>
    <x v="5"/>
    <n v="35000"/>
    <m/>
    <n v="47868.87"/>
    <m/>
    <n v="47868.87"/>
    <n v="-12868.870000000003"/>
    <n v="0"/>
    <n v="809.8"/>
    <n v="0"/>
    <n v="0"/>
    <m/>
    <s v="P.3.811"/>
    <n v="0"/>
    <n v="0"/>
    <m/>
    <m/>
    <m/>
    <m/>
    <m/>
    <m/>
    <m/>
    <m/>
    <m/>
    <m/>
    <m/>
    <m/>
    <m/>
    <m/>
    <m/>
    <m/>
    <m/>
    <m/>
    <m/>
    <m/>
    <m/>
    <m/>
    <m/>
    <m/>
    <m/>
    <n v="0"/>
    <n v="0"/>
    <n v="0"/>
    <n v="0"/>
    <n v="0"/>
    <n v="4056.6838983050857"/>
    <m/>
    <m/>
    <m/>
    <m/>
    <m/>
    <m/>
    <m/>
    <m/>
    <s v="Реаб."/>
    <d v="2023-12-29T00:00:00"/>
    <s v="Принят"/>
    <s v="Сакорггаз"/>
    <d v="2023-01-05T00:00:00"/>
    <s v="BCG-230105-1/0(37)"/>
    <m/>
    <m/>
    <s v="Yes"/>
  </r>
  <r>
    <n v="1795"/>
    <s v="Шида Картли"/>
    <s v="Гори"/>
    <s v="(38) სუხიშვილია და მეჯვრისხევის ქუჩებზე გაზსადენის რეაბილიტაცია. P.3.196"/>
    <x v="5"/>
    <n v="38000"/>
    <n v="2"/>
    <m/>
    <m/>
    <m/>
    <n v="38000"/>
    <n v="0"/>
    <m/>
    <n v="38000"/>
    <n v="1"/>
    <m/>
    <s v="P.3.196"/>
    <n v="0"/>
    <n v="0"/>
    <m/>
    <m/>
    <m/>
    <m/>
    <m/>
    <m/>
    <m/>
    <m/>
    <m/>
    <m/>
    <m/>
    <m/>
    <m/>
    <m/>
    <m/>
    <m/>
    <m/>
    <m/>
    <m/>
    <m/>
    <m/>
    <m/>
    <m/>
    <m/>
    <m/>
    <n v="0"/>
    <n v="0"/>
    <n v="0"/>
    <m/>
    <m/>
    <m/>
    <m/>
    <m/>
    <m/>
    <m/>
    <m/>
    <m/>
    <m/>
    <m/>
    <s v="Реаб."/>
    <m/>
    <n v="0"/>
    <s v="Сакорггаз"/>
    <d v="2023-01-05T00:00:00"/>
    <s v="BCG-230105-1/0(38)"/>
    <m/>
    <m/>
    <m/>
  </r>
  <r>
    <n v="1796"/>
    <s v="Самцхе Джавахети"/>
    <s v="Борджоми"/>
    <s v="(39) ბორჯომში მესხეთის ქ. (კურორტი ლიკანი) მდებარე დ=50 -იანი საშუალო წნევის საჰაერო გაზსადენის, რეაბილიტაცია. P.3.229"/>
    <x v="12"/>
    <n v="0"/>
    <n v="2"/>
    <m/>
    <m/>
    <m/>
    <n v="0"/>
    <n v="0"/>
    <m/>
    <n v="0"/>
    <n v="2"/>
    <m/>
    <s v="P.3.229"/>
    <n v="0"/>
    <n v="0"/>
    <m/>
    <m/>
    <m/>
    <m/>
    <m/>
    <m/>
    <m/>
    <m/>
    <m/>
    <m/>
    <m/>
    <m/>
    <m/>
    <m/>
    <m/>
    <m/>
    <m/>
    <m/>
    <m/>
    <m/>
    <m/>
    <m/>
    <m/>
    <m/>
    <m/>
    <n v="0"/>
    <n v="0"/>
    <n v="0"/>
    <m/>
    <m/>
    <m/>
    <m/>
    <m/>
    <m/>
    <m/>
    <m/>
    <m/>
    <m/>
    <m/>
    <s v="Проектирование"/>
    <m/>
    <n v="0"/>
    <s v="Сакорггаз"/>
    <d v="2023-01-05T00:00:00"/>
    <s v="BCG-230105-1/0(39)"/>
    <m/>
    <m/>
    <m/>
  </r>
  <r>
    <n v="1797"/>
    <s v="Самцхе Джавахети"/>
    <s v="Борджоми"/>
    <s v="(40) ბორჯომში მესხეთის ქ. (კურორტი ლიკანი) მდებარე დ=50 -იანი საშუალო წნევის საჰაერო გაზსადენის, რეაბილიტაცია. P.3.229"/>
    <x v="5"/>
    <n v="10000"/>
    <n v="2"/>
    <n v="54815"/>
    <n v="54815"/>
    <n v="54815"/>
    <n v="-44815"/>
    <n v="0"/>
    <n v="437.5"/>
    <n v="0"/>
    <n v="0"/>
    <m/>
    <s v="P.3.229"/>
    <n v="0"/>
    <n v="0"/>
    <m/>
    <m/>
    <m/>
    <m/>
    <m/>
    <m/>
    <m/>
    <m/>
    <m/>
    <m/>
    <m/>
    <m/>
    <m/>
    <m/>
    <m/>
    <m/>
    <m/>
    <m/>
    <m/>
    <m/>
    <m/>
    <m/>
    <m/>
    <m/>
    <m/>
    <n v="0"/>
    <n v="0"/>
    <n v="0"/>
    <m/>
    <m/>
    <m/>
    <n v="42372.88"/>
    <n v="4430"/>
    <n v="3389.8305084745771"/>
    <n v="812.50847457627151"/>
    <m/>
    <m/>
    <m/>
    <m/>
    <s v="Реаб."/>
    <d v="2024-10-02T00:00:00"/>
    <s v="Принят"/>
    <s v="Сакорггаз"/>
    <d v="2023-01-05T00:00:00"/>
    <s v="BCG-230105-1/0(40)"/>
    <m/>
    <m/>
    <s v="Yes"/>
  </r>
  <r>
    <n v="1798"/>
    <s v="Самцхе Джавахети"/>
    <s v="Борджоми"/>
    <s v="(41) ქ ბორჯომში, მესხეთის ქ. (სოფ. ლიკანი) საშუალო წნევის დ=100 -იანი გაზსადენის რეაბილიტაცია მდინარის პირას. P.3.125"/>
    <x v="12"/>
    <n v="1366.75"/>
    <m/>
    <n v="1366.75"/>
    <m/>
    <n v="1366.75"/>
    <n v="0"/>
    <n v="0"/>
    <m/>
    <n v="0"/>
    <n v="0"/>
    <m/>
    <s v="P.3.125"/>
    <n v="0"/>
    <n v="0"/>
    <m/>
    <m/>
    <m/>
    <m/>
    <m/>
    <m/>
    <m/>
    <m/>
    <m/>
    <m/>
    <m/>
    <m/>
    <m/>
    <m/>
    <m/>
    <m/>
    <m/>
    <m/>
    <m/>
    <m/>
    <m/>
    <m/>
    <m/>
    <m/>
    <m/>
    <n v="0"/>
    <n v="0"/>
    <n v="0"/>
    <m/>
    <m/>
    <m/>
    <m/>
    <m/>
    <m/>
    <m/>
    <m/>
    <m/>
    <m/>
    <m/>
    <s v="Проектирование"/>
    <d v="2023-11-20T00:00:00"/>
    <s v="ПриПро"/>
    <s v="Сакорггаз"/>
    <d v="2023-01-05T00:00:00"/>
    <s v="BCG-230105-1/0(41)"/>
    <m/>
    <m/>
    <s v="No"/>
  </r>
  <r>
    <n v="1799"/>
    <s v="Самцхе Джавахети"/>
    <s v="Борджоми"/>
    <s v="(42) ქ ბორჯომში, მესხეთის ქ. (სოფ. ლიკანი) საშუალო წნევის დ=100 -იანი გაზსადენის რეაბილიტაცია მდინარის პირას. P.3.125"/>
    <x v="5"/>
    <n v="12000"/>
    <n v="2"/>
    <n v="32977.01"/>
    <n v="32977.01"/>
    <n v="32977.01"/>
    <n v="-20977.010000000002"/>
    <n v="0"/>
    <n v="270.5"/>
    <n v="0"/>
    <n v="0"/>
    <m/>
    <s v="P.3.125"/>
    <n v="0"/>
    <n v="0"/>
    <m/>
    <m/>
    <m/>
    <m/>
    <m/>
    <m/>
    <m/>
    <m/>
    <m/>
    <m/>
    <m/>
    <m/>
    <m/>
    <m/>
    <m/>
    <m/>
    <m/>
    <m/>
    <m/>
    <m/>
    <m/>
    <m/>
    <m/>
    <m/>
    <m/>
    <n v="0"/>
    <n v="0"/>
    <n v="0"/>
    <m/>
    <m/>
    <m/>
    <n v="25423.73"/>
    <n v="2658"/>
    <n v="2033.898305084746"/>
    <n v="494.96355932203414"/>
    <m/>
    <m/>
    <m/>
    <m/>
    <s v="Реаб."/>
    <d v="2024-10-02T00:00:00"/>
    <s v="Принят"/>
    <s v="Сакорггаз"/>
    <d v="2023-01-05T00:00:00"/>
    <s v="BCG-230105-1/0(42)"/>
    <m/>
    <m/>
    <s v="Yes"/>
  </r>
  <r>
    <n v="1800"/>
    <s v="Самцхе Джавахети"/>
    <s v="Борджоми"/>
    <s v="(43) ქ. ბორჯომში, თორის ქ. ე.წ. „დრაბილკის“ მიმდებარედ დ=100 საჰარეო ფოლადის გაზსადენის რეაბილიტაცია. P.3.122"/>
    <x v="12"/>
    <n v="183.75"/>
    <m/>
    <n v="183.75"/>
    <m/>
    <n v="183.75"/>
    <n v="0"/>
    <n v="0"/>
    <m/>
    <n v="0"/>
    <n v="0"/>
    <m/>
    <s v="P.3.122"/>
    <n v="0"/>
    <n v="0"/>
    <m/>
    <m/>
    <m/>
    <m/>
    <m/>
    <m/>
    <m/>
    <m/>
    <m/>
    <m/>
    <m/>
    <m/>
    <m/>
    <m/>
    <m/>
    <m/>
    <m/>
    <m/>
    <m/>
    <m/>
    <m/>
    <m/>
    <m/>
    <m/>
    <m/>
    <n v="0"/>
    <n v="0"/>
    <n v="0"/>
    <m/>
    <m/>
    <m/>
    <m/>
    <m/>
    <m/>
    <m/>
    <m/>
    <m/>
    <m/>
    <m/>
    <s v="Проектирование"/>
    <d v="2023-10-09T00:00:00"/>
    <s v="ПриПро"/>
    <s v="Сакорггаз"/>
    <d v="2023-01-05T00:00:00"/>
    <s v="BCG-230105-1/0(43)"/>
    <m/>
    <m/>
    <s v="No"/>
  </r>
  <r>
    <n v="1801"/>
    <s v="Самцхе Джавахети"/>
    <s v="Борджоми"/>
    <s v="(44) ქ. ბორჯომში, თორის ქ. ე.წ. „დრაბილკის“ მიმდებარედ დ=100 საჰარეო ფოლადის გაზსადენის რეაბილიტაცია. P.3.122"/>
    <x v="5"/>
    <n v="6000"/>
    <n v="2"/>
    <n v="3691.76"/>
    <n v="3691.76"/>
    <n v="3691.759"/>
    <n v="2308.241"/>
    <n v="1.0000000002037268E-3"/>
    <n v="50.5"/>
    <n v="1.0000000002037268E-3"/>
    <n v="0"/>
    <n v="0"/>
    <s v="P.3.122"/>
    <n v="0"/>
    <n v="0"/>
    <m/>
    <m/>
    <m/>
    <m/>
    <m/>
    <m/>
    <m/>
    <m/>
    <m/>
    <m/>
    <m/>
    <m/>
    <m/>
    <m/>
    <m/>
    <m/>
    <m/>
    <m/>
    <m/>
    <m/>
    <m/>
    <m/>
    <m/>
    <m/>
    <m/>
    <n v="0"/>
    <n v="0"/>
    <n v="0"/>
    <n v="0"/>
    <n v="0"/>
    <n v="0"/>
    <m/>
    <m/>
    <n v="312.8610169491526"/>
    <n v="0"/>
    <m/>
    <m/>
    <m/>
    <m/>
    <s v="Реаб."/>
    <d v="2024-01-31T00:00:00"/>
    <s v="Принят"/>
    <s v="Сакорггаз"/>
    <d v="2023-01-05T00:00:00"/>
    <s v="BCG-230105-1/0(44)"/>
    <m/>
    <m/>
    <s v="Yes"/>
  </r>
  <r>
    <n v="1802"/>
    <s v="Шида Картли"/>
    <s v="Гори"/>
    <s v="(45) ქ. გორი ანტონოვის ქუჩა გაზსადენის რეაბილიტაცია P.3.713"/>
    <x v="12"/>
    <n v="421.75"/>
    <m/>
    <n v="421.75"/>
    <m/>
    <n v="421.75"/>
    <n v="0"/>
    <n v="0"/>
    <m/>
    <n v="0"/>
    <n v="0"/>
    <m/>
    <s v="P.3.713"/>
    <n v="0"/>
    <n v="0"/>
    <m/>
    <m/>
    <m/>
    <m/>
    <m/>
    <m/>
    <m/>
    <m/>
    <m/>
    <m/>
    <m/>
    <m/>
    <m/>
    <m/>
    <m/>
    <m/>
    <m/>
    <m/>
    <m/>
    <m/>
    <m/>
    <m/>
    <m/>
    <m/>
    <m/>
    <n v="0"/>
    <n v="0"/>
    <n v="0"/>
    <m/>
    <m/>
    <m/>
    <m/>
    <m/>
    <m/>
    <m/>
    <m/>
    <m/>
    <m/>
    <m/>
    <s v="Проектирование"/>
    <d v="2023-08-31T00:00:00"/>
    <s v="ПриПро"/>
    <s v="Сакорггаз"/>
    <d v="2023-01-05T00:00:00"/>
    <s v="BCG-230105-1/0(45)"/>
    <m/>
    <m/>
    <s v="No"/>
  </r>
  <r>
    <n v="1803"/>
    <s v="Шида Картли"/>
    <s v="Гори"/>
    <s v="(46) ქ. გორი ანტონოვის ქუჩა გაზსადენის რეაბილიტაცია P.3.713"/>
    <x v="5"/>
    <n v="6000"/>
    <m/>
    <n v="18237.689999999999"/>
    <m/>
    <n v="18237.690000000002"/>
    <n v="-12237.690000000002"/>
    <n v="0"/>
    <n v="207"/>
    <n v="-3.637978807091713E-12"/>
    <n v="0"/>
    <m/>
    <s v="P.3.713"/>
    <n v="0"/>
    <n v="0"/>
    <m/>
    <m/>
    <m/>
    <m/>
    <m/>
    <m/>
    <m/>
    <m/>
    <m/>
    <m/>
    <m/>
    <m/>
    <m/>
    <m/>
    <m/>
    <m/>
    <m/>
    <m/>
    <m/>
    <m/>
    <m/>
    <m/>
    <m/>
    <m/>
    <m/>
    <n v="0"/>
    <n v="0"/>
    <n v="0"/>
    <n v="12711.86"/>
    <n v="809.73"/>
    <n v="1464.5939491525423"/>
    <m/>
    <m/>
    <m/>
    <m/>
    <m/>
    <m/>
    <m/>
    <m/>
    <s v="Реаб."/>
    <d v="2023-12-29T00:00:00"/>
    <s v="Принят"/>
    <s v="Сакорггаз"/>
    <d v="2023-01-05T00:00:00"/>
    <s v="BCG-230105-1/0(46)"/>
    <m/>
    <m/>
    <s v="Yes"/>
  </r>
  <r>
    <n v="1804"/>
    <s v="Шида Картли"/>
    <s v="Гори"/>
    <s v="(47) ქ. გორი ჯორბენაძის ქუჩა გაზსადენის რეაბილიტაცია P.3.715"/>
    <x v="12"/>
    <n v="2003.75"/>
    <n v="2"/>
    <n v="2003.75"/>
    <m/>
    <n v="2003.75"/>
    <n v="0"/>
    <n v="0"/>
    <m/>
    <n v="0"/>
    <n v="0"/>
    <m/>
    <s v="P.3.715"/>
    <n v="0"/>
    <n v="0"/>
    <m/>
    <m/>
    <m/>
    <m/>
    <m/>
    <m/>
    <m/>
    <m/>
    <m/>
    <m/>
    <m/>
    <m/>
    <m/>
    <m/>
    <m/>
    <m/>
    <m/>
    <m/>
    <m/>
    <m/>
    <m/>
    <m/>
    <m/>
    <m/>
    <m/>
    <n v="0"/>
    <n v="0"/>
    <n v="0"/>
    <m/>
    <m/>
    <m/>
    <m/>
    <m/>
    <m/>
    <m/>
    <m/>
    <m/>
    <m/>
    <m/>
    <s v="Проектирование"/>
    <d v="2024-03-01T00:00:00"/>
    <s v="ПриПро"/>
    <s v="Сакорггаз"/>
    <d v="2023-01-05T00:00:00"/>
    <s v="BCG-230105-1/0(47)"/>
    <m/>
    <m/>
    <m/>
  </r>
  <r>
    <n v="1805"/>
    <s v="Шида Картли"/>
    <s v="Гори"/>
    <s v="(48) ქ. გორი ჯორბენაძის ქუჩა გაზსადენის რეაბილიტაცია P.3.715"/>
    <x v="5"/>
    <n v="37000"/>
    <n v="2"/>
    <n v="106097.65999999999"/>
    <m/>
    <n v="101777.389"/>
    <n v="-64777.388999999996"/>
    <n v="4320.2709999999934"/>
    <n v="1162"/>
    <n v="4320.2709999999934"/>
    <n v="1"/>
    <m/>
    <s v="P.3.715"/>
    <n v="103396.76"/>
    <n v="16184.389000000001"/>
    <n v="101000"/>
    <n v="412"/>
    <m/>
    <n v="15406.779"/>
    <n v="2396.7600000000002"/>
    <m/>
    <m/>
    <n v="365.61"/>
    <m/>
    <m/>
    <m/>
    <m/>
    <m/>
    <m/>
    <m/>
    <m/>
    <m/>
    <m/>
    <m/>
    <m/>
    <m/>
    <m/>
    <m/>
    <m/>
    <s v="საბოლოო"/>
    <n v="0"/>
    <n v="0"/>
    <n v="0"/>
    <n v="0"/>
    <n v="0"/>
    <n v="0"/>
    <n v="0"/>
    <n v="0"/>
    <n v="0"/>
    <n v="8991.327118644067"/>
    <n v="85593"/>
    <n v="1864.29"/>
    <m/>
    <m/>
    <s v="Реаб."/>
    <d v="2025-03-12T00:00:00"/>
    <s v="Принят"/>
    <s v="Сакорггаз"/>
    <d v="2023-01-05T00:00:00"/>
    <s v="BCG-230105-1/0(48)"/>
    <m/>
    <m/>
    <m/>
  </r>
  <r>
    <n v="1806"/>
    <s v="Шида Картли"/>
    <s v="Гори"/>
    <s v="(49) ქ. გორში მდინარე მეჯუდის პირიდან ცხინვალის ქუჩამდე მდებარე გაზსადენის რეაბილიტაცია. P.3.733"/>
    <x v="12"/>
    <n v="1433.25"/>
    <m/>
    <n v="1433.25"/>
    <m/>
    <n v="1433.249"/>
    <n v="9.9999999997635314E-4"/>
    <n v="9.9999999997635314E-4"/>
    <m/>
    <n v="9.9999999997635314E-4"/>
    <n v="0"/>
    <m/>
    <s v="P.3.733"/>
    <n v="0"/>
    <n v="0"/>
    <m/>
    <m/>
    <m/>
    <m/>
    <m/>
    <m/>
    <m/>
    <m/>
    <m/>
    <m/>
    <m/>
    <m/>
    <m/>
    <m/>
    <m/>
    <m/>
    <m/>
    <m/>
    <m/>
    <m/>
    <m/>
    <m/>
    <m/>
    <m/>
    <m/>
    <n v="0"/>
    <n v="0"/>
    <n v="0"/>
    <m/>
    <m/>
    <m/>
    <m/>
    <m/>
    <m/>
    <m/>
    <m/>
    <m/>
    <m/>
    <m/>
    <s v="Проектирование"/>
    <d v="2023-08-31T00:00:00"/>
    <s v="ПриПро"/>
    <s v="Сакорггаз"/>
    <d v="2023-01-05T00:00:00"/>
    <s v="BCG-230105-1/0(49)"/>
    <m/>
    <m/>
    <s v="No"/>
  </r>
  <r>
    <n v="1807"/>
    <s v="Шида Картли"/>
    <s v="Гори"/>
    <s v="(50) ქ. გორიში მდინარე მეჯუდის პირიდან ცხინვალის ქუჩამდე მდებარე გაზსადენის რეაბილიტაცია. P.3.733"/>
    <x v="5"/>
    <n v="27000"/>
    <n v="2"/>
    <n v="121613.03"/>
    <n v="121613.03"/>
    <n v="121613.03"/>
    <n v="-94613.03"/>
    <n v="0"/>
    <n v="799"/>
    <n v="0"/>
    <n v="0"/>
    <m/>
    <s v="P.3.733"/>
    <n v="0"/>
    <n v="0"/>
    <m/>
    <m/>
    <m/>
    <m/>
    <m/>
    <m/>
    <m/>
    <m/>
    <m/>
    <m/>
    <m/>
    <m/>
    <m/>
    <m/>
    <m/>
    <m/>
    <m/>
    <m/>
    <m/>
    <m/>
    <m/>
    <m/>
    <m/>
    <m/>
    <m/>
    <n v="0"/>
    <n v="0"/>
    <n v="0"/>
    <m/>
    <m/>
    <m/>
    <n v="84745.76"/>
    <n v="9167.6299999999992"/>
    <n v="6779.6610169491541"/>
    <n v="2609.7649661016931"/>
    <m/>
    <m/>
    <m/>
    <m/>
    <s v="Реаб."/>
    <d v="2024-07-31T00:00:00"/>
    <s v="Принят"/>
    <s v="Сакорггаз"/>
    <d v="2023-01-05T00:00:00"/>
    <s v="BCG-230105-1/0(50)"/>
    <m/>
    <m/>
    <s v="Yes"/>
  </r>
  <r>
    <n v="1808"/>
    <s v="Шида Картли"/>
    <s v="Гори"/>
    <s v="(51) ქ. გორში ირაკლი აბრამიშვილის ქუჩაზე მდებარე გაზსადენის რეაბილიტაცია P.3.204"/>
    <x v="12"/>
    <n v="1979.25"/>
    <m/>
    <n v="1979.25"/>
    <m/>
    <n v="1979.2489999999998"/>
    <n v="1.0000000002037268E-3"/>
    <n v="1.0000000002037268E-3"/>
    <m/>
    <n v="1.0000000002037268E-3"/>
    <n v="0"/>
    <m/>
    <s v="P.3.204"/>
    <n v="0"/>
    <n v="0"/>
    <m/>
    <m/>
    <m/>
    <m/>
    <m/>
    <m/>
    <m/>
    <m/>
    <m/>
    <m/>
    <m/>
    <m/>
    <m/>
    <m/>
    <m/>
    <m/>
    <m/>
    <m/>
    <m/>
    <m/>
    <m/>
    <m/>
    <m/>
    <m/>
    <m/>
    <n v="0"/>
    <n v="0"/>
    <n v="0"/>
    <m/>
    <m/>
    <m/>
    <m/>
    <m/>
    <m/>
    <m/>
    <m/>
    <m/>
    <m/>
    <m/>
    <s v="Проектирование"/>
    <d v="2023-08-31T00:00:00"/>
    <s v="ПриПро"/>
    <s v="Сакорггаз"/>
    <d v="2023-01-05T00:00:00"/>
    <s v="BCG-230105-1/0(51)"/>
    <m/>
    <m/>
    <s v="No"/>
  </r>
  <r>
    <n v="1809"/>
    <s v="Шида Картли"/>
    <s v="Гори"/>
    <s v="(52) ქ. გორში ირაკლი აბრამიშვილის ქუჩაზე მდებარე რეაბილიტაცია P.3.204"/>
    <x v="5"/>
    <n v="67000"/>
    <m/>
    <n v="151560.93"/>
    <m/>
    <n v="151560.93"/>
    <n v="-84560.93"/>
    <n v="0"/>
    <n v="867"/>
    <n v="0"/>
    <n v="0"/>
    <m/>
    <s v="P.3.204"/>
    <n v="0"/>
    <n v="0"/>
    <m/>
    <m/>
    <m/>
    <m/>
    <m/>
    <m/>
    <m/>
    <m/>
    <m/>
    <m/>
    <m/>
    <m/>
    <m/>
    <m/>
    <m/>
    <m/>
    <m/>
    <m/>
    <m/>
    <m/>
    <m/>
    <m/>
    <m/>
    <m/>
    <m/>
    <n v="0"/>
    <n v="0"/>
    <n v="0"/>
    <n v="84745.76"/>
    <n v="6547.48"/>
    <n v="12189.398610169492"/>
    <m/>
    <m/>
    <m/>
    <m/>
    <m/>
    <m/>
    <m/>
    <m/>
    <s v="Реаб."/>
    <d v="2023-12-29T00:00:00"/>
    <s v="Принят"/>
    <s v="Сакорггаз"/>
    <d v="2023-01-05T00:00:00"/>
    <s v="BCG-230105-1/0(52)"/>
    <m/>
    <m/>
    <s v="Yes"/>
  </r>
  <r>
    <n v="1810"/>
    <s v="Шида Картли"/>
    <s v="Гори"/>
    <s v="(53) ქ. გორში სადგურის დასახლებიდან ატენის მიმართულებით მიმავალ გაზსადენზე განშტოებების რეაბილიტაცია. P.3.731"/>
    <x v="12"/>
    <n v="605.5"/>
    <n v="2"/>
    <n v="605.5"/>
    <m/>
    <n v="605.5"/>
    <n v="0"/>
    <n v="0"/>
    <m/>
    <n v="0"/>
    <n v="0"/>
    <m/>
    <s v="P.3.731"/>
    <n v="0"/>
    <n v="0"/>
    <m/>
    <m/>
    <m/>
    <m/>
    <m/>
    <m/>
    <m/>
    <m/>
    <m/>
    <m/>
    <m/>
    <m/>
    <m/>
    <m/>
    <m/>
    <m/>
    <m/>
    <m/>
    <m/>
    <m/>
    <m/>
    <m/>
    <m/>
    <m/>
    <m/>
    <n v="0"/>
    <n v="0"/>
    <n v="0"/>
    <m/>
    <m/>
    <m/>
    <m/>
    <m/>
    <m/>
    <m/>
    <m/>
    <m/>
    <m/>
    <m/>
    <s v="Проектирование"/>
    <d v="2024-03-01T00:00:00"/>
    <s v="ПриПро"/>
    <s v="Сакорггаз"/>
    <d v="2023-01-05T00:00:00"/>
    <s v="BCG-230105-1/0(53)"/>
    <m/>
    <m/>
    <s v="No"/>
  </r>
  <r>
    <n v="1811"/>
    <s v="Шида Картли"/>
    <s v="Гори"/>
    <s v="(54) ქ. გორში სადგურის დასახლებიდან ატენის მიმართულებით მიმავალ გაზსადენზე განშტოებების რეაბილიტაცია. P.3.731"/>
    <x v="5"/>
    <n v="32000"/>
    <n v="2"/>
    <m/>
    <m/>
    <m/>
    <n v="32000"/>
    <n v="0"/>
    <m/>
    <n v="32000"/>
    <n v="1"/>
    <m/>
    <s v="P.3.731"/>
    <n v="0"/>
    <n v="0"/>
    <m/>
    <m/>
    <m/>
    <m/>
    <m/>
    <m/>
    <m/>
    <m/>
    <m/>
    <m/>
    <m/>
    <m/>
    <m/>
    <m/>
    <m/>
    <m/>
    <m/>
    <m/>
    <m/>
    <m/>
    <m/>
    <m/>
    <m/>
    <m/>
    <m/>
    <n v="0"/>
    <n v="0"/>
    <n v="0"/>
    <m/>
    <m/>
    <m/>
    <m/>
    <m/>
    <m/>
    <m/>
    <m/>
    <m/>
    <m/>
    <m/>
    <s v="Реаб."/>
    <m/>
    <n v="0"/>
    <s v="Сакорггаз"/>
    <d v="2023-01-05T00:00:00"/>
    <s v="BCG-230105-1/0(54)"/>
    <m/>
    <m/>
    <m/>
  </r>
  <r>
    <n v="1812"/>
    <s v="Шида Картли"/>
    <s v="Гори"/>
    <s v="(55) ქ. გორში ცხინვალის გზატკეცილზე გამავალი გაზსადენის რეაბილიტაცია. P.3.730"/>
    <x v="12"/>
    <n v="1989.75"/>
    <m/>
    <n v="1989.75"/>
    <m/>
    <n v="1989.749"/>
    <n v="9.9999999997635314E-4"/>
    <n v="9.9999999997635314E-4"/>
    <m/>
    <n v="9.9999999997635314E-4"/>
    <n v="0"/>
    <m/>
    <s v="P.3.730"/>
    <n v="0"/>
    <n v="0"/>
    <m/>
    <m/>
    <m/>
    <m/>
    <m/>
    <m/>
    <m/>
    <m/>
    <m/>
    <m/>
    <m/>
    <m/>
    <m/>
    <m/>
    <m/>
    <m/>
    <m/>
    <m/>
    <m/>
    <m/>
    <m/>
    <m/>
    <m/>
    <m/>
    <m/>
    <n v="0"/>
    <n v="0"/>
    <n v="0"/>
    <m/>
    <m/>
    <m/>
    <m/>
    <m/>
    <m/>
    <m/>
    <m/>
    <m/>
    <m/>
    <m/>
    <s v="Проектирование"/>
    <d v="2023-08-31T00:00:00"/>
    <s v="ПриПро"/>
    <s v="Сакорггаз"/>
    <d v="2023-01-05T00:00:00"/>
    <s v="BCG-230105-1/0(55)"/>
    <m/>
    <m/>
    <s v="No"/>
  </r>
  <r>
    <n v="1813"/>
    <s v="Шида Картли"/>
    <s v="Гори"/>
    <s v="(56) ქ. გორში ცხინვალის გზატკეცილზე გამავალი გაზსადენის რეაბილიტაცია. P.3.730"/>
    <x v="5"/>
    <n v="82000"/>
    <n v="2"/>
    <n v="165481.66"/>
    <n v="165481.66"/>
    <n v="165481.66"/>
    <n v="-83481.66"/>
    <n v="0"/>
    <n v="1229"/>
    <n v="0"/>
    <n v="0"/>
    <m/>
    <s v="P.3.730"/>
    <n v="0"/>
    <n v="0"/>
    <m/>
    <m/>
    <m/>
    <m/>
    <m/>
    <m/>
    <m/>
    <m/>
    <m/>
    <m/>
    <m/>
    <m/>
    <m/>
    <m/>
    <m/>
    <m/>
    <m/>
    <m/>
    <m/>
    <m/>
    <m/>
    <m/>
    <m/>
    <m/>
    <m/>
    <n v="0"/>
    <n v="0"/>
    <n v="0"/>
    <m/>
    <m/>
    <m/>
    <n v="135593.22"/>
    <n v="861.85"/>
    <n v="10847.457627118645"/>
    <n v="3090.2268644067808"/>
    <m/>
    <m/>
    <m/>
    <m/>
    <s v="Реаб."/>
    <d v="2024-07-31T00:00:00"/>
    <s v="Принят"/>
    <s v="Сакорггаз"/>
    <d v="2023-01-05T00:00:00"/>
    <s v="BCG-230105-1/0(56)"/>
    <m/>
    <m/>
    <s v="Yes"/>
  </r>
  <r>
    <n v="1814"/>
    <s v="Шида Картли"/>
    <s v="Гори"/>
    <s v="(57) ქ. გორში, სააკაძის ქუჩაზე მდებარე რეაბილიტაცია. P.3.206"/>
    <x v="12"/>
    <n v="1370.25"/>
    <m/>
    <n v="1370.25"/>
    <m/>
    <n v="1370.25"/>
    <n v="0"/>
    <n v="0"/>
    <m/>
    <n v="0"/>
    <n v="0"/>
    <m/>
    <s v="P.3.206"/>
    <n v="0"/>
    <n v="0"/>
    <m/>
    <m/>
    <m/>
    <m/>
    <m/>
    <m/>
    <m/>
    <m/>
    <m/>
    <m/>
    <m/>
    <m/>
    <m/>
    <m/>
    <m/>
    <m/>
    <m/>
    <m/>
    <m/>
    <m/>
    <m/>
    <m/>
    <m/>
    <m/>
    <m/>
    <n v="0"/>
    <n v="0"/>
    <n v="0"/>
    <m/>
    <m/>
    <m/>
    <m/>
    <m/>
    <m/>
    <m/>
    <m/>
    <m/>
    <m/>
    <m/>
    <s v="Проектирование"/>
    <d v="2023-10-23T00:00:00"/>
    <s v="ПриПро"/>
    <s v="Сакорггаз"/>
    <d v="2023-01-05T00:00:00"/>
    <s v="BCG-230105-1/0(57)"/>
    <m/>
    <m/>
    <s v="No"/>
  </r>
  <r>
    <n v="1815"/>
    <s v="Шида Картли"/>
    <s v="Гори"/>
    <s v="(58) ქ. გორში, სააკაძის ქუჩაზე მდებარე რეაბილიტაცია. P.3.206"/>
    <x v="5"/>
    <n v="35000"/>
    <n v="2"/>
    <n v="82774.33"/>
    <m/>
    <n v="69406.59"/>
    <n v="-34406.589999999997"/>
    <n v="13367.740000000005"/>
    <n v="500"/>
    <n v="13367.740000000005"/>
    <n v="1"/>
    <m/>
    <s v="P.3.206"/>
    <n v="82774.33"/>
    <n v="12626.59"/>
    <m/>
    <m/>
    <m/>
    <m/>
    <n v="67000"/>
    <m/>
    <n v="15774.33"/>
    <n v="10220.34"/>
    <m/>
    <n v="2406.25"/>
    <m/>
    <m/>
    <m/>
    <m/>
    <m/>
    <m/>
    <m/>
    <m/>
    <m/>
    <m/>
    <m/>
    <m/>
    <m/>
    <m/>
    <m/>
    <n v="0"/>
    <n v="0"/>
    <n v="0"/>
    <m/>
    <m/>
    <m/>
    <m/>
    <m/>
    <m/>
    <m/>
    <n v="56780"/>
    <n v="8559.73"/>
    <m/>
    <m/>
    <s v="Реаб."/>
    <d v="2025-04-30T00:00:00"/>
    <s v="Принят"/>
    <s v="Сакорггаз"/>
    <d v="2023-01-05T00:00:00"/>
    <s v="BCG-230105-1/0(58)"/>
    <m/>
    <m/>
    <s v="Yes"/>
  </r>
  <r>
    <n v="1816"/>
    <s v="Шида Картли"/>
    <s v="Каспи"/>
    <s v="(59) ქ. კასპი, შატბერაშვილის ქუჩაზე მდებარე გაზსადენის რეაბილიტაცია. P.3.830"/>
    <x v="12"/>
    <n v="217"/>
    <m/>
    <n v="217"/>
    <m/>
    <n v="217"/>
    <n v="0"/>
    <n v="0"/>
    <m/>
    <n v="0"/>
    <n v="0"/>
    <m/>
    <s v="P.3.830"/>
    <n v="0"/>
    <n v="0"/>
    <m/>
    <m/>
    <m/>
    <m/>
    <m/>
    <m/>
    <m/>
    <m/>
    <m/>
    <m/>
    <m/>
    <m/>
    <m/>
    <m/>
    <m/>
    <m/>
    <m/>
    <m/>
    <m/>
    <m/>
    <m/>
    <m/>
    <m/>
    <m/>
    <m/>
    <n v="0"/>
    <n v="0"/>
    <n v="0"/>
    <m/>
    <m/>
    <m/>
    <m/>
    <m/>
    <m/>
    <m/>
    <m/>
    <m/>
    <m/>
    <m/>
    <s v="Проектирование"/>
    <d v="2023-12-04T00:00:00"/>
    <s v="ПриПро"/>
    <s v="Сакорггаз"/>
    <d v="2023-01-05T00:00:00"/>
    <s v="BCG-230105-1/0(59)"/>
    <m/>
    <m/>
    <s v="No"/>
  </r>
  <r>
    <n v="1817"/>
    <s v="Шида Картли"/>
    <s v="Каспи"/>
    <s v="(60) ქ. კასპი, შატბერაშვილის ქუჩაზე მდებარე გაზსადენის რეაბილიტაცია. P.3.830"/>
    <x v="5"/>
    <n v="20000"/>
    <n v="2"/>
    <n v="13470.48"/>
    <n v="13470.48"/>
    <n v="13470.48"/>
    <n v="6529.52"/>
    <n v="0"/>
    <n v="298"/>
    <n v="0"/>
    <n v="0"/>
    <m/>
    <s v="P.3.830"/>
    <n v="0"/>
    <n v="0"/>
    <m/>
    <m/>
    <m/>
    <m/>
    <m/>
    <m/>
    <m/>
    <m/>
    <m/>
    <m/>
    <m/>
    <m/>
    <m/>
    <m/>
    <m/>
    <m/>
    <m/>
    <m/>
    <m/>
    <m/>
    <m/>
    <m/>
    <m/>
    <m/>
    <m/>
    <n v="0"/>
    <n v="0"/>
    <n v="0"/>
    <m/>
    <m/>
    <m/>
    <m/>
    <m/>
    <n v="0"/>
    <n v="1141.5661016949152"/>
    <m/>
    <m/>
    <m/>
    <m/>
    <s v="Реаб."/>
    <d v="2024-07-31T00:00:00"/>
    <s v="Принят"/>
    <s v="Сакорггаз"/>
    <d v="2023-01-05T00:00:00"/>
    <s v="BCG-230105-1/0(60)"/>
    <m/>
    <m/>
    <s v="Yes"/>
  </r>
  <r>
    <n v="1818"/>
    <s v="Шида Картли"/>
    <s v="Каспи"/>
    <s v="(61) ქ. კასპი ჭავჭავაძის ქუჩაზე მდებარე გაზსადენის რეაბილიტაცია. P.3.831"/>
    <x v="12"/>
    <n v="2614.5"/>
    <m/>
    <n v="2614.5"/>
    <m/>
    <n v="2614.5"/>
    <n v="0"/>
    <n v="0"/>
    <m/>
    <n v="0"/>
    <n v="0"/>
    <m/>
    <s v="P.3.831"/>
    <n v="0"/>
    <n v="0"/>
    <m/>
    <m/>
    <m/>
    <m/>
    <m/>
    <m/>
    <m/>
    <m/>
    <m/>
    <m/>
    <m/>
    <m/>
    <m/>
    <m/>
    <m/>
    <m/>
    <m/>
    <m/>
    <m/>
    <m/>
    <m/>
    <m/>
    <m/>
    <m/>
    <m/>
    <n v="0"/>
    <n v="0"/>
    <n v="0"/>
    <m/>
    <m/>
    <m/>
    <m/>
    <m/>
    <m/>
    <m/>
    <m/>
    <m/>
    <m/>
    <m/>
    <s v="Проектирование"/>
    <d v="2023-12-12T00:00:00"/>
    <s v="ПриПро"/>
    <s v="Сакорггаз"/>
    <d v="2023-01-05T00:00:00"/>
    <s v="BCG-230105-1/0(61)"/>
    <m/>
    <m/>
    <s v="No"/>
  </r>
  <r>
    <n v="1819"/>
    <s v="Шида Картли"/>
    <s v="Каспи"/>
    <s v="(62) ქ. კასპი ჭავჭავაძის ქუჩაზე მდებარე გაზსადენის რეაბილიტაცია. P.3.831"/>
    <x v="5"/>
    <n v="140000"/>
    <n v="2"/>
    <n v="124095.28"/>
    <n v="124095.28"/>
    <n v="124095.28"/>
    <n v="15904.720000000001"/>
    <n v="0"/>
    <n v="1680.5"/>
    <n v="0"/>
    <n v="0"/>
    <m/>
    <s v="P.3.831"/>
    <n v="0"/>
    <n v="0"/>
    <m/>
    <m/>
    <m/>
    <m/>
    <m/>
    <m/>
    <m/>
    <m/>
    <m/>
    <m/>
    <m/>
    <m/>
    <m/>
    <m/>
    <m/>
    <m/>
    <m/>
    <m/>
    <m/>
    <m/>
    <m/>
    <m/>
    <m/>
    <m/>
    <m/>
    <n v="0"/>
    <n v="0"/>
    <n v="0"/>
    <m/>
    <m/>
    <m/>
    <n v="84745.76"/>
    <n v="9167.6299999999992"/>
    <n v="6779.6610169491541"/>
    <n v="2820.1251355932181"/>
    <m/>
    <m/>
    <m/>
    <m/>
    <s v="Реаб."/>
    <d v="2024-11-25T00:00:00"/>
    <s v="Принят"/>
    <s v="Сакорггаз"/>
    <d v="2023-01-05T00:00:00"/>
    <s v="BCG-230105-1/0(62)"/>
    <m/>
    <s v="ივლისი-აგვისტო"/>
    <s v="Yes"/>
  </r>
  <r>
    <n v="1820"/>
    <s v="Шида Картли"/>
    <s v="Каспи"/>
    <s v="(63) ქ. კასპში სოფ. ოკამში საყრდენების მოწყობა P.3.52"/>
    <x v="12"/>
    <n v="0"/>
    <s v="არ ჭირდება დაპროექტება"/>
    <m/>
    <m/>
    <m/>
    <n v="0"/>
    <n v="0"/>
    <m/>
    <n v="0"/>
    <n v="2"/>
    <m/>
    <s v="P.3.52"/>
    <n v="0"/>
    <n v="0"/>
    <m/>
    <m/>
    <m/>
    <m/>
    <m/>
    <m/>
    <m/>
    <m/>
    <m/>
    <m/>
    <m/>
    <m/>
    <m/>
    <m/>
    <m/>
    <m/>
    <m/>
    <m/>
    <m/>
    <m/>
    <m/>
    <m/>
    <m/>
    <m/>
    <m/>
    <n v="0"/>
    <n v="0"/>
    <n v="0"/>
    <m/>
    <m/>
    <m/>
    <m/>
    <m/>
    <m/>
    <m/>
    <m/>
    <m/>
    <m/>
    <m/>
    <s v="Проектирование"/>
    <m/>
    <n v="0"/>
    <s v="Сакорггаз"/>
    <d v="2023-01-05T00:00:00"/>
    <s v="BCG-230105-1/0(63)"/>
    <m/>
    <m/>
    <m/>
  </r>
  <r>
    <n v="1821"/>
    <s v="Шида Картли"/>
    <s v="Каспи"/>
    <s v="(64) ქ. კასპში სოფ. ოკამში საყრდენების მოწყობა P.3.52"/>
    <x v="5"/>
    <n v="5000"/>
    <n v="2"/>
    <n v="1922.26"/>
    <n v="1922.26"/>
    <n v="1922.26"/>
    <n v="3077.74"/>
    <n v="0"/>
    <n v="1E-3"/>
    <n v="0"/>
    <n v="0"/>
    <m/>
    <s v="P.3.52"/>
    <n v="0"/>
    <n v="0"/>
    <m/>
    <m/>
    <m/>
    <m/>
    <m/>
    <m/>
    <m/>
    <m/>
    <m/>
    <m/>
    <m/>
    <m/>
    <m/>
    <m/>
    <m/>
    <m/>
    <m/>
    <m/>
    <m/>
    <m/>
    <m/>
    <m/>
    <m/>
    <m/>
    <m/>
    <n v="0"/>
    <n v="0"/>
    <n v="0"/>
    <m/>
    <m/>
    <m/>
    <m/>
    <m/>
    <n v="162.9033898305085"/>
    <n v="0"/>
    <m/>
    <m/>
    <m/>
    <m/>
    <s v="Реаб."/>
    <d v="2024-02-29T00:00:00"/>
    <s v="Принят"/>
    <s v="Сакорггаз"/>
    <d v="2023-01-05T00:00:00"/>
    <s v="BCG-230105-1/0(64)"/>
    <m/>
    <s v="დასრულდა"/>
    <s v="Yes"/>
  </r>
  <r>
    <n v="1822"/>
    <s v="Шида Картли"/>
    <s v="Гори"/>
    <s v="(65) ძველი ხიდან უფლისციხის ქუჩამდე გაზსადენის რეაბილიტაცია. P.3.729"/>
    <x v="12"/>
    <n v="574.875"/>
    <m/>
    <n v="574.875"/>
    <m/>
    <n v="574.875"/>
    <n v="0"/>
    <n v="0"/>
    <m/>
    <n v="0"/>
    <n v="0"/>
    <m/>
    <s v="P.3.729"/>
    <n v="0"/>
    <n v="0"/>
    <m/>
    <m/>
    <m/>
    <m/>
    <m/>
    <m/>
    <m/>
    <m/>
    <m/>
    <m/>
    <m/>
    <m/>
    <m/>
    <m/>
    <m/>
    <m/>
    <m/>
    <m/>
    <m/>
    <m/>
    <m/>
    <m/>
    <m/>
    <m/>
    <m/>
    <n v="0"/>
    <n v="0"/>
    <n v="0"/>
    <m/>
    <m/>
    <m/>
    <m/>
    <m/>
    <m/>
    <m/>
    <m/>
    <m/>
    <m/>
    <m/>
    <s v="Проектирование"/>
    <d v="2023-12-04T00:00:00"/>
    <s v="ПриПро"/>
    <s v="Сакорггаз"/>
    <d v="2023-01-05T00:00:00"/>
    <s v="BCG-230105-1/0(65)"/>
    <m/>
    <m/>
    <s v="No"/>
  </r>
  <r>
    <n v="1823"/>
    <s v="Шида Картли"/>
    <s v="Гори"/>
    <s v="(66) ძველი ხიდან უფლისციხის ქუჩამდე გაზსადენის რეაბილიტაცია. P.3.729"/>
    <x v="5"/>
    <n v="55000"/>
    <n v="2"/>
    <n v="140000"/>
    <m/>
    <n v="21355.93"/>
    <n v="33644.07"/>
    <n v="118644.07"/>
    <m/>
    <n v="33644.07"/>
    <n v="1"/>
    <m/>
    <s v="P.3.729"/>
    <n v="140000"/>
    <n v="21355.93"/>
    <m/>
    <m/>
    <n v="100000"/>
    <m/>
    <n v="40000"/>
    <n v="15254.24"/>
    <m/>
    <n v="6101.69"/>
    <m/>
    <m/>
    <m/>
    <m/>
    <m/>
    <m/>
    <m/>
    <m/>
    <m/>
    <m/>
    <m/>
    <m/>
    <m/>
    <m/>
    <m/>
    <m/>
    <m/>
    <n v="0"/>
    <n v="0"/>
    <n v="0"/>
    <m/>
    <m/>
    <m/>
    <m/>
    <m/>
    <m/>
    <m/>
    <m/>
    <m/>
    <m/>
    <m/>
    <s v="Реаб."/>
    <m/>
    <n v="80"/>
    <s v="Сакорггаз"/>
    <d v="2023-01-05T00:00:00"/>
    <s v="BCG-230105-1/0(66)"/>
    <m/>
    <m/>
    <m/>
  </r>
  <r>
    <n v="1824"/>
    <s v="Шида Картли"/>
    <s v="Каспи"/>
    <s v="(67) ხოკრიშვილის ქუჩა 2 სკოლის მიმდებარედ ძველი გაზსადენის რეაბილიტაცია. P.3.847"/>
    <x v="12"/>
    <n v="320.25"/>
    <m/>
    <n v="320.25"/>
    <m/>
    <n v="320.25"/>
    <n v="0"/>
    <n v="0"/>
    <m/>
    <n v="0"/>
    <n v="0"/>
    <m/>
    <s v="P.3.847"/>
    <n v="0"/>
    <n v="0"/>
    <m/>
    <m/>
    <m/>
    <m/>
    <m/>
    <m/>
    <m/>
    <m/>
    <m/>
    <m/>
    <m/>
    <m/>
    <m/>
    <m/>
    <m/>
    <m/>
    <m/>
    <m/>
    <m/>
    <m/>
    <m/>
    <m/>
    <m/>
    <m/>
    <m/>
    <n v="0"/>
    <n v="0"/>
    <n v="0"/>
    <n v="0"/>
    <n v="0"/>
    <n v="0"/>
    <m/>
    <m/>
    <m/>
    <m/>
    <m/>
    <m/>
    <m/>
    <m/>
    <s v="Проектирование"/>
    <d v="2023-12-12T00:00:00"/>
    <s v="ПриПро"/>
    <s v="Сакорггаз"/>
    <d v="2023-01-05T00:00:00"/>
    <s v="BCG-230105-1/0(67)"/>
    <m/>
    <m/>
    <s v="No"/>
  </r>
  <r>
    <n v="1825"/>
    <s v="Шида Картли"/>
    <s v="Каспи"/>
    <s v="(68) ხოკრიშვილის ქუჩა 2 სკოლის მიმდებარედ ძველი გაზსადენის რეაბილიტაცია. P.3.847"/>
    <x v="5"/>
    <n v="10000"/>
    <m/>
    <n v="6098.52"/>
    <m/>
    <n v="6098.52"/>
    <n v="3901.4799999999996"/>
    <n v="0"/>
    <n v="149"/>
    <n v="0"/>
    <n v="0"/>
    <m/>
    <s v="P.3.847"/>
    <n v="0"/>
    <n v="0"/>
    <m/>
    <m/>
    <m/>
    <m/>
    <m/>
    <m/>
    <m/>
    <m/>
    <m/>
    <m/>
    <m/>
    <m/>
    <m/>
    <m/>
    <m/>
    <m/>
    <m/>
    <m/>
    <m/>
    <m/>
    <m/>
    <m/>
    <m/>
    <m/>
    <m/>
    <n v="0"/>
    <n v="0"/>
    <n v="0"/>
    <n v="0"/>
    <n v="0"/>
    <n v="516.82372881355946"/>
    <m/>
    <m/>
    <m/>
    <m/>
    <m/>
    <m/>
    <m/>
    <m/>
    <s v="Реаб."/>
    <d v="2023-12-29T00:00:00"/>
    <s v="Принят"/>
    <s v="Сакорггаз"/>
    <d v="2023-01-05T00:00:00"/>
    <s v="BCG-230105-1/0(68)"/>
    <m/>
    <m/>
    <s v="Yes"/>
  </r>
  <r>
    <n v="1826"/>
    <s v="Шида Картли"/>
    <s v="Гори"/>
    <s v="(69) სუხიშვილია და მეჯვრისხევის ქუჩებზე გაზსადენის რეაბილიტაცია. P.3.196"/>
    <x v="12"/>
    <n v="0"/>
    <n v="2"/>
    <m/>
    <m/>
    <m/>
    <n v="0"/>
    <n v="0"/>
    <m/>
    <n v="0"/>
    <n v="2"/>
    <m/>
    <s v="P.3.196"/>
    <n v="0"/>
    <n v="0"/>
    <m/>
    <m/>
    <m/>
    <m/>
    <m/>
    <m/>
    <m/>
    <m/>
    <m/>
    <m/>
    <m/>
    <m/>
    <m/>
    <m/>
    <m/>
    <m/>
    <m/>
    <m/>
    <m/>
    <m/>
    <m/>
    <m/>
    <m/>
    <m/>
    <m/>
    <n v="0"/>
    <n v="0"/>
    <n v="0"/>
    <m/>
    <m/>
    <m/>
    <m/>
    <m/>
    <m/>
    <m/>
    <m/>
    <m/>
    <m/>
    <m/>
    <s v="Проектирование"/>
    <m/>
    <n v="0"/>
    <s v="Сакорггаз"/>
    <d v="2023-01-05T00:00:00"/>
    <s v="BCG-230105-1/0(69)"/>
    <m/>
    <m/>
    <m/>
  </r>
  <r>
    <n v="1827"/>
    <s v="Кахети"/>
    <s v="Ахмета"/>
    <s v="(1) #2 ქ. ახმეტის მუნიციპალიტეტის სოფ. მატნის პირველი საშუალო სკოლის უბანი მიწისქვეშა გადასვლების რეაბილიტაცია. (მიწისზედა დაბალი დ89 გაზსადენის მიწისქვეშა გადასვლების ამოტანა) P.2.520"/>
    <x v="10"/>
    <n v="789.25"/>
    <m/>
    <n v="789.25"/>
    <m/>
    <n v="789.25"/>
    <n v="0"/>
    <n v="0"/>
    <m/>
    <n v="0"/>
    <n v="0"/>
    <m/>
    <s v="P.2.520"/>
    <n v="0"/>
    <n v="0"/>
    <m/>
    <m/>
    <m/>
    <m/>
    <m/>
    <m/>
    <m/>
    <m/>
    <m/>
    <m/>
    <m/>
    <m/>
    <m/>
    <m/>
    <m/>
    <m/>
    <m/>
    <m/>
    <m/>
    <m/>
    <m/>
    <m/>
    <m/>
    <m/>
    <m/>
    <n v="0"/>
    <n v="0"/>
    <n v="0"/>
    <m/>
    <m/>
    <m/>
    <m/>
    <m/>
    <m/>
    <m/>
    <m/>
    <m/>
    <m/>
    <m/>
    <s v="Проектирование"/>
    <d v="2023-08-08T00:00:00"/>
    <s v="ПриПро"/>
    <s v="SGG"/>
    <d v="2023-01-09T00:00:00"/>
    <s v="BSG-230109-1/0(1)"/>
    <m/>
    <m/>
    <s v="No"/>
  </r>
  <r>
    <n v="1828"/>
    <s v="Кахети"/>
    <s v="Ахмета"/>
    <s v="(2) #2 ქ. ახმეტის მუნიციპალიტეტის სოფ. მატნის პირველი საშუალო სკოლის უბანი მიწისქვეშა გადასვლების რეაბილიტაცია. (მიწისზედა დაბალი დ89 გაზსადენის მიწისქვეშა გადასვლების ამოტანა) P.2.520"/>
    <x v="7"/>
    <n v="40000"/>
    <m/>
    <n v="66107"/>
    <n v="66107"/>
    <n v="66107"/>
    <n v="-26107"/>
    <n v="0"/>
    <n v="543"/>
    <n v="0"/>
    <n v="0"/>
    <m/>
    <s v="P.2.520"/>
    <n v="0"/>
    <n v="0"/>
    <m/>
    <m/>
    <m/>
    <m/>
    <m/>
    <m/>
    <m/>
    <m/>
    <m/>
    <m/>
    <m/>
    <m/>
    <m/>
    <m/>
    <m/>
    <m/>
    <m/>
    <m/>
    <m/>
    <m/>
    <m/>
    <m/>
    <m/>
    <m/>
    <m/>
    <n v="0"/>
    <n v="0"/>
    <n v="0"/>
    <n v="33898.31"/>
    <n v="1529.7499999999964"/>
    <n v="5449.3131355932219"/>
    <m/>
    <m/>
    <m/>
    <m/>
    <m/>
    <m/>
    <m/>
    <m/>
    <s v="Реаб."/>
    <d v="2023-12-29T00:00:00"/>
    <s v="Принят"/>
    <s v="SGG"/>
    <d v="2023-01-09T00:00:00"/>
    <s v="BSG-230109-1/0(2)"/>
    <m/>
    <m/>
    <s v="Yes"/>
  </r>
  <r>
    <n v="1829"/>
    <s v="Кахети"/>
    <s v="Ахмета"/>
    <s v="(3) #999 ქ. ახმეტა საბეროს მკვებავი მიწისქვეშა ფოლადის გაზსადენის შეცვლა. #999 ქ. ახმეტა საბეროს დასახლება მიწისქვეშა ფოლადის გაზსადენის გადასვლების რეაბილიტაცია P.2.527"/>
    <x v="10"/>
    <n v="1041.25"/>
    <m/>
    <n v="1041.25"/>
    <m/>
    <n v="1041.25"/>
    <n v="0"/>
    <n v="0"/>
    <m/>
    <n v="0"/>
    <n v="0"/>
    <m/>
    <s v="P.2.527"/>
    <n v="0"/>
    <n v="0"/>
    <m/>
    <m/>
    <m/>
    <m/>
    <m/>
    <m/>
    <m/>
    <m/>
    <m/>
    <m/>
    <m/>
    <m/>
    <m/>
    <m/>
    <m/>
    <m/>
    <m/>
    <m/>
    <m/>
    <m/>
    <m/>
    <m/>
    <m/>
    <m/>
    <m/>
    <n v="0"/>
    <n v="0"/>
    <n v="0"/>
    <m/>
    <m/>
    <m/>
    <m/>
    <m/>
    <m/>
    <m/>
    <m/>
    <m/>
    <m/>
    <m/>
    <s v="Проектирование"/>
    <d v="2023-08-08T00:00:00"/>
    <s v="ПриПро"/>
    <s v="SGG"/>
    <d v="2023-01-09T00:00:00"/>
    <s v="BSG-230109-1/0(3)"/>
    <m/>
    <m/>
    <s v="No"/>
  </r>
  <r>
    <n v="1830"/>
    <s v="Кахети"/>
    <s v="Ахмета"/>
    <s v="(4) #999 ქ. ახმეტა საბეროს მკვებავი მიწისქვეშა ფოლადის გაზსადენის შეცვლა. #999 ქ. ახმეტა საბეროს დასახლება მიწისქვეშა ფოლადის გაზსადენის გადასვლების რეაბილიტაცია P.2.527"/>
    <x v="7"/>
    <n v="30000"/>
    <m/>
    <n v="65413"/>
    <n v="65413"/>
    <n v="65413"/>
    <n v="-35413"/>
    <n v="0"/>
    <n v="610"/>
    <n v="0"/>
    <n v="0"/>
    <m/>
    <s v="P.2.527"/>
    <n v="0"/>
    <n v="0"/>
    <m/>
    <m/>
    <m/>
    <m/>
    <m/>
    <m/>
    <m/>
    <m/>
    <m/>
    <m/>
    <m/>
    <m/>
    <m/>
    <m/>
    <m/>
    <m/>
    <m/>
    <m/>
    <m/>
    <m/>
    <m/>
    <m/>
    <m/>
    <m/>
    <m/>
    <n v="0"/>
    <n v="0"/>
    <n v="0"/>
    <n v="42372.88"/>
    <n v="1912.1800000000003"/>
    <n v="5352.2565762711865"/>
    <m/>
    <m/>
    <m/>
    <m/>
    <m/>
    <m/>
    <m/>
    <m/>
    <s v="Реаб."/>
    <d v="2023-12-29T00:00:00"/>
    <s v="Принят"/>
    <s v="SGG"/>
    <d v="2023-01-09T00:00:00"/>
    <s v="BSG-230109-1/0(4)"/>
    <m/>
    <m/>
    <s v="Yes"/>
  </r>
  <r>
    <n v="1831"/>
    <s v="Кахети"/>
    <s v="Гурджаани"/>
    <s v="(5) 25-ე საუბნო კვანძზე (დეპოს უბანი) დაბალი წნევის გაზსადენის რეაბილიტაცია. P.2.868"/>
    <x v="10"/>
    <n v="1954.75"/>
    <m/>
    <n v="1954.75"/>
    <m/>
    <n v="1954.75"/>
    <n v="0"/>
    <n v="0"/>
    <m/>
    <n v="0"/>
    <n v="0"/>
    <m/>
    <s v="P.2.868"/>
    <n v="0"/>
    <n v="0"/>
    <m/>
    <m/>
    <m/>
    <m/>
    <m/>
    <m/>
    <m/>
    <m/>
    <m/>
    <m/>
    <m/>
    <m/>
    <m/>
    <m/>
    <m/>
    <m/>
    <m/>
    <m/>
    <m/>
    <m/>
    <m/>
    <m/>
    <m/>
    <m/>
    <m/>
    <n v="0"/>
    <n v="0"/>
    <n v="0"/>
    <m/>
    <m/>
    <m/>
    <m/>
    <m/>
    <m/>
    <m/>
    <m/>
    <m/>
    <m/>
    <m/>
    <s v="Проектирование"/>
    <d v="2023-10-18T00:00:00"/>
    <s v="ПриПро"/>
    <s v="SGG"/>
    <d v="2023-01-09T00:00:00"/>
    <s v="BSG-230109-1/0(5)"/>
    <m/>
    <m/>
    <s v="No"/>
  </r>
  <r>
    <n v="1832"/>
    <s v="Кахети"/>
    <s v="Гурджаани"/>
    <s v="(6) 25-ე საუბნო კვანძზე (დეპოს უბანი) დაბალი წნევის გაზსადენის რეაბილიტაცია. P.2.868"/>
    <x v="7"/>
    <n v="25000"/>
    <n v="2"/>
    <n v="69616.19"/>
    <n v="69616.19"/>
    <n v="69616.19"/>
    <n v="-44616.19"/>
    <n v="0"/>
    <n v="1160"/>
    <n v="0"/>
    <n v="0"/>
    <m/>
    <s v="P.2.868"/>
    <n v="0"/>
    <n v="0"/>
    <m/>
    <m/>
    <m/>
    <m/>
    <m/>
    <m/>
    <m/>
    <m/>
    <m/>
    <m/>
    <m/>
    <m/>
    <m/>
    <m/>
    <m/>
    <m/>
    <m/>
    <m/>
    <m/>
    <m/>
    <m/>
    <m/>
    <m/>
    <m/>
    <m/>
    <n v="0"/>
    <n v="0"/>
    <n v="0"/>
    <m/>
    <m/>
    <m/>
    <n v="52542.38"/>
    <n v="3992.54"/>
    <n v="0"/>
    <n v="5500.4231186440684"/>
    <m/>
    <m/>
    <m/>
    <m/>
    <s v="Реаб."/>
    <d v="2024-12-11T00:00:00"/>
    <s v="Принят"/>
    <s v="SGG"/>
    <d v="2023-01-09T00:00:00"/>
    <s v="BSG-230109-1/0(6)"/>
    <m/>
    <m/>
    <s v="Yes"/>
  </r>
  <r>
    <n v="1833"/>
    <s v="Квемо Картли"/>
    <s v="Марнеули"/>
    <s v="(7) 740 ცალი მრიცხველის გამოტანა საკუთარი სახლებიდან მარნეულის სერვის ცენტრში P.2.902"/>
    <x v="10"/>
    <n v="0"/>
    <n v="2"/>
    <m/>
    <m/>
    <m/>
    <n v="0"/>
    <n v="0"/>
    <m/>
    <n v="0"/>
    <n v="2"/>
    <m/>
    <s v="P.2.902"/>
    <n v="0"/>
    <n v="0"/>
    <m/>
    <m/>
    <m/>
    <m/>
    <m/>
    <m/>
    <m/>
    <m/>
    <m/>
    <m/>
    <m/>
    <m/>
    <m/>
    <m/>
    <m/>
    <m/>
    <m/>
    <m/>
    <m/>
    <m/>
    <m/>
    <m/>
    <m/>
    <m/>
    <m/>
    <n v="0"/>
    <n v="0"/>
    <n v="0"/>
    <m/>
    <m/>
    <m/>
    <m/>
    <m/>
    <m/>
    <m/>
    <m/>
    <m/>
    <m/>
    <m/>
    <s v="Проектирование"/>
    <m/>
    <n v="0"/>
    <s v="SGG"/>
    <d v="2023-01-09T00:00:00"/>
    <s v="BSG-230109-1/0(7)"/>
    <m/>
    <m/>
    <m/>
  </r>
  <r>
    <n v="1834"/>
    <s v="Квемо Картли"/>
    <s v="Марнеули"/>
    <s v="(8) 740 ცალი მრიცხველის გამოტანა საკუთარი სახლებიდან მარნეულის სერვის ცენტრში P.2.902"/>
    <x v="7"/>
    <n v="300000"/>
    <n v="2"/>
    <m/>
    <m/>
    <m/>
    <n v="300000"/>
    <n v="0"/>
    <m/>
    <n v="300000"/>
    <n v="1"/>
    <m/>
    <s v="P.2.902"/>
    <n v="0"/>
    <n v="0"/>
    <m/>
    <m/>
    <m/>
    <m/>
    <m/>
    <m/>
    <m/>
    <m/>
    <m/>
    <m/>
    <m/>
    <m/>
    <m/>
    <m/>
    <m/>
    <m/>
    <m/>
    <m/>
    <m/>
    <m/>
    <m/>
    <m/>
    <m/>
    <m/>
    <m/>
    <n v="0"/>
    <n v="0"/>
    <n v="0"/>
    <m/>
    <m/>
    <m/>
    <m/>
    <m/>
    <m/>
    <m/>
    <m/>
    <m/>
    <m/>
    <m/>
    <s v="Реаб."/>
    <m/>
    <n v="0"/>
    <s v="SGG"/>
    <d v="2023-01-09T00:00:00"/>
    <s v="BSG-230109-1/0(8)"/>
    <m/>
    <m/>
    <m/>
  </r>
  <r>
    <n v="1835"/>
    <s v="Квемо Картли"/>
    <s v="Гардабани"/>
    <s v="(9) გარდაბანი , სოფ. გამარჯვებაში არსებული . ამორტიზირებული საჰაერო გაზსადენის მოსახლეობის ეზოებიდან გარეთ გამოტანა დ76მმ-იანი. P.2.836"/>
    <x v="10"/>
    <n v="418.25"/>
    <m/>
    <n v="418.25"/>
    <m/>
    <n v="418.25"/>
    <n v="0"/>
    <n v="0"/>
    <m/>
    <n v="0"/>
    <n v="0"/>
    <m/>
    <s v="P.2.836"/>
    <n v="0"/>
    <n v="0"/>
    <m/>
    <m/>
    <m/>
    <m/>
    <m/>
    <m/>
    <m/>
    <m/>
    <m/>
    <m/>
    <m/>
    <m/>
    <m/>
    <m/>
    <m/>
    <m/>
    <m/>
    <m/>
    <m/>
    <m/>
    <m/>
    <m/>
    <m/>
    <m/>
    <m/>
    <n v="0"/>
    <n v="0"/>
    <n v="0"/>
    <m/>
    <m/>
    <m/>
    <m/>
    <m/>
    <m/>
    <m/>
    <m/>
    <m/>
    <m/>
    <m/>
    <s v="Проектирование"/>
    <d v="2023-09-05T00:00:00"/>
    <s v="ПриПро"/>
    <s v="SGG"/>
    <d v="2023-01-09T00:00:00"/>
    <s v="BSG-230109-1/0(9)"/>
    <m/>
    <m/>
    <m/>
  </r>
  <r>
    <n v="1836"/>
    <s v="Квемо Картли"/>
    <s v="Гардабани"/>
    <s v="(10) გარდაბანი , სოფ. გამარჯვებაში არსებული . ამორტიზირებული საჰაერო გაზსადენის მოსახლეობის ეზოებიდან გარეთ გამოტანა დ76მმ-იანი. P.2.836"/>
    <x v="7"/>
    <n v="17000"/>
    <n v="2"/>
    <m/>
    <m/>
    <m/>
    <n v="17000"/>
    <n v="0"/>
    <m/>
    <n v="17000"/>
    <n v="1"/>
    <m/>
    <s v="P.2.836"/>
    <n v="0"/>
    <n v="0"/>
    <m/>
    <m/>
    <m/>
    <m/>
    <m/>
    <m/>
    <m/>
    <m/>
    <m/>
    <m/>
    <m/>
    <m/>
    <m/>
    <m/>
    <m/>
    <m/>
    <m/>
    <m/>
    <m/>
    <m/>
    <m/>
    <m/>
    <m/>
    <m/>
    <m/>
    <n v="0"/>
    <n v="0"/>
    <n v="0"/>
    <m/>
    <m/>
    <m/>
    <m/>
    <m/>
    <m/>
    <m/>
    <m/>
    <m/>
    <m/>
    <m/>
    <s v="Реаб."/>
    <m/>
    <n v="0"/>
    <s v="SGG"/>
    <d v="2023-01-09T00:00:00"/>
    <s v="BSG-230109-1/0(10)"/>
    <m/>
    <m/>
    <m/>
  </r>
  <r>
    <n v="1837"/>
    <s v="Квемо Картли"/>
    <s v="Гардабани"/>
    <s v="(11) გარდაბანი, სოფ. ნორიოში მიწისქვეშა გადასვლების რეაბილიტაცია და მრიცხველების გამოტანა,შეცვლა. P.2.845"/>
    <x v="10"/>
    <n v="12638.5"/>
    <n v="2"/>
    <n v="12638.5"/>
    <m/>
    <n v="12638.5"/>
    <n v="0"/>
    <n v="0"/>
    <m/>
    <n v="0"/>
    <n v="0"/>
    <m/>
    <s v="P.2.845"/>
    <n v="0"/>
    <n v="0"/>
    <m/>
    <m/>
    <m/>
    <m/>
    <m/>
    <m/>
    <m/>
    <m/>
    <m/>
    <m/>
    <m/>
    <m/>
    <m/>
    <m/>
    <m/>
    <m/>
    <m/>
    <m/>
    <m/>
    <m/>
    <m/>
    <m/>
    <m/>
    <m/>
    <m/>
    <n v="0"/>
    <n v="0"/>
    <n v="0"/>
    <m/>
    <m/>
    <m/>
    <m/>
    <m/>
    <m/>
    <m/>
    <m/>
    <m/>
    <m/>
    <m/>
    <s v="Проектирование"/>
    <d v="2024-10-07T00:00:00"/>
    <s v="ПриПро"/>
    <s v="SGG"/>
    <d v="2023-01-09T00:00:00"/>
    <s v="BSG-230109-1/0(11)"/>
    <m/>
    <m/>
    <s v="No"/>
  </r>
  <r>
    <n v="1838"/>
    <s v="Квемо Картли"/>
    <s v="Гардабани"/>
    <s v="(12) გარდაბანი, სოფ. ნორიოში მიწისქვეშა გადასვლების რეაბილიტაცია და მრიცხველების გამოტანა,შეცვლა. P.2.845"/>
    <x v="7"/>
    <n v="237000"/>
    <n v="2"/>
    <n v="671000"/>
    <m/>
    <n v="607101.6939999999"/>
    <n v="-370101.6939999999"/>
    <n v="63898.306000000099"/>
    <m/>
    <n v="-370101.6939999999"/>
    <n v="1"/>
    <m/>
    <s v="P.2.845"/>
    <n v="420000"/>
    <n v="59491.519999999997"/>
    <n v="100000"/>
    <m/>
    <m/>
    <n v="15254.24"/>
    <n v="250000"/>
    <m/>
    <n v="40000"/>
    <n v="38135.589999999997"/>
    <n v="30000"/>
    <n v="6101.69"/>
    <m/>
    <m/>
    <m/>
    <m/>
    <m/>
    <m/>
    <m/>
    <m/>
    <m/>
    <m/>
    <m/>
    <m/>
    <m/>
    <m/>
    <m/>
    <n v="0"/>
    <n v="0"/>
    <n v="0"/>
    <m/>
    <m/>
    <m/>
    <n v="212711.87"/>
    <m/>
    <m/>
    <m/>
    <n v="296610.17"/>
    <m/>
    <m/>
    <m/>
    <s v="Реаб."/>
    <m/>
    <n v="90"/>
    <s v="SGG"/>
    <d v="2023-01-09T00:00:00"/>
    <s v="BSG-230109-1/0(12)"/>
    <m/>
    <m/>
    <s v="Yes"/>
  </r>
  <r>
    <n v="1839"/>
    <s v="Квемо Картли"/>
    <s v="Гардабани"/>
    <s v="(13) გარდაბანი, სოფ. ყარათაკლიაში მიწისქვეშა გადასვლების შეცვლა და მრიცხველების გამოტანა,შეცვლა P.2.844"/>
    <x v="10"/>
    <n v="0"/>
    <n v="2"/>
    <m/>
    <m/>
    <m/>
    <n v="0"/>
    <n v="0"/>
    <m/>
    <n v="0"/>
    <n v="2"/>
    <m/>
    <s v="P.2.844"/>
    <n v="0"/>
    <n v="0"/>
    <m/>
    <m/>
    <m/>
    <m/>
    <m/>
    <m/>
    <m/>
    <m/>
    <m/>
    <m/>
    <m/>
    <m/>
    <m/>
    <m/>
    <m/>
    <m/>
    <m/>
    <m/>
    <m/>
    <m/>
    <m/>
    <m/>
    <m/>
    <m/>
    <m/>
    <n v="0"/>
    <n v="0"/>
    <n v="0"/>
    <m/>
    <m/>
    <m/>
    <m/>
    <m/>
    <m/>
    <m/>
    <m/>
    <m/>
    <m/>
    <m/>
    <s v="Проектирование"/>
    <m/>
    <n v="0"/>
    <s v="SGG"/>
    <d v="2023-01-09T00:00:00"/>
    <s v="BSG-230109-1/0(13)"/>
    <m/>
    <m/>
    <m/>
  </r>
  <r>
    <n v="1840"/>
    <s v="Квемо Картли"/>
    <s v="Гардабани"/>
    <s v="(14) გარდაბანი, სოფ. ყარათაკლიაში მიწისქვეშა გადასვლების შეცვლა და მრიცხველების გამოტანა,შეცვლა P.2.844"/>
    <x v="7"/>
    <n v="155000"/>
    <n v="2"/>
    <m/>
    <m/>
    <m/>
    <n v="155000"/>
    <n v="0"/>
    <m/>
    <n v="155000"/>
    <n v="1"/>
    <m/>
    <s v="P.2.844"/>
    <n v="0"/>
    <n v="0"/>
    <m/>
    <m/>
    <m/>
    <m/>
    <m/>
    <m/>
    <m/>
    <m/>
    <m/>
    <m/>
    <m/>
    <m/>
    <m/>
    <m/>
    <m/>
    <m/>
    <m/>
    <m/>
    <m/>
    <m/>
    <m/>
    <m/>
    <m/>
    <m/>
    <m/>
    <n v="0"/>
    <n v="0"/>
    <n v="0"/>
    <m/>
    <m/>
    <m/>
    <m/>
    <m/>
    <m/>
    <m/>
    <m/>
    <m/>
    <m/>
    <m/>
    <s v="Реаб."/>
    <m/>
    <n v="0"/>
    <s v="SGG"/>
    <d v="2023-01-09T00:00:00"/>
    <s v="BSG-230109-1/0(14)"/>
    <m/>
    <m/>
    <m/>
  </r>
  <r>
    <n v="1841"/>
    <s v="Квемо Картли"/>
    <s v="Гардабани"/>
    <s v="(15) გარდაბანი, სოფ. ყარაჯალაში მიწისქვეშა გადასვლების რეაბილიტაცია და მრიცხველების გამოტანა,შეცვლა P.2.843"/>
    <x v="10"/>
    <n v="0"/>
    <n v="2"/>
    <m/>
    <m/>
    <m/>
    <n v="0"/>
    <n v="0"/>
    <m/>
    <n v="0"/>
    <n v="2"/>
    <m/>
    <s v="P.2.843"/>
    <n v="0"/>
    <n v="0"/>
    <m/>
    <m/>
    <m/>
    <m/>
    <m/>
    <m/>
    <m/>
    <m/>
    <m/>
    <m/>
    <m/>
    <m/>
    <m/>
    <m/>
    <m/>
    <m/>
    <m/>
    <m/>
    <m/>
    <m/>
    <m/>
    <m/>
    <m/>
    <m/>
    <m/>
    <n v="0"/>
    <n v="0"/>
    <n v="0"/>
    <m/>
    <m/>
    <m/>
    <m/>
    <m/>
    <m/>
    <m/>
    <m/>
    <m/>
    <m/>
    <m/>
    <s v="Проектирование"/>
    <m/>
    <n v="0"/>
    <s v="SGG"/>
    <d v="2023-01-09T00:00:00"/>
    <s v="BSG-230109-1/0(15)"/>
    <m/>
    <m/>
    <m/>
  </r>
  <r>
    <n v="1842"/>
    <s v="Квемо Картли"/>
    <s v="Гардабани"/>
    <s v="(16) გარდაბანი, სოფ. ყარაჯალაში მიწისქვეშა გადასვლების რეაბილიტაცია და მრიცხველების გამოტანა,შეცვლა P.2.843"/>
    <x v="7"/>
    <n v="260000"/>
    <n v="2"/>
    <m/>
    <m/>
    <m/>
    <n v="260000"/>
    <n v="0"/>
    <m/>
    <n v="260000"/>
    <n v="1"/>
    <m/>
    <s v="P.2.843"/>
    <n v="0"/>
    <n v="0"/>
    <m/>
    <m/>
    <m/>
    <m/>
    <m/>
    <m/>
    <m/>
    <m/>
    <m/>
    <m/>
    <m/>
    <m/>
    <m/>
    <m/>
    <m/>
    <m/>
    <m/>
    <m/>
    <m/>
    <m/>
    <m/>
    <m/>
    <m/>
    <m/>
    <m/>
    <n v="0"/>
    <n v="0"/>
    <n v="0"/>
    <m/>
    <m/>
    <m/>
    <m/>
    <m/>
    <m/>
    <m/>
    <m/>
    <m/>
    <m/>
    <m/>
    <s v="Реаб."/>
    <m/>
    <n v="0"/>
    <s v="SGG"/>
    <d v="2023-01-09T00:00:00"/>
    <s v="BSG-230109-1/0(16)"/>
    <m/>
    <m/>
    <m/>
  </r>
  <r>
    <n v="1843"/>
    <s v="Квемо Картли"/>
    <s v="Гардабани"/>
    <s v="(17) გარდაბნის სოფელ კრწანისში გაზსადენი ქსელის მოწყობა P.2.1033"/>
    <x v="10"/>
    <n v="5535.25"/>
    <m/>
    <n v="5535.25"/>
    <m/>
    <n v="5535.25"/>
    <n v="0"/>
    <n v="0"/>
    <m/>
    <n v="0"/>
    <n v="0"/>
    <m/>
    <s v="P.2.1033"/>
    <n v="0"/>
    <n v="0"/>
    <m/>
    <m/>
    <m/>
    <m/>
    <m/>
    <m/>
    <m/>
    <m/>
    <m/>
    <m/>
    <m/>
    <m/>
    <m/>
    <m/>
    <m/>
    <m/>
    <m/>
    <m/>
    <m/>
    <m/>
    <m/>
    <m/>
    <m/>
    <m/>
    <m/>
    <n v="0"/>
    <n v="0"/>
    <n v="0"/>
    <m/>
    <m/>
    <m/>
    <m/>
    <m/>
    <m/>
    <m/>
    <m/>
    <m/>
    <m/>
    <m/>
    <s v="Проектирование"/>
    <d v="2023-09-05T00:00:00"/>
    <s v="ПриПро"/>
    <s v="SGG"/>
    <d v="2023-01-09T00:00:00"/>
    <s v="BSG-230109-1/0(17)"/>
    <m/>
    <m/>
    <s v="No"/>
  </r>
  <r>
    <n v="1844"/>
    <s v="Квемо Картли"/>
    <s v="Гардабани"/>
    <s v="(18) გარდაბნის სოფელ კრწანისში გაზსადენი ქსელის მოწყობა P.2.1033"/>
    <x v="7"/>
    <n v="186000"/>
    <m/>
    <n v="189217"/>
    <n v="189217"/>
    <n v="189216.99500000002"/>
    <n v="-3216.9950000000244"/>
    <n v="4.9999999755527824E-3"/>
    <n v="3143"/>
    <n v="4.9999999755527824E-3"/>
    <n v="0"/>
    <m/>
    <s v="P.2.1033"/>
    <n v="0"/>
    <n v="0"/>
    <m/>
    <m/>
    <m/>
    <m/>
    <m/>
    <m/>
    <m/>
    <m/>
    <m/>
    <m/>
    <m/>
    <m/>
    <m/>
    <m/>
    <m/>
    <m/>
    <m/>
    <m/>
    <m/>
    <m/>
    <m/>
    <m/>
    <m/>
    <m/>
    <m/>
    <n v="0"/>
    <n v="0"/>
    <n v="0"/>
    <n v="156779.66"/>
    <n v="9365.01"/>
    <n v="15098.837983050847"/>
    <m/>
    <m/>
    <m/>
    <m/>
    <m/>
    <m/>
    <m/>
    <m/>
    <s v="Реаб."/>
    <d v="2023-12-29T00:00:00"/>
    <s v="Принят"/>
    <s v="SGG"/>
    <d v="2023-01-09T00:00:00"/>
    <s v="BSG-230109-1/0(18)"/>
    <m/>
    <m/>
    <s v="Yes"/>
  </r>
  <r>
    <n v="1845"/>
    <s v="Квемо Картли"/>
    <s v="Гардабани"/>
    <s v="(19) ვაზიანი-სართიჭალა ქსელის რეაბილიტაცია P.2.946"/>
    <x v="10"/>
    <n v="2054"/>
    <m/>
    <n v="2054"/>
    <m/>
    <n v="2054"/>
    <n v="0"/>
    <n v="0"/>
    <m/>
    <n v="0"/>
    <n v="0"/>
    <m/>
    <s v="P.2.946"/>
    <n v="0"/>
    <n v="0"/>
    <m/>
    <m/>
    <m/>
    <m/>
    <m/>
    <m/>
    <m/>
    <m/>
    <m/>
    <m/>
    <m/>
    <m/>
    <m/>
    <m/>
    <m/>
    <m/>
    <m/>
    <m/>
    <m/>
    <m/>
    <m/>
    <m/>
    <m/>
    <m/>
    <m/>
    <n v="0"/>
    <n v="0"/>
    <n v="0"/>
    <m/>
    <m/>
    <m/>
    <m/>
    <m/>
    <m/>
    <m/>
    <m/>
    <m/>
    <m/>
    <m/>
    <s v="Проектирование"/>
    <d v="2023-06-26T00:00:00"/>
    <s v="ПриПро"/>
    <s v="SGG"/>
    <d v="2023-01-09T00:00:00"/>
    <s v="BSG-230109-1/0(19)"/>
    <m/>
    <m/>
    <s v="No"/>
  </r>
  <r>
    <n v="1846"/>
    <s v="Квемо Картли"/>
    <s v="Гардабани"/>
    <s v="(20) ვაზიანი-სართიჭალა ქსელის რეაბილიტაცია P.2.946"/>
    <x v="7"/>
    <n v="200000"/>
    <m/>
    <n v="115770"/>
    <n v="115770"/>
    <n v="115769.99999999999"/>
    <n v="84230.000000000015"/>
    <n v="0"/>
    <n v="1094"/>
    <n v="1.4551915228366852E-11"/>
    <n v="0"/>
    <m/>
    <s v="P.2.946"/>
    <n v="0"/>
    <n v="0"/>
    <m/>
    <m/>
    <m/>
    <m/>
    <m/>
    <m/>
    <m/>
    <m/>
    <m/>
    <m/>
    <m/>
    <m/>
    <m/>
    <m/>
    <m/>
    <m/>
    <m/>
    <m/>
    <m/>
    <m/>
    <m/>
    <m/>
    <m/>
    <m/>
    <m/>
    <n v="0"/>
    <n v="0"/>
    <n v="0"/>
    <n v="84745.76"/>
    <n v="10076.620000000001"/>
    <n v="8803.3549491525446"/>
    <m/>
    <m/>
    <m/>
    <m/>
    <m/>
    <m/>
    <m/>
    <m/>
    <s v="Реаб."/>
    <d v="2023-12-18T00:00:00"/>
    <s v="Принят"/>
    <s v="SGG"/>
    <d v="2023-01-09T00:00:00"/>
    <s v="BSG-230109-1/0(20)"/>
    <m/>
    <m/>
    <s v="Yes"/>
  </r>
  <r>
    <n v="1847"/>
    <s v="Квемо Картли"/>
    <s v="Гардабани"/>
    <s v="(21) ვაზიანი-სართიჭალა ქსელის რეაბილიტაცია P.2.947"/>
    <x v="10"/>
    <n v="3846"/>
    <m/>
    <n v="3846"/>
    <m/>
    <n v="3846"/>
    <n v="0"/>
    <n v="0"/>
    <m/>
    <n v="0"/>
    <n v="0"/>
    <m/>
    <s v="P.2.947"/>
    <n v="0"/>
    <n v="0"/>
    <m/>
    <m/>
    <m/>
    <m/>
    <m/>
    <m/>
    <m/>
    <m/>
    <m/>
    <m/>
    <m/>
    <m/>
    <m/>
    <m/>
    <m/>
    <m/>
    <m/>
    <m/>
    <m/>
    <m/>
    <m/>
    <m/>
    <m/>
    <m/>
    <m/>
    <n v="0"/>
    <n v="0"/>
    <n v="0"/>
    <m/>
    <m/>
    <m/>
    <m/>
    <m/>
    <m/>
    <m/>
    <m/>
    <m/>
    <m/>
    <m/>
    <s v="Проектирование"/>
    <d v="2023-06-26T00:00:00"/>
    <s v="ПриПро"/>
    <s v="SGG"/>
    <d v="2023-01-09T00:00:00"/>
    <s v="BSG-230109-1/0(21)"/>
    <m/>
    <m/>
    <s v="No"/>
  </r>
  <r>
    <n v="1848"/>
    <s v="Квемо Картли"/>
    <s v="Гардабани"/>
    <s v="(22) ვაზიანი-სართიჭალა ქსელის რეაბილიტაცია P.2.947"/>
    <x v="7"/>
    <n v="170000"/>
    <m/>
    <n v="212490"/>
    <n v="212490"/>
    <n v="212490"/>
    <n v="-42490"/>
    <n v="0"/>
    <n v="2179"/>
    <n v="0"/>
    <n v="0"/>
    <m/>
    <s v="P.2.947"/>
    <n v="0"/>
    <n v="0"/>
    <m/>
    <m/>
    <m/>
    <m/>
    <m/>
    <m/>
    <m/>
    <m/>
    <m/>
    <m/>
    <m/>
    <m/>
    <m/>
    <m/>
    <m/>
    <m/>
    <m/>
    <m/>
    <m/>
    <m/>
    <m/>
    <m/>
    <m/>
    <m/>
    <m/>
    <n v="0"/>
    <n v="0"/>
    <n v="0"/>
    <n v="127118.64"/>
    <n v="15114.93"/>
    <n v="16496.13411864407"/>
    <m/>
    <m/>
    <m/>
    <m/>
    <m/>
    <m/>
    <m/>
    <m/>
    <s v="Реаб."/>
    <d v="2023-12-29T00:00:00"/>
    <s v="Принят"/>
    <s v="SGG"/>
    <d v="2023-01-09T00:00:00"/>
    <s v="BSG-230109-1/0(22)"/>
    <m/>
    <m/>
    <s v="Yes"/>
  </r>
  <r>
    <n v="1849"/>
    <s v="Квемо Картли"/>
    <s v="Марнеули"/>
    <s v="(23) კაპანახჩი ამორტიზებული გაზსადენის შეცვლა უსაფრთხო და უწყვეტი მიწოდებისთვის P.2.1067"/>
    <x v="10"/>
    <n v="28591.5"/>
    <m/>
    <n v="28591.5"/>
    <m/>
    <n v="28591.5"/>
    <n v="0"/>
    <n v="0"/>
    <m/>
    <n v="0"/>
    <n v="0"/>
    <m/>
    <s v="P.2.1067"/>
    <n v="0"/>
    <n v="0"/>
    <m/>
    <m/>
    <m/>
    <m/>
    <m/>
    <m/>
    <m/>
    <m/>
    <m/>
    <m/>
    <m/>
    <m/>
    <m/>
    <m/>
    <m/>
    <m/>
    <m/>
    <m/>
    <m/>
    <m/>
    <m/>
    <m/>
    <m/>
    <m/>
    <m/>
    <n v="0"/>
    <n v="0"/>
    <n v="0"/>
    <m/>
    <m/>
    <m/>
    <m/>
    <m/>
    <m/>
    <m/>
    <m/>
    <m/>
    <m/>
    <m/>
    <s v="Проектирование"/>
    <d v="2023-08-08T00:00:00"/>
    <s v="ПриПро"/>
    <s v="SGG"/>
    <d v="2023-01-09T00:00:00"/>
    <s v="BSG-230109-1/0(23)"/>
    <m/>
    <m/>
    <s v="No"/>
  </r>
  <r>
    <n v="1850"/>
    <s v="Квемо Картли"/>
    <s v="Марнеули"/>
    <s v="(24) კაპანახჩი ამორტიზებული გაზსადენის შეცვლა უსაფრთხო და უწყვეტი მიწოდებისთვის P.2.1067"/>
    <x v="7"/>
    <n v="677000"/>
    <s v="აკლასნიკი"/>
    <n v="868031.94"/>
    <m/>
    <n v="828174.35999999987"/>
    <n v="-151174.35999999987"/>
    <n v="39857.580000000075"/>
    <n v="19057.599999999999"/>
    <n v="39857.580000000075"/>
    <n v="1"/>
    <m/>
    <s v="P.2.1067"/>
    <n v="55031.94"/>
    <n v="8394.7000000000007"/>
    <n v="53000"/>
    <m/>
    <n v="2031.94"/>
    <n v="8084.75"/>
    <m/>
    <n v="309.95"/>
    <m/>
    <m/>
    <m/>
    <m/>
    <m/>
    <m/>
    <m/>
    <m/>
    <m/>
    <m/>
    <m/>
    <m/>
    <m/>
    <m/>
    <m/>
    <m/>
    <m/>
    <m/>
    <m/>
    <n v="0"/>
    <n v="0"/>
    <n v="0"/>
    <m/>
    <m/>
    <m/>
    <n v="688983.05999999994"/>
    <n v="68905.08"/>
    <n v="0"/>
    <n v="66671.520813559328"/>
    <n v="44915.25"/>
    <n v="1010.9"/>
    <m/>
    <m/>
    <s v="Реаб."/>
    <d v="2025-02-17T00:00:00"/>
    <s v="Принят"/>
    <s v="SGG"/>
    <d v="2023-01-09T00:00:00"/>
    <s v="BSG-230109-1/0(24)"/>
    <m/>
    <m/>
    <m/>
  </r>
  <r>
    <n v="1851"/>
    <s v="Кахети"/>
    <s v="Гурджаани"/>
    <s v="(25) მე-13 საუბნო კვანძზე (სოფ. ჩუმლაყი, ცხავი ლეოს უბანი) (სოფ. ჩუმლაყი, ბოღმას თონიდან ლუკოილამდე, გზის ქვემოდან) (სოფ. ჩუმლაყი, ყიტაანის დასახვევი) (სოფ. ჩუმლაყი, ბაღის უბანი, ოთოს უბანი, სტადიონი) (სოფ. ჩუმლაყი, გაღმახევის იქიდან ტრასის ზევით ლიანდაგებამდე) რკინიგზის გადასასვლელთან გაზსადენების რეაბილიტაცია. P.2.860"/>
    <x v="10"/>
    <n v="13678"/>
    <m/>
    <n v="13678"/>
    <m/>
    <n v="13678"/>
    <n v="0"/>
    <n v="0"/>
    <m/>
    <n v="0"/>
    <n v="0"/>
    <m/>
    <s v="P.2.860"/>
    <n v="0"/>
    <n v="0"/>
    <m/>
    <m/>
    <m/>
    <m/>
    <m/>
    <m/>
    <m/>
    <m/>
    <m/>
    <m/>
    <m/>
    <m/>
    <m/>
    <m/>
    <m/>
    <m/>
    <m/>
    <m/>
    <m/>
    <m/>
    <m/>
    <m/>
    <m/>
    <m/>
    <m/>
    <n v="0"/>
    <n v="0"/>
    <n v="0"/>
    <m/>
    <m/>
    <m/>
    <m/>
    <m/>
    <m/>
    <m/>
    <m/>
    <m/>
    <m/>
    <m/>
    <s v="Проектирование"/>
    <d v="2023-10-18T00:00:00"/>
    <s v="ПриПро"/>
    <s v="SGG"/>
    <d v="2023-01-09T00:00:00"/>
    <s v="BSG-230109-1/0(25)"/>
    <m/>
    <m/>
    <s v="No"/>
  </r>
  <r>
    <n v="1852"/>
    <s v="Кахети"/>
    <s v="Гурджаани"/>
    <s v="(26) მე-13 საუბნო კვანძზე (სოფ. ჩუმლაყი, ცხავი ლეოს უბანი) (სოფ. ჩუმლაყი, ბოღმას თონიდან ლუკოილამდე, გზის ქვემოდან) (სოფ. ჩუმლაყი, ყიტაანის დასახვევი) (სოფ. ჩუმლაყი, ბაღის უბანი, ოთოს უბანი, სტადიონი) (სოფ. ჩუმლაყი, გაღმახევის იქიდან ტრასის ზევით ლიანდაგებამდე) რკინიგზის გადასასვლელთან გაზსადენების რეაბილიტაცია. P.2.860"/>
    <x v="7"/>
    <n v="190000"/>
    <n v="2"/>
    <n v="483964.43"/>
    <n v="483964.43"/>
    <n v="483964.42100000009"/>
    <n v="-293964.42100000009"/>
    <n v="8.9999999036081135E-3"/>
    <n v="8470"/>
    <n v="8.9999999036081135E-3"/>
    <n v="0"/>
    <m/>
    <s v="P.2.860"/>
    <n v="0"/>
    <n v="0"/>
    <m/>
    <m/>
    <m/>
    <m/>
    <m/>
    <m/>
    <m/>
    <m/>
    <m/>
    <m/>
    <m/>
    <m/>
    <m/>
    <m/>
    <m/>
    <m/>
    <m/>
    <m/>
    <m/>
    <m/>
    <m/>
    <m/>
    <m/>
    <m/>
    <m/>
    <n v="0"/>
    <n v="0"/>
    <n v="0"/>
    <n v="322033.89"/>
    <n v="14259.85"/>
    <m/>
    <n v="59322.03"/>
    <n v="5506.84"/>
    <n v="25762.711864406785"/>
    <n v="13274.553881355929"/>
    <m/>
    <m/>
    <m/>
    <m/>
    <s v="Реаб."/>
    <d v="2024-08-14T00:00:00"/>
    <s v="Принят"/>
    <s v="SGG"/>
    <d v="2023-01-09T00:00:00"/>
    <s v="BSG-230109-1/0(26)"/>
    <m/>
    <m/>
    <s v="Yes"/>
  </r>
  <r>
    <n v="1853"/>
    <s v="Кахети"/>
    <s v="Гурджаани"/>
    <s v="(27) მე-16 საუბნო კვანძზე (ღვინის ქარხანასთან, სვარჩიკი მევლუდას უბანი) საშუალო წნევის გაზსადენის რეაბილიტაცია. P.2.863"/>
    <x v="10"/>
    <n v="2373"/>
    <m/>
    <n v="2373"/>
    <m/>
    <n v="2373"/>
    <n v="0"/>
    <n v="0"/>
    <m/>
    <n v="0"/>
    <n v="0"/>
    <m/>
    <s v="P.2.863"/>
    <n v="0"/>
    <n v="0"/>
    <m/>
    <m/>
    <m/>
    <m/>
    <m/>
    <m/>
    <m/>
    <m/>
    <m/>
    <m/>
    <m/>
    <m/>
    <m/>
    <m/>
    <m/>
    <m/>
    <m/>
    <m/>
    <m/>
    <m/>
    <m/>
    <m/>
    <m/>
    <m/>
    <m/>
    <n v="0"/>
    <n v="0"/>
    <n v="0"/>
    <m/>
    <m/>
    <m/>
    <m/>
    <m/>
    <m/>
    <m/>
    <m/>
    <m/>
    <m/>
    <m/>
    <s v="Проектирование"/>
    <d v="2023-10-18T00:00:00"/>
    <s v="ПриПро"/>
    <s v="SGG"/>
    <d v="2023-01-09T00:00:00"/>
    <s v="BSG-230109-1/0(27)"/>
    <m/>
    <m/>
    <s v="No"/>
  </r>
  <r>
    <n v="1854"/>
    <s v="Кахети"/>
    <s v="Гурджаани"/>
    <s v="(28) მე-16 საუბნო კვანძზე (ღვინის ქარხანასთან, სვარჩიკი მევლუდას უბანი) საშუალო წნევის გაზსადენის რეაბილიტაცია. P.2.863"/>
    <x v="7"/>
    <n v="30000"/>
    <n v="2"/>
    <n v="60000"/>
    <m/>
    <n v="60000"/>
    <n v="-30000"/>
    <n v="0"/>
    <m/>
    <n v="-30000"/>
    <n v="1"/>
    <m/>
    <s v="P.2.863"/>
    <n v="0"/>
    <n v="0"/>
    <m/>
    <m/>
    <m/>
    <m/>
    <m/>
    <m/>
    <m/>
    <m/>
    <m/>
    <m/>
    <m/>
    <m/>
    <m/>
    <m/>
    <m/>
    <m/>
    <m/>
    <m/>
    <m/>
    <m/>
    <m/>
    <m/>
    <m/>
    <m/>
    <m/>
    <n v="0"/>
    <n v="0"/>
    <n v="0"/>
    <m/>
    <m/>
    <m/>
    <n v="50847.46"/>
    <m/>
    <m/>
    <m/>
    <m/>
    <m/>
    <m/>
    <m/>
    <s v="Реаб."/>
    <m/>
    <n v="80"/>
    <s v="SGG"/>
    <d v="2023-01-09T00:00:00"/>
    <s v="BSG-230109-1/0(28)"/>
    <m/>
    <m/>
    <m/>
  </r>
  <r>
    <n v="1855"/>
    <s v="Кахети"/>
    <s v="Гурджаани"/>
    <s v="(29) მე-19 საუბნო კვანძზე (ველისციხე- ახაშნიდან ტირიფის და მიმდებარე ქუჩა, ორივე მხარეს) დაბალი წნევის გაზსადენის რეაბილიტაცია. P.2.865"/>
    <x v="10"/>
    <n v="2541"/>
    <m/>
    <n v="2541"/>
    <m/>
    <n v="2541"/>
    <n v="0"/>
    <n v="0"/>
    <m/>
    <n v="0"/>
    <n v="0"/>
    <m/>
    <s v="P.2.865"/>
    <n v="0"/>
    <n v="0"/>
    <m/>
    <m/>
    <m/>
    <m/>
    <m/>
    <m/>
    <m/>
    <m/>
    <m/>
    <m/>
    <m/>
    <m/>
    <m/>
    <m/>
    <m/>
    <m/>
    <m/>
    <m/>
    <m/>
    <m/>
    <m/>
    <m/>
    <m/>
    <m/>
    <m/>
    <n v="0"/>
    <n v="0"/>
    <n v="0"/>
    <m/>
    <m/>
    <m/>
    <m/>
    <m/>
    <m/>
    <m/>
    <m/>
    <m/>
    <m/>
    <m/>
    <s v="Проектирование"/>
    <d v="2023-10-18T00:00:00"/>
    <s v="ПриПро"/>
    <s v="SGG"/>
    <d v="2023-01-09T00:00:00"/>
    <s v="BSG-230109-1/0(29)"/>
    <m/>
    <m/>
    <s v="No"/>
  </r>
  <r>
    <n v="1856"/>
    <s v="Кахети"/>
    <s v="Гурджаани"/>
    <s v="(30) მე-19 საუბნო კვანძზე (ველისციხე- ახაშნიდან ტირიფის და მიმდებარე ქუჩა, ორივე მხარეს) დაბალი წნევის გაზსადენის რეაბილიტაცია. P.2.865"/>
    <x v="7"/>
    <n v="45000"/>
    <s v="აკლასნიკი"/>
    <n v="94387.48000000001"/>
    <n v="94387.48000000001"/>
    <n v="93211.65"/>
    <n v="-48211.649999999994"/>
    <n v="1175.8300000000163"/>
    <n v="1285"/>
    <n v="1175.8300000000163"/>
    <n v="1"/>
    <m/>
    <s v="P.2.865"/>
    <n v="44387.48"/>
    <n v="6770.9699999999993"/>
    <n v="43000"/>
    <m/>
    <n v="1387.48"/>
    <n v="6559.32"/>
    <m/>
    <n v="211.65"/>
    <m/>
    <m/>
    <m/>
    <m/>
    <m/>
    <m/>
    <m/>
    <m/>
    <m/>
    <m/>
    <m/>
    <m/>
    <m/>
    <m/>
    <m/>
    <m/>
    <m/>
    <m/>
    <m/>
    <n v="0"/>
    <n v="0"/>
    <n v="0"/>
    <m/>
    <m/>
    <m/>
    <n v="42372.88"/>
    <n v="3245.59"/>
    <m/>
    <n v="7674.3799830508497"/>
    <n v="36440.68"/>
    <n v="820.16"/>
    <m/>
    <m/>
    <s v="Реаб."/>
    <d v="2025-02-17T00:00:00"/>
    <s v="Принят"/>
    <s v="SGG"/>
    <d v="2023-01-09T00:00:00"/>
    <s v="BSG-230109-1/0(30)"/>
    <m/>
    <m/>
    <s v="Yes"/>
  </r>
  <r>
    <n v="1857"/>
    <s v="Кахети"/>
    <s v="Гурджаани"/>
    <s v="(31) მე-20 საუბნო კვანძზე (ბაღაშვილის უბანი - გაბუნია სიმონის უბანი) (აბელას თონიდან მოგელას უბანი, ხოხობას უბანი) დაბალი წნევის გაზსადენის რეაბილიტაცია. P.2.866"/>
    <x v="10"/>
    <n v="5377.75"/>
    <m/>
    <n v="5377.75"/>
    <m/>
    <n v="5377.75"/>
    <n v="0"/>
    <n v="0"/>
    <m/>
    <n v="0"/>
    <n v="0"/>
    <m/>
    <s v="P.2.866"/>
    <n v="0"/>
    <n v="0"/>
    <m/>
    <m/>
    <m/>
    <m/>
    <m/>
    <m/>
    <m/>
    <m/>
    <m/>
    <m/>
    <m/>
    <m/>
    <m/>
    <m/>
    <m/>
    <m/>
    <m/>
    <m/>
    <m/>
    <m/>
    <m/>
    <m/>
    <m/>
    <m/>
    <m/>
    <n v="0"/>
    <n v="0"/>
    <n v="0"/>
    <m/>
    <m/>
    <m/>
    <m/>
    <m/>
    <m/>
    <m/>
    <m/>
    <m/>
    <m/>
    <m/>
    <s v="Проектирование"/>
    <d v="2023-10-18T00:00:00"/>
    <s v="ПриПро"/>
    <s v="SGG"/>
    <d v="2023-01-09T00:00:00"/>
    <s v="BSG-230109-1/0(31)"/>
    <m/>
    <m/>
    <s v="No"/>
  </r>
  <r>
    <n v="1858"/>
    <s v="Кахети"/>
    <s v="Гурджаани"/>
    <s v="(32) მე-20 საუბნო კვანძზე (ბაღაშვილის უბანი - გაბუნია სიმონის უბანი) (აბელას თონიდან მოგელას უბანი, ხოხობას უბანი) დაბალი წნევის გაზსადენის რეაბილიტაცია. P.2.866"/>
    <x v="7"/>
    <n v="81000"/>
    <n v="2"/>
    <n v="180443.13"/>
    <n v="180443.13"/>
    <n v="180443.13"/>
    <n v="-99443.13"/>
    <n v="0"/>
    <n v="2686.5"/>
    <n v="0"/>
    <n v="0"/>
    <m/>
    <s v="P.2.866"/>
    <n v="0"/>
    <n v="0"/>
    <m/>
    <m/>
    <m/>
    <m/>
    <m/>
    <m/>
    <m/>
    <m/>
    <m/>
    <m/>
    <m/>
    <m/>
    <m/>
    <m/>
    <m/>
    <m/>
    <m/>
    <m/>
    <m/>
    <m/>
    <m/>
    <m/>
    <m/>
    <m/>
    <m/>
    <n v="0"/>
    <n v="0"/>
    <n v="0"/>
    <m/>
    <m/>
    <m/>
    <n v="133898.29999999999"/>
    <n v="15531.43"/>
    <n v="10169.491525423731"/>
    <n v="3569.1561525423713"/>
    <m/>
    <m/>
    <m/>
    <m/>
    <s v="Реаб."/>
    <d v="2024-12-11T00:00:00"/>
    <s v="Принят"/>
    <s v="SGG"/>
    <d v="2023-01-09T00:00:00"/>
    <s v="BSG-230109-1/0(32)"/>
    <m/>
    <m/>
    <s v="Yes"/>
  </r>
  <r>
    <n v="1859"/>
    <s v="Квемо Картли"/>
    <s v="Гардабани"/>
    <s v="(33) სადგურის ქუჩის მონაკვეთის გაზსადენის რაბილიტაცია. P.2.993"/>
    <x v="10"/>
    <n v="495.25"/>
    <m/>
    <n v="495.25"/>
    <m/>
    <n v="495.25"/>
    <n v="0"/>
    <n v="0"/>
    <m/>
    <n v="0"/>
    <n v="0"/>
    <m/>
    <s v="P.2.993"/>
    <n v="0"/>
    <n v="0"/>
    <m/>
    <m/>
    <m/>
    <m/>
    <m/>
    <m/>
    <m/>
    <m/>
    <m/>
    <m/>
    <m/>
    <m/>
    <m/>
    <m/>
    <m/>
    <m/>
    <m/>
    <m/>
    <m/>
    <m/>
    <m/>
    <m/>
    <m/>
    <m/>
    <m/>
    <n v="0"/>
    <n v="0"/>
    <n v="0"/>
    <m/>
    <m/>
    <m/>
    <m/>
    <m/>
    <m/>
    <m/>
    <m/>
    <m/>
    <m/>
    <m/>
    <s v="Проектирование"/>
    <d v="2023-09-05T00:00:00"/>
    <s v="ПриПро"/>
    <s v="SGG"/>
    <d v="2023-01-09T00:00:00"/>
    <s v="BSG-230109-1/0(33)"/>
    <m/>
    <m/>
    <m/>
  </r>
  <r>
    <n v="1860"/>
    <s v="Квемо Картли"/>
    <s v="Гардабани"/>
    <s v="(34) სადგურის ქუჩის მონაკვეთის გაზსადენის რაბილიტაცია. P.2.993"/>
    <x v="7"/>
    <n v="7000"/>
    <n v="2"/>
    <m/>
    <m/>
    <m/>
    <n v="7000"/>
    <n v="0"/>
    <m/>
    <n v="7000"/>
    <n v="1"/>
    <m/>
    <s v="P.2.993"/>
    <n v="0"/>
    <n v="0"/>
    <m/>
    <m/>
    <m/>
    <m/>
    <m/>
    <m/>
    <m/>
    <m/>
    <m/>
    <m/>
    <m/>
    <m/>
    <m/>
    <m/>
    <m/>
    <m/>
    <m/>
    <m/>
    <m/>
    <m/>
    <m/>
    <m/>
    <m/>
    <m/>
    <m/>
    <n v="0"/>
    <n v="0"/>
    <n v="0"/>
    <m/>
    <m/>
    <m/>
    <m/>
    <m/>
    <m/>
    <m/>
    <m/>
    <m/>
    <m/>
    <m/>
    <s v="Реаб."/>
    <m/>
    <n v="0"/>
    <s v="SGG"/>
    <d v="2023-01-09T00:00:00"/>
    <s v="BSG-230109-1/0(34)"/>
    <m/>
    <m/>
    <m/>
  </r>
  <r>
    <n v="1861"/>
    <s v="Квемо Картли"/>
    <s v="Марнеули"/>
    <s v="(35) სოფ წითელსოფელში დაბალი წნევის მილის რეაბილიტაცია. P.2.905"/>
    <x v="10"/>
    <n v="1506.75"/>
    <m/>
    <n v="1506.75"/>
    <m/>
    <n v="1506.75"/>
    <n v="0"/>
    <n v="0"/>
    <m/>
    <n v="0"/>
    <n v="0"/>
    <m/>
    <s v="P.2.905"/>
    <n v="0"/>
    <n v="0"/>
    <m/>
    <m/>
    <m/>
    <m/>
    <m/>
    <m/>
    <m/>
    <m/>
    <m/>
    <m/>
    <m/>
    <m/>
    <m/>
    <m/>
    <m/>
    <m/>
    <m/>
    <m/>
    <m/>
    <m/>
    <m/>
    <m/>
    <m/>
    <m/>
    <m/>
    <n v="0"/>
    <n v="0"/>
    <n v="0"/>
    <m/>
    <m/>
    <m/>
    <m/>
    <m/>
    <m/>
    <m/>
    <m/>
    <m/>
    <m/>
    <m/>
    <s v="Проектирование"/>
    <d v="2023-09-05T00:00:00"/>
    <s v="ПриПро"/>
    <s v="SGG"/>
    <d v="2023-01-09T00:00:00"/>
    <s v="BSG-230109-1/0(35)"/>
    <m/>
    <m/>
    <m/>
  </r>
  <r>
    <n v="1862"/>
    <s v="Квемо Картли"/>
    <s v="Марнеули"/>
    <s v="(36) სოფ წითელსოფელში დაბალი წნევის მილის რეაბილიტაცია. P.2.905"/>
    <x v="7"/>
    <n v="250000"/>
    <m/>
    <n v="50867"/>
    <n v="50867"/>
    <n v="50867"/>
    <n v="199133"/>
    <n v="0"/>
    <n v="769"/>
    <n v="0"/>
    <n v="0"/>
    <m/>
    <s v="P.2.905"/>
    <n v="0"/>
    <n v="0"/>
    <m/>
    <m/>
    <m/>
    <m/>
    <m/>
    <m/>
    <m/>
    <m/>
    <m/>
    <m/>
    <m/>
    <m/>
    <m/>
    <m/>
    <m/>
    <m/>
    <m/>
    <m/>
    <m/>
    <m/>
    <m/>
    <m/>
    <m/>
    <m/>
    <m/>
    <n v="0"/>
    <n v="0"/>
    <n v="0"/>
    <n v="42372.88"/>
    <n v="1912.1800000000003"/>
    <n v="4119.544711864407"/>
    <m/>
    <m/>
    <m/>
    <m/>
    <m/>
    <m/>
    <m/>
    <m/>
    <s v="Реаб."/>
    <d v="2023-12-29T00:00:00"/>
    <s v="Принят"/>
    <s v="SGG"/>
    <d v="2023-01-09T00:00:00"/>
    <s v="BSG-230109-1/0(36)"/>
    <m/>
    <m/>
    <s v="Yes"/>
  </r>
  <r>
    <n v="1863"/>
    <s v="Кахети"/>
    <s v="Сигнаги"/>
    <s v="(37) სოფ. ბოდბისხევი ყაჯრიშვილი მამუკას უბნის რეაბილიტაცია P.2.774"/>
    <x v="10"/>
    <n v="1709.75"/>
    <m/>
    <n v="1709.75"/>
    <m/>
    <n v="1709.75"/>
    <n v="0"/>
    <n v="0"/>
    <m/>
    <n v="0"/>
    <n v="0"/>
    <m/>
    <s v="P.2.774"/>
    <n v="0"/>
    <n v="0"/>
    <m/>
    <m/>
    <m/>
    <m/>
    <m/>
    <m/>
    <m/>
    <m/>
    <m/>
    <m/>
    <m/>
    <m/>
    <m/>
    <m/>
    <m/>
    <m/>
    <m/>
    <m/>
    <m/>
    <m/>
    <m/>
    <m/>
    <m/>
    <m/>
    <m/>
    <n v="0"/>
    <n v="0"/>
    <n v="0"/>
    <m/>
    <m/>
    <m/>
    <m/>
    <m/>
    <m/>
    <m/>
    <m/>
    <m/>
    <m/>
    <m/>
    <s v="Проектирование"/>
    <d v="2023-08-08T00:00:00"/>
    <s v="ПриПро"/>
    <s v="SGG"/>
    <d v="2023-01-09T00:00:00"/>
    <s v="BSG-230109-1/0(37)"/>
    <m/>
    <m/>
    <s v="No"/>
  </r>
  <r>
    <n v="1864"/>
    <s v="Кахети"/>
    <s v="Сигнаги"/>
    <s v="(38) სოფ. ბოდბისხევი ყაჯრიშვილი მამუკას უბნის რეაბილიტაცია P.2.774"/>
    <x v="7"/>
    <n v="23000"/>
    <m/>
    <n v="56480"/>
    <n v="56480"/>
    <n v="56480"/>
    <n v="-33480"/>
    <n v="0"/>
    <n v="963"/>
    <n v="0"/>
    <n v="0"/>
    <m/>
    <s v="P.2.774"/>
    <n v="0"/>
    <n v="0"/>
    <m/>
    <m/>
    <m/>
    <m/>
    <m/>
    <m/>
    <m/>
    <m/>
    <m/>
    <m/>
    <m/>
    <m/>
    <m/>
    <m/>
    <m/>
    <m/>
    <m/>
    <m/>
    <m/>
    <m/>
    <m/>
    <m/>
    <m/>
    <m/>
    <m/>
    <n v="0"/>
    <n v="0"/>
    <n v="0"/>
    <n v="42372.88"/>
    <n v="1912.1800000000003"/>
    <n v="4595.2226779661023"/>
    <m/>
    <m/>
    <m/>
    <m/>
    <m/>
    <m/>
    <m/>
    <m/>
    <s v="Реаб."/>
    <d v="2023-12-27T00:00:00"/>
    <s v="Принят"/>
    <s v="SGG"/>
    <d v="2023-01-09T00:00:00"/>
    <s v="BSG-230109-1/0(38)"/>
    <m/>
    <m/>
    <s v="Yes"/>
  </r>
  <r>
    <n v="1865"/>
    <s v="Кахети"/>
    <s v="Дедоплисцкаро"/>
    <s v="(39) სოფ. ზემო მაჩხაანი-არბოშიკის მკვებავი გაზსადენის რებილიტაცია P.2.41"/>
    <x v="10"/>
    <n v="5754"/>
    <m/>
    <n v="5754"/>
    <m/>
    <n v="5754"/>
    <n v="0"/>
    <n v="0"/>
    <m/>
    <n v="0"/>
    <n v="0"/>
    <m/>
    <s v="P.2.41"/>
    <n v="0"/>
    <n v="0"/>
    <m/>
    <m/>
    <m/>
    <m/>
    <m/>
    <m/>
    <m/>
    <m/>
    <m/>
    <m/>
    <m/>
    <m/>
    <m/>
    <m/>
    <m/>
    <m/>
    <m/>
    <m/>
    <m/>
    <m/>
    <m/>
    <m/>
    <m/>
    <m/>
    <m/>
    <n v="0"/>
    <n v="0"/>
    <n v="0"/>
    <m/>
    <m/>
    <m/>
    <m/>
    <m/>
    <m/>
    <m/>
    <m/>
    <m/>
    <m/>
    <m/>
    <s v="Проектирование"/>
    <d v="2023-08-08T00:00:00"/>
    <s v="ПриПро"/>
    <s v="SGG"/>
    <d v="2023-01-09T00:00:00"/>
    <s v="BSG-230109-1/0(39)"/>
    <m/>
    <m/>
    <s v="No"/>
  </r>
  <r>
    <n v="1866"/>
    <s v="Кахети"/>
    <s v="Дедоплисцкаро"/>
    <s v="(40) სოფ. ზემო მაჩხაანი-არბოშიკის მკვებავი გაზსადენის რებილიტაცია P.2.41"/>
    <x v="7"/>
    <n v="210000"/>
    <m/>
    <n v="235098"/>
    <n v="235098"/>
    <n v="235097.99999999997"/>
    <n v="-25097.999999999971"/>
    <n v="0"/>
    <n v="3297.5"/>
    <n v="2.9103830456733704E-11"/>
    <n v="0"/>
    <m/>
    <s v="P.2.41"/>
    <n v="0"/>
    <n v="0"/>
    <m/>
    <m/>
    <m/>
    <m/>
    <m/>
    <m/>
    <m/>
    <m/>
    <m/>
    <m/>
    <m/>
    <m/>
    <m/>
    <m/>
    <m/>
    <m/>
    <m/>
    <m/>
    <m/>
    <m/>
    <m/>
    <m/>
    <m/>
    <m/>
    <m/>
    <n v="0"/>
    <n v="0"/>
    <n v="0"/>
    <n v="186440.66999999998"/>
    <n v="10703.539999999999"/>
    <n v="18853.205322033897"/>
    <m/>
    <m/>
    <m/>
    <m/>
    <m/>
    <m/>
    <m/>
    <m/>
    <s v="Реаб."/>
    <d v="2023-12-18T00:00:00"/>
    <s v="Принят"/>
    <s v="SGG"/>
    <d v="2023-01-09T00:00:00"/>
    <s v="BSG-230109-1/0(40)"/>
    <m/>
    <m/>
    <s v="Yes"/>
  </r>
  <r>
    <n v="1867"/>
    <s v="Кахети"/>
    <s v="Сигнаги"/>
    <s v="(41) სოფ. ქვ. ბოდბე თეთრი ფერმის უბნის რეაბილიტაცია P.2.786"/>
    <x v="10"/>
    <n v="985.25"/>
    <m/>
    <n v="985.25"/>
    <m/>
    <n v="985.25"/>
    <n v="0"/>
    <n v="0"/>
    <m/>
    <n v="0"/>
    <n v="0"/>
    <m/>
    <s v="P.2.786"/>
    <n v="0"/>
    <n v="0"/>
    <m/>
    <m/>
    <m/>
    <m/>
    <m/>
    <m/>
    <m/>
    <m/>
    <m/>
    <m/>
    <m/>
    <m/>
    <m/>
    <m/>
    <m/>
    <m/>
    <m/>
    <m/>
    <m/>
    <m/>
    <m/>
    <m/>
    <m/>
    <m/>
    <m/>
    <n v="0"/>
    <n v="0"/>
    <n v="0"/>
    <m/>
    <m/>
    <m/>
    <m/>
    <m/>
    <m/>
    <m/>
    <m/>
    <m/>
    <m/>
    <m/>
    <s v="Проектирование"/>
    <d v="2023-08-08T00:00:00"/>
    <s v="ПриПро"/>
    <s v="SGG"/>
    <d v="2023-01-09T00:00:00"/>
    <s v="BSG-230109-1/0(41)"/>
    <m/>
    <m/>
    <s v="No"/>
  </r>
  <r>
    <n v="1868"/>
    <s v="Кахети"/>
    <s v="Сигнаги"/>
    <s v="(42) სოფ. ქვ. ბოდბე თეთრი ფერმის უბნის რეაბილიტაცია P.2.786"/>
    <x v="7"/>
    <n v="45000"/>
    <m/>
    <n v="48987"/>
    <n v="48987"/>
    <n v="48987"/>
    <n v="-3987"/>
    <n v="0"/>
    <n v="522"/>
    <n v="0"/>
    <n v="0"/>
    <m/>
    <s v="P.2.786"/>
    <n v="0"/>
    <n v="0"/>
    <m/>
    <m/>
    <m/>
    <m/>
    <m/>
    <m/>
    <m/>
    <m/>
    <m/>
    <m/>
    <m/>
    <m/>
    <m/>
    <m/>
    <m/>
    <m/>
    <m/>
    <m/>
    <m/>
    <m/>
    <m/>
    <m/>
    <m/>
    <m/>
    <m/>
    <n v="0"/>
    <n v="0"/>
    <n v="0"/>
    <n v="25423.73"/>
    <n v="1147.3100000000013"/>
    <n v="4036.7096779661024"/>
    <m/>
    <m/>
    <m/>
    <m/>
    <m/>
    <m/>
    <m/>
    <m/>
    <s v="Реаб."/>
    <d v="2023-12-29T00:00:00"/>
    <s v="Принят"/>
    <s v="SGG"/>
    <d v="2023-01-09T00:00:00"/>
    <s v="BSG-230109-1/0(42)"/>
    <m/>
    <m/>
    <s v="Yes"/>
  </r>
  <r>
    <n v="1869"/>
    <s v="Кахети"/>
    <s v="Сигнаги"/>
    <s v="(43) სოფ. ქვ. ნუკრიანიდან გიორგი ბეჟაშვილის უბნამდე (ტრასა) რეაბილიტაცია P.2.783"/>
    <x v="10"/>
    <n v="5153.75"/>
    <m/>
    <n v="5153.75"/>
    <m/>
    <n v="5153.75"/>
    <n v="0"/>
    <n v="0"/>
    <m/>
    <n v="0"/>
    <n v="0"/>
    <m/>
    <s v="P.2.783"/>
    <n v="0"/>
    <n v="0"/>
    <m/>
    <m/>
    <m/>
    <m/>
    <m/>
    <m/>
    <m/>
    <m/>
    <m/>
    <m/>
    <m/>
    <m/>
    <m/>
    <m/>
    <m/>
    <m/>
    <m/>
    <m/>
    <m/>
    <m/>
    <m/>
    <m/>
    <m/>
    <m/>
    <m/>
    <n v="0"/>
    <n v="0"/>
    <n v="0"/>
    <m/>
    <m/>
    <m/>
    <m/>
    <m/>
    <m/>
    <m/>
    <m/>
    <m/>
    <m/>
    <m/>
    <s v="Проектирование"/>
    <d v="2023-08-08T00:00:00"/>
    <s v="ПриПро"/>
    <s v="SGG"/>
    <d v="2023-01-09T00:00:00"/>
    <s v="BSG-230109-1/0(43)"/>
    <m/>
    <m/>
    <s v="No"/>
  </r>
  <r>
    <n v="1870"/>
    <s v="Кахети"/>
    <s v="Сигнаги"/>
    <s v="(44) სოფ. ქვ. ნუკრიანიდან გიორგი ბეჟაშვილის უბნამდე (ტრასა) რეაბილიტაცია P.2.783"/>
    <x v="7"/>
    <n v="90000"/>
    <s v="აკლასნიკი"/>
    <n v="211918.55"/>
    <n v="211918.55"/>
    <n v="188258.76180000004"/>
    <n v="-98258.761800000037"/>
    <n v="23659.788199999952"/>
    <n v="2847.6"/>
    <n v="23659.788199999952"/>
    <n v="1"/>
    <m/>
    <s v="P.2.783"/>
    <n v="21918.55"/>
    <n v="3343.5099999999998"/>
    <n v="21000"/>
    <m/>
    <n v="918.55"/>
    <n v="3203.39"/>
    <m/>
    <n v="140.12"/>
    <m/>
    <m/>
    <m/>
    <m/>
    <m/>
    <m/>
    <m/>
    <m/>
    <m/>
    <m/>
    <m/>
    <m/>
    <m/>
    <m/>
    <m/>
    <m/>
    <m/>
    <m/>
    <m/>
    <n v="0"/>
    <n v="0"/>
    <n v="0"/>
    <m/>
    <m/>
    <m/>
    <n v="161016.95000000001"/>
    <n v="14181.5"/>
    <m/>
    <n v="16541.049152542375"/>
    <n v="17796.61"/>
    <n v="400.55"/>
    <m/>
    <m/>
    <s v="Реаб."/>
    <d v="2025-02-17T00:00:00"/>
    <s v="Принят"/>
    <s v="SGG"/>
    <d v="2023-01-09T00:00:00"/>
    <s v="BSG-230109-1/0(44)"/>
    <m/>
    <m/>
    <s v="Yes"/>
  </r>
  <r>
    <n v="1871"/>
    <s v="Кахети"/>
    <s v="Лагодехи"/>
    <s v="(45) სოფ. შრომა კავკასიონის ქუჩის რეაბილიტაცია. P.2.886"/>
    <x v="7"/>
    <n v="95000"/>
    <n v="2"/>
    <n v="54195.18"/>
    <m/>
    <n v="43012.82"/>
    <n v="51987.18"/>
    <n v="11182.36"/>
    <n v="885"/>
    <n v="11182.36"/>
    <n v="1"/>
    <m/>
    <s v="P.2.886"/>
    <n v="4195.18"/>
    <n v="639.94000000000005"/>
    <m/>
    <m/>
    <n v="4195.18"/>
    <m/>
    <m/>
    <n v="639.94000000000005"/>
    <m/>
    <m/>
    <m/>
    <m/>
    <m/>
    <m/>
    <m/>
    <m/>
    <m/>
    <m/>
    <m/>
    <m/>
    <m/>
    <m/>
    <m/>
    <m/>
    <m/>
    <m/>
    <m/>
    <n v="0"/>
    <n v="0"/>
    <n v="0"/>
    <m/>
    <m/>
    <m/>
    <n v="42372.88"/>
    <n v="3933.4599999999991"/>
    <m/>
    <m/>
    <m/>
    <m/>
    <m/>
    <m/>
    <s v="Реаб."/>
    <d v="2025-02-21T00:00:00"/>
    <s v="Принят"/>
    <s v="SGG"/>
    <d v="2023-01-09T00:00:00"/>
    <s v="BSG-230109-1/0(45)"/>
    <m/>
    <m/>
    <s v="Yes"/>
  </r>
  <r>
    <n v="1872"/>
    <s v="Кахети"/>
    <s v="Гурджаани"/>
    <s v="(46) სოფ. ჩალაუბანში მრიცხველების გამოტანა 170 ც. ვოდების და მრიცხველების გამოატანა ეზოებიდან, 250ც. P.2.875"/>
    <x v="10"/>
    <n v="0"/>
    <n v="2"/>
    <m/>
    <m/>
    <m/>
    <n v="0"/>
    <n v="0"/>
    <m/>
    <n v="0"/>
    <n v="2"/>
    <m/>
    <s v="P.2.875"/>
    <n v="0"/>
    <n v="0"/>
    <m/>
    <m/>
    <m/>
    <m/>
    <m/>
    <m/>
    <m/>
    <m/>
    <m/>
    <m/>
    <m/>
    <m/>
    <m/>
    <m/>
    <m/>
    <m/>
    <m/>
    <m/>
    <m/>
    <m/>
    <m/>
    <m/>
    <m/>
    <m/>
    <m/>
    <n v="0"/>
    <n v="0"/>
    <n v="0"/>
    <m/>
    <m/>
    <m/>
    <m/>
    <m/>
    <m/>
    <m/>
    <m/>
    <m/>
    <m/>
    <m/>
    <s v="Проектирование"/>
    <m/>
    <n v="0"/>
    <s v="SGG"/>
    <d v="2023-01-09T00:00:00"/>
    <s v="BSG-230109-1/0(46)"/>
    <m/>
    <m/>
    <m/>
  </r>
  <r>
    <n v="1873"/>
    <s v="Кахети"/>
    <s v="Гурджаани"/>
    <s v="(47) სოფ. ჩალაუბანში მრიცხველების გამოტანა 170 ც. ვოდების და მრიცხველების გამოატანა ეზოებიდან, 250ც. P.2.875"/>
    <x v="7"/>
    <n v="47000"/>
    <n v="2"/>
    <m/>
    <m/>
    <m/>
    <n v="47000"/>
    <n v="0"/>
    <m/>
    <n v="47000"/>
    <n v="1"/>
    <m/>
    <s v="P.2.875"/>
    <n v="0"/>
    <n v="0"/>
    <m/>
    <m/>
    <m/>
    <m/>
    <m/>
    <m/>
    <m/>
    <m/>
    <m/>
    <m/>
    <m/>
    <m/>
    <m/>
    <m/>
    <m/>
    <m/>
    <m/>
    <m/>
    <m/>
    <m/>
    <m/>
    <m/>
    <m/>
    <m/>
    <m/>
    <n v="0"/>
    <n v="0"/>
    <n v="0"/>
    <m/>
    <m/>
    <m/>
    <m/>
    <m/>
    <m/>
    <m/>
    <m/>
    <m/>
    <m/>
    <m/>
    <s v="Реаб."/>
    <m/>
    <n v="0"/>
    <s v="SGG"/>
    <d v="2023-01-09T00:00:00"/>
    <s v="BSG-230109-1/0(47)"/>
    <m/>
    <m/>
    <m/>
  </r>
  <r>
    <n v="1874"/>
    <s v="Кахети"/>
    <s v="Сигнаги"/>
    <s v="(48) სოფ. ჯუგაანი ყაფლანას უბნის რეაბილიტაცია P.2.779"/>
    <x v="10"/>
    <n v="2504.25"/>
    <m/>
    <n v="2504.25"/>
    <m/>
    <n v="2504.25"/>
    <n v="0"/>
    <n v="0"/>
    <m/>
    <n v="0"/>
    <n v="0"/>
    <m/>
    <s v="P.2.779"/>
    <n v="0"/>
    <n v="0"/>
    <m/>
    <m/>
    <m/>
    <m/>
    <m/>
    <m/>
    <m/>
    <m/>
    <m/>
    <m/>
    <m/>
    <m/>
    <m/>
    <m/>
    <m/>
    <m/>
    <m/>
    <m/>
    <m/>
    <m/>
    <m/>
    <m/>
    <m/>
    <m/>
    <m/>
    <n v="0"/>
    <n v="0"/>
    <n v="0"/>
    <m/>
    <m/>
    <m/>
    <m/>
    <m/>
    <m/>
    <m/>
    <m/>
    <m/>
    <m/>
    <m/>
    <s v="Проектирование"/>
    <d v="2023-08-08T00:00:00"/>
    <s v="ПриПро"/>
    <s v="SGG"/>
    <d v="2023-01-09T00:00:00"/>
    <s v="BSG-230109-1/0(48)"/>
    <m/>
    <m/>
    <s v="No"/>
  </r>
  <r>
    <n v="1875"/>
    <s v="Кахети"/>
    <s v="Сигнаги"/>
    <s v="(49) სოფ. ჯუგაანი ყაფლანას უბნის რეაბილიტაცია P.2.779"/>
    <x v="7"/>
    <n v="43000"/>
    <n v="2"/>
    <n v="103846.34"/>
    <n v="103846.34"/>
    <n v="103846.34"/>
    <n v="-60846.34"/>
    <n v="0"/>
    <n v="1687"/>
    <n v="0"/>
    <n v="0"/>
    <m/>
    <s v="P.2.779"/>
    <n v="0"/>
    <n v="0"/>
    <m/>
    <m/>
    <m/>
    <m/>
    <m/>
    <m/>
    <m/>
    <m/>
    <m/>
    <m/>
    <m/>
    <m/>
    <m/>
    <m/>
    <m/>
    <m/>
    <m/>
    <m/>
    <m/>
    <m/>
    <m/>
    <m/>
    <m/>
    <m/>
    <m/>
    <n v="0"/>
    <n v="0"/>
    <n v="0"/>
    <n v="50847.46"/>
    <n v="2294.62"/>
    <m/>
    <n v="25423.73"/>
    <n v="2360.08"/>
    <n v="4067.7966101694919"/>
    <n v="4267.2706779661012"/>
    <m/>
    <m/>
    <m/>
    <m/>
    <s v="Реаб."/>
    <d v="2024-08-14T00:00:00"/>
    <s v="Принят"/>
    <s v="SGG"/>
    <d v="2023-01-09T00:00:00"/>
    <s v="BSG-230109-1/0(49)"/>
    <m/>
    <s v="ივლისი-აგვისტო"/>
    <s v="Yes"/>
  </r>
  <r>
    <n v="1876"/>
    <s v="Квемо Картли"/>
    <s v="Марнеули"/>
    <s v="(50) ქ მარნეული მე-15 საუბნოზე საშუალო წნევის გაზსადენის რეაბილიტაცია P.2.911"/>
    <x v="10"/>
    <n v="644"/>
    <m/>
    <n v="644"/>
    <m/>
    <n v="644"/>
    <n v="0"/>
    <n v="0"/>
    <m/>
    <n v="0"/>
    <n v="0"/>
    <m/>
    <s v="P.2.911"/>
    <n v="0"/>
    <n v="0"/>
    <m/>
    <m/>
    <m/>
    <m/>
    <m/>
    <m/>
    <m/>
    <m/>
    <m/>
    <m/>
    <m/>
    <m/>
    <m/>
    <m/>
    <m/>
    <m/>
    <m/>
    <m/>
    <m/>
    <m/>
    <m/>
    <m/>
    <m/>
    <m/>
    <m/>
    <n v="0"/>
    <n v="0"/>
    <n v="0"/>
    <m/>
    <m/>
    <m/>
    <m/>
    <m/>
    <m/>
    <m/>
    <m/>
    <m/>
    <m/>
    <m/>
    <s v="Проектирование"/>
    <d v="2023-08-08T00:00:00"/>
    <s v="ПриПро"/>
    <s v="SGG"/>
    <d v="2023-01-09T00:00:00"/>
    <s v="BSG-230109-1/0(50)"/>
    <m/>
    <m/>
    <s v="No"/>
  </r>
  <r>
    <n v="1877"/>
    <s v="Квемо Картли"/>
    <s v="Марнеули"/>
    <s v="(51) ქ მარნეული მე-15 საუბნოზე საშუალო წნევის გაზსადენის რეაბილიტაცია P.2.911"/>
    <x v="7"/>
    <n v="15000"/>
    <n v="2"/>
    <n v="20655"/>
    <n v="20655"/>
    <n v="20655"/>
    <n v="-5655"/>
    <n v="0"/>
    <n v="356"/>
    <n v="0"/>
    <n v="0"/>
    <m/>
    <s v="P.2.911"/>
    <n v="0"/>
    <n v="0"/>
    <m/>
    <m/>
    <m/>
    <m/>
    <m/>
    <m/>
    <m/>
    <m/>
    <m/>
    <m/>
    <m/>
    <m/>
    <m/>
    <m/>
    <m/>
    <m/>
    <m/>
    <m/>
    <m/>
    <m/>
    <m/>
    <m/>
    <m/>
    <m/>
    <m/>
    <n v="0"/>
    <n v="0"/>
    <n v="0"/>
    <n v="0"/>
    <n v="0"/>
    <m/>
    <m/>
    <m/>
    <n v="1750.4237288135596"/>
    <n v="0"/>
    <m/>
    <m/>
    <m/>
    <m/>
    <s v="Реаб."/>
    <d v="2024-04-18T00:00:00"/>
    <s v="Принят"/>
    <s v="SGG"/>
    <d v="2023-01-09T00:00:00"/>
    <s v="BSG-230109-1/0(51)"/>
    <m/>
    <m/>
    <s v="Yes"/>
  </r>
  <r>
    <n v="1878"/>
    <s v="Кахети"/>
    <s v="Ахмета"/>
    <s v="(52) ქ. ახმეტა რუსთაველის ქუჩის გაზსადენის რეაბილიტაცია P.2.94"/>
    <x v="7"/>
    <n v="180000"/>
    <n v="2"/>
    <n v="364847.96"/>
    <n v="364847.96"/>
    <n v="364847.95999999996"/>
    <n v="-184847.95999999996"/>
    <n v="0"/>
    <n v="2341"/>
    <n v="5.8207660913467407E-11"/>
    <n v="0"/>
    <m/>
    <s v="P.2.94"/>
    <n v="0"/>
    <n v="0"/>
    <m/>
    <m/>
    <m/>
    <m/>
    <m/>
    <m/>
    <m/>
    <m/>
    <m/>
    <m/>
    <m/>
    <m/>
    <m/>
    <m/>
    <m/>
    <m/>
    <m/>
    <m/>
    <m/>
    <m/>
    <m/>
    <m/>
    <m/>
    <m/>
    <m/>
    <n v="0"/>
    <n v="0"/>
    <n v="0"/>
    <m/>
    <m/>
    <m/>
    <n v="271186.44"/>
    <n v="29313.72"/>
    <n v="13559.322033898308"/>
    <n v="14428.624610169492"/>
    <m/>
    <m/>
    <m/>
    <m/>
    <s v="Реаб."/>
    <d v="2024-08-14T00:00:00"/>
    <s v="Принят"/>
    <s v="SGG"/>
    <d v="2023-01-09T00:00:00"/>
    <s v="BSG-230109-1/0(52)"/>
    <m/>
    <s v="ივლისი-აგვისტო"/>
    <s v="Yes"/>
  </r>
  <r>
    <n v="1879"/>
    <s v="Квемо Картли"/>
    <s v="Гардабани"/>
    <s v="(53) ქ. გარდაბანი, გამარჯვების ქუჩაზე არსებული გაზგამანაწილებელი ქსელის რეაბილიტაცია P.2.999"/>
    <x v="10"/>
    <n v="5299"/>
    <m/>
    <n v="5299"/>
    <m/>
    <n v="5299"/>
    <n v="0"/>
    <n v="0"/>
    <m/>
    <n v="0"/>
    <n v="0"/>
    <m/>
    <s v="P.2.999"/>
    <n v="0"/>
    <n v="0"/>
    <m/>
    <m/>
    <m/>
    <m/>
    <m/>
    <m/>
    <m/>
    <m/>
    <m/>
    <m/>
    <m/>
    <m/>
    <m/>
    <m/>
    <m/>
    <m/>
    <m/>
    <m/>
    <m/>
    <m/>
    <m/>
    <m/>
    <m/>
    <m/>
    <m/>
    <n v="0"/>
    <n v="0"/>
    <n v="0"/>
    <m/>
    <m/>
    <m/>
    <m/>
    <m/>
    <m/>
    <m/>
    <m/>
    <m/>
    <m/>
    <m/>
    <s v="Проектирование"/>
    <d v="2023-09-05T00:00:00"/>
    <s v="ПриПро"/>
    <s v="SGG"/>
    <d v="2023-01-09T00:00:00"/>
    <s v="BSG-230109-1/0(53)"/>
    <m/>
    <m/>
    <s v="No"/>
  </r>
  <r>
    <n v="1880"/>
    <s v="Квемо Картли"/>
    <s v="Гардабани"/>
    <s v="(54) ქ. გარდაბანი, გამარჯვების ქუჩაზე არსებული გაზგამანაწილებელი ქსელის რეაბილიტაცია P.2.999"/>
    <x v="7"/>
    <n v="106000"/>
    <n v="2"/>
    <n v="180000"/>
    <m/>
    <n v="180000"/>
    <n v="-74000"/>
    <n v="0"/>
    <m/>
    <n v="-74000"/>
    <n v="1"/>
    <m/>
    <s v="P.2.999"/>
    <n v="0"/>
    <n v="0"/>
    <m/>
    <m/>
    <m/>
    <m/>
    <m/>
    <m/>
    <m/>
    <m/>
    <m/>
    <m/>
    <m/>
    <m/>
    <m/>
    <m/>
    <m/>
    <m/>
    <m/>
    <m/>
    <m/>
    <m/>
    <m/>
    <m/>
    <m/>
    <m/>
    <m/>
    <n v="0"/>
    <n v="0"/>
    <n v="0"/>
    <m/>
    <m/>
    <m/>
    <n v="152542.37"/>
    <m/>
    <m/>
    <m/>
    <m/>
    <m/>
    <m/>
    <m/>
    <s v="Реаб."/>
    <m/>
    <n v="80"/>
    <s v="SGG"/>
    <d v="2023-01-09T00:00:00"/>
    <s v="BSG-230109-1/0(54)"/>
    <m/>
    <m/>
    <s v="Yes"/>
  </r>
  <r>
    <n v="1881"/>
    <s v="Кахети"/>
    <s v="Дедоплисцкаро"/>
    <s v="(55) ქ. დედოფლისწყარო-ფალიაშვილის, სარაჯიშვილის და სკოლის ქუჩები გაზსადენის რეაბილიტაცია (ასფალტი) P.2.47"/>
    <x v="10"/>
    <n v="1125.25"/>
    <m/>
    <n v="1125.25"/>
    <m/>
    <n v="1125.25"/>
    <n v="0"/>
    <n v="0"/>
    <m/>
    <n v="0"/>
    <n v="0"/>
    <m/>
    <s v="P.2.47"/>
    <n v="0"/>
    <n v="0"/>
    <m/>
    <m/>
    <m/>
    <m/>
    <m/>
    <m/>
    <m/>
    <m/>
    <m/>
    <m/>
    <m/>
    <m/>
    <m/>
    <m/>
    <m/>
    <m/>
    <m/>
    <m/>
    <m/>
    <m/>
    <m/>
    <m/>
    <m/>
    <m/>
    <m/>
    <n v="0"/>
    <n v="0"/>
    <n v="0"/>
    <m/>
    <m/>
    <m/>
    <m/>
    <m/>
    <m/>
    <m/>
    <m/>
    <m/>
    <m/>
    <m/>
    <s v="Проектирование"/>
    <d v="2023-08-08T00:00:00"/>
    <s v="ПриПро"/>
    <s v="SGG"/>
    <d v="2023-01-09T00:00:00"/>
    <s v="BSG-230109-1/0(55)"/>
    <m/>
    <m/>
    <s v="No"/>
  </r>
  <r>
    <n v="1882"/>
    <s v="Кахети"/>
    <s v="Дедоплисцкаро"/>
    <s v="(56) ქ. დედოფლისწყარო-ფალიაშვილის, სარაჯიშვილის და სკოლის ქუჩები გაზსადენის რეაბილიტაცია (ასფალტი) P.2.47"/>
    <x v="7"/>
    <n v="40000"/>
    <m/>
    <n v="40956"/>
    <n v="40956"/>
    <n v="40956"/>
    <n v="-956"/>
    <n v="0"/>
    <n v="584.5"/>
    <n v="0"/>
    <n v="0"/>
    <m/>
    <s v="P.2.47"/>
    <n v="0"/>
    <n v="0"/>
    <m/>
    <m/>
    <m/>
    <m/>
    <m/>
    <m/>
    <m/>
    <m/>
    <m/>
    <m/>
    <m/>
    <m/>
    <m/>
    <m/>
    <m/>
    <m/>
    <m/>
    <m/>
    <m/>
    <m/>
    <m/>
    <m/>
    <m/>
    <m/>
    <m/>
    <n v="0"/>
    <n v="0"/>
    <n v="0"/>
    <n v="33898.31"/>
    <n v="1529.75"/>
    <n v="3317.8724576271193"/>
    <m/>
    <m/>
    <m/>
    <m/>
    <m/>
    <m/>
    <m/>
    <m/>
    <s v="Реаб."/>
    <d v="2023-12-18T00:00:00"/>
    <s v="Принят"/>
    <s v="SGG"/>
    <d v="2023-01-09T00:00:00"/>
    <s v="BSG-230109-1/0(56)"/>
    <m/>
    <m/>
    <s v="Yes"/>
  </r>
  <r>
    <n v="1883"/>
    <s v="Квемо Картли"/>
    <s v="Марнеули"/>
    <s v="(57) ქ. მარნეულში 8270 მეტრის სიგრძის საშუალო წნევის D=200 საშუასლო წნევის საჰაერო გაზსადენის რეაბილიტაცია. P.2.904"/>
    <x v="10"/>
    <n v="10995.25"/>
    <m/>
    <n v="10995.25"/>
    <m/>
    <n v="10995.25"/>
    <n v="0"/>
    <n v="0"/>
    <m/>
    <n v="0"/>
    <n v="0"/>
    <m/>
    <s v="P.2.904"/>
    <n v="0"/>
    <n v="0"/>
    <m/>
    <m/>
    <m/>
    <m/>
    <m/>
    <m/>
    <m/>
    <m/>
    <m/>
    <m/>
    <m/>
    <m/>
    <m/>
    <m/>
    <m/>
    <m/>
    <m/>
    <m/>
    <m/>
    <m/>
    <m/>
    <m/>
    <m/>
    <m/>
    <m/>
    <n v="0"/>
    <n v="0"/>
    <n v="0"/>
    <m/>
    <m/>
    <m/>
    <m/>
    <m/>
    <m/>
    <m/>
    <m/>
    <m/>
    <m/>
    <m/>
    <s v="Проектирование"/>
    <d v="2023-08-08T00:00:00"/>
    <s v="ПриПро"/>
    <s v="SGG"/>
    <d v="2023-01-09T00:00:00"/>
    <s v="BSG-230109-1/0(57)"/>
    <m/>
    <m/>
    <s v="No"/>
  </r>
  <r>
    <n v="1884"/>
    <s v="Квемо Картли"/>
    <s v="Марнеули"/>
    <s v="(58) ქ. მარნეულში 8270 მეტრის სიგრძის საშუალო წნევის D=200 საშუასლო წნევის საჰაერო გაზსადენის რეაბილიტაცია. P.2.904"/>
    <x v="7"/>
    <n v="1445000"/>
    <m/>
    <n v="1027788"/>
    <n v="1027788"/>
    <n v="1027787.9999999999"/>
    <n v="417212.00000000012"/>
    <n v="0"/>
    <n v="6151"/>
    <n v="1.1641532182693481E-10"/>
    <n v="0"/>
    <m/>
    <s v="P.2.904"/>
    <n v="0"/>
    <n v="0"/>
    <m/>
    <m/>
    <m/>
    <m/>
    <m/>
    <m/>
    <m/>
    <m/>
    <m/>
    <m/>
    <m/>
    <m/>
    <m/>
    <m/>
    <m/>
    <m/>
    <m/>
    <m/>
    <m/>
    <m/>
    <m/>
    <m/>
    <m/>
    <m/>
    <m/>
    <n v="0"/>
    <n v="0"/>
    <n v="0"/>
    <n v="847457.62999999989"/>
    <n v="46109.1"/>
    <n v="82489.767966101703"/>
    <m/>
    <m/>
    <m/>
    <m/>
    <m/>
    <m/>
    <m/>
    <m/>
    <s v="Реаб."/>
    <d v="2023-12-29T00:00:00"/>
    <s v="Принят"/>
    <s v="SGG"/>
    <d v="2023-01-09T00:00:00"/>
    <s v="BSG-230109-1/0(58)"/>
    <m/>
    <m/>
    <s v="Yes"/>
  </r>
  <r>
    <n v="1885"/>
    <s v="Кахети"/>
    <s v="Кварели"/>
    <s v="(59) ქ. ყვარელი N 999გრს-იდან ბურსის ხიდამდე რეაბილიტაცია საშუალო წნევის გაზსადენის რეაბილიტაცია P.2.96"/>
    <x v="10"/>
    <n v="7875"/>
    <m/>
    <n v="7875"/>
    <m/>
    <n v="7875"/>
    <n v="0"/>
    <n v="0"/>
    <m/>
    <n v="0"/>
    <n v="0"/>
    <m/>
    <s v="P.2.96"/>
    <n v="0"/>
    <n v="0"/>
    <m/>
    <m/>
    <m/>
    <m/>
    <m/>
    <m/>
    <m/>
    <m/>
    <m/>
    <m/>
    <m/>
    <m/>
    <m/>
    <m/>
    <m/>
    <m/>
    <m/>
    <m/>
    <m/>
    <m/>
    <m/>
    <m/>
    <m/>
    <m/>
    <m/>
    <n v="0"/>
    <n v="0"/>
    <n v="0"/>
    <m/>
    <m/>
    <m/>
    <m/>
    <m/>
    <m/>
    <m/>
    <m/>
    <m/>
    <m/>
    <m/>
    <s v="Проектирование"/>
    <d v="2023-06-26T00:00:00"/>
    <s v="ПриПро"/>
    <s v="SGG"/>
    <d v="2023-01-09T00:00:00"/>
    <s v="BSG-230109-1/0(59)"/>
    <m/>
    <m/>
    <s v="No"/>
  </r>
  <r>
    <n v="1886"/>
    <s v="Кахети"/>
    <s v="Кварели"/>
    <s v="(60) ქ. ყვარელი N 999გრს-იდან ბურსის ხიდამდე რეაბილიტაცია საშუალო წნევის გაზსადენის რეაბილიტაცია P.2.96"/>
    <x v="7"/>
    <n v="670000"/>
    <m/>
    <n v="896187"/>
    <n v="896187"/>
    <n v="896187"/>
    <n v="-226187"/>
    <n v="0"/>
    <n v="4727"/>
    <n v="0"/>
    <n v="0"/>
    <m/>
    <s v="P.2.96"/>
    <n v="0"/>
    <n v="0"/>
    <m/>
    <m/>
    <m/>
    <m/>
    <m/>
    <m/>
    <m/>
    <m/>
    <m/>
    <m/>
    <m/>
    <m/>
    <m/>
    <m/>
    <m/>
    <m/>
    <m/>
    <m/>
    <m/>
    <m/>
    <m/>
    <m/>
    <m/>
    <m/>
    <m/>
    <n v="0"/>
    <n v="0"/>
    <n v="0"/>
    <n v="654237.30000000005"/>
    <n v="66136.2"/>
    <n v="69334.430847457639"/>
    <m/>
    <m/>
    <m/>
    <m/>
    <m/>
    <m/>
    <m/>
    <m/>
    <s v="Реаб."/>
    <d v="2023-10-30T00:00:00"/>
    <s v="Принят"/>
    <s v="SGG"/>
    <d v="2023-01-09T00:00:00"/>
    <s v="BSG-230109-1/0(60)"/>
    <m/>
    <m/>
    <s v="Yes"/>
  </r>
  <r>
    <n v="1887"/>
    <s v="Кахети"/>
    <s v="Кварели"/>
    <s v="(61) ქ. ყვარელი ზურაბ ჭავჭავაძის 57.06.53.330-დან 57.06.53.302-მდე მირიან მეფის ქუჩის მიწისქვეშა დ. წნევის გაზსადენის რეაბილიტაცია 57.06.53.022-დან 57.06.53.237-მდე ფარნავაზის ქუჩის მიწისქვეშა დაბალი წნევის გაზსადენის რეაბილიტაცია 57.06.53.249-დან 57.06.53.182-მდე P.2.115"/>
    <x v="10"/>
    <n v="2345"/>
    <m/>
    <n v="2345"/>
    <m/>
    <n v="2345"/>
    <n v="0"/>
    <n v="0"/>
    <m/>
    <n v="0"/>
    <n v="0"/>
    <m/>
    <s v="P.2.115"/>
    <n v="0"/>
    <n v="0"/>
    <m/>
    <m/>
    <m/>
    <m/>
    <m/>
    <m/>
    <m/>
    <m/>
    <m/>
    <m/>
    <m/>
    <m/>
    <m/>
    <m/>
    <m/>
    <m/>
    <m/>
    <m/>
    <m/>
    <m/>
    <m/>
    <m/>
    <m/>
    <m/>
    <m/>
    <n v="0"/>
    <n v="0"/>
    <n v="0"/>
    <m/>
    <m/>
    <m/>
    <m/>
    <m/>
    <m/>
    <m/>
    <m/>
    <m/>
    <m/>
    <m/>
    <s v="Проектирование"/>
    <d v="2023-06-26T00:00:00"/>
    <s v="ПриПро"/>
    <s v="SGG"/>
    <d v="2023-01-09T00:00:00"/>
    <s v="BSG-230109-1/0(61)"/>
    <m/>
    <m/>
    <s v="No"/>
  </r>
  <r>
    <n v="1888"/>
    <s v="Кахети"/>
    <s v="Кварели"/>
    <s v="(62) ქ. ყვარელი ზურაბ ჭავჭავაძის 57.06.53.330-დან 57.06.53.302-მდე მირიან მეფის ქუჩის მიწისქვეშა დ. წნევის გაზსადენის რეაბილიტაცია 57.06.53.022-დან 57.06.53.237-მდე ფარნავაზის ქუჩის მიწისქვეშა დაბალი წნევის გაზსადენის რეაბილიტაცია 57.06.53.249-დან 57.06.53.182-მდე P.2.115"/>
    <x v="7"/>
    <n v="190000"/>
    <n v="2"/>
    <n v="109129"/>
    <n v="109129"/>
    <n v="109129"/>
    <n v="80871"/>
    <n v="0"/>
    <n v="1412"/>
    <n v="0"/>
    <n v="0"/>
    <m/>
    <s v="P.2.115"/>
    <n v="0"/>
    <n v="0"/>
    <m/>
    <m/>
    <m/>
    <m/>
    <m/>
    <m/>
    <m/>
    <m/>
    <m/>
    <m/>
    <m/>
    <m/>
    <m/>
    <m/>
    <m/>
    <m/>
    <m/>
    <m/>
    <m/>
    <m/>
    <m/>
    <m/>
    <m/>
    <m/>
    <m/>
    <n v="0"/>
    <n v="0"/>
    <n v="0"/>
    <n v="42372.88"/>
    <n v="1912.18"/>
    <m/>
    <m/>
    <m/>
    <n v="9057.0023389830512"/>
    <n v="0"/>
    <m/>
    <m/>
    <m/>
    <m/>
    <s v="Реаб."/>
    <d v="2024-02-29T00:00:00"/>
    <s v="Принят"/>
    <s v="SGG"/>
    <d v="2023-01-09T00:00:00"/>
    <s v="BSG-230109-1/0(62)"/>
    <m/>
    <m/>
    <s v="Yes"/>
  </r>
  <r>
    <n v="1889"/>
    <s v="Кахети"/>
    <s v="Кварели"/>
    <s v="(63) ქ. ყვარელი ი ჭავჭავაძის ქ (ყაზარმის ტერიტორია) საკადასტრო კოდით 57. 06.52.090-დან 57.06.52.413-მდე მიწისქვეშა საშუალო წნევის გაზსადენის რეაბილიტაცია . P.2.92"/>
    <x v="10"/>
    <n v="3778"/>
    <m/>
    <n v="3778"/>
    <m/>
    <n v="3778"/>
    <n v="0"/>
    <n v="0"/>
    <m/>
    <n v="0"/>
    <n v="0"/>
    <m/>
    <s v="P.2.92"/>
    <n v="0"/>
    <n v="0"/>
    <m/>
    <m/>
    <m/>
    <m/>
    <m/>
    <m/>
    <m/>
    <m/>
    <m/>
    <m/>
    <m/>
    <m/>
    <m/>
    <m/>
    <m/>
    <m/>
    <m/>
    <m/>
    <m/>
    <m/>
    <m/>
    <m/>
    <m/>
    <m/>
    <m/>
    <n v="0"/>
    <n v="0"/>
    <n v="0"/>
    <m/>
    <m/>
    <m/>
    <m/>
    <m/>
    <m/>
    <m/>
    <m/>
    <m/>
    <m/>
    <m/>
    <s v="Проектирование"/>
    <d v="2023-06-26T00:00:00"/>
    <s v="ПриПро"/>
    <s v="SGG"/>
    <d v="2023-01-09T00:00:00"/>
    <s v="BSG-230109-1/0(63)"/>
    <m/>
    <m/>
    <s v="No"/>
  </r>
  <r>
    <n v="1890"/>
    <s v="Кахети"/>
    <s v="Кварели"/>
    <s v="(64) ქ. ყვარელი ი ჭავჭავაძის ქ (ყაზარმის ტერიტორია) საკადასტრო კოდით 57. 06.52.090-დან 57.06.52.413-მდე მიწისქვეშა საშუალო წნევის გაზსადენის რეაბილიტაცია . P.2.92"/>
    <x v="7"/>
    <n v="215000"/>
    <m/>
    <n v="276547"/>
    <n v="276547"/>
    <n v="276546.9927"/>
    <n v="-61546.992700000003"/>
    <n v="7.299999997485429E-3"/>
    <n v="2600"/>
    <n v="7.299999997485429E-3"/>
    <n v="0"/>
    <m/>
    <s v="P.2.92"/>
    <n v="0"/>
    <n v="0"/>
    <m/>
    <m/>
    <m/>
    <m/>
    <m/>
    <m/>
    <m/>
    <m/>
    <m/>
    <m/>
    <m/>
    <m/>
    <m/>
    <m/>
    <m/>
    <m/>
    <m/>
    <m/>
    <m/>
    <m/>
    <m/>
    <m/>
    <m/>
    <m/>
    <m/>
    <n v="0"/>
    <n v="0"/>
    <n v="0"/>
    <n v="144067.79999999999"/>
    <n v="9627.5499999999993"/>
    <n v="22473.43144067797"/>
    <m/>
    <m/>
    <m/>
    <m/>
    <m/>
    <m/>
    <m/>
    <m/>
    <s v="Реаб."/>
    <d v="2023-12-29T00:00:00"/>
    <s v="Принят"/>
    <s v="SGG"/>
    <d v="2023-01-09T00:00:00"/>
    <s v="BSG-230109-1/0(64)"/>
    <m/>
    <m/>
    <s v="Yes"/>
  </r>
  <r>
    <n v="1891"/>
    <s v="Квемо Картли"/>
    <s v="Цалка"/>
    <s v="(65) ქ. წალკის მკვებავი D-150 გაზსადენის რეაბილიტაცია P.2.828"/>
    <x v="10"/>
    <n v="6492"/>
    <m/>
    <n v="6492"/>
    <m/>
    <n v="6492"/>
    <n v="0"/>
    <n v="0"/>
    <m/>
    <n v="0"/>
    <n v="0"/>
    <m/>
    <s v="P.2.828"/>
    <n v="0"/>
    <n v="0"/>
    <m/>
    <m/>
    <m/>
    <m/>
    <m/>
    <m/>
    <m/>
    <m/>
    <m/>
    <m/>
    <m/>
    <m/>
    <m/>
    <m/>
    <m/>
    <m/>
    <m/>
    <m/>
    <m/>
    <m/>
    <m/>
    <m/>
    <m/>
    <m/>
    <m/>
    <n v="0"/>
    <n v="0"/>
    <n v="0"/>
    <m/>
    <m/>
    <m/>
    <m/>
    <m/>
    <m/>
    <m/>
    <m/>
    <m/>
    <m/>
    <m/>
    <s v="Проектирование"/>
    <d v="2023-06-26T00:00:00"/>
    <s v="ПриПро"/>
    <s v="SGG"/>
    <d v="2023-01-09T00:00:00"/>
    <s v="BSG-230109-1/0(65)"/>
    <m/>
    <m/>
    <s v="No"/>
  </r>
  <r>
    <n v="1892"/>
    <s v="Квемо Картли"/>
    <s v="Марнеули"/>
    <s v="(66) ქესალო 1 ამორტიზებული გაზსადენის შეცვლა უსაფრთხო და უწყვეტი მიწოდებისთვის P.2.1065"/>
    <x v="10"/>
    <n v="34076"/>
    <m/>
    <n v="34076"/>
    <m/>
    <n v="34076"/>
    <n v="0"/>
    <n v="0"/>
    <m/>
    <n v="0"/>
    <n v="0"/>
    <m/>
    <s v="P.2.1065"/>
    <n v="0"/>
    <n v="0"/>
    <m/>
    <m/>
    <m/>
    <m/>
    <m/>
    <m/>
    <m/>
    <m/>
    <m/>
    <m/>
    <m/>
    <m/>
    <m/>
    <m/>
    <m/>
    <m/>
    <m/>
    <m/>
    <m/>
    <m/>
    <m/>
    <m/>
    <m/>
    <m/>
    <m/>
    <n v="0"/>
    <n v="0"/>
    <n v="0"/>
    <m/>
    <m/>
    <m/>
    <m/>
    <m/>
    <m/>
    <m/>
    <m/>
    <m/>
    <m/>
    <m/>
    <s v="Проектирование"/>
    <d v="2023-12-07T00:00:00"/>
    <s v="ПриПро"/>
    <s v="SGG"/>
    <d v="2023-01-09T00:00:00"/>
    <s v="BSG-230109-1/0(66)"/>
    <m/>
    <m/>
    <s v="No"/>
  </r>
  <r>
    <n v="1893"/>
    <s v="Квемо Картли"/>
    <s v="Марнеули"/>
    <s v="(67) ქესალო 1 ამორტიზებული გაზსადენის შეცვლა უსაფრთხო და უწყვეტი მიწოდებისთვის P.2.1065"/>
    <x v="7"/>
    <n v="796000"/>
    <s v="აკლასნიკი"/>
    <n v="1060014.96"/>
    <m/>
    <n v="1034578.551"/>
    <n v="-238578.55099999998"/>
    <n v="25436.408999999985"/>
    <n v="22591.3"/>
    <n v="25436.408999999985"/>
    <n v="1"/>
    <m/>
    <s v="P.2.1065"/>
    <n v="100014.96"/>
    <n v="15256.52"/>
    <n v="97000"/>
    <m/>
    <n v="3014.96"/>
    <n v="14796.61"/>
    <m/>
    <n v="459.91"/>
    <m/>
    <m/>
    <m/>
    <m/>
    <m/>
    <m/>
    <m/>
    <m/>
    <m/>
    <m/>
    <m/>
    <m/>
    <m/>
    <m/>
    <m/>
    <m/>
    <m/>
    <m/>
    <s v="საბოლოო"/>
    <n v="0"/>
    <n v="0"/>
    <n v="0"/>
    <m/>
    <m/>
    <m/>
    <n v="813559.33"/>
    <n v="84804.56"/>
    <n v="50847.457627118652"/>
    <n v="30503.862644067791"/>
    <n v="82203.39"/>
    <n v="1850.14"/>
    <m/>
    <m/>
    <s v="Реаб."/>
    <d v="2025-02-17T00:00:00"/>
    <s v="Принят"/>
    <s v="SGG"/>
    <d v="2023-01-09T00:00:00"/>
    <s v="BSG-230109-1/0(67)"/>
    <m/>
    <m/>
    <s v="Yes"/>
  </r>
  <r>
    <n v="1894"/>
    <s v="Квемо Картли"/>
    <s v="Марнеули"/>
    <s v="(68) ქესალო 2 ამორტიზებული გაზსადენის შეცვლა უსაფრთხო და უწყვეტი მიწოდებისთვის P.2.1066"/>
    <x v="10"/>
    <n v="32739"/>
    <m/>
    <n v="32739"/>
    <m/>
    <n v="32739"/>
    <n v="0"/>
    <n v="0"/>
    <m/>
    <n v="0"/>
    <n v="0"/>
    <m/>
    <s v="P.2.1066"/>
    <n v="0"/>
    <n v="0"/>
    <m/>
    <m/>
    <m/>
    <m/>
    <m/>
    <m/>
    <m/>
    <m/>
    <m/>
    <m/>
    <m/>
    <m/>
    <m/>
    <m/>
    <m/>
    <m/>
    <m/>
    <m/>
    <m/>
    <m/>
    <m/>
    <m/>
    <m/>
    <m/>
    <m/>
    <n v="0"/>
    <n v="0"/>
    <n v="0"/>
    <m/>
    <m/>
    <m/>
    <m/>
    <m/>
    <m/>
    <m/>
    <m/>
    <m/>
    <m/>
    <m/>
    <s v="Проектирование"/>
    <d v="2023-08-08T00:00:00"/>
    <s v="ПриПро"/>
    <s v="SGG"/>
    <d v="2023-01-09T00:00:00"/>
    <s v="BSG-230109-1/0(68)"/>
    <m/>
    <m/>
    <s v="No"/>
  </r>
  <r>
    <n v="1895"/>
    <s v="Квемо Картли"/>
    <s v="Марнеули"/>
    <s v="(69) ქესალო 2 ამორტიზებული გაზსადენის შეცვლა უსაფრთხო და უწყვეტი მიწოდებისთვის P.2.1066"/>
    <x v="7"/>
    <n v="750000"/>
    <n v="2"/>
    <n v="919433.7"/>
    <n v="919433.7"/>
    <n v="919433.69999999984"/>
    <n v="-169433.69999999984"/>
    <n v="0"/>
    <n v="20966"/>
    <n v="1.1641532182693481E-10"/>
    <n v="0"/>
    <m/>
    <s v="P.2.1066"/>
    <n v="0"/>
    <n v="0"/>
    <m/>
    <m/>
    <m/>
    <m/>
    <m/>
    <m/>
    <m/>
    <m/>
    <m/>
    <m/>
    <m/>
    <m/>
    <m/>
    <m/>
    <m/>
    <m/>
    <m/>
    <m/>
    <m/>
    <m/>
    <m/>
    <m/>
    <m/>
    <m/>
    <m/>
    <n v="0"/>
    <n v="0"/>
    <n v="0"/>
    <m/>
    <m/>
    <m/>
    <n v="745762.72"/>
    <n v="50955.231864406742"/>
    <n v="57627.118644067814"/>
    <n v="15195.468338983032"/>
    <m/>
    <m/>
    <m/>
    <m/>
    <s v="Реаб."/>
    <d v="2024-09-06T00:00:00"/>
    <s v="Принят"/>
    <s v="SGG"/>
    <d v="2023-01-09T00:00:00"/>
    <s v="BSG-230109-1/0(69)"/>
    <m/>
    <m/>
    <s v="Yes"/>
  </r>
  <r>
    <n v="1896"/>
    <s v="Шида Картли"/>
    <s v="Карели"/>
    <s v="(1) ბრეთის გრს-ის სოფლების საჰაერო გაზსადენის რეაბილიტაცია P.3.151"/>
    <x v="12"/>
    <n v="53754.75"/>
    <m/>
    <n v="53754.75"/>
    <m/>
    <n v="53754.75"/>
    <n v="0"/>
    <n v="0"/>
    <m/>
    <n v="0"/>
    <n v="0"/>
    <m/>
    <s v="P.3.151"/>
    <n v="0"/>
    <n v="0"/>
    <m/>
    <m/>
    <m/>
    <m/>
    <m/>
    <m/>
    <m/>
    <m/>
    <m/>
    <m/>
    <m/>
    <m/>
    <m/>
    <m/>
    <m/>
    <m/>
    <m/>
    <m/>
    <m/>
    <m/>
    <m/>
    <m/>
    <m/>
    <m/>
    <m/>
    <n v="0"/>
    <n v="0"/>
    <n v="0"/>
    <m/>
    <m/>
    <m/>
    <m/>
    <m/>
    <m/>
    <m/>
    <m/>
    <m/>
    <m/>
    <m/>
    <s v="Проектирование"/>
    <d v="2023-10-20T00:00:00"/>
    <s v="ПриПро"/>
    <s v="SGG"/>
    <d v="2023-01-05T00:00:00"/>
    <s v="BSG-230105-1/0(1)"/>
    <m/>
    <m/>
    <s v="No"/>
  </r>
  <r>
    <n v="1897"/>
    <s v="Шида Картли"/>
    <s v="Карели"/>
    <s v="(2) ბრეთის გრს-ის სოფლების საჰაერო გაზსადენის რეაბილიტაცია P.3.151"/>
    <x v="5"/>
    <n v="1013047.43199999"/>
    <n v="2"/>
    <n v="1729000"/>
    <m/>
    <n v="1704423.73"/>
    <n v="-691376.29800000996"/>
    <n v="24576.270000000019"/>
    <m/>
    <n v="-691376.29800000996"/>
    <n v="1"/>
    <m/>
    <s v="P.3.151"/>
    <n v="29000"/>
    <n v="4423.7299999999996"/>
    <m/>
    <m/>
    <m/>
    <m/>
    <n v="29000"/>
    <m/>
    <m/>
    <n v="4423.7299999999996"/>
    <m/>
    <m/>
    <m/>
    <m/>
    <m/>
    <m/>
    <m/>
    <m/>
    <m/>
    <m/>
    <m/>
    <m/>
    <m/>
    <m/>
    <m/>
    <m/>
    <m/>
    <n v="0"/>
    <n v="0"/>
    <n v="0"/>
    <n v="1016949.15"/>
    <m/>
    <m/>
    <n v="423728.81"/>
    <m/>
    <m/>
    <m/>
    <m/>
    <m/>
    <m/>
    <m/>
    <s v="Реаб."/>
    <m/>
    <n v="85"/>
    <s v="SGG"/>
    <d v="2023-01-05T00:00:00"/>
    <s v="BSG-230105-1/0(2)"/>
    <m/>
    <s v="მერე"/>
    <m/>
  </r>
  <r>
    <n v="1898"/>
    <s v="Мцхета-Мтианети"/>
    <s v="Душети"/>
    <s v="(3) სოფ. ბულაჩაური -აბანოსხევის მიმართულების საშუალო წნევის გაზსადენის რეაბილიტაცია P.3.71"/>
    <x v="12"/>
    <n v="14236.25"/>
    <m/>
    <n v="14236.25"/>
    <m/>
    <n v="14236.25"/>
    <n v="0"/>
    <n v="0"/>
    <m/>
    <n v="0"/>
    <n v="0"/>
    <m/>
    <s v="P.3.71"/>
    <n v="0"/>
    <n v="0"/>
    <m/>
    <m/>
    <m/>
    <m/>
    <m/>
    <m/>
    <m/>
    <m/>
    <m/>
    <m/>
    <m/>
    <m/>
    <m/>
    <m/>
    <m/>
    <m/>
    <m/>
    <m/>
    <m/>
    <m/>
    <m/>
    <m/>
    <m/>
    <m/>
    <m/>
    <n v="0"/>
    <n v="0"/>
    <n v="0"/>
    <m/>
    <m/>
    <m/>
    <m/>
    <m/>
    <m/>
    <m/>
    <m/>
    <m/>
    <m/>
    <m/>
    <s v="Проектирование"/>
    <d v="2023-10-02T00:00:00"/>
    <s v="ПриПро"/>
    <s v="SGG"/>
    <d v="2023-01-05T00:00:00"/>
    <s v="BSG-230105-1/0(3)"/>
    <m/>
    <m/>
    <s v="No"/>
  </r>
  <r>
    <n v="1899"/>
    <s v="Мцхета-Мтианети"/>
    <s v="Душети"/>
    <s v="(4) სოფ. ბულაჩაური -აბანოსხევის მიმართულების საშუალო წნევის გაზსადენის რეაბილიტაცია P.3.71"/>
    <x v="5"/>
    <n v="600000"/>
    <s v="აკლასნიკი"/>
    <n v="2124455.5"/>
    <m/>
    <n v="2122374.5660000001"/>
    <n v="-1522374.5660000001"/>
    <n v="2080.933999999892"/>
    <n v="7843.9"/>
    <n v="2080.933999999892"/>
    <n v="1"/>
    <m/>
    <s v="P.3.71"/>
    <n v="99455.5"/>
    <n v="15171.18"/>
    <n v="97000"/>
    <m/>
    <m/>
    <n v="14796.61"/>
    <n v="2455.5"/>
    <m/>
    <m/>
    <n v="374.57"/>
    <m/>
    <m/>
    <m/>
    <m/>
    <m/>
    <m/>
    <m/>
    <m/>
    <m/>
    <m/>
    <m/>
    <m/>
    <m/>
    <m/>
    <m/>
    <m/>
    <s v="საბოლოო"/>
    <n v="0"/>
    <n v="0"/>
    <n v="0"/>
    <n v="1186440.68"/>
    <n v="68922.83"/>
    <m/>
    <n v="529661.01"/>
    <n v="10414.64"/>
    <n v="0"/>
    <n v="172104.85469491527"/>
    <n v="82203.39"/>
    <n v="1790.46"/>
    <m/>
    <m/>
    <s v="Реаб."/>
    <d v="2025-03-12T00:00:00"/>
    <s v="Принят"/>
    <s v="SGG"/>
    <d v="2023-01-05T00:00:00"/>
    <s v="BSG-230105-1/0(4)"/>
    <m/>
    <m/>
    <s v="Yes"/>
  </r>
  <r>
    <n v="1900"/>
    <s v="Мцхета-Мтианети"/>
    <s v="Казбеги"/>
    <s v="(5) დ. გუდაურის საშუალო წნევის გაზსადენის რეაბილიტაცია P.3.66"/>
    <x v="12"/>
    <n v="0"/>
    <n v="2"/>
    <m/>
    <m/>
    <m/>
    <n v="0"/>
    <n v="0"/>
    <m/>
    <n v="0"/>
    <n v="2"/>
    <m/>
    <s v="P.3.66"/>
    <n v="0"/>
    <n v="0"/>
    <m/>
    <m/>
    <m/>
    <m/>
    <m/>
    <m/>
    <m/>
    <m/>
    <m/>
    <m/>
    <m/>
    <m/>
    <m/>
    <m/>
    <m/>
    <m/>
    <m/>
    <m/>
    <m/>
    <m/>
    <m/>
    <m/>
    <m/>
    <m/>
    <m/>
    <n v="0"/>
    <n v="0"/>
    <n v="0"/>
    <m/>
    <m/>
    <m/>
    <m/>
    <m/>
    <m/>
    <m/>
    <m/>
    <m/>
    <m/>
    <m/>
    <s v="Проектирование"/>
    <m/>
    <n v="0"/>
    <s v="SGG"/>
    <d v="2023-01-05T00:00:00"/>
    <s v="BSG-230105-1/0(5)"/>
    <m/>
    <m/>
    <m/>
  </r>
  <r>
    <n v="1901"/>
    <s v="Мцхета-Мтианети"/>
    <s v="Казбеги"/>
    <s v="(6) დ. გუდაურის საშუალო წნევის გაზსადენის რეაბილიტაცია P.3.66"/>
    <x v="5"/>
    <n v="500000"/>
    <n v="2"/>
    <n v="100000"/>
    <m/>
    <n v="15254.24"/>
    <n v="484745.76"/>
    <n v="84745.76"/>
    <m/>
    <n v="484745.76"/>
    <n v="1"/>
    <m/>
    <s v="P.3.66"/>
    <n v="100000"/>
    <n v="15254.24"/>
    <m/>
    <m/>
    <m/>
    <m/>
    <m/>
    <m/>
    <n v="100000"/>
    <m/>
    <m/>
    <n v="15254.24"/>
    <m/>
    <m/>
    <m/>
    <m/>
    <m/>
    <m/>
    <m/>
    <m/>
    <m/>
    <m/>
    <m/>
    <m/>
    <m/>
    <m/>
    <m/>
    <n v="0"/>
    <n v="0"/>
    <n v="0"/>
    <m/>
    <m/>
    <m/>
    <m/>
    <m/>
    <m/>
    <m/>
    <m/>
    <m/>
    <m/>
    <m/>
    <s v="Реаб."/>
    <m/>
    <n v="0"/>
    <s v="SGG"/>
    <d v="2023-01-05T00:00:00"/>
    <s v="BSG-230105-1/0(6)"/>
    <m/>
    <m/>
    <m/>
  </r>
  <r>
    <n v="1902"/>
    <s v="Шида Картли"/>
    <s v="Карели"/>
    <s v="(7) ქ. ქარელში N6 საუბნო კვანძზე არსებული გაზსადენის რეაბილიტაცია P.3.504"/>
    <x v="12"/>
    <n v="17577"/>
    <n v="2"/>
    <n v="17577"/>
    <m/>
    <n v="17577"/>
    <n v="0"/>
    <n v="0"/>
    <m/>
    <n v="0"/>
    <n v="0"/>
    <m/>
    <s v="P.3.504"/>
    <n v="0"/>
    <n v="0"/>
    <m/>
    <m/>
    <m/>
    <m/>
    <m/>
    <m/>
    <m/>
    <m/>
    <m/>
    <m/>
    <m/>
    <m/>
    <m/>
    <m/>
    <m/>
    <m/>
    <m/>
    <m/>
    <m/>
    <m/>
    <m/>
    <m/>
    <m/>
    <m/>
    <m/>
    <n v="0"/>
    <n v="0"/>
    <n v="0"/>
    <m/>
    <m/>
    <m/>
    <m/>
    <m/>
    <m/>
    <m/>
    <m/>
    <m/>
    <m/>
    <m/>
    <s v="Проектирование"/>
    <d v="2024-04-01T00:00:00"/>
    <s v="ПриПро"/>
    <s v="SGG"/>
    <d v="2023-01-05T00:00:00"/>
    <s v="BSG-230105-1/0(7)"/>
    <m/>
    <m/>
    <s v="No"/>
  </r>
  <r>
    <n v="1903"/>
    <s v="Шида Картли"/>
    <s v="Карели"/>
    <s v="(8) ქ. ქარელში N6 საუბნო კვანძზე არსებული გაზსადენის რეაბილიტაცია P.3.504"/>
    <x v="5"/>
    <n v="559980.79999999993"/>
    <n v="2"/>
    <n v="752773.03"/>
    <n v="752773.03"/>
    <n v="752773.02099999995"/>
    <n v="-192792.22100000002"/>
    <n v="9.0000000782310963E-3"/>
    <n v="9773.5"/>
    <n v="9.0000000782310963E-3"/>
    <n v="0"/>
    <m/>
    <s v="P.3.504"/>
    <n v="0"/>
    <n v="0"/>
    <m/>
    <m/>
    <m/>
    <m/>
    <m/>
    <m/>
    <m/>
    <m/>
    <m/>
    <m/>
    <m/>
    <m/>
    <m/>
    <m/>
    <m/>
    <m/>
    <m/>
    <m/>
    <m/>
    <m/>
    <m/>
    <m/>
    <m/>
    <m/>
    <m/>
    <n v="0"/>
    <n v="0"/>
    <n v="0"/>
    <n v="597457.62"/>
    <n v="52409.37"/>
    <m/>
    <m/>
    <m/>
    <n v="47796.610169491527"/>
    <n v="10756.777406779671"/>
    <m/>
    <m/>
    <m/>
    <m/>
    <s v="Реаб."/>
    <d v="2024-07-31T00:00:00"/>
    <s v="Принят"/>
    <s v="SGG"/>
    <d v="2023-01-05T00:00:00"/>
    <s v="BSG-230105-1/0(8)"/>
    <m/>
    <s v="ივლისი-აგვისტო"/>
    <s v="Yes"/>
  </r>
  <r>
    <n v="1904"/>
    <s v="Мцхета-Мтианети"/>
    <s v="Мцхета"/>
    <s v="(9) ნატახტრის გერეესიდან გამომავალ დ=200მმ მიწისქვეშა გაზსადენი წეროვნის ტოლვილების კოტეჯების მიმართულებით გაზსადენის რეაბილიტაცია P.3.656"/>
    <x v="12"/>
    <n v="15018.5"/>
    <m/>
    <n v="15018.5"/>
    <m/>
    <n v="15018.5"/>
    <n v="0"/>
    <n v="0"/>
    <m/>
    <n v="0"/>
    <n v="0"/>
    <m/>
    <s v="P.3.656"/>
    <n v="0"/>
    <n v="0"/>
    <m/>
    <m/>
    <m/>
    <m/>
    <m/>
    <m/>
    <m/>
    <m/>
    <m/>
    <m/>
    <m/>
    <m/>
    <m/>
    <m/>
    <m/>
    <m/>
    <m/>
    <m/>
    <m/>
    <m/>
    <m/>
    <m/>
    <m/>
    <m/>
    <m/>
    <n v="0"/>
    <n v="0"/>
    <n v="0"/>
    <m/>
    <m/>
    <m/>
    <m/>
    <m/>
    <m/>
    <m/>
    <m/>
    <m/>
    <m/>
    <m/>
    <s v="Проектирование"/>
    <d v="2023-12-12T00:00:00"/>
    <s v="ПриПро"/>
    <s v="SGG"/>
    <d v="2023-01-05T00:00:00"/>
    <s v="BSG-230105-1/0(9)"/>
    <m/>
    <m/>
    <s v="No"/>
  </r>
  <r>
    <n v="1905"/>
    <s v="Мцхета-Мтианети"/>
    <s v="Мцхета"/>
    <s v="(10) ნატახტრის გერეესიდან გამომავალ დ=200მმ მიწისქვეშა გაზსადენი წეროვნის ტოლვილების კოტეჯების მიმართულებით გაზსადენის რეაბილიტაცია P.3.656"/>
    <x v="5"/>
    <n v="509760"/>
    <n v="2"/>
    <n v="830000"/>
    <m/>
    <n v="711355.93300000019"/>
    <n v="-201595.93300000019"/>
    <n v="118644.06699999981"/>
    <m/>
    <n v="-201595.93300000019"/>
    <n v="1"/>
    <m/>
    <s v="P.3.656"/>
    <n v="140000"/>
    <n v="21355.93"/>
    <m/>
    <m/>
    <n v="140000"/>
    <m/>
    <m/>
    <n v="21355.93"/>
    <m/>
    <m/>
    <m/>
    <m/>
    <m/>
    <m/>
    <m/>
    <m/>
    <m/>
    <m/>
    <m/>
    <m/>
    <m/>
    <m/>
    <m/>
    <m/>
    <m/>
    <m/>
    <m/>
    <n v="0"/>
    <n v="0"/>
    <n v="0"/>
    <n v="508474.58"/>
    <n v="15203.56"/>
    <m/>
    <n v="76271.19"/>
    <m/>
    <m/>
    <m/>
    <m/>
    <m/>
    <m/>
    <m/>
    <s v="Реаб."/>
    <m/>
    <n v="80"/>
    <s v="SGG"/>
    <d v="2023-01-05T00:00:00"/>
    <s v="BSG-230105-1/0(10)"/>
    <m/>
    <m/>
    <m/>
  </r>
  <r>
    <n v="1906"/>
    <s v="Мцхета-Мтианети"/>
    <s v="Казбеги"/>
    <s v="(11) გუდაურის (სეთურები, ჯაღმიანი, ზაქათკარი, გუდაური) დაბალი წნევის გაზსადენის რეაბილიტაცია P.3.67"/>
    <x v="12"/>
    <n v="0"/>
    <n v="2"/>
    <n v="6891.5"/>
    <m/>
    <n v="1051.25"/>
    <n v="-1051.25"/>
    <n v="5840.25"/>
    <m/>
    <n v="-1051.25"/>
    <n v="2"/>
    <m/>
    <s v="P.3.67"/>
    <n v="0"/>
    <n v="0"/>
    <m/>
    <m/>
    <m/>
    <m/>
    <m/>
    <m/>
    <m/>
    <m/>
    <m/>
    <m/>
    <m/>
    <m/>
    <m/>
    <m/>
    <m/>
    <m/>
    <m/>
    <m/>
    <m/>
    <m/>
    <m/>
    <m/>
    <m/>
    <m/>
    <m/>
    <n v="0"/>
    <n v="0"/>
    <n v="0"/>
    <m/>
    <m/>
    <m/>
    <m/>
    <m/>
    <m/>
    <m/>
    <m/>
    <m/>
    <m/>
    <m/>
    <s v="Проектирование"/>
    <m/>
    <n v="0"/>
    <s v="SGG"/>
    <d v="2023-01-05T00:00:00"/>
    <s v="BSG-230105-1/0(11)"/>
    <m/>
    <m/>
    <m/>
  </r>
  <r>
    <n v="1907"/>
    <s v="Мцхета-Мтианети"/>
    <s v="Казбеги"/>
    <s v="(12) გუდაურის (სეთურები, ჯაღმიანი, ზაქათკარი, გუდაური) დაბალი წნევის გაზსადენის რეაბილიტაცია P.3.67"/>
    <x v="5"/>
    <n v="323400"/>
    <n v="2"/>
    <n v="900000"/>
    <m/>
    <n v="793220.34"/>
    <n v="-469820.33999999997"/>
    <n v="106779.66000000003"/>
    <m/>
    <n v="-469820.33999999997"/>
    <n v="1"/>
    <m/>
    <s v="P.3.67"/>
    <n v="0"/>
    <n v="0"/>
    <m/>
    <m/>
    <m/>
    <m/>
    <m/>
    <m/>
    <m/>
    <m/>
    <m/>
    <m/>
    <m/>
    <m/>
    <m/>
    <m/>
    <m/>
    <m/>
    <m/>
    <m/>
    <m/>
    <m/>
    <m/>
    <m/>
    <m/>
    <m/>
    <m/>
    <n v="0"/>
    <n v="0"/>
    <n v="0"/>
    <m/>
    <m/>
    <m/>
    <n v="762711.87"/>
    <m/>
    <m/>
    <m/>
    <m/>
    <m/>
    <m/>
    <m/>
    <s v="Реаб."/>
    <m/>
    <n v="70"/>
    <s v="SGG"/>
    <d v="2023-01-05T00:00:00"/>
    <s v="BSG-230105-1/0(12)"/>
    <m/>
    <m/>
    <m/>
  </r>
  <r>
    <n v="1908"/>
    <s v="Шида Картли"/>
    <s v="Карели"/>
    <s v="(13) სოფელ კეხიჯვრის რეაბილიტაცია P.3.142"/>
    <x v="12"/>
    <n v="0"/>
    <n v="2"/>
    <m/>
    <m/>
    <m/>
    <n v="0"/>
    <n v="0"/>
    <m/>
    <n v="0"/>
    <n v="2"/>
    <m/>
    <s v="P.3.142"/>
    <n v="0"/>
    <n v="0"/>
    <m/>
    <m/>
    <m/>
    <m/>
    <m/>
    <m/>
    <m/>
    <m/>
    <m/>
    <m/>
    <m/>
    <m/>
    <m/>
    <m/>
    <m/>
    <m/>
    <m/>
    <m/>
    <m/>
    <m/>
    <m/>
    <m/>
    <m/>
    <m/>
    <m/>
    <n v="0"/>
    <n v="0"/>
    <n v="0"/>
    <m/>
    <m/>
    <m/>
    <m/>
    <m/>
    <m/>
    <m/>
    <m/>
    <m/>
    <m/>
    <m/>
    <s v="Проектирование"/>
    <m/>
    <n v="0"/>
    <s v="SGG"/>
    <d v="2023-01-05T00:00:00"/>
    <s v="BSG-230105-1/0(13)"/>
    <m/>
    <m/>
    <m/>
  </r>
  <r>
    <n v="1909"/>
    <s v="Шида Картли"/>
    <s v="Карели"/>
    <s v="(14) სოფელ კეხიჯვრის რეაბილიტაცია P.3.142"/>
    <x v="5"/>
    <n v="361493"/>
    <s v="აკლასნიკი"/>
    <n v="272259.94"/>
    <m/>
    <n v="266954.94"/>
    <n v="94538.06"/>
    <n v="5305"/>
    <n v="4200"/>
    <n v="5305"/>
    <n v="1"/>
    <m/>
    <s v="P.3.142"/>
    <n v="67578.38"/>
    <n v="11022.74"/>
    <n v="66000"/>
    <n v="714.17"/>
    <m/>
    <n v="10067.799999999999"/>
    <n v="1578.38"/>
    <m/>
    <m/>
    <n v="240.77"/>
    <m/>
    <m/>
    <m/>
    <m/>
    <m/>
    <m/>
    <m/>
    <m/>
    <m/>
    <m/>
    <m/>
    <m/>
    <m/>
    <m/>
    <m/>
    <m/>
    <s v="საბოლოო"/>
    <n v="0"/>
    <n v="0"/>
    <n v="0"/>
    <n v="0"/>
    <n v="0"/>
    <n v="0"/>
    <n v="169491.53"/>
    <n v="20456.580000000002"/>
    <n v="0"/>
    <n v="21027.218271186444"/>
    <n v="55932.2"/>
    <n v="1218.25"/>
    <m/>
    <m/>
    <s v="Реаб."/>
    <d v="2025-03-12T00:00:00"/>
    <s v="Принят"/>
    <s v="SGG"/>
    <d v="2023-01-05T00:00:00"/>
    <s v="BSG-230105-1/0(14)"/>
    <m/>
    <m/>
    <s v="Yes"/>
  </r>
  <r>
    <n v="1910"/>
    <s v="Мцхета-Мтианети"/>
    <s v="Мцхета"/>
    <s v="(15) სოფ. საგურამო კერძო საკუთრებაში გამავალი საჰაერო გაზსადენების რეაბილიტაცია P.3.157"/>
    <x v="5"/>
    <n v="292050"/>
    <n v="2"/>
    <m/>
    <m/>
    <m/>
    <n v="292050"/>
    <n v="0"/>
    <m/>
    <n v="292050"/>
    <n v="1"/>
    <m/>
    <s v="P.3.157"/>
    <n v="0"/>
    <n v="0"/>
    <m/>
    <m/>
    <m/>
    <m/>
    <m/>
    <m/>
    <m/>
    <m/>
    <m/>
    <m/>
    <m/>
    <m/>
    <m/>
    <m/>
    <m/>
    <m/>
    <m/>
    <m/>
    <m/>
    <m/>
    <m/>
    <m/>
    <m/>
    <m/>
    <m/>
    <n v="0"/>
    <n v="0"/>
    <n v="0"/>
    <m/>
    <m/>
    <m/>
    <m/>
    <m/>
    <m/>
    <m/>
    <m/>
    <m/>
    <m/>
    <m/>
    <s v="Реаб."/>
    <m/>
    <n v="0"/>
    <s v="SGG"/>
    <d v="2023-01-05T00:00:00"/>
    <s v="BSG-230105-1/0(15)"/>
    <m/>
    <m/>
    <m/>
  </r>
  <r>
    <n v="1911"/>
    <s v="Шида Картли"/>
    <s v="Хашури"/>
    <s v="(16) ვაყა-გომის მიწისზედა საშ. წნევის გაზსადენის რეაბილიტაცია P.3.12"/>
    <x v="12"/>
    <n v="10106.25"/>
    <m/>
    <n v="10106.25"/>
    <m/>
    <n v="10106.25"/>
    <n v="0"/>
    <n v="0"/>
    <m/>
    <n v="0"/>
    <n v="0"/>
    <m/>
    <s v="P.3.12"/>
    <n v="0"/>
    <n v="0"/>
    <m/>
    <m/>
    <m/>
    <m/>
    <m/>
    <m/>
    <m/>
    <m/>
    <m/>
    <m/>
    <m/>
    <m/>
    <m/>
    <m/>
    <m/>
    <m/>
    <m/>
    <m/>
    <m/>
    <m/>
    <m/>
    <m/>
    <m/>
    <m/>
    <m/>
    <n v="0"/>
    <n v="0"/>
    <n v="0"/>
    <m/>
    <m/>
    <m/>
    <m/>
    <m/>
    <m/>
    <m/>
    <m/>
    <m/>
    <m/>
    <m/>
    <s v="Проектирование"/>
    <d v="2023-07-31T00:00:00"/>
    <s v="ПриПро"/>
    <s v="SGG"/>
    <d v="2023-01-05T00:00:00"/>
    <s v="BSG-230105-1/0(16)"/>
    <m/>
    <m/>
    <s v="No"/>
  </r>
  <r>
    <n v="1912"/>
    <s v="Шида Картли"/>
    <s v="Хашури"/>
    <s v="(17) ვაყა-გომის მიწისზედა საშ. წნევის გაზსადენის რეაბილიტაცია P.3.12"/>
    <x v="5"/>
    <n v="251701.08"/>
    <n v="2"/>
    <n v="488579.52"/>
    <n v="488579.52"/>
    <n v="488579.51999999996"/>
    <n v="-236878.43999999997"/>
    <n v="0"/>
    <n v="5550"/>
    <n v="5.8207660913467407E-11"/>
    <n v="0"/>
    <m/>
    <s v="P.3.12"/>
    <n v="0"/>
    <n v="0"/>
    <m/>
    <m/>
    <m/>
    <m/>
    <m/>
    <m/>
    <m/>
    <m/>
    <m/>
    <m/>
    <m/>
    <m/>
    <m/>
    <m/>
    <m/>
    <m/>
    <m/>
    <m/>
    <m/>
    <m/>
    <m/>
    <m/>
    <m/>
    <m/>
    <m/>
    <n v="0"/>
    <n v="0"/>
    <n v="0"/>
    <n v="406779.66"/>
    <n v="23858.29"/>
    <m/>
    <m/>
    <m/>
    <n v="39019.21506779662"/>
    <n v="0"/>
    <m/>
    <m/>
    <m/>
    <m/>
    <s v="Реаб."/>
    <d v="2024-01-24T00:00:00"/>
    <s v="Принят"/>
    <s v="SGG"/>
    <d v="2023-01-05T00:00:00"/>
    <s v="BSG-230105-1/0(17)"/>
    <m/>
    <s v="დასრულდა"/>
    <s v="Yes"/>
  </r>
  <r>
    <n v="1913"/>
    <s v="Мцхета-Мтианети"/>
    <s v="Мцхета"/>
    <s v="(18) მდინარე მტკვარზე დაკიდებული გაზსადენისთვის ბურჯების მოწყობა P.3.57"/>
    <x v="12"/>
    <n v="0"/>
    <n v="2"/>
    <m/>
    <m/>
    <m/>
    <n v="0"/>
    <n v="0"/>
    <m/>
    <n v="0"/>
    <n v="2"/>
    <m/>
    <s v="P.3.57"/>
    <n v="0"/>
    <n v="0"/>
    <m/>
    <m/>
    <m/>
    <m/>
    <m/>
    <m/>
    <m/>
    <m/>
    <m/>
    <m/>
    <m/>
    <m/>
    <m/>
    <m/>
    <m/>
    <m/>
    <m/>
    <m/>
    <m/>
    <m/>
    <m/>
    <m/>
    <m/>
    <m/>
    <m/>
    <n v="0"/>
    <n v="0"/>
    <n v="0"/>
    <m/>
    <m/>
    <m/>
    <m/>
    <m/>
    <m/>
    <m/>
    <m/>
    <m/>
    <m/>
    <m/>
    <s v="Проектирование"/>
    <m/>
    <n v="0"/>
    <s v="SGG"/>
    <d v="2023-01-05T00:00:00"/>
    <s v="BSG-230105-1/0(18)"/>
    <m/>
    <m/>
    <m/>
  </r>
  <r>
    <n v="1914"/>
    <s v="Мцхета-Мтианети"/>
    <s v="Мцхета"/>
    <s v="(19) მდინარე მტკვარზე დაკიდებული გაზსადენისთვის ბურჯების მოწყობა P.3.57"/>
    <x v="5"/>
    <n v="254880"/>
    <n v="2"/>
    <m/>
    <m/>
    <m/>
    <n v="254880"/>
    <n v="0"/>
    <m/>
    <n v="254880"/>
    <n v="1"/>
    <m/>
    <s v="P.3.57"/>
    <n v="0"/>
    <n v="0"/>
    <m/>
    <m/>
    <m/>
    <m/>
    <m/>
    <m/>
    <m/>
    <m/>
    <m/>
    <m/>
    <m/>
    <m/>
    <m/>
    <m/>
    <m/>
    <m/>
    <m/>
    <m/>
    <m/>
    <m/>
    <m/>
    <m/>
    <m/>
    <m/>
    <m/>
    <n v="0"/>
    <n v="0"/>
    <n v="0"/>
    <m/>
    <m/>
    <m/>
    <m/>
    <m/>
    <m/>
    <m/>
    <m/>
    <m/>
    <m/>
    <m/>
    <s v="Реаб."/>
    <m/>
    <n v="0"/>
    <s v="SGG"/>
    <d v="2023-01-05T00:00:00"/>
    <s v="BSG-230105-1/0(19)"/>
    <m/>
    <m/>
    <m/>
  </r>
  <r>
    <n v="1915"/>
    <s v="Шида Картли"/>
    <s v="Карели"/>
    <s v="(20) სოფ. კეხიჯვარი გაზსადენის და საყრდენების რეაბილიტაცია P.3.9"/>
    <x v="12"/>
    <n v="23966.25"/>
    <m/>
    <n v="23966.25"/>
    <m/>
    <n v="23966.25"/>
    <n v="0"/>
    <n v="0"/>
    <m/>
    <n v="0"/>
    <n v="0"/>
    <m/>
    <s v="P.3.9"/>
    <n v="0"/>
    <n v="0"/>
    <m/>
    <m/>
    <m/>
    <m/>
    <m/>
    <m/>
    <m/>
    <m/>
    <m/>
    <m/>
    <m/>
    <m/>
    <m/>
    <m/>
    <m/>
    <m/>
    <m/>
    <m/>
    <m/>
    <m/>
    <m/>
    <m/>
    <m/>
    <m/>
    <m/>
    <n v="0"/>
    <n v="0"/>
    <n v="0"/>
    <m/>
    <m/>
    <m/>
    <m/>
    <m/>
    <m/>
    <m/>
    <m/>
    <m/>
    <m/>
    <m/>
    <s v="Проектирование"/>
    <d v="2023-08-15T00:00:00"/>
    <s v="ПриПро"/>
    <s v="SGG"/>
    <d v="2023-01-05T00:00:00"/>
    <s v="BSG-230105-1/0(20)"/>
    <m/>
    <m/>
    <s v="No"/>
  </r>
  <r>
    <n v="1916"/>
    <s v="Шида Картли"/>
    <s v="Карели"/>
    <s v="(21) სოფ. კეხიჯვარი გაზსადენის და საყრდენების რეაბილიტაცია P.3.9"/>
    <x v="5"/>
    <n v="174994"/>
    <s v="აკლასნიკი"/>
    <n v="649168.17000000004"/>
    <m/>
    <n v="639703.62"/>
    <n v="-464709.62"/>
    <n v="9464.5500000000466"/>
    <n v="9092.2999999999993"/>
    <n v="9464.5500000000466"/>
    <n v="1"/>
    <m/>
    <s v="P.3.9"/>
    <n v="59745.03"/>
    <n v="10551.08"/>
    <n v="58000"/>
    <n v="1437.43"/>
    <m/>
    <n v="8847.4599999999991"/>
    <n v="1745.03"/>
    <m/>
    <m/>
    <n v="266.19"/>
    <m/>
    <m/>
    <m/>
    <m/>
    <m/>
    <m/>
    <m/>
    <m/>
    <m/>
    <m/>
    <m/>
    <m/>
    <m/>
    <m/>
    <m/>
    <m/>
    <s v="საბოლოო"/>
    <n v="0"/>
    <n v="0"/>
    <n v="0"/>
    <n v="491525.43000000005"/>
    <n v="37006.1"/>
    <m/>
    <n v="0"/>
    <n v="0"/>
    <n v="0"/>
    <n v="51313.641694915263"/>
    <n v="49152.54"/>
    <n v="1070.58"/>
    <m/>
    <m/>
    <s v="Реаб."/>
    <d v="2025-03-12T00:00:00"/>
    <s v="Принят"/>
    <s v="SGG"/>
    <d v="2023-01-05T00:00:00"/>
    <s v="BSG-230105-1/0(21)"/>
    <m/>
    <m/>
    <m/>
  </r>
  <r>
    <n v="1917"/>
    <s v="Шида Картли"/>
    <s v="Хашури"/>
    <s v="(22) სოფ. ცხრამუხაში №35 კვანძზე არსებული დაბალი წნევის ძველი მიწისზედა ფოლადის გაზსადენის რეაბილიტაცია. P.3.511"/>
    <x v="12"/>
    <n v="5682.25"/>
    <m/>
    <n v="5682.25"/>
    <m/>
    <n v="5682.25"/>
    <n v="0"/>
    <n v="0"/>
    <m/>
    <n v="0"/>
    <n v="0"/>
    <m/>
    <s v="P.3.511"/>
    <n v="0"/>
    <n v="0"/>
    <m/>
    <m/>
    <m/>
    <m/>
    <m/>
    <m/>
    <m/>
    <m/>
    <m/>
    <m/>
    <m/>
    <m/>
    <m/>
    <m/>
    <m/>
    <m/>
    <m/>
    <m/>
    <m/>
    <m/>
    <m/>
    <m/>
    <m/>
    <m/>
    <m/>
    <n v="0"/>
    <n v="0"/>
    <n v="0"/>
    <m/>
    <m/>
    <m/>
    <m/>
    <m/>
    <m/>
    <m/>
    <m/>
    <m/>
    <m/>
    <m/>
    <s v="Проектирование"/>
    <d v="2023-07-31T00:00:00"/>
    <s v="ПриПро"/>
    <s v="SGG"/>
    <d v="2023-01-05T00:00:00"/>
    <s v="BSG-230105-1/0(22)"/>
    <m/>
    <m/>
    <s v="No"/>
  </r>
  <r>
    <n v="1918"/>
    <s v="Шида Картли"/>
    <s v="Хашури"/>
    <s v="(23) სოფ. ცხრამუხაში №35 კვანძზე არსებული დაბალი წნევის ძველი მიწისზედა ფოლადის გაზსადენის რეაბილიტაცია. P.3.511"/>
    <x v="5"/>
    <n v="170790.84"/>
    <n v="2"/>
    <n v="158325.68"/>
    <n v="158325.68"/>
    <n v="158325.68000000002"/>
    <n v="12465.159999999974"/>
    <n v="0"/>
    <n v="3049"/>
    <n v="-2.9103830456733704E-11"/>
    <n v="0"/>
    <m/>
    <s v="P.3.511"/>
    <n v="0"/>
    <n v="0"/>
    <m/>
    <m/>
    <m/>
    <m/>
    <m/>
    <m/>
    <m/>
    <m/>
    <m/>
    <m/>
    <m/>
    <m/>
    <m/>
    <m/>
    <m/>
    <m/>
    <m/>
    <m/>
    <m/>
    <m/>
    <m/>
    <m/>
    <m/>
    <m/>
    <m/>
    <n v="0"/>
    <n v="0"/>
    <n v="0"/>
    <n v="110169.49"/>
    <n v="5382.87"/>
    <m/>
    <m/>
    <m/>
    <n v="8813.5593220338978"/>
    <n v="4065.5841864406812"/>
    <m/>
    <m/>
    <m/>
    <m/>
    <s v="Реаб."/>
    <d v="2024-08-20T00:00:00"/>
    <s v="Принят"/>
    <s v="SGG"/>
    <d v="2023-01-05T00:00:00"/>
    <s v="BSG-230105-1/0(23)"/>
    <m/>
    <m/>
    <s v="Yes"/>
  </r>
  <r>
    <n v="1919"/>
    <s v="Мцхета-Мтианети"/>
    <s v="Мцхета"/>
    <s v="(24) სოფ. ნატახტარი არსებული დაბალი წნევის დ=112 გაზსადენის რეაბილიტაცია P.3.165"/>
    <x v="12"/>
    <n v="2954"/>
    <n v="2"/>
    <n v="2954"/>
    <m/>
    <n v="2954"/>
    <n v="0"/>
    <n v="0"/>
    <m/>
    <n v="0"/>
    <n v="0"/>
    <m/>
    <s v="P.3.165"/>
    <n v="0"/>
    <n v="0"/>
    <m/>
    <m/>
    <m/>
    <m/>
    <m/>
    <m/>
    <m/>
    <m/>
    <m/>
    <m/>
    <m/>
    <m/>
    <m/>
    <m/>
    <m/>
    <m/>
    <m/>
    <m/>
    <m/>
    <m/>
    <m/>
    <m/>
    <m/>
    <m/>
    <m/>
    <n v="0"/>
    <n v="0"/>
    <n v="0"/>
    <m/>
    <m/>
    <m/>
    <m/>
    <m/>
    <m/>
    <m/>
    <m/>
    <m/>
    <m/>
    <m/>
    <s v="Проектирование"/>
    <d v="2024-05-01T00:00:00"/>
    <s v="ПриПро"/>
    <s v="SGG"/>
    <d v="2023-01-05T00:00:00"/>
    <s v="BSG-230105-1/0(24)"/>
    <m/>
    <m/>
    <s v="No"/>
  </r>
  <r>
    <n v="1920"/>
    <s v="Мцхета-Мтианети"/>
    <s v="Мцхета"/>
    <s v="(25) სოფ. ნატახტარი არსებული დაბალი წნევის დ=112 გაზსადენის რეაბილიტაცია P.3.165"/>
    <x v="5"/>
    <n v="180540"/>
    <n v="2"/>
    <n v="152400.79999999999"/>
    <m/>
    <n v="150366.21999999997"/>
    <n v="30173.780000000028"/>
    <n v="2034.5800000000163"/>
    <m/>
    <n v="30173.780000000028"/>
    <n v="1"/>
    <m/>
    <s v="P.3.165"/>
    <n v="0"/>
    <n v="366.22"/>
    <m/>
    <n v="366.22"/>
    <m/>
    <m/>
    <m/>
    <m/>
    <m/>
    <m/>
    <m/>
    <m/>
    <m/>
    <m/>
    <m/>
    <m/>
    <m/>
    <m/>
    <m/>
    <m/>
    <m/>
    <m/>
    <m/>
    <m/>
    <m/>
    <m/>
    <m/>
    <n v="0"/>
    <n v="0"/>
    <n v="0"/>
    <m/>
    <m/>
    <m/>
    <n v="127118.63999999998"/>
    <m/>
    <m/>
    <m/>
    <m/>
    <m/>
    <m/>
    <m/>
    <s v="Реаб."/>
    <m/>
    <n v="80"/>
    <s v="SGG"/>
    <d v="2023-01-05T00:00:00"/>
    <s v="BSG-230105-1/0(25)"/>
    <m/>
    <m/>
    <s v="Yes"/>
  </r>
  <r>
    <n v="1921"/>
    <s v="Шида Картли"/>
    <s v="Хашури"/>
    <s v="(26) მრიცხველების შეცვლა-გამოტანა P.3.25"/>
    <x v="12"/>
    <n v="1953"/>
    <n v="2"/>
    <n v="1953"/>
    <m/>
    <n v="1953"/>
    <n v="0"/>
    <n v="0"/>
    <m/>
    <n v="0"/>
    <n v="2"/>
    <m/>
    <s v="P.3.25"/>
    <n v="0"/>
    <n v="0"/>
    <m/>
    <m/>
    <m/>
    <m/>
    <m/>
    <m/>
    <m/>
    <m/>
    <m/>
    <m/>
    <m/>
    <m/>
    <m/>
    <m/>
    <m/>
    <m/>
    <m/>
    <m/>
    <m/>
    <m/>
    <m/>
    <m/>
    <m/>
    <m/>
    <m/>
    <n v="0"/>
    <n v="0"/>
    <n v="0"/>
    <m/>
    <m/>
    <m/>
    <m/>
    <m/>
    <m/>
    <m/>
    <m/>
    <m/>
    <m/>
    <m/>
    <s v="Проектирование"/>
    <m/>
    <n v="15"/>
    <s v="SGG"/>
    <d v="2023-01-05T00:00:00"/>
    <s v="BSG-230105-1/0(26)"/>
    <m/>
    <m/>
    <m/>
  </r>
  <r>
    <n v="1922"/>
    <s v="Шида Картли"/>
    <s v="Хашури"/>
    <s v="(27) მრიცხველების შეცვლა-გამოტანა P.3.25"/>
    <x v="5"/>
    <n v="123328.87999999999"/>
    <n v="2"/>
    <n v="57776"/>
    <m/>
    <n v="15403.116999999998"/>
    <n v="107925.76299999999"/>
    <n v="42372.883000000002"/>
    <m/>
    <n v="107925.76299999999"/>
    <n v="1"/>
    <m/>
    <s v="P.3.25"/>
    <n v="50000"/>
    <n v="7627.12"/>
    <m/>
    <m/>
    <m/>
    <m/>
    <m/>
    <m/>
    <n v="50000"/>
    <m/>
    <m/>
    <n v="7627.12"/>
    <m/>
    <m/>
    <m/>
    <m/>
    <m/>
    <m/>
    <m/>
    <m/>
    <m/>
    <m/>
    <m/>
    <m/>
    <m/>
    <m/>
    <m/>
    <n v="0"/>
    <n v="0"/>
    <n v="0"/>
    <m/>
    <m/>
    <m/>
    <m/>
    <m/>
    <m/>
    <m/>
    <m/>
    <m/>
    <m/>
    <m/>
    <s v="Реаб."/>
    <m/>
    <n v="25"/>
    <s v="SGG"/>
    <d v="2023-01-05T00:00:00"/>
    <s v="BSG-230105-1/0(27)"/>
    <m/>
    <m/>
    <m/>
  </r>
  <r>
    <n v="1923"/>
    <s v="Мцхета-Мтианети"/>
    <s v="Мцхета"/>
    <s v="(28) წეროვნის ინსტიტუტის დასახლება არსებული, ამორტიზირებული გაზსადენის კერძო საკუთრებიდან გამოტანა P.3.161"/>
    <x v="12"/>
    <n v="13753.25"/>
    <m/>
    <n v="13753.25"/>
    <m/>
    <n v="13753.25"/>
    <n v="0"/>
    <n v="0"/>
    <m/>
    <n v="0"/>
    <n v="0"/>
    <m/>
    <s v="P.3.161"/>
    <n v="0"/>
    <n v="0"/>
    <m/>
    <m/>
    <m/>
    <m/>
    <m/>
    <m/>
    <m/>
    <m/>
    <m/>
    <m/>
    <m/>
    <m/>
    <m/>
    <m/>
    <m/>
    <m/>
    <m/>
    <m/>
    <m/>
    <m/>
    <m/>
    <m/>
    <m/>
    <m/>
    <m/>
    <n v="0"/>
    <n v="0"/>
    <n v="0"/>
    <m/>
    <m/>
    <m/>
    <m/>
    <m/>
    <m/>
    <m/>
    <m/>
    <m/>
    <m/>
    <m/>
    <s v="Проектирование"/>
    <d v="2023-10-02T00:00:00"/>
    <s v="ПриПро"/>
    <s v="SGG"/>
    <d v="2023-01-05T00:00:00"/>
    <s v="BSG-230105-1/0(28)"/>
    <m/>
    <m/>
    <s v="No"/>
  </r>
  <r>
    <n v="1924"/>
    <s v="Мцхета-Мтианети"/>
    <s v="Мцхета"/>
    <s v="(29) წეროვნის ინსტიტუტის დასახლება არსებული, ამორტიზირებული გაზსადენის კერძო საკუთრებიდან გამოტანა P.3.161"/>
    <x v="5"/>
    <n v="144432"/>
    <n v="2"/>
    <n v="447922.64"/>
    <m/>
    <n v="356462.78200000001"/>
    <n v="-212030.78200000001"/>
    <n v="91459.858000000007"/>
    <m/>
    <n v="-212030.78200000001"/>
    <n v="1"/>
    <m/>
    <s v="P.3.161"/>
    <n v="100000"/>
    <n v="16462.78"/>
    <m/>
    <n v="1208.54"/>
    <n v="100000"/>
    <m/>
    <m/>
    <n v="15254.24"/>
    <m/>
    <m/>
    <m/>
    <m/>
    <m/>
    <m/>
    <m/>
    <m/>
    <m/>
    <m/>
    <m/>
    <m/>
    <m/>
    <m/>
    <m/>
    <m/>
    <m/>
    <m/>
    <m/>
    <n v="0"/>
    <n v="0"/>
    <n v="0"/>
    <n v="169491.53"/>
    <m/>
    <m/>
    <n v="118644.07"/>
    <m/>
    <n v="19661.016949152545"/>
    <m/>
    <m/>
    <m/>
    <m/>
    <m/>
    <s v="Реаб."/>
    <m/>
    <n v="80"/>
    <s v="SGG"/>
    <d v="2023-01-05T00:00:00"/>
    <s v="BSG-230105-1/0(29)"/>
    <m/>
    <m/>
    <s v="Yes"/>
  </r>
  <r>
    <n v="1925"/>
    <s v="Тбилиси"/>
    <s v="Тбилиси"/>
    <s v="(30) კოჯორში მრიცხველების გამოტანა ქსელთან ერთად P.3.702"/>
    <x v="12"/>
    <n v="0"/>
    <n v="2"/>
    <m/>
    <m/>
    <m/>
    <n v="0"/>
    <n v="0"/>
    <m/>
    <n v="0"/>
    <n v="2"/>
    <m/>
    <s v="P.3.702"/>
    <n v="0"/>
    <n v="0"/>
    <m/>
    <m/>
    <m/>
    <m/>
    <m/>
    <m/>
    <m/>
    <m/>
    <m/>
    <m/>
    <m/>
    <m/>
    <m/>
    <m/>
    <m/>
    <m/>
    <m/>
    <m/>
    <m/>
    <m/>
    <m/>
    <m/>
    <m/>
    <m/>
    <m/>
    <n v="0"/>
    <n v="0"/>
    <n v="0"/>
    <m/>
    <m/>
    <m/>
    <m/>
    <m/>
    <m/>
    <m/>
    <m/>
    <m/>
    <m/>
    <m/>
    <s v="Проектирование"/>
    <m/>
    <n v="0"/>
    <s v="SGG"/>
    <d v="2023-01-05T00:00:00"/>
    <s v="BSG-230105-1/0(30)"/>
    <m/>
    <m/>
    <m/>
  </r>
  <r>
    <n v="1926"/>
    <s v="Тбилиси"/>
    <s v="Тбилиси"/>
    <s v="(31) კოჯორში მრიცხველების გამოტანა ქსელთან ერთად P.3.702"/>
    <x v="5"/>
    <n v="90860"/>
    <n v="2"/>
    <m/>
    <m/>
    <m/>
    <n v="90860"/>
    <n v="0"/>
    <m/>
    <n v="90860"/>
    <n v="1"/>
    <m/>
    <s v="P.3.702"/>
    <n v="0"/>
    <n v="0"/>
    <m/>
    <m/>
    <m/>
    <m/>
    <m/>
    <m/>
    <m/>
    <m/>
    <m/>
    <m/>
    <m/>
    <m/>
    <m/>
    <m/>
    <m/>
    <m/>
    <m/>
    <m/>
    <m/>
    <m/>
    <m/>
    <m/>
    <m/>
    <m/>
    <m/>
    <n v="0"/>
    <n v="0"/>
    <n v="0"/>
    <m/>
    <m/>
    <m/>
    <m/>
    <m/>
    <m/>
    <m/>
    <m/>
    <m/>
    <m/>
    <m/>
    <s v="Реаб."/>
    <m/>
    <n v="0"/>
    <s v="SGG"/>
    <d v="2023-01-05T00:00:00"/>
    <s v="BSG-230105-1/0(31)"/>
    <m/>
    <m/>
    <m/>
  </r>
  <r>
    <n v="1927"/>
    <s v="Мцхета-Мтианети"/>
    <s v="Мцхета"/>
    <s v="(32) სოფ. საგურამო ცენტრალური საშუალო წნევის ამორტიზირებული დ=300 ფოლადის გაზსადენის რეაბილიტაცია P.3.162"/>
    <x v="12"/>
    <n v="836.5"/>
    <m/>
    <n v="836.5"/>
    <m/>
    <n v="836.5"/>
    <n v="0"/>
    <n v="0"/>
    <m/>
    <n v="0"/>
    <n v="0"/>
    <m/>
    <s v="P.3.162"/>
    <n v="0"/>
    <n v="0"/>
    <m/>
    <m/>
    <m/>
    <m/>
    <m/>
    <m/>
    <m/>
    <m/>
    <m/>
    <m/>
    <m/>
    <m/>
    <m/>
    <m/>
    <m/>
    <m/>
    <m/>
    <m/>
    <m/>
    <m/>
    <m/>
    <m/>
    <m/>
    <m/>
    <m/>
    <n v="0"/>
    <n v="0"/>
    <n v="0"/>
    <m/>
    <m/>
    <m/>
    <m/>
    <m/>
    <m/>
    <m/>
    <m/>
    <m/>
    <m/>
    <m/>
    <s v="Проектирование"/>
    <d v="2023-12-04T00:00:00"/>
    <s v="ПриПро"/>
    <s v="SGG"/>
    <d v="2023-01-05T00:00:00"/>
    <s v="BSG-230105-1/0(32)"/>
    <m/>
    <m/>
    <s v="No"/>
  </r>
  <r>
    <n v="1928"/>
    <s v="Мцхета-Мтианети"/>
    <s v="Мцхета"/>
    <s v="(33) სოფ. საგურამო ცენტრალური საშუალო წნევის ამორტიზირებული დ=300 ფოლადის გაზსადენის რეაბილიტაცია P.3.162"/>
    <x v="5"/>
    <n v="91190.399999999994"/>
    <n v="2"/>
    <n v="68813.34"/>
    <n v="68813.34"/>
    <n v="68813.34"/>
    <n v="22377.059999999998"/>
    <n v="0"/>
    <n v="478"/>
    <n v="0"/>
    <n v="0"/>
    <m/>
    <s v="P.3.162"/>
    <n v="0"/>
    <n v="0"/>
    <m/>
    <m/>
    <m/>
    <m/>
    <m/>
    <m/>
    <m/>
    <m/>
    <m/>
    <m/>
    <m/>
    <m/>
    <m/>
    <m/>
    <m/>
    <m/>
    <m/>
    <m/>
    <m/>
    <m/>
    <m/>
    <m/>
    <m/>
    <m/>
    <m/>
    <n v="0"/>
    <n v="0"/>
    <n v="0"/>
    <m/>
    <m/>
    <m/>
    <n v="50847.46"/>
    <n v="6136.97"/>
    <n v="4067.7966101694919"/>
    <n v="1150.1453728813558"/>
    <m/>
    <m/>
    <m/>
    <m/>
    <s v="Реаб."/>
    <d v="2024-07-31T00:00:00"/>
    <s v="Принят"/>
    <s v="SGG"/>
    <d v="2023-01-05T00:00:00"/>
    <s v="BSG-230105-1/0(33)"/>
    <m/>
    <s v="ივლისი-აგვისტო"/>
    <s v="Yes"/>
  </r>
  <r>
    <n v="1929"/>
    <s v="Мцхета-Мтианети"/>
    <s v="Мцхета"/>
    <s v="(34) ქ. მცხეთა სამხედროს, გმირის და მუხრანის ქუჩებზე არსებული საშუალო წნევის გაზსადენის რეაბილიტაცია - პირველი ეტაპი P.3.60"/>
    <x v="12"/>
    <n v="3001.25"/>
    <n v="2"/>
    <n v="3001.25"/>
    <m/>
    <n v="3001.25"/>
    <n v="0"/>
    <n v="0"/>
    <m/>
    <n v="0"/>
    <n v="0"/>
    <m/>
    <s v="P.3.60"/>
    <n v="0"/>
    <n v="0"/>
    <m/>
    <m/>
    <m/>
    <m/>
    <m/>
    <m/>
    <m/>
    <m/>
    <m/>
    <m/>
    <m/>
    <m/>
    <m/>
    <m/>
    <m/>
    <m/>
    <m/>
    <m/>
    <m/>
    <m/>
    <m/>
    <m/>
    <m/>
    <m/>
    <m/>
    <n v="0"/>
    <n v="0"/>
    <n v="0"/>
    <m/>
    <m/>
    <m/>
    <m/>
    <m/>
    <m/>
    <m/>
    <m/>
    <m/>
    <m/>
    <m/>
    <s v="Проектирование"/>
    <d v="2024-05-01T00:00:00"/>
    <s v="ПриПро"/>
    <s v="SGG"/>
    <d v="2023-01-05T00:00:00"/>
    <s v="BSG-230105-1/0(34)"/>
    <m/>
    <m/>
    <s v="No"/>
  </r>
  <r>
    <n v="1930"/>
    <s v="Мцхета-Мтианети"/>
    <s v="Мцхета"/>
    <s v="(35) ქ. მცხეთა სამხედროს, გმირის და მუხრანის ქუჩებზე არსებული საშუალო წნევის გაზსადენის რეაბილიტაცია - პირველი ეტაპი P.3.60"/>
    <x v="5"/>
    <n v="84110.399999999994"/>
    <n v="2"/>
    <n v="355623.28"/>
    <m/>
    <n v="342383.21499999997"/>
    <n v="-258272.81499999997"/>
    <n v="13240.065000000061"/>
    <n v="1594"/>
    <n v="13240.065000000061"/>
    <n v="1"/>
    <m/>
    <s v="P.3.60"/>
    <n v="315623.28000000003"/>
    <n v="48145.919999999998"/>
    <n v="300000"/>
    <m/>
    <m/>
    <n v="45762.71"/>
    <n v="15623.28"/>
    <m/>
    <m/>
    <n v="2383.21"/>
    <m/>
    <m/>
    <m/>
    <m/>
    <m/>
    <m/>
    <m/>
    <m/>
    <m/>
    <m/>
    <m/>
    <m/>
    <m/>
    <m/>
    <m/>
    <m/>
    <m/>
    <n v="0"/>
    <n v="0"/>
    <n v="0"/>
    <m/>
    <m/>
    <m/>
    <n v="33898.31"/>
    <n v="3507.08"/>
    <n v="2711.8644067796613"/>
    <m/>
    <n v="254237.29"/>
    <n v="3789.18"/>
    <m/>
    <m/>
    <s v="Реаб."/>
    <d v="2025-03-12T00:00:00"/>
    <s v="Принят"/>
    <s v="SGG"/>
    <d v="2023-01-05T00:00:00"/>
    <s v="BSG-230105-1/0(35)"/>
    <m/>
    <m/>
    <s v="Yes"/>
  </r>
  <r>
    <n v="1931"/>
    <s v="Мцхета-Мтианети"/>
    <s v="Душети"/>
    <s v="(36) დ. ჟინვალი საშუალო წნევის D 80 მმ გაზსადენის რეაბილიტაცია P.3.608"/>
    <x v="12"/>
    <n v="2481.5"/>
    <n v="2"/>
    <n v="2481.5"/>
    <m/>
    <n v="2481.5"/>
    <n v="0"/>
    <n v="0"/>
    <m/>
    <n v="0"/>
    <n v="0"/>
    <m/>
    <s v="P.3.608"/>
    <n v="0"/>
    <n v="0"/>
    <m/>
    <m/>
    <m/>
    <m/>
    <m/>
    <m/>
    <m/>
    <m/>
    <m/>
    <m/>
    <m/>
    <m/>
    <m/>
    <m/>
    <m/>
    <m/>
    <m/>
    <m/>
    <m/>
    <m/>
    <m/>
    <m/>
    <m/>
    <m/>
    <m/>
    <n v="0"/>
    <n v="0"/>
    <n v="0"/>
    <m/>
    <m/>
    <m/>
    <m/>
    <m/>
    <m/>
    <m/>
    <m/>
    <m/>
    <m/>
    <m/>
    <s v="Проектирование"/>
    <d v="2024-03-01T00:00:00"/>
    <s v="ПриПро"/>
    <s v="SGG"/>
    <d v="2023-01-05T00:00:00"/>
    <s v="BSG-230105-1/0(36)"/>
    <m/>
    <m/>
    <s v="No"/>
  </r>
  <r>
    <n v="1932"/>
    <s v="Мцхета-Мтианети"/>
    <s v="Душети"/>
    <s v="(37) დ. ჟინვალი საშუალო წნევის D 80 მმ გაზსადენის რეაბილიტაცია P.3.608"/>
    <x v="5"/>
    <n v="60180"/>
    <n v="2"/>
    <n v="195437.57"/>
    <n v="195437.57"/>
    <n v="195437.57"/>
    <n v="-135257.57"/>
    <n v="0"/>
    <n v="1341"/>
    <n v="0"/>
    <n v="0"/>
    <m/>
    <s v="P.3.608"/>
    <n v="0"/>
    <n v="0"/>
    <m/>
    <m/>
    <m/>
    <m/>
    <m/>
    <m/>
    <m/>
    <m/>
    <m/>
    <m/>
    <m/>
    <m/>
    <m/>
    <m/>
    <m/>
    <m/>
    <m/>
    <m/>
    <m/>
    <m/>
    <m/>
    <m/>
    <m/>
    <m/>
    <m/>
    <n v="0"/>
    <n v="0"/>
    <n v="0"/>
    <m/>
    <m/>
    <m/>
    <n v="127118.64"/>
    <n v="15342.43"/>
    <n v="10169.491525423731"/>
    <n v="4858.7714067796624"/>
    <m/>
    <m/>
    <m/>
    <m/>
    <s v="Реаб."/>
    <d v="2024-09-30T00:00:00"/>
    <s v="Принят"/>
    <s v="SGG"/>
    <d v="2023-01-05T00:00:00"/>
    <s v="BSG-230105-1/0(37)"/>
    <m/>
    <m/>
    <s v="Yes"/>
  </r>
  <r>
    <n v="1933"/>
    <s v="Мцхета-Мтианети"/>
    <s v="Мцхета"/>
    <s v="(38) საგურამოს ქუჩა ავტობანის მიმდებარედ დ=500 მმ მილი მიწისქვეშა გაზსადენი არის ამორტიზირებული და ესაჭიროება რეაბილიტაცია L=300 მ P.3.657"/>
    <x v="12"/>
    <n v="973"/>
    <n v="2"/>
    <n v="973"/>
    <m/>
    <n v="973"/>
    <n v="0"/>
    <n v="0"/>
    <m/>
    <n v="0"/>
    <n v="0"/>
    <m/>
    <s v="P.3.657"/>
    <n v="0"/>
    <n v="0"/>
    <m/>
    <m/>
    <m/>
    <m/>
    <m/>
    <m/>
    <m/>
    <m/>
    <m/>
    <m/>
    <m/>
    <m/>
    <m/>
    <m/>
    <m/>
    <m/>
    <m/>
    <m/>
    <m/>
    <m/>
    <m/>
    <m/>
    <m/>
    <m/>
    <m/>
    <n v="0"/>
    <n v="0"/>
    <n v="0"/>
    <m/>
    <m/>
    <m/>
    <m/>
    <m/>
    <m/>
    <m/>
    <m/>
    <m/>
    <m/>
    <m/>
    <s v="Проектирование"/>
    <d v="2024-05-01T00:00:00"/>
    <s v="ПриПро"/>
    <s v="SGG"/>
    <d v="2023-01-05T00:00:00"/>
    <s v="BSG-230105-1/0(38)"/>
    <m/>
    <m/>
    <s v="No"/>
  </r>
  <r>
    <n v="1934"/>
    <s v="Мцхета-Мтианети"/>
    <s v="Мцхета"/>
    <s v="(39) საგურამოს ქუჩა ავტობანის მიმდებარედ დ=500 მმ მილი მიწისქვეშა გაზსადენი არის ამორტიზირებული და ესაჭიროება რეაბილიტაცია L=300 მ P.3.657"/>
    <x v="5"/>
    <n v="62870.399999999994"/>
    <n v="2"/>
    <n v="130548.23000000001"/>
    <m/>
    <n v="130083.64999999998"/>
    <n v="-67213.249999999985"/>
    <n v="464.58000000003085"/>
    <n v="580"/>
    <n v="464.58000000003085"/>
    <n v="1"/>
    <n v="0"/>
    <s v="P.3.657"/>
    <n v="30488.21"/>
    <n v="4659.920000000001"/>
    <n v="30000"/>
    <n v="9.18"/>
    <m/>
    <n v="4576.2700000000004"/>
    <n v="488.21"/>
    <m/>
    <m/>
    <n v="74.47"/>
    <m/>
    <m/>
    <m/>
    <m/>
    <m/>
    <m/>
    <m/>
    <m/>
    <m/>
    <m/>
    <m/>
    <m/>
    <m/>
    <m/>
    <m/>
    <m/>
    <m/>
    <n v="0"/>
    <n v="0"/>
    <n v="0"/>
    <m/>
    <m/>
    <m/>
    <n v="84745.76"/>
    <n v="8244.7200000000012"/>
    <n v="3389.8305084745771"/>
    <m/>
    <n v="25423.73"/>
    <n v="378.92"/>
    <m/>
    <m/>
    <s v="Реаб."/>
    <d v="2025-03-21T00:00:00"/>
    <s v="Принят"/>
    <s v="SGG"/>
    <d v="2023-01-05T00:00:00"/>
    <s v="BSG-230105-1/0(39)"/>
    <m/>
    <m/>
    <s v="Yes"/>
  </r>
  <r>
    <n v="1935"/>
    <s v="Мцхета-Мтианети"/>
    <s v="Мцхета"/>
    <s v="(40) მცხეთა სოფ ნავდაარანთკარი დაბალი წნევის გადაყვანა საშუალო წნევაზე P.3.663"/>
    <x v="12"/>
    <n v="334.25"/>
    <m/>
    <n v="334.25"/>
    <m/>
    <n v="334.25"/>
    <n v="0"/>
    <n v="0"/>
    <m/>
    <n v="0"/>
    <n v="0"/>
    <m/>
    <s v="P.3.663"/>
    <n v="0"/>
    <n v="0"/>
    <m/>
    <m/>
    <m/>
    <m/>
    <m/>
    <m/>
    <m/>
    <m/>
    <m/>
    <m/>
    <m/>
    <m/>
    <m/>
    <m/>
    <m/>
    <m/>
    <m/>
    <m/>
    <m/>
    <m/>
    <m/>
    <m/>
    <m/>
    <m/>
    <m/>
    <n v="0"/>
    <n v="0"/>
    <n v="0"/>
    <m/>
    <m/>
    <m/>
    <m/>
    <m/>
    <m/>
    <m/>
    <m/>
    <m/>
    <m/>
    <m/>
    <s v="Проектирование"/>
    <d v="2023-10-09T00:00:00"/>
    <s v="ПриПро"/>
    <s v="SGG"/>
    <d v="2023-01-05T00:00:00"/>
    <s v="BSG-230105-1/0(40)"/>
    <m/>
    <m/>
    <s v="No"/>
  </r>
  <r>
    <n v="1936"/>
    <s v="Мцхета-Мтианети"/>
    <s v="Мцхета"/>
    <s v="(41) მცხეთა სოფ ნავდაარანთკარი დაბალი წნევის გადაყვანა საშუალო წნევაზე P.3.663"/>
    <x v="5"/>
    <n v="55008.626400000001"/>
    <m/>
    <n v="7948.31"/>
    <m/>
    <n v="7948.3099999999995"/>
    <n v="47060.316400000003"/>
    <n v="0"/>
    <n v="193"/>
    <n v="9.0949470177292824E-13"/>
    <n v="0"/>
    <m/>
    <s v="P.3.663"/>
    <n v="0"/>
    <n v="0"/>
    <m/>
    <m/>
    <m/>
    <m/>
    <m/>
    <m/>
    <m/>
    <m/>
    <m/>
    <m/>
    <m/>
    <m/>
    <m/>
    <m/>
    <m/>
    <m/>
    <m/>
    <m/>
    <m/>
    <m/>
    <m/>
    <m/>
    <m/>
    <m/>
    <m/>
    <n v="0"/>
    <n v="0"/>
    <n v="0"/>
    <n v="0"/>
    <n v="0"/>
    <n v="673.58559322033909"/>
    <m/>
    <m/>
    <m/>
    <m/>
    <m/>
    <m/>
    <m/>
    <m/>
    <s v="Реаб."/>
    <d v="2023-11-30T00:00:00"/>
    <s v="Принят"/>
    <s v="SGG"/>
    <d v="2023-01-05T00:00:00"/>
    <s v="BSG-230105-1/0(41)"/>
    <m/>
    <m/>
    <s v="Yes"/>
  </r>
  <r>
    <n v="1937"/>
    <s v="Шида Картли"/>
    <s v="Карели"/>
    <s v="(42) სოფელ რუისში ერთი უბნის (230 აბონენტის) დაბალი წნევიდან საშუალო წნევაზე გადაყვანა P.3.143"/>
    <x v="12"/>
    <n v="101.5"/>
    <m/>
    <n v="101.5"/>
    <m/>
    <n v="101.5"/>
    <n v="0"/>
    <n v="0"/>
    <m/>
    <n v="0"/>
    <n v="0"/>
    <m/>
    <s v="P.3.143"/>
    <n v="0"/>
    <n v="0"/>
    <m/>
    <m/>
    <m/>
    <m/>
    <m/>
    <m/>
    <m/>
    <m/>
    <m/>
    <m/>
    <m/>
    <m/>
    <m/>
    <m/>
    <m/>
    <m/>
    <m/>
    <m/>
    <m/>
    <m/>
    <m/>
    <m/>
    <m/>
    <m/>
    <m/>
    <n v="0"/>
    <n v="0"/>
    <n v="0"/>
    <m/>
    <m/>
    <m/>
    <m/>
    <m/>
    <m/>
    <m/>
    <m/>
    <m/>
    <m/>
    <m/>
    <s v="Проектирование"/>
    <d v="2023-08-15T00:00:00"/>
    <s v="ПриПро"/>
    <s v="SGG"/>
    <d v="2023-01-05T00:00:00"/>
    <s v="BSG-230105-1/0(42)"/>
    <m/>
    <m/>
    <s v="No"/>
  </r>
  <r>
    <n v="1938"/>
    <s v="Шида Картли"/>
    <s v="Карели"/>
    <s v="(43) სოფელ რუისში ერთი უბნის (230 აბონენტის) დაბალი წნევიდან საშუალო წნევაზე გადაყვანა P.3.143"/>
    <x v="5"/>
    <n v="31433.500800000002"/>
    <m/>
    <n v="6402.38"/>
    <m/>
    <n v="6402.38"/>
    <n v="25031.120800000001"/>
    <n v="0"/>
    <n v="27.2"/>
    <n v="0"/>
    <n v="0"/>
    <m/>
    <s v="P.3.143"/>
    <n v="0"/>
    <n v="0"/>
    <m/>
    <m/>
    <m/>
    <m/>
    <m/>
    <m/>
    <m/>
    <m/>
    <m/>
    <m/>
    <m/>
    <m/>
    <m/>
    <m/>
    <m/>
    <m/>
    <m/>
    <m/>
    <m/>
    <m/>
    <m/>
    <m/>
    <m/>
    <m/>
    <m/>
    <n v="0"/>
    <n v="0"/>
    <n v="0"/>
    <n v="0"/>
    <n v="0"/>
    <n v="542.57457627118652"/>
    <m/>
    <m/>
    <m/>
    <m/>
    <m/>
    <m/>
    <m/>
    <m/>
    <s v="Реаб."/>
    <d v="2023-11-30T00:00:00"/>
    <s v="Принят"/>
    <s v="SGG"/>
    <d v="2023-01-05T00:00:00"/>
    <s v="BSG-230105-1/0(43)"/>
    <m/>
    <m/>
    <s v="Yes"/>
  </r>
  <r>
    <n v="1939"/>
    <s v="Мцхета-Мтианети"/>
    <s v="Мцхета"/>
    <s v="(44) მისაქციელი ლამის უბანის აბონენტების გადაყვანა საშუალო წნევაზე P.3.668"/>
    <x v="12"/>
    <n v="0"/>
    <n v="2"/>
    <n v="0"/>
    <m/>
    <n v="0"/>
    <n v="0"/>
    <n v="0"/>
    <m/>
    <n v="0"/>
    <n v="2"/>
    <m/>
    <s v="P.3.668"/>
    <n v="0"/>
    <n v="0"/>
    <m/>
    <m/>
    <m/>
    <m/>
    <m/>
    <m/>
    <m/>
    <m/>
    <m/>
    <m/>
    <m/>
    <m/>
    <m/>
    <m/>
    <m/>
    <m/>
    <m/>
    <m/>
    <m/>
    <m/>
    <m/>
    <m/>
    <m/>
    <m/>
    <m/>
    <n v="0"/>
    <n v="0"/>
    <n v="0"/>
    <m/>
    <m/>
    <m/>
    <m/>
    <m/>
    <m/>
    <m/>
    <m/>
    <m/>
    <m/>
    <m/>
    <s v="Проектирование"/>
    <m/>
    <n v="0"/>
    <s v="SGG"/>
    <d v="2023-01-05T00:00:00"/>
    <s v="BSG-230105-1/0(44)"/>
    <m/>
    <m/>
    <m/>
  </r>
  <r>
    <n v="1940"/>
    <s v="Мцхета-Мтианети"/>
    <s v="Мцхета"/>
    <s v="(45) მისაქციელი ლამის უბანის აბონენტების გადაყვანა საშუალო წნევაზე P.3.668"/>
    <x v="5"/>
    <n v="36672.417599999993"/>
    <n v="2"/>
    <n v="46000"/>
    <m/>
    <n v="7016.95"/>
    <n v="29655.467599999993"/>
    <n v="38983.050000000003"/>
    <m/>
    <n v="29655.467599999993"/>
    <n v="1"/>
    <m/>
    <s v="P.3.668"/>
    <n v="46000"/>
    <n v="7016.95"/>
    <m/>
    <m/>
    <m/>
    <m/>
    <n v="46000"/>
    <m/>
    <m/>
    <n v="7016.95"/>
    <m/>
    <m/>
    <m/>
    <m/>
    <m/>
    <m/>
    <m/>
    <m/>
    <m/>
    <m/>
    <m/>
    <m/>
    <m/>
    <m/>
    <m/>
    <m/>
    <m/>
    <n v="0"/>
    <n v="0"/>
    <n v="0"/>
    <m/>
    <m/>
    <m/>
    <m/>
    <m/>
    <m/>
    <m/>
    <m/>
    <m/>
    <m/>
    <m/>
    <s v="Реаб."/>
    <m/>
    <n v="0"/>
    <s v="SGG"/>
    <d v="2023-01-05T00:00:00"/>
    <s v="BSG-230105-1/0(45)"/>
    <m/>
    <m/>
    <m/>
  </r>
  <r>
    <n v="1941"/>
    <s v="Мцхета-Мтианети"/>
    <s v="Мцхета"/>
    <s v="(46) აღმაშენებლის ქუჩა მტკვრის სანაპიროზე არსებული გაზსადენის რეაბილიტაცია P.3.667"/>
    <x v="12"/>
    <n v="2399.25"/>
    <m/>
    <n v="2399.25"/>
    <m/>
    <n v="2399.25"/>
    <n v="0"/>
    <n v="0"/>
    <m/>
    <n v="0"/>
    <n v="0"/>
    <m/>
    <s v="P.3.667"/>
    <n v="0"/>
    <n v="0"/>
    <m/>
    <m/>
    <m/>
    <m/>
    <m/>
    <m/>
    <m/>
    <m/>
    <m/>
    <m/>
    <m/>
    <m/>
    <m/>
    <m/>
    <m/>
    <m/>
    <m/>
    <m/>
    <m/>
    <m/>
    <m/>
    <m/>
    <m/>
    <m/>
    <m/>
    <n v="0"/>
    <n v="0"/>
    <n v="0"/>
    <m/>
    <m/>
    <m/>
    <m/>
    <m/>
    <m/>
    <m/>
    <m/>
    <m/>
    <m/>
    <m/>
    <s v="Проектирование"/>
    <d v="2023-08-15T00:00:00"/>
    <s v="ПриПро"/>
    <s v="SGG"/>
    <d v="2023-01-05T00:00:00"/>
    <s v="BSG-230105-1/0(46)"/>
    <m/>
    <m/>
    <s v="No"/>
  </r>
  <r>
    <n v="1942"/>
    <s v="Мцхета-Мтианети"/>
    <s v="Мцхета"/>
    <s v="(47) აღმაშენებლის ქუჩა მტკვრის სანაპიროზე არსებული გაზსადენის რეაბილიტაცია P.3.667"/>
    <x v="5"/>
    <n v="65000"/>
    <n v="2"/>
    <n v="124530.14"/>
    <n v="124530.14"/>
    <n v="124530.14"/>
    <n v="-59530.14"/>
    <n v="0"/>
    <n v="1013"/>
    <n v="0"/>
    <n v="0"/>
    <m/>
    <s v="P.3.667"/>
    <n v="0"/>
    <n v="0"/>
    <m/>
    <m/>
    <m/>
    <m/>
    <m/>
    <m/>
    <m/>
    <m/>
    <m/>
    <m/>
    <m/>
    <m/>
    <m/>
    <m/>
    <m/>
    <m/>
    <m/>
    <m/>
    <m/>
    <m/>
    <m/>
    <m/>
    <m/>
    <m/>
    <m/>
    <n v="0"/>
    <n v="0"/>
    <n v="0"/>
    <m/>
    <m/>
    <m/>
    <n v="80508.479999999996"/>
    <n v="9205.67"/>
    <n v="6440.6779661016963"/>
    <n v="3192.1567288135584"/>
    <m/>
    <m/>
    <m/>
    <m/>
    <s v="Реаб."/>
    <d v="2024-11-25T00:00:00"/>
    <s v="Принят"/>
    <s v="SGG"/>
    <d v="2023-01-05T00:00:00"/>
    <s v="BSG-230105-1/0(47)"/>
    <m/>
    <m/>
    <s v="Yes"/>
  </r>
  <r>
    <n v="1943"/>
    <s v="Мцхета-Мтианети"/>
    <s v="Мцхета"/>
    <s v="(48) სოფ. ვაზიანში შესასვლელიდან 400 მ -ს მანძილზე დაბალი წნევა გადაყვანა საშუალო წნევაზე P.3.660"/>
    <x v="12"/>
    <n v="61.25"/>
    <m/>
    <n v="61.25"/>
    <m/>
    <n v="61.25"/>
    <n v="0"/>
    <n v="0"/>
    <m/>
    <n v="0"/>
    <n v="0"/>
    <m/>
    <s v="P.3.660"/>
    <n v="0"/>
    <n v="0"/>
    <m/>
    <m/>
    <m/>
    <m/>
    <m/>
    <m/>
    <m/>
    <m/>
    <m/>
    <m/>
    <m/>
    <m/>
    <m/>
    <m/>
    <m/>
    <m/>
    <m/>
    <m/>
    <m/>
    <m/>
    <m/>
    <m/>
    <m/>
    <m/>
    <m/>
    <n v="0"/>
    <n v="0"/>
    <n v="0"/>
    <m/>
    <m/>
    <m/>
    <m/>
    <m/>
    <m/>
    <m/>
    <m/>
    <m/>
    <m/>
    <m/>
    <s v="Проектирование"/>
    <d v="2023-10-02T00:00:00"/>
    <s v="ПриПро"/>
    <s v="SGG"/>
    <d v="2023-01-05T00:00:00"/>
    <s v="BSG-230105-1/0(48)"/>
    <m/>
    <m/>
    <s v="No"/>
  </r>
  <r>
    <n v="1944"/>
    <s v="Мцхета-Мтианети"/>
    <s v="Мцхета"/>
    <s v="(49) სოფ. ვაზიანში შესასვლელიდან 400 მ -ს მანძილზე დაბალი წნევა გადაყვანა საშუალო წნევაზე P.3.660"/>
    <x v="5"/>
    <n v="33598.847999999998"/>
    <m/>
    <n v="5106.3600000000006"/>
    <m/>
    <n v="5106.3600000000006"/>
    <n v="28492.487999999998"/>
    <n v="0"/>
    <n v="45"/>
    <n v="0"/>
    <n v="0"/>
    <m/>
    <s v="P.3.660"/>
    <n v="0"/>
    <n v="0"/>
    <m/>
    <m/>
    <m/>
    <m/>
    <m/>
    <m/>
    <m/>
    <m/>
    <m/>
    <m/>
    <m/>
    <m/>
    <m/>
    <m/>
    <m/>
    <m/>
    <m/>
    <m/>
    <m/>
    <m/>
    <m/>
    <m/>
    <m/>
    <m/>
    <m/>
    <n v="0"/>
    <n v="0"/>
    <n v="0"/>
    <n v="0"/>
    <n v="0"/>
    <n v="432.742372881356"/>
    <m/>
    <m/>
    <m/>
    <m/>
    <m/>
    <m/>
    <m/>
    <m/>
    <s v="Реаб."/>
    <d v="2023-11-30T00:00:00"/>
    <s v="Принят"/>
    <s v="SGG"/>
    <d v="2023-01-05T00:00:00"/>
    <s v="BSG-230105-1/0(49)"/>
    <m/>
    <m/>
    <s v="Yes"/>
  </r>
  <r>
    <n v="1945"/>
    <s v="Мцхета-Мтианети"/>
    <s v="Мцхета"/>
    <s v="(50) სოფ. ციხისძირში მთიულების დასახლებაში წნევის დაბალიდან საშუალოზე გადაყვანა P.3.694"/>
    <x v="12"/>
    <n v="26.25"/>
    <m/>
    <n v="26.25"/>
    <m/>
    <n v="26.25"/>
    <n v="0"/>
    <n v="0"/>
    <m/>
    <n v="0"/>
    <n v="0"/>
    <m/>
    <s v="P.3.694"/>
    <n v="0"/>
    <n v="0"/>
    <m/>
    <m/>
    <m/>
    <m/>
    <m/>
    <m/>
    <m/>
    <m/>
    <m/>
    <m/>
    <m/>
    <m/>
    <m/>
    <m/>
    <m/>
    <m/>
    <m/>
    <m/>
    <m/>
    <m/>
    <m/>
    <m/>
    <m/>
    <m/>
    <m/>
    <n v="0"/>
    <n v="0"/>
    <n v="0"/>
    <m/>
    <m/>
    <m/>
    <m/>
    <m/>
    <m/>
    <m/>
    <m/>
    <m/>
    <m/>
    <m/>
    <s v="Проектирование"/>
    <d v="2023-10-02T00:00:00"/>
    <s v="ПриПро"/>
    <s v="SGG"/>
    <d v="2023-01-05T00:00:00"/>
    <s v="BSG-230105-1/0(50)"/>
    <m/>
    <m/>
    <s v="No"/>
  </r>
  <r>
    <n v="1946"/>
    <s v="Мцхета-Мтианети"/>
    <s v="Мцхета"/>
    <s v="(51) სოფ. ციხისძირში მთიულების დასახლებაში წნევის დაბალიდან საშუალოზე გადაყვანა P.3.694"/>
    <x v="5"/>
    <n v="23222.683199999999"/>
    <m/>
    <n v="1801.98"/>
    <m/>
    <n v="1801.98"/>
    <n v="21420.7032"/>
    <n v="0"/>
    <n v="20"/>
    <n v="0"/>
    <n v="0"/>
    <m/>
    <s v="P.3.694"/>
    <n v="0"/>
    <n v="0"/>
    <m/>
    <m/>
    <m/>
    <m/>
    <m/>
    <m/>
    <m/>
    <m/>
    <m/>
    <m/>
    <m/>
    <m/>
    <m/>
    <m/>
    <m/>
    <m/>
    <m/>
    <m/>
    <m/>
    <m/>
    <m/>
    <m/>
    <m/>
    <m/>
    <m/>
    <n v="0"/>
    <n v="0"/>
    <n v="0"/>
    <n v="0"/>
    <n v="0"/>
    <n v="152.71016949152542"/>
    <m/>
    <m/>
    <m/>
    <m/>
    <m/>
    <m/>
    <m/>
    <m/>
    <s v="Реаб."/>
    <d v="2023-11-30T00:00:00"/>
    <s v="Принят"/>
    <s v="SGG"/>
    <d v="2023-01-05T00:00:00"/>
    <s v="BSG-230105-1/0(51)"/>
    <m/>
    <m/>
    <s v="Yes"/>
  </r>
  <r>
    <n v="1947"/>
    <s v="Мцхета-Мтианети"/>
    <s v="Мцхета"/>
    <s v="(52) ქ. მცხეთაში - საგურამოს, საგურამოს ილიას უბანის,ბიწმენდის, გალავანის, წინამძღვრიანთკარის, ჯიღაურასა და წეროვნის ინსტიტუტის დასახლებაში მრიცხველების შეცვლა-გამოტანა. (II ეტაპი) P.3.78"/>
    <x v="12"/>
    <n v="0"/>
    <n v="2"/>
    <m/>
    <m/>
    <m/>
    <n v="0"/>
    <n v="0"/>
    <m/>
    <n v="0"/>
    <n v="2"/>
    <m/>
    <s v="P.3.78"/>
    <n v="0"/>
    <n v="0"/>
    <m/>
    <m/>
    <m/>
    <m/>
    <m/>
    <m/>
    <m/>
    <m/>
    <m/>
    <m/>
    <m/>
    <m/>
    <m/>
    <m/>
    <m/>
    <m/>
    <m/>
    <m/>
    <m/>
    <m/>
    <m/>
    <m/>
    <m/>
    <m/>
    <m/>
    <n v="0"/>
    <n v="0"/>
    <n v="0"/>
    <m/>
    <m/>
    <m/>
    <m/>
    <m/>
    <m/>
    <m/>
    <m/>
    <m/>
    <m/>
    <m/>
    <s v="Проектирование"/>
    <m/>
    <n v="0"/>
    <s v="SGG"/>
    <d v="2023-01-05T00:00:00"/>
    <s v="BSG-230105-1/0(52)"/>
    <m/>
    <m/>
    <m/>
  </r>
  <r>
    <n v="1948"/>
    <s v="Мцхета-Мтианети"/>
    <s v="Мцхета"/>
    <s v="(53) ქ. მცხეთაში - საგურამოს, საგურამოს ილიას უბანის,ბიწმენდის, გალავანის, წინამძღვრიანთკარის, ჯიღაურასა და წეროვნის ინსტიტუტის დასახლებაში მრიცხველების შეცვლა-გამოტანა. (II ეტაპი) P.3.78"/>
    <x v="5"/>
    <n v="300000"/>
    <n v="2"/>
    <m/>
    <m/>
    <m/>
    <n v="300000"/>
    <n v="0"/>
    <m/>
    <n v="300000"/>
    <n v="1"/>
    <m/>
    <s v="P.3.78"/>
    <n v="0"/>
    <n v="0"/>
    <m/>
    <m/>
    <m/>
    <m/>
    <m/>
    <m/>
    <m/>
    <m/>
    <m/>
    <m/>
    <m/>
    <m/>
    <m/>
    <m/>
    <m/>
    <m/>
    <m/>
    <m/>
    <m/>
    <m/>
    <m/>
    <m/>
    <m/>
    <m/>
    <m/>
    <n v="0"/>
    <n v="0"/>
    <n v="0"/>
    <m/>
    <m/>
    <m/>
    <m/>
    <m/>
    <m/>
    <m/>
    <m/>
    <m/>
    <m/>
    <m/>
    <s v="Реаб."/>
    <m/>
    <n v="0"/>
    <s v="SGG"/>
    <d v="2023-01-05T00:00:00"/>
    <s v="BSG-230105-1/0(53)"/>
    <m/>
    <m/>
    <m/>
  </r>
  <r>
    <n v="1949"/>
    <s v="Мцхета-Мтианети"/>
    <s v="Казбеги"/>
    <s v="(54) მრიცხველების გამოტანა სოფ გერგეტი P.3.636"/>
    <x v="12"/>
    <n v="0"/>
    <n v="2"/>
    <m/>
    <m/>
    <m/>
    <n v="0"/>
    <n v="0"/>
    <m/>
    <n v="0"/>
    <n v="2"/>
    <m/>
    <s v="P.3.636"/>
    <n v="0"/>
    <n v="0"/>
    <m/>
    <m/>
    <m/>
    <m/>
    <m/>
    <m/>
    <m/>
    <m/>
    <m/>
    <m/>
    <m/>
    <m/>
    <m/>
    <m/>
    <m/>
    <m/>
    <m/>
    <m/>
    <m/>
    <m/>
    <m/>
    <m/>
    <m/>
    <m/>
    <m/>
    <n v="0"/>
    <n v="0"/>
    <n v="0"/>
    <m/>
    <m/>
    <m/>
    <m/>
    <m/>
    <m/>
    <m/>
    <m/>
    <m/>
    <m/>
    <m/>
    <s v="Проектирование"/>
    <m/>
    <n v="0"/>
    <s v="SGG"/>
    <d v="2023-01-05T00:00:00"/>
    <s v="BSG-230105-1/0(54)"/>
    <m/>
    <m/>
    <m/>
  </r>
  <r>
    <n v="1950"/>
    <s v="Мцхета-Мтианети"/>
    <s v="Казбеги"/>
    <s v="(55) მრიცხველების გამოტანა სოფ გერგეტი P.3.636"/>
    <x v="5"/>
    <n v="14679.199999999999"/>
    <m/>
    <n v="4920.46"/>
    <m/>
    <n v="4920.46"/>
    <n v="9758.739999999998"/>
    <n v="0"/>
    <n v="152.1"/>
    <n v="0"/>
    <n v="0"/>
    <m/>
    <s v="P.3.636"/>
    <n v="0"/>
    <n v="0"/>
    <m/>
    <m/>
    <m/>
    <m/>
    <m/>
    <m/>
    <m/>
    <m/>
    <m/>
    <m/>
    <m/>
    <m/>
    <m/>
    <m/>
    <m/>
    <m/>
    <m/>
    <m/>
    <m/>
    <m/>
    <m/>
    <m/>
    <m/>
    <m/>
    <m/>
    <n v="0"/>
    <n v="0"/>
    <n v="0"/>
    <n v="0"/>
    <n v="0"/>
    <n v="416.98813559322036"/>
    <m/>
    <m/>
    <m/>
    <m/>
    <m/>
    <m/>
    <m/>
    <m/>
    <s v="Реаб."/>
    <d v="2023-12-29T00:00:00"/>
    <s v="Принят"/>
    <s v="SGG"/>
    <d v="2023-01-05T00:00:00"/>
    <s v="BSG-230105-1/0(55)"/>
    <m/>
    <m/>
    <s v="Yes"/>
  </r>
  <r>
    <n v="1951"/>
    <s v="Шида Картли"/>
    <s v="Хашури"/>
    <s v="(56) ქ. ხაშურში, სარაჯიშვილის ქუჩაზე მრიცხველების გამოტანა P.3.17"/>
    <x v="12"/>
    <n v="707"/>
    <n v="2"/>
    <n v="707"/>
    <m/>
    <n v="707"/>
    <n v="0"/>
    <n v="0"/>
    <m/>
    <n v="0"/>
    <n v="0"/>
    <m/>
    <s v="P.3.17"/>
    <n v="0"/>
    <n v="0"/>
    <m/>
    <m/>
    <m/>
    <m/>
    <m/>
    <m/>
    <m/>
    <m/>
    <m/>
    <m/>
    <m/>
    <m/>
    <m/>
    <m/>
    <m/>
    <m/>
    <m/>
    <m/>
    <m/>
    <m/>
    <m/>
    <m/>
    <m/>
    <m/>
    <m/>
    <n v="0"/>
    <n v="0"/>
    <n v="0"/>
    <m/>
    <m/>
    <m/>
    <m/>
    <m/>
    <m/>
    <m/>
    <m/>
    <m/>
    <m/>
    <m/>
    <s v="Проектирование"/>
    <d v="2024-05-16T00:00:00"/>
    <s v="ПриПро"/>
    <s v="SGG"/>
    <d v="2023-01-05T00:00:00"/>
    <s v="BSG-230105-1/0(56)"/>
    <m/>
    <m/>
    <s v="No"/>
  </r>
  <r>
    <n v="1952"/>
    <s v="Шида Картли"/>
    <s v="Хашури"/>
    <s v="(57) ქ. ხაშურში, სარაჯიშვილის ქუჩაზე მრიცხველების გამოტანა P.3.17"/>
    <x v="5"/>
    <n v="13562.92"/>
    <n v="2"/>
    <n v="20766.09"/>
    <n v="20766.09"/>
    <n v="20766.09"/>
    <n v="-7203.17"/>
    <n v="0"/>
    <n v="321.8"/>
    <n v="0"/>
    <n v="0"/>
    <m/>
    <s v="P.3.17"/>
    <n v="0"/>
    <n v="0"/>
    <m/>
    <m/>
    <m/>
    <m/>
    <m/>
    <m/>
    <m/>
    <m/>
    <m/>
    <m/>
    <m/>
    <m/>
    <m/>
    <m/>
    <m/>
    <m/>
    <m/>
    <m/>
    <m/>
    <m/>
    <m/>
    <m/>
    <m/>
    <m/>
    <m/>
    <n v="0"/>
    <n v="0"/>
    <n v="0"/>
    <m/>
    <m/>
    <m/>
    <m/>
    <m/>
    <n v="0"/>
    <n v="1759.8381355932206"/>
    <m/>
    <m/>
    <m/>
    <m/>
    <s v="Реаб."/>
    <d v="2024-07-31T00:00:00"/>
    <s v="Принят"/>
    <s v="SGG"/>
    <d v="2023-01-05T00:00:00"/>
    <s v="BSG-230105-1/0(57)"/>
    <m/>
    <m/>
    <s v="Yes"/>
  </r>
  <r>
    <n v="1953"/>
    <s v="Мцхета-Мтианети"/>
    <s v="Мцхета"/>
    <s v="(58) მისაქციელი ჭაშნაგირის უკან არსებული დ.წნევის გაზსადენის გადაყვანა საშუალო წნევაზე P.3.669"/>
    <x v="12"/>
    <n v="0"/>
    <n v="2"/>
    <n v="313.25"/>
    <m/>
    <n v="0"/>
    <n v="0"/>
    <n v="313.25"/>
    <m/>
    <n v="313.25"/>
    <n v="2"/>
    <m/>
    <s v="P.3.669"/>
    <n v="313.25"/>
    <n v="0"/>
    <m/>
    <m/>
    <m/>
    <m/>
    <m/>
    <m/>
    <m/>
    <m/>
    <n v="313.25"/>
    <m/>
    <m/>
    <m/>
    <m/>
    <m/>
    <m/>
    <m/>
    <m/>
    <m/>
    <m/>
    <m/>
    <m/>
    <m/>
    <m/>
    <m/>
    <m/>
    <n v="0"/>
    <n v="0"/>
    <n v="0"/>
    <m/>
    <m/>
    <m/>
    <m/>
    <m/>
    <m/>
    <m/>
    <m/>
    <m/>
    <m/>
    <m/>
    <s v="Проектирование"/>
    <d v="2025-05-01T00:00:00"/>
    <s v="ПриПро"/>
    <s v="SGG"/>
    <d v="2023-01-05T00:00:00"/>
    <s v="BSG-230105-1/0(58)"/>
    <m/>
    <m/>
    <m/>
  </r>
  <r>
    <n v="1954"/>
    <s v="Мцхета-Мтианети"/>
    <s v="Мцхета"/>
    <s v="(59) მისაქციელი ჭაშნაგირის უკან არსებული დ.წნევის გაზსადენის გადაყვანა საშუალო წნევაზე P.3.669"/>
    <x v="5"/>
    <n v="10477.8336"/>
    <n v="2"/>
    <n v="41000"/>
    <m/>
    <n v="6254.24"/>
    <n v="4223.5936000000002"/>
    <n v="34745.760000000002"/>
    <m/>
    <n v="4223.5936000000002"/>
    <n v="1"/>
    <m/>
    <s v="P.3.669"/>
    <n v="41000"/>
    <n v="6254.24"/>
    <m/>
    <m/>
    <m/>
    <m/>
    <m/>
    <m/>
    <n v="41000"/>
    <m/>
    <m/>
    <n v="6254.24"/>
    <m/>
    <m/>
    <m/>
    <m/>
    <m/>
    <m/>
    <m/>
    <m/>
    <m/>
    <m/>
    <m/>
    <m/>
    <m/>
    <m/>
    <m/>
    <n v="0"/>
    <n v="0"/>
    <n v="0"/>
    <m/>
    <m/>
    <m/>
    <m/>
    <m/>
    <m/>
    <m/>
    <m/>
    <m/>
    <m/>
    <m/>
    <s v="Реаб."/>
    <m/>
    <n v="0"/>
    <s v="SGG"/>
    <d v="2023-01-05T00:00:00"/>
    <s v="BSG-230105-1/0(59)"/>
    <m/>
    <m/>
    <m/>
  </r>
  <r>
    <n v="1955"/>
    <s v="Мцхета-Мтианети"/>
    <s v="Мцхета"/>
    <s v="(60) ქ. მცხეთა სამხედროს ქუჩა. საშუალო წნევის გაზსადენის რეაბილიტაცია. P.3.55"/>
    <x v="12"/>
    <n v="266"/>
    <n v="2"/>
    <n v="266"/>
    <m/>
    <n v="266"/>
    <n v="0"/>
    <n v="0"/>
    <m/>
    <n v="0"/>
    <n v="0"/>
    <m/>
    <s v="P.3.55"/>
    <n v="0"/>
    <n v="0"/>
    <m/>
    <m/>
    <m/>
    <m/>
    <m/>
    <m/>
    <m/>
    <m/>
    <m/>
    <m/>
    <m/>
    <m/>
    <m/>
    <m/>
    <m/>
    <m/>
    <m/>
    <m/>
    <m/>
    <m/>
    <m/>
    <m/>
    <m/>
    <m/>
    <m/>
    <n v="0"/>
    <n v="0"/>
    <n v="0"/>
    <m/>
    <m/>
    <m/>
    <m/>
    <m/>
    <m/>
    <m/>
    <m/>
    <m/>
    <m/>
    <m/>
    <s v="Проектирование"/>
    <d v="2024-05-01T00:00:00"/>
    <s v="ПриПро"/>
    <s v="SGG"/>
    <d v="2023-01-05T00:00:00"/>
    <s v="BSG-230105-1/0(60)"/>
    <m/>
    <m/>
    <s v="No"/>
  </r>
  <r>
    <n v="1956"/>
    <s v="Мцхета-Мтианети"/>
    <s v="Мцхета"/>
    <s v="(61) ქ. მცხეთა სამხედროს ქუჩა. საშუალო წნევის გაზსადენის რეაბილიტაცია. P.3.55"/>
    <x v="5"/>
    <n v="7009.2"/>
    <n v="2"/>
    <n v="42150.51"/>
    <m/>
    <n v="40328.039999999994"/>
    <n v="-33318.839999999997"/>
    <n v="1822.4700000000084"/>
    <n v="147"/>
    <n v="1822.4700000000084"/>
    <n v="1"/>
    <m/>
    <s v="P.3.55"/>
    <n v="2150.5100000000002"/>
    <n v="328.04"/>
    <m/>
    <m/>
    <m/>
    <m/>
    <n v="2150.5100000000002"/>
    <m/>
    <m/>
    <n v="328.04"/>
    <m/>
    <m/>
    <m/>
    <m/>
    <m/>
    <m/>
    <m/>
    <m/>
    <m/>
    <m/>
    <m/>
    <m/>
    <m/>
    <m/>
    <m/>
    <m/>
    <m/>
    <n v="0"/>
    <n v="0"/>
    <n v="0"/>
    <m/>
    <m/>
    <m/>
    <n v="33898.31"/>
    <n v="3507.08"/>
    <n v="2711.8644067796613"/>
    <m/>
    <m/>
    <m/>
    <m/>
    <m/>
    <s v="Реаб."/>
    <d v="2025-03-12T00:00:00"/>
    <s v="Принят"/>
    <s v="SGG"/>
    <d v="2023-01-05T00:00:00"/>
    <s v="BSG-230105-1/0(61)"/>
    <m/>
    <s v="ივლისი-აგვისტო"/>
    <m/>
  </r>
  <r>
    <n v="1957"/>
    <s v="Мцхета-Мтианети"/>
    <s v="Казбеги"/>
    <s v="(62) სოფ. გერგეთის დაბალი წნევის გაზსადენის რეაბილიტაცია P.3.635"/>
    <x v="12"/>
    <n v="0"/>
    <n v="2"/>
    <m/>
    <m/>
    <m/>
    <n v="0"/>
    <n v="0"/>
    <m/>
    <n v="0"/>
    <n v="2"/>
    <m/>
    <s v="P.3.635"/>
    <n v="0"/>
    <n v="0"/>
    <m/>
    <m/>
    <m/>
    <m/>
    <m/>
    <m/>
    <m/>
    <m/>
    <m/>
    <m/>
    <m/>
    <m/>
    <m/>
    <m/>
    <m/>
    <m/>
    <m/>
    <m/>
    <m/>
    <m/>
    <m/>
    <m/>
    <m/>
    <m/>
    <m/>
    <n v="0"/>
    <n v="0"/>
    <n v="0"/>
    <m/>
    <m/>
    <m/>
    <m/>
    <m/>
    <m/>
    <m/>
    <m/>
    <m/>
    <m/>
    <m/>
    <s v="Проектирование"/>
    <m/>
    <n v="0"/>
    <s v="SGG"/>
    <d v="2023-01-05T00:00:00"/>
    <s v="BSG-230105-1/0(62)"/>
    <m/>
    <m/>
    <m/>
  </r>
  <r>
    <n v="1958"/>
    <s v="Мцхета-Мтианети"/>
    <s v="Казбеги"/>
    <s v="(63) სოფ. გერგეთის დაბალი წნევის გაზსადენის რეაბილიტაცია P.3.635"/>
    <x v="5"/>
    <n v="5616.7999999999993"/>
    <m/>
    <n v="687.34"/>
    <m/>
    <n v="687.34"/>
    <n v="4929.4599999999991"/>
    <n v="0"/>
    <n v="17.7"/>
    <n v="0"/>
    <n v="0"/>
    <m/>
    <s v="P.3.635"/>
    <n v="0"/>
    <n v="0"/>
    <m/>
    <m/>
    <m/>
    <m/>
    <m/>
    <m/>
    <m/>
    <m/>
    <m/>
    <m/>
    <m/>
    <m/>
    <m/>
    <m/>
    <m/>
    <m/>
    <m/>
    <m/>
    <m/>
    <m/>
    <m/>
    <m/>
    <m/>
    <m/>
    <m/>
    <n v="0"/>
    <n v="0"/>
    <n v="0"/>
    <n v="0"/>
    <n v="0"/>
    <n v="58.249152542372883"/>
    <m/>
    <m/>
    <m/>
    <m/>
    <m/>
    <m/>
    <m/>
    <m/>
    <s v="Реаб."/>
    <d v="2023-12-29T00:00:00"/>
    <s v="Принят"/>
    <s v="SGG"/>
    <d v="2023-01-05T00:00:00"/>
    <s v="BSG-230105-1/0(63)"/>
    <m/>
    <m/>
    <s v="Yes"/>
  </r>
  <r>
    <n v="1959"/>
    <s v="Мцхета-Мтианети"/>
    <s v="Мцхета"/>
    <s v="(64) ქალაქი მცხეთა აღმაშენებლის ქუჩა #101, გაზსადენის რეაბილიტაცია P.3.62"/>
    <x v="12"/>
    <n v="1142.75"/>
    <n v="2"/>
    <n v="1142.75"/>
    <m/>
    <n v="1142.75"/>
    <n v="0"/>
    <n v="0"/>
    <m/>
    <n v="0"/>
    <n v="0"/>
    <m/>
    <s v="P.3.62"/>
    <n v="0"/>
    <n v="0"/>
    <m/>
    <m/>
    <m/>
    <m/>
    <m/>
    <m/>
    <m/>
    <m/>
    <m/>
    <m/>
    <m/>
    <m/>
    <m/>
    <m/>
    <m/>
    <m/>
    <m/>
    <m/>
    <m/>
    <m/>
    <m/>
    <m/>
    <m/>
    <m/>
    <m/>
    <n v="0"/>
    <n v="0"/>
    <n v="0"/>
    <m/>
    <m/>
    <m/>
    <m/>
    <m/>
    <m/>
    <m/>
    <m/>
    <m/>
    <m/>
    <m/>
    <s v="Проектирование"/>
    <d v="2024-05-01T00:00:00"/>
    <s v="ПриПро"/>
    <s v="SGG"/>
    <d v="2023-01-05T00:00:00"/>
    <s v="BSG-230105-1/0(64)"/>
    <m/>
    <m/>
    <s v="No"/>
  </r>
  <r>
    <n v="1960"/>
    <s v="Мцхета-Мтианети"/>
    <s v="Мцхета"/>
    <s v="(65) ქალაქი მცხეთა აღმაშენებლის ქუჩა #101, გაზსადენის რეაბილიტაცია P.3.62"/>
    <x v="5"/>
    <n v="6321.0239999999994"/>
    <n v="2"/>
    <n v="116150.73"/>
    <m/>
    <n v="106700.95699999999"/>
    <n v="-100379.93299999999"/>
    <n v="9449.773000000001"/>
    <n v="649"/>
    <n v="9449.773000000001"/>
    <n v="1"/>
    <n v="0"/>
    <s v="P.3.62"/>
    <n v="11150.73"/>
    <n v="1700.96"/>
    <m/>
    <m/>
    <m/>
    <m/>
    <n v="11150.73"/>
    <m/>
    <m/>
    <n v="1700.96"/>
    <m/>
    <m/>
    <m/>
    <m/>
    <m/>
    <m/>
    <m/>
    <m/>
    <m/>
    <m/>
    <m/>
    <m/>
    <m/>
    <m/>
    <m/>
    <m/>
    <m/>
    <n v="0"/>
    <n v="0"/>
    <n v="0"/>
    <m/>
    <m/>
    <m/>
    <n v="88983.05"/>
    <n v="6806.51"/>
    <n v="2033.898305084746"/>
    <m/>
    <n v="0"/>
    <n v="0"/>
    <m/>
    <m/>
    <s v="Реаб."/>
    <d v="2025-03-12T00:00:00"/>
    <s v="Принят"/>
    <s v="SGG"/>
    <d v="2023-01-05T00:00:00"/>
    <s v="BSG-230105-1/0(65)"/>
    <m/>
    <s v="ივლისი-აგვისტო"/>
    <m/>
  </r>
  <r>
    <n v="1961"/>
    <s v="Мцхета-Мтианети"/>
    <s v="Душети"/>
    <s v="(66) მრიცხველების გამოტანა სოფ. ჩანადირებში P.3.595"/>
    <x v="12"/>
    <n v="0"/>
    <n v="2"/>
    <m/>
    <m/>
    <m/>
    <n v="0"/>
    <n v="0"/>
    <m/>
    <n v="0"/>
    <n v="2"/>
    <m/>
    <s v="P.3.595"/>
    <n v="0"/>
    <n v="0"/>
    <m/>
    <m/>
    <m/>
    <m/>
    <m/>
    <m/>
    <m/>
    <m/>
    <m/>
    <m/>
    <m/>
    <m/>
    <m/>
    <m/>
    <m/>
    <m/>
    <m/>
    <m/>
    <m/>
    <m/>
    <m/>
    <m/>
    <m/>
    <m/>
    <m/>
    <n v="0"/>
    <n v="0"/>
    <n v="0"/>
    <m/>
    <m/>
    <m/>
    <m/>
    <m/>
    <m/>
    <m/>
    <m/>
    <m/>
    <m/>
    <m/>
    <s v="Проектирование"/>
    <m/>
    <n v="0"/>
    <s v="SGG"/>
    <d v="2023-01-05T00:00:00"/>
    <s v="BSG-230105-1/0(66)"/>
    <m/>
    <m/>
    <m/>
  </r>
  <r>
    <n v="1962"/>
    <s v="Мцхета-Мтианети"/>
    <s v="Душети"/>
    <s v="(67) მრიცხველების გამოტანა სოფ. ჩანადირებში P.3.595"/>
    <x v="5"/>
    <n v="3000"/>
    <m/>
    <n v="555.46"/>
    <m/>
    <n v="555.46"/>
    <n v="2444.54"/>
    <n v="0"/>
    <n v="11.1"/>
    <n v="0"/>
    <n v="0"/>
    <m/>
    <s v="P.3.595"/>
    <n v="0"/>
    <n v="0"/>
    <m/>
    <m/>
    <m/>
    <m/>
    <m/>
    <m/>
    <m/>
    <m/>
    <m/>
    <m/>
    <m/>
    <m/>
    <m/>
    <m/>
    <m/>
    <m/>
    <m/>
    <m/>
    <m/>
    <m/>
    <m/>
    <m/>
    <m/>
    <m/>
    <m/>
    <n v="0"/>
    <n v="0"/>
    <n v="0"/>
    <n v="0"/>
    <n v="0"/>
    <n v="47.072881355932211"/>
    <m/>
    <m/>
    <m/>
    <m/>
    <m/>
    <m/>
    <m/>
    <m/>
    <s v="Реаб."/>
    <d v="2023-12-29T00:00:00"/>
    <s v="Принят"/>
    <s v="SGG"/>
    <d v="2023-01-05T00:00:00"/>
    <s v="BSG-230105-1/0(67)"/>
    <m/>
    <m/>
    <s v="Yes"/>
  </r>
  <r>
    <n v="1963"/>
    <s v="Мцхета-Мтианети"/>
    <s v="Душети"/>
    <s v="(68) მრიცხველების გამოტანა სოფ. ბაზალეთი P.3.596"/>
    <x v="12"/>
    <n v="0"/>
    <n v="2"/>
    <m/>
    <m/>
    <m/>
    <n v="0"/>
    <n v="0"/>
    <m/>
    <n v="0"/>
    <n v="2"/>
    <m/>
    <s v="P.3.596"/>
    <n v="0"/>
    <n v="0"/>
    <m/>
    <m/>
    <m/>
    <m/>
    <m/>
    <m/>
    <m/>
    <m/>
    <m/>
    <m/>
    <m/>
    <m/>
    <m/>
    <m/>
    <m/>
    <m/>
    <m/>
    <m/>
    <m/>
    <m/>
    <m/>
    <m/>
    <m/>
    <m/>
    <m/>
    <n v="0"/>
    <n v="0"/>
    <n v="0"/>
    <m/>
    <m/>
    <m/>
    <m/>
    <m/>
    <m/>
    <m/>
    <m/>
    <m/>
    <m/>
    <m/>
    <s v="Проектирование"/>
    <m/>
    <n v="0"/>
    <s v="SGG"/>
    <d v="2023-01-05T00:00:00"/>
    <s v="BSG-230105-1/0(68)"/>
    <m/>
    <m/>
    <m/>
  </r>
  <r>
    <n v="1964"/>
    <s v="Мцхета-Мтианети"/>
    <s v="Душети"/>
    <s v="(69) მრიცხველების გამოტანა სოფ. ბაზალეთი P.3.596"/>
    <x v="5"/>
    <n v="3000"/>
    <m/>
    <n v="1138.3699999999999"/>
    <m/>
    <n v="1138.3699999999999"/>
    <n v="1861.63"/>
    <n v="0"/>
    <n v="20.399999999999999"/>
    <n v="0"/>
    <n v="0"/>
    <m/>
    <s v="P.3.596"/>
    <n v="0"/>
    <n v="0"/>
    <m/>
    <m/>
    <m/>
    <m/>
    <m/>
    <m/>
    <m/>
    <m/>
    <m/>
    <m/>
    <m/>
    <m/>
    <m/>
    <m/>
    <m/>
    <m/>
    <m/>
    <m/>
    <m/>
    <m/>
    <m/>
    <m/>
    <m/>
    <m/>
    <m/>
    <n v="0"/>
    <n v="0"/>
    <n v="0"/>
    <n v="0"/>
    <n v="0"/>
    <n v="96.472033898305085"/>
    <m/>
    <m/>
    <m/>
    <m/>
    <m/>
    <m/>
    <m/>
    <m/>
    <s v="Реаб."/>
    <d v="2023-12-29T00:00:00"/>
    <s v="Принят"/>
    <s v="SGG"/>
    <d v="2023-01-05T00:00:00"/>
    <s v="BSG-230105-1/0(69)"/>
    <m/>
    <m/>
    <s v="Yes"/>
  </r>
  <r>
    <n v="1965"/>
    <s v="Мцхета-Мтианети"/>
    <s v="Мцхета"/>
    <s v="(70) სოფელ ლისი-მუხათწყარო-წოდორეთში არსებული შიდა დაქსელვის გაზსადენის რეაბილიტაცია. P.3.696"/>
    <x v="5"/>
    <n v="416304"/>
    <n v="2"/>
    <n v="1637580.86"/>
    <m/>
    <n v="1567554.274"/>
    <n v="-1151250.274"/>
    <n v="70026.586000000127"/>
    <m/>
    <n v="-1151250.274"/>
    <n v="1"/>
    <m/>
    <s v="P.3.696"/>
    <n v="0"/>
    <n v="393.69"/>
    <m/>
    <n v="393.69"/>
    <m/>
    <m/>
    <m/>
    <m/>
    <m/>
    <m/>
    <m/>
    <m/>
    <m/>
    <m/>
    <m/>
    <m/>
    <m/>
    <m/>
    <m/>
    <m/>
    <m/>
    <m/>
    <m/>
    <m/>
    <m/>
    <m/>
    <m/>
    <n v="0"/>
    <n v="0"/>
    <n v="0"/>
    <n v="381355.93"/>
    <m/>
    <m/>
    <n v="936397.88"/>
    <m/>
    <m/>
    <m/>
    <m/>
    <m/>
    <m/>
    <m/>
    <s v="Реаб."/>
    <m/>
    <n v="90"/>
    <s v="SGG"/>
    <d v="2023-01-05T00:00:00"/>
    <s v="BSG-230105-1/0(70)"/>
    <m/>
    <m/>
    <m/>
  </r>
  <r>
    <n v="1966"/>
    <s v="Шида Картли"/>
    <s v="Хашури"/>
    <s v="(71) დაბა სურამში №15 კვანძზე შარტავას ქ. მიწის ქვეშა გაზსადენის რეაბილიტაცია P.3.15"/>
    <x v="5"/>
    <n v="12703.88"/>
    <n v="2"/>
    <n v="14654.3"/>
    <m/>
    <n v="14654.3"/>
    <n v="-1950.42"/>
    <n v="0"/>
    <n v="277"/>
    <n v="0"/>
    <n v="1"/>
    <m/>
    <s v="P.3.15"/>
    <n v="14654.3"/>
    <n v="2789.8900000000003"/>
    <m/>
    <m/>
    <m/>
    <m/>
    <n v="14000"/>
    <m/>
    <n v="654.29999999999995"/>
    <n v="2135.59"/>
    <m/>
    <n v="654.29999999999995"/>
    <m/>
    <m/>
    <m/>
    <m/>
    <m/>
    <m/>
    <m/>
    <m/>
    <m/>
    <m/>
    <m/>
    <m/>
    <m/>
    <m/>
    <m/>
    <n v="0"/>
    <n v="0"/>
    <n v="0"/>
    <m/>
    <m/>
    <m/>
    <m/>
    <m/>
    <m/>
    <m/>
    <n v="11864.41"/>
    <n v="1768.45"/>
    <m/>
    <m/>
    <s v="Реаб."/>
    <d v="2025-04-30T00:00:00"/>
    <s v="Принят"/>
    <s v="SGG"/>
    <d v="2023-01-05T00:00:00"/>
    <s v="BSG-230105-1/0(71)"/>
    <m/>
    <m/>
    <s v="Yes"/>
  </r>
  <r>
    <n v="1967"/>
    <s v="Шида Картли"/>
    <s v="Хашури"/>
    <s v="(72) ქ. ხაშური, მცხეთის ქუჩის მონაკვეთის რეაბილიტაცია P.3.14"/>
    <x v="5"/>
    <n v="7779.8343999999997"/>
    <n v="2"/>
    <n v="15302.48"/>
    <n v="15302.48"/>
    <n v="15302.48"/>
    <n v="-7522.6455999999998"/>
    <n v="0"/>
    <n v="284"/>
    <n v="0"/>
    <n v="0"/>
    <m/>
    <s v="P.3.14"/>
    <n v="0"/>
    <n v="0"/>
    <m/>
    <m/>
    <m/>
    <m/>
    <m/>
    <m/>
    <m/>
    <m/>
    <m/>
    <m/>
    <m/>
    <m/>
    <m/>
    <m/>
    <m/>
    <m/>
    <m/>
    <m/>
    <m/>
    <m/>
    <m/>
    <m/>
    <m/>
    <m/>
    <m/>
    <n v="0"/>
    <n v="0"/>
    <n v="0"/>
    <m/>
    <m/>
    <m/>
    <m/>
    <m/>
    <n v="0"/>
    <n v="1296.820338983051"/>
    <m/>
    <m/>
    <m/>
    <m/>
    <s v="Реаб."/>
    <d v="2024-07-31T00:00:00"/>
    <s v="Принят"/>
    <s v="SGG"/>
    <d v="2023-01-05T00:00:00"/>
    <s v="BSG-230105-1/0(72)"/>
    <m/>
    <m/>
    <s v="Yes"/>
  </r>
  <r>
    <n v="1968"/>
    <s v="Тбилиси"/>
    <s v="Тбилиси"/>
    <s v="(73) დაბა კოჯორში არსებული დაბალი წნევის დ=50 გაზსადენის რეაბილიტაცია ნაწილი განთავსებულია მიწაში. P.3.701"/>
    <x v="5"/>
    <n v="5000"/>
    <n v="2"/>
    <m/>
    <m/>
    <m/>
    <n v="5000"/>
    <n v="0"/>
    <m/>
    <n v="5000"/>
    <n v="1"/>
    <m/>
    <s v="P.3.701"/>
    <n v="0"/>
    <n v="0"/>
    <m/>
    <m/>
    <m/>
    <m/>
    <m/>
    <m/>
    <m/>
    <m/>
    <m/>
    <m/>
    <m/>
    <m/>
    <m/>
    <m/>
    <m/>
    <m/>
    <m/>
    <m/>
    <m/>
    <m/>
    <m/>
    <m/>
    <m/>
    <m/>
    <m/>
    <n v="0"/>
    <n v="0"/>
    <n v="0"/>
    <m/>
    <m/>
    <m/>
    <m/>
    <m/>
    <m/>
    <m/>
    <m/>
    <m/>
    <m/>
    <m/>
    <s v="Реаб."/>
    <m/>
    <n v="0"/>
    <s v="SGG"/>
    <d v="2023-01-05T00:00:00"/>
    <s v="BSG-230105-1/0(73)"/>
    <m/>
    <m/>
    <m/>
  </r>
  <r>
    <n v="1969"/>
    <s v="Имерети"/>
    <s v="Вани"/>
    <s v="(1) სოფ. სულორი. გაზსადენის რეაბილიტაცია P.6.643"/>
    <x v="8"/>
    <n v="770000"/>
    <n v="2"/>
    <n v="489009.81"/>
    <n v="489009.81"/>
    <n v="489009.81"/>
    <n v="280990.19"/>
    <n v="0"/>
    <n v="6566.7"/>
    <n v="0"/>
    <n v="0"/>
    <m/>
    <s v="P.6.643"/>
    <n v="0"/>
    <n v="0"/>
    <m/>
    <m/>
    <m/>
    <m/>
    <m/>
    <m/>
    <m/>
    <m/>
    <m/>
    <m/>
    <m/>
    <m/>
    <m/>
    <m/>
    <m/>
    <m/>
    <m/>
    <m/>
    <m/>
    <m/>
    <m/>
    <m/>
    <m/>
    <m/>
    <m/>
    <n v="0"/>
    <n v="0"/>
    <n v="0"/>
    <n v="381355.93"/>
    <n v="44535.06"/>
    <m/>
    <m/>
    <m/>
    <n v="36988.003322033903"/>
    <n v="0"/>
    <m/>
    <m/>
    <m/>
    <m/>
    <s v="Реаб."/>
    <d v="2024-04-24T00:00:00"/>
    <s v="Принят"/>
    <s v="Сакорггаз"/>
    <d v="2023-07-07T00:00:00"/>
    <s v="BCG-230707-1/1(1)"/>
    <m/>
    <s v="დასრულდა"/>
    <s v="Yes"/>
  </r>
  <r>
    <n v="1970"/>
    <s v="Имерети"/>
    <s v="Вани"/>
    <s v="(2) სოფ. სალომინაო. გაზსადენის რეაბილიტაცია P.6.642"/>
    <x v="8"/>
    <n v="1120000"/>
    <n v="2"/>
    <n v="1408275"/>
    <n v="1408275"/>
    <n v="1408275"/>
    <n v="-288275"/>
    <n v="0"/>
    <n v="16187.9"/>
    <n v="0"/>
    <n v="0"/>
    <m/>
    <s v="P.6.642"/>
    <n v="0"/>
    <n v="0"/>
    <m/>
    <m/>
    <m/>
    <m/>
    <m/>
    <m/>
    <m/>
    <m/>
    <m/>
    <m/>
    <m/>
    <m/>
    <m/>
    <m/>
    <m/>
    <m/>
    <m/>
    <m/>
    <m/>
    <m/>
    <m/>
    <m/>
    <m/>
    <m/>
    <m/>
    <n v="0"/>
    <n v="0"/>
    <n v="0"/>
    <n v="1186440.68"/>
    <n v="121833.64"/>
    <m/>
    <m/>
    <m/>
    <n v="107161.97498305087"/>
    <n v="0"/>
    <m/>
    <m/>
    <m/>
    <m/>
    <s v="Реаб."/>
    <d v="2024-04-24T00:00:00"/>
    <s v="Принят"/>
    <s v="Сакорггаз"/>
    <d v="2023-07-07T00:00:00"/>
    <s v="BCG-230707-1/1(2)"/>
    <m/>
    <s v="დასრულდა"/>
    <s v="Yes"/>
  </r>
  <r>
    <n v="1971"/>
    <s v="Имерети"/>
    <s v="Вани"/>
    <s v="(3) სოფ. დიხაშხო. გაზსადენის რეაბილიტაცია P.6.644"/>
    <x v="8"/>
    <n v="1110000"/>
    <n v="2"/>
    <n v="1670004.05"/>
    <n v="1670004.05"/>
    <n v="1670004.047"/>
    <n v="-560004.04700000002"/>
    <n v="3.0000000260770321E-3"/>
    <n v="27015"/>
    <n v="3.0000000260770321E-3"/>
    <n v="1"/>
    <m/>
    <s v="P.6.644"/>
    <n v="566004.05000000005"/>
    <n v="100512.52"/>
    <n v="554000"/>
    <n v="610.16999999999996"/>
    <m/>
    <n v="84508.47"/>
    <n v="12004.05"/>
    <m/>
    <m/>
    <n v="15393.880000000001"/>
    <m/>
    <m/>
    <m/>
    <m/>
    <m/>
    <m/>
    <m/>
    <m/>
    <m/>
    <m/>
    <m/>
    <m/>
    <m/>
    <m/>
    <m/>
    <m/>
    <s v="საბოლოო"/>
    <n v="0"/>
    <n v="0"/>
    <n v="0"/>
    <n v="932203.39"/>
    <n v="104086.37"/>
    <m/>
    <m/>
    <m/>
    <n v="0"/>
    <n v="131117.12994915256"/>
    <n v="469491.53"/>
    <n v="9544.18"/>
    <m/>
    <m/>
    <s v="Реаб."/>
    <d v="2025-03-31T00:00:00"/>
    <s v="Принят"/>
    <s v="Сакорггаз"/>
    <d v="2023-07-07T00:00:00"/>
    <s v="BCG-230707-1/1(3)"/>
    <m/>
    <m/>
    <s v="Yes"/>
  </r>
  <r>
    <n v="1972"/>
    <s v="Имерети"/>
    <s v="Терджола"/>
    <s v="(1) ქ. თერჯოლის ცენტრალური დასახლების, მასში შემავალ ტაბიძის,ნინოშვილის, ვაჟა ფშაველას, რობაქიძის, ოთხი ძმის, თამარ მეფის ქუჩების მცხოვრებ აბონენტთა გაზმომარაგების ქსელის რეაბილიტაცია (N 5 - N 6 საუბნოები და მათი მკვებავი საშუალო წნევის გაზსადენი) P.6.741"/>
    <x v="13"/>
    <n v="1820000"/>
    <m/>
    <n v="1845297"/>
    <m/>
    <n v="1845297"/>
    <n v="-25297"/>
    <n v="0"/>
    <n v="13829"/>
    <n v="0"/>
    <n v="0"/>
    <m/>
    <s v="P.6.741"/>
    <n v="0"/>
    <n v="0"/>
    <m/>
    <m/>
    <m/>
    <m/>
    <m/>
    <m/>
    <m/>
    <m/>
    <m/>
    <m/>
    <m/>
    <m/>
    <m/>
    <m/>
    <m/>
    <m/>
    <m/>
    <m/>
    <m/>
    <m/>
    <m/>
    <m/>
    <m/>
    <m/>
    <m/>
    <n v="0"/>
    <n v="0"/>
    <n v="0"/>
    <n v="1300000"/>
    <n v="122721.73000000001"/>
    <n v="144108.92869491526"/>
    <m/>
    <m/>
    <m/>
    <m/>
    <m/>
    <m/>
    <m/>
    <m/>
    <s v="Реаб."/>
    <d v="2023-12-27T00:00:00"/>
    <s v="Принят"/>
    <s v="Сакорггаз"/>
    <d v="2023-06-30T00:00:00"/>
    <s v="BCG-230630-1/0(1)"/>
    <m/>
    <m/>
    <s v="Yes"/>
  </r>
  <r>
    <n v="1973"/>
    <s v="Аджара"/>
    <s v="Батуми"/>
    <s v="(1) ქ. ბათუმის პოლითილენის D=315 მმ მაღალი წნევის გაზსადენის რეაბილიტაცია P.5.11"/>
    <x v="13"/>
    <n v="1600000"/>
    <n v="2"/>
    <n v="3499770.12"/>
    <n v="3499770.12"/>
    <n v="3499770.1199999996"/>
    <n v="-1899770.1199999996"/>
    <n v="0"/>
    <n v="1656"/>
    <n v="4.6566128730773926E-10"/>
    <n v="0"/>
    <m/>
    <s v="P.5.11"/>
    <n v="0"/>
    <n v="0"/>
    <m/>
    <m/>
    <m/>
    <m/>
    <m/>
    <m/>
    <m/>
    <m/>
    <m/>
    <m/>
    <m/>
    <m/>
    <m/>
    <m/>
    <m/>
    <m/>
    <m/>
    <m/>
    <m/>
    <m/>
    <m/>
    <m/>
    <m/>
    <m/>
    <m/>
    <n v="0"/>
    <n v="0"/>
    <n v="0"/>
    <n v="1144067.7999999998"/>
    <n v="58750.599000000002"/>
    <m/>
    <n v="1101694.92"/>
    <n v="68025.95"/>
    <n v="0"/>
    <n v="283913.03323559323"/>
    <m/>
    <m/>
    <m/>
    <m/>
    <s v="Реаб."/>
    <d v="2024-12-19T00:00:00"/>
    <s v="Принят"/>
    <s v="SGG"/>
    <d v="2023-06-30T00:00:00"/>
    <s v="BSG-230630-1/0(1)"/>
    <m/>
    <m/>
    <s v="Yes"/>
  </r>
  <r>
    <n v="1974"/>
    <s v="Имерети"/>
    <s v="Вани"/>
    <s v="(1.1.1.) სოფ. დიხაშხო. გაზსადენის რეაბილიტაცია P.6.644"/>
    <x v="1"/>
    <n v="33531.75"/>
    <m/>
    <n v="33531.75"/>
    <m/>
    <n v="33531.75"/>
    <n v="0"/>
    <n v="0"/>
    <m/>
    <n v="0"/>
    <n v="0"/>
    <m/>
    <s v="P.6.644"/>
    <n v="0"/>
    <n v="0"/>
    <m/>
    <m/>
    <m/>
    <m/>
    <m/>
    <m/>
    <m/>
    <m/>
    <m/>
    <m/>
    <m/>
    <m/>
    <m/>
    <m/>
    <m/>
    <m/>
    <m/>
    <m/>
    <m/>
    <m/>
    <m/>
    <m/>
    <m/>
    <m/>
    <m/>
    <n v="0"/>
    <n v="0"/>
    <n v="0"/>
    <m/>
    <m/>
    <m/>
    <m/>
    <m/>
    <m/>
    <m/>
    <m/>
    <m/>
    <m/>
    <m/>
    <s v="Проектирование"/>
    <d v="2023-10-11T00:00:00"/>
    <s v="ПриПро"/>
    <s v="Сакорггаз"/>
    <d v="2023-02-01T00:00:00"/>
    <s v="CC-230201-1/0(1.1.1.)"/>
    <m/>
    <m/>
    <s v="No"/>
  </r>
  <r>
    <n v="1975"/>
    <s v="Имерети"/>
    <s v="Вани"/>
    <s v="(1.1.2.) სოფ. ზენობანი. გაზსადენის რეაბილიტაცია P.6.647"/>
    <x v="1"/>
    <n v="11679.5"/>
    <m/>
    <n v="11679.5"/>
    <m/>
    <n v="11679.5"/>
    <n v="0"/>
    <n v="0"/>
    <m/>
    <n v="0"/>
    <n v="0"/>
    <m/>
    <s v="P.6.647"/>
    <n v="0"/>
    <n v="0"/>
    <m/>
    <m/>
    <m/>
    <m/>
    <m/>
    <m/>
    <m/>
    <m/>
    <m/>
    <m/>
    <m/>
    <m/>
    <m/>
    <m/>
    <m/>
    <m/>
    <m/>
    <m/>
    <m/>
    <m/>
    <m/>
    <m/>
    <m/>
    <m/>
    <m/>
    <n v="0"/>
    <n v="0"/>
    <n v="0"/>
    <m/>
    <m/>
    <m/>
    <m/>
    <m/>
    <m/>
    <m/>
    <m/>
    <m/>
    <m/>
    <m/>
    <s v="Проектирование"/>
    <d v="2023-10-11T00:00:00"/>
    <s v="ПриПро"/>
    <s v="Сакорггаз"/>
    <d v="2023-02-01T00:00:00"/>
    <s v="CC-230201-1/0(1.1.2.)"/>
    <m/>
    <m/>
    <s v="No"/>
  </r>
  <r>
    <n v="1976"/>
    <s v="Имерети"/>
    <s v="Вани"/>
    <s v="(1.1.3.) სოფ. ისრითი. გაზსადენის რეაბილიტაცია P.6.645"/>
    <x v="1"/>
    <n v="10519.25"/>
    <m/>
    <n v="10519.25"/>
    <m/>
    <n v="10519.25"/>
    <n v="0"/>
    <n v="0"/>
    <m/>
    <n v="0"/>
    <n v="0"/>
    <m/>
    <s v="P.6.645"/>
    <n v="0"/>
    <n v="0"/>
    <m/>
    <m/>
    <m/>
    <m/>
    <m/>
    <m/>
    <m/>
    <m/>
    <m/>
    <m/>
    <m/>
    <m/>
    <m/>
    <m/>
    <m/>
    <m/>
    <m/>
    <m/>
    <m/>
    <m/>
    <m/>
    <m/>
    <m/>
    <m/>
    <m/>
    <n v="0"/>
    <n v="0"/>
    <n v="0"/>
    <m/>
    <m/>
    <m/>
    <m/>
    <m/>
    <m/>
    <m/>
    <m/>
    <m/>
    <m/>
    <m/>
    <s v="Проектирование"/>
    <d v="2023-10-11T00:00:00"/>
    <s v="ПриПро"/>
    <s v="Сакорггаз"/>
    <d v="2023-02-01T00:00:00"/>
    <s v="CC-230201-1/0(1.1.3.)"/>
    <m/>
    <m/>
    <s v="No"/>
  </r>
  <r>
    <n v="1977"/>
    <s v="Имерети"/>
    <s v="Вани"/>
    <s v="(1.1.4.) სოფ. სალხინო. გაზსადენის რეაბილიტაცია P.6.646"/>
    <x v="1"/>
    <n v="48592.25"/>
    <m/>
    <n v="48592.25"/>
    <m/>
    <n v="48592.25"/>
    <n v="0"/>
    <n v="0"/>
    <m/>
    <n v="0"/>
    <n v="0"/>
    <m/>
    <s v="P.6.646"/>
    <n v="0"/>
    <n v="0"/>
    <m/>
    <m/>
    <m/>
    <m/>
    <m/>
    <m/>
    <m/>
    <m/>
    <m/>
    <m/>
    <m/>
    <m/>
    <m/>
    <m/>
    <m/>
    <m/>
    <m/>
    <m/>
    <m/>
    <m/>
    <m/>
    <m/>
    <m/>
    <m/>
    <m/>
    <n v="0"/>
    <n v="0"/>
    <n v="0"/>
    <m/>
    <m/>
    <m/>
    <m/>
    <m/>
    <m/>
    <m/>
    <m/>
    <m/>
    <m/>
    <m/>
    <s v="Проектирование"/>
    <d v="2023-10-11T00:00:00"/>
    <s v="ПриПро"/>
    <s v="Сакорггаз"/>
    <d v="2023-02-01T00:00:00"/>
    <s v="CC-230201-1/0(1.1.4.)"/>
    <m/>
    <m/>
    <s v="No"/>
  </r>
  <r>
    <n v="1978"/>
    <s v="Аджара"/>
    <s v="Батуми"/>
    <s v="(1.1.1.) ქ. ბათუმის პოლითილენის D=315 მმ მაღალი წნევის გაზსადენის რეაბილიტაცია P.5.11"/>
    <x v="14"/>
    <n v="2882.25"/>
    <m/>
    <n v="2882.25"/>
    <m/>
    <n v="2882.25"/>
    <n v="0"/>
    <n v="0"/>
    <m/>
    <n v="0"/>
    <n v="0"/>
    <m/>
    <s v="P.5.11"/>
    <n v="0"/>
    <n v="0"/>
    <m/>
    <m/>
    <m/>
    <m/>
    <m/>
    <m/>
    <m/>
    <m/>
    <m/>
    <m/>
    <m/>
    <m/>
    <m/>
    <m/>
    <m/>
    <m/>
    <m/>
    <m/>
    <m/>
    <m/>
    <m/>
    <m/>
    <m/>
    <m/>
    <m/>
    <n v="0"/>
    <n v="0"/>
    <n v="0"/>
    <m/>
    <m/>
    <m/>
    <m/>
    <m/>
    <m/>
    <m/>
    <m/>
    <m/>
    <m/>
    <m/>
    <s v="Проектирование"/>
    <d v="2023-12-29T00:00:00"/>
    <s v="ПриПро"/>
    <s v="SGG"/>
    <d v="2023-02-02T00:00:00"/>
    <s v="CS-230202-1/1(1.1.1.)"/>
    <m/>
    <m/>
    <s v="No"/>
  </r>
  <r>
    <n v="1979"/>
    <s v="Имерети"/>
    <s v="Вани"/>
    <s v="(1.1.1.) სოფ. სალომინაო. გაზსადენის რეაბილიტაცია P.6.642"/>
    <x v="14"/>
    <n v="31841.25"/>
    <m/>
    <n v="31841.25"/>
    <m/>
    <n v="31841.25"/>
    <n v="0"/>
    <n v="0"/>
    <m/>
    <n v="0"/>
    <n v="0"/>
    <m/>
    <s v="P.6.642"/>
    <n v="0"/>
    <n v="0"/>
    <m/>
    <m/>
    <m/>
    <m/>
    <m/>
    <m/>
    <m/>
    <m/>
    <m/>
    <m/>
    <m/>
    <m/>
    <m/>
    <m/>
    <m/>
    <m/>
    <m/>
    <m/>
    <m/>
    <m/>
    <m/>
    <m/>
    <m/>
    <m/>
    <m/>
    <n v="0"/>
    <n v="0"/>
    <n v="0"/>
    <m/>
    <m/>
    <m/>
    <m/>
    <m/>
    <m/>
    <m/>
    <m/>
    <m/>
    <m/>
    <m/>
    <s v="Проектирование"/>
    <d v="2023-10-12T00:00:00"/>
    <s v="ПриПро"/>
    <s v="Сакорггаз"/>
    <d v="2023-02-02T00:00:00"/>
    <s v="CC-230202-1/0(1.1.1.)"/>
    <m/>
    <m/>
    <s v="No"/>
  </r>
  <r>
    <n v="1980"/>
    <s v="Имерети"/>
    <s v="Вани"/>
    <s v="(1.1.2.) სოფ. სულორი. გაზსადენის რეაბილიტაცია P.6.643"/>
    <x v="14"/>
    <n v="11807.25"/>
    <m/>
    <n v="11807.25"/>
    <m/>
    <n v="11807.25"/>
    <n v="0"/>
    <n v="0"/>
    <m/>
    <n v="0"/>
    <n v="0"/>
    <m/>
    <s v="P.6.643"/>
    <n v="0"/>
    <n v="0"/>
    <m/>
    <m/>
    <m/>
    <m/>
    <m/>
    <m/>
    <m/>
    <m/>
    <m/>
    <m/>
    <m/>
    <m/>
    <m/>
    <m/>
    <m/>
    <m/>
    <m/>
    <m/>
    <m/>
    <m/>
    <m/>
    <m/>
    <m/>
    <m/>
    <m/>
    <n v="0"/>
    <n v="0"/>
    <n v="0"/>
    <m/>
    <m/>
    <m/>
    <m/>
    <m/>
    <m/>
    <m/>
    <m/>
    <m/>
    <m/>
    <m/>
    <s v="Проектирование"/>
    <d v="2023-10-12T00:00:00"/>
    <s v="ПриПро"/>
    <s v="Сакорггаз"/>
    <d v="2023-02-02T00:00:00"/>
    <s v="CC-230202-1/0(1.1.2.)"/>
    <m/>
    <m/>
    <s v="No"/>
  </r>
  <r>
    <n v="1981"/>
    <s v="Имерети"/>
    <s v="Цкалтубо"/>
    <s v="წყალტუბოს სერვის-ცენტრის ოფისის რემონტი (N.6.9)"/>
    <x v="4"/>
    <n v="447135.74"/>
    <m/>
    <n v="442653.71"/>
    <m/>
    <n v="442653.71"/>
    <n v="4482.0299999999697"/>
    <n v="0"/>
    <n v="0"/>
    <n v="0"/>
    <n v="0"/>
    <m/>
    <s v="N.6.9; N.6.26"/>
    <n v="0"/>
    <n v="0"/>
    <m/>
    <m/>
    <m/>
    <m/>
    <m/>
    <m/>
    <m/>
    <m/>
    <m/>
    <m/>
    <m/>
    <m/>
    <m/>
    <m/>
    <m/>
    <m/>
    <m/>
    <m/>
    <m/>
    <m/>
    <m/>
    <m/>
    <m/>
    <m/>
    <m/>
    <n v="0"/>
    <n v="0"/>
    <n v="0"/>
    <n v="0"/>
    <n v="0"/>
    <n v="0"/>
    <m/>
    <m/>
    <m/>
    <m/>
    <m/>
    <m/>
    <m/>
    <m/>
    <s v="Ремонт офиса"/>
    <d v="2023-08-31T00:00:00"/>
    <s v="Принят"/>
    <s v="SGG"/>
    <d v="2022-10-03T00:00:00"/>
    <s v="SGG-C-22-85"/>
    <m/>
    <m/>
    <s v="No"/>
  </r>
  <r>
    <n v="1982"/>
    <s v="Аджара"/>
    <s v="Кобулети"/>
    <s v="ქ. ქობულეთში კერძო ტერიტორიებიდან ქსელის გამოტანის სამშენებლო-სარეაბილიტაციო სამუშაოები (I ეტაპი) P.5.16"/>
    <x v="3"/>
    <n v="700000"/>
    <n v="2"/>
    <n v="3535000"/>
    <m/>
    <n v="2911271.1787"/>
    <n v="-2211271.1787"/>
    <n v="623728.82129999995"/>
    <m/>
    <n v="-2211271.1787"/>
    <n v="1"/>
    <m/>
    <s v="P.5.16"/>
    <n v="1400000"/>
    <n v="183050.85499999998"/>
    <n v="150000"/>
    <m/>
    <n v="550000"/>
    <n v="22881.360000000001"/>
    <n v="150000"/>
    <n v="83898.304999999993"/>
    <n v="350000"/>
    <n v="22881.360000000001"/>
    <n v="200000"/>
    <n v="53389.83"/>
    <m/>
    <m/>
    <m/>
    <m/>
    <m/>
    <m/>
    <m/>
    <m/>
    <m/>
    <m/>
    <m/>
    <m/>
    <m/>
    <m/>
    <m/>
    <n v="0"/>
    <n v="0"/>
    <n v="0"/>
    <n v="288135.58999999997"/>
    <n v="15463.85"/>
    <m/>
    <n v="1521186.44"/>
    <n v="148064.26"/>
    <m/>
    <m/>
    <n v="593220.32999999996"/>
    <m/>
    <n v="2022880.9666676612"/>
    <d v="2024-12-04T00:00:00"/>
    <s v="Реаб."/>
    <m/>
    <n v="55"/>
    <s v="SGG"/>
    <d v="2023-03-06T00:00:00"/>
    <s v="BSG-230306-1/0"/>
    <m/>
    <m/>
    <s v="Yes"/>
  </r>
  <r>
    <n v="1983"/>
    <s v="Мцхета-Мтианети"/>
    <s v="Душети"/>
    <s v="(1.1) დუშეთის მუნიციპალიტეტის სოფ. მილისწყაროს გაზიფიცირების საპროექტო სამუშაოები (P.3.014)"/>
    <x v="12"/>
    <n v="3283"/>
    <m/>
    <n v="3283"/>
    <m/>
    <n v="3283"/>
    <n v="0"/>
    <n v="0"/>
    <m/>
    <n v="0"/>
    <n v="0"/>
    <m/>
    <s v="P.3.014"/>
    <n v="0"/>
    <n v="0"/>
    <m/>
    <m/>
    <m/>
    <m/>
    <m/>
    <m/>
    <m/>
    <m/>
    <m/>
    <m/>
    <m/>
    <m/>
    <m/>
    <m/>
    <m/>
    <m/>
    <m/>
    <m/>
    <m/>
    <m/>
    <m/>
    <m/>
    <m/>
    <m/>
    <m/>
    <n v="0"/>
    <n v="0"/>
    <n v="0"/>
    <m/>
    <m/>
    <m/>
    <m/>
    <m/>
    <m/>
    <m/>
    <m/>
    <m/>
    <m/>
    <m/>
    <s v="Проектирование"/>
    <d v="2023-09-05T00:00:00"/>
    <s v="ПриПро"/>
    <s v="Сакорггаз"/>
    <d v="2023-02-15T00:00:00"/>
    <s v="BCG-230215-1/0(1.1)"/>
    <m/>
    <m/>
    <s v="No"/>
  </r>
  <r>
    <n v="1984"/>
    <s v="Мцхета-Мтианети"/>
    <s v="Душети"/>
    <s v="(1.2) დუშეთის მუნიციპალიტეტის სოფ. მილისწყაროს გაზიფიცირების სამშენებლო სამუშაოები (P.3.014)"/>
    <x v="5"/>
    <n v="45000"/>
    <m/>
    <n v="59373.58"/>
    <m/>
    <n v="59373.58"/>
    <n v="-14373.580000000002"/>
    <n v="0"/>
    <n v="1608"/>
    <n v="0"/>
    <n v="0"/>
    <n v="18"/>
    <s v="P.3.014"/>
    <n v="0"/>
    <n v="0"/>
    <m/>
    <m/>
    <m/>
    <m/>
    <m/>
    <m/>
    <m/>
    <m/>
    <m/>
    <m/>
    <m/>
    <m/>
    <m/>
    <m/>
    <m/>
    <m/>
    <m/>
    <m/>
    <m/>
    <m/>
    <m/>
    <m/>
    <m/>
    <m/>
    <m/>
    <n v="0"/>
    <n v="0"/>
    <n v="0"/>
    <n v="0"/>
    <n v="0"/>
    <n v="5031.6593220338991"/>
    <m/>
    <m/>
    <m/>
    <m/>
    <m/>
    <m/>
    <m/>
    <m/>
    <s v="Н. Стр."/>
    <d v="2023-11-30T00:00:00"/>
    <s v="Принят"/>
    <s v="Сакорггаз"/>
    <d v="2023-02-15T00:00:00"/>
    <s v="BCG-230215-1/0(1.2)"/>
    <m/>
    <m/>
    <s v="Yes"/>
  </r>
  <r>
    <n v="1985"/>
    <s v="Имерети"/>
    <s v="Цкалтубо"/>
    <s v="(1.1) წყალტუბოს სოფ. გეგუთში ტაბიძის ქუჩაზე (მეურნეობის დასახლება) გაზსადენის პროექტირება (P.6.896)"/>
    <x v="9"/>
    <n v="3501.75"/>
    <m/>
    <n v="3501.75"/>
    <m/>
    <n v="3501.75"/>
    <n v="0"/>
    <n v="0"/>
    <n v="0"/>
    <n v="0"/>
    <n v="0"/>
    <m/>
    <s v="(P.6.896)"/>
    <n v="0"/>
    <n v="0"/>
    <m/>
    <m/>
    <m/>
    <m/>
    <m/>
    <m/>
    <m/>
    <m/>
    <m/>
    <m/>
    <m/>
    <m/>
    <m/>
    <m/>
    <m/>
    <m/>
    <m/>
    <m/>
    <m/>
    <m/>
    <m/>
    <m/>
    <m/>
    <m/>
    <m/>
    <n v="0"/>
    <n v="0"/>
    <n v="0"/>
    <n v="0"/>
    <n v="0"/>
    <m/>
    <m/>
    <m/>
    <m/>
    <m/>
    <m/>
    <m/>
    <m/>
    <m/>
    <s v="Проектирование"/>
    <d v="2023-09-04T00:00:00"/>
    <s v="ПриПро"/>
    <s v="Сакорггаз"/>
    <d v="2023-08-01T00:00:00"/>
    <s v="BCG-230801-1/0(1.1)"/>
    <m/>
    <m/>
    <s v="No"/>
  </r>
  <r>
    <n v="1986"/>
    <s v="Имерети"/>
    <s v="Цкалтубо"/>
    <s v="(1.2) წყალტუბოს სოფ. გეგუთში ტაბიძის ქუჩაზე (მეურნეობის დასახლება) გაზსადენის მშენებლობა (P.6.896)"/>
    <x v="4"/>
    <n v="115000"/>
    <m/>
    <n v="106536.44"/>
    <m/>
    <n v="106536.44"/>
    <n v="8463.5599999999977"/>
    <n v="0"/>
    <n v="1963"/>
    <n v="0"/>
    <n v="0"/>
    <n v="0"/>
    <s v="(P.6.896)"/>
    <n v="0"/>
    <n v="0"/>
    <m/>
    <m/>
    <m/>
    <m/>
    <m/>
    <m/>
    <m/>
    <m/>
    <m/>
    <m/>
    <m/>
    <m/>
    <m/>
    <m/>
    <m/>
    <m/>
    <m/>
    <m/>
    <m/>
    <m/>
    <m/>
    <m/>
    <m/>
    <m/>
    <m/>
    <n v="0"/>
    <n v="0"/>
    <n v="0"/>
    <n v="0"/>
    <n v="0"/>
    <n v="9028.5118644067807"/>
    <m/>
    <m/>
    <m/>
    <m/>
    <m/>
    <m/>
    <m/>
    <m/>
    <s v="Н. Стр."/>
    <d v="2023-09-30T00:00:00"/>
    <s v="Принят"/>
    <s v="Сакорггаз"/>
    <d v="2023-08-01T00:00:00"/>
    <s v="BCG-230801-1/0(1.2)"/>
    <m/>
    <m/>
    <s v="Yes"/>
  </r>
  <r>
    <n v="1987"/>
    <s v="Гурия"/>
    <s v="Ланчхути"/>
    <s v="(1.1.2.) ლანჩხუთი, თამარ მეფის, ცინცაძის,  კოსტავას და ვადაჭკორიას ქუჩებზე გამავალი ქსელის რეაბილიტაცია P.4.511"/>
    <x v="14"/>
    <n v="10561.25"/>
    <m/>
    <n v="10561.25"/>
    <m/>
    <n v="10561.25"/>
    <n v="0"/>
    <n v="0"/>
    <m/>
    <n v="0"/>
    <n v="0"/>
    <m/>
    <s v="P.4.511"/>
    <n v="0"/>
    <n v="0"/>
    <m/>
    <m/>
    <m/>
    <m/>
    <m/>
    <m/>
    <m/>
    <m/>
    <m/>
    <m/>
    <m/>
    <m/>
    <m/>
    <m/>
    <m/>
    <m/>
    <m/>
    <m/>
    <m/>
    <m/>
    <m/>
    <m/>
    <m/>
    <m/>
    <m/>
    <n v="0"/>
    <n v="0"/>
    <n v="0"/>
    <n v="0"/>
    <n v="0"/>
    <m/>
    <m/>
    <m/>
    <m/>
    <m/>
    <m/>
    <m/>
    <m/>
    <m/>
    <s v="Проектирование"/>
    <d v="2023-10-12T00:00:00"/>
    <s v="ПриПро"/>
    <s v="SGG"/>
    <d v="2023-02-02T00:00:00"/>
    <s v="CS-230202-1/1(1.1.2.)"/>
    <m/>
    <m/>
    <s v="No"/>
  </r>
  <r>
    <n v="1988"/>
    <s v="Имерети"/>
    <s v="Вани"/>
    <s v="ქ. ვანიდან სოფ. სულორამდე ფოლადის მილების დემონტაჟი"/>
    <x v="8"/>
    <n v="352053.24"/>
    <m/>
    <n v="352053.24"/>
    <m/>
    <n v="352053.24"/>
    <n v="0"/>
    <n v="0"/>
    <n v="0"/>
    <n v="0"/>
    <n v="0"/>
    <m/>
    <m/>
    <n v="0"/>
    <n v="0"/>
    <m/>
    <m/>
    <m/>
    <m/>
    <m/>
    <m/>
    <m/>
    <m/>
    <m/>
    <m/>
    <m/>
    <m/>
    <m/>
    <m/>
    <m/>
    <m/>
    <m/>
    <m/>
    <m/>
    <m/>
    <m/>
    <m/>
    <m/>
    <m/>
    <m/>
    <n v="0"/>
    <n v="0"/>
    <n v="0"/>
    <m/>
    <m/>
    <m/>
    <m/>
    <m/>
    <m/>
    <m/>
    <m/>
    <m/>
    <m/>
    <m/>
    <s v="Реаб."/>
    <d v="2023-09-15T00:00:00"/>
    <s v="Принят"/>
    <s v="Сакорггаз"/>
    <d v="2023-07-25T00:00:00"/>
    <s v="25 ივლისი 2023 წელი"/>
    <m/>
    <s v="No"/>
    <s v="No"/>
  </r>
  <r>
    <n v="1989"/>
    <s v="Рача"/>
    <s v="Амбролаури"/>
    <s v="გაზსადენის გადატანა ნაკვეთის (ს/კ 86.19.22.319) მიმდებარედ, კოსტავას ქუჩაზე ხიდთან მდ. კრიხულაზე"/>
    <x v="9"/>
    <n v="292.25"/>
    <m/>
    <n v="292.25"/>
    <m/>
    <n v="292.25"/>
    <n v="0"/>
    <n v="0"/>
    <m/>
    <n v="0"/>
    <n v="0"/>
    <m/>
    <m/>
    <n v="0"/>
    <n v="0"/>
    <m/>
    <m/>
    <m/>
    <m/>
    <m/>
    <m/>
    <m/>
    <m/>
    <m/>
    <m/>
    <m/>
    <m/>
    <m/>
    <m/>
    <m/>
    <m/>
    <m/>
    <m/>
    <m/>
    <m/>
    <m/>
    <m/>
    <m/>
    <m/>
    <m/>
    <n v="0"/>
    <n v="0"/>
    <n v="0"/>
    <m/>
    <m/>
    <m/>
    <m/>
    <m/>
    <m/>
    <m/>
    <m/>
    <m/>
    <m/>
    <m/>
    <s v="Проектирование"/>
    <d v="2023-11-06T00:00:00"/>
    <s v="ПриПро"/>
    <s v="Сакорггаз"/>
    <d v="2023-11-03T00:00:00"/>
    <s v="CC-231103-1/0"/>
    <m/>
    <m/>
    <s v="No"/>
  </r>
  <r>
    <n v="1990"/>
    <s v="Рача"/>
    <s v="Амбролаури"/>
    <s v="გაზსადენის გადატანა ნაკვეთის (ს/კ 86.19.22.319) მიმდებარედ, კოსტავას ქუჩაზე ხიდთან მდ. კრიხულაზე"/>
    <x v="4"/>
    <n v="57000"/>
    <m/>
    <n v="46346.03"/>
    <m/>
    <n v="46346.03"/>
    <n v="10653.970000000001"/>
    <n v="0"/>
    <n v="154"/>
    <n v="0"/>
    <n v="0"/>
    <n v="0"/>
    <m/>
    <n v="0"/>
    <n v="0"/>
    <m/>
    <m/>
    <m/>
    <m/>
    <m/>
    <m/>
    <m/>
    <m/>
    <m/>
    <m/>
    <m/>
    <m/>
    <m/>
    <m/>
    <m/>
    <m/>
    <m/>
    <m/>
    <m/>
    <m/>
    <m/>
    <m/>
    <m/>
    <m/>
    <m/>
    <n v="0"/>
    <n v="0"/>
    <n v="0"/>
    <n v="0"/>
    <n v="0"/>
    <n v="0"/>
    <m/>
    <m/>
    <m/>
    <m/>
    <m/>
    <m/>
    <m/>
    <m/>
    <s v="Заказ Государства"/>
    <d v="2023-11-16T00:00:00"/>
    <s v="Принят"/>
    <s v="Сакорггаз"/>
    <d v="2023-11-13T00:00:00"/>
    <s v="BC-231113-1/0"/>
    <m/>
    <m/>
    <s v="No"/>
  </r>
  <r>
    <n v="1991"/>
    <s v="Кахети"/>
    <s v="Ахмета"/>
    <s v="(1) გგს-&quot;ქისტაური&quot;"/>
    <x v="7"/>
    <n v="4687.5"/>
    <s v="გადაწყდა რომ ხარჯში წავიდეს"/>
    <m/>
    <m/>
    <m/>
    <n v="4687.5"/>
    <n v="0"/>
    <m/>
    <n v="4687.5"/>
    <n v="2"/>
    <m/>
    <s v="P.2.1068"/>
    <n v="0"/>
    <n v="0"/>
    <m/>
    <m/>
    <m/>
    <m/>
    <m/>
    <m/>
    <m/>
    <m/>
    <m/>
    <m/>
    <m/>
    <m/>
    <m/>
    <m/>
    <m/>
    <m/>
    <m/>
    <m/>
    <m/>
    <m/>
    <m/>
    <m/>
    <m/>
    <m/>
    <m/>
    <n v="0"/>
    <n v="0"/>
    <n v="0"/>
    <m/>
    <m/>
    <m/>
    <m/>
    <m/>
    <m/>
    <m/>
    <m/>
    <m/>
    <m/>
    <m/>
    <s v="Реаб."/>
    <m/>
    <n v="0"/>
    <s v="SGG"/>
    <d v="2023-11-01T00:00:00"/>
    <s v="BSG-231101-1/0(1)"/>
    <m/>
    <s v="GGTC-ს მოთხოვნის საფუძველზე"/>
    <s v="No"/>
  </r>
  <r>
    <n v="1992"/>
    <s v="Кахети"/>
    <s v="Ахмета"/>
    <s v="(2) გგს-&quot;ოჟიო-კოღოთო&quot;"/>
    <x v="7"/>
    <n v="4687.5"/>
    <s v="გადაწყდა რომ ხარჯში წავიდეს"/>
    <m/>
    <m/>
    <m/>
    <n v="4687.5"/>
    <n v="0"/>
    <m/>
    <n v="4687.5"/>
    <n v="2"/>
    <m/>
    <s v="P.2.1069(გაუქმდა ეს p)"/>
    <n v="0"/>
    <n v="0"/>
    <m/>
    <m/>
    <m/>
    <m/>
    <m/>
    <m/>
    <m/>
    <m/>
    <m/>
    <m/>
    <m/>
    <m/>
    <m/>
    <m/>
    <m/>
    <m/>
    <m/>
    <m/>
    <m/>
    <m/>
    <m/>
    <m/>
    <m/>
    <m/>
    <m/>
    <n v="0"/>
    <n v="0"/>
    <n v="0"/>
    <m/>
    <m/>
    <m/>
    <m/>
    <m/>
    <m/>
    <m/>
    <m/>
    <m/>
    <m/>
    <m/>
    <s v="Реаб."/>
    <m/>
    <n v="0"/>
    <s v="SGG"/>
    <d v="2023-11-01T00:00:00"/>
    <s v="BSG-231101-1/0(2)"/>
    <m/>
    <s v="GGTC-ს მოთხოვნის საფუძველზე"/>
    <s v="No"/>
  </r>
  <r>
    <n v="1993"/>
    <s v="Кахети"/>
    <s v="Гурджаани"/>
    <s v="(3) გგს-&quot;ვაზისუბანი&quot;"/>
    <x v="7"/>
    <n v="4687.5"/>
    <s v="გადაწყდა რომ ხარჯში წავიდეს"/>
    <m/>
    <m/>
    <m/>
    <n v="4687.5"/>
    <n v="0"/>
    <m/>
    <n v="4687.5"/>
    <n v="2"/>
    <m/>
    <m/>
    <n v="0"/>
    <n v="0"/>
    <m/>
    <m/>
    <m/>
    <m/>
    <m/>
    <m/>
    <m/>
    <m/>
    <m/>
    <m/>
    <m/>
    <m/>
    <m/>
    <m/>
    <m/>
    <m/>
    <m/>
    <m/>
    <m/>
    <m/>
    <m/>
    <m/>
    <m/>
    <m/>
    <m/>
    <n v="0"/>
    <n v="0"/>
    <n v="0"/>
    <m/>
    <m/>
    <m/>
    <m/>
    <m/>
    <m/>
    <m/>
    <m/>
    <m/>
    <m/>
    <m/>
    <s v="Реаб."/>
    <m/>
    <n v="0"/>
    <s v="SGG"/>
    <d v="2023-11-01T00:00:00"/>
    <s v="BSG-231101-1/0(3)"/>
    <m/>
    <s v="GGTC-ს მოთხოვნის საფუძველზე"/>
    <s v="No"/>
  </r>
  <r>
    <n v="1994"/>
    <s v="Кахети"/>
    <s v="Сагареджо"/>
    <s v="(4) გგს-&quot;იორმუღანლო&quot;"/>
    <x v="7"/>
    <n v="4687.5"/>
    <s v="გადაწყდა რომ ხარჯში წავიდეს"/>
    <m/>
    <m/>
    <m/>
    <n v="4687.5"/>
    <n v="0"/>
    <m/>
    <n v="4687.5"/>
    <n v="2"/>
    <m/>
    <s v="P.2.1071"/>
    <n v="0"/>
    <n v="0"/>
    <m/>
    <m/>
    <m/>
    <m/>
    <m/>
    <m/>
    <m/>
    <m/>
    <m/>
    <m/>
    <m/>
    <m/>
    <m/>
    <m/>
    <m/>
    <m/>
    <m/>
    <m/>
    <m/>
    <m/>
    <m/>
    <m/>
    <m/>
    <m/>
    <m/>
    <n v="0"/>
    <n v="0"/>
    <n v="0"/>
    <m/>
    <m/>
    <m/>
    <m/>
    <m/>
    <m/>
    <m/>
    <m/>
    <m/>
    <m/>
    <m/>
    <s v="Реаб."/>
    <m/>
    <n v="0"/>
    <s v="SGG"/>
    <d v="2023-11-01T00:00:00"/>
    <s v="BSG-231101-1/0(4)"/>
    <m/>
    <s v="GGTC-ს მოთხოვნის საფუძველზე"/>
    <s v="No"/>
  </r>
  <r>
    <n v="1995"/>
    <s v="Квемо Картли"/>
    <s v="Гардабани"/>
    <s v="(5) გგს-&quot;გამარჯვება-2&quot;"/>
    <x v="7"/>
    <n v="4687.5"/>
    <s v="გადაწყდა რომ ხარჯში წავიდეს"/>
    <m/>
    <m/>
    <m/>
    <n v="4687.5"/>
    <n v="0"/>
    <m/>
    <n v="4687.5"/>
    <n v="2"/>
    <m/>
    <s v="P.2.1072"/>
    <n v="0"/>
    <n v="0"/>
    <m/>
    <m/>
    <m/>
    <m/>
    <m/>
    <m/>
    <m/>
    <m/>
    <m/>
    <m/>
    <m/>
    <m/>
    <m/>
    <m/>
    <m/>
    <m/>
    <m/>
    <m/>
    <m/>
    <m/>
    <m/>
    <m/>
    <m/>
    <m/>
    <m/>
    <n v="0"/>
    <n v="0"/>
    <n v="0"/>
    <m/>
    <m/>
    <m/>
    <m/>
    <m/>
    <m/>
    <m/>
    <m/>
    <m/>
    <m/>
    <m/>
    <s v="Реаб."/>
    <m/>
    <n v="0"/>
    <s v="SGG"/>
    <d v="2023-11-01T00:00:00"/>
    <s v="BSG-231101-1/0(5)"/>
    <m/>
    <s v="GGTC-ს მოთხოვნის საფუძველზე"/>
    <s v="No"/>
  </r>
  <r>
    <n v="1996"/>
    <s v="Кахети"/>
    <s v="Гурджаани"/>
    <s v="(6) გგს-&quot;ახაშენი&quot;"/>
    <x v="7"/>
    <n v="4687.5"/>
    <s v="გადაწყდა რომ ხარჯში წავიდეს"/>
    <m/>
    <m/>
    <m/>
    <n v="4687.5"/>
    <n v="0"/>
    <m/>
    <n v="4687.5"/>
    <n v="2"/>
    <m/>
    <s v="P.2.1073"/>
    <n v="0"/>
    <n v="0"/>
    <m/>
    <m/>
    <m/>
    <m/>
    <m/>
    <m/>
    <m/>
    <m/>
    <m/>
    <m/>
    <m/>
    <m/>
    <m/>
    <m/>
    <m/>
    <m/>
    <m/>
    <m/>
    <m/>
    <m/>
    <m/>
    <m/>
    <m/>
    <m/>
    <m/>
    <n v="0"/>
    <n v="0"/>
    <n v="0"/>
    <m/>
    <m/>
    <m/>
    <m/>
    <m/>
    <m/>
    <m/>
    <m/>
    <m/>
    <m/>
    <m/>
    <s v="Реаб."/>
    <m/>
    <n v="0"/>
    <s v="SGG"/>
    <d v="2023-11-01T00:00:00"/>
    <s v="BSG-231101-1/0(6)"/>
    <m/>
    <s v="GGTC-ს მოთხოვნის საფუძველზე"/>
    <s v="No"/>
  </r>
  <r>
    <n v="1997"/>
    <s v="Кахети"/>
    <s v="Сигнаги"/>
    <s v="(7) გგს-&quot;ბოდბე&quot;"/>
    <x v="7"/>
    <n v="4687.5"/>
    <s v="გადაწყდა რომ ხარჯში წავიდეს"/>
    <m/>
    <m/>
    <m/>
    <n v="4687.5"/>
    <n v="0"/>
    <m/>
    <n v="4687.5"/>
    <n v="2"/>
    <m/>
    <s v="P.2.1074"/>
    <n v="0"/>
    <n v="0"/>
    <m/>
    <m/>
    <m/>
    <m/>
    <m/>
    <m/>
    <m/>
    <m/>
    <m/>
    <m/>
    <m/>
    <m/>
    <m/>
    <m/>
    <m/>
    <m/>
    <m/>
    <m/>
    <m/>
    <m/>
    <m/>
    <m/>
    <m/>
    <m/>
    <m/>
    <n v="0"/>
    <n v="0"/>
    <n v="0"/>
    <m/>
    <m/>
    <m/>
    <m/>
    <m/>
    <m/>
    <m/>
    <m/>
    <m/>
    <m/>
    <m/>
    <s v="Реаб."/>
    <m/>
    <n v="0"/>
    <s v="SGG"/>
    <d v="2023-11-01T00:00:00"/>
    <s v="BSG-231101-1/0(7)"/>
    <m/>
    <s v="GGTC-ს მოთხოვნის საფუძველზე"/>
    <s v="No"/>
  </r>
  <r>
    <n v="1998"/>
    <s v="Квемо Картли"/>
    <s v="Гардабани"/>
    <s v="(8) გგს-&quot;ახალი სამგორი&quot;"/>
    <x v="7"/>
    <n v="4687.5"/>
    <s v="გადაწყდა რომ ხარჯში წავიდეს"/>
    <m/>
    <m/>
    <m/>
    <n v="4687.5"/>
    <n v="0"/>
    <m/>
    <n v="4687.5"/>
    <n v="2"/>
    <m/>
    <s v="P.2.1075"/>
    <n v="0"/>
    <n v="0"/>
    <m/>
    <m/>
    <m/>
    <m/>
    <m/>
    <m/>
    <m/>
    <m/>
    <m/>
    <m/>
    <m/>
    <m/>
    <m/>
    <m/>
    <m/>
    <m/>
    <m/>
    <m/>
    <m/>
    <m/>
    <m/>
    <m/>
    <m/>
    <m/>
    <m/>
    <n v="0"/>
    <n v="0"/>
    <n v="0"/>
    <m/>
    <m/>
    <m/>
    <m/>
    <m/>
    <m/>
    <m/>
    <m/>
    <m/>
    <m/>
    <m/>
    <s v="Реаб."/>
    <m/>
    <n v="0"/>
    <s v="SGG"/>
    <d v="2023-11-01T00:00:00"/>
    <s v="BSG-231101-1/0(8)"/>
    <m/>
    <s v="GGTC-ს მოთხოვნის საფუძველზე"/>
    <s v="No"/>
  </r>
  <r>
    <n v="1999"/>
    <s v="Квемо Картли"/>
    <s v="Дманиси"/>
    <s v="(9) გგს-&quot;გომარეთი&quot;"/>
    <x v="7"/>
    <n v="4687.5"/>
    <s v="გადაწყდა რომ ხარჯში წავიდეს"/>
    <m/>
    <m/>
    <m/>
    <n v="4687.5"/>
    <n v="0"/>
    <m/>
    <n v="4687.5"/>
    <n v="2"/>
    <m/>
    <s v="P.2.1076"/>
    <n v="0"/>
    <n v="0"/>
    <m/>
    <m/>
    <m/>
    <m/>
    <m/>
    <m/>
    <m/>
    <m/>
    <m/>
    <m/>
    <m/>
    <m/>
    <m/>
    <m/>
    <m/>
    <m/>
    <m/>
    <m/>
    <m/>
    <m/>
    <m/>
    <m/>
    <m/>
    <m/>
    <m/>
    <n v="0"/>
    <n v="0"/>
    <n v="0"/>
    <m/>
    <m/>
    <m/>
    <m/>
    <m/>
    <m/>
    <m/>
    <m/>
    <m/>
    <m/>
    <m/>
    <s v="Реаб."/>
    <m/>
    <n v="0"/>
    <s v="SGG"/>
    <d v="2023-11-01T00:00:00"/>
    <s v="BSG-231101-1/0(9)"/>
    <m/>
    <s v="GGTC-ს მოთხოვნის საფუძველზე"/>
    <s v="No"/>
  </r>
  <r>
    <n v="2000"/>
    <s v="Квемо Картли"/>
    <s v="Марнеули"/>
    <s v="(10) გგს-&quot;აზიზსქენდი&quot;"/>
    <x v="7"/>
    <n v="4687.5"/>
    <s v="გადაწყდა რომ ხარჯში წავიდეს"/>
    <m/>
    <m/>
    <m/>
    <n v="4687.5"/>
    <n v="0"/>
    <m/>
    <n v="4687.5"/>
    <n v="2"/>
    <m/>
    <s v="P.2.1077"/>
    <n v="0"/>
    <n v="0"/>
    <m/>
    <m/>
    <m/>
    <m/>
    <m/>
    <m/>
    <m/>
    <m/>
    <m/>
    <m/>
    <m/>
    <m/>
    <m/>
    <m/>
    <m/>
    <m/>
    <m/>
    <m/>
    <m/>
    <m/>
    <m/>
    <m/>
    <m/>
    <m/>
    <m/>
    <n v="0"/>
    <n v="0"/>
    <n v="0"/>
    <m/>
    <m/>
    <m/>
    <m/>
    <m/>
    <m/>
    <m/>
    <m/>
    <m/>
    <m/>
    <m/>
    <s v="Реаб."/>
    <m/>
    <n v="0"/>
    <s v="SGG"/>
    <d v="2023-11-01T00:00:00"/>
    <s v="BSG-231101-1/0(10)"/>
    <m/>
    <s v="GGTC-ს მოთხოვნის საფუძველზე"/>
    <s v="No"/>
  </r>
  <r>
    <n v="2001"/>
    <s v="Квемо Картли"/>
    <s v="Гардабани"/>
    <s v="(11) გგს-&quot;ნორიო-2&quot;"/>
    <x v="7"/>
    <n v="4687.5"/>
    <s v="გადაწყდა რომ ხარჯში წავიდეს"/>
    <m/>
    <m/>
    <m/>
    <n v="4687.5"/>
    <n v="0"/>
    <m/>
    <n v="4687.5"/>
    <n v="2"/>
    <m/>
    <s v="P.2.1078"/>
    <n v="0"/>
    <n v="0"/>
    <m/>
    <m/>
    <m/>
    <m/>
    <m/>
    <m/>
    <m/>
    <m/>
    <m/>
    <m/>
    <m/>
    <m/>
    <m/>
    <m/>
    <m/>
    <m/>
    <m/>
    <m/>
    <m/>
    <m/>
    <m/>
    <m/>
    <m/>
    <m/>
    <m/>
    <n v="0"/>
    <n v="0"/>
    <n v="0"/>
    <m/>
    <m/>
    <m/>
    <m/>
    <m/>
    <m/>
    <m/>
    <m/>
    <m/>
    <m/>
    <m/>
    <s v="Реаб."/>
    <m/>
    <n v="0"/>
    <s v="SGG"/>
    <d v="2023-11-01T00:00:00"/>
    <s v="BSG-231101-1/0(11)"/>
    <m/>
    <s v="GGTC-ს მოთხოვნის საფუძველზე"/>
    <s v="No"/>
  </r>
  <r>
    <n v="2002"/>
    <s v="Мцхета-Мтианети"/>
    <s v="Тианети"/>
    <s v="(12) გგს-&quot;ტუშურები&quot;"/>
    <x v="7"/>
    <n v="4687.5"/>
    <s v="გადაწყდა რომ ხარჯში წავიდეს"/>
    <m/>
    <m/>
    <m/>
    <n v="4687.5"/>
    <n v="0"/>
    <m/>
    <n v="4687.5"/>
    <n v="2"/>
    <m/>
    <s v="P.2.1079"/>
    <n v="0"/>
    <n v="0"/>
    <m/>
    <m/>
    <m/>
    <m/>
    <m/>
    <m/>
    <m/>
    <m/>
    <m/>
    <m/>
    <m/>
    <m/>
    <m/>
    <m/>
    <m/>
    <m/>
    <m/>
    <m/>
    <m/>
    <m/>
    <m/>
    <m/>
    <m/>
    <m/>
    <m/>
    <n v="0"/>
    <n v="0"/>
    <n v="0"/>
    <m/>
    <m/>
    <m/>
    <m/>
    <m/>
    <m/>
    <m/>
    <m/>
    <m/>
    <m/>
    <m/>
    <s v="Реаб."/>
    <m/>
    <n v="0"/>
    <s v="SGG"/>
    <d v="2023-11-01T00:00:00"/>
    <s v="BSG-231101-1/0(12)"/>
    <m/>
    <s v="GGTC-ს მოთხოვნის საფუძველზე"/>
    <s v="No"/>
  </r>
  <r>
    <n v="2003"/>
    <s v="Квемо Картли"/>
    <s v="Дманиси"/>
    <s v="(13) გგს-&quot;ყარაბულახი&quot;"/>
    <x v="7"/>
    <n v="4687.5"/>
    <s v="გადაწყდა რომ ხარჯში წავიდეს"/>
    <m/>
    <m/>
    <m/>
    <n v="4687.5"/>
    <n v="0"/>
    <m/>
    <n v="4687.5"/>
    <n v="2"/>
    <m/>
    <s v="P.2.1080"/>
    <n v="0"/>
    <n v="0"/>
    <m/>
    <m/>
    <m/>
    <m/>
    <m/>
    <m/>
    <m/>
    <m/>
    <m/>
    <m/>
    <m/>
    <m/>
    <m/>
    <m/>
    <m/>
    <m/>
    <m/>
    <m/>
    <m/>
    <m/>
    <m/>
    <m/>
    <m/>
    <m/>
    <m/>
    <n v="0"/>
    <n v="0"/>
    <n v="0"/>
    <m/>
    <m/>
    <m/>
    <m/>
    <m/>
    <m/>
    <m/>
    <m/>
    <m/>
    <m/>
    <m/>
    <s v="Реаб."/>
    <m/>
    <n v="0"/>
    <s v="SGG"/>
    <d v="2023-11-01T00:00:00"/>
    <s v="BSG-231101-1/0(13)"/>
    <m/>
    <s v="GGTC-ს მოთხოვნის საფუძველზე"/>
    <s v="No"/>
  </r>
  <r>
    <n v="2004"/>
    <s v="Квемо Картли"/>
    <s v="Дманиси"/>
    <s v="(14) გგს-&quot;დაგარახლო&quot;"/>
    <x v="7"/>
    <n v="4687.5"/>
    <s v="გადაწყდა რომ ხარჯში წავიდეს"/>
    <m/>
    <m/>
    <m/>
    <n v="4687.5"/>
    <n v="0"/>
    <m/>
    <n v="4687.5"/>
    <n v="2"/>
    <m/>
    <s v="P.2.1081"/>
    <n v="0"/>
    <n v="0"/>
    <m/>
    <m/>
    <m/>
    <m/>
    <m/>
    <m/>
    <m/>
    <m/>
    <m/>
    <m/>
    <m/>
    <m/>
    <m/>
    <m/>
    <m/>
    <m/>
    <m/>
    <m/>
    <m/>
    <m/>
    <m/>
    <m/>
    <m/>
    <m/>
    <m/>
    <n v="0"/>
    <n v="0"/>
    <n v="0"/>
    <m/>
    <m/>
    <m/>
    <m/>
    <m/>
    <m/>
    <m/>
    <m/>
    <m/>
    <m/>
    <m/>
    <s v="Реаб."/>
    <m/>
    <n v="0"/>
    <s v="SGG"/>
    <d v="2023-11-01T00:00:00"/>
    <s v="BSG-231101-1/0(14)"/>
    <m/>
    <s v="GGTC-ს მოთხოვნის საფუძველზე"/>
    <s v="No"/>
  </r>
  <r>
    <n v="2005"/>
    <s v="Квемо Картли"/>
    <s v="Гардабани"/>
    <s v="(15) გგს-&quot;ვაზიანის სამხედრო ბაზა&quot;"/>
    <x v="7"/>
    <n v="4687.5"/>
    <s v="გადაწყდა რომ ხარჯში წავიდეს"/>
    <m/>
    <m/>
    <m/>
    <n v="4687.5"/>
    <n v="0"/>
    <m/>
    <n v="4687.5"/>
    <n v="2"/>
    <m/>
    <s v="P.2.1082"/>
    <n v="0"/>
    <n v="0"/>
    <m/>
    <m/>
    <m/>
    <m/>
    <m/>
    <m/>
    <m/>
    <m/>
    <m/>
    <m/>
    <m/>
    <m/>
    <m/>
    <m/>
    <m/>
    <m/>
    <m/>
    <m/>
    <m/>
    <m/>
    <m/>
    <m/>
    <m/>
    <m/>
    <m/>
    <n v="0"/>
    <n v="0"/>
    <n v="0"/>
    <m/>
    <m/>
    <m/>
    <m/>
    <m/>
    <m/>
    <m/>
    <m/>
    <m/>
    <m/>
    <m/>
    <s v="Реаб."/>
    <m/>
    <n v="0"/>
    <s v="SGG"/>
    <d v="2023-11-01T00:00:00"/>
    <s v="BSG-231101-1/0(15)"/>
    <m/>
    <s v="GGTC-ს მოთხოვნის საფუძველზე"/>
    <s v="No"/>
  </r>
  <r>
    <n v="2006"/>
    <s v="Квемо Картли"/>
    <s v="Гардабани"/>
    <s v="(16) გგს-&quot;გაჩიანი&quot;"/>
    <x v="7"/>
    <n v="4687.5"/>
    <s v="გადაწყდა რომ ხარჯში წავიდეს"/>
    <m/>
    <m/>
    <m/>
    <n v="4687.5"/>
    <n v="0"/>
    <m/>
    <n v="4687.5"/>
    <n v="2"/>
    <m/>
    <s v="P.2.1083"/>
    <n v="0"/>
    <n v="0"/>
    <m/>
    <m/>
    <m/>
    <m/>
    <m/>
    <m/>
    <m/>
    <m/>
    <m/>
    <m/>
    <m/>
    <m/>
    <m/>
    <m/>
    <m/>
    <m/>
    <m/>
    <m/>
    <m/>
    <m/>
    <m/>
    <m/>
    <m/>
    <m/>
    <m/>
    <n v="0"/>
    <n v="0"/>
    <n v="0"/>
    <m/>
    <m/>
    <m/>
    <m/>
    <m/>
    <m/>
    <m/>
    <m/>
    <m/>
    <m/>
    <m/>
    <s v="Реаб."/>
    <m/>
    <n v="0"/>
    <s v="SGG"/>
    <d v="2023-11-01T00:00:00"/>
    <s v="BSG-231101-1/0(16)"/>
    <m/>
    <s v="GGTC-ს მოთხოვნის საფუძველზე"/>
    <s v="No"/>
  </r>
  <r>
    <n v="2007"/>
    <s v="Квемо Картли"/>
    <s v="Болниси"/>
    <s v="(1) გგს-&quot;ქვეში&quot;"/>
    <x v="7"/>
    <n v="5000"/>
    <s v="გადაწყდა რომ ხარჯში წავიდეს"/>
    <m/>
    <m/>
    <m/>
    <n v="5000"/>
    <n v="0"/>
    <m/>
    <n v="5000"/>
    <n v="2"/>
    <m/>
    <s v="P.2.1084"/>
    <n v="0"/>
    <n v="0"/>
    <m/>
    <m/>
    <m/>
    <m/>
    <m/>
    <m/>
    <m/>
    <m/>
    <m/>
    <m/>
    <m/>
    <m/>
    <m/>
    <m/>
    <m/>
    <m/>
    <m/>
    <m/>
    <m/>
    <m/>
    <m/>
    <m/>
    <m/>
    <m/>
    <m/>
    <n v="0"/>
    <n v="0"/>
    <n v="0"/>
    <m/>
    <m/>
    <m/>
    <m/>
    <m/>
    <m/>
    <m/>
    <m/>
    <m/>
    <m/>
    <m/>
    <s v="Реаб."/>
    <m/>
    <n v="0"/>
    <s v="Сакорггаз"/>
    <d v="2023-11-01T00:00:00"/>
    <s v="BCG-231101-2/0(1)"/>
    <m/>
    <s v="GGTC-ს მოთხოვნის საფუძველზე"/>
    <s v="No"/>
  </r>
  <r>
    <n v="2008"/>
    <s v="Мцхета-Мтианети"/>
    <s v="Мцхета"/>
    <s v="(1) გგს-&quot;წეროვანი&quot;"/>
    <x v="5"/>
    <n v="7500"/>
    <s v="გადაწყდა რომ ხარჯში წავიდეს"/>
    <n v="4743.76"/>
    <n v="4743.76"/>
    <n v="4743.76"/>
    <n v="2756.24"/>
    <n v="0"/>
    <m/>
    <n v="0"/>
    <n v="0"/>
    <m/>
    <s v="P.3.912"/>
    <n v="0"/>
    <n v="0"/>
    <m/>
    <m/>
    <m/>
    <m/>
    <m/>
    <m/>
    <m/>
    <m/>
    <m/>
    <m/>
    <m/>
    <m/>
    <m/>
    <m/>
    <m/>
    <m/>
    <m/>
    <m/>
    <m/>
    <m/>
    <m/>
    <m/>
    <m/>
    <m/>
    <m/>
    <n v="0"/>
    <n v="0"/>
    <n v="0"/>
    <m/>
    <m/>
    <m/>
    <m/>
    <m/>
    <n v="0"/>
    <n v="402.01355932203393"/>
    <m/>
    <m/>
    <m/>
    <m/>
    <s v="Реаб."/>
    <d v="2024-10-02T00:00:00"/>
    <s v="Принят"/>
    <s v="Сакорггаз"/>
    <d v="2023-11-01T00:00:00"/>
    <s v="BCG-231101-1/0(1)"/>
    <m/>
    <s v="GGTC-ს მოთხოვნის საფუძველზე"/>
    <s v="Yes"/>
  </r>
  <r>
    <n v="2009"/>
    <s v="Тбилиси"/>
    <s v="Тбилиси"/>
    <s v="(2) გგს-&quot;ოლიმპიური სოფელი&quot;"/>
    <x v="5"/>
    <n v="7500"/>
    <s v="გადაწყდა რომ ხარჯში წავიდეს"/>
    <n v="10873.76"/>
    <n v="10873.76"/>
    <n v="10873.76"/>
    <n v="-3373.76"/>
    <n v="0"/>
    <n v="0"/>
    <n v="0"/>
    <n v="0"/>
    <m/>
    <s v="P.3.913"/>
    <n v="0"/>
    <n v="0"/>
    <m/>
    <m/>
    <m/>
    <m/>
    <m/>
    <m/>
    <m/>
    <m/>
    <m/>
    <m/>
    <m/>
    <m/>
    <m/>
    <m/>
    <m/>
    <m/>
    <m/>
    <m/>
    <m/>
    <m/>
    <m/>
    <m/>
    <m/>
    <m/>
    <m/>
    <n v="0"/>
    <n v="0"/>
    <n v="0"/>
    <m/>
    <m/>
    <m/>
    <m/>
    <m/>
    <n v="0"/>
    <n v="921.50508474576282"/>
    <m/>
    <m/>
    <m/>
    <m/>
    <s v="Реаб."/>
    <d v="2024-10-02T00:00:00"/>
    <s v="Принят"/>
    <s v="Сакорггаз"/>
    <d v="2023-11-01T00:00:00"/>
    <s v="BCG-231101-1/0(2)"/>
    <m/>
    <s v="GGTC-ს მოთხოვნის საფუძველზე"/>
    <s v="Yes"/>
  </r>
  <r>
    <n v="2010"/>
    <s v="Шида Картли"/>
    <s v="Карели"/>
    <s v="(1) გგს-&quot;სასირეთი&quot; P.3.915"/>
    <x v="5"/>
    <n v="5000"/>
    <s v="გადაწყდა რომ ხარჯში წავიდეს"/>
    <n v="6439.84"/>
    <n v="6439.84"/>
    <n v="6439.84"/>
    <n v="-1439.8400000000001"/>
    <n v="0"/>
    <n v="0"/>
    <n v="0"/>
    <n v="0"/>
    <m/>
    <s v="P.3.915"/>
    <n v="0"/>
    <n v="0"/>
    <m/>
    <m/>
    <m/>
    <m/>
    <m/>
    <m/>
    <m/>
    <m/>
    <m/>
    <m/>
    <m/>
    <m/>
    <m/>
    <m/>
    <m/>
    <m/>
    <m/>
    <m/>
    <m/>
    <m/>
    <m/>
    <m/>
    <m/>
    <m/>
    <m/>
    <n v="0"/>
    <n v="0"/>
    <n v="0"/>
    <m/>
    <m/>
    <m/>
    <m/>
    <m/>
    <n v="0"/>
    <n v="545.74915254237294"/>
    <m/>
    <m/>
    <m/>
    <m/>
    <s v="Реаб."/>
    <d v="2024-09-23T00:00:00"/>
    <s v="Принят"/>
    <s v="SGG"/>
    <d v="2023-11-01T00:00:00"/>
    <s v="BSG-231101-3/0(1)"/>
    <m/>
    <s v="GGTC-ს მოთხოვნის საფუძველზე"/>
    <s v="Yes"/>
  </r>
  <r>
    <n v="2011"/>
    <s v="Шида Картли"/>
    <s v="Карели"/>
    <s v="(2) გგს-&quot;რუისი&quot; P.3.916"/>
    <x v="5"/>
    <n v="5000"/>
    <s v="გადაწყდა რომ ხარჯში წავიდეს"/>
    <n v="1911.25"/>
    <n v="1911.25"/>
    <n v="1911.25"/>
    <n v="3088.75"/>
    <n v="0"/>
    <n v="0"/>
    <n v="0"/>
    <n v="0"/>
    <m/>
    <s v="P.3.916"/>
    <n v="0"/>
    <n v="0"/>
    <m/>
    <m/>
    <m/>
    <m/>
    <m/>
    <m/>
    <m/>
    <m/>
    <m/>
    <m/>
    <m/>
    <m/>
    <m/>
    <m/>
    <m/>
    <m/>
    <m/>
    <m/>
    <m/>
    <m/>
    <m/>
    <m/>
    <m/>
    <m/>
    <m/>
    <n v="0"/>
    <n v="0"/>
    <n v="0"/>
    <m/>
    <m/>
    <m/>
    <m/>
    <m/>
    <n v="0"/>
    <n v="161.97033898305085"/>
    <m/>
    <m/>
    <m/>
    <m/>
    <s v="Реаб."/>
    <d v="2024-09-23T00:00:00"/>
    <s v="Принят"/>
    <s v="SGG"/>
    <d v="2023-11-01T00:00:00"/>
    <s v="BSG-231101-3/0(2)"/>
    <m/>
    <s v="GGTC-ს მოთხოვნის საფუძველზე"/>
    <s v="Yes"/>
  </r>
  <r>
    <n v="2012"/>
    <s v="Шида Картли"/>
    <s v="Хашури"/>
    <s v="(3) გგს-&quot;ხაშური-2&quot; P.3.917"/>
    <x v="5"/>
    <n v="5000"/>
    <s v="გადაწყდა რომ ხარჯში წავიდეს"/>
    <n v="7773.6"/>
    <n v="7773.6"/>
    <n v="7773.6"/>
    <n v="-2773.6000000000004"/>
    <n v="0"/>
    <n v="0"/>
    <n v="0"/>
    <n v="0"/>
    <m/>
    <s v="P.3.917"/>
    <n v="0"/>
    <n v="0"/>
    <m/>
    <m/>
    <m/>
    <m/>
    <m/>
    <m/>
    <m/>
    <m/>
    <m/>
    <m/>
    <m/>
    <m/>
    <m/>
    <m/>
    <m/>
    <m/>
    <m/>
    <m/>
    <m/>
    <m/>
    <m/>
    <m/>
    <m/>
    <m/>
    <m/>
    <n v="0"/>
    <n v="0"/>
    <n v="0"/>
    <m/>
    <m/>
    <m/>
    <m/>
    <m/>
    <n v="0"/>
    <n v="658.77966101694926"/>
    <m/>
    <m/>
    <m/>
    <m/>
    <s v="Реаб."/>
    <d v="2024-09-23T00:00:00"/>
    <s v="Принят"/>
    <s v="SGG"/>
    <d v="2023-11-01T00:00:00"/>
    <s v="BSG-231101-3/0(3)"/>
    <m/>
    <s v="GGTC-ს მოთხოვნის საფუძველზე"/>
    <s v="Yes"/>
  </r>
  <r>
    <n v="2013"/>
    <s v="Самцхе Джавахети"/>
    <s v="Ахалцихе"/>
    <s v="(4) გგს-&quot;ჭაჭარაქი&quot; P.3.918"/>
    <x v="5"/>
    <n v="5000"/>
    <s v="გადაწყდა რომ ხარჯში წავიდეს"/>
    <n v="1337.58"/>
    <n v="1337.58"/>
    <n v="1337.58"/>
    <n v="3662.42"/>
    <n v="0"/>
    <n v="0"/>
    <n v="0"/>
    <n v="0"/>
    <m/>
    <s v="P.3.918"/>
    <n v="0"/>
    <n v="0"/>
    <m/>
    <m/>
    <m/>
    <m/>
    <m/>
    <m/>
    <m/>
    <m/>
    <m/>
    <m/>
    <m/>
    <m/>
    <m/>
    <m/>
    <m/>
    <m/>
    <m/>
    <m/>
    <m/>
    <m/>
    <m/>
    <m/>
    <m/>
    <m/>
    <m/>
    <n v="0"/>
    <n v="0"/>
    <n v="0"/>
    <m/>
    <m/>
    <m/>
    <m/>
    <m/>
    <n v="0"/>
    <n v="113.35423728813561"/>
    <m/>
    <m/>
    <m/>
    <m/>
    <s v="Реаб."/>
    <d v="2024-09-23T00:00:00"/>
    <s v="Принят"/>
    <s v="SGG"/>
    <d v="2023-11-01T00:00:00"/>
    <s v="BSG-231101-3/0(4)"/>
    <m/>
    <s v="GGTC-ს მოთხოვნის საფუძველზე"/>
    <s v="Yes"/>
  </r>
  <r>
    <n v="2014"/>
    <s v="Гурия"/>
    <s v="Озургети"/>
    <s v="(1) გგს-&quot;ოზურგეთი-გურიანთა&quot; P.4.557"/>
    <x v="3"/>
    <n v="7000"/>
    <s v="გადაწყდა რომ ხარჯში წავიდეს"/>
    <n v="10739"/>
    <n v="10739"/>
    <n v="10739"/>
    <n v="-3739"/>
    <n v="0"/>
    <n v="0"/>
    <n v="0"/>
    <n v="0"/>
    <m/>
    <s v="P.4.557"/>
    <n v="0"/>
    <n v="0"/>
    <m/>
    <m/>
    <m/>
    <m/>
    <m/>
    <m/>
    <m/>
    <m/>
    <m/>
    <m/>
    <m/>
    <m/>
    <m/>
    <m/>
    <m/>
    <m/>
    <m/>
    <m/>
    <m/>
    <m/>
    <m/>
    <m/>
    <m/>
    <m/>
    <m/>
    <n v="0"/>
    <n v="0"/>
    <n v="0"/>
    <n v="0"/>
    <n v="0"/>
    <n v="0"/>
    <n v="0"/>
    <n v="0"/>
    <n v="910.08474576271192"/>
    <n v="0"/>
    <m/>
    <m/>
    <m/>
    <m/>
    <s v="Реаб."/>
    <d v="2024-02-29T00:00:00"/>
    <s v="Принят"/>
    <s v="SGG"/>
    <d v="2023-11-01T00:00:00"/>
    <s v="BSG-231101-2/0(1)"/>
    <m/>
    <s v="GGTC-ს მოთხოვნის საფუძველზე"/>
    <s v="Yes"/>
  </r>
  <r>
    <n v="2015"/>
    <s v="Гурия"/>
    <s v="Ланчхути"/>
    <s v="(2) გგს-&quot;ლანჩხუთი-მაჩხვარეთი&quot; P.4.558"/>
    <x v="3"/>
    <n v="7000"/>
    <s v="გადაწყდა რომ ხარჯში წავიდეს"/>
    <n v="5101"/>
    <n v="5101"/>
    <n v="5101"/>
    <n v="1899"/>
    <n v="0"/>
    <n v="0"/>
    <n v="0"/>
    <n v="0"/>
    <m/>
    <s v="P.4.558"/>
    <n v="0"/>
    <n v="0"/>
    <m/>
    <m/>
    <m/>
    <m/>
    <m/>
    <m/>
    <m/>
    <m/>
    <m/>
    <m/>
    <m/>
    <m/>
    <m/>
    <m/>
    <m/>
    <m/>
    <m/>
    <m/>
    <m/>
    <m/>
    <m/>
    <m/>
    <m/>
    <m/>
    <m/>
    <n v="0"/>
    <n v="0"/>
    <n v="0"/>
    <n v="0"/>
    <n v="0"/>
    <n v="0"/>
    <n v="0"/>
    <n v="0"/>
    <n v="432.28813559322037"/>
    <n v="0"/>
    <m/>
    <m/>
    <m/>
    <m/>
    <s v="Реаб."/>
    <d v="2024-03-30T00:00:00"/>
    <s v="Принят"/>
    <s v="SGG"/>
    <d v="2023-11-01T00:00:00"/>
    <s v="BSG-231101-2/0(2)"/>
    <m/>
    <s v="GGTC-ს მოთხოვნის საფუძველზე"/>
    <s v="Yes"/>
  </r>
  <r>
    <n v="2016"/>
    <s v="Гурия"/>
    <s v="Чохатаури"/>
    <s v="(3) გგს-&quot;ჩოხატაური&quot; P.4.559"/>
    <x v="3"/>
    <n v="7000"/>
    <s v="გადაწყდა რომ ხარჯში წავიდეს"/>
    <n v="9821"/>
    <n v="9821"/>
    <n v="9821"/>
    <n v="-2821"/>
    <n v="0"/>
    <n v="0"/>
    <n v="0"/>
    <n v="0"/>
    <m/>
    <s v="P.4.559"/>
    <n v="0"/>
    <n v="0"/>
    <m/>
    <m/>
    <m/>
    <m/>
    <m/>
    <m/>
    <m/>
    <m/>
    <m/>
    <m/>
    <m/>
    <m/>
    <m/>
    <m/>
    <m/>
    <m/>
    <m/>
    <m/>
    <m/>
    <m/>
    <m/>
    <m/>
    <m/>
    <m/>
    <m/>
    <n v="0"/>
    <n v="0"/>
    <n v="0"/>
    <n v="0"/>
    <n v="0"/>
    <n v="0"/>
    <n v="0"/>
    <n v="0"/>
    <n v="832.28813559322043"/>
    <n v="0"/>
    <m/>
    <m/>
    <m/>
    <m/>
    <s v="Реаб."/>
    <d v="2024-03-30T00:00:00"/>
    <s v="Принят"/>
    <s v="SGG"/>
    <d v="2023-11-01T00:00:00"/>
    <s v="BSG-231101-2/0(3)"/>
    <m/>
    <s v="GGTC-ს მოთხოვნის საფუძველზე"/>
    <s v="Yes"/>
  </r>
  <r>
    <n v="2017"/>
    <s v="Гурия"/>
    <s v="Озургети"/>
    <s v="(4) გგს-&quot;ნასაკირალი&quot; P.4.560"/>
    <x v="3"/>
    <n v="7000"/>
    <s v="გადაწყდა რომ ხარჯში წავიდეს"/>
    <n v="5451"/>
    <n v="5451"/>
    <n v="5451"/>
    <n v="1549"/>
    <n v="0"/>
    <n v="0"/>
    <n v="0"/>
    <n v="0"/>
    <m/>
    <s v="P.4.560"/>
    <n v="0"/>
    <n v="0"/>
    <m/>
    <m/>
    <m/>
    <m/>
    <m/>
    <m/>
    <m/>
    <m/>
    <m/>
    <m/>
    <m/>
    <m/>
    <m/>
    <m/>
    <m/>
    <m/>
    <m/>
    <m/>
    <m/>
    <m/>
    <m/>
    <m/>
    <m/>
    <m/>
    <m/>
    <n v="0"/>
    <n v="0"/>
    <n v="0"/>
    <n v="0"/>
    <n v="0"/>
    <n v="0"/>
    <n v="0"/>
    <n v="0"/>
    <n v="461.94915254237299"/>
    <n v="0"/>
    <m/>
    <m/>
    <m/>
    <m/>
    <s v="Реаб."/>
    <d v="2024-02-29T00:00:00"/>
    <s v="Принят"/>
    <s v="SGG"/>
    <d v="2023-11-01T00:00:00"/>
    <s v="BSG-231101-2/0(4)"/>
    <m/>
    <s v="GGTC-ს მოთხოვნის საფუძველზე"/>
    <s v="Yes"/>
  </r>
  <r>
    <n v="2018"/>
    <s v="Аджара"/>
    <s v="Кобулети"/>
    <s v="(5) გგს-&quot;ოჩხამური&quot; P.5.545"/>
    <x v="3"/>
    <n v="7000"/>
    <s v="გადაწყდა რომ ხარჯში წავიდეს"/>
    <n v="8604"/>
    <n v="8604"/>
    <n v="8604"/>
    <n v="-1604"/>
    <n v="0"/>
    <n v="0"/>
    <n v="0"/>
    <n v="0"/>
    <m/>
    <s v="P.5.545"/>
    <n v="0"/>
    <n v="0"/>
    <m/>
    <m/>
    <m/>
    <m/>
    <m/>
    <m/>
    <m/>
    <m/>
    <m/>
    <m/>
    <m/>
    <m/>
    <m/>
    <m/>
    <m/>
    <m/>
    <m/>
    <m/>
    <m/>
    <m/>
    <m/>
    <m/>
    <m/>
    <m/>
    <m/>
    <n v="0"/>
    <n v="0"/>
    <n v="0"/>
    <n v="0"/>
    <n v="0"/>
    <n v="0"/>
    <n v="0"/>
    <n v="0"/>
    <n v="729.15254237288138"/>
    <n v="0"/>
    <m/>
    <m/>
    <m/>
    <m/>
    <s v="Реаб."/>
    <d v="2024-03-30T00:00:00"/>
    <s v="Принят"/>
    <s v="SGG"/>
    <d v="2023-11-01T00:00:00"/>
    <s v="BSG-231101-2/0(5)"/>
    <m/>
    <s v="GGTC-ს მოთხოვნის საფუძველზე"/>
    <s v="Yes"/>
  </r>
  <r>
    <n v="2019"/>
    <s v="Самегрело"/>
    <s v="Абаша"/>
    <s v="(6) გგს-&quot;ქვიშანჭალა&quot; P.4.562"/>
    <x v="3"/>
    <n v="7000"/>
    <s v="გადაწყდა რომ ხარჯში წავიდეს"/>
    <n v="4838"/>
    <n v="4838"/>
    <n v="4838"/>
    <n v="2162"/>
    <n v="0"/>
    <n v="0"/>
    <n v="0"/>
    <n v="0"/>
    <m/>
    <s v="P.4.562"/>
    <n v="0"/>
    <n v="0"/>
    <m/>
    <m/>
    <m/>
    <m/>
    <m/>
    <m/>
    <m/>
    <m/>
    <m/>
    <m/>
    <m/>
    <m/>
    <m/>
    <m/>
    <m/>
    <m/>
    <m/>
    <m/>
    <m/>
    <m/>
    <m/>
    <m/>
    <m/>
    <m/>
    <m/>
    <n v="0"/>
    <n v="0"/>
    <n v="0"/>
    <n v="0"/>
    <n v="0"/>
    <n v="0"/>
    <n v="0"/>
    <n v="0"/>
    <n v="410"/>
    <n v="0"/>
    <m/>
    <m/>
    <m/>
    <m/>
    <s v="Реаб."/>
    <d v="2024-03-30T00:00:00"/>
    <s v="Принят"/>
    <s v="SGG"/>
    <d v="2023-11-01T00:00:00"/>
    <s v="BSG-231101-2/0(6)"/>
    <m/>
    <s v="GGTC-ს მოთხოვნის საფუძველზე"/>
    <s v="Yes"/>
  </r>
  <r>
    <n v="2020"/>
    <s v="Самегрело"/>
    <s v="Поти"/>
    <s v="(7) გგს-&quot;ფოთი&quot; P.4.563"/>
    <x v="3"/>
    <n v="7000"/>
    <s v="გადაწყდა რომ ხარჯში წავიდეს"/>
    <n v="5543"/>
    <n v="5543"/>
    <n v="5543"/>
    <n v="1457"/>
    <n v="0"/>
    <n v="0"/>
    <n v="0"/>
    <n v="0"/>
    <m/>
    <s v="P.4.563"/>
    <n v="0"/>
    <n v="0"/>
    <m/>
    <m/>
    <m/>
    <m/>
    <m/>
    <m/>
    <m/>
    <m/>
    <m/>
    <m/>
    <m/>
    <m/>
    <m/>
    <m/>
    <m/>
    <m/>
    <m/>
    <m/>
    <m/>
    <m/>
    <m/>
    <m/>
    <m/>
    <m/>
    <m/>
    <n v="0"/>
    <n v="0"/>
    <n v="0"/>
    <n v="0"/>
    <n v="0"/>
    <n v="0"/>
    <n v="0"/>
    <n v="0"/>
    <n v="469.74576271186447"/>
    <n v="0"/>
    <m/>
    <m/>
    <m/>
    <m/>
    <s v="Реаб."/>
    <d v="2024-03-30T00:00:00"/>
    <s v="Принят"/>
    <s v="SGG"/>
    <d v="2023-11-01T00:00:00"/>
    <s v="BSG-231101-2/0(7)"/>
    <m/>
    <s v="GGTC-ს მოთხოვნის საფუძველზე"/>
    <s v="Yes"/>
  </r>
  <r>
    <n v="2021"/>
    <s v="Гурия"/>
    <s v="Чохатаури"/>
    <s v="(8) გგს-&quot;გოგოლესუბანი&quot; P.4.564"/>
    <x v="3"/>
    <n v="7000"/>
    <s v="გადაწყდა რომ ხარჯში წავიდეს"/>
    <n v="929"/>
    <n v="929"/>
    <n v="929"/>
    <n v="6071"/>
    <n v="0"/>
    <n v="0"/>
    <n v="0"/>
    <n v="0"/>
    <m/>
    <s v="P.4.564"/>
    <n v="0"/>
    <n v="0"/>
    <m/>
    <m/>
    <m/>
    <m/>
    <m/>
    <m/>
    <m/>
    <m/>
    <m/>
    <m/>
    <m/>
    <m/>
    <m/>
    <m/>
    <m/>
    <m/>
    <m/>
    <m/>
    <m/>
    <m/>
    <m/>
    <m/>
    <m/>
    <m/>
    <m/>
    <n v="0"/>
    <n v="0"/>
    <n v="0"/>
    <n v="0"/>
    <n v="0"/>
    <n v="0"/>
    <n v="0"/>
    <n v="0"/>
    <n v="78.728813559322049"/>
    <n v="0"/>
    <m/>
    <m/>
    <m/>
    <m/>
    <s v="Реаб."/>
    <d v="2024-03-30T00:00:00"/>
    <s v="Принят"/>
    <s v="SGG"/>
    <d v="2023-11-01T00:00:00"/>
    <s v="BSG-231101-2/0(8)"/>
    <m/>
    <s v="GGTC-ს მოთხოვნის საფუძველზე"/>
    <s v="Yes"/>
  </r>
  <r>
    <n v="2022"/>
    <s v="Гурия"/>
    <s v="Ланчхути"/>
    <s v="(9) გგს-&quot;ნაგომარი-აკეთი&quot; P.4.565"/>
    <x v="3"/>
    <n v="7000"/>
    <s v="გადაწყდა რომ ხარჯში წავიდეს"/>
    <n v="2262"/>
    <n v="2262"/>
    <n v="2262"/>
    <n v="4738"/>
    <n v="0"/>
    <n v="0"/>
    <n v="0"/>
    <n v="0"/>
    <m/>
    <s v="P.4.565"/>
    <n v="0"/>
    <n v="0"/>
    <m/>
    <m/>
    <m/>
    <m/>
    <m/>
    <m/>
    <m/>
    <m/>
    <m/>
    <m/>
    <m/>
    <m/>
    <m/>
    <m/>
    <m/>
    <m/>
    <m/>
    <m/>
    <m/>
    <m/>
    <m/>
    <m/>
    <m/>
    <m/>
    <m/>
    <n v="0"/>
    <n v="0"/>
    <n v="0"/>
    <n v="0"/>
    <n v="0"/>
    <n v="0"/>
    <n v="0"/>
    <n v="0"/>
    <n v="191.69491525423732"/>
    <n v="0"/>
    <m/>
    <m/>
    <m/>
    <m/>
    <s v="Реаб."/>
    <d v="2024-02-29T00:00:00"/>
    <s v="Принят"/>
    <s v="SGG"/>
    <d v="2023-11-01T00:00:00"/>
    <s v="BSG-231101-2/0(9)"/>
    <m/>
    <s v="GGTC-ს მოთხოვნის საფუძველზე"/>
    <s v="Yes"/>
  </r>
  <r>
    <n v="2023"/>
    <s v="Гурия"/>
    <s v="Озургети"/>
    <s v="(10) გგს-&quot;დვაბზუ-ძიმითი&quot; P.4.566"/>
    <x v="3"/>
    <n v="7000"/>
    <s v="გადაწყდა რომ ხარჯში წავიდეს"/>
    <n v="13429"/>
    <n v="13429"/>
    <n v="13429"/>
    <n v="-6429"/>
    <n v="0"/>
    <n v="0"/>
    <n v="0"/>
    <n v="0"/>
    <m/>
    <s v="P.4.566"/>
    <n v="0"/>
    <n v="0"/>
    <m/>
    <m/>
    <m/>
    <m/>
    <m/>
    <m/>
    <m/>
    <m/>
    <m/>
    <m/>
    <m/>
    <m/>
    <m/>
    <m/>
    <m/>
    <m/>
    <m/>
    <m/>
    <m/>
    <m/>
    <m/>
    <m/>
    <m/>
    <m/>
    <m/>
    <n v="0"/>
    <n v="0"/>
    <n v="0"/>
    <n v="0"/>
    <n v="0"/>
    <n v="0"/>
    <n v="0"/>
    <n v="0"/>
    <n v="1138.0508474576272"/>
    <n v="0"/>
    <m/>
    <m/>
    <m/>
    <m/>
    <s v="Реаб."/>
    <d v="2024-02-29T00:00:00"/>
    <s v="Принят"/>
    <s v="SGG"/>
    <d v="2023-11-01T00:00:00"/>
    <s v="BSG-231101-2/0(10)"/>
    <m/>
    <s v="GGTC-ს მოთხოვნის საფუძველზე"/>
    <s v="Yes"/>
  </r>
  <r>
    <n v="2024"/>
    <s v="Рача"/>
    <s v="Амбролаури"/>
    <s v="(1.1.1.) სოფ. წკადისის გაზიფიცირების პროექტი  (P.6.003)"/>
    <x v="15"/>
    <n v="6837.25"/>
    <m/>
    <n v="6837.25"/>
    <m/>
    <n v="6837.25"/>
    <n v="0"/>
    <n v="0"/>
    <m/>
    <n v="0"/>
    <n v="0"/>
    <m/>
    <s v="P.6.003"/>
    <n v="0"/>
    <n v="0"/>
    <m/>
    <m/>
    <m/>
    <m/>
    <m/>
    <m/>
    <m/>
    <m/>
    <m/>
    <m/>
    <m/>
    <m/>
    <m/>
    <m/>
    <m/>
    <m/>
    <m/>
    <m/>
    <m/>
    <m/>
    <m/>
    <m/>
    <m/>
    <m/>
    <m/>
    <n v="0"/>
    <n v="0"/>
    <n v="0"/>
    <m/>
    <m/>
    <m/>
    <m/>
    <m/>
    <m/>
    <m/>
    <m/>
    <m/>
    <m/>
    <m/>
    <s v="Проектирование"/>
    <d v="2023-12-12T00:00:00"/>
    <s v="ПриПро"/>
    <s v="Сакорггаз"/>
    <d v="2023-09-15T00:00:00"/>
    <s v="CC-230915-1/0(1.1.1.)"/>
    <m/>
    <s v="დაევალა ვასოსა და ჯაიანს ამბროლაურში ყოფნის დროს"/>
    <s v="No"/>
  </r>
  <r>
    <n v="2025"/>
    <s v="Рача"/>
    <s v="Амбролаури"/>
    <s v="(1.1.2.) სოფ. სხარტალის გაზიფიცირების პროექტი  (P.6.002)"/>
    <x v="15"/>
    <n v="5911.5"/>
    <m/>
    <n v="5911.5"/>
    <m/>
    <n v="5911.5"/>
    <n v="0"/>
    <n v="0"/>
    <m/>
    <n v="0"/>
    <n v="0"/>
    <m/>
    <s v="P.6.002"/>
    <n v="0"/>
    <n v="0"/>
    <m/>
    <m/>
    <m/>
    <m/>
    <m/>
    <m/>
    <m/>
    <m/>
    <m/>
    <m/>
    <m/>
    <m/>
    <m/>
    <m/>
    <m/>
    <m/>
    <m/>
    <m/>
    <m/>
    <m/>
    <m/>
    <m/>
    <m/>
    <m/>
    <m/>
    <n v="0"/>
    <n v="0"/>
    <n v="0"/>
    <m/>
    <m/>
    <m/>
    <m/>
    <m/>
    <m/>
    <m/>
    <m/>
    <m/>
    <m/>
    <m/>
    <s v="Проектирование"/>
    <d v="2023-12-12T00:00:00"/>
    <s v="ПриПро"/>
    <s v="Сакорггаз"/>
    <d v="2023-09-15T00:00:00"/>
    <s v="CC-230915-1/0(1.1.2.)"/>
    <m/>
    <s v="დაევალა ვასოსა და ჯაიანს ამბროლაურში ყოფნის დროს"/>
    <s v="No"/>
  </r>
  <r>
    <n v="2026"/>
    <s v="Кахети"/>
    <s v="Гурджаани"/>
    <s v="გურჯაანის ოფისის ტერიტ. ძვ. შენობის დანგრევა და ეზოს მოსუფთავება."/>
    <x v="7"/>
    <n v="45689.919999999998"/>
    <m/>
    <n v="45689.919999999998"/>
    <n v="0"/>
    <n v="45689.919999999998"/>
    <n v="0"/>
    <n v="0"/>
    <n v="0"/>
    <n v="0"/>
    <n v="0"/>
    <m/>
    <s v="N.2.1"/>
    <n v="0"/>
    <n v="0"/>
    <m/>
    <m/>
    <m/>
    <m/>
    <m/>
    <m/>
    <m/>
    <m/>
    <m/>
    <m/>
    <m/>
    <m/>
    <m/>
    <m/>
    <m/>
    <m/>
    <m/>
    <m/>
    <m/>
    <m/>
    <m/>
    <m/>
    <m/>
    <m/>
    <m/>
    <n v="0"/>
    <n v="0"/>
    <n v="0"/>
    <n v="0"/>
    <n v="0"/>
    <n v="0"/>
    <m/>
    <m/>
    <m/>
    <m/>
    <m/>
    <m/>
    <m/>
    <m/>
    <s v="Ремонт офиса"/>
    <d v="2023-10-09T00:00:00"/>
    <s v="Принят"/>
    <s v="SGG"/>
    <d v="2023-09-18T00:00:00"/>
    <s v="SGG-C-23-76"/>
    <m/>
    <m/>
    <s v="No"/>
  </r>
  <r>
    <n v="2027"/>
    <s v="Самегрело"/>
    <s v="Зугдиди"/>
    <s v="ზუგდიდის ს/ც შეკეთება (ფრონტ ოფისი)"/>
    <x v="3"/>
    <n v="2492"/>
    <m/>
    <n v="2492"/>
    <m/>
    <n v="2492"/>
    <n v="0"/>
    <n v="0"/>
    <n v="0"/>
    <n v="0"/>
    <n v="0"/>
    <m/>
    <m/>
    <n v="0"/>
    <n v="0"/>
    <m/>
    <m/>
    <m/>
    <m/>
    <m/>
    <m/>
    <m/>
    <m/>
    <m/>
    <m/>
    <m/>
    <m/>
    <m/>
    <m/>
    <m/>
    <m/>
    <m/>
    <m/>
    <m/>
    <m/>
    <m/>
    <m/>
    <m/>
    <m/>
    <m/>
    <n v="0"/>
    <n v="0"/>
    <n v="0"/>
    <n v="0"/>
    <n v="0"/>
    <n v="0"/>
    <m/>
    <m/>
    <m/>
    <m/>
    <m/>
    <m/>
    <m/>
    <m/>
    <s v="Ремонт офиса"/>
    <d v="2023-11-28T00:00:00"/>
    <s v="Принят"/>
    <s v="SGG"/>
    <d v="2023-09-28T00:00:00"/>
    <s v="SGG-C-23-73"/>
    <m/>
    <m/>
    <s v="No"/>
  </r>
  <r>
    <n v="2028"/>
    <s v="Самегрело"/>
    <s v="Зугдиди"/>
    <s v="ზუგდიდის რეგიონული საწყობის სახურავის შეკეთება"/>
    <x v="3"/>
    <n v="2486"/>
    <m/>
    <n v="2486"/>
    <m/>
    <n v="2486"/>
    <n v="0"/>
    <n v="0"/>
    <n v="0"/>
    <n v="0"/>
    <n v="0"/>
    <m/>
    <m/>
    <n v="0"/>
    <n v="0"/>
    <m/>
    <m/>
    <m/>
    <m/>
    <m/>
    <m/>
    <m/>
    <m/>
    <m/>
    <m/>
    <m/>
    <m/>
    <m/>
    <m/>
    <m/>
    <m/>
    <m/>
    <m/>
    <m/>
    <m/>
    <m/>
    <m/>
    <m/>
    <m/>
    <m/>
    <n v="0"/>
    <n v="0"/>
    <n v="0"/>
    <n v="0"/>
    <n v="0"/>
    <n v="0"/>
    <m/>
    <m/>
    <m/>
    <m/>
    <m/>
    <m/>
    <m/>
    <m/>
    <s v="Ремонт офиса"/>
    <d v="2023-11-28T00:00:00"/>
    <s v="Принят"/>
    <s v="SGG"/>
    <d v="2023-09-28T00:00:00"/>
    <s v="SGG-C-23-74"/>
    <m/>
    <m/>
    <s v="No"/>
  </r>
  <r>
    <n v="2029"/>
    <s v="Самцхе Джавахети"/>
    <s v="Борджоми"/>
    <s v="(1.1.3.) სოფ. ახალდაბის ბლიაძეებისა და რიკაძეების უბნების გაზიფიცირების პროექტი"/>
    <x v="15"/>
    <n v="6928.25"/>
    <m/>
    <n v="6928.25"/>
    <m/>
    <n v="6928.25"/>
    <n v="0"/>
    <n v="0"/>
    <m/>
    <n v="0"/>
    <n v="0"/>
    <m/>
    <s v="P.3.1131"/>
    <n v="0"/>
    <n v="0"/>
    <m/>
    <m/>
    <m/>
    <m/>
    <m/>
    <m/>
    <m/>
    <m/>
    <m/>
    <m/>
    <m/>
    <m/>
    <m/>
    <m/>
    <m/>
    <m/>
    <m/>
    <m/>
    <m/>
    <m/>
    <m/>
    <m/>
    <m/>
    <m/>
    <m/>
    <n v="0"/>
    <n v="0"/>
    <n v="0"/>
    <m/>
    <m/>
    <m/>
    <m/>
    <m/>
    <m/>
    <m/>
    <m/>
    <m/>
    <m/>
    <m/>
    <s v="Проектирование"/>
    <d v="2023-12-19T00:00:00"/>
    <s v="ПриПро"/>
    <s v="Сакорггаз"/>
    <d v="2023-09-15T00:00:00"/>
    <s v="CC-230915-1/0(1.1.3.)"/>
    <m/>
    <s v="დაევალა ვასოსა და ჯაიანს ამბროლაურში ყოფნის დროს"/>
    <s v="No"/>
  </r>
  <r>
    <n v="2030"/>
    <s v="Имерети"/>
    <s v="Кутаиси"/>
    <s v="ქუთაისში სასწავლო ცენტრის გაფართოება, ტერიტ. ღობის სამუშ."/>
    <x v="4"/>
    <n v="302787"/>
    <m/>
    <n v="302787"/>
    <m/>
    <n v="302787"/>
    <n v="0"/>
    <n v="0"/>
    <n v="0"/>
    <n v="0"/>
    <n v="0"/>
    <m/>
    <m/>
    <n v="0"/>
    <n v="0"/>
    <m/>
    <m/>
    <m/>
    <m/>
    <m/>
    <m/>
    <m/>
    <m/>
    <m/>
    <m/>
    <m/>
    <m/>
    <m/>
    <m/>
    <m/>
    <m/>
    <m/>
    <m/>
    <m/>
    <m/>
    <m/>
    <m/>
    <m/>
    <m/>
    <m/>
    <n v="0"/>
    <n v="0"/>
    <n v="0"/>
    <n v="0"/>
    <n v="0"/>
    <n v="0"/>
    <m/>
    <m/>
    <m/>
    <m/>
    <m/>
    <m/>
    <m/>
    <m/>
    <s v="Ремонт офиса"/>
    <d v="2023-12-28T00:00:00"/>
    <s v="Принят"/>
    <s v="Сакорггаз"/>
    <d v="2022-10-03T00:00:00"/>
    <s v="G-03/10-2022"/>
    <m/>
    <m/>
    <s v="No"/>
  </r>
  <r>
    <n v="2031"/>
    <s v="Имерети"/>
    <s v="Вани"/>
    <s v="(5) სოფ. სალხინო. გაზსადენის რეაბილიტაცია P.6.646"/>
    <x v="8"/>
    <n v="1000000"/>
    <n v="2"/>
    <n v="1453200"/>
    <n v="850000"/>
    <n v="1453199.9950000001"/>
    <n v="-453199.99500000011"/>
    <n v="4.999999888241291E-3"/>
    <m/>
    <n v="-453199.99500000011"/>
    <n v="1"/>
    <m/>
    <s v="P.6.646"/>
    <n v="600000"/>
    <n v="91524.86"/>
    <m/>
    <m/>
    <m/>
    <m/>
    <n v="600000"/>
    <m/>
    <m/>
    <n v="91524.86"/>
    <m/>
    <m/>
    <m/>
    <m/>
    <m/>
    <m/>
    <m/>
    <m/>
    <m/>
    <m/>
    <m/>
    <m/>
    <m/>
    <m/>
    <m/>
    <m/>
    <m/>
    <n v="0"/>
    <n v="0"/>
    <n v="0"/>
    <n v="0"/>
    <m/>
    <m/>
    <m/>
    <m/>
    <m/>
    <m/>
    <n v="511187"/>
    <n v="75977.709999999992"/>
    <m/>
    <m/>
    <s v="Реаб."/>
    <m/>
    <n v="80"/>
    <s v="Сакорггаз"/>
    <d v="2023-07-07T00:00:00"/>
    <s v="BCG-230707-1/1(5)"/>
    <m/>
    <m/>
    <s v="Yes"/>
  </r>
  <r>
    <n v="2032"/>
    <s v="Самцхе Джавахети"/>
    <s v="Борджоми"/>
    <s v="(4) სოფ. ახალდაბის ბლიაძეებისა და რიკაძეების უბნების გაზიფიცირება P.3.1131"/>
    <x v="8"/>
    <n v="300000"/>
    <n v="2"/>
    <n v="212783.98"/>
    <n v="212783.98"/>
    <n v="212783.98"/>
    <n v="87216.01999999999"/>
    <n v="0"/>
    <n v="2994.3"/>
    <n v="0"/>
    <n v="0"/>
    <m/>
    <s v="P.3.1131"/>
    <n v="0"/>
    <n v="0"/>
    <m/>
    <m/>
    <m/>
    <m/>
    <m/>
    <m/>
    <m/>
    <m/>
    <m/>
    <m/>
    <m/>
    <m/>
    <m/>
    <m/>
    <m/>
    <m/>
    <m/>
    <m/>
    <m/>
    <m/>
    <m/>
    <m/>
    <m/>
    <m/>
    <m/>
    <n v="0"/>
    <n v="0"/>
    <n v="0"/>
    <m/>
    <m/>
    <m/>
    <m/>
    <m/>
    <n v="18032.540677966106"/>
    <n v="0"/>
    <m/>
    <m/>
    <m/>
    <m/>
    <s v="Н. Стр."/>
    <d v="2024-02-29T00:00:00"/>
    <s v="Принят"/>
    <s v="Сакорггаз"/>
    <d v="2023-07-07T00:00:00"/>
    <s v="BCG-230707-1/1(4)"/>
    <m/>
    <s v="დასრულდა"/>
    <s v="Yes"/>
  </r>
  <r>
    <n v="2033"/>
    <s v="Рача"/>
    <s v="Амбролаури"/>
    <s v="(3) სოფ. სხარტალის გაზიფიცირება (P.6.002)"/>
    <x v="8"/>
    <n v="300000"/>
    <n v="2"/>
    <n v="161884.47"/>
    <n v="161884.47"/>
    <n v="161884.47"/>
    <n v="138115.53"/>
    <n v="0"/>
    <n v="3150"/>
    <n v="0"/>
    <n v="0"/>
    <m/>
    <s v="P.6.002"/>
    <n v="0"/>
    <n v="0"/>
    <m/>
    <m/>
    <m/>
    <m/>
    <m/>
    <m/>
    <m/>
    <m/>
    <m/>
    <m/>
    <m/>
    <m/>
    <m/>
    <m/>
    <m/>
    <m/>
    <m/>
    <m/>
    <m/>
    <m/>
    <m/>
    <m/>
    <m/>
    <m/>
    <m/>
    <n v="0"/>
    <n v="0"/>
    <n v="0"/>
    <m/>
    <m/>
    <m/>
    <m/>
    <m/>
    <n v="0"/>
    <n v="13719.022881355935"/>
    <m/>
    <m/>
    <m/>
    <m/>
    <s v="Н. Стр."/>
    <d v="2024-07-31T00:00:00"/>
    <s v="Принят"/>
    <s v="Сакорггаз"/>
    <d v="2023-01-05T00:00:00"/>
    <s v="BCG-230105-2/1(3)"/>
    <m/>
    <s v="მერე"/>
    <s v="Yes"/>
  </r>
  <r>
    <n v="2034"/>
    <s v="Рача"/>
    <s v="Амбролаури"/>
    <s v="(4) სოფ. წკადისის გაზიფიცირება (P.6.003)"/>
    <x v="8"/>
    <n v="300000"/>
    <n v="2"/>
    <n v="193543.86499999999"/>
    <n v="193543.86499999999"/>
    <n v="193543.86499999999"/>
    <n v="106456.13500000001"/>
    <n v="0"/>
    <n v="3647"/>
    <n v="0"/>
    <n v="0"/>
    <m/>
    <s v="P.6.003"/>
    <n v="0"/>
    <n v="0"/>
    <m/>
    <m/>
    <m/>
    <m/>
    <m/>
    <m/>
    <m/>
    <m/>
    <m/>
    <m/>
    <m/>
    <m/>
    <m/>
    <m/>
    <m/>
    <m/>
    <m/>
    <m/>
    <m/>
    <m/>
    <m/>
    <m/>
    <m/>
    <m/>
    <m/>
    <n v="0"/>
    <n v="0"/>
    <n v="0"/>
    <n v="0"/>
    <n v="0"/>
    <m/>
    <n v="0"/>
    <n v="0"/>
    <n v="0"/>
    <n v="16402.022457627121"/>
    <m/>
    <m/>
    <m/>
    <m/>
    <s v="Н. Стр."/>
    <d v="2024-07-31T00:00:00"/>
    <s v="Принят"/>
    <s v="Сакорггаз"/>
    <d v="2023-01-05T00:00:00"/>
    <s v="BCG-230105-2/1(4)"/>
    <m/>
    <s v="მერე"/>
    <s v="Yes"/>
  </r>
  <r>
    <n v="2035"/>
    <s v="Имерети"/>
    <s v="Самтредия"/>
    <s v="(18) სამტრედიაში ქართველიშვილი და რობაქიძის ქუჩებზე გაზსადენის რეაბილიტაცია (P.6.688)"/>
    <x v="9"/>
    <n v="2467.5"/>
    <m/>
    <n v="2467.5"/>
    <m/>
    <n v="2467.5"/>
    <n v="0"/>
    <n v="0"/>
    <m/>
    <n v="0"/>
    <n v="0"/>
    <m/>
    <s v="P.6.688"/>
    <n v="0"/>
    <n v="0"/>
    <m/>
    <m/>
    <m/>
    <m/>
    <m/>
    <m/>
    <m/>
    <m/>
    <m/>
    <m/>
    <m/>
    <m/>
    <m/>
    <m/>
    <m/>
    <m/>
    <m/>
    <m/>
    <m/>
    <m/>
    <m/>
    <m/>
    <m/>
    <m/>
    <m/>
    <n v="0"/>
    <n v="0"/>
    <n v="0"/>
    <m/>
    <m/>
    <m/>
    <m/>
    <m/>
    <m/>
    <m/>
    <m/>
    <m/>
    <m/>
    <m/>
    <s v="Проектирование"/>
    <d v="2023-12-01T00:00:00"/>
    <s v="ПриПро"/>
    <s v="Сакорггаз"/>
    <d v="2023-01-10T00:00:00"/>
    <s v="BCG-230110-1/1(18)"/>
    <m/>
    <m/>
    <s v="No"/>
  </r>
  <r>
    <n v="2036"/>
    <s v="Имерети"/>
    <s v="Самтредия"/>
    <s v="(19) სამტრედიაში ქართველიშვილი და რობაქიძის ქუჩებზე გაზსადენის რეაბილიტაცია (P.6.688)"/>
    <x v="4"/>
    <n v="197443.07"/>
    <m/>
    <n v="197443.07"/>
    <m/>
    <n v="197443.07"/>
    <n v="0"/>
    <n v="0"/>
    <m/>
    <n v="0"/>
    <n v="0"/>
    <m/>
    <s v="P.6.688"/>
    <n v="0"/>
    <n v="0"/>
    <m/>
    <m/>
    <m/>
    <m/>
    <m/>
    <m/>
    <m/>
    <m/>
    <m/>
    <m/>
    <m/>
    <m/>
    <m/>
    <m/>
    <m/>
    <m/>
    <m/>
    <m/>
    <m/>
    <m/>
    <m/>
    <m/>
    <m/>
    <m/>
    <m/>
    <n v="0"/>
    <n v="0"/>
    <n v="0"/>
    <n v="0"/>
    <n v="0"/>
    <n v="16732.463559322037"/>
    <m/>
    <m/>
    <m/>
    <m/>
    <m/>
    <m/>
    <m/>
    <m/>
    <s v="Реаб."/>
    <d v="2023-12-28T00:00:00"/>
    <s v="Принят"/>
    <s v="Сакорггаз"/>
    <d v="2023-01-10T00:00:00"/>
    <s v="BCG-230110-1/1(19)"/>
    <m/>
    <m/>
    <s v="Yes"/>
  </r>
  <r>
    <n v="2037"/>
    <s v="Кахети"/>
    <s v="Сигнаги"/>
    <s v="სიღნაღის სერვის ცენტრის შენობის სახურავის შეკთება N.2.40"/>
    <x v="7"/>
    <n v="109415.35533415565"/>
    <n v="2"/>
    <n v="99594"/>
    <n v="99594"/>
    <n v="99594"/>
    <n v="9821.3553341556544"/>
    <n v="0"/>
    <n v="1E-3"/>
    <n v="0"/>
    <n v="0"/>
    <m/>
    <s v="N.2.40"/>
    <n v="0"/>
    <n v="0"/>
    <m/>
    <m/>
    <m/>
    <m/>
    <m/>
    <m/>
    <m/>
    <m/>
    <m/>
    <m/>
    <m/>
    <m/>
    <m/>
    <m/>
    <m/>
    <m/>
    <m/>
    <m/>
    <m/>
    <m/>
    <m/>
    <m/>
    <m/>
    <m/>
    <m/>
    <n v="0"/>
    <n v="0"/>
    <n v="0"/>
    <n v="0"/>
    <n v="0"/>
    <m/>
    <m/>
    <m/>
    <n v="0"/>
    <n v="0"/>
    <m/>
    <m/>
    <m/>
    <m/>
    <s v="Ремонт офиса"/>
    <d v="2024-02-15T00:00:00"/>
    <s v="Принят"/>
    <s v="SGG"/>
    <d v="2023-12-04T00:00:00"/>
    <s v="SGG-C-23-87"/>
    <m/>
    <m/>
    <s v="No"/>
  </r>
  <r>
    <n v="2038"/>
    <s v="Аджара"/>
    <s v="Хелвачаури"/>
    <s v="მდ. ყოროლისწყალზე დაზიანებული 530 მმ-იანი ფოლადის გაზსადენის, ნაცვლად ახლის სამშენებლო-სამონტაჟო სამუშაოები. ასევე ნავთობტერმინალის ტერიტორიაზე, სარეზერვო გაზსადენის მოწყობა/დემონტაჟის საპროექტო-სამშენებლო სამუშაოები. P.5.551"/>
    <x v="13"/>
    <n v="1585000"/>
    <n v="2"/>
    <n v="1577001.62"/>
    <n v="1577001.62"/>
    <n v="1577001.6199999999"/>
    <n v="7998.3800000001211"/>
    <n v="0"/>
    <n v="368"/>
    <n v="2.3283064365386963E-10"/>
    <n v="0"/>
    <m/>
    <s v="P.5.551"/>
    <n v="0"/>
    <n v="0"/>
    <m/>
    <m/>
    <m/>
    <m/>
    <m/>
    <m/>
    <m/>
    <m/>
    <m/>
    <m/>
    <m/>
    <m/>
    <m/>
    <m/>
    <m/>
    <m/>
    <m/>
    <m/>
    <m/>
    <m/>
    <m/>
    <m/>
    <m/>
    <m/>
    <m/>
    <n v="0"/>
    <n v="0"/>
    <n v="0"/>
    <m/>
    <m/>
    <m/>
    <n v="1186440.67"/>
    <n v="113497.39"/>
    <n v="74237.288135593233"/>
    <n v="48057.177949152552"/>
    <m/>
    <m/>
    <m/>
    <m/>
    <s v="Реаб."/>
    <d v="2024-12-19T00:00:00"/>
    <s v="Принят"/>
    <s v="SGG"/>
    <d v="2023-12-08T00:00:00"/>
    <s v="BSG-231208-1/0"/>
    <m/>
    <m/>
    <s v="Yes"/>
  </r>
  <r>
    <n v="2039"/>
    <s v="Квемо Картли"/>
    <s v="Дманиси"/>
    <s v="(70) სოფ. ტნუსის მკვებავი გაზსადენის რეაბილიტაცია (პროექტირება) P.2.1439"/>
    <x v="10"/>
    <n v="2117.5"/>
    <n v="2"/>
    <n v="2117"/>
    <m/>
    <n v="2117"/>
    <n v="0.5"/>
    <n v="0"/>
    <m/>
    <n v="0"/>
    <n v="0"/>
    <m/>
    <s v="P.2.1439"/>
    <n v="0"/>
    <n v="0"/>
    <m/>
    <m/>
    <m/>
    <m/>
    <m/>
    <m/>
    <m/>
    <m/>
    <m/>
    <m/>
    <m/>
    <m/>
    <m/>
    <m/>
    <m/>
    <m/>
    <m/>
    <m/>
    <m/>
    <m/>
    <m/>
    <m/>
    <m/>
    <m/>
    <m/>
    <n v="0"/>
    <n v="0"/>
    <n v="0"/>
    <m/>
    <m/>
    <m/>
    <m/>
    <m/>
    <m/>
    <m/>
    <m/>
    <m/>
    <m/>
    <m/>
    <s v="Проектирование"/>
    <d v="2024-03-05T00:00:00"/>
    <s v="ПриПро"/>
    <s v="SGG"/>
    <d v="2023-01-09T00:00:00"/>
    <s v="BSG-230109-1/1 (70)"/>
    <m/>
    <m/>
    <s v="Yes"/>
  </r>
  <r>
    <n v="2040"/>
    <s v="Квемо Картли"/>
    <s v="Дманиси"/>
    <s v="(71) სოფ. ტნუსის მკვებავი გაზსადენის რეაბილიტაცია P.2.1439"/>
    <x v="7"/>
    <n v="56000"/>
    <n v="2"/>
    <n v="59725"/>
    <n v="59725"/>
    <n v="59725"/>
    <n v="-3725"/>
    <n v="0"/>
    <n v="1063"/>
    <n v="0"/>
    <n v="0"/>
    <m/>
    <s v="P.2.1439"/>
    <n v="0"/>
    <n v="0"/>
    <m/>
    <m/>
    <m/>
    <m/>
    <m/>
    <m/>
    <m/>
    <m/>
    <m/>
    <m/>
    <m/>
    <m/>
    <m/>
    <m/>
    <m/>
    <m/>
    <m/>
    <m/>
    <m/>
    <m/>
    <m/>
    <m/>
    <m/>
    <m/>
    <m/>
    <n v="0"/>
    <n v="0"/>
    <n v="0"/>
    <n v="0"/>
    <n v="0"/>
    <m/>
    <m/>
    <m/>
    <n v="5061.4406779661022"/>
    <n v="0"/>
    <m/>
    <m/>
    <m/>
    <m/>
    <s v="Реаб."/>
    <d v="2024-04-18T00:00:00"/>
    <s v="Принят"/>
    <s v="SGG"/>
    <d v="2023-01-09T00:00:00"/>
    <s v="BSG-230109-1/1 (71)"/>
    <m/>
    <m/>
    <s v="Yes"/>
  </r>
  <r>
    <n v="2041"/>
    <s v="Квемо Картли"/>
    <s v="Рустави"/>
    <s v="(24) აფხაზეთის ქუჩაზე მდებარე გაზსადენის რეაბილიტაცია (პროექტირება) P.2.1440"/>
    <x v="10"/>
    <n v="589.75"/>
    <n v="2"/>
    <n v="589.75"/>
    <m/>
    <n v="589.75"/>
    <n v="0"/>
    <n v="0"/>
    <m/>
    <n v="0"/>
    <n v="0"/>
    <m/>
    <s v="P.2.1440"/>
    <n v="0"/>
    <n v="0"/>
    <m/>
    <m/>
    <m/>
    <m/>
    <m/>
    <m/>
    <m/>
    <m/>
    <m/>
    <m/>
    <m/>
    <m/>
    <m/>
    <m/>
    <m/>
    <m/>
    <m/>
    <m/>
    <m/>
    <m/>
    <m/>
    <m/>
    <m/>
    <m/>
    <m/>
    <n v="0"/>
    <n v="0"/>
    <n v="0"/>
    <m/>
    <m/>
    <m/>
    <m/>
    <m/>
    <m/>
    <m/>
    <m/>
    <m/>
    <m/>
    <m/>
    <s v="Проектирование"/>
    <d v="2024-03-15T00:00:00"/>
    <s v="ПриПро"/>
    <s v="Сакорггаз"/>
    <d v="2023-01-09T00:00:00"/>
    <s v="BCG-230109-1/1 (24)"/>
    <m/>
    <m/>
    <s v="No"/>
  </r>
  <r>
    <n v="2042"/>
    <s v="Квемо Картли"/>
    <s v="Рустави"/>
    <s v="(25) აფხაზეთის ქუჩაზე მდებარე გაზსადენის რეაბილიტაცია P.2.1440"/>
    <x v="7"/>
    <n v="38000"/>
    <n v="2"/>
    <n v="24014"/>
    <n v="24014"/>
    <n v="24014"/>
    <n v="13986"/>
    <n v="0"/>
    <n v="259"/>
    <n v="0"/>
    <n v="0"/>
    <m/>
    <s v="P.2.1440"/>
    <n v="0"/>
    <n v="0"/>
    <m/>
    <m/>
    <m/>
    <m/>
    <m/>
    <m/>
    <m/>
    <m/>
    <m/>
    <m/>
    <m/>
    <m/>
    <m/>
    <m/>
    <m/>
    <m/>
    <m/>
    <m/>
    <m/>
    <m/>
    <m/>
    <m/>
    <m/>
    <m/>
    <m/>
    <n v="0"/>
    <n v="0"/>
    <n v="0"/>
    <n v="0"/>
    <n v="0"/>
    <m/>
    <n v="0"/>
    <n v="0"/>
    <n v="2035.0847457627119"/>
    <n v="0"/>
    <m/>
    <m/>
    <m/>
    <m/>
    <s v="Реаб."/>
    <d v="2024-04-18T00:00:00"/>
    <s v="Принят"/>
    <s v="Сакорггаз"/>
    <d v="2023-01-09T00:00:00"/>
    <s v="BCG-230109-1/1 (25)"/>
    <m/>
    <m/>
    <s v="Yes"/>
  </r>
  <r>
    <n v="2043"/>
    <s v="Квемо Картли"/>
    <s v="Тетрицкаро"/>
    <s v="(26) სოფ. ხოფისის გაზიფიცირება (პროექტირება) P.2.1441"/>
    <x v="10"/>
    <n v="5328.75"/>
    <n v="2"/>
    <n v="5328.75"/>
    <m/>
    <n v="5328.75"/>
    <n v="0"/>
    <n v="0"/>
    <m/>
    <n v="0"/>
    <n v="0"/>
    <m/>
    <s v="P.2.1441"/>
    <n v="0"/>
    <n v="0"/>
    <m/>
    <m/>
    <m/>
    <m/>
    <m/>
    <m/>
    <m/>
    <m/>
    <m/>
    <m/>
    <m/>
    <m/>
    <m/>
    <m/>
    <m/>
    <m/>
    <m/>
    <m/>
    <m/>
    <m/>
    <m/>
    <m/>
    <m/>
    <m/>
    <m/>
    <n v="0"/>
    <n v="0"/>
    <n v="0"/>
    <m/>
    <m/>
    <m/>
    <m/>
    <m/>
    <m/>
    <m/>
    <m/>
    <m/>
    <m/>
    <m/>
    <s v="Проектирование"/>
    <d v="2024-03-15T00:00:00"/>
    <s v="ПриПро"/>
    <s v="Сакорггаз"/>
    <d v="2023-01-09T00:00:00"/>
    <s v="BCG-230109-1/1 (26)"/>
    <m/>
    <m/>
    <s v="Yes"/>
  </r>
  <r>
    <n v="2044"/>
    <s v="Квемо Картли"/>
    <s v="Тетрицкаро"/>
    <s v="(27) სოფ. ხოფისის გაზიფიცირება P.2.1441"/>
    <x v="7"/>
    <n v="116000"/>
    <n v="2"/>
    <n v="117994"/>
    <n v="117994"/>
    <n v="117994"/>
    <n v="-1994"/>
    <n v="0"/>
    <n v="3022.5"/>
    <n v="0"/>
    <n v="0"/>
    <n v="23"/>
    <s v="P.2.1441"/>
    <n v="0"/>
    <n v="0"/>
    <m/>
    <m/>
    <m/>
    <m/>
    <m/>
    <m/>
    <m/>
    <m/>
    <m/>
    <m/>
    <m/>
    <m/>
    <m/>
    <m/>
    <m/>
    <m/>
    <m/>
    <m/>
    <m/>
    <m/>
    <m/>
    <m/>
    <m/>
    <m/>
    <m/>
    <n v="0"/>
    <n v="0"/>
    <n v="0"/>
    <n v="0"/>
    <n v="0"/>
    <m/>
    <n v="0"/>
    <n v="0"/>
    <n v="9999.4915254237294"/>
    <n v="0"/>
    <m/>
    <m/>
    <m/>
    <m/>
    <s v="Н. Стр."/>
    <d v="2024-04-18T00:00:00"/>
    <s v="Принят"/>
    <s v="Сакорггаз"/>
    <d v="2023-01-09T00:00:00"/>
    <s v="BCG-230109-1/1 (27)"/>
    <m/>
    <m/>
    <s v="Yes"/>
  </r>
  <r>
    <n v="2045"/>
    <s v="Имерети"/>
    <s v="Багдати"/>
    <s v="(1) სოფ. დიმი, 30-ე ქუჩაზე დაბალი წნევის გაზსადენის რეაბილიტაცია. (პროექტირება) (P.6.1124)"/>
    <x v="9"/>
    <n v="1776.25"/>
    <n v="2"/>
    <n v="1776.25"/>
    <m/>
    <n v="1776.25"/>
    <n v="0"/>
    <n v="0"/>
    <m/>
    <n v="0"/>
    <n v="0"/>
    <m/>
    <s v="P.6.1124"/>
    <n v="0"/>
    <n v="0"/>
    <m/>
    <m/>
    <m/>
    <m/>
    <m/>
    <m/>
    <m/>
    <m/>
    <m/>
    <m/>
    <m/>
    <m/>
    <m/>
    <m/>
    <m/>
    <m/>
    <m/>
    <m/>
    <m/>
    <m/>
    <m/>
    <m/>
    <m/>
    <m/>
    <m/>
    <n v="0"/>
    <n v="0"/>
    <n v="0"/>
    <n v="0"/>
    <n v="0"/>
    <n v="0"/>
    <m/>
    <m/>
    <m/>
    <m/>
    <m/>
    <m/>
    <m/>
    <m/>
    <s v="Проектирование"/>
    <d v="2024-03-05T00:00:00"/>
    <s v="ПриПро"/>
    <s v="SGG"/>
    <d v="2024-01-10T00:00:00"/>
    <s v="BSG-240110-1/0 (1)"/>
    <m/>
    <m/>
    <s v="No"/>
  </r>
  <r>
    <n v="2046"/>
    <s v="Имерети"/>
    <s v="Багдати"/>
    <s v="(2) სოფ. დიმი, 30-ე ქუჩაზე დაბალი წნევის გაზსადენის რეაბილიტაცია. (P.6.1124)"/>
    <x v="4"/>
    <n v="50000"/>
    <n v="2"/>
    <n v="49582.89"/>
    <n v="49582.89"/>
    <n v="49582.89"/>
    <n v="417.11000000000058"/>
    <n v="0"/>
    <n v="968"/>
    <n v="0"/>
    <n v="0"/>
    <m/>
    <s v="P.6.1124"/>
    <n v="0"/>
    <n v="0"/>
    <m/>
    <m/>
    <m/>
    <m/>
    <m/>
    <m/>
    <m/>
    <m/>
    <m/>
    <m/>
    <m/>
    <m/>
    <m/>
    <m/>
    <m/>
    <m/>
    <m/>
    <m/>
    <m/>
    <m/>
    <m/>
    <m/>
    <m/>
    <m/>
    <m/>
    <n v="0"/>
    <n v="0"/>
    <n v="0"/>
    <n v="0"/>
    <n v="0"/>
    <n v="0"/>
    <n v="0"/>
    <n v="0"/>
    <n v="4201.9398305084751"/>
    <n v="0"/>
    <m/>
    <m/>
    <m/>
    <m/>
    <s v="Реаб."/>
    <d v="2024-03-31T00:00:00"/>
    <s v="Принят"/>
    <s v="SGG"/>
    <d v="2024-01-10T00:00:00"/>
    <s v="BSG-240110-1/0 (2)"/>
    <m/>
    <m/>
    <s v="Yes"/>
  </r>
  <r>
    <n v="2047"/>
    <s v="Гурия"/>
    <s v="Ланчхути"/>
    <s v="ლანჩხუთის ოფისში გათბობის სისტემის მოწყობის სამუშაოები"/>
    <x v="3"/>
    <n v="29385"/>
    <n v="2"/>
    <n v="29385"/>
    <n v="29385"/>
    <n v="29385"/>
    <n v="0"/>
    <n v="0"/>
    <n v="1E-3"/>
    <n v="0"/>
    <n v="0"/>
    <m/>
    <m/>
    <n v="0"/>
    <n v="0"/>
    <m/>
    <m/>
    <m/>
    <m/>
    <m/>
    <m/>
    <m/>
    <m/>
    <m/>
    <m/>
    <m/>
    <m/>
    <m/>
    <m/>
    <m/>
    <m/>
    <m/>
    <m/>
    <m/>
    <m/>
    <m/>
    <m/>
    <m/>
    <m/>
    <m/>
    <n v="0"/>
    <n v="0"/>
    <n v="0"/>
    <m/>
    <m/>
    <m/>
    <m/>
    <m/>
    <n v="2490.2542372881362"/>
    <n v="0"/>
    <m/>
    <m/>
    <m/>
    <m/>
    <s v="Ремонт офиса"/>
    <d v="2024-03-30T00:00:00"/>
    <s v="Принят"/>
    <s v="SGG"/>
    <d v="2023-10-16T00:00:00"/>
    <s v="SGG-C-23-79"/>
    <m/>
    <m/>
    <s v="Yes"/>
  </r>
  <r>
    <n v="2048"/>
    <s v="Гурия"/>
    <s v="Озургети"/>
    <s v="ოზურგეთის ოფისში გათბობის სისტემის მოწყობის სამუშაოები"/>
    <x v="3"/>
    <n v="29272"/>
    <n v="2"/>
    <n v="29272"/>
    <n v="29272"/>
    <n v="29272"/>
    <n v="0"/>
    <n v="0"/>
    <n v="1E-3"/>
    <n v="0"/>
    <n v="0"/>
    <m/>
    <m/>
    <n v="0"/>
    <n v="0"/>
    <m/>
    <m/>
    <m/>
    <m/>
    <m/>
    <m/>
    <m/>
    <m/>
    <m/>
    <m/>
    <m/>
    <m/>
    <m/>
    <m/>
    <m/>
    <m/>
    <m/>
    <m/>
    <m/>
    <m/>
    <m/>
    <m/>
    <m/>
    <m/>
    <m/>
    <n v="0"/>
    <n v="0"/>
    <n v="0"/>
    <m/>
    <m/>
    <m/>
    <m/>
    <m/>
    <n v="2480.6779661016953"/>
    <n v="0"/>
    <m/>
    <m/>
    <m/>
    <m/>
    <s v="Ремонт офиса"/>
    <d v="2024-03-30T00:00:00"/>
    <s v="Принят"/>
    <s v="SGG"/>
    <d v="2023-10-16T00:00:00"/>
    <s v="SGG-C-23-79"/>
    <m/>
    <m/>
    <s v="Yes"/>
  </r>
  <r>
    <n v="2049"/>
    <s v="Гурия"/>
    <s v="Чохатаури"/>
    <s v="ჩოხატაურის ოფისში გათბობის სისტემის მოწყობის სამუშაოები"/>
    <x v="3"/>
    <n v="19189"/>
    <n v="2"/>
    <n v="19189"/>
    <n v="19189"/>
    <n v="19189"/>
    <n v="0"/>
    <n v="0"/>
    <n v="1E-3"/>
    <n v="0"/>
    <n v="0"/>
    <m/>
    <m/>
    <n v="0"/>
    <n v="0"/>
    <m/>
    <m/>
    <m/>
    <m/>
    <m/>
    <m/>
    <m/>
    <m/>
    <m/>
    <m/>
    <m/>
    <m/>
    <m/>
    <m/>
    <m/>
    <m/>
    <m/>
    <m/>
    <m/>
    <m/>
    <m/>
    <m/>
    <m/>
    <m/>
    <m/>
    <n v="0"/>
    <n v="0"/>
    <n v="0"/>
    <m/>
    <m/>
    <m/>
    <m/>
    <m/>
    <n v="1626.1864406779662"/>
    <n v="0"/>
    <m/>
    <m/>
    <m/>
    <m/>
    <s v="Ремонт офиса"/>
    <d v="2024-03-30T00:00:00"/>
    <s v="Принят"/>
    <s v="SGG"/>
    <d v="2023-10-16T00:00:00"/>
    <s v="SGG-C-23-79"/>
    <m/>
    <m/>
    <s v="Yes"/>
  </r>
  <r>
    <n v="2050"/>
    <s v="Имерети"/>
    <s v="Багдати"/>
    <s v="(1) საირმის გაზმომარაგების სამშენებლო-სამონტაჟო სამუშაოები P.6.957"/>
    <x v="8"/>
    <n v="9500000"/>
    <m/>
    <n v="8200000"/>
    <n v="7400000"/>
    <n v="7900000"/>
    <n v="1600000"/>
    <n v="300000"/>
    <m/>
    <n v="1600000"/>
    <n v="1"/>
    <m/>
    <s v="P.6.957"/>
    <n v="800000"/>
    <n v="498728.82"/>
    <m/>
    <m/>
    <m/>
    <m/>
    <n v="500000"/>
    <m/>
    <m/>
    <n v="498728.82"/>
    <n v="300000"/>
    <m/>
    <m/>
    <m/>
    <m/>
    <m/>
    <m/>
    <m/>
    <m/>
    <m/>
    <m/>
    <m/>
    <m/>
    <m/>
    <m/>
    <m/>
    <m/>
    <n v="0"/>
    <n v="0"/>
    <n v="0"/>
    <n v="0"/>
    <n v="0"/>
    <n v="0"/>
    <n v="423728.81"/>
    <m/>
    <m/>
    <m/>
    <n v="202542.37"/>
    <n v="30103.9"/>
    <m/>
    <m/>
    <s v="Н. Стр."/>
    <m/>
    <n v="80"/>
    <s v="SGG"/>
    <d v="2024-01-16T00:00:00"/>
    <s v="BSG-240116-1/0(1)"/>
    <m/>
    <m/>
    <s v="Yes"/>
  </r>
  <r>
    <n v="2051"/>
    <s v="Имерети"/>
    <s v="Вани"/>
    <s v="(1) ქალაქი ვანი (D25-D80). გაზსადენის მშენებლობა/რეაბილიტაცია (P.6.648)"/>
    <x v="8"/>
    <n v="5560000"/>
    <n v="2"/>
    <n v="6330000"/>
    <m/>
    <n v="4830000"/>
    <n v="730000"/>
    <n v="1500000"/>
    <m/>
    <n v="730000"/>
    <n v="1"/>
    <m/>
    <s v="P.6.648"/>
    <n v="6330000"/>
    <n v="736779.48"/>
    <n v="3000000"/>
    <m/>
    <n v="1330000"/>
    <n v="457627.12"/>
    <n v="500000"/>
    <m/>
    <m/>
    <n v="279152.36"/>
    <n v="1500000"/>
    <m/>
    <m/>
    <m/>
    <m/>
    <m/>
    <m/>
    <m/>
    <m/>
    <m/>
    <m/>
    <m/>
    <m/>
    <m/>
    <m/>
    <m/>
    <m/>
    <n v="0"/>
    <n v="0"/>
    <n v="0"/>
    <n v="0"/>
    <n v="0"/>
    <n v="0"/>
    <m/>
    <m/>
    <m/>
    <m/>
    <n v="4093220.5199999996"/>
    <n v="136347.63"/>
    <m/>
    <m/>
    <s v="Реаб."/>
    <m/>
    <n v="0"/>
    <s v="Сакорггаз"/>
    <d v="2024-01-16T00:00:00"/>
    <s v="BCG-240116-1/0(1)"/>
    <m/>
    <m/>
    <s v="Yes"/>
  </r>
  <r>
    <n v="2052"/>
    <s v="Имерети"/>
    <s v="Вани"/>
    <s v="(2) სოფ. ზედა მუქედის (P.6.658) და (3) ქვედა მუქედის (P.6.659) გაზსადენების მშენებლობა/რეაბილიტაცია."/>
    <x v="8"/>
    <n v="1340000"/>
    <n v="2"/>
    <n v="1602000"/>
    <m/>
    <n v="1602000.004"/>
    <n v="-262000.00399999996"/>
    <n v="-3.9999999571591616E-3"/>
    <m/>
    <n v="-262000.00399999996"/>
    <n v="1"/>
    <m/>
    <s v="P.6.658 დაემატა P.6.659-ი"/>
    <n v="800000"/>
    <n v="244067.72"/>
    <n v="800000"/>
    <m/>
    <m/>
    <n v="122033.9"/>
    <m/>
    <m/>
    <m/>
    <n v="122033.82"/>
    <m/>
    <m/>
    <m/>
    <m/>
    <m/>
    <m/>
    <m/>
    <m/>
    <m/>
    <m/>
    <m/>
    <m/>
    <m/>
    <m/>
    <m/>
    <m/>
    <m/>
    <n v="0"/>
    <n v="0"/>
    <n v="0"/>
    <n v="0"/>
    <n v="0"/>
    <n v="0"/>
    <n v="677966.1"/>
    <n v="13782.21"/>
    <m/>
    <m/>
    <n v="679661.1"/>
    <n v="44551.9"/>
    <m/>
    <m/>
    <s v="Реаб."/>
    <m/>
    <n v="70"/>
    <s v="Сакорггаз"/>
    <d v="2024-01-16T00:00:00"/>
    <s v="BCG-240116-1/0(2)(3)"/>
    <m/>
    <m/>
    <s v="Yes"/>
  </r>
  <r>
    <n v="2053"/>
    <s v="Имерети"/>
    <s v="Вани"/>
    <s v="(3) სოფ. ქვედა მუქედი. გაზსადენის რეაბილიტაცია (P.6.659)"/>
    <x v="8"/>
    <n v="0"/>
    <s v="ამოსაღებია, ჩაბარდა ზედა მუქედთან ერთად"/>
    <m/>
    <m/>
    <m/>
    <n v="0"/>
    <n v="0"/>
    <m/>
    <n v="0"/>
    <n v="1"/>
    <m/>
    <s v="P.6.659 დაემატა P.6.658-ს"/>
    <n v="0"/>
    <n v="0"/>
    <m/>
    <m/>
    <m/>
    <m/>
    <m/>
    <m/>
    <m/>
    <m/>
    <m/>
    <m/>
    <m/>
    <m/>
    <m/>
    <m/>
    <m/>
    <m/>
    <m/>
    <m/>
    <m/>
    <m/>
    <m/>
    <m/>
    <m/>
    <m/>
    <m/>
    <n v="0"/>
    <n v="0"/>
    <n v="0"/>
    <n v="0"/>
    <n v="0"/>
    <n v="0"/>
    <m/>
    <m/>
    <m/>
    <m/>
    <m/>
    <m/>
    <m/>
    <m/>
    <s v="Реаб."/>
    <m/>
    <n v="0"/>
    <s v="Сакорггаз"/>
    <d v="2024-01-16T00:00:00"/>
    <s v="BCG-240116-1/0(3)"/>
    <m/>
    <m/>
    <s v="Yes"/>
  </r>
  <r>
    <n v="2054"/>
    <s v="Квемо Картли"/>
    <s v="Рустави"/>
    <s v="(1) დამატებითი გაზმომარაგების ხაზის მშენებლობა სოფ. გამარჯვებიდან მე - 8 მკრ-მდე P.2.750"/>
    <x v="13"/>
    <n v="2300000"/>
    <m/>
    <m/>
    <m/>
    <m/>
    <n v="2300000"/>
    <n v="0"/>
    <m/>
    <n v="2300000"/>
    <n v="1"/>
    <m/>
    <s v="P.2.750"/>
    <n v="0"/>
    <n v="0"/>
    <m/>
    <m/>
    <m/>
    <m/>
    <m/>
    <m/>
    <m/>
    <m/>
    <m/>
    <m/>
    <m/>
    <m/>
    <m/>
    <m/>
    <m/>
    <m/>
    <m/>
    <m/>
    <m/>
    <m/>
    <m/>
    <m/>
    <m/>
    <m/>
    <m/>
    <n v="0"/>
    <n v="0"/>
    <n v="0"/>
    <n v="0"/>
    <n v="0"/>
    <n v="0"/>
    <m/>
    <m/>
    <m/>
    <m/>
    <m/>
    <m/>
    <m/>
    <m/>
    <s v="Реаб."/>
    <m/>
    <n v="0"/>
    <s v="Сакорггаз"/>
    <d v="2024-01-15T00:00:00"/>
    <s v="BCG-240115-1/0(1)"/>
    <m/>
    <m/>
    <s v="Yes"/>
  </r>
  <r>
    <n v="2055"/>
    <s v="Шида Картли"/>
    <s v="Карели"/>
    <s v="(1) ქ. ქარელში (ფანასკერტელის, ვაჟა ფშაველას, მუსხელიშვილის, თბილისის, აბაშიშვილის, მარჯანიშვილის, ახალგაზრდობის, ნონეშვილის სტალინის, თამარ მეფის, ჭავჭავაძის, წერეთლის, კეცხოველის, ავთანდილაშვილის, 9 აპრილის, ბახტრიონის ქ. ქარელში მე2ე და მე4ე საუბნო კვანძებზე არსებული) ქუჩების საჰაერო გაზსადენის შეცვლა (P.3.502)"/>
    <x v="13"/>
    <n v="1700000"/>
    <n v="2"/>
    <n v="500000"/>
    <m/>
    <n v="499999.99599999998"/>
    <n v="1200000.004"/>
    <n v="4.0000000153668225E-3"/>
    <m/>
    <n v="1200000.004"/>
    <n v="1"/>
    <m/>
    <s v="P.3.502 (P.3.503)"/>
    <n v="0"/>
    <n v="0"/>
    <m/>
    <m/>
    <m/>
    <m/>
    <m/>
    <m/>
    <m/>
    <m/>
    <m/>
    <m/>
    <m/>
    <m/>
    <m/>
    <m/>
    <m/>
    <m/>
    <m/>
    <m/>
    <m/>
    <m/>
    <m/>
    <m/>
    <m/>
    <m/>
    <m/>
    <n v="0"/>
    <n v="0"/>
    <n v="0"/>
    <n v="0"/>
    <n v="0"/>
    <n v="0"/>
    <n v="423728.81"/>
    <m/>
    <m/>
    <m/>
    <m/>
    <m/>
    <m/>
    <m/>
    <s v="Реаб."/>
    <m/>
    <n v="30"/>
    <s v="SGG"/>
    <d v="2024-01-15T00:00:00"/>
    <s v="BSG-240115-1/0(1)"/>
    <m/>
    <m/>
    <s v="Yes"/>
  </r>
  <r>
    <n v="2056"/>
    <s v="Мцхета-Мтианети"/>
    <s v="Мцхета"/>
    <s v="(2) მუხრანის გრს-დან N 37 საუბნომდე ცენტრალური გაზსადენის რეაბილიტაცია (P.3.955)"/>
    <x v="13"/>
    <n v="1500000"/>
    <n v="2"/>
    <n v="3271405.57"/>
    <m/>
    <n v="3143095.76"/>
    <n v="-1643095.7599999998"/>
    <n v="128309.81000000006"/>
    <n v="15491"/>
    <n v="128309.81000000006"/>
    <n v="1"/>
    <m/>
    <s v="P.3.955"/>
    <n v="2971405.57"/>
    <n v="453265.26"/>
    <n v="500000"/>
    <m/>
    <n v="1360000"/>
    <n v="76271.19"/>
    <n v="960000"/>
    <n v="207457.63"/>
    <n v="151405.57"/>
    <n v="146440.68"/>
    <m/>
    <n v="23095.759999999998"/>
    <m/>
    <m/>
    <m/>
    <m/>
    <m/>
    <m/>
    <m/>
    <m/>
    <m/>
    <m/>
    <m/>
    <m/>
    <m/>
    <m/>
    <m/>
    <n v="0"/>
    <n v="0"/>
    <n v="0"/>
    <n v="0"/>
    <n v="0"/>
    <n v="0"/>
    <n v="254237.29"/>
    <n v="16797.07"/>
    <m/>
    <m/>
    <n v="2389830.5"/>
    <n v="147436.03"/>
    <m/>
    <m/>
    <s v="Реаб."/>
    <d v="2025-04-28T00:00:00"/>
    <s v="Принят"/>
    <s v="SGG"/>
    <d v="2024-01-15T00:00:00"/>
    <s v="BSG-240115-1/0(2)"/>
    <m/>
    <m/>
    <s v="Yes"/>
  </r>
  <r>
    <n v="2057"/>
    <s v="Самегрело"/>
    <s v="Хоби"/>
    <s v="(3) ხობი, ლითონის D=500 მმ გაზსადენის რეაბილიტაცია (P.4.3)"/>
    <x v="13"/>
    <n v="450000"/>
    <n v="2"/>
    <n v="619091.15"/>
    <n v="619091.15"/>
    <n v="619091.15"/>
    <n v="-169091.15000000002"/>
    <n v="0"/>
    <n v="1814.5"/>
    <n v="0"/>
    <n v="0"/>
    <m/>
    <s v="P.4.3"/>
    <n v="0"/>
    <n v="0"/>
    <m/>
    <m/>
    <m/>
    <m/>
    <m/>
    <m/>
    <m/>
    <m/>
    <m/>
    <m/>
    <m/>
    <m/>
    <m/>
    <m/>
    <m/>
    <m/>
    <m/>
    <m/>
    <m/>
    <m/>
    <m/>
    <m/>
    <m/>
    <m/>
    <m/>
    <n v="0"/>
    <n v="0"/>
    <n v="0"/>
    <n v="0"/>
    <n v="0"/>
    <n v="0"/>
    <n v="423728.82"/>
    <n v="40846.79"/>
    <n v="20338.983050847462"/>
    <n v="28041.689644067803"/>
    <m/>
    <m/>
    <m/>
    <m/>
    <s v="Реаб."/>
    <d v="2024-10-15T00:00:00"/>
    <s v="Принят"/>
    <s v="SGG"/>
    <d v="2024-01-15T00:00:00"/>
    <s v="BSG-240115-1/0(3)"/>
    <m/>
    <m/>
    <s v="Yes"/>
  </r>
  <r>
    <n v="2058"/>
    <s v="Имерети"/>
    <s v="Зестафони"/>
    <s v="(1) სოფ. არგვეთის დაბალი წნევის გაზსადენის რეაბილიტაცია (P.6.19)"/>
    <x v="6"/>
    <n v="1700000"/>
    <n v="2"/>
    <n v="2139393.7800000003"/>
    <m/>
    <n v="1977195.375"/>
    <n v="-277195.375"/>
    <n v="162198.40500000026"/>
    <n v="28104"/>
    <n v="162198.40500000026"/>
    <n v="1"/>
    <m/>
    <s v="P.6.19"/>
    <n v="809393.78"/>
    <n v="123466.85"/>
    <n v="300000"/>
    <m/>
    <m/>
    <n v="45762.71"/>
    <n v="400000"/>
    <m/>
    <n v="109393.78"/>
    <n v="61016.95"/>
    <m/>
    <n v="16687.189999999999"/>
    <m/>
    <m/>
    <m/>
    <m/>
    <m/>
    <m/>
    <m/>
    <m/>
    <m/>
    <m/>
    <m/>
    <m/>
    <m/>
    <m/>
    <m/>
    <n v="0"/>
    <n v="0"/>
    <n v="0"/>
    <n v="0"/>
    <n v="0"/>
    <n v="0"/>
    <n v="1057626.83"/>
    <n v="88419.67"/>
    <m/>
    <m/>
    <n v="593220.34"/>
    <m/>
    <m/>
    <m/>
    <s v="Реаб."/>
    <d v="2025-04-28T00:00:00"/>
    <s v="Принят"/>
    <s v="SGG"/>
    <d v="2024-01-17T00:00:00"/>
    <s v="BSG-240117-1/0(1)"/>
    <m/>
    <m/>
    <s v="No"/>
  </r>
  <r>
    <n v="2059"/>
    <s v="Мцхета-Мтианети"/>
    <s v="Мцхета"/>
    <s v="(2) სოფ. ძველი ქანდა არსებული დაბალი წნევის გაზსადენის რეაბილიტაცია (P.3.166)"/>
    <x v="6"/>
    <n v="1700000"/>
    <n v="2"/>
    <n v="565000"/>
    <m/>
    <n v="565000"/>
    <n v="1135000"/>
    <n v="0"/>
    <m/>
    <n v="1135000"/>
    <n v="1"/>
    <m/>
    <s v="P.3.166"/>
    <n v="215000"/>
    <n v="32796.61"/>
    <m/>
    <m/>
    <n v="215000"/>
    <m/>
    <m/>
    <n v="32796.61"/>
    <m/>
    <m/>
    <m/>
    <m/>
    <m/>
    <m/>
    <m/>
    <m/>
    <m/>
    <m/>
    <m/>
    <m/>
    <m/>
    <m/>
    <m/>
    <m/>
    <m/>
    <m/>
    <m/>
    <n v="0"/>
    <n v="0"/>
    <n v="0"/>
    <n v="0"/>
    <n v="0"/>
    <n v="0"/>
    <n v="296610.17"/>
    <m/>
    <m/>
    <m/>
    <n v="182203.39"/>
    <m/>
    <m/>
    <m/>
    <s v="Реаб."/>
    <m/>
    <n v="30"/>
    <s v="SGG"/>
    <d v="2024-01-17T00:00:00"/>
    <s v="BSG-240117-1/0(2)"/>
    <m/>
    <m/>
    <s v="No"/>
  </r>
  <r>
    <n v="2060"/>
    <m/>
    <m/>
    <m/>
    <x v="16"/>
    <n v="0"/>
    <m/>
    <m/>
    <m/>
    <n v="0"/>
    <n v="0"/>
    <n v="0"/>
    <m/>
    <n v="0"/>
    <m/>
    <m/>
    <m/>
    <n v="0"/>
    <n v="0"/>
    <m/>
    <m/>
    <m/>
    <m/>
    <m/>
    <m/>
    <m/>
    <m/>
    <m/>
    <m/>
    <m/>
    <m/>
    <m/>
    <m/>
    <m/>
    <m/>
    <m/>
    <m/>
    <m/>
    <m/>
    <m/>
    <m/>
    <m/>
    <m/>
    <m/>
    <n v="0"/>
    <n v="0"/>
    <n v="0"/>
    <n v="0"/>
    <n v="0"/>
    <n v="0"/>
    <m/>
    <m/>
    <m/>
    <m/>
    <m/>
    <m/>
    <m/>
    <m/>
    <m/>
    <m/>
    <m/>
    <m/>
    <m/>
    <m/>
    <m/>
    <m/>
    <m/>
  </r>
  <r>
    <n v="2061"/>
    <s v="Гурия"/>
    <s v="Озургети"/>
    <s v="(1) სოფ. დვაბზუს ქსელის რეაბილიტაცია (P.4.519)"/>
    <x v="3"/>
    <n v="1560000"/>
    <n v="2"/>
    <m/>
    <m/>
    <m/>
    <n v="1560000"/>
    <n v="0"/>
    <m/>
    <n v="1560000"/>
    <n v="1"/>
    <m/>
    <s v="P.4.519"/>
    <n v="0"/>
    <n v="0"/>
    <m/>
    <m/>
    <m/>
    <m/>
    <m/>
    <m/>
    <m/>
    <m/>
    <m/>
    <m/>
    <m/>
    <m/>
    <m/>
    <m/>
    <m/>
    <m/>
    <m/>
    <m/>
    <m/>
    <m/>
    <m/>
    <m/>
    <m/>
    <m/>
    <m/>
    <n v="0"/>
    <n v="0"/>
    <n v="0"/>
    <n v="0"/>
    <n v="0"/>
    <n v="0"/>
    <m/>
    <m/>
    <m/>
    <m/>
    <m/>
    <m/>
    <m/>
    <m/>
    <s v="Реаб."/>
    <m/>
    <n v="0"/>
    <s v="SGG"/>
    <d v="2024-01-11T00:00:00"/>
    <s v="BSG-240111-1/0(1)"/>
    <m/>
    <m/>
    <s v="Yes"/>
  </r>
  <r>
    <n v="2062"/>
    <s v="Аджара"/>
    <s v="Хелвачаури"/>
    <s v="(2) გაზსადენის მშენებლობა, ადლია, ანგისას დასახლებაში უსაფრთხო უწყვეტი მიწოდებისთვის (P.5.549)"/>
    <x v="3"/>
    <n v="880000"/>
    <n v="2"/>
    <m/>
    <m/>
    <m/>
    <n v="880000"/>
    <n v="0"/>
    <m/>
    <n v="880000"/>
    <n v="1"/>
    <m/>
    <s v="P.5.549"/>
    <n v="0"/>
    <n v="0"/>
    <m/>
    <m/>
    <m/>
    <m/>
    <m/>
    <m/>
    <m/>
    <m/>
    <m/>
    <m/>
    <m/>
    <m/>
    <m/>
    <m/>
    <m/>
    <m/>
    <m/>
    <m/>
    <m/>
    <m/>
    <m/>
    <m/>
    <m/>
    <m/>
    <m/>
    <n v="0"/>
    <n v="0"/>
    <n v="0"/>
    <n v="0"/>
    <n v="0"/>
    <n v="0"/>
    <m/>
    <m/>
    <m/>
    <m/>
    <m/>
    <m/>
    <m/>
    <m/>
    <s v="Н. Стр."/>
    <m/>
    <n v="0"/>
    <s v="SGG"/>
    <d v="2024-01-11T00:00:00"/>
    <s v="BSG-240111-1/0(2)"/>
    <m/>
    <m/>
    <s v="Yes"/>
  </r>
  <r>
    <n v="2063"/>
    <s v="Аджара"/>
    <s v="Батуми"/>
    <s v="(3) ბათუმი, 099-საუბნოზე მრიცხველების გამოტანა 250-აბონენტიდან (P.5.52)"/>
    <x v="3"/>
    <n v="520000"/>
    <n v="2"/>
    <n v="450000"/>
    <m/>
    <n v="257627.12"/>
    <n v="262372.88"/>
    <n v="192372.88"/>
    <m/>
    <n v="262372.88"/>
    <n v="1"/>
    <m/>
    <s v="P.5.52"/>
    <n v="300000"/>
    <n v="45762.720000000001"/>
    <n v="50000"/>
    <m/>
    <n v="50000"/>
    <n v="7627.12"/>
    <n v="100000"/>
    <n v="7627.12"/>
    <n v="100000"/>
    <n v="15254.24"/>
    <m/>
    <n v="15254.24"/>
    <m/>
    <m/>
    <m/>
    <m/>
    <m/>
    <m/>
    <m/>
    <m/>
    <m/>
    <m/>
    <m/>
    <m/>
    <m/>
    <m/>
    <m/>
    <n v="0"/>
    <n v="0"/>
    <n v="0"/>
    <n v="0"/>
    <n v="0"/>
    <n v="0"/>
    <n v="127118.64"/>
    <m/>
    <m/>
    <m/>
    <n v="84745.76"/>
    <m/>
    <m/>
    <m/>
    <s v="Реаб."/>
    <m/>
    <n v="75"/>
    <s v="SGG"/>
    <d v="2024-01-11T00:00:00"/>
    <s v="BSG-240111-1/0(3)"/>
    <m/>
    <m/>
    <s v="Yes"/>
  </r>
  <r>
    <n v="2064"/>
    <s v="Гурия"/>
    <s v="Озургети"/>
    <s v="(4) ოზურგეთში მრიცხველების გამოტანა 85 ოჯახიდან (P.4.16)"/>
    <x v="3"/>
    <n v="230000"/>
    <n v="2"/>
    <m/>
    <m/>
    <m/>
    <n v="230000"/>
    <n v="0"/>
    <m/>
    <n v="230000"/>
    <n v="1"/>
    <m/>
    <s v="P.4.16"/>
    <n v="0"/>
    <n v="0"/>
    <m/>
    <m/>
    <m/>
    <m/>
    <m/>
    <m/>
    <m/>
    <m/>
    <m/>
    <m/>
    <m/>
    <m/>
    <m/>
    <m/>
    <m/>
    <m/>
    <m/>
    <m/>
    <m/>
    <m/>
    <m/>
    <m/>
    <m/>
    <m/>
    <m/>
    <n v="0"/>
    <n v="0"/>
    <n v="0"/>
    <n v="0"/>
    <n v="0"/>
    <n v="0"/>
    <m/>
    <m/>
    <m/>
    <m/>
    <m/>
    <m/>
    <m/>
    <m/>
    <s v="Реаб."/>
    <m/>
    <n v="0"/>
    <s v="SGG"/>
    <d v="2024-01-11T00:00:00"/>
    <s v="BSG-240111-1/0(4)"/>
    <m/>
    <m/>
    <s v="Yes"/>
  </r>
  <r>
    <n v="2065"/>
    <s v="Аджара"/>
    <s v="Батуми"/>
    <s v="(5) ბათუმი, სოციალურ აბონენტებთან თერმოკორექტორის გარეშე არსებული მრიცხველების შეცვლა P.5.7 (1)"/>
    <x v="2"/>
    <n v="0"/>
    <n v="2"/>
    <m/>
    <m/>
    <m/>
    <n v="0"/>
    <n v="0"/>
    <m/>
    <n v="0"/>
    <n v="2"/>
    <m/>
    <s v="P.5.7 (1)"/>
    <n v="0"/>
    <n v="0"/>
    <m/>
    <m/>
    <m/>
    <m/>
    <m/>
    <m/>
    <m/>
    <m/>
    <m/>
    <m/>
    <m/>
    <m/>
    <m/>
    <m/>
    <m/>
    <m/>
    <m/>
    <m/>
    <m/>
    <m/>
    <m/>
    <m/>
    <m/>
    <m/>
    <m/>
    <n v="0"/>
    <n v="0"/>
    <n v="0"/>
    <n v="0"/>
    <n v="0"/>
    <n v="0"/>
    <m/>
    <m/>
    <m/>
    <m/>
    <m/>
    <m/>
    <m/>
    <m/>
    <s v="Проектирование"/>
    <m/>
    <n v="0"/>
    <s v="SGG"/>
    <d v="2024-01-11T00:00:00"/>
    <s v="BSG-240111-1/0(5)"/>
    <m/>
    <m/>
    <s v="No"/>
  </r>
  <r>
    <n v="2066"/>
    <s v="Аджара"/>
    <s v="Батуми"/>
    <s v="(6) ბათუმი, სოციალურ აბონენტებთან თერმოკორექტორის გარეშე არსებული მრიცხველების შეცვლა P.5.7 (1)"/>
    <x v="3"/>
    <n v="220000"/>
    <n v="2"/>
    <m/>
    <m/>
    <m/>
    <n v="220000"/>
    <n v="0"/>
    <m/>
    <n v="220000"/>
    <n v="1"/>
    <m/>
    <s v="P.5.7 (1)"/>
    <n v="0"/>
    <n v="0"/>
    <m/>
    <m/>
    <m/>
    <m/>
    <m/>
    <m/>
    <m/>
    <m/>
    <m/>
    <m/>
    <m/>
    <m/>
    <m/>
    <m/>
    <m/>
    <m/>
    <m/>
    <m/>
    <m/>
    <m/>
    <m/>
    <m/>
    <m/>
    <m/>
    <m/>
    <n v="0"/>
    <n v="0"/>
    <n v="0"/>
    <n v="0"/>
    <n v="0"/>
    <n v="0"/>
    <m/>
    <m/>
    <m/>
    <m/>
    <m/>
    <m/>
    <m/>
    <m/>
    <s v="Реаб."/>
    <m/>
    <n v="0"/>
    <s v="SGG"/>
    <d v="2024-01-11T00:00:00"/>
    <s v="BSG-240111-1/0(6)"/>
    <m/>
    <m/>
    <s v="Yes"/>
  </r>
  <r>
    <n v="2067"/>
    <s v="Аджара"/>
    <s v="Батуми"/>
    <s v="(7) ბათუმი, სერნი ვანები №208-საუბნოზე მრიცხველების გამოტანა 25-აბონენტიდან P.5.55"/>
    <x v="2"/>
    <n v="1522.5"/>
    <n v="2"/>
    <n v="1522.5"/>
    <m/>
    <n v="1522.5"/>
    <n v="0"/>
    <n v="0"/>
    <m/>
    <n v="0"/>
    <n v="0"/>
    <m/>
    <s v="P.5.55"/>
    <n v="0"/>
    <n v="0"/>
    <m/>
    <m/>
    <m/>
    <m/>
    <m/>
    <m/>
    <m/>
    <m/>
    <m/>
    <m/>
    <m/>
    <m/>
    <m/>
    <m/>
    <m/>
    <m/>
    <m/>
    <m/>
    <m/>
    <m/>
    <m/>
    <m/>
    <m/>
    <m/>
    <m/>
    <n v="0"/>
    <n v="0"/>
    <n v="0"/>
    <n v="0"/>
    <n v="0"/>
    <n v="0"/>
    <m/>
    <m/>
    <m/>
    <m/>
    <m/>
    <m/>
    <m/>
    <m/>
    <s v="Проектирование"/>
    <d v="2024-10-25T00:00:00"/>
    <s v="ПриПро"/>
    <s v="SGG"/>
    <d v="2024-01-11T00:00:00"/>
    <s v="BSG-240111-1/0(7)"/>
    <m/>
    <m/>
    <s v="No"/>
  </r>
  <r>
    <n v="2068"/>
    <s v="Аджара"/>
    <s v="Батуми"/>
    <s v="(8) ბათუმი, სერნი ვანები №208-საუბნოზე მრიცხველების გამოტანა 25-აბონენტიდან P.5.55"/>
    <x v="3"/>
    <n v="170000"/>
    <n v="2"/>
    <m/>
    <m/>
    <m/>
    <n v="170000"/>
    <n v="0"/>
    <m/>
    <n v="170000"/>
    <n v="1"/>
    <m/>
    <s v="P.5.55"/>
    <n v="0"/>
    <n v="0"/>
    <m/>
    <m/>
    <m/>
    <m/>
    <m/>
    <m/>
    <m/>
    <m/>
    <m/>
    <m/>
    <m/>
    <m/>
    <m/>
    <m/>
    <m/>
    <m/>
    <m/>
    <m/>
    <m/>
    <m/>
    <m/>
    <m/>
    <m/>
    <m/>
    <m/>
    <n v="0"/>
    <n v="0"/>
    <n v="0"/>
    <n v="0"/>
    <n v="0"/>
    <n v="0"/>
    <m/>
    <m/>
    <m/>
    <m/>
    <m/>
    <m/>
    <m/>
    <m/>
    <s v="Реаб."/>
    <m/>
    <n v="0"/>
    <s v="SGG"/>
    <d v="2024-01-11T00:00:00"/>
    <s v="BSG-240111-1/0(8)"/>
    <m/>
    <m/>
    <s v="Yes"/>
  </r>
  <r>
    <n v="2069"/>
    <s v="Аджара"/>
    <s v="Батуми"/>
    <s v="(9) ბათუმი, სოფელი ჩელტა, მრიცხველების გამოტანა 175 აბონენტიდან P.5.57"/>
    <x v="2"/>
    <n v="2590"/>
    <n v="2"/>
    <n v="2590"/>
    <m/>
    <n v="2590"/>
    <n v="0"/>
    <n v="0"/>
    <m/>
    <n v="0"/>
    <n v="0"/>
    <m/>
    <s v="P.5.57"/>
    <n v="0"/>
    <n v="0"/>
    <m/>
    <m/>
    <m/>
    <m/>
    <m/>
    <m/>
    <m/>
    <m/>
    <m/>
    <m/>
    <m/>
    <m/>
    <m/>
    <m/>
    <m/>
    <m/>
    <m/>
    <m/>
    <m/>
    <m/>
    <m/>
    <m/>
    <m/>
    <m/>
    <m/>
    <n v="0"/>
    <n v="0"/>
    <n v="0"/>
    <n v="0"/>
    <n v="0"/>
    <n v="0"/>
    <m/>
    <m/>
    <m/>
    <m/>
    <m/>
    <m/>
    <m/>
    <m/>
    <s v="Проектирование"/>
    <d v="2024-10-25T00:00:00"/>
    <s v="ПриПро"/>
    <s v="SGG"/>
    <d v="2024-01-11T00:00:00"/>
    <s v="BSG-240111-1/0(9)"/>
    <m/>
    <m/>
    <s v="No"/>
  </r>
  <r>
    <n v="2070"/>
    <s v="Аджара"/>
    <s v="Батуми"/>
    <s v="(10) ბათუმი, სოფელი ჩელტა, მრიცხველების გამოტანა 175 აბონენტიდან P.5.57"/>
    <x v="3"/>
    <n v="160000"/>
    <n v="2"/>
    <m/>
    <m/>
    <m/>
    <n v="160000"/>
    <n v="0"/>
    <m/>
    <n v="160000"/>
    <n v="1"/>
    <m/>
    <s v="P.5.57"/>
    <n v="0"/>
    <n v="0"/>
    <m/>
    <m/>
    <m/>
    <m/>
    <m/>
    <m/>
    <m/>
    <m/>
    <m/>
    <m/>
    <m/>
    <m/>
    <m/>
    <m/>
    <m/>
    <m/>
    <m/>
    <m/>
    <m/>
    <m/>
    <m/>
    <m/>
    <m/>
    <m/>
    <m/>
    <n v="0"/>
    <n v="0"/>
    <n v="0"/>
    <n v="0"/>
    <n v="0"/>
    <n v="0"/>
    <m/>
    <m/>
    <m/>
    <m/>
    <m/>
    <m/>
    <m/>
    <m/>
    <s v="Реаб."/>
    <m/>
    <n v="0"/>
    <s v="SGG"/>
    <d v="2024-01-11T00:00:00"/>
    <s v="BSG-240111-1/0(10)"/>
    <m/>
    <m/>
    <s v="Yes"/>
  </r>
  <r>
    <n v="2071"/>
    <s v="Аджара"/>
    <s v="Батуми"/>
    <s v="(11) ბათუმი, მახინჯაური №30-საუბნოზე მრიცხველების გამოტანა 42-აბონენტიდან P.5.54"/>
    <x v="2"/>
    <n v="728"/>
    <n v="2"/>
    <n v="728"/>
    <m/>
    <n v="728"/>
    <n v="0"/>
    <n v="0"/>
    <m/>
    <n v="0"/>
    <n v="0"/>
    <m/>
    <s v="P.5.54"/>
    <n v="0"/>
    <n v="0"/>
    <m/>
    <m/>
    <m/>
    <m/>
    <m/>
    <m/>
    <m/>
    <m/>
    <m/>
    <m/>
    <m/>
    <m/>
    <m/>
    <m/>
    <m/>
    <m/>
    <m/>
    <m/>
    <m/>
    <m/>
    <m/>
    <m/>
    <m/>
    <m/>
    <m/>
    <n v="0"/>
    <n v="0"/>
    <n v="0"/>
    <n v="0"/>
    <n v="0"/>
    <n v="0"/>
    <m/>
    <m/>
    <m/>
    <m/>
    <m/>
    <m/>
    <m/>
    <m/>
    <s v="Проектирование"/>
    <d v="2024-11-30T00:00:00"/>
    <s v="ПриПро"/>
    <s v="SGG"/>
    <d v="2024-01-11T00:00:00"/>
    <s v="BSG-240111-1/0(11)"/>
    <m/>
    <m/>
    <s v="No"/>
  </r>
  <r>
    <n v="2072"/>
    <s v="Аджара"/>
    <s v="Батуми"/>
    <s v="(12) ბათუმი, მახინჯაური №30-საუბნოზე მრიცხველების გამოტანა 42-აბონენტიდან P.5.54"/>
    <x v="3"/>
    <n v="140000"/>
    <n v="2"/>
    <m/>
    <m/>
    <m/>
    <n v="140000"/>
    <n v="0"/>
    <m/>
    <n v="140000"/>
    <n v="1"/>
    <m/>
    <s v="P.5.54"/>
    <n v="0"/>
    <n v="0"/>
    <m/>
    <m/>
    <m/>
    <m/>
    <m/>
    <m/>
    <m/>
    <m/>
    <m/>
    <m/>
    <m/>
    <m/>
    <m/>
    <m/>
    <m/>
    <m/>
    <m/>
    <m/>
    <m/>
    <m/>
    <m/>
    <m/>
    <m/>
    <m/>
    <m/>
    <n v="0"/>
    <n v="0"/>
    <n v="0"/>
    <n v="0"/>
    <n v="0"/>
    <n v="0"/>
    <m/>
    <m/>
    <m/>
    <m/>
    <m/>
    <m/>
    <m/>
    <m/>
    <s v="Реаб."/>
    <m/>
    <n v="0"/>
    <s v="SGG"/>
    <d v="2024-01-11T00:00:00"/>
    <s v="BSG-240111-1/0(12)"/>
    <m/>
    <m/>
    <s v="Yes"/>
  </r>
  <r>
    <n v="2073"/>
    <s v="Аджара"/>
    <s v="Батуми"/>
    <s v="(13) ბათუმი, ბარცხანაში 06-საუბნოზე მრიცხველების გამოტანა, 75 აბონენტიდან P.5.56"/>
    <x v="2"/>
    <n v="385"/>
    <n v="2"/>
    <n v="385"/>
    <m/>
    <n v="385"/>
    <n v="0"/>
    <n v="0"/>
    <m/>
    <n v="0"/>
    <n v="0"/>
    <m/>
    <s v="P.5.56"/>
    <n v="0"/>
    <n v="0"/>
    <m/>
    <m/>
    <m/>
    <m/>
    <m/>
    <m/>
    <m/>
    <m/>
    <m/>
    <m/>
    <m/>
    <m/>
    <m/>
    <m/>
    <m/>
    <m/>
    <m/>
    <m/>
    <m/>
    <m/>
    <m/>
    <m/>
    <m/>
    <m/>
    <m/>
    <n v="0"/>
    <n v="0"/>
    <n v="0"/>
    <n v="0"/>
    <n v="0"/>
    <n v="0"/>
    <m/>
    <m/>
    <m/>
    <m/>
    <m/>
    <m/>
    <m/>
    <m/>
    <s v="Проектирование"/>
    <d v="2024-11-30T00:00:00"/>
    <s v="ПриПро"/>
    <s v="SGG"/>
    <d v="2024-01-11T00:00:00"/>
    <s v="BSG-240111-1/0(13)"/>
    <m/>
    <m/>
    <s v="No"/>
  </r>
  <r>
    <n v="2074"/>
    <s v="Аджара"/>
    <s v="Батуми"/>
    <s v="(14) ბათუმი, ბარცხანაში 06-საუბნოზე მრიცხველების გამოტანა, 75 აბონენტიდან P.5.56"/>
    <x v="3"/>
    <n v="100000"/>
    <n v="2"/>
    <m/>
    <m/>
    <m/>
    <n v="100000"/>
    <n v="0"/>
    <m/>
    <n v="100000"/>
    <n v="1"/>
    <m/>
    <s v="P.5.56"/>
    <n v="0"/>
    <n v="0"/>
    <m/>
    <m/>
    <m/>
    <m/>
    <m/>
    <m/>
    <m/>
    <m/>
    <m/>
    <m/>
    <m/>
    <m/>
    <m/>
    <m/>
    <m/>
    <m/>
    <m/>
    <m/>
    <m/>
    <m/>
    <m/>
    <m/>
    <m/>
    <m/>
    <m/>
    <n v="0"/>
    <n v="0"/>
    <n v="0"/>
    <n v="0"/>
    <n v="0"/>
    <n v="0"/>
    <m/>
    <m/>
    <m/>
    <m/>
    <m/>
    <m/>
    <m/>
    <m/>
    <s v="Реаб."/>
    <m/>
    <n v="0"/>
    <s v="SGG"/>
    <d v="2024-01-11T00:00:00"/>
    <s v="BSG-240111-1/0(14)"/>
    <m/>
    <m/>
    <s v="Yes"/>
  </r>
  <r>
    <n v="2075"/>
    <s v="Гурия"/>
    <s v="Чохатаури"/>
    <s v="(15) ჩოხატაურში მრიცხველების გამოტანა 61 ოჯახიდან P.4.18"/>
    <x v="3"/>
    <n v="80000"/>
    <n v="2"/>
    <m/>
    <m/>
    <m/>
    <n v="80000"/>
    <n v="0"/>
    <m/>
    <n v="80000"/>
    <n v="1"/>
    <m/>
    <s v="P.4.18"/>
    <n v="0"/>
    <n v="0"/>
    <m/>
    <m/>
    <m/>
    <m/>
    <m/>
    <m/>
    <m/>
    <m/>
    <m/>
    <m/>
    <m/>
    <m/>
    <m/>
    <m/>
    <m/>
    <m/>
    <m/>
    <m/>
    <m/>
    <m/>
    <m/>
    <m/>
    <m/>
    <m/>
    <m/>
    <n v="0"/>
    <n v="0"/>
    <n v="0"/>
    <n v="0"/>
    <n v="0"/>
    <n v="0"/>
    <m/>
    <m/>
    <m/>
    <m/>
    <m/>
    <m/>
    <m/>
    <m/>
    <s v="Реаб."/>
    <m/>
    <n v="0"/>
    <s v="SGG"/>
    <d v="2024-01-11T00:00:00"/>
    <s v="BSG-240111-1/0(15)"/>
    <m/>
    <m/>
    <s v="Yes"/>
  </r>
  <r>
    <n v="2076"/>
    <s v="Гурия"/>
    <s v="Ланчхути"/>
    <s v="(16) გაზსადენის შეღებვა მარჯანიშვილის, თბილისის, ჭანტურიას, თავისუფლების, კოსტავას, მეგობრობის, ყაზბეგის, ჟორდანიას, გორგასლის, ნინოშვილის, გურამიშვილის, ზენაიშვილის, თამარ მეფის, მუსხელიშვილის, კუპრეიშვილის ქუჩებზე (P.4.531)"/>
    <x v="3"/>
    <n v="45000"/>
    <n v="2"/>
    <n v="66576"/>
    <n v="66576"/>
    <n v="66576"/>
    <n v="-21576"/>
    <n v="0"/>
    <n v="0"/>
    <n v="0"/>
    <n v="0"/>
    <m/>
    <s v="P.4.531"/>
    <n v="0"/>
    <n v="0"/>
    <m/>
    <m/>
    <m/>
    <m/>
    <m/>
    <m/>
    <m/>
    <m/>
    <m/>
    <m/>
    <m/>
    <m/>
    <m/>
    <m/>
    <m/>
    <m/>
    <m/>
    <m/>
    <m/>
    <m/>
    <m/>
    <m/>
    <m/>
    <m/>
    <m/>
    <n v="0"/>
    <n v="0"/>
    <n v="0"/>
    <n v="0"/>
    <n v="0"/>
    <n v="0"/>
    <n v="23728.81"/>
    <n v="1885.14"/>
    <n v="0"/>
    <n v="5453.5198983050859"/>
    <m/>
    <m/>
    <m/>
    <m/>
    <s v="Реаб."/>
    <d v="2024-11-26T00:00:00"/>
    <s v="Принят"/>
    <s v="SGG"/>
    <d v="2024-01-11T00:00:00"/>
    <s v="BSG-240111-1/0(16)"/>
    <m/>
    <m/>
    <s v="Yes"/>
  </r>
  <r>
    <n v="2077"/>
    <s v="Гурия"/>
    <s v="Ланчхути"/>
    <s v="(17) გაზსადენის შეღებვა სოფ. მაჩხვარეთში P.4.532"/>
    <x v="3"/>
    <n v="15000"/>
    <n v="2"/>
    <n v="31907"/>
    <n v="31907"/>
    <n v="31907"/>
    <n v="-16907"/>
    <n v="0"/>
    <n v="1E-3"/>
    <n v="0"/>
    <n v="0"/>
    <m/>
    <s v="P.4.532"/>
    <n v="0"/>
    <n v="0"/>
    <m/>
    <m/>
    <m/>
    <m/>
    <m/>
    <m/>
    <m/>
    <m/>
    <m/>
    <m/>
    <m/>
    <m/>
    <m/>
    <m/>
    <m/>
    <m/>
    <m/>
    <m/>
    <m/>
    <m/>
    <m/>
    <m/>
    <m/>
    <m/>
    <m/>
    <n v="0"/>
    <n v="0"/>
    <n v="0"/>
    <n v="0"/>
    <n v="0"/>
    <n v="0"/>
    <m/>
    <m/>
    <n v="0"/>
    <n v="2703.9830508474579"/>
    <m/>
    <m/>
    <m/>
    <m/>
    <s v="Реаб."/>
    <d v="2024-08-26T00:00:00"/>
    <s v="Принят"/>
    <s v="SGG"/>
    <d v="2024-01-11T00:00:00"/>
    <s v="BSG-240111-1/0(17)"/>
    <m/>
    <m/>
    <s v="Yes"/>
  </r>
  <r>
    <n v="2078"/>
    <s v="Шида Картли"/>
    <s v="Гори"/>
    <s v="(1) ორთაშენის გრს-დან შინდისის გზატკეცილამდე კერძო ტერიტორიებზე გამავალი გაზსადენის რეაბილიტაცია (P.3.198)"/>
    <x v="17"/>
    <n v="500000"/>
    <m/>
    <n v="415696.97"/>
    <n v="415696.97"/>
    <n v="415696.97"/>
    <n v="84303.030000000028"/>
    <n v="0"/>
    <n v="1210"/>
    <n v="0"/>
    <n v="0"/>
    <m/>
    <s v="P.3.198"/>
    <n v="0"/>
    <n v="0"/>
    <m/>
    <m/>
    <m/>
    <m/>
    <m/>
    <m/>
    <m/>
    <m/>
    <m/>
    <m/>
    <m/>
    <m/>
    <m/>
    <m/>
    <m/>
    <m/>
    <m/>
    <m/>
    <m/>
    <m/>
    <m/>
    <m/>
    <m/>
    <m/>
    <m/>
    <n v="0"/>
    <n v="0"/>
    <n v="0"/>
    <n v="0"/>
    <n v="0"/>
    <n v="0"/>
    <n v="347457.63"/>
    <n v="33255.75"/>
    <n v="0"/>
    <n v="31902.981779661019"/>
    <m/>
    <m/>
    <m/>
    <m/>
    <s v="Реаб."/>
    <d v="2024-09-26T00:00:00"/>
    <s v="Принят"/>
    <s v="Сакорггаз"/>
    <d v="2024-01-22T00:00:00"/>
    <s v="BCG-240122-1/0(1)"/>
    <m/>
    <m/>
    <s v="Yes"/>
  </r>
  <r>
    <n v="2079"/>
    <s v="Шида Картли"/>
    <s v="Каспи"/>
    <s v="(2) კოდისწყაროს გგს დან მინდვრებზე გამავალი დ100 მილიმეტრიანი კოროზირებული გაზსადენის ამოცვლა და გამდლისწყაროს მიმართულებით ქსელის გამსხვილება (P.3.853)"/>
    <x v="17"/>
    <n v="500000"/>
    <m/>
    <n v="381083.27"/>
    <n v="381083.27"/>
    <n v="381083.27"/>
    <n v="118916.72999999998"/>
    <n v="0"/>
    <n v="5542"/>
    <n v="0"/>
    <n v="0"/>
    <m/>
    <s v="P.3.853"/>
    <n v="0"/>
    <n v="0"/>
    <m/>
    <m/>
    <m/>
    <m/>
    <m/>
    <m/>
    <m/>
    <m/>
    <m/>
    <m/>
    <m/>
    <m/>
    <m/>
    <m/>
    <m/>
    <m/>
    <m/>
    <m/>
    <m/>
    <m/>
    <m/>
    <m/>
    <m/>
    <m/>
    <m/>
    <n v="0"/>
    <n v="0"/>
    <n v="0"/>
    <n v="0"/>
    <n v="0"/>
    <n v="0"/>
    <n v="177966.09"/>
    <n v="12037.9"/>
    <n v="0"/>
    <n v="31091.402372881359"/>
    <m/>
    <m/>
    <m/>
    <m/>
    <s v="Реаб."/>
    <d v="2024-12-17T00:00:00"/>
    <s v="Принят"/>
    <s v="Сакорггаз"/>
    <d v="2024-01-22T00:00:00"/>
    <s v="BCG-240122-1/0(2)"/>
    <m/>
    <m/>
    <s v="Yes"/>
  </r>
  <r>
    <n v="2080"/>
    <s v="Шида Картли"/>
    <s v="Гори"/>
    <s v="(3) სოფელ ნაწრეტში მკვებავი გაზსადენის გამოტანა-რეაბილიტაცია (P.3.735)"/>
    <x v="17"/>
    <n v="400000"/>
    <m/>
    <n v="789000"/>
    <m/>
    <n v="773745.69099999988"/>
    <n v="-373745.69099999988"/>
    <n v="15254.309000000125"/>
    <n v="8653"/>
    <n v="-373745.69099999988"/>
    <n v="1"/>
    <m/>
    <s v="P.3.735"/>
    <n v="144000"/>
    <n v="38745.760000000002"/>
    <n v="100000"/>
    <n v="16779.66"/>
    <m/>
    <n v="15254.24"/>
    <n v="44000"/>
    <m/>
    <m/>
    <n v="6711.86"/>
    <m/>
    <m/>
    <m/>
    <m/>
    <m/>
    <m/>
    <m/>
    <m/>
    <m/>
    <m/>
    <m/>
    <m/>
    <m/>
    <m/>
    <m/>
    <m/>
    <m/>
    <n v="0"/>
    <n v="0"/>
    <n v="0"/>
    <n v="0"/>
    <n v="0"/>
    <n v="0"/>
    <n v="452542.30999999994"/>
    <n v="28255.079999999998"/>
    <m/>
    <m/>
    <n v="216101.69"/>
    <n v="21276.989999999998"/>
    <m/>
    <m/>
    <s v="Реаб."/>
    <m/>
    <n v="80"/>
    <s v="Сакорггаз"/>
    <d v="2024-01-22T00:00:00"/>
    <s v="BCG-240122-1/0(3)"/>
    <m/>
    <m/>
    <s v="Yes"/>
  </r>
  <r>
    <n v="2081"/>
    <s v="Шида Картли"/>
    <s v="Гори"/>
    <s v="(4) სოფ. ქიწნისი გაზსადენის რეაბილიტაცია (P.3.962)"/>
    <x v="17"/>
    <n v="300000"/>
    <m/>
    <n v="76000"/>
    <m/>
    <n v="76000"/>
    <n v="224000"/>
    <n v="0"/>
    <m/>
    <n v="224000"/>
    <n v="1"/>
    <m/>
    <s v="P.3.962"/>
    <n v="76000"/>
    <n v="11593.22"/>
    <m/>
    <m/>
    <n v="76000"/>
    <m/>
    <m/>
    <n v="11593.22"/>
    <m/>
    <m/>
    <m/>
    <m/>
    <m/>
    <m/>
    <m/>
    <m/>
    <m/>
    <m/>
    <m/>
    <m/>
    <m/>
    <m/>
    <m/>
    <m/>
    <m/>
    <m/>
    <m/>
    <n v="0"/>
    <n v="0"/>
    <n v="0"/>
    <n v="0"/>
    <n v="0"/>
    <n v="0"/>
    <m/>
    <m/>
    <m/>
    <m/>
    <n v="64406.78"/>
    <m/>
    <m/>
    <m/>
    <s v="Реаб."/>
    <m/>
    <n v="50"/>
    <s v="Сакорггаз"/>
    <d v="2024-01-22T00:00:00"/>
    <s v="BCG-240122-1/0(4)"/>
    <m/>
    <m/>
    <s v="Yes"/>
  </r>
  <r>
    <n v="2082"/>
    <s v="Кахети"/>
    <s v="Ахмета"/>
    <s v="(1) #999 გერეესიდან ზ. ალვნამდე არსებული ქსელის რეაბილიტაცია P.2.525"/>
    <x v="17"/>
    <n v="1900000"/>
    <m/>
    <n v="1636723.67"/>
    <n v="1636723.67"/>
    <n v="1636723.6739999999"/>
    <n v="263276.32600000012"/>
    <n v="-3.9999999571591616E-3"/>
    <n v="8608"/>
    <n v="-3.9999999571591616E-3"/>
    <n v="0"/>
    <m/>
    <s v="P.2.525"/>
    <n v="0"/>
    <n v="0"/>
    <m/>
    <m/>
    <m/>
    <m/>
    <m/>
    <m/>
    <m/>
    <m/>
    <m/>
    <m/>
    <m/>
    <m/>
    <m/>
    <m/>
    <m/>
    <m/>
    <m/>
    <m/>
    <m/>
    <m/>
    <m/>
    <m/>
    <m/>
    <m/>
    <m/>
    <n v="0"/>
    <n v="0"/>
    <n v="0"/>
    <n v="0"/>
    <n v="0"/>
    <n v="0"/>
    <n v="1355932.21"/>
    <n v="126501.05000000002"/>
    <n v="0"/>
    <n v="126055.29076271185"/>
    <m/>
    <m/>
    <m/>
    <m/>
    <s v="Реаб."/>
    <d v="2024-09-25T00:00:00"/>
    <s v="Принят"/>
    <s v="SGG"/>
    <d v="2024-01-22T00:00:00"/>
    <s v="BSG-240122-1/0(1)"/>
    <m/>
    <m/>
    <s v="Yes"/>
  </r>
  <r>
    <n v="2083"/>
    <s v="Мцхета-Мтианети"/>
    <s v="Мцхета"/>
    <s v="(2) სოფელ ბიწმენდში არსებული შიდა ქსელის რეაბილიტაცია და გამსხვილება P.3.698"/>
    <x v="17"/>
    <n v="850000"/>
    <m/>
    <n v="655000"/>
    <m/>
    <n v="433813.54"/>
    <n v="416186.46"/>
    <n v="221186.46000000002"/>
    <m/>
    <n v="416186.46"/>
    <n v="1"/>
    <m/>
    <s v="P.3.698"/>
    <n v="510000"/>
    <n v="77796.599999999991"/>
    <n v="250000"/>
    <m/>
    <n v="225000"/>
    <n v="38135.589999999997"/>
    <n v="35000"/>
    <n v="34322.03"/>
    <m/>
    <n v="5338.98"/>
    <m/>
    <m/>
    <m/>
    <m/>
    <m/>
    <m/>
    <m/>
    <m/>
    <m/>
    <m/>
    <m/>
    <m/>
    <m/>
    <m/>
    <m/>
    <m/>
    <m/>
    <n v="0"/>
    <n v="0"/>
    <n v="0"/>
    <n v="0"/>
    <n v="0"/>
    <n v="0"/>
    <n v="122881.36"/>
    <m/>
    <m/>
    <m/>
    <n v="211016.94"/>
    <m/>
    <m/>
    <m/>
    <s v="Реаб."/>
    <m/>
    <n v="60"/>
    <s v="SGG"/>
    <d v="2024-01-22T00:00:00"/>
    <s v="BSG-240122-1/0(2)"/>
    <m/>
    <m/>
    <s v="Yes"/>
  </r>
  <r>
    <n v="2084"/>
    <s v="Кахети"/>
    <s v="Лагодехи"/>
    <s v="(3) სოფელ შრომისა და სოფელ კავშირის გაზსადენების რეაბილიტაცია. P.2.894"/>
    <x v="17"/>
    <n v="710000"/>
    <m/>
    <n v="1400000"/>
    <m/>
    <n v="1030508.47"/>
    <n v="-320508.46999999997"/>
    <n v="369491.53"/>
    <m/>
    <n v="-320508.46999999997"/>
    <n v="1"/>
    <m/>
    <s v="P.2.894"/>
    <n v="1400000"/>
    <n v="183050.84"/>
    <n v="400000"/>
    <m/>
    <n v="300000"/>
    <n v="61016.95"/>
    <n v="300000"/>
    <n v="45762.71"/>
    <n v="200000"/>
    <n v="45762.71"/>
    <n v="200000"/>
    <n v="30508.47"/>
    <m/>
    <m/>
    <m/>
    <m/>
    <m/>
    <m/>
    <m/>
    <m/>
    <m/>
    <m/>
    <m/>
    <m/>
    <m/>
    <m/>
    <m/>
    <n v="0"/>
    <n v="0"/>
    <n v="0"/>
    <n v="0"/>
    <n v="0"/>
    <n v="0"/>
    <m/>
    <m/>
    <m/>
    <m/>
    <n v="847457.63"/>
    <m/>
    <m/>
    <m/>
    <s v="Реаб."/>
    <m/>
    <n v="80"/>
    <s v="SGG"/>
    <d v="2024-01-22T00:00:00"/>
    <s v="BSG-240122-1/0(3)"/>
    <m/>
    <m/>
    <s v="Yes"/>
  </r>
  <r>
    <n v="2085"/>
    <s v="Кахети"/>
    <s v="Лагодехи"/>
    <s v="(4) სოფ. კაბალში ფოლადის გაზსადენის შეცვლა პოლიეთილენით P.2.1160"/>
    <x v="17"/>
    <n v="680000"/>
    <m/>
    <n v="292096.45"/>
    <n v="292096.45"/>
    <n v="292096.44999999995"/>
    <n v="387903.55000000005"/>
    <n v="0"/>
    <n v="1874.7"/>
    <n v="5.8207660913467407E-11"/>
    <n v="0"/>
    <m/>
    <s v="P.2.1160"/>
    <n v="0"/>
    <n v="0"/>
    <m/>
    <m/>
    <m/>
    <m/>
    <m/>
    <m/>
    <m/>
    <m/>
    <m/>
    <m/>
    <m/>
    <m/>
    <m/>
    <m/>
    <m/>
    <m/>
    <m/>
    <m/>
    <m/>
    <m/>
    <m/>
    <m/>
    <m/>
    <m/>
    <m/>
    <n v="0"/>
    <n v="0"/>
    <n v="0"/>
    <n v="0"/>
    <n v="0"/>
    <n v="0"/>
    <n v="169491.53"/>
    <n v="11136.52"/>
    <n v="0"/>
    <n v="23640.28444067797"/>
    <m/>
    <m/>
    <m/>
    <m/>
    <s v="Реаб."/>
    <d v="2024-11-27T00:00:00"/>
    <s v="Принят"/>
    <s v="SGG"/>
    <d v="2024-01-22T00:00:00"/>
    <s v="BSG-240122-1/0(4)"/>
    <m/>
    <m/>
    <s v="Yes"/>
  </r>
  <r>
    <n v="2086"/>
    <s v="Мцхета-Мтианети"/>
    <s v="Мцхета"/>
    <s v="(5) სოფელ მუხრანში არსებული შიდა ქსელის რეაბილიტაცია და გამსხვილება P.3.697"/>
    <x v="17"/>
    <n v="550000"/>
    <m/>
    <n v="300000"/>
    <m/>
    <n v="18305.080000000002"/>
    <n v="531694.92000000004"/>
    <n v="281694.92"/>
    <m/>
    <n v="531694.92000000004"/>
    <n v="1"/>
    <m/>
    <s v="P.3.697"/>
    <n v="300000"/>
    <n v="18305.080000000002"/>
    <m/>
    <m/>
    <m/>
    <m/>
    <m/>
    <m/>
    <n v="120000"/>
    <m/>
    <n v="180000"/>
    <n v="18305.080000000002"/>
    <m/>
    <m/>
    <m/>
    <m/>
    <m/>
    <m/>
    <m/>
    <m/>
    <m/>
    <m/>
    <m/>
    <m/>
    <m/>
    <m/>
    <m/>
    <n v="0"/>
    <n v="0"/>
    <n v="0"/>
    <n v="0"/>
    <n v="0"/>
    <n v="0"/>
    <m/>
    <m/>
    <m/>
    <m/>
    <m/>
    <m/>
    <m/>
    <m/>
    <s v="Реаб."/>
    <m/>
    <n v="0"/>
    <s v="SGG"/>
    <d v="2024-01-22T00:00:00"/>
    <s v="BSG-240122-1/0(5)"/>
    <m/>
    <m/>
    <s v="Yes"/>
  </r>
  <r>
    <n v="2087"/>
    <s v="Кахети"/>
    <s v="Дедоплисцкаро"/>
    <s v="(6) ქ. დედოფლისწყარო-მეგობრობის ქუჩა #4 საუბნო მრიცხველამდე რეაბილიტაცია P.2.553"/>
    <x v="17"/>
    <n v="550000"/>
    <m/>
    <m/>
    <m/>
    <m/>
    <n v="550000"/>
    <n v="0"/>
    <m/>
    <n v="550000"/>
    <n v="1"/>
    <m/>
    <s v="P.2.553"/>
    <n v="0"/>
    <n v="0"/>
    <m/>
    <m/>
    <m/>
    <m/>
    <m/>
    <m/>
    <m/>
    <m/>
    <m/>
    <m/>
    <m/>
    <m/>
    <m/>
    <m/>
    <m/>
    <m/>
    <m/>
    <m/>
    <m/>
    <m/>
    <m/>
    <m/>
    <m/>
    <m/>
    <m/>
    <n v="0"/>
    <n v="0"/>
    <n v="0"/>
    <n v="0"/>
    <n v="0"/>
    <n v="0"/>
    <m/>
    <m/>
    <m/>
    <m/>
    <m/>
    <m/>
    <m/>
    <m/>
    <s v="Реаб."/>
    <m/>
    <n v="0"/>
    <s v="SGG"/>
    <d v="2024-01-22T00:00:00"/>
    <s v="BSG-240122-1/0(6)"/>
    <m/>
    <m/>
    <s v="Yes"/>
  </r>
  <r>
    <n v="2088"/>
    <s v="Шида Картли"/>
    <s v="Хашури"/>
    <s v="(7) დაბა სურამში აღმაშენებლისა და თამარ მეფის ქუჩებზე D=100 მმ ფოლადის საჰაიერო გაზსადენის შეცვლა პოლიეთილენის D=160 მმ მიწისქვეშა გაზსადენით P.3.879"/>
    <x v="17"/>
    <n v="540000"/>
    <m/>
    <n v="250000"/>
    <m/>
    <n v="139830.51"/>
    <n v="400169.49"/>
    <n v="110169.48999999999"/>
    <m/>
    <n v="400169.49"/>
    <n v="1"/>
    <m/>
    <s v="P.3.879"/>
    <n v="130000"/>
    <n v="19830.509999999998"/>
    <n v="130000"/>
    <m/>
    <m/>
    <n v="19830.509999999998"/>
    <m/>
    <m/>
    <m/>
    <m/>
    <m/>
    <m/>
    <m/>
    <m/>
    <m/>
    <m/>
    <m/>
    <m/>
    <m/>
    <m/>
    <m/>
    <m/>
    <m/>
    <m/>
    <m/>
    <m/>
    <m/>
    <n v="0"/>
    <n v="0"/>
    <n v="0"/>
    <n v="0"/>
    <n v="0"/>
    <n v="0"/>
    <n v="101694.92"/>
    <m/>
    <m/>
    <m/>
    <m/>
    <m/>
    <m/>
    <m/>
    <s v="Реаб."/>
    <m/>
    <n v="0"/>
    <s v="SGG"/>
    <d v="2024-01-22T00:00:00"/>
    <s v="BSG-240122-1/0(7)"/>
    <m/>
    <m/>
    <s v="Yes"/>
  </r>
  <r>
    <n v="2089"/>
    <s v="Кахети"/>
    <s v="Дедоплисцкаро"/>
    <s v="(8) სოფ. ზემო მაჩხაანი-აკაკის და ჯამასპიანთ უბანი გაზსადენის რეაბილიტაცია P.2.45"/>
    <x v="17"/>
    <n v="230000"/>
    <m/>
    <m/>
    <m/>
    <m/>
    <n v="230000"/>
    <n v="0"/>
    <m/>
    <n v="230000"/>
    <n v="1"/>
    <m/>
    <s v="P.2.45"/>
    <n v="0"/>
    <n v="0"/>
    <m/>
    <m/>
    <m/>
    <m/>
    <m/>
    <m/>
    <m/>
    <m/>
    <m/>
    <m/>
    <m/>
    <m/>
    <m/>
    <m/>
    <m/>
    <m/>
    <m/>
    <m/>
    <m/>
    <m/>
    <m/>
    <m/>
    <m/>
    <m/>
    <m/>
    <n v="0"/>
    <n v="0"/>
    <n v="0"/>
    <n v="0"/>
    <n v="0"/>
    <n v="0"/>
    <m/>
    <m/>
    <m/>
    <m/>
    <m/>
    <m/>
    <m/>
    <m/>
    <s v="Реаб."/>
    <m/>
    <n v="0"/>
    <s v="SGG"/>
    <d v="2024-01-22T00:00:00"/>
    <s v="BSG-240122-1/0(8)"/>
    <m/>
    <m/>
    <s v="Yes"/>
  </r>
  <r>
    <n v="2090"/>
    <s v="Кахети"/>
    <s v="Сагареджо"/>
    <s v="(9) ქ. საგარეჯო. სათავის უბნის ქსელის რეაბილიტაცია P.2.950"/>
    <x v="17"/>
    <n v="210000"/>
    <m/>
    <n v="215316.94"/>
    <n v="215316.94"/>
    <n v="215316.94"/>
    <n v="-5316.9400000000023"/>
    <n v="0"/>
    <n v="2922"/>
    <n v="0"/>
    <n v="0"/>
    <m/>
    <s v="P.2.950"/>
    <n v="0"/>
    <n v="0"/>
    <m/>
    <m/>
    <m/>
    <m/>
    <m/>
    <m/>
    <m/>
    <m/>
    <m/>
    <m/>
    <m/>
    <m/>
    <m/>
    <m/>
    <m/>
    <m/>
    <m/>
    <m/>
    <m/>
    <m/>
    <m/>
    <m/>
    <m/>
    <m/>
    <m/>
    <n v="0"/>
    <n v="0"/>
    <n v="0"/>
    <n v="0"/>
    <n v="0"/>
    <n v="0"/>
    <n v="152542.37"/>
    <n v="11382.630000000001"/>
    <n v="0"/>
    <n v="17108.935305084746"/>
    <m/>
    <m/>
    <m/>
    <m/>
    <s v="Реаб."/>
    <d v="2024-11-29T00:00:00"/>
    <s v="Принят"/>
    <s v="SGG"/>
    <d v="2024-01-22T00:00:00"/>
    <s v="BSG-240122-1/0(9)"/>
    <m/>
    <m/>
    <s v="Yes"/>
  </r>
  <r>
    <n v="2091"/>
    <s v="Кахети"/>
    <s v="Гардабани"/>
    <s v="(10) სოფ. სართიჭალა, ცხაკაიას ქუჩის გაზსადენის რეაბილიტაცია P.2.84"/>
    <x v="17"/>
    <n v="200000"/>
    <m/>
    <n v="196706.76"/>
    <m/>
    <n v="186785.77999999997"/>
    <n v="13214.22000000003"/>
    <n v="9920.9800000000396"/>
    <n v="2497"/>
    <n v="9920.9800000000396"/>
    <n v="1"/>
    <m/>
    <s v="P.2.84"/>
    <n v="196706.76"/>
    <n v="30006.120000000003"/>
    <n v="150000"/>
    <m/>
    <n v="25000"/>
    <n v="22881.360000000001"/>
    <n v="10000"/>
    <n v="3813.56"/>
    <n v="11706.76"/>
    <n v="1525.42"/>
    <m/>
    <n v="1785.78"/>
    <m/>
    <m/>
    <m/>
    <m/>
    <m/>
    <m/>
    <m/>
    <m/>
    <m/>
    <m/>
    <m/>
    <m/>
    <m/>
    <m/>
    <m/>
    <n v="0"/>
    <n v="0"/>
    <n v="0"/>
    <n v="0"/>
    <n v="0"/>
    <n v="0"/>
    <m/>
    <m/>
    <m/>
    <m/>
    <n v="156779.65999999997"/>
    <n v="3395.64"/>
    <m/>
    <m/>
    <s v="Реаб."/>
    <d v="2025-04-22T00:00:00"/>
    <s v="Принят"/>
    <s v="SGG"/>
    <d v="2024-01-22T00:00:00"/>
    <s v="BSG-240122-1/0(10)"/>
    <m/>
    <m/>
    <s v="Yes"/>
  </r>
  <r>
    <n v="2092"/>
    <s v="Квемо Картли"/>
    <s v="Гардабани"/>
    <s v="(11) გარდაბანი, სოფ. ნაზარლოში ცენტრალური გაზსადენის აწევა და მიწისქვეშა გადასვლების რეაბილიტაცია P.2.829"/>
    <x v="17"/>
    <n v="190000"/>
    <m/>
    <m/>
    <m/>
    <m/>
    <n v="190000"/>
    <n v="0"/>
    <m/>
    <n v="190000"/>
    <n v="1"/>
    <m/>
    <s v="P.2.829"/>
    <n v="0"/>
    <n v="0"/>
    <m/>
    <m/>
    <m/>
    <m/>
    <m/>
    <m/>
    <m/>
    <m/>
    <m/>
    <m/>
    <m/>
    <m/>
    <m/>
    <m/>
    <m/>
    <m/>
    <m/>
    <m/>
    <m/>
    <m/>
    <m/>
    <m/>
    <m/>
    <m/>
    <m/>
    <n v="0"/>
    <n v="0"/>
    <n v="0"/>
    <n v="0"/>
    <n v="0"/>
    <n v="0"/>
    <m/>
    <m/>
    <m/>
    <m/>
    <m/>
    <m/>
    <m/>
    <m/>
    <s v="Реаб."/>
    <m/>
    <n v="0"/>
    <s v="SGG"/>
    <d v="2024-01-22T00:00:00"/>
    <s v="BSG-240122-1/0(11)"/>
    <m/>
    <m/>
    <s v="Yes"/>
  </r>
  <r>
    <n v="2093"/>
    <s v="Кахети"/>
    <s v="Ахмета"/>
    <s v="(12) #2 ახმეტის მუნიციპალიტეტი სოფელი მატანის გაზსადენის რეაბილიტაცია მატნის საუბნოდან სოფლის შესასვლელამდე P.2.518"/>
    <x v="17"/>
    <n v="180000"/>
    <m/>
    <n v="175161.75"/>
    <n v="175161.75"/>
    <n v="175161.75"/>
    <n v="4838.25"/>
    <n v="0"/>
    <n v="2104.5"/>
    <n v="0"/>
    <n v="0"/>
    <m/>
    <s v="P.2.518"/>
    <n v="0"/>
    <n v="0"/>
    <m/>
    <m/>
    <m/>
    <m/>
    <m/>
    <m/>
    <m/>
    <m/>
    <m/>
    <m/>
    <m/>
    <m/>
    <m/>
    <m/>
    <m/>
    <m/>
    <m/>
    <m/>
    <m/>
    <m/>
    <m/>
    <m/>
    <m/>
    <m/>
    <m/>
    <n v="0"/>
    <n v="0"/>
    <n v="0"/>
    <n v="0"/>
    <n v="0"/>
    <n v="0"/>
    <n v="127118.64"/>
    <n v="9921.35"/>
    <n v="0"/>
    <n v="13852.081101694916"/>
    <m/>
    <m/>
    <m/>
    <m/>
    <s v="Реаб."/>
    <d v="2024-09-26T00:00:00"/>
    <s v="Принят"/>
    <s v="SGG"/>
    <d v="2024-01-22T00:00:00"/>
    <s v="BSG-240122-1/0(12)"/>
    <m/>
    <m/>
    <s v="Yes"/>
  </r>
  <r>
    <n v="2094"/>
    <s v="Кахети"/>
    <s v="Дедоплисцкаро"/>
    <s v="(13) სოფ. არბოშიკი-#20 საუბნო მრიცხველიდან კოტაანი და მაჩხაანის მიმართულება გაზსადენის რეაბილიტაცია P.2.542"/>
    <x v="17"/>
    <n v="120000"/>
    <m/>
    <n v="120000"/>
    <m/>
    <m/>
    <n v="120000"/>
    <n v="120000"/>
    <m/>
    <n v="120000"/>
    <n v="1"/>
    <m/>
    <s v="P.2.542"/>
    <n v="120000"/>
    <n v="0"/>
    <m/>
    <m/>
    <m/>
    <m/>
    <m/>
    <m/>
    <m/>
    <m/>
    <n v="120000"/>
    <m/>
    <m/>
    <m/>
    <m/>
    <m/>
    <m/>
    <m/>
    <m/>
    <m/>
    <m/>
    <m/>
    <m/>
    <m/>
    <m/>
    <m/>
    <m/>
    <n v="0"/>
    <n v="0"/>
    <n v="0"/>
    <n v="0"/>
    <n v="0"/>
    <n v="0"/>
    <m/>
    <m/>
    <m/>
    <m/>
    <m/>
    <m/>
    <m/>
    <m/>
    <s v="Реаб."/>
    <m/>
    <n v="0"/>
    <s v="SGG"/>
    <d v="2024-01-22T00:00:00"/>
    <s v="BSG-240122-1/0(13)"/>
    <m/>
    <m/>
    <s v="Yes"/>
  </r>
  <r>
    <n v="2095"/>
    <s v="Квемо Картли"/>
    <s v="Гардабани"/>
    <s v="(14) გარდაბანი, სოფ. მუხროვანი ,არსებული დაბალი წნევის გაზსადენის რეაბილიტაცია  P.2.1070"/>
    <x v="17"/>
    <n v="110000"/>
    <m/>
    <n v="155000"/>
    <m/>
    <n v="87203.39"/>
    <n v="22796.61"/>
    <n v="67796.61"/>
    <m/>
    <n v="22796.61"/>
    <n v="1"/>
    <m/>
    <s v="P.2.1070"/>
    <n v="155000"/>
    <n v="23644.07"/>
    <m/>
    <m/>
    <m/>
    <m/>
    <n v="75000"/>
    <m/>
    <n v="80000"/>
    <n v="11440.68"/>
    <m/>
    <n v="12203.39"/>
    <m/>
    <m/>
    <m/>
    <m/>
    <m/>
    <m/>
    <m/>
    <m/>
    <m/>
    <m/>
    <m/>
    <m/>
    <m/>
    <m/>
    <m/>
    <n v="0"/>
    <n v="0"/>
    <n v="0"/>
    <n v="0"/>
    <n v="0"/>
    <n v="0"/>
    <m/>
    <m/>
    <m/>
    <m/>
    <n v="63559.32"/>
    <m/>
    <m/>
    <m/>
    <s v="Реаб."/>
    <m/>
    <n v="55"/>
    <s v="SGG"/>
    <d v="2024-01-22T00:00:00"/>
    <s v="BSG-240122-1/0(14)"/>
    <m/>
    <m/>
    <s v="Yes"/>
  </r>
  <r>
    <n v="2096"/>
    <s v="Квемо Картли"/>
    <s v="Гардабани"/>
    <s v="(15) სოფ. სართიჭალა არსებული საშ წნევის D300მმ მიწისქვეშა ფოლადის  გაზსადენის რეაბილიტაცია P.2.1069"/>
    <x v="17"/>
    <n v="80000"/>
    <m/>
    <n v="82746.14"/>
    <n v="82746.14"/>
    <n v="82746.14"/>
    <n v="-2746.1399999999994"/>
    <n v="0"/>
    <n v="731"/>
    <n v="0"/>
    <n v="0"/>
    <m/>
    <s v="P.2.1069"/>
    <n v="0"/>
    <n v="0"/>
    <m/>
    <m/>
    <m/>
    <m/>
    <m/>
    <m/>
    <m/>
    <m/>
    <m/>
    <m/>
    <m/>
    <m/>
    <m/>
    <m/>
    <m/>
    <m/>
    <m/>
    <m/>
    <m/>
    <m/>
    <m/>
    <m/>
    <m/>
    <m/>
    <m/>
    <n v="0"/>
    <n v="0"/>
    <n v="0"/>
    <n v="0"/>
    <n v="0"/>
    <n v="0"/>
    <n v="59322.03"/>
    <n v="4974.5200000000004"/>
    <n v="0"/>
    <n v="6514.9327457627123"/>
    <m/>
    <m/>
    <m/>
    <m/>
    <s v="Реаб."/>
    <d v="2024-09-26T00:00:00"/>
    <s v="Принят"/>
    <s v="SGG"/>
    <d v="2024-01-22T00:00:00"/>
    <s v="BSG-240122-1/0(15)"/>
    <m/>
    <m/>
    <s v="Yes"/>
  </r>
  <r>
    <n v="2097"/>
    <s v="Квемо Картли"/>
    <s v="Гардабани"/>
    <s v="(16) გარდაბანი , სოფ. ლელაშხაში არსებული გაზგამანაწილებელი ქსელის რეაბილიტაცია P.2.831"/>
    <x v="17"/>
    <n v="70000"/>
    <m/>
    <m/>
    <m/>
    <m/>
    <n v="70000"/>
    <n v="0"/>
    <m/>
    <n v="70000"/>
    <n v="1"/>
    <m/>
    <s v="P.2.831"/>
    <n v="0"/>
    <n v="0"/>
    <m/>
    <m/>
    <m/>
    <m/>
    <m/>
    <m/>
    <m/>
    <m/>
    <m/>
    <m/>
    <m/>
    <m/>
    <m/>
    <m/>
    <m/>
    <m/>
    <m/>
    <m/>
    <m/>
    <m/>
    <m/>
    <m/>
    <m/>
    <m/>
    <m/>
    <n v="0"/>
    <n v="0"/>
    <n v="0"/>
    <n v="0"/>
    <n v="0"/>
    <n v="0"/>
    <m/>
    <m/>
    <m/>
    <m/>
    <m/>
    <m/>
    <m/>
    <m/>
    <s v="Реаб."/>
    <m/>
    <n v="0"/>
    <s v="SGG"/>
    <d v="2024-01-22T00:00:00"/>
    <s v="BSG-240122-1/0(16)"/>
    <m/>
    <m/>
    <s v="Yes"/>
  </r>
  <r>
    <n v="2098"/>
    <s v="Кахети"/>
    <s v="Ахмета"/>
    <s v="(17) #999 ქ. ახმეტა გორგასლის პირველი შესახვევი მიწისქვეშა გაზსადენის რეაბილიტაცია P.2.526"/>
    <x v="17"/>
    <n v="50000"/>
    <m/>
    <n v="50918.94"/>
    <m/>
    <n v="45902.89"/>
    <n v="4097.1100000000006"/>
    <n v="5016.0500000000029"/>
    <n v="684"/>
    <n v="5016.0500000000029"/>
    <n v="1"/>
    <m/>
    <s v="P.2.526"/>
    <n v="50918.94"/>
    <n v="7767.3"/>
    <m/>
    <m/>
    <m/>
    <m/>
    <n v="45000"/>
    <m/>
    <n v="5918.94"/>
    <n v="6864.41"/>
    <m/>
    <n v="902.89"/>
    <m/>
    <m/>
    <m/>
    <m/>
    <m/>
    <m/>
    <m/>
    <m/>
    <m/>
    <m/>
    <m/>
    <m/>
    <m/>
    <m/>
    <m/>
    <n v="0"/>
    <n v="0"/>
    <n v="0"/>
    <n v="0"/>
    <n v="0"/>
    <n v="0"/>
    <m/>
    <m/>
    <m/>
    <m/>
    <n v="38135.589999999997"/>
    <n v="5668.1"/>
    <m/>
    <m/>
    <s v="Реаб."/>
    <d v="2025-04-22T00:00:00"/>
    <s v="Принят"/>
    <s v="SGG"/>
    <d v="2024-01-22T00:00:00"/>
    <s v="BSG-240122-1/0(17)"/>
    <m/>
    <m/>
    <s v="Yes"/>
  </r>
  <r>
    <n v="2099"/>
    <s v="Квемо Картли"/>
    <s v="Гардабани"/>
    <s v="(18) სოფ. სართიჭალა, მუღანლოს დასახ. ქუჩის ჩიხის ქსელის რეაბილიტაცია P.2.81"/>
    <x v="17"/>
    <n v="50000"/>
    <m/>
    <n v="60352.42"/>
    <m/>
    <n v="55816.47"/>
    <n v="-5816.4700000000012"/>
    <n v="4535.9499999999971"/>
    <n v="1382"/>
    <n v="4535.9499999999971"/>
    <n v="1"/>
    <m/>
    <s v="P.2.81"/>
    <n v="60352.42"/>
    <n v="9206.2999999999993"/>
    <m/>
    <m/>
    <n v="50000"/>
    <m/>
    <n v="5000"/>
    <n v="7627.12"/>
    <n v="5352.42"/>
    <n v="762.71"/>
    <m/>
    <n v="816.47"/>
    <m/>
    <m/>
    <m/>
    <m/>
    <m/>
    <m/>
    <m/>
    <m/>
    <m/>
    <m/>
    <m/>
    <m/>
    <m/>
    <m/>
    <m/>
    <n v="0"/>
    <n v="0"/>
    <n v="0"/>
    <n v="0"/>
    <n v="0"/>
    <n v="0"/>
    <m/>
    <m/>
    <m/>
    <m/>
    <n v="46610.17"/>
    <n v="1112.72"/>
    <m/>
    <m/>
    <s v="Реаб."/>
    <d v="2025-04-24T00:00:00"/>
    <s v="Принят"/>
    <s v="SGG"/>
    <d v="2024-01-22T00:00:00"/>
    <s v="BSG-240122-1/0(18)"/>
    <m/>
    <m/>
    <s v="Yes"/>
  </r>
  <r>
    <n v="2100"/>
    <s v="Имерети"/>
    <s v="Багдати"/>
    <s v="(3) ბაღდათის მუნიციპალიტეტი, რუსთაველის ქუჩის გაზსადენის რეაბილიტაციის საპროექტო სამუშაოები P.6.1147"/>
    <x v="9"/>
    <n v="1081.5"/>
    <n v="2"/>
    <n v="1081.5"/>
    <m/>
    <n v="1081.5"/>
    <n v="0"/>
    <n v="0"/>
    <m/>
    <n v="0"/>
    <n v="0"/>
    <m/>
    <s v="P.6.1147"/>
    <n v="0"/>
    <n v="0"/>
    <m/>
    <m/>
    <m/>
    <m/>
    <m/>
    <m/>
    <m/>
    <m/>
    <m/>
    <m/>
    <m/>
    <m/>
    <m/>
    <m/>
    <m/>
    <m/>
    <m/>
    <m/>
    <m/>
    <m/>
    <m/>
    <m/>
    <m/>
    <m/>
    <m/>
    <n v="0"/>
    <n v="0"/>
    <n v="0"/>
    <n v="0"/>
    <n v="0"/>
    <n v="0"/>
    <m/>
    <m/>
    <m/>
    <m/>
    <m/>
    <m/>
    <m/>
    <m/>
    <s v="Проектирование"/>
    <d v="2024-05-07T00:00:00"/>
    <s v="ПриПро"/>
    <s v="SGG"/>
    <d v="2024-01-10T00:00:00"/>
    <s v="BSG-240110-1/0(3)"/>
    <m/>
    <m/>
    <s v="No"/>
  </r>
  <r>
    <n v="2101"/>
    <s v="Имерети"/>
    <s v="Багдати"/>
    <s v="(4) ბაღდათის მუნიციპალიტეტი, რუსთაველის ქუჩის გაზსადენის რეაბილიტაცია P.6.1147"/>
    <x v="4"/>
    <n v="60000"/>
    <n v="2"/>
    <n v="99468.2"/>
    <n v="99468.2"/>
    <n v="99468.2"/>
    <n v="-39468.199999999997"/>
    <n v="0"/>
    <n v="693"/>
    <n v="0"/>
    <n v="0"/>
    <m/>
    <s v="P.6.1147"/>
    <n v="0"/>
    <n v="0"/>
    <m/>
    <m/>
    <m/>
    <m/>
    <m/>
    <m/>
    <m/>
    <m/>
    <m/>
    <m/>
    <m/>
    <m/>
    <m/>
    <m/>
    <m/>
    <m/>
    <m/>
    <m/>
    <m/>
    <m/>
    <m/>
    <m/>
    <m/>
    <m/>
    <m/>
    <n v="0"/>
    <n v="0"/>
    <n v="0"/>
    <n v="0"/>
    <n v="0"/>
    <n v="0"/>
    <n v="42372.88"/>
    <n v="4372.63"/>
    <n v="3389.8305084745771"/>
    <n v="4602.4149661016936"/>
    <m/>
    <m/>
    <m/>
    <m/>
    <s v="Реаб."/>
    <d v="2024-07-22T00:00:00"/>
    <s v="Принят"/>
    <s v="SGG"/>
    <d v="2024-01-10T00:00:00"/>
    <s v="BSG-240110-1/0(4)"/>
    <m/>
    <m/>
    <s v="Yes"/>
  </r>
  <r>
    <n v="2102"/>
    <s v="Имерети"/>
    <s v="Багдати"/>
    <s v="(5) მე 3 საუბნო. სოფ. ფერსათის ჩიხების და ქუჩების D=80 მმ ფოლადის მიწისქვეშა და საჰაერო გაზსადენის რეაბილიტაციის საპროექტო სამუშაოები P.6.540"/>
    <x v="9"/>
    <n v="57006.25"/>
    <n v="2"/>
    <n v="57006.25"/>
    <m/>
    <n v="57006.25"/>
    <n v="0"/>
    <n v="0"/>
    <m/>
    <n v="0"/>
    <n v="0"/>
    <m/>
    <s v="P.6.540"/>
    <n v="0"/>
    <n v="0"/>
    <m/>
    <m/>
    <m/>
    <m/>
    <m/>
    <m/>
    <m/>
    <m/>
    <m/>
    <m/>
    <m/>
    <m/>
    <m/>
    <m/>
    <m/>
    <m/>
    <m/>
    <m/>
    <m/>
    <m/>
    <m/>
    <m/>
    <m/>
    <m/>
    <m/>
    <n v="0"/>
    <n v="0"/>
    <n v="0"/>
    <n v="0"/>
    <n v="0"/>
    <n v="0"/>
    <m/>
    <m/>
    <m/>
    <m/>
    <m/>
    <m/>
    <m/>
    <m/>
    <s v="Проектирование"/>
    <d v="2024-05-01T00:00:00"/>
    <s v="ПриПро"/>
    <s v="SGG"/>
    <d v="2024-01-10T00:00:00"/>
    <s v="BSG-240110-1/0(5)"/>
    <m/>
    <m/>
    <s v="No"/>
  </r>
  <r>
    <n v="2103"/>
    <s v="Имерети"/>
    <s v="Багдати"/>
    <s v="(6) მე 3 საუბნო. სოფ. ფერსათის ჩიხების და ქუჩების D=80 მმ ფოლადის მიწისქვეშა და საჰაერო გაზსადენის რეაბილიტაცია P.6.540"/>
    <x v="4"/>
    <n v="1660000"/>
    <n v="2"/>
    <n v="2000000"/>
    <m/>
    <n v="1938983.0460000001"/>
    <n v="-278983.04600000009"/>
    <n v="61016.953999999911"/>
    <m/>
    <n v="-278983.04600000009"/>
    <n v="1"/>
    <m/>
    <s v="P.6.540"/>
    <n v="1150000"/>
    <n v="175423.728"/>
    <m/>
    <m/>
    <n v="1150000"/>
    <m/>
    <m/>
    <n v="175423.728"/>
    <m/>
    <m/>
    <m/>
    <m/>
    <m/>
    <m/>
    <m/>
    <m/>
    <m/>
    <m/>
    <m/>
    <m/>
    <m/>
    <m/>
    <m/>
    <m/>
    <m/>
    <m/>
    <m/>
    <n v="0"/>
    <n v="0"/>
    <n v="0"/>
    <n v="0"/>
    <n v="0"/>
    <n v="0"/>
    <n v="720338.98"/>
    <m/>
    <m/>
    <m/>
    <n v="974576.27"/>
    <m/>
    <m/>
    <m/>
    <s v="Реаб."/>
    <m/>
    <n v="65"/>
    <s v="SGG"/>
    <d v="2024-01-10T00:00:00"/>
    <s v="BSG-240110-1/0(6)"/>
    <m/>
    <m/>
    <s v="Yes"/>
  </r>
  <r>
    <n v="2104"/>
    <s v="Имерети"/>
    <s v="Багдати"/>
    <s v="(7) ქ. ბაღდათში ცენტრალურ უბანში შანიძე-ჯავახიშვილი-თამარ მეფის ქ. გაზსადენის რეაბილიტაციის საპროექტო სამუშაოები P.6.8"/>
    <x v="9"/>
    <n v="0"/>
    <n v="2"/>
    <m/>
    <m/>
    <m/>
    <n v="0"/>
    <n v="0"/>
    <m/>
    <n v="0"/>
    <n v="2"/>
    <m/>
    <s v="P.6.8"/>
    <n v="0"/>
    <n v="0"/>
    <m/>
    <m/>
    <m/>
    <m/>
    <m/>
    <m/>
    <m/>
    <m/>
    <m/>
    <m/>
    <m/>
    <m/>
    <m/>
    <m/>
    <m/>
    <m/>
    <m/>
    <m/>
    <m/>
    <m/>
    <m/>
    <m/>
    <m/>
    <m/>
    <m/>
    <n v="0"/>
    <n v="0"/>
    <n v="0"/>
    <n v="0"/>
    <n v="0"/>
    <n v="0"/>
    <m/>
    <m/>
    <m/>
    <m/>
    <m/>
    <m/>
    <m/>
    <m/>
    <s v="Проектирование"/>
    <m/>
    <n v="0"/>
    <s v="SGG"/>
    <d v="2024-01-10T00:00:00"/>
    <s v="BSG-240110-1/0(7)"/>
    <m/>
    <s v="პროექტი ჩაბარებულია 2021 წლის 19 მაისს, აქ გასაუქმებელია!"/>
    <s v="No"/>
  </r>
  <r>
    <n v="2105"/>
    <s v="Имерети"/>
    <s v="Багдати"/>
    <s v="(8) ქ. ბაღდათში ცენტრალურ უბანში შანიძე-ჯავახიშვილი-თამარ მეფის ქ. გაზსადენის რეაბილიტაცია. P.6.8"/>
    <x v="4"/>
    <n v="459930.09"/>
    <n v="2"/>
    <n v="459930.09"/>
    <m/>
    <n v="428633.402"/>
    <n v="31296.688000000024"/>
    <n v="31296.688000000024"/>
    <n v="6052"/>
    <n v="31296.688000000024"/>
    <n v="1"/>
    <m/>
    <s v="P.6.8"/>
    <n v="9930.09"/>
    <n v="1514.76"/>
    <m/>
    <m/>
    <n v="9930.09"/>
    <m/>
    <m/>
    <n v="1514.76"/>
    <m/>
    <m/>
    <m/>
    <m/>
    <m/>
    <m/>
    <m/>
    <m/>
    <m/>
    <m/>
    <m/>
    <m/>
    <m/>
    <m/>
    <m/>
    <m/>
    <m/>
    <m/>
    <m/>
    <n v="0"/>
    <n v="0"/>
    <n v="0"/>
    <n v="0"/>
    <n v="0"/>
    <n v="0"/>
    <n v="381355.93"/>
    <n v="37863.94"/>
    <n v="35190.732271186447"/>
    <m/>
    <m/>
    <m/>
    <m/>
    <m/>
    <s v="Реаб."/>
    <d v="2025-02-24T00:00:00"/>
    <s v="Принят"/>
    <s v="SGG"/>
    <d v="2024-01-10T00:00:00"/>
    <s v="BSG-240110-1/0(8)"/>
    <m/>
    <m/>
    <s v="Yes"/>
  </r>
  <r>
    <n v="2106"/>
    <s v="Имерети"/>
    <s v="Зестафони"/>
    <s v="(9) სოფ. არგვეთის დაბალი წნევის გაზსადენის რეაბილიტაციის საპროექტო სამუშაოები P.6.19"/>
    <x v="9"/>
    <n v="49624.75"/>
    <n v="2"/>
    <n v="49624.75"/>
    <m/>
    <n v="49624.75"/>
    <n v="0"/>
    <n v="0"/>
    <m/>
    <n v="0"/>
    <n v="0"/>
    <m/>
    <s v="P.6.19"/>
    <n v="0"/>
    <n v="0"/>
    <m/>
    <m/>
    <m/>
    <m/>
    <m/>
    <m/>
    <m/>
    <m/>
    <m/>
    <m/>
    <m/>
    <m/>
    <m/>
    <m/>
    <m/>
    <m/>
    <m/>
    <m/>
    <m/>
    <m/>
    <m/>
    <m/>
    <m/>
    <m/>
    <m/>
    <n v="0"/>
    <n v="0"/>
    <n v="0"/>
    <n v="0"/>
    <n v="0"/>
    <n v="0"/>
    <m/>
    <m/>
    <m/>
    <m/>
    <m/>
    <m/>
    <m/>
    <m/>
    <s v="Проектирование"/>
    <d v="2024-05-01T00:00:00"/>
    <s v="ПриПро"/>
    <s v="SGG"/>
    <d v="2024-01-10T00:00:00"/>
    <s v="BSG-240110-1/0(9)"/>
    <m/>
    <m/>
    <s v="No"/>
  </r>
  <r>
    <n v="2107"/>
    <s v="Имерети"/>
    <s v="Зестафони"/>
    <s v="(10) თამარის ქ. საშ. წნევის და დაბალი წნევის გაზსადენის რეაბილიტაციის საპროექტო სამუშაოები P.6.27"/>
    <x v="9"/>
    <n v="0"/>
    <n v="2"/>
    <n v="4158"/>
    <m/>
    <n v="4158"/>
    <n v="-4158"/>
    <n v="0"/>
    <m/>
    <n v="0"/>
    <n v="0"/>
    <m/>
    <s v="P.6.27"/>
    <n v="0"/>
    <n v="0"/>
    <m/>
    <m/>
    <m/>
    <m/>
    <m/>
    <m/>
    <m/>
    <m/>
    <m/>
    <m/>
    <m/>
    <m/>
    <m/>
    <m/>
    <m/>
    <m/>
    <m/>
    <m/>
    <m/>
    <m/>
    <m/>
    <m/>
    <m/>
    <m/>
    <m/>
    <n v="0"/>
    <n v="0"/>
    <n v="0"/>
    <n v="0"/>
    <n v="0"/>
    <n v="0"/>
    <m/>
    <m/>
    <m/>
    <m/>
    <m/>
    <m/>
    <m/>
    <m/>
    <s v="Проектирование"/>
    <d v="2024-08-20T00:00:00"/>
    <s v="ПриПро"/>
    <s v="SGG"/>
    <d v="2024-01-10T00:00:00"/>
    <s v="BSG-240110-1/0(10)"/>
    <m/>
    <m/>
    <s v="No"/>
  </r>
  <r>
    <n v="2108"/>
    <s v="Имерети"/>
    <s v="Зестафони"/>
    <s v="(11) თამარის ქ. საშ. წნევის და დაბალი წნევის გაზსადენის რეაბილიტაცია P.6.27"/>
    <x v="4"/>
    <n v="400000"/>
    <n v="2"/>
    <n v="0"/>
    <m/>
    <n v="0"/>
    <n v="400000"/>
    <n v="0"/>
    <m/>
    <n v="400000"/>
    <n v="1"/>
    <m/>
    <s v="P.6.27"/>
    <n v="0"/>
    <n v="0"/>
    <m/>
    <m/>
    <m/>
    <m/>
    <m/>
    <m/>
    <m/>
    <m/>
    <m/>
    <m/>
    <m/>
    <m/>
    <m/>
    <m/>
    <m/>
    <m/>
    <m/>
    <m/>
    <m/>
    <m/>
    <m/>
    <m/>
    <m/>
    <m/>
    <m/>
    <n v="0"/>
    <n v="0"/>
    <n v="0"/>
    <n v="0"/>
    <n v="0"/>
    <n v="0"/>
    <m/>
    <m/>
    <m/>
    <m/>
    <m/>
    <m/>
    <m/>
    <m/>
    <s v="Реаб."/>
    <m/>
    <n v="0"/>
    <s v="SGG"/>
    <d v="2024-01-10T00:00:00"/>
    <s v="BSG-240110-1/0(11)"/>
    <m/>
    <m/>
    <s v="Yes"/>
  </r>
  <r>
    <n v="2109"/>
    <s v="Имерети"/>
    <s v="Чиатура"/>
    <s v="(12) ქ. ჭიათურა. ჭავჭავაძის და ვაჩნაძის ქუჩებზე არსებული მიწისქვეშა ფოლადის დაბალი წნევის გაზსადენის რეაბილიტაციის საპროექტო სამუშაოები P.6.512"/>
    <x v="9"/>
    <n v="3603.25"/>
    <n v="2"/>
    <n v="3603.25"/>
    <m/>
    <n v="3603.25"/>
    <n v="0"/>
    <n v="0"/>
    <m/>
    <n v="0"/>
    <n v="0"/>
    <m/>
    <s v="P.6.512"/>
    <n v="0"/>
    <n v="0"/>
    <m/>
    <m/>
    <m/>
    <m/>
    <m/>
    <m/>
    <m/>
    <m/>
    <m/>
    <m/>
    <m/>
    <m/>
    <m/>
    <m/>
    <m/>
    <m/>
    <m/>
    <m/>
    <m/>
    <m/>
    <m/>
    <m/>
    <m/>
    <m/>
    <m/>
    <n v="0"/>
    <n v="0"/>
    <n v="0"/>
    <n v="0"/>
    <n v="0"/>
    <n v="0"/>
    <m/>
    <m/>
    <m/>
    <m/>
    <m/>
    <m/>
    <m/>
    <m/>
    <s v="Проектирование"/>
    <d v="2024-05-16T00:00:00"/>
    <s v="ПриПро"/>
    <s v="SGG"/>
    <d v="2024-01-10T00:00:00"/>
    <s v="BSG-240110-1/0(12)"/>
    <m/>
    <m/>
    <s v="No"/>
  </r>
  <r>
    <n v="2110"/>
    <s v="Имерети"/>
    <s v="Чиатура"/>
    <s v="(13) ქ. ჭიათურა. ჭავჭავაძის და ვაჩნაძის ქუჩებზე არსებული მიწისქვეშა ფოლადის დაბალი წნევის გაზსადენის რეაბილიტაცია P.6.512"/>
    <x v="4"/>
    <n v="220000"/>
    <n v="2"/>
    <n v="149880.63"/>
    <n v="149880.63"/>
    <n v="149880.63"/>
    <n v="70119.37"/>
    <n v="0"/>
    <n v="1956"/>
    <n v="0"/>
    <n v="0"/>
    <m/>
    <s v="P.6.512"/>
    <n v="0"/>
    <n v="0"/>
    <m/>
    <m/>
    <m/>
    <m/>
    <m/>
    <m/>
    <m/>
    <m/>
    <m/>
    <m/>
    <m/>
    <m/>
    <m/>
    <m/>
    <m/>
    <m/>
    <m/>
    <m/>
    <m/>
    <m/>
    <m/>
    <m/>
    <m/>
    <m/>
    <m/>
    <n v="0"/>
    <n v="0"/>
    <n v="0"/>
    <n v="0"/>
    <n v="0"/>
    <n v="0"/>
    <n v="84745.76"/>
    <n v="7721.73"/>
    <n v="0"/>
    <n v="11929.575305084749"/>
    <m/>
    <m/>
    <m/>
    <m/>
    <s v="Реаб."/>
    <d v="2024-08-27T00:00:00"/>
    <s v="Принят"/>
    <s v="SGG"/>
    <d v="2024-01-10T00:00:00"/>
    <s v="BSG-240110-1/0(13)"/>
    <m/>
    <m/>
    <s v="Yes"/>
  </r>
  <r>
    <n v="2111"/>
    <s v="Имерети"/>
    <s v="Цкалтубо"/>
    <s v="(14) ლორთქიფანიძის ქუჩის მე-3, მე-6 და მე-7 შესახვევების ქსელის რეაბილიტაცია. მიწისქვეშა გადასვლების რეაბილიტაციის საპროექტო სამუშაოები P.6.266"/>
    <x v="9"/>
    <n v="5484.5"/>
    <n v="2"/>
    <n v="5484.5"/>
    <m/>
    <n v="5484.5"/>
    <n v="0"/>
    <n v="0"/>
    <m/>
    <n v="0"/>
    <n v="0"/>
    <m/>
    <s v="P.6.266"/>
    <n v="0"/>
    <n v="0"/>
    <m/>
    <m/>
    <m/>
    <m/>
    <m/>
    <m/>
    <m/>
    <m/>
    <m/>
    <m/>
    <m/>
    <m/>
    <m/>
    <m/>
    <m/>
    <m/>
    <m/>
    <m/>
    <m/>
    <m/>
    <m/>
    <m/>
    <m/>
    <m/>
    <m/>
    <n v="0"/>
    <n v="0"/>
    <n v="0"/>
    <n v="0"/>
    <n v="0"/>
    <n v="0"/>
    <m/>
    <m/>
    <m/>
    <m/>
    <m/>
    <m/>
    <m/>
    <m/>
    <s v="Проектирование"/>
    <d v="2024-10-15T00:00:00"/>
    <s v="ПриПро"/>
    <s v="SGG"/>
    <d v="2024-01-10T00:00:00"/>
    <s v="BSG-240110-1/0(14)"/>
    <m/>
    <m/>
    <s v="No"/>
  </r>
  <r>
    <n v="2112"/>
    <s v="Имерети"/>
    <s v="Цкалтубо"/>
    <s v="(15) ლორთქიფანიძის ქუჩის მე-3, მე-6 და მე-7 შესახვევების ქსელის რეაბილიტაცია. მიწისქვეშა გადასვლების რეაბილიტაცია P.6.266"/>
    <x v="4"/>
    <n v="170000"/>
    <n v="2"/>
    <n v="0"/>
    <m/>
    <n v="0"/>
    <n v="170000"/>
    <n v="0"/>
    <m/>
    <n v="170000"/>
    <n v="1"/>
    <m/>
    <s v="P.6.266"/>
    <n v="0"/>
    <n v="0"/>
    <m/>
    <m/>
    <m/>
    <m/>
    <m/>
    <m/>
    <m/>
    <m/>
    <m/>
    <m/>
    <m/>
    <m/>
    <m/>
    <m/>
    <m/>
    <m/>
    <m/>
    <m/>
    <m/>
    <m/>
    <m/>
    <m/>
    <m/>
    <m/>
    <m/>
    <n v="0"/>
    <n v="0"/>
    <n v="0"/>
    <n v="0"/>
    <n v="0"/>
    <n v="0"/>
    <m/>
    <m/>
    <m/>
    <m/>
    <m/>
    <m/>
    <m/>
    <m/>
    <s v="Реаб."/>
    <m/>
    <n v="0"/>
    <s v="SGG"/>
    <d v="2024-01-10T00:00:00"/>
    <s v="BSG-240110-1/0(15)"/>
    <m/>
    <m/>
    <s v="Yes"/>
  </r>
  <r>
    <n v="2113"/>
    <s v="Имерети"/>
    <s v="Зестафони"/>
    <s v="(16) ქეთევან წამებულის დ/წნევის მიწისქვეშა გაზსადენის რეაბილიტაციის საპროექტო სამუშაოები P.6.22"/>
    <x v="9"/>
    <n v="0"/>
    <n v="2"/>
    <n v="2812.25"/>
    <m/>
    <n v="2812.25"/>
    <n v="-2812.25"/>
    <n v="0"/>
    <m/>
    <n v="0"/>
    <n v="0"/>
    <m/>
    <s v="P.6.22"/>
    <n v="0"/>
    <n v="0"/>
    <m/>
    <m/>
    <m/>
    <m/>
    <m/>
    <m/>
    <m/>
    <m/>
    <m/>
    <m/>
    <m/>
    <m/>
    <m/>
    <m/>
    <m/>
    <m/>
    <m/>
    <m/>
    <m/>
    <m/>
    <m/>
    <m/>
    <m/>
    <m/>
    <m/>
    <n v="0"/>
    <n v="0"/>
    <n v="0"/>
    <n v="0"/>
    <n v="0"/>
    <n v="0"/>
    <m/>
    <m/>
    <m/>
    <m/>
    <m/>
    <m/>
    <m/>
    <m/>
    <s v="Проектирование"/>
    <d v="2024-08-20T00:00:00"/>
    <s v="ПриПро"/>
    <s v="SGG"/>
    <d v="2024-01-10T00:00:00"/>
    <s v="BSG-240110-1/0(16)"/>
    <m/>
    <m/>
    <s v="No"/>
  </r>
  <r>
    <n v="2114"/>
    <s v="Имерети"/>
    <s v="Зестафони"/>
    <s v="(17) ქეთევან წამებულის დ/წნევის მიწისქვეშა გაზსადენის რეაბილიტაცია P.6.22"/>
    <x v="4"/>
    <n v="195016.378"/>
    <s v="აკლასნიკი"/>
    <n v="195016.378"/>
    <n v="195016.378"/>
    <n v="190765.21000000002"/>
    <n v="4251.167999999976"/>
    <n v="4251.167999999976"/>
    <n v="1542"/>
    <n v="4251.167999999976"/>
    <n v="1"/>
    <m/>
    <s v="P.6.22"/>
    <n v="195016.378"/>
    <n v="29748.26"/>
    <n v="190000"/>
    <m/>
    <n v="5016.3779999999997"/>
    <n v="28983.05"/>
    <m/>
    <n v="765.21"/>
    <m/>
    <m/>
    <m/>
    <m/>
    <m/>
    <m/>
    <m/>
    <m/>
    <m/>
    <m/>
    <m/>
    <m/>
    <m/>
    <m/>
    <m/>
    <m/>
    <m/>
    <m/>
    <s v="საბოლოო"/>
    <n v="0"/>
    <n v="0"/>
    <n v="0"/>
    <n v="0"/>
    <n v="0"/>
    <n v="0"/>
    <n v="0"/>
    <n v="0"/>
    <n v="0"/>
    <n v="16526.811694915257"/>
    <n v="161016.95000000001"/>
    <n v="3214.82"/>
    <m/>
    <m/>
    <s v="Реаб."/>
    <d v="2025-02-25T00:00:00"/>
    <s v="Принят"/>
    <s v="SGG"/>
    <d v="2024-01-10T00:00:00"/>
    <s v="BSG-240110-1/0(17)"/>
    <m/>
    <m/>
    <s v="Yes"/>
  </r>
  <r>
    <n v="2115"/>
    <s v="Имерети"/>
    <s v="Цкалтубо"/>
    <s v="(18) N24 საუბნოზე, კერძო საკუთრებაში გამავალი, საჰაერო გაზსადენის გამოტანა და კოროზირებული გადასვლების რეაბილიტაციის საპროექტო სამუშაოები P.6.211"/>
    <x v="9"/>
    <n v="2572.5"/>
    <n v="2"/>
    <n v="2572.5"/>
    <m/>
    <n v="2572.5"/>
    <n v="0"/>
    <n v="0"/>
    <m/>
    <n v="0"/>
    <n v="0"/>
    <m/>
    <s v="P.6.211"/>
    <n v="0"/>
    <n v="0"/>
    <m/>
    <m/>
    <m/>
    <m/>
    <m/>
    <m/>
    <m/>
    <m/>
    <m/>
    <m/>
    <m/>
    <m/>
    <m/>
    <m/>
    <m/>
    <m/>
    <m/>
    <m/>
    <m/>
    <m/>
    <m/>
    <m/>
    <m/>
    <m/>
    <m/>
    <n v="0"/>
    <n v="0"/>
    <n v="0"/>
    <n v="0"/>
    <n v="0"/>
    <n v="0"/>
    <m/>
    <m/>
    <m/>
    <m/>
    <m/>
    <m/>
    <m/>
    <m/>
    <s v="Проектирование"/>
    <d v="2024-10-15T00:00:00"/>
    <s v="ПриПро"/>
    <s v="SGG"/>
    <d v="2024-01-10T00:00:00"/>
    <s v="BSG-240110-1/0(18)"/>
    <m/>
    <m/>
    <s v="No"/>
  </r>
  <r>
    <n v="2116"/>
    <s v="Имерети"/>
    <s v="Цкалтубо"/>
    <s v="(19) N24 საუბნოზე, კერძო საკუთრებაში გამავალი, საჰაერო გაზსადენის გამოტანა და კოროზირებული გადასვლების რეაბილიტაცია  P.6.211"/>
    <x v="4"/>
    <n v="110000"/>
    <n v="2"/>
    <n v="0"/>
    <m/>
    <n v="0"/>
    <n v="110000"/>
    <n v="0"/>
    <m/>
    <n v="110000"/>
    <n v="1"/>
    <m/>
    <s v="P.6.211"/>
    <n v="0"/>
    <n v="0"/>
    <m/>
    <m/>
    <m/>
    <m/>
    <m/>
    <m/>
    <m/>
    <m/>
    <m/>
    <m/>
    <m/>
    <m/>
    <m/>
    <m/>
    <m/>
    <m/>
    <m/>
    <m/>
    <m/>
    <m/>
    <m/>
    <m/>
    <m/>
    <m/>
    <m/>
    <n v="0"/>
    <n v="0"/>
    <n v="0"/>
    <n v="0"/>
    <n v="0"/>
    <n v="0"/>
    <m/>
    <m/>
    <m/>
    <m/>
    <m/>
    <m/>
    <m/>
    <m/>
    <s v="Реаб."/>
    <m/>
    <n v="0"/>
    <s v="SGG"/>
    <d v="2024-01-10T00:00:00"/>
    <s v="BSG-240110-1/0(19)"/>
    <m/>
    <m/>
    <s v="Yes"/>
  </r>
  <r>
    <n v="2117"/>
    <s v="Имерети"/>
    <s v="Зестафони"/>
    <s v="(20) სოფ. ცხრაწყაროსკენ მიმავალი დ-100 მმ-იანი საჰაერო გაზსადენის საყრდენების მოწყობა, საპროექტო სამუშაოები P.6.560"/>
    <x v="9"/>
    <n v="170"/>
    <n v="2"/>
    <n v="170"/>
    <m/>
    <n v="170"/>
    <n v="0"/>
    <n v="0"/>
    <m/>
    <n v="0"/>
    <n v="0"/>
    <m/>
    <s v="P.6.560"/>
    <n v="0"/>
    <n v="0"/>
    <m/>
    <m/>
    <m/>
    <m/>
    <m/>
    <m/>
    <m/>
    <m/>
    <m/>
    <m/>
    <m/>
    <m/>
    <m/>
    <m/>
    <m/>
    <m/>
    <m/>
    <m/>
    <m/>
    <m/>
    <m/>
    <m/>
    <m/>
    <m/>
    <m/>
    <n v="0"/>
    <n v="0"/>
    <n v="0"/>
    <n v="0"/>
    <n v="0"/>
    <n v="0"/>
    <m/>
    <m/>
    <m/>
    <m/>
    <m/>
    <m/>
    <m/>
    <m/>
    <s v="Проектирование"/>
    <d v="2024-11-04T00:00:00"/>
    <s v="ПриПро"/>
    <s v="SGG"/>
    <d v="2024-01-10T00:00:00"/>
    <s v="BSG-240110-1/0(20)"/>
    <m/>
    <m/>
    <s v="No"/>
  </r>
  <r>
    <n v="2118"/>
    <s v="Имерети"/>
    <s v="Зестафони"/>
    <s v="(21) სოფ. ცხრაწყაროსკენ მიმავალი დ-100 მმ-იანი საჰაერო გაზსადენის საყრდენების მოწყობა P.6.560"/>
    <x v="4"/>
    <n v="100000"/>
    <n v="2"/>
    <n v="21025.5"/>
    <n v="21025.5"/>
    <n v="21025.5"/>
    <n v="78974.5"/>
    <n v="0"/>
    <n v="0"/>
    <n v="0"/>
    <n v="0"/>
    <m/>
    <s v="P.6.560"/>
    <n v="0"/>
    <n v="0"/>
    <m/>
    <m/>
    <m/>
    <m/>
    <m/>
    <m/>
    <m/>
    <m/>
    <m/>
    <m/>
    <m/>
    <m/>
    <m/>
    <m/>
    <m/>
    <m/>
    <m/>
    <m/>
    <m/>
    <m/>
    <m/>
    <m/>
    <m/>
    <m/>
    <m/>
    <n v="0"/>
    <n v="0"/>
    <n v="0"/>
    <n v="0"/>
    <n v="0"/>
    <n v="0"/>
    <m/>
    <m/>
    <n v="0"/>
    <n v="1781.8220338983051"/>
    <m/>
    <m/>
    <m/>
    <m/>
    <s v="Реаб."/>
    <d v="2024-11-28T00:00:00"/>
    <s v="Принят"/>
    <s v="SGG"/>
    <d v="2024-01-10T00:00:00"/>
    <s v="BSG-240110-1/0(21)"/>
    <m/>
    <m/>
    <s v="Yes"/>
  </r>
  <r>
    <n v="2119"/>
    <s v="Имерети"/>
    <s v="Цкалтубо"/>
    <s v="(22) გაზსადენის შეღებვა: ქ. წყალტუბო დედაენის ქუჩა, თბილისის ქუჩა, დადიანის ქუჩა, კლდიაშვილის ქუჩა, ჩოლოყაშვილის ქუჩა, ჭაბუკიანის ქუჩა, თაყაიშვილის ქუჩა, ვაჟა-ფშაველას ქუჩა, 26 მაისის ქუჩა, შარტავას ქუჩა, ნინოშვილის ქუჩა, გურიელის ქუჩა, გორგასვლის ქუჩა, ყაზბეგის ქუჩა, სოფ. მეორე უბანი. P.6.235"/>
    <x v="4"/>
    <n v="60000"/>
    <n v="2"/>
    <n v="0"/>
    <m/>
    <n v="0"/>
    <n v="60000"/>
    <n v="0"/>
    <m/>
    <n v="60000"/>
    <n v="1"/>
    <m/>
    <s v="P.6.235"/>
    <n v="0"/>
    <n v="0"/>
    <m/>
    <m/>
    <m/>
    <m/>
    <m/>
    <m/>
    <m/>
    <m/>
    <m/>
    <m/>
    <m/>
    <m/>
    <m/>
    <m/>
    <m/>
    <m/>
    <m/>
    <m/>
    <m/>
    <m/>
    <m/>
    <m/>
    <m/>
    <m/>
    <m/>
    <n v="0"/>
    <n v="0"/>
    <n v="0"/>
    <n v="0"/>
    <n v="0"/>
    <n v="0"/>
    <m/>
    <m/>
    <m/>
    <m/>
    <m/>
    <m/>
    <m/>
    <m/>
    <s v="Реаб."/>
    <m/>
    <n v="0"/>
    <s v="SGG"/>
    <d v="2024-01-10T00:00:00"/>
    <s v="BSG-240110-1/0(22)"/>
    <m/>
    <m/>
    <s v="Yes"/>
  </r>
  <r>
    <n v="2120"/>
    <s v="Имерети"/>
    <s v="Багдати"/>
    <s v="(23) გაზსადენის შეღებვა: ქ. ბაღდათი 3 საუბნო თბილისის, დადიანის, რობაქიძის და გუბელაძის ქუჩები. 2 საუბნო სოფ.დიმი. 10 საუბნო სოფ.საიმედო. P.6.253"/>
    <x v="4"/>
    <n v="91435.81"/>
    <n v="2"/>
    <n v="91435.81"/>
    <n v="91435.81"/>
    <n v="64795.29"/>
    <n v="26640.519999999997"/>
    <n v="26640.519999999997"/>
    <n v="0"/>
    <n v="26640.519999999997"/>
    <n v="1"/>
    <n v="0"/>
    <s v="P.6.253"/>
    <n v="91435.81"/>
    <n v="13947.830000000002"/>
    <n v="60000"/>
    <m/>
    <n v="31435.81"/>
    <n v="9152.5400000000009"/>
    <m/>
    <n v="4795.29"/>
    <m/>
    <m/>
    <m/>
    <m/>
    <m/>
    <m/>
    <m/>
    <m/>
    <m/>
    <m/>
    <m/>
    <m/>
    <m/>
    <m/>
    <m/>
    <m/>
    <m/>
    <m/>
    <m/>
    <n v="0"/>
    <n v="0"/>
    <n v="0"/>
    <n v="0"/>
    <n v="0"/>
    <n v="0"/>
    <n v="0"/>
    <n v="0"/>
    <n v="0"/>
    <e v="#REF!"/>
    <n v="50847.46"/>
    <n v="1015.21"/>
    <m/>
    <m/>
    <s v="Реаб."/>
    <d v="2025-02-25T00:00:00"/>
    <s v="Принят"/>
    <s v="SGG"/>
    <d v="2024-01-10T00:00:00"/>
    <s v="BSG-240110-1/0(23)"/>
    <m/>
    <m/>
    <s v="Yes"/>
  </r>
  <r>
    <n v="2121"/>
    <s v="Имерети"/>
    <s v="Зестафони"/>
    <s v="(24) გაზსადენის შეღებვა: ქ.ზესტაფონი, ქუთაისის ქ, მერჩულეს ქ არგვეთა სპირტსტროის ქარხანასთან, ჩხეიძის ქ, სოფ ცხრაწყარო, კვალითის დასახლება, დიდგორის ქ ნ.ნიკოლაძის ქ, მესხიშვილის ქ, კეთილაძის ქ, მაჭავარიანის ქ, ღამბაშიძის ქ, გრიშაშვილის ქ, ქოჩიაშვილის ქ, გორგასალის ქ, აბესაძის ქ, სოფ ქვედა საქარა. P.6.250"/>
    <x v="4"/>
    <n v="50000"/>
    <n v="2"/>
    <n v="0"/>
    <m/>
    <n v="0"/>
    <n v="50000"/>
    <n v="0"/>
    <m/>
    <n v="50000"/>
    <n v="1"/>
    <m/>
    <s v="P.6.250"/>
    <n v="0"/>
    <n v="0"/>
    <m/>
    <m/>
    <m/>
    <m/>
    <m/>
    <m/>
    <m/>
    <m/>
    <m/>
    <m/>
    <m/>
    <m/>
    <m/>
    <m/>
    <m/>
    <m/>
    <m/>
    <m/>
    <m/>
    <m/>
    <m/>
    <m/>
    <m/>
    <m/>
    <m/>
    <n v="0"/>
    <n v="0"/>
    <n v="0"/>
    <n v="0"/>
    <n v="0"/>
    <n v="0"/>
    <m/>
    <m/>
    <m/>
    <m/>
    <m/>
    <m/>
    <m/>
    <m/>
    <s v="Реаб."/>
    <m/>
    <n v="0"/>
    <s v="SGG"/>
    <d v="2024-01-10T00:00:00"/>
    <s v="BSG-240110-1/0(24)"/>
    <m/>
    <m/>
    <s v="Yes"/>
  </r>
  <r>
    <n v="2122"/>
    <s v="Имерети"/>
    <s v="Харагаули"/>
    <s v="(25) დ.ხარაგაული, სოფ. კიცხში დამეწყრილ მონაკვეთში გაზსადენის რეაბილიტაციის საპროექტო სამუშაოები P.6.918"/>
    <x v="9"/>
    <n v="0"/>
    <n v="2"/>
    <n v="1296.75"/>
    <m/>
    <n v="1296.75"/>
    <n v="-1296.75"/>
    <n v="0"/>
    <m/>
    <n v="0"/>
    <n v="0"/>
    <m/>
    <s v="P.6.918"/>
    <n v="0"/>
    <n v="0"/>
    <m/>
    <m/>
    <m/>
    <m/>
    <m/>
    <m/>
    <m/>
    <m/>
    <m/>
    <m/>
    <m/>
    <m/>
    <m/>
    <m/>
    <m/>
    <m/>
    <m/>
    <m/>
    <m/>
    <m/>
    <m/>
    <m/>
    <m/>
    <m/>
    <m/>
    <n v="0"/>
    <n v="0"/>
    <n v="0"/>
    <n v="0"/>
    <n v="0"/>
    <n v="0"/>
    <m/>
    <m/>
    <m/>
    <m/>
    <m/>
    <m/>
    <m/>
    <m/>
    <s v="Проектирование"/>
    <d v="2024-08-20T00:00:00"/>
    <s v="ПриПро"/>
    <s v="SGG"/>
    <d v="2024-01-10T00:00:00"/>
    <s v="BSG-240110-1/0(25)"/>
    <m/>
    <m/>
    <s v="No"/>
  </r>
  <r>
    <n v="2123"/>
    <s v="Имерети"/>
    <s v="Харагаули"/>
    <s v="(26) დ.ხარაგაული, სოფ. კიცხში დამეწყრილ მონაკვეთში გაზსადენის რეაბილიტაცია P.6.918"/>
    <x v="4"/>
    <n v="40000"/>
    <n v="2"/>
    <n v="51627.58"/>
    <n v="51627.58"/>
    <n v="51627.58"/>
    <n v="-11627.580000000002"/>
    <n v="0"/>
    <n v="696"/>
    <n v="0"/>
    <n v="0"/>
    <m/>
    <s v="P.6.918"/>
    <n v="0"/>
    <n v="0"/>
    <m/>
    <m/>
    <m/>
    <m/>
    <m/>
    <m/>
    <m/>
    <m/>
    <m/>
    <m/>
    <m/>
    <m/>
    <m/>
    <m/>
    <m/>
    <m/>
    <m/>
    <m/>
    <m/>
    <m/>
    <m/>
    <m/>
    <m/>
    <m/>
    <m/>
    <n v="0"/>
    <n v="0"/>
    <n v="0"/>
    <n v="0"/>
    <n v="0"/>
    <n v="0"/>
    <m/>
    <m/>
    <n v="0"/>
    <n v="4375.218644067797"/>
    <m/>
    <m/>
    <m/>
    <m/>
    <s v="Реаб."/>
    <d v="2024-11-28T00:00:00"/>
    <s v="Принят"/>
    <s v="SGG"/>
    <d v="2024-01-10T00:00:00"/>
    <s v="BSG-240110-1/0(26)"/>
    <m/>
    <m/>
    <s v="Yes"/>
  </r>
  <r>
    <n v="2124"/>
    <s v="Имерети"/>
    <s v="Зестафони"/>
    <s v="(27) სოფ. ქვედა საქარის დაბალი წნევის მიწისქვეშა გაზსადენის რეაბილიტაციის (დალაქიშვილების უბანი) საპროექტო სამუშაოები P.6.920"/>
    <x v="9"/>
    <n v="787.5"/>
    <n v="2"/>
    <n v="787.5"/>
    <m/>
    <n v="787.5"/>
    <n v="0"/>
    <n v="0"/>
    <m/>
    <n v="0"/>
    <n v="0"/>
    <m/>
    <s v="P.6.920"/>
    <n v="0"/>
    <n v="0"/>
    <m/>
    <m/>
    <m/>
    <m/>
    <m/>
    <m/>
    <m/>
    <m/>
    <m/>
    <m/>
    <m/>
    <m/>
    <m/>
    <m/>
    <m/>
    <m/>
    <m/>
    <m/>
    <m/>
    <m/>
    <m/>
    <m/>
    <m/>
    <m/>
    <m/>
    <n v="0"/>
    <n v="0"/>
    <n v="0"/>
    <n v="0"/>
    <n v="0"/>
    <n v="0"/>
    <m/>
    <m/>
    <m/>
    <m/>
    <m/>
    <m/>
    <m/>
    <m/>
    <s v="Проектирование"/>
    <d v="2024-05-01T00:00:00"/>
    <s v="ПриПро"/>
    <s v="SGG"/>
    <d v="2024-01-10T00:00:00"/>
    <s v="BSG-240110-1/0(27)"/>
    <m/>
    <m/>
    <s v="No"/>
  </r>
  <r>
    <n v="2125"/>
    <s v="Имерети"/>
    <s v="Зестафони"/>
    <s v="(28) სოფ. ქვედა საქარის დაბალი წნევის მიწისქვეშა გაზსადენის რეაბილიტაცია (დალაქიშვილების უბანი) P.6.920"/>
    <x v="4"/>
    <n v="40000"/>
    <n v="2"/>
    <n v="34696.699999999997"/>
    <n v="34696.699999999997"/>
    <n v="34696.699999999997"/>
    <n v="5303.3000000000029"/>
    <n v="0"/>
    <m/>
    <n v="0"/>
    <n v="0"/>
    <m/>
    <s v="P.6.920"/>
    <n v="0"/>
    <n v="0"/>
    <m/>
    <m/>
    <m/>
    <m/>
    <m/>
    <m/>
    <m/>
    <m/>
    <m/>
    <m/>
    <m/>
    <m/>
    <m/>
    <m/>
    <m/>
    <m/>
    <m/>
    <m/>
    <m/>
    <m/>
    <m/>
    <m/>
    <m/>
    <m/>
    <m/>
    <n v="0"/>
    <n v="0"/>
    <n v="0"/>
    <n v="0"/>
    <n v="0"/>
    <n v="0"/>
    <n v="0"/>
    <n v="0"/>
    <n v="0"/>
    <n v="2940.3983050847455"/>
    <m/>
    <m/>
    <m/>
    <m/>
    <s v="Реаб."/>
    <d v="2024-07-15T00:00:00"/>
    <s v="Принят"/>
    <s v="SGG"/>
    <d v="2024-01-10T00:00:00"/>
    <s v="BSG-240110-1/0(28)"/>
    <m/>
    <m/>
    <s v="Yes"/>
  </r>
  <r>
    <n v="2126"/>
    <s v="Имерети"/>
    <s v="Зестафони"/>
    <s v="(29) ქ. ზესტაფონი, დაბა შოროპანი, შოროპნის ციხეზე გამავალი D-150 მმ-იანი გაზსადენის რეაბილიტაციის საპროექტო სამუშაოები P.6.178"/>
    <x v="9"/>
    <n v="1051.75"/>
    <n v="2"/>
    <n v="1051.75"/>
    <m/>
    <n v="1051.75"/>
    <n v="0"/>
    <n v="0"/>
    <m/>
    <n v="0"/>
    <n v="0"/>
    <m/>
    <s v="P.6.178"/>
    <n v="0"/>
    <n v="0"/>
    <m/>
    <m/>
    <m/>
    <m/>
    <m/>
    <m/>
    <m/>
    <m/>
    <m/>
    <m/>
    <m/>
    <m/>
    <m/>
    <m/>
    <m/>
    <m/>
    <m/>
    <m/>
    <m/>
    <m/>
    <m/>
    <m/>
    <m/>
    <m/>
    <m/>
    <n v="0"/>
    <n v="0"/>
    <n v="0"/>
    <n v="0"/>
    <n v="0"/>
    <n v="0"/>
    <m/>
    <m/>
    <m/>
    <m/>
    <m/>
    <m/>
    <m/>
    <m/>
    <s v="Проектирование"/>
    <d v="2024-10-15T00:00:00"/>
    <s v="ПриПро"/>
    <s v="SGG"/>
    <d v="2024-01-10T00:00:00"/>
    <s v="BSG-240110-1/0(29)"/>
    <m/>
    <m/>
    <s v="No"/>
  </r>
  <r>
    <n v="2127"/>
    <s v="Имерети"/>
    <s v="Зестафони"/>
    <s v="(30) ქ. ზესტაფონი, დაბა შოროპანი, შოროპნის ციხეზე გამავალი D-150 მმ-იანი გაზსადენის რეაბილიტაცია P.6.178"/>
    <x v="4"/>
    <n v="35000"/>
    <n v="2"/>
    <n v="0"/>
    <m/>
    <n v="0"/>
    <n v="35000"/>
    <n v="0"/>
    <m/>
    <n v="35000"/>
    <n v="1"/>
    <m/>
    <s v="P.6.178"/>
    <n v="0"/>
    <n v="0"/>
    <m/>
    <m/>
    <m/>
    <m/>
    <m/>
    <m/>
    <m/>
    <m/>
    <m/>
    <m/>
    <m/>
    <m/>
    <m/>
    <m/>
    <m/>
    <m/>
    <m/>
    <m/>
    <m/>
    <m/>
    <m/>
    <m/>
    <m/>
    <m/>
    <m/>
    <n v="0"/>
    <n v="0"/>
    <n v="0"/>
    <n v="0"/>
    <n v="0"/>
    <n v="0"/>
    <m/>
    <m/>
    <m/>
    <m/>
    <m/>
    <m/>
    <m/>
    <m/>
    <s v="Реаб."/>
    <m/>
    <n v="0"/>
    <s v="SGG"/>
    <d v="2024-01-10T00:00:00"/>
    <s v="BSG-240110-1/0(30)"/>
    <m/>
    <m/>
    <s v="Yes"/>
  </r>
  <r>
    <n v="2128"/>
    <s v="Имерети"/>
    <s v="Зестафони"/>
    <s v="(31) ლეონიძის ქუჩის მიწისქვეშა გაზსადენის რეაბილიტაციის საპროექტო სამუშაოები P.6.555"/>
    <x v="9"/>
    <n v="428.75"/>
    <n v="2"/>
    <n v="428.75"/>
    <m/>
    <n v="428.75"/>
    <n v="0"/>
    <n v="0"/>
    <m/>
    <n v="0"/>
    <n v="0"/>
    <m/>
    <s v="P.6.555"/>
    <n v="0"/>
    <n v="0"/>
    <m/>
    <m/>
    <m/>
    <m/>
    <m/>
    <m/>
    <m/>
    <m/>
    <m/>
    <m/>
    <m/>
    <m/>
    <m/>
    <m/>
    <m/>
    <m/>
    <m/>
    <m/>
    <m/>
    <m/>
    <m/>
    <m/>
    <m/>
    <m/>
    <m/>
    <n v="0"/>
    <n v="0"/>
    <n v="0"/>
    <n v="0"/>
    <n v="0"/>
    <n v="0"/>
    <m/>
    <m/>
    <m/>
    <m/>
    <m/>
    <m/>
    <m/>
    <m/>
    <s v="Проектирование"/>
    <d v="2024-10-15T00:00:00"/>
    <s v="ПриПро"/>
    <s v="SGG"/>
    <d v="2024-01-10T00:00:00"/>
    <s v="BSG-240110-1/0(31)"/>
    <m/>
    <m/>
    <s v="No"/>
  </r>
  <r>
    <n v="2129"/>
    <s v="Имерети"/>
    <s v="Зестафони"/>
    <s v="(32) ლეონიძის ქუჩის მიწისქვეშა გაზსადენის რეაბილიტაცია P.6.555"/>
    <x v="4"/>
    <n v="30920.49"/>
    <n v="2"/>
    <n v="30920.49"/>
    <n v="30920.49"/>
    <n v="4716.68"/>
    <n v="26203.81"/>
    <n v="26203.81"/>
    <n v="296"/>
    <n v="26203.81"/>
    <n v="1"/>
    <m/>
    <s v="P.6.555"/>
    <n v="30920.49"/>
    <n v="4716.68"/>
    <m/>
    <m/>
    <n v="30920.49"/>
    <m/>
    <m/>
    <n v="4716.68"/>
    <m/>
    <m/>
    <m/>
    <m/>
    <m/>
    <m/>
    <m/>
    <m/>
    <m/>
    <m/>
    <m/>
    <m/>
    <m/>
    <m/>
    <m/>
    <m/>
    <m/>
    <m/>
    <m/>
    <n v="0"/>
    <n v="0"/>
    <n v="0"/>
    <n v="0"/>
    <n v="0"/>
    <n v="0"/>
    <m/>
    <m/>
    <m/>
    <e v="#REF!"/>
    <m/>
    <m/>
    <m/>
    <m/>
    <s v="Реаб."/>
    <d v="2025-02-18T00:00:00"/>
    <s v="Принят"/>
    <s v="SGG"/>
    <d v="2024-01-10T00:00:00"/>
    <s v="BSG-240110-1/0(32)"/>
    <m/>
    <m/>
    <s v="Yes"/>
  </r>
  <r>
    <n v="2130"/>
    <s v="Имерети"/>
    <s v="Чиатура"/>
    <s v="(33) გაზსადენის შეღებვა: ქ. ჭიათურა, 22-ე საუბნო - ცხოვრებაძის ქ, ჭანტურიას ქ, ბაქრაძის ქ, 6- საუბნო ჭანტურიას და ჩაჩანიძის ქ , მე-5 საუბნო - ჩაჩანიძის ქ, ლეჟუბნის ქ,  9-აპრილის ქ, ვაჟა-ფშაველას ქ, აბაშიძის ქ. 1-ლი საუბნო - თბილისის ქ, ტოლსტოის ქ, 26 მაისის ქ. P.6.247"/>
    <x v="4"/>
    <n v="25000"/>
    <n v="2"/>
    <n v="0"/>
    <m/>
    <n v="0"/>
    <n v="25000"/>
    <n v="0"/>
    <m/>
    <n v="25000"/>
    <n v="1"/>
    <m/>
    <s v="P.6.247"/>
    <n v="0"/>
    <n v="0"/>
    <m/>
    <m/>
    <m/>
    <m/>
    <m/>
    <m/>
    <m/>
    <m/>
    <m/>
    <m/>
    <m/>
    <m/>
    <m/>
    <m/>
    <m/>
    <m/>
    <m/>
    <m/>
    <m/>
    <m/>
    <m/>
    <m/>
    <m/>
    <m/>
    <m/>
    <n v="0"/>
    <n v="0"/>
    <n v="0"/>
    <n v="0"/>
    <n v="0"/>
    <n v="0"/>
    <m/>
    <m/>
    <m/>
    <m/>
    <m/>
    <m/>
    <m/>
    <m/>
    <s v="Реаб."/>
    <m/>
    <n v="0"/>
    <s v="SGG"/>
    <d v="2024-01-10T00:00:00"/>
    <s v="BSG-240110-1/0(33)"/>
    <m/>
    <m/>
    <s v="Yes"/>
  </r>
  <r>
    <n v="2131"/>
    <s v="Имерети"/>
    <s v="Цкалтубо"/>
    <s v="(34) სოფ. ჩუნეშში ე.წ &quot;გოგიაურის&quot; უბნის  ცენტრალური ნაწილის  დ-63მმ-იანი დაბ/წნევის  გაზსადენის რეაბილიტაციის საპროექტო სამუშაოები P.6.874 (P.6.921)"/>
    <x v="9"/>
    <n v="1786.75"/>
    <n v="2"/>
    <n v="1786.75"/>
    <m/>
    <n v="1786.75"/>
    <n v="0"/>
    <n v="0"/>
    <m/>
    <n v="0"/>
    <n v="0"/>
    <m/>
    <s v="P.6.874 (მოიცავს P.6.921)"/>
    <n v="0"/>
    <n v="0"/>
    <m/>
    <m/>
    <m/>
    <m/>
    <m/>
    <m/>
    <m/>
    <m/>
    <m/>
    <m/>
    <m/>
    <m/>
    <m/>
    <m/>
    <m/>
    <m/>
    <m/>
    <m/>
    <m/>
    <m/>
    <m/>
    <m/>
    <m/>
    <m/>
    <m/>
    <n v="0"/>
    <n v="0"/>
    <n v="0"/>
    <n v="0"/>
    <n v="0"/>
    <n v="0"/>
    <m/>
    <m/>
    <m/>
    <m/>
    <m/>
    <m/>
    <m/>
    <m/>
    <s v="Проектирование"/>
    <d v="2024-05-01T00:00:00"/>
    <s v="ПриПро"/>
    <s v="SGG"/>
    <d v="2024-01-10T00:00:00"/>
    <s v="BSG-240110-1/0(34)"/>
    <m/>
    <m/>
    <s v="No"/>
  </r>
  <r>
    <n v="2132"/>
    <s v="Имерети"/>
    <s v="Цкалтубо"/>
    <s v="(35) სოფ. ჩუნეშში ე.წ &quot;გოგიაურის&quot; უბნის  ცენტრალური ნაწილის  დ-63მმ-იანი დაბ/წნევის  გაზსადენის რეაბილიტაცია P.6.874 (P.6.921)"/>
    <x v="4"/>
    <n v="20000"/>
    <n v="2"/>
    <n v="44620.47"/>
    <n v="44620.47"/>
    <n v="44620.46"/>
    <n v="-24620.46"/>
    <n v="1.0000000002037268E-2"/>
    <n v="969"/>
    <n v="1.0000000002037268E-2"/>
    <n v="0"/>
    <m/>
    <s v="P.6.874 (მოიცავს P.6.921)"/>
    <n v="0"/>
    <n v="0"/>
    <m/>
    <m/>
    <m/>
    <m/>
    <m/>
    <m/>
    <m/>
    <m/>
    <m/>
    <m/>
    <m/>
    <m/>
    <m/>
    <m/>
    <m/>
    <m/>
    <m/>
    <m/>
    <m/>
    <m/>
    <m/>
    <m/>
    <m/>
    <m/>
    <m/>
    <n v="0"/>
    <n v="0"/>
    <n v="0"/>
    <n v="0"/>
    <n v="0"/>
    <n v="0"/>
    <m/>
    <m/>
    <n v="0"/>
    <n v="3781.3957627118648"/>
    <m/>
    <m/>
    <m/>
    <m/>
    <s v="Реаб."/>
    <d v="2024-07-15T00:00:00"/>
    <s v="Принят"/>
    <s v="SGG"/>
    <d v="2024-01-10T00:00:00"/>
    <s v="BSG-240110-1/0(35)"/>
    <m/>
    <m/>
    <s v="Yes"/>
  </r>
  <r>
    <n v="2133"/>
    <s v="Имерети"/>
    <s v="Зестафони"/>
    <s v="(36) სოფ. ზედა საქარის სკოლასთან არსებული D=150 მმ საჰაერო გადასვლის დემონტაჟი და მე 11 კვანძიდან გაზმომარაგების ქსელის მშენებლობა. საპროექტო სამუშაოები P.6.552"/>
    <x v="9"/>
    <n v="610.75"/>
    <n v="2"/>
    <n v="476"/>
    <m/>
    <n v="476"/>
    <n v="134.75"/>
    <n v="0"/>
    <m/>
    <n v="0"/>
    <n v="0"/>
    <m/>
    <s v="P.6.552"/>
    <n v="0"/>
    <n v="0"/>
    <m/>
    <m/>
    <m/>
    <m/>
    <m/>
    <m/>
    <m/>
    <m/>
    <m/>
    <m/>
    <m/>
    <m/>
    <m/>
    <m/>
    <m/>
    <m/>
    <m/>
    <m/>
    <m/>
    <m/>
    <m/>
    <m/>
    <m/>
    <m/>
    <m/>
    <n v="0"/>
    <n v="0"/>
    <n v="0"/>
    <n v="0"/>
    <n v="0"/>
    <n v="0"/>
    <m/>
    <m/>
    <m/>
    <m/>
    <m/>
    <m/>
    <m/>
    <m/>
    <s v="Проектирование"/>
    <d v="2024-07-02T00:00:00"/>
    <s v="ПриПро"/>
    <s v="SGG"/>
    <d v="2024-01-10T00:00:00"/>
    <s v="BSG-240110-1/0(36)"/>
    <m/>
    <m/>
    <s v="No"/>
  </r>
  <r>
    <n v="2134"/>
    <s v="Имерети"/>
    <s v="Зестафони"/>
    <s v="(37) სოფ. ზედა საქარის სკოლასთან არსებული D=150 მმ საჰაერო გადასვლის დემონტაჟი და მე 11 კვანძიდან გაზმომარაგების ქსელის მშენებლობა. P.6.552"/>
    <x v="4"/>
    <n v="20000"/>
    <n v="2"/>
    <n v="14677.97"/>
    <n v="14677.97"/>
    <n v="14677.97"/>
    <n v="5322.0300000000007"/>
    <n v="0"/>
    <n v="261"/>
    <n v="0"/>
    <n v="0"/>
    <m/>
    <s v="P.6.552"/>
    <n v="0"/>
    <n v="0"/>
    <m/>
    <m/>
    <m/>
    <m/>
    <m/>
    <m/>
    <m/>
    <m/>
    <m/>
    <m/>
    <m/>
    <m/>
    <m/>
    <m/>
    <m/>
    <m/>
    <m/>
    <m/>
    <m/>
    <m/>
    <m/>
    <m/>
    <m/>
    <m/>
    <m/>
    <n v="0"/>
    <n v="0"/>
    <n v="0"/>
    <n v="0"/>
    <n v="0"/>
    <n v="0"/>
    <m/>
    <m/>
    <n v="0"/>
    <n v="1243.8957627118643"/>
    <m/>
    <m/>
    <m/>
    <m/>
    <s v="Реаб."/>
    <d v="2024-08-27T00:00:00"/>
    <s v="Принят"/>
    <s v="SGG"/>
    <d v="2024-01-10T00:00:00"/>
    <s v="BSG-240110-1/0(37)"/>
    <m/>
    <m/>
    <s v="Yes"/>
  </r>
  <r>
    <n v="2135"/>
    <s v="Имерети"/>
    <s v="Цкалтубо"/>
    <s v="(38) N36 საუბნოზე, სოფ. ჩუნეშში ე.წ &quot;მინდორის დასახლება&quot; დ-40მმ-იანი დაბ/წნევის გაზსადენის რეაბილიტაცია. N36 საუბნოზე, სოფ. ჩუნეშში ე.წ &quot;მინდორის დასახლება&quot; დ-63მმ-იანი დაბ/წნევის გაზსადენის რეაბილიტაციის საპროექტო სამუშაოები P.6.921 (შედის P.6.874-ში)"/>
    <x v="9"/>
    <n v="0"/>
    <n v="2"/>
    <m/>
    <m/>
    <m/>
    <n v="0"/>
    <n v="0"/>
    <m/>
    <n v="0"/>
    <n v="2"/>
    <m/>
    <s v="P.6.921 (შედის P.6.874-ში)"/>
    <n v="0"/>
    <n v="0"/>
    <m/>
    <m/>
    <m/>
    <m/>
    <m/>
    <m/>
    <m/>
    <m/>
    <m/>
    <m/>
    <m/>
    <m/>
    <m/>
    <m/>
    <m/>
    <m/>
    <m/>
    <m/>
    <m/>
    <m/>
    <m/>
    <m/>
    <m/>
    <m/>
    <m/>
    <n v="0"/>
    <n v="0"/>
    <n v="0"/>
    <n v="0"/>
    <n v="0"/>
    <n v="0"/>
    <m/>
    <m/>
    <m/>
    <m/>
    <m/>
    <m/>
    <m/>
    <m/>
    <s v="Проектирование"/>
    <m/>
    <n v="0"/>
    <s v="SGG"/>
    <d v="2024-01-10T00:00:00"/>
    <s v="BSG-240110-1/0(38)"/>
    <m/>
    <m/>
    <s v="No"/>
  </r>
  <r>
    <n v="2136"/>
    <s v="Имерети"/>
    <s v="Цкалтубо"/>
    <s v="(39) N36 საუბნოზე, სოფ. ჩუნეშში ე.წ &quot;მინდორის დასახლება&quot; დ-40მმ-იანი დაბ/წნევის გაზსადენის რეაბილიტაცია. N36 საუბნოზე, სოფ. ჩუნეშში ე.წ &quot;მინდორის დასახლება&quot; დ-63მმ-იანი დაბ/წნევის გაზსადენის რეაბილიტაცია P.6.921 (შედის P.6.874-ში)"/>
    <x v="4"/>
    <n v="20000"/>
    <n v="2"/>
    <n v="0"/>
    <m/>
    <n v="0"/>
    <n v="20000"/>
    <n v="0"/>
    <m/>
    <n v="20000"/>
    <n v="1"/>
    <m/>
    <s v="P.6.921 (შედის P.6.874-ში)"/>
    <n v="0"/>
    <n v="0"/>
    <m/>
    <m/>
    <m/>
    <m/>
    <m/>
    <m/>
    <m/>
    <m/>
    <m/>
    <m/>
    <m/>
    <m/>
    <m/>
    <m/>
    <m/>
    <m/>
    <m/>
    <m/>
    <m/>
    <m/>
    <m/>
    <m/>
    <m/>
    <m/>
    <m/>
    <n v="0"/>
    <n v="0"/>
    <n v="0"/>
    <n v="0"/>
    <n v="0"/>
    <n v="0"/>
    <m/>
    <m/>
    <m/>
    <m/>
    <m/>
    <m/>
    <m/>
    <m/>
    <s v="Реаб."/>
    <m/>
    <n v="0"/>
    <s v="SGG"/>
    <d v="2024-01-10T00:00:00"/>
    <s v="BSG-240110-1/0(39)"/>
    <m/>
    <m/>
    <s v="Yes"/>
  </r>
  <r>
    <n v="2137"/>
    <s v="Имерети"/>
    <s v="Зестафони"/>
    <s v="(40) მერკვილაძის ქუჩის მიწისქვეშა დაბალი წნევის გაზსადენის რეაბილიტაციის საპროექტო სამუშაოები P.6.29"/>
    <x v="9"/>
    <n v="427"/>
    <n v="2"/>
    <n v="427"/>
    <m/>
    <n v="427"/>
    <n v="0"/>
    <n v="0"/>
    <m/>
    <n v="0"/>
    <n v="0"/>
    <m/>
    <s v="P.6.29"/>
    <n v="0"/>
    <n v="0"/>
    <m/>
    <m/>
    <m/>
    <m/>
    <m/>
    <m/>
    <m/>
    <m/>
    <m/>
    <m/>
    <m/>
    <m/>
    <m/>
    <m/>
    <m/>
    <m/>
    <m/>
    <m/>
    <m/>
    <m/>
    <m/>
    <m/>
    <m/>
    <m/>
    <m/>
    <n v="0"/>
    <n v="0"/>
    <n v="0"/>
    <n v="0"/>
    <n v="0"/>
    <n v="0"/>
    <m/>
    <m/>
    <m/>
    <m/>
    <m/>
    <m/>
    <m/>
    <m/>
    <s v="Проектирование"/>
    <d v="2024-07-02T00:00:00"/>
    <s v="ПриПро"/>
    <s v="SGG"/>
    <d v="2024-01-10T00:00:00"/>
    <s v="BSG-240110-1/0(40)"/>
    <m/>
    <m/>
    <s v="No"/>
  </r>
  <r>
    <n v="2138"/>
    <s v="Имерети"/>
    <s v="Зестафони"/>
    <s v="(41) მერკვილაძის ქუჩის მიწისქვეშა დაბალი წნევის გაზსადენის რეაბილიტაცია P.6.29"/>
    <x v="4"/>
    <n v="20000"/>
    <n v="2"/>
    <n v="23485.83"/>
    <n v="23485.83"/>
    <n v="23485.83"/>
    <n v="-3485.8300000000017"/>
    <n v="0"/>
    <n v="245"/>
    <n v="0"/>
    <n v="0"/>
    <m/>
    <s v="P.6.29"/>
    <n v="0"/>
    <n v="0"/>
    <m/>
    <m/>
    <m/>
    <m/>
    <m/>
    <m/>
    <m/>
    <m/>
    <m/>
    <m/>
    <m/>
    <m/>
    <m/>
    <m/>
    <m/>
    <m/>
    <m/>
    <m/>
    <m/>
    <m/>
    <m/>
    <m/>
    <m/>
    <m/>
    <m/>
    <n v="0"/>
    <n v="0"/>
    <n v="0"/>
    <n v="0"/>
    <n v="0"/>
    <n v="0"/>
    <m/>
    <m/>
    <n v="0"/>
    <n v="1990.3245762711867"/>
    <m/>
    <m/>
    <m/>
    <m/>
    <s v="Реаб."/>
    <d v="2024-08-27T00:00:00"/>
    <s v="Принят"/>
    <s v="SGG"/>
    <d v="2024-01-10T00:00:00"/>
    <s v="BSG-240110-1/0(41)"/>
    <m/>
    <m/>
    <s v="Yes"/>
  </r>
  <r>
    <n v="2139"/>
    <s v="Имерети"/>
    <s v="Цкалтубо"/>
    <s v="(42) N99 საუბნოზე, მიწისქვეშა ფოლადის ამორტიზებული დ-100 მმ გადასვლების რეაბილიტაციის საპროექტო სამუშაოები P.6.216"/>
    <x v="9"/>
    <n v="0"/>
    <n v="2"/>
    <n v="691.25"/>
    <m/>
    <n v="691.25"/>
    <n v="-691.25"/>
    <n v="0"/>
    <m/>
    <n v="0"/>
    <n v="0"/>
    <m/>
    <s v="P.6.216"/>
    <n v="0"/>
    <n v="0"/>
    <m/>
    <m/>
    <m/>
    <m/>
    <m/>
    <m/>
    <m/>
    <m/>
    <m/>
    <m/>
    <m/>
    <m/>
    <m/>
    <m/>
    <m/>
    <m/>
    <m/>
    <m/>
    <m/>
    <m/>
    <m/>
    <m/>
    <m/>
    <m/>
    <m/>
    <n v="0"/>
    <n v="0"/>
    <n v="0"/>
    <n v="0"/>
    <n v="0"/>
    <n v="0"/>
    <m/>
    <m/>
    <m/>
    <m/>
    <m/>
    <m/>
    <m/>
    <m/>
    <s v="Проектирование"/>
    <d v="2024-08-20T00:00:00"/>
    <s v="ПриПро"/>
    <s v="SGG"/>
    <d v="2024-01-10T00:00:00"/>
    <s v="BSG-240110-1/0(42)"/>
    <m/>
    <m/>
    <s v="No"/>
  </r>
  <r>
    <n v="2140"/>
    <s v="Имерети"/>
    <s v="Цкалтубо"/>
    <s v="(43) N99 საუბნოზე, მიწისქვეშა ფოლადის ამორტიზებული დ-100 მმ გადასვლების რეაბილიტაცია. P.6.216"/>
    <x v="4"/>
    <n v="15000"/>
    <n v="2"/>
    <n v="41972.44"/>
    <n v="41972.44"/>
    <n v="41972.44"/>
    <n v="-26972.440000000002"/>
    <n v="0"/>
    <n v="397"/>
    <n v="0"/>
    <n v="0"/>
    <m/>
    <s v="P.6.216"/>
    <n v="0"/>
    <n v="0"/>
    <m/>
    <m/>
    <m/>
    <m/>
    <m/>
    <m/>
    <m/>
    <m/>
    <m/>
    <m/>
    <m/>
    <m/>
    <m/>
    <m/>
    <m/>
    <m/>
    <m/>
    <m/>
    <m/>
    <m/>
    <m/>
    <m/>
    <m/>
    <m/>
    <m/>
    <n v="0"/>
    <n v="0"/>
    <n v="0"/>
    <n v="0"/>
    <n v="0"/>
    <n v="0"/>
    <m/>
    <m/>
    <n v="0"/>
    <n v="3556.9864406779666"/>
    <m/>
    <m/>
    <m/>
    <m/>
    <s v="Реаб."/>
    <d v="2024-10-29T00:00:00"/>
    <s v="Принят"/>
    <s v="SGG"/>
    <d v="2024-01-10T00:00:00"/>
    <s v="BSG-240110-1/0(43)"/>
    <m/>
    <m/>
    <s v="Yes"/>
  </r>
  <r>
    <n v="2141"/>
    <s v="Имерети"/>
    <s v="Зестафони"/>
    <s v="(44) ზესტაფონის მუნიციპალიტეტის, სოფ. მეორე სვირის ჯუღელების უბნის გაზსადენის რეაბილიტაციის საპროექტო სამუშაოები P.6.1121"/>
    <x v="9"/>
    <n v="1435"/>
    <n v="2"/>
    <n v="1435"/>
    <m/>
    <n v="1435"/>
    <n v="0"/>
    <n v="0"/>
    <m/>
    <n v="0"/>
    <n v="0"/>
    <m/>
    <s v="P.6.1121"/>
    <n v="0"/>
    <n v="0"/>
    <m/>
    <m/>
    <m/>
    <m/>
    <m/>
    <m/>
    <m/>
    <m/>
    <m/>
    <m/>
    <m/>
    <m/>
    <m/>
    <m/>
    <m/>
    <m/>
    <m/>
    <m/>
    <m/>
    <m/>
    <m/>
    <m/>
    <m/>
    <m/>
    <m/>
    <n v="0"/>
    <n v="0"/>
    <n v="0"/>
    <n v="0"/>
    <n v="0"/>
    <n v="0"/>
    <m/>
    <m/>
    <m/>
    <m/>
    <m/>
    <m/>
    <m/>
    <m/>
    <s v="Проектирование"/>
    <d v="2024-05-01T00:00:00"/>
    <s v="ПриПро"/>
    <s v="SGG"/>
    <d v="2024-01-10T00:00:00"/>
    <s v="BSG-240110-1/0(44)"/>
    <m/>
    <m/>
    <s v="No"/>
  </r>
  <r>
    <n v="2142"/>
    <s v="Имерети"/>
    <s v="Зестафони"/>
    <s v="(45) ზესტაფონის მუნიციპალიტეტის, სოფ. მეორე სვირის ჯუღელების უბნის გაზსადენის რეაბილიტაცია P.6.1121"/>
    <x v="4"/>
    <n v="80000"/>
    <n v="2"/>
    <n v="68824.58"/>
    <n v="68824.58"/>
    <n v="68824.58"/>
    <n v="11175.419999999998"/>
    <n v="0"/>
    <n v="855"/>
    <n v="0"/>
    <n v="0"/>
    <m/>
    <s v="P.6.1121"/>
    <n v="0"/>
    <n v="0"/>
    <m/>
    <m/>
    <m/>
    <m/>
    <m/>
    <m/>
    <m/>
    <m/>
    <m/>
    <m/>
    <m/>
    <m/>
    <m/>
    <m/>
    <m/>
    <m/>
    <m/>
    <m/>
    <m/>
    <m/>
    <m/>
    <m/>
    <m/>
    <m/>
    <m/>
    <n v="0"/>
    <n v="0"/>
    <n v="0"/>
    <n v="0"/>
    <n v="0"/>
    <n v="0"/>
    <m/>
    <m/>
    <n v="0"/>
    <n v="5832.5915254237298"/>
    <m/>
    <m/>
    <m/>
    <m/>
    <s v="Реаб."/>
    <d v="2024-07-15T00:00:00"/>
    <s v="Принят"/>
    <s v="SGG"/>
    <d v="2024-01-10T00:00:00"/>
    <s v="BSG-240110-1/0(45)"/>
    <m/>
    <m/>
    <s v="Yes"/>
  </r>
  <r>
    <n v="2143"/>
    <s v="Имерети"/>
    <s v="Зестафони"/>
    <s v="(46) ელემენტების ქარხნის მიმდებარედ არსებული საჰაერო გაზსადენის საყრდენების რეაბილიტაციის საპროექტო სამუშაოები P.6.558"/>
    <x v="9"/>
    <n v="476"/>
    <n v="2"/>
    <n v="610.75"/>
    <m/>
    <n v="610.75"/>
    <n v="-134.75"/>
    <n v="0"/>
    <m/>
    <n v="0"/>
    <n v="0"/>
    <m/>
    <s v="P.6.558"/>
    <n v="0"/>
    <n v="0"/>
    <m/>
    <m/>
    <m/>
    <m/>
    <m/>
    <m/>
    <m/>
    <m/>
    <m/>
    <m/>
    <m/>
    <m/>
    <m/>
    <m/>
    <m/>
    <m/>
    <m/>
    <m/>
    <m/>
    <m/>
    <m/>
    <m/>
    <m/>
    <m/>
    <m/>
    <n v="0"/>
    <n v="0"/>
    <n v="0"/>
    <n v="0"/>
    <n v="0"/>
    <n v="0"/>
    <m/>
    <m/>
    <m/>
    <m/>
    <m/>
    <m/>
    <m/>
    <m/>
    <s v="Проектирование"/>
    <d v="2024-07-02T00:00:00"/>
    <s v="ПриПро"/>
    <s v="SGG"/>
    <d v="2024-01-10T00:00:00"/>
    <s v="BSG-240110-1/0(46)"/>
    <m/>
    <m/>
    <s v="No"/>
  </r>
  <r>
    <n v="2144"/>
    <s v="Имерети"/>
    <s v="Зестафони"/>
    <s v="(47) ელემენტების ქარხნის მიმდებარედ არსებული საჰაერო გაზსადენის საყრდენების რეაბილიტაცია P.6.558"/>
    <x v="4"/>
    <n v="15000"/>
    <n v="2"/>
    <n v="28137.17"/>
    <n v="28137.17"/>
    <n v="28137.170000000002"/>
    <n v="-13137.170000000002"/>
    <n v="0"/>
    <n v="318"/>
    <n v="-3.637978807091713E-12"/>
    <n v="0"/>
    <m/>
    <s v="P.6.558"/>
    <n v="0"/>
    <n v="0"/>
    <m/>
    <m/>
    <m/>
    <m/>
    <m/>
    <m/>
    <m/>
    <m/>
    <m/>
    <m/>
    <m/>
    <m/>
    <m/>
    <m/>
    <m/>
    <m/>
    <m/>
    <m/>
    <m/>
    <m/>
    <m/>
    <m/>
    <m/>
    <m/>
    <m/>
    <n v="0"/>
    <n v="0"/>
    <n v="0"/>
    <n v="0"/>
    <n v="0"/>
    <n v="0"/>
    <m/>
    <m/>
    <n v="0"/>
    <n v="2384.5059322033899"/>
    <m/>
    <m/>
    <m/>
    <m/>
    <s v="Реаб."/>
    <d v="2024-08-27T00:00:00"/>
    <s v="Принят"/>
    <s v="SGG"/>
    <d v="2024-01-10T00:00:00"/>
    <s v="BSG-240110-1/0(47)"/>
    <m/>
    <m/>
    <s v="Yes"/>
  </r>
  <r>
    <n v="2145"/>
    <s v="Имерети"/>
    <s v="Цкалтубо"/>
    <s v="(48) სოფელ გუმბრის ტერიტორიაზე, წყალტუბო-ქუთაისის საავტომობილო გზის ორივე მხარეს, საშ. წნევის  გაზსადენის მშენებლობა, საპროექტო სამუშაოები. P.6.569"/>
    <x v="9"/>
    <n v="13130.25"/>
    <n v="2"/>
    <n v="13130.25"/>
    <m/>
    <n v="13130.25"/>
    <n v="0"/>
    <n v="0"/>
    <m/>
    <n v="0"/>
    <n v="0"/>
    <m/>
    <s v="P.6.569"/>
    <n v="0"/>
    <n v="0"/>
    <m/>
    <m/>
    <m/>
    <m/>
    <m/>
    <m/>
    <m/>
    <m/>
    <m/>
    <m/>
    <m/>
    <m/>
    <m/>
    <m/>
    <m/>
    <m/>
    <m/>
    <m/>
    <m/>
    <m/>
    <m/>
    <m/>
    <m/>
    <m/>
    <m/>
    <n v="0"/>
    <n v="0"/>
    <n v="0"/>
    <n v="0"/>
    <n v="0"/>
    <n v="0"/>
    <m/>
    <m/>
    <m/>
    <m/>
    <m/>
    <m/>
    <m/>
    <m/>
    <s v="Проектирование"/>
    <d v="2024-05-01T00:00:00"/>
    <s v="ПриПро"/>
    <s v="SGG"/>
    <d v="2024-01-10T00:00:00"/>
    <s v="BSG-240110-1/0(48)"/>
    <m/>
    <m/>
    <s v="No"/>
  </r>
  <r>
    <n v="2146"/>
    <s v="Имерети"/>
    <s v="Цкалтубо"/>
    <s v="(49) სოფელ გუმბრის ტერიტორიაზე, წყალტუბო-ქუთაისის საავტომობილო გზის ორივე მხარეს, საშ. წნევის გაზსადენის მშენებლობა P.6.569"/>
    <x v="4"/>
    <n v="890000"/>
    <n v="2"/>
    <n v="578913.34"/>
    <n v="578913.34"/>
    <n v="578913.34"/>
    <n v="311086.66000000003"/>
    <n v="0"/>
    <n v="7519"/>
    <n v="0"/>
    <n v="0"/>
    <m/>
    <s v="P.6.569"/>
    <n v="0"/>
    <n v="0"/>
    <m/>
    <m/>
    <m/>
    <m/>
    <m/>
    <m/>
    <m/>
    <m/>
    <m/>
    <m/>
    <m/>
    <m/>
    <m/>
    <m/>
    <m/>
    <m/>
    <m/>
    <m/>
    <m/>
    <m/>
    <m/>
    <m/>
    <m/>
    <m/>
    <m/>
    <n v="0"/>
    <n v="0"/>
    <n v="0"/>
    <n v="0"/>
    <n v="0"/>
    <n v="0"/>
    <n v="423728.82"/>
    <n v="34363.25"/>
    <n v="0"/>
    <n v="45624.12754237288"/>
    <m/>
    <m/>
    <m/>
    <m/>
    <s v="Н. Стр."/>
    <d v="2024-10-29T00:00:00"/>
    <s v="Принят"/>
    <s v="SGG"/>
    <d v="2024-01-10T00:00:00"/>
    <s v="BSG-240110-1/0(49)"/>
    <m/>
    <m/>
    <s v="Yes"/>
  </r>
  <r>
    <n v="2147"/>
    <s v="Имерети"/>
    <s v="Кутаиси"/>
    <s v="(1) მრიცხველების შეცვლა გამოტანა 8000  P.6.191 (8)"/>
    <x v="9"/>
    <n v="0"/>
    <n v="2"/>
    <m/>
    <m/>
    <n v="0"/>
    <n v="0"/>
    <n v="0"/>
    <m/>
    <n v="0"/>
    <n v="2"/>
    <m/>
    <s v="P.6.191 (8)"/>
    <n v="0"/>
    <n v="0"/>
    <m/>
    <m/>
    <m/>
    <m/>
    <m/>
    <m/>
    <m/>
    <m/>
    <m/>
    <m/>
    <m/>
    <m/>
    <m/>
    <m/>
    <m/>
    <m/>
    <m/>
    <m/>
    <m/>
    <m/>
    <m/>
    <m/>
    <m/>
    <m/>
    <m/>
    <n v="0"/>
    <n v="0"/>
    <n v="0"/>
    <n v="0"/>
    <n v="0"/>
    <n v="0"/>
    <m/>
    <m/>
    <m/>
    <m/>
    <m/>
    <m/>
    <m/>
    <m/>
    <s v="Проектирование"/>
    <m/>
    <n v="0"/>
    <s v="Сакорггаз"/>
    <d v="2024-01-10T00:00:00"/>
    <s v="BCG-240110-1/0(1)"/>
    <m/>
    <s v="ეს კორპუსებია!"/>
    <s v="No"/>
  </r>
  <r>
    <n v="2148"/>
    <s v="Имерети"/>
    <s v="Кутаиси"/>
    <s v="(2) მრიცხველების შეცვლა გამოტანა 8000  P.6.191 (8)"/>
    <x v="4"/>
    <n v="8000000"/>
    <n v="2"/>
    <n v="81746"/>
    <m/>
    <n v="81746"/>
    <n v="7918254"/>
    <n v="0"/>
    <m/>
    <n v="7918254"/>
    <n v="1"/>
    <m/>
    <s v="P.6.191 (8)"/>
    <n v="0"/>
    <n v="0"/>
    <m/>
    <m/>
    <m/>
    <m/>
    <m/>
    <m/>
    <m/>
    <m/>
    <m/>
    <m/>
    <m/>
    <m/>
    <m/>
    <m/>
    <m/>
    <m/>
    <m/>
    <m/>
    <m/>
    <m/>
    <m/>
    <m/>
    <m/>
    <m/>
    <m/>
    <n v="0"/>
    <n v="0"/>
    <n v="0"/>
    <n v="0"/>
    <n v="0"/>
    <n v="0"/>
    <m/>
    <m/>
    <m/>
    <m/>
    <m/>
    <m/>
    <m/>
    <m/>
    <s v="Реаб."/>
    <m/>
    <n v="0"/>
    <s v="Сакорггаз"/>
    <d v="2024-01-10T00:00:00"/>
    <s v="BCG-240110-1/0(2)"/>
    <m/>
    <s v="ეს კორპუსებია!"/>
    <s v="Yes"/>
  </r>
  <r>
    <n v="2149"/>
    <s v="Имерети"/>
    <s v="Терджола"/>
    <s v="(3) ქ. თერჯოლის ცენტრალური გზის მარჯვენა მხარეს განლაგებული (აღმაშენებლის, რუსთაველის, ჯაბიძის, სულხან-საბას, სოფრომაძის, 9 აპრილის, წერეთლის) ქუჩების მკვებავი ქსელის რეაბილიტაცია (N-3 N-4 N9 საუბნოები) P.6.746"/>
    <x v="9"/>
    <n v="0"/>
    <n v="2"/>
    <m/>
    <m/>
    <m/>
    <n v="0"/>
    <n v="0"/>
    <m/>
    <n v="0"/>
    <n v="2"/>
    <m/>
    <s v="P.6.746"/>
    <n v="0"/>
    <n v="0"/>
    <m/>
    <m/>
    <m/>
    <m/>
    <m/>
    <m/>
    <m/>
    <m/>
    <m/>
    <m/>
    <m/>
    <m/>
    <m/>
    <m/>
    <m/>
    <m/>
    <m/>
    <m/>
    <m/>
    <m/>
    <m/>
    <m/>
    <m/>
    <m/>
    <m/>
    <n v="0"/>
    <n v="0"/>
    <n v="0"/>
    <n v="0"/>
    <n v="0"/>
    <n v="0"/>
    <m/>
    <m/>
    <m/>
    <m/>
    <m/>
    <m/>
    <m/>
    <m/>
    <s v="Проектирование"/>
    <m/>
    <n v="0"/>
    <s v="Сакорггаз"/>
    <d v="2024-01-10T00:00:00"/>
    <s v="BCG-240110-1/0(3)"/>
    <m/>
    <m/>
    <s v="No"/>
  </r>
  <r>
    <n v="2150"/>
    <s v="Имерети"/>
    <s v="Терджола"/>
    <s v="(4) ქ. თერჯოლის ცენტრალური გზის მარჯვენა მხარეს განლაგებული (აღმაშენებლის, რუსთაველის, ჯაბიძის, სულხან-საბას, სოფრომაძის, 9 აპრილის, წერეთლის) ქუჩების მკვებავი ქსელის რეაბილიტაცია (N-3 N-4 N9 საუბნოები) P.6.746"/>
    <x v="4"/>
    <n v="1500000"/>
    <n v="2"/>
    <n v="0"/>
    <m/>
    <n v="0"/>
    <n v="1500000"/>
    <n v="0"/>
    <m/>
    <n v="1500000"/>
    <n v="1"/>
    <m/>
    <s v="P.6.746"/>
    <n v="0"/>
    <n v="0"/>
    <m/>
    <m/>
    <m/>
    <m/>
    <m/>
    <m/>
    <m/>
    <m/>
    <m/>
    <m/>
    <m/>
    <m/>
    <m/>
    <m/>
    <m/>
    <m/>
    <m/>
    <m/>
    <m/>
    <m/>
    <m/>
    <m/>
    <m/>
    <m/>
    <m/>
    <n v="0"/>
    <n v="0"/>
    <n v="0"/>
    <n v="0"/>
    <n v="0"/>
    <n v="0"/>
    <m/>
    <m/>
    <m/>
    <m/>
    <m/>
    <m/>
    <m/>
    <m/>
    <s v="Реаб."/>
    <m/>
    <n v="0"/>
    <s v="Сакорггаз"/>
    <d v="2024-01-10T00:00:00"/>
    <s v="BCG-240110-1/0(4)"/>
    <m/>
    <m/>
    <s v="Yes"/>
  </r>
  <r>
    <n v="2151"/>
    <s v="Имерети"/>
    <s v="Кутаиси"/>
    <s v="(5) ამორტიზებული გაზსადენის რეაბილიტაცია. მკვებავი გაზსადენი ქვიტირი 1. გრს-იდან გმპ-მდე. P.6.602"/>
    <x v="9"/>
    <n v="0"/>
    <n v="2"/>
    <n v="7001.75"/>
    <m/>
    <n v="7001.75"/>
    <n v="-7001.75"/>
    <n v="0"/>
    <m/>
    <n v="0"/>
    <n v="0"/>
    <m/>
    <s v="P.6.602"/>
    <n v="0"/>
    <n v="0"/>
    <m/>
    <m/>
    <m/>
    <m/>
    <m/>
    <m/>
    <m/>
    <m/>
    <m/>
    <m/>
    <m/>
    <m/>
    <m/>
    <m/>
    <m/>
    <m/>
    <m/>
    <m/>
    <m/>
    <m/>
    <m/>
    <m/>
    <m/>
    <m/>
    <m/>
    <n v="0"/>
    <n v="0"/>
    <n v="0"/>
    <n v="0"/>
    <n v="0"/>
    <n v="0"/>
    <m/>
    <m/>
    <m/>
    <m/>
    <m/>
    <m/>
    <m/>
    <m/>
    <s v="Проектирование"/>
    <d v="2024-08-20T00:00:00"/>
    <s v="ПриПро"/>
    <s v="Сакорггаз"/>
    <d v="2024-01-10T00:00:00"/>
    <s v="BCG-240110-1/0(5)"/>
    <m/>
    <m/>
    <s v="No"/>
  </r>
  <r>
    <n v="2152"/>
    <s v="Имерети"/>
    <s v="Кутаиси"/>
    <s v="(6) ამორტიზებული გაზსადენის რეაბილიტაცია. მკვებავი გაზსადენი ქვიტირი 1. გრს-იდან გმპ-მდე. P.6.602"/>
    <x v="4"/>
    <n v="4300000"/>
    <n v="2"/>
    <n v="4868640"/>
    <m/>
    <n v="4460000"/>
    <n v="-160000"/>
    <n v="408640"/>
    <n v="3909"/>
    <n v="408640"/>
    <n v="1"/>
    <m/>
    <s v="P.6.602"/>
    <n v="3868640"/>
    <n v="527796.6"/>
    <n v="1700000"/>
    <m/>
    <n v="760000"/>
    <n v="259322.03"/>
    <n v="1000000"/>
    <n v="115932.2"/>
    <m/>
    <n v="152542.37"/>
    <n v="408640"/>
    <m/>
    <m/>
    <m/>
    <m/>
    <m/>
    <m/>
    <m/>
    <m/>
    <m/>
    <m/>
    <m/>
    <m/>
    <m/>
    <m/>
    <m/>
    <m/>
    <n v="0"/>
    <n v="0"/>
    <n v="0"/>
    <n v="0"/>
    <n v="0"/>
    <n v="0"/>
    <n v="847457.63"/>
    <n v="55990.25"/>
    <m/>
    <m/>
    <n v="2932203.4000000004"/>
    <n v="245905.74"/>
    <m/>
    <m/>
    <s v="Реаб."/>
    <d v="2025-05-23T00:00:00"/>
    <s v="Принят"/>
    <s v="Сакорггаз"/>
    <d v="2024-01-10T00:00:00"/>
    <s v="BCG-240110-1/0(6)"/>
    <m/>
    <m/>
    <s v="Yes"/>
  </r>
  <r>
    <n v="2153"/>
    <s v="Имерети"/>
    <s v="Кутаиси"/>
    <s v="(7) ამორტიზებული გაზსადენის რეაბილიტაცია. მკვებავი გაზსადენი ქვიტირი 1. სოფელი ქვიტირი ორახელაშვილის ქუჩამდე P.6.156"/>
    <x v="9"/>
    <n v="0"/>
    <n v="2"/>
    <n v="5731.25"/>
    <m/>
    <n v="5731.25"/>
    <n v="-5731.25"/>
    <n v="0"/>
    <m/>
    <n v="0"/>
    <n v="0"/>
    <m/>
    <s v="P.6.156"/>
    <n v="0"/>
    <n v="0"/>
    <m/>
    <m/>
    <m/>
    <m/>
    <m/>
    <m/>
    <m/>
    <m/>
    <m/>
    <m/>
    <m/>
    <m/>
    <m/>
    <m/>
    <m/>
    <m/>
    <m/>
    <m/>
    <m/>
    <m/>
    <m/>
    <m/>
    <m/>
    <m/>
    <m/>
    <n v="0"/>
    <n v="0"/>
    <n v="0"/>
    <n v="0"/>
    <n v="0"/>
    <n v="0"/>
    <m/>
    <m/>
    <m/>
    <m/>
    <m/>
    <m/>
    <m/>
    <m/>
    <s v="Проектирование"/>
    <d v="2024-08-20T00:00:00"/>
    <s v="ПриПро"/>
    <s v="Сакорггаз"/>
    <d v="2024-01-10T00:00:00"/>
    <s v="BCG-240110-1/0(7)"/>
    <m/>
    <m/>
    <s v="No"/>
  </r>
  <r>
    <n v="2154"/>
    <s v="Имерети"/>
    <s v="Кутаиси"/>
    <s v="(8) ამორტიზებული გაზსადენის რეაბილიტაცია. მკვებავი გაზსადენი ქვიტირი 1. სოფელი ქვიტირი ორახელაშვილის ქუჩამდე P.6.156"/>
    <x v="4"/>
    <n v="2350000"/>
    <n v="2"/>
    <n v="0"/>
    <m/>
    <n v="0"/>
    <n v="2350000"/>
    <n v="0"/>
    <m/>
    <n v="2350000"/>
    <n v="1"/>
    <m/>
    <s v="P.6.156"/>
    <n v="0"/>
    <n v="0"/>
    <m/>
    <m/>
    <m/>
    <m/>
    <m/>
    <m/>
    <m/>
    <m/>
    <m/>
    <m/>
    <m/>
    <m/>
    <m/>
    <m/>
    <m/>
    <m/>
    <m/>
    <m/>
    <m/>
    <m/>
    <m/>
    <m/>
    <m/>
    <m/>
    <m/>
    <n v="0"/>
    <n v="0"/>
    <n v="0"/>
    <n v="0"/>
    <n v="0"/>
    <n v="0"/>
    <m/>
    <m/>
    <m/>
    <m/>
    <m/>
    <m/>
    <m/>
    <m/>
    <s v="Реаб."/>
    <m/>
    <n v="0"/>
    <s v="Сакорггаз"/>
    <d v="2024-01-10T00:00:00"/>
    <s v="BCG-240110-1/0(8)"/>
    <m/>
    <m/>
    <s v="Yes"/>
  </r>
  <r>
    <n v="2155"/>
    <s v="Имерети"/>
    <s v="Самтредия"/>
    <s v="(9) სამტრედია აღმაშენებლის ქუჩა. გრს 01. გაზსადენის რეაბილიტაცია P.6.677"/>
    <x v="9"/>
    <n v="2887.5"/>
    <n v="2"/>
    <n v="2887.5"/>
    <m/>
    <n v="2887.5"/>
    <n v="0"/>
    <n v="0"/>
    <m/>
    <n v="0"/>
    <n v="0"/>
    <m/>
    <s v="P.6.677"/>
    <n v="0"/>
    <n v="0"/>
    <m/>
    <m/>
    <m/>
    <m/>
    <m/>
    <m/>
    <m/>
    <m/>
    <m/>
    <m/>
    <m/>
    <m/>
    <m/>
    <m/>
    <m/>
    <m/>
    <m/>
    <m/>
    <m/>
    <m/>
    <m/>
    <m/>
    <m/>
    <m/>
    <m/>
    <n v="0"/>
    <n v="0"/>
    <n v="0"/>
    <n v="0"/>
    <n v="0"/>
    <n v="0"/>
    <m/>
    <m/>
    <m/>
    <m/>
    <m/>
    <m/>
    <m/>
    <m/>
    <s v="Проектирование"/>
    <d v="2024-05-16T00:00:00"/>
    <s v="ПриПро"/>
    <s v="Сакорггаз"/>
    <d v="2024-01-10T00:00:00"/>
    <s v="BCG-240110-1/0(9)"/>
    <m/>
    <m/>
    <s v="No"/>
  </r>
  <r>
    <n v="2156"/>
    <s v="Имерети"/>
    <s v="Самтредия"/>
    <s v="(10) სამტრედია აღმაშენებლის ქუჩა. გრს 01. გაზსადენის რეაბილიტაცია P.6.677"/>
    <x v="4"/>
    <n v="460000"/>
    <n v="2"/>
    <n v="612909.52"/>
    <n v="612909.52"/>
    <n v="612909.52"/>
    <n v="-152909.52000000002"/>
    <n v="0"/>
    <n v="1650"/>
    <n v="0"/>
    <n v="0"/>
    <m/>
    <s v="P.6.677"/>
    <n v="0"/>
    <n v="0"/>
    <m/>
    <m/>
    <m/>
    <m/>
    <m/>
    <m/>
    <m/>
    <m/>
    <m/>
    <m/>
    <m/>
    <m/>
    <m/>
    <m/>
    <m/>
    <m/>
    <m/>
    <m/>
    <m/>
    <m/>
    <m/>
    <m/>
    <m/>
    <m/>
    <m/>
    <n v="0"/>
    <n v="0"/>
    <n v="0"/>
    <n v="0"/>
    <n v="0"/>
    <n v="0"/>
    <n v="169491.53"/>
    <n v="15504.99"/>
    <n v="0"/>
    <n v="50390.985745762722"/>
    <m/>
    <m/>
    <m/>
    <m/>
    <s v="Реаб."/>
    <d v="2024-11-28T00:00:00"/>
    <s v="Принят"/>
    <s v="Сакорггаз"/>
    <d v="2024-01-10T00:00:00"/>
    <s v="BCG-240110-1/0(10)"/>
    <m/>
    <m/>
    <s v="Yes"/>
  </r>
  <r>
    <n v="2157"/>
    <s v="Имерети"/>
    <s v="Терджола"/>
    <s v="(11) ქ. თერჯოლის ცენტრალური დასახლების, მასში შემავალი რობაქიძის, ვაჟა-ფშაველას ქუჩის და ჩიხების გაზსადენის რეაბილიტაცია P.6.892"/>
    <x v="9"/>
    <n v="12117.875"/>
    <n v="2"/>
    <n v="12117.875"/>
    <m/>
    <n v="12117.875"/>
    <n v="0"/>
    <n v="0"/>
    <m/>
    <n v="0"/>
    <n v="0"/>
    <m/>
    <s v="P.6.892"/>
    <n v="0"/>
    <n v="0"/>
    <m/>
    <m/>
    <m/>
    <m/>
    <m/>
    <m/>
    <m/>
    <m/>
    <m/>
    <m/>
    <m/>
    <m/>
    <m/>
    <m/>
    <m/>
    <m/>
    <m/>
    <m/>
    <m/>
    <m/>
    <m/>
    <m/>
    <m/>
    <m/>
    <m/>
    <n v="0"/>
    <n v="0"/>
    <n v="0"/>
    <n v="0"/>
    <n v="0"/>
    <n v="0"/>
    <m/>
    <m/>
    <m/>
    <m/>
    <m/>
    <m/>
    <m/>
    <m/>
    <s v="Проектирование"/>
    <d v="2024-05-01T00:00:00"/>
    <s v="ПриПро"/>
    <s v="Сакорггаз"/>
    <d v="2024-01-10T00:00:00"/>
    <s v="BCG-240110-1/0(11)"/>
    <m/>
    <m/>
    <s v="No"/>
  </r>
  <r>
    <n v="2158"/>
    <s v="Имерети"/>
    <s v="Терджола"/>
    <s v="(12) ქ. თერჯოლის ცენტრალური დასახლების, მასში შემავალი რობაქიძის, ვაჟა-ფშაველას ქუჩის და ჩიხების გაზსადენის რეაბილიტაცია P.6.892"/>
    <x v="4"/>
    <n v="450000"/>
    <n v="2"/>
    <n v="616648.26"/>
    <n v="616648.26"/>
    <n v="616648.18000000005"/>
    <n v="-166648.18000000005"/>
    <n v="7.9999999958090484E-2"/>
    <n v="6901"/>
    <n v="7.9999999958090484E-2"/>
    <n v="0"/>
    <m/>
    <s v="P.6.892"/>
    <n v="0"/>
    <n v="0"/>
    <m/>
    <m/>
    <m/>
    <m/>
    <m/>
    <m/>
    <m/>
    <m/>
    <m/>
    <m/>
    <m/>
    <m/>
    <m/>
    <m/>
    <m/>
    <m/>
    <m/>
    <m/>
    <m/>
    <m/>
    <m/>
    <m/>
    <m/>
    <m/>
    <m/>
    <n v="0"/>
    <n v="0"/>
    <n v="0"/>
    <n v="0"/>
    <n v="0"/>
    <n v="0"/>
    <n v="381355.93"/>
    <n v="38008.770000000004"/>
    <n v="23728.813559322036"/>
    <n v="24728.63655932204"/>
    <m/>
    <m/>
    <m/>
    <m/>
    <s v="Реаб."/>
    <d v="2024-09-27T00:00:00"/>
    <s v="Принят"/>
    <s v="Сакорггаз"/>
    <d v="2024-01-10T00:00:00"/>
    <s v="BCG-240110-1/0(12)"/>
    <m/>
    <m/>
    <s v="Yes"/>
  </r>
  <r>
    <n v="2159"/>
    <s v="Имерети"/>
    <s v="Кутаиси"/>
    <s v="(13) კ. გამსახურიდას ქუჩის დაბალი წნევის გაზსდენის რეაბილიტაცია P.6.70"/>
    <x v="9"/>
    <n v="0"/>
    <n v="2"/>
    <n v="9714.25"/>
    <m/>
    <n v="9714.25"/>
    <n v="-9714.25"/>
    <n v="0"/>
    <m/>
    <n v="0"/>
    <n v="0"/>
    <m/>
    <s v="P.6.70"/>
    <n v="0"/>
    <n v="0"/>
    <m/>
    <m/>
    <m/>
    <m/>
    <m/>
    <m/>
    <m/>
    <m/>
    <m/>
    <m/>
    <m/>
    <m/>
    <m/>
    <m/>
    <m/>
    <m/>
    <m/>
    <m/>
    <m/>
    <m/>
    <m/>
    <m/>
    <m/>
    <m/>
    <m/>
    <n v="0"/>
    <n v="0"/>
    <n v="0"/>
    <n v="0"/>
    <n v="0"/>
    <n v="0"/>
    <m/>
    <m/>
    <m/>
    <m/>
    <m/>
    <m/>
    <m/>
    <m/>
    <s v="Проектирование"/>
    <d v="2024-08-20T00:00:00"/>
    <s v="ПриПро"/>
    <s v="Сакорггаз"/>
    <d v="2024-01-10T00:00:00"/>
    <s v="BCG-240110-1/0(13)"/>
    <m/>
    <m/>
    <s v="No"/>
  </r>
  <r>
    <n v="2160"/>
    <s v="Имерети"/>
    <s v="Кутаиси"/>
    <s v="(14) კ. გამსახურიდას ქუჩის დაბალი წნევის გაზსდენის რეაბილიტაცია P.6.70"/>
    <x v="4"/>
    <n v="360000"/>
    <n v="2"/>
    <n v="0"/>
    <m/>
    <n v="0"/>
    <n v="360000"/>
    <n v="0"/>
    <m/>
    <n v="360000"/>
    <n v="1"/>
    <m/>
    <s v="P.6.70"/>
    <n v="0"/>
    <n v="0"/>
    <m/>
    <m/>
    <m/>
    <m/>
    <m/>
    <m/>
    <m/>
    <m/>
    <m/>
    <m/>
    <m/>
    <m/>
    <m/>
    <m/>
    <m/>
    <m/>
    <m/>
    <m/>
    <m/>
    <m/>
    <m/>
    <m/>
    <m/>
    <m/>
    <m/>
    <n v="0"/>
    <n v="0"/>
    <n v="0"/>
    <n v="0"/>
    <n v="0"/>
    <n v="0"/>
    <m/>
    <m/>
    <m/>
    <m/>
    <m/>
    <m/>
    <m/>
    <m/>
    <s v="Реаб."/>
    <m/>
    <n v="0"/>
    <s v="Сакорггаз"/>
    <d v="2024-01-10T00:00:00"/>
    <s v="BCG-240110-1/0(14)"/>
    <m/>
    <m/>
    <s v="Yes"/>
  </r>
  <r>
    <n v="2161"/>
    <s v="Имерети"/>
    <s v="Терджола"/>
    <s v="(15) კლდიაშვილის ძეგლიდან შუქნიშნამდე არსებული გაზსადენის რეაბილიტაცია P.6.134"/>
    <x v="9"/>
    <n v="0"/>
    <n v="2"/>
    <m/>
    <m/>
    <m/>
    <n v="0"/>
    <n v="0"/>
    <m/>
    <n v="0"/>
    <n v="2"/>
    <m/>
    <s v="P.6.134"/>
    <n v="0"/>
    <n v="0"/>
    <m/>
    <m/>
    <m/>
    <m/>
    <m/>
    <m/>
    <m/>
    <m/>
    <m/>
    <m/>
    <m/>
    <m/>
    <m/>
    <m/>
    <m/>
    <m/>
    <m/>
    <m/>
    <m/>
    <m/>
    <m/>
    <m/>
    <m/>
    <m/>
    <m/>
    <n v="0"/>
    <n v="0"/>
    <n v="0"/>
    <n v="0"/>
    <n v="0"/>
    <n v="0"/>
    <m/>
    <m/>
    <m/>
    <m/>
    <m/>
    <m/>
    <m/>
    <m/>
    <s v="Проектирование"/>
    <m/>
    <n v="0"/>
    <s v="Сакорггаз"/>
    <d v="2024-01-10T00:00:00"/>
    <s v="BCG-240110-1/0(15)"/>
    <m/>
    <m/>
    <s v="No"/>
  </r>
  <r>
    <n v="2162"/>
    <s v="Имерети"/>
    <s v="Терджола"/>
    <s v="(16) კლდიაშვილის ძეგლიდან შუქნიშნამდე არსებული გაზსადენის რეაბილიტაცია P.6.134"/>
    <x v="4"/>
    <n v="280000"/>
    <n v="2"/>
    <n v="0"/>
    <m/>
    <n v="0"/>
    <n v="280000"/>
    <n v="0"/>
    <m/>
    <n v="280000"/>
    <n v="1"/>
    <m/>
    <s v="P.6.134"/>
    <n v="0"/>
    <n v="0"/>
    <m/>
    <m/>
    <m/>
    <m/>
    <m/>
    <m/>
    <m/>
    <m/>
    <m/>
    <m/>
    <m/>
    <m/>
    <m/>
    <m/>
    <m/>
    <m/>
    <m/>
    <m/>
    <m/>
    <m/>
    <m/>
    <m/>
    <m/>
    <m/>
    <m/>
    <n v="0"/>
    <n v="0"/>
    <n v="0"/>
    <n v="0"/>
    <n v="0"/>
    <n v="0"/>
    <m/>
    <m/>
    <m/>
    <m/>
    <m/>
    <m/>
    <m/>
    <m/>
    <s v="Реаб."/>
    <m/>
    <n v="0"/>
    <s v="Сакорггаз"/>
    <d v="2024-01-10T00:00:00"/>
    <s v="BCG-240110-1/0(16)"/>
    <m/>
    <m/>
    <s v="Yes"/>
  </r>
  <r>
    <n v="2163"/>
    <s v="Имерети"/>
    <s v="Кутаиси"/>
    <s v="(17) ფარნავას მეფის, გიორგი ბრწყინვალეს, პავლე ინგოროყვას, მესხიშვილის, ნუცუბიძის და ჯანელიძის ქუჩების დაბალი წნევის გაზსადენის რეაბილიტაცია P.6.85"/>
    <x v="9"/>
    <n v="7707"/>
    <n v="2"/>
    <n v="7707"/>
    <m/>
    <n v="7707"/>
    <n v="0"/>
    <n v="0"/>
    <m/>
    <n v="0"/>
    <n v="0"/>
    <m/>
    <s v="P.6.85"/>
    <n v="0"/>
    <n v="0"/>
    <m/>
    <m/>
    <m/>
    <m/>
    <m/>
    <m/>
    <m/>
    <m/>
    <m/>
    <m/>
    <m/>
    <m/>
    <m/>
    <m/>
    <m/>
    <m/>
    <m/>
    <m/>
    <m/>
    <m/>
    <m/>
    <m/>
    <m/>
    <m/>
    <m/>
    <n v="0"/>
    <n v="0"/>
    <n v="0"/>
    <n v="0"/>
    <n v="0"/>
    <n v="0"/>
    <m/>
    <m/>
    <m/>
    <m/>
    <m/>
    <m/>
    <m/>
    <m/>
    <s v="Проектирование"/>
    <d v="2024-12-13T00:00:00"/>
    <s v="ПриПро"/>
    <s v="Сакорггаз"/>
    <d v="2024-01-10T00:00:00"/>
    <s v="BCG-240110-1/0(17)"/>
    <m/>
    <m/>
    <s v="No"/>
  </r>
  <r>
    <n v="2164"/>
    <s v="Имерети"/>
    <s v="Кутаиси"/>
    <s v="(18) ფარნავას მეფის, გიორგი ბრწყინვალეს, პავლე ინგოროყვას, მესხიშვილის, ნუცუბიძის და ჯანელიძის ქუჩების დაბალი წნევის გაზსადენის რეაბილიტაცია P.6.85"/>
    <x v="4"/>
    <n v="280000"/>
    <n v="2"/>
    <n v="0"/>
    <m/>
    <n v="0"/>
    <n v="280000"/>
    <n v="0"/>
    <m/>
    <n v="280000"/>
    <n v="1"/>
    <m/>
    <s v="P.6.85"/>
    <n v="0"/>
    <n v="0"/>
    <m/>
    <m/>
    <m/>
    <m/>
    <m/>
    <m/>
    <m/>
    <m/>
    <m/>
    <m/>
    <m/>
    <m/>
    <m/>
    <m/>
    <m/>
    <m/>
    <m/>
    <m/>
    <m/>
    <m/>
    <m/>
    <m/>
    <m/>
    <m/>
    <m/>
    <n v="0"/>
    <n v="0"/>
    <n v="0"/>
    <n v="0"/>
    <n v="0"/>
    <n v="0"/>
    <m/>
    <m/>
    <m/>
    <m/>
    <m/>
    <m/>
    <m/>
    <m/>
    <s v="Реаб."/>
    <m/>
    <n v="0"/>
    <s v="Сакорггаз"/>
    <d v="2024-01-10T00:00:00"/>
    <s v="BCG-240110-1/0(18)"/>
    <m/>
    <m/>
    <s v="Yes"/>
  </r>
  <r>
    <n v="2165"/>
    <s v="Имерети"/>
    <s v="Самтредия"/>
    <s v="(19) სამტრედია სოფ. დიდი ჯიხაიში გაზსადენის რეაბილიტაცია P.6.690"/>
    <x v="9"/>
    <n v="0"/>
    <s v="ამოსაღებია შედის P.6.689-ში"/>
    <m/>
    <m/>
    <m/>
    <n v="0"/>
    <n v="0"/>
    <m/>
    <n v="0"/>
    <n v="2"/>
    <m/>
    <s v="P.6.690 შედის P.6.689-ში"/>
    <n v="0"/>
    <n v="0"/>
    <m/>
    <m/>
    <m/>
    <m/>
    <m/>
    <m/>
    <m/>
    <m/>
    <m/>
    <m/>
    <m/>
    <m/>
    <m/>
    <m/>
    <m/>
    <m/>
    <m/>
    <m/>
    <m/>
    <m/>
    <m/>
    <m/>
    <m/>
    <m/>
    <m/>
    <n v="0"/>
    <n v="0"/>
    <n v="0"/>
    <n v="0"/>
    <n v="0"/>
    <n v="0"/>
    <m/>
    <m/>
    <m/>
    <m/>
    <m/>
    <m/>
    <m/>
    <m/>
    <s v="Проектирование"/>
    <m/>
    <n v="0"/>
    <s v="Сакорггаз"/>
    <d v="2024-01-10T00:00:00"/>
    <s v="BCG-240110-1/0(19)"/>
    <m/>
    <m/>
    <s v="No"/>
  </r>
  <r>
    <n v="2166"/>
    <s v="Имерети"/>
    <s v="Самтредия"/>
    <s v="(20) სამტრედია სოფ. დიდი ჯიხაიში გაზსადენის რეაბილიტაცია P.6.690"/>
    <x v="4"/>
    <n v="200000"/>
    <s v="ამოსაღებია შედის P.6.689-ში"/>
    <n v="0"/>
    <m/>
    <n v="0"/>
    <n v="200000"/>
    <n v="0"/>
    <m/>
    <n v="200000"/>
    <n v="1"/>
    <m/>
    <s v="P.6.690 შედის P.6.689-ში"/>
    <n v="0"/>
    <n v="0"/>
    <m/>
    <m/>
    <m/>
    <m/>
    <m/>
    <m/>
    <m/>
    <m/>
    <m/>
    <m/>
    <m/>
    <m/>
    <m/>
    <m/>
    <m/>
    <m/>
    <m/>
    <m/>
    <m/>
    <m/>
    <m/>
    <m/>
    <m/>
    <m/>
    <m/>
    <n v="0"/>
    <n v="0"/>
    <n v="0"/>
    <n v="0"/>
    <n v="0"/>
    <n v="0"/>
    <m/>
    <m/>
    <m/>
    <m/>
    <m/>
    <m/>
    <m/>
    <m/>
    <s v="Реаб."/>
    <m/>
    <n v="0"/>
    <s v="Сакорггаз"/>
    <d v="2024-01-10T00:00:00"/>
    <s v="BCG-240110-1/0(20)"/>
    <m/>
    <m/>
    <s v="Yes"/>
  </r>
  <r>
    <n v="2167"/>
    <s v="Имерети"/>
    <s v="Кутаиси"/>
    <s v="(21) კ. გამსახურდიას და ოცხელის ქ. საშუალო წნევის გაზსადენის რეაბილიტაცია P.6.69"/>
    <x v="9"/>
    <n v="0"/>
    <s v="ამოსაღებია შედის შედის P.6.70-ში"/>
    <m/>
    <m/>
    <m/>
    <n v="0"/>
    <n v="0"/>
    <m/>
    <n v="0"/>
    <n v="2"/>
    <m/>
    <s v="P.6.69"/>
    <n v="0"/>
    <n v="0"/>
    <m/>
    <m/>
    <m/>
    <m/>
    <m/>
    <m/>
    <m/>
    <m/>
    <m/>
    <m/>
    <m/>
    <m/>
    <m/>
    <m/>
    <m/>
    <m/>
    <m/>
    <m/>
    <m/>
    <m/>
    <m/>
    <m/>
    <m/>
    <m/>
    <m/>
    <n v="0"/>
    <n v="0"/>
    <n v="0"/>
    <n v="0"/>
    <n v="0"/>
    <n v="0"/>
    <m/>
    <m/>
    <m/>
    <m/>
    <m/>
    <m/>
    <m/>
    <m/>
    <s v="Проектирование"/>
    <m/>
    <n v="0"/>
    <s v="Сакорггаз"/>
    <d v="2024-01-10T00:00:00"/>
    <s v="BCG-240110-1/0(21)"/>
    <m/>
    <m/>
    <s v="No"/>
  </r>
  <r>
    <n v="2168"/>
    <s v="Имерети"/>
    <s v="Кутаиси"/>
    <s v="(22) კ. გამსახურდიას და ოცხელის ქ. საშუალო წნევის გაზსადენის რეაბილიტაცია P.6.69"/>
    <x v="4"/>
    <n v="180000"/>
    <n v="2"/>
    <n v="0"/>
    <m/>
    <n v="0"/>
    <n v="180000"/>
    <n v="0"/>
    <m/>
    <n v="180000"/>
    <n v="1"/>
    <m/>
    <s v="P.6.69"/>
    <n v="0"/>
    <n v="0"/>
    <m/>
    <m/>
    <m/>
    <m/>
    <m/>
    <m/>
    <m/>
    <m/>
    <m/>
    <m/>
    <m/>
    <m/>
    <m/>
    <m/>
    <m/>
    <m/>
    <m/>
    <m/>
    <m/>
    <m/>
    <m/>
    <m/>
    <m/>
    <m/>
    <m/>
    <n v="0"/>
    <n v="0"/>
    <n v="0"/>
    <n v="0"/>
    <n v="0"/>
    <n v="0"/>
    <m/>
    <m/>
    <m/>
    <m/>
    <m/>
    <m/>
    <m/>
    <m/>
    <s v="Реаб."/>
    <m/>
    <n v="0"/>
    <s v="Сакорггаз"/>
    <d v="2024-01-10T00:00:00"/>
    <s v="BCG-240110-1/0(22)"/>
    <m/>
    <m/>
    <s v="Yes"/>
  </r>
  <r>
    <n v="2169"/>
    <s v="Имерети"/>
    <s v="Кутаиси"/>
    <s v="(23) საუბნო 36 დაბალი წნევის გაზსადენის რეაბილიტაცია (26 მაისის ქუჩა, არაგვისპირელის ქუჩა, კაპეტივაძის ქუჩა, განათლების ქუჩა, კლდიაშვილის ქუჩა, ნიჯარაძის ქუჩა, კოსტავას ქუჩა) P.6.899"/>
    <x v="9"/>
    <n v="0"/>
    <n v="2"/>
    <n v="4371.5"/>
    <m/>
    <n v="4371.5"/>
    <n v="-4371.5"/>
    <n v="0"/>
    <m/>
    <n v="0"/>
    <n v="0"/>
    <m/>
    <s v="P.6.899"/>
    <n v="0"/>
    <n v="0"/>
    <m/>
    <m/>
    <m/>
    <m/>
    <m/>
    <m/>
    <m/>
    <m/>
    <m/>
    <m/>
    <m/>
    <m/>
    <m/>
    <m/>
    <m/>
    <m/>
    <m/>
    <m/>
    <m/>
    <m/>
    <m/>
    <m/>
    <m/>
    <m/>
    <m/>
    <n v="0"/>
    <n v="0"/>
    <n v="0"/>
    <n v="0"/>
    <n v="0"/>
    <n v="0"/>
    <m/>
    <m/>
    <m/>
    <m/>
    <m/>
    <m/>
    <m/>
    <m/>
    <s v="Проектирование"/>
    <d v="2024-08-20T00:00:00"/>
    <s v="ПриПро"/>
    <s v="Сакорггаз"/>
    <d v="2024-01-10T00:00:00"/>
    <s v="BCG-240110-1/0(23)"/>
    <m/>
    <m/>
    <s v="No"/>
  </r>
  <r>
    <n v="2170"/>
    <s v="Имерети"/>
    <s v="Кутаиси"/>
    <s v="(24) საუბნო 36 დაბალი წნევის გაზსადენის რეაბილიტაცია (26 მაისის ქუჩა, არაგვისპირელის ქუჩა, კაპეტივაძის ქუჩა, განათლების ქუჩა, კლდიაშვილის ქუჩა, ნიჯარაძის ქუჩა, კოსტავას ქუჩა) P.6.899"/>
    <x v="4"/>
    <n v="180000"/>
    <n v="2"/>
    <n v="0"/>
    <m/>
    <n v="0"/>
    <n v="180000"/>
    <n v="0"/>
    <m/>
    <n v="180000"/>
    <n v="1"/>
    <m/>
    <s v="P.6.899"/>
    <n v="0"/>
    <n v="0"/>
    <m/>
    <m/>
    <m/>
    <m/>
    <m/>
    <m/>
    <m/>
    <m/>
    <m/>
    <m/>
    <m/>
    <m/>
    <m/>
    <m/>
    <m/>
    <m/>
    <m/>
    <m/>
    <m/>
    <m/>
    <m/>
    <m/>
    <m/>
    <m/>
    <m/>
    <n v="0"/>
    <n v="0"/>
    <n v="0"/>
    <n v="0"/>
    <n v="0"/>
    <n v="0"/>
    <m/>
    <m/>
    <m/>
    <m/>
    <m/>
    <m/>
    <m/>
    <m/>
    <s v="Реаб."/>
    <m/>
    <n v="0"/>
    <s v="Сакорггаз"/>
    <d v="2024-01-10T00:00:00"/>
    <s v="BCG-240110-1/0(24)"/>
    <m/>
    <m/>
    <s v="Yes"/>
  </r>
  <r>
    <n v="2171"/>
    <s v="Имерети"/>
    <s v="Самтредия"/>
    <s v="(25) სამტრედია სოფ. დიდი ჯიხაიში გაზსადენის რეაბილიტაცია P.6.689"/>
    <x v="9"/>
    <n v="0"/>
    <n v="2"/>
    <n v="12006.75"/>
    <m/>
    <n v="12006.75"/>
    <n v="-12006.75"/>
    <n v="0"/>
    <m/>
    <n v="0"/>
    <n v="0"/>
    <m/>
    <s v="P.6.689 მოიცავს P.6.690-ს"/>
    <n v="0"/>
    <n v="0"/>
    <m/>
    <m/>
    <m/>
    <m/>
    <m/>
    <m/>
    <m/>
    <m/>
    <m/>
    <m/>
    <m/>
    <m/>
    <m/>
    <m/>
    <m/>
    <m/>
    <m/>
    <m/>
    <m/>
    <m/>
    <m/>
    <m/>
    <m/>
    <m/>
    <m/>
    <n v="0"/>
    <n v="0"/>
    <n v="0"/>
    <n v="0"/>
    <n v="0"/>
    <n v="0"/>
    <m/>
    <m/>
    <m/>
    <m/>
    <m/>
    <m/>
    <m/>
    <m/>
    <s v="Проектирование"/>
    <d v="2024-08-20T00:00:00"/>
    <s v="ПриПро"/>
    <s v="Сакорггаз"/>
    <d v="2024-01-10T00:00:00"/>
    <s v="BCG-240110-1/0(25)"/>
    <m/>
    <m/>
    <s v="No"/>
  </r>
  <r>
    <n v="2172"/>
    <s v="Имерети"/>
    <s v="Самтредия"/>
    <s v="(26) სამტრედია სოფ. დიდი ჯიხაიში გაზსადენის რეაბილიტაცია P.6.689"/>
    <x v="4"/>
    <n v="160000"/>
    <n v="2"/>
    <n v="527746"/>
    <n v="527746"/>
    <n v="527746"/>
    <n v="-367746"/>
    <n v="0"/>
    <n v="6927"/>
    <n v="0"/>
    <n v="0"/>
    <m/>
    <s v="P.6.689 მოიცავს P.6.690-ს"/>
    <n v="0"/>
    <n v="0"/>
    <m/>
    <m/>
    <m/>
    <m/>
    <m/>
    <m/>
    <m/>
    <m/>
    <m/>
    <m/>
    <m/>
    <m/>
    <m/>
    <m/>
    <m/>
    <m/>
    <m/>
    <m/>
    <m/>
    <m/>
    <m/>
    <m/>
    <m/>
    <m/>
    <m/>
    <n v="0"/>
    <n v="0"/>
    <n v="0"/>
    <n v="0"/>
    <n v="0"/>
    <n v="0"/>
    <n v="110169.49"/>
    <n v="7278.73"/>
    <n v="0"/>
    <n v="43996.364288135599"/>
    <m/>
    <m/>
    <m/>
    <m/>
    <s v="Реаб."/>
    <d v="2024-10-29T00:00:00"/>
    <s v="Принят"/>
    <s v="Сакорггаз"/>
    <d v="2024-01-10T00:00:00"/>
    <s v="BCG-240110-1/0(26)"/>
    <m/>
    <m/>
    <s v="Yes"/>
  </r>
  <r>
    <n v="2173"/>
    <s v="Имерети"/>
    <s v="Кутаиси"/>
    <s v="(27) მარჯანიშვილის, გურიელის, დონეცკის (თავისუფლების 6 შესახვევი), ზესტაფონის, თაყაიშვილის, კაკაბაძის, კეკელიძის, კირილე ლორთქიფანიძის ქუჩების შესახვევები და ჩიხების რეაბილიტაცია P.6.255"/>
    <x v="9"/>
    <n v="0"/>
    <n v="2"/>
    <m/>
    <m/>
    <m/>
    <n v="0"/>
    <n v="0"/>
    <m/>
    <n v="0"/>
    <n v="2"/>
    <m/>
    <s v="P.6.255"/>
    <n v="0"/>
    <n v="0"/>
    <m/>
    <m/>
    <m/>
    <m/>
    <m/>
    <m/>
    <m/>
    <m/>
    <m/>
    <m/>
    <m/>
    <m/>
    <m/>
    <m/>
    <m/>
    <m/>
    <m/>
    <m/>
    <m/>
    <m/>
    <m/>
    <m/>
    <m/>
    <m/>
    <m/>
    <n v="0"/>
    <n v="0"/>
    <n v="0"/>
    <n v="0"/>
    <n v="0"/>
    <n v="0"/>
    <m/>
    <m/>
    <m/>
    <m/>
    <m/>
    <m/>
    <m/>
    <m/>
    <s v="Проектирование"/>
    <m/>
    <n v="0"/>
    <s v="Сакорггаз"/>
    <d v="2024-01-10T00:00:00"/>
    <s v="BCG-240110-1/0(27)"/>
    <m/>
    <m/>
    <s v="No"/>
  </r>
  <r>
    <n v="2174"/>
    <s v="Имерети"/>
    <s v="Кутаиси"/>
    <s v="(28) მარჯანიშვილის, გურიელის, დონეცკის (თავისუფლების 6 შესახვევი), ზესტაფონის, თაყაიშვილის, კაკაბაძის, კეკელიძის, კირილე ლორთქიფანიძის ქუჩების შესახვევები და ჩიხების რეაბილიტაცია P.6.255"/>
    <x v="4"/>
    <n v="160000"/>
    <n v="2"/>
    <n v="0"/>
    <m/>
    <n v="0"/>
    <n v="160000"/>
    <n v="0"/>
    <m/>
    <n v="160000"/>
    <n v="1"/>
    <m/>
    <s v="P.6.255"/>
    <n v="0"/>
    <n v="0"/>
    <m/>
    <m/>
    <m/>
    <m/>
    <m/>
    <m/>
    <m/>
    <m/>
    <m/>
    <m/>
    <m/>
    <m/>
    <m/>
    <m/>
    <m/>
    <m/>
    <m/>
    <m/>
    <m/>
    <m/>
    <m/>
    <m/>
    <m/>
    <m/>
    <m/>
    <n v="0"/>
    <n v="0"/>
    <n v="0"/>
    <n v="0"/>
    <n v="0"/>
    <n v="0"/>
    <m/>
    <m/>
    <m/>
    <m/>
    <m/>
    <m/>
    <m/>
    <m/>
    <s v="Реаб."/>
    <m/>
    <n v="0"/>
    <s v="Сакорггаз"/>
    <d v="2024-01-10T00:00:00"/>
    <s v="BCG-240110-1/0(28)"/>
    <m/>
    <m/>
    <s v="Yes"/>
  </r>
  <r>
    <n v="2175"/>
    <s v="Имерети"/>
    <s v="Самтредия"/>
    <s v="(29) სამტრედია 9 აპრილის ქუჩის და მე-3 ჩიხის გაზსადენის რეაბილიტაცია P.6.680"/>
    <x v="9"/>
    <n v="5265.75"/>
    <n v="2"/>
    <n v="5265.75"/>
    <m/>
    <n v="5265.75"/>
    <n v="0"/>
    <n v="0"/>
    <m/>
    <n v="0"/>
    <n v="0"/>
    <m/>
    <s v="P.6.680"/>
    <n v="0"/>
    <n v="0"/>
    <m/>
    <m/>
    <m/>
    <m/>
    <m/>
    <m/>
    <m/>
    <m/>
    <m/>
    <m/>
    <m/>
    <m/>
    <m/>
    <m/>
    <m/>
    <m/>
    <m/>
    <m/>
    <m/>
    <m/>
    <m/>
    <m/>
    <m/>
    <m/>
    <m/>
    <n v="0"/>
    <n v="0"/>
    <n v="0"/>
    <n v="0"/>
    <n v="0"/>
    <n v="0"/>
    <m/>
    <m/>
    <m/>
    <m/>
    <m/>
    <m/>
    <m/>
    <m/>
    <s v="Проектирование"/>
    <d v="2024-05-16T00:00:00"/>
    <s v="ПриПро"/>
    <s v="Сакорггаз"/>
    <d v="2024-01-10T00:00:00"/>
    <s v="BCG-240110-1/0(29)"/>
    <m/>
    <m/>
    <s v="No"/>
  </r>
  <r>
    <n v="2176"/>
    <s v="Имерети"/>
    <s v="Самтредия"/>
    <s v="(30) სამტრედია 9 აპრილის ქუჩის და მე-3 ჩიხის გაზსადენის რეაბილიტაცია P.6.680"/>
    <x v="4"/>
    <n v="150000"/>
    <n v="2"/>
    <n v="354073.68"/>
    <n v="354073.68"/>
    <n v="354073.69"/>
    <n v="-204073.69"/>
    <n v="-1.0000000009313226E-2"/>
    <n v="2795"/>
    <n v="-1.0000000009313226E-2"/>
    <n v="0"/>
    <m/>
    <s v="P.6.680"/>
    <n v="0"/>
    <n v="0"/>
    <m/>
    <m/>
    <m/>
    <m/>
    <m/>
    <m/>
    <m/>
    <m/>
    <m/>
    <m/>
    <m/>
    <m/>
    <m/>
    <m/>
    <m/>
    <m/>
    <m/>
    <m/>
    <m/>
    <m/>
    <m/>
    <m/>
    <m/>
    <m/>
    <m/>
    <n v="0"/>
    <n v="0"/>
    <n v="0"/>
    <n v="0"/>
    <n v="0"/>
    <n v="0"/>
    <n v="127118.65"/>
    <n v="10059.790000000001"/>
    <n v="0"/>
    <n v="29000.265067796616"/>
    <m/>
    <m/>
    <m/>
    <m/>
    <s v="Реаб."/>
    <d v="2024-09-27T00:00:00"/>
    <s v="Принят"/>
    <s v="Сакорггаз"/>
    <d v="2024-01-10T00:00:00"/>
    <s v="BCG-240110-1/0(30)"/>
    <m/>
    <m/>
    <s v="Yes"/>
  </r>
  <r>
    <n v="2177"/>
    <s v="Имерети"/>
    <s v="Самтредия"/>
    <s v="(31) სამტრედია გაზსადენის შეღებვა: რესპუბლიკის, იმერეთის, ბოლქვაძის, ყაზბეგის, ლესელიძის,კლდიაშვილის, ფალიაშვილის, ბახტაძის.კრავეიშვილის, გურამიშვილის, ბათუმის, წერეთლის, 26 მაისის, კანდელაკის, ჯანელიძის, შევჩენკოს, ჭანტურიას ქუჩები. P.6.692"/>
    <x v="4"/>
    <n v="120000"/>
    <n v="2"/>
    <n v="81413.11"/>
    <m/>
    <n v="40215.56"/>
    <n v="79784.44"/>
    <n v="41197.550000000003"/>
    <n v="0"/>
    <n v="41197.550000000003"/>
    <n v="1"/>
    <m/>
    <s v="P.6.692"/>
    <n v="41413.11"/>
    <n v="6317.25"/>
    <m/>
    <m/>
    <m/>
    <m/>
    <m/>
    <m/>
    <n v="41413.11"/>
    <m/>
    <m/>
    <n v="6317.25"/>
    <m/>
    <m/>
    <m/>
    <m/>
    <m/>
    <m/>
    <m/>
    <m/>
    <m/>
    <m/>
    <m/>
    <m/>
    <m/>
    <m/>
    <m/>
    <n v="0"/>
    <n v="0"/>
    <n v="0"/>
    <n v="0"/>
    <n v="0"/>
    <n v="0"/>
    <n v="33898.31"/>
    <n v="3101"/>
    <m/>
    <m/>
    <m/>
    <m/>
    <m/>
    <m/>
    <s v="Реаб."/>
    <d v="2025-04-30T00:00:00"/>
    <s v="Принят"/>
    <s v="Сакорггаз"/>
    <d v="2024-01-10T00:00:00"/>
    <s v="BCG-240110-1/0(31)"/>
    <m/>
    <m/>
    <s v="Yes"/>
  </r>
  <r>
    <n v="2178"/>
    <s v="Имерети"/>
    <s v="Кутаиси"/>
    <s v="(32) ანჯაფარიძის ქუჩა ამორტიზებული გაზსადენის რეაბილიტაცია P.6.154"/>
    <x v="9"/>
    <n v="934.5"/>
    <n v="2"/>
    <n v="934.5"/>
    <m/>
    <n v="934.5"/>
    <n v="0"/>
    <n v="0"/>
    <m/>
    <n v="0"/>
    <n v="0"/>
    <m/>
    <s v="P.6.154"/>
    <n v="0"/>
    <n v="0"/>
    <m/>
    <m/>
    <m/>
    <m/>
    <m/>
    <m/>
    <m/>
    <m/>
    <m/>
    <m/>
    <m/>
    <m/>
    <m/>
    <m/>
    <m/>
    <m/>
    <m/>
    <m/>
    <m/>
    <m/>
    <m/>
    <m/>
    <m/>
    <m/>
    <m/>
    <n v="0"/>
    <n v="0"/>
    <n v="0"/>
    <n v="0"/>
    <n v="0"/>
    <n v="0"/>
    <m/>
    <m/>
    <m/>
    <m/>
    <m/>
    <m/>
    <m/>
    <m/>
    <s v="Проектирование"/>
    <d v="2024-12-13T00:00:00"/>
    <s v="ПриПро"/>
    <s v="Сакорггаз"/>
    <d v="2024-01-10T00:00:00"/>
    <s v="BCG-240110-1/0(32)"/>
    <m/>
    <m/>
    <s v="No"/>
  </r>
  <r>
    <n v="2179"/>
    <s v="Имерети"/>
    <s v="Кутаиси"/>
    <s v="(33) ანჯაფარიძის ქუჩა ამორტიზებული გაზსადენის რეაბილიტაცია P.6.154"/>
    <x v="4"/>
    <n v="110000"/>
    <n v="2"/>
    <n v="0"/>
    <m/>
    <n v="0"/>
    <n v="110000"/>
    <n v="0"/>
    <m/>
    <n v="110000"/>
    <n v="1"/>
    <m/>
    <s v="P.6.154"/>
    <n v="0"/>
    <n v="0"/>
    <m/>
    <m/>
    <m/>
    <m/>
    <m/>
    <m/>
    <m/>
    <m/>
    <m/>
    <m/>
    <m/>
    <m/>
    <m/>
    <m/>
    <m/>
    <m/>
    <m/>
    <m/>
    <m/>
    <m/>
    <m/>
    <m/>
    <m/>
    <m/>
    <m/>
    <n v="0"/>
    <n v="0"/>
    <n v="0"/>
    <n v="0"/>
    <n v="0"/>
    <n v="0"/>
    <m/>
    <m/>
    <m/>
    <m/>
    <m/>
    <m/>
    <m/>
    <m/>
    <s v="Реаб."/>
    <m/>
    <n v="0"/>
    <s v="Сакорггаз"/>
    <d v="2024-01-10T00:00:00"/>
    <s v="BCG-240110-1/0(33)"/>
    <m/>
    <m/>
    <s v="Yes"/>
  </r>
  <r>
    <n v="2180"/>
    <s v="Имерети"/>
    <s v="Кутаиси"/>
    <s v="(34) 26 მაისის და გოგებაშვილის ქუჩაზე დაბალი წნევის გაზსადენის რეაბილიტაცია P.6.608"/>
    <x v="9"/>
    <n v="0"/>
    <n v="2"/>
    <n v="1862"/>
    <m/>
    <n v="1862"/>
    <n v="-1862"/>
    <n v="0"/>
    <m/>
    <n v="0"/>
    <n v="0"/>
    <m/>
    <s v="P.6.608"/>
    <n v="0"/>
    <n v="0"/>
    <m/>
    <m/>
    <m/>
    <m/>
    <m/>
    <m/>
    <m/>
    <m/>
    <m/>
    <m/>
    <m/>
    <m/>
    <m/>
    <m/>
    <m/>
    <m/>
    <m/>
    <m/>
    <m/>
    <m/>
    <m/>
    <m/>
    <m/>
    <m/>
    <m/>
    <n v="0"/>
    <n v="0"/>
    <n v="0"/>
    <n v="0"/>
    <n v="0"/>
    <n v="0"/>
    <m/>
    <m/>
    <m/>
    <m/>
    <m/>
    <m/>
    <m/>
    <m/>
    <s v="Проектирование"/>
    <d v="2024-08-20T00:00:00"/>
    <s v="ПриПро"/>
    <s v="Сакорггаз"/>
    <d v="2024-01-10T00:00:00"/>
    <s v="BCG-240110-1/0(34)"/>
    <m/>
    <m/>
    <s v="No"/>
  </r>
  <r>
    <n v="2181"/>
    <s v="Имерети"/>
    <s v="Кутаиси"/>
    <s v="(35) 26 მაისის და გოგებაშვილის ქუჩაზე დაბალი წნევის გაზსადენის რეაბილიტაცია P.6.608"/>
    <x v="4"/>
    <n v="105000"/>
    <n v="2"/>
    <n v="425215.93"/>
    <m/>
    <n v="300762.71000000002"/>
    <n v="-195762.71000000002"/>
    <n v="124453.21999999997"/>
    <n v="4123"/>
    <n v="124453.21999999997"/>
    <n v="1"/>
    <m/>
    <s v="P.6.608"/>
    <n v="120215.93"/>
    <n v="0"/>
    <m/>
    <m/>
    <m/>
    <m/>
    <m/>
    <m/>
    <m/>
    <m/>
    <n v="120215.93"/>
    <m/>
    <m/>
    <m/>
    <m/>
    <m/>
    <m/>
    <m/>
    <m/>
    <m/>
    <m/>
    <m/>
    <m/>
    <m/>
    <m/>
    <m/>
    <m/>
    <n v="0"/>
    <n v="0"/>
    <n v="0"/>
    <n v="0"/>
    <n v="0"/>
    <n v="0"/>
    <n v="254237.29"/>
    <n v="16797.070000000007"/>
    <m/>
    <m/>
    <m/>
    <m/>
    <m/>
    <m/>
    <s v="Реаб."/>
    <d v="2025-05-23T00:00:00"/>
    <s v="Принят"/>
    <s v="Сакорггаз"/>
    <d v="2024-01-10T00:00:00"/>
    <s v="BCG-240110-1/0(35)"/>
    <m/>
    <m/>
    <s v="Yes"/>
  </r>
  <r>
    <n v="2182"/>
    <s v="Самегрело"/>
    <s v="Мартвили"/>
    <s v="(36) მარტვილი გაზსადენის შეღებვა: თამარ მეფის, 9 აპრილის, ენგელსის, კახა ბართიას, თბილისის, დადიანის, წოწორიას, წყონდიდელის ქუჩები, სოფ. ხუნწი, ნაგვაზაო, ინჩხური P.6.932"/>
    <x v="4"/>
    <n v="90000"/>
    <n v="2"/>
    <n v="112271.33"/>
    <n v="112271.33"/>
    <n v="112271.32999999999"/>
    <n v="-22271.329999999987"/>
    <n v="0"/>
    <n v="0"/>
    <n v="1.4551915228366852E-11"/>
    <n v="0"/>
    <m/>
    <s v="P.6.932"/>
    <n v="0"/>
    <n v="0"/>
    <m/>
    <m/>
    <m/>
    <m/>
    <m/>
    <m/>
    <m/>
    <m/>
    <m/>
    <m/>
    <m/>
    <m/>
    <m/>
    <m/>
    <m/>
    <m/>
    <m/>
    <m/>
    <m/>
    <m/>
    <m/>
    <m/>
    <m/>
    <m/>
    <m/>
    <n v="0"/>
    <n v="0"/>
    <n v="0"/>
    <n v="0"/>
    <n v="0"/>
    <n v="0"/>
    <n v="42372.88"/>
    <n v="3876.25"/>
    <n v="0"/>
    <n v="9126.8944915254233"/>
    <m/>
    <m/>
    <m/>
    <m/>
    <s v="Реаб."/>
    <d v="2024-10-29T00:00:00"/>
    <s v="Принят"/>
    <s v="Сакорггаз"/>
    <d v="2024-01-10T00:00:00"/>
    <s v="BCG-240110-1/0(36)"/>
    <m/>
    <m/>
    <s v="Yes"/>
  </r>
  <r>
    <n v="2183"/>
    <s v="Имерети"/>
    <s v="Терджола"/>
    <s v="(37) გაზსადენის შეღებვა: ქ.თერჯოლა სოფ. ახალთერჯოლა, ჩხარი, ძევრი P.6.244"/>
    <x v="4"/>
    <n v="62111.08"/>
    <n v="2"/>
    <n v="62111.08"/>
    <n v="62111.08"/>
    <n v="60322.03"/>
    <n v="1789.0500000000029"/>
    <n v="1789.0500000000029"/>
    <n v="0"/>
    <n v="1789.0500000000029"/>
    <n v="1"/>
    <m/>
    <s v="P.6.244"/>
    <n v="62111.08"/>
    <n v="9474.5700000000015"/>
    <n v="60000"/>
    <m/>
    <n v="2111.08"/>
    <n v="9152.5400000000009"/>
    <m/>
    <n v="322.02999999999997"/>
    <m/>
    <m/>
    <m/>
    <m/>
    <m/>
    <m/>
    <m/>
    <m/>
    <m/>
    <m/>
    <m/>
    <m/>
    <m/>
    <m/>
    <m/>
    <m/>
    <m/>
    <m/>
    <s v="საბოლოო"/>
    <n v="0"/>
    <n v="0"/>
    <n v="0"/>
    <n v="0"/>
    <n v="0"/>
    <n v="0"/>
    <n v="0"/>
    <n v="0"/>
    <n v="0"/>
    <n v="5263.6508474576276"/>
    <n v="50847.46"/>
    <n v="1033.67"/>
    <m/>
    <m/>
    <s v="Реаб."/>
    <d v="2025-02-21T00:00:00"/>
    <s v="Принят"/>
    <s v="Сакорггаз"/>
    <d v="2024-01-10T00:00:00"/>
    <s v="BCG-240110-1/0(37)"/>
    <m/>
    <m/>
    <s v="Yes"/>
  </r>
  <r>
    <n v="2184"/>
    <s v="Имерети"/>
    <s v="Кутаиси"/>
    <s v="(38) გიორგი ბრწყინვალეს 6 შესახვევი, სერგეი მესხის (ენგელსის ქ) ფიროსმანის ქუჩები შესახვევებით და ჩიხებით. ნარსიას ქ. ა.ხორავას ქ. (უკრაინის ქ.) (565 აბონენტი) გაზსადენის რეაბილიტაცია P.6.617"/>
    <x v="9"/>
    <n v="4516.75"/>
    <n v="2"/>
    <n v="4516.75"/>
    <m/>
    <n v="4516.75"/>
    <n v="0"/>
    <n v="0"/>
    <m/>
    <n v="0"/>
    <n v="0"/>
    <m/>
    <s v="P.6.617"/>
    <n v="0"/>
    <n v="0"/>
    <m/>
    <m/>
    <m/>
    <m/>
    <m/>
    <m/>
    <m/>
    <m/>
    <m/>
    <m/>
    <m/>
    <m/>
    <m/>
    <m/>
    <m/>
    <m/>
    <m/>
    <m/>
    <m/>
    <m/>
    <m/>
    <m/>
    <m/>
    <m/>
    <m/>
    <n v="0"/>
    <n v="0"/>
    <n v="0"/>
    <n v="0"/>
    <n v="0"/>
    <n v="0"/>
    <m/>
    <m/>
    <m/>
    <m/>
    <m/>
    <m/>
    <m/>
    <m/>
    <s v="Проектирование"/>
    <d v="2024-12-13T00:00:00"/>
    <s v="ПриПро"/>
    <s v="Сакорггаз"/>
    <d v="2024-01-10T00:00:00"/>
    <s v="BCG-240110-1/0(38)"/>
    <m/>
    <m/>
    <s v="No"/>
  </r>
  <r>
    <n v="2185"/>
    <s v="Имерети"/>
    <s v="Кутаиси"/>
    <s v="(39) გიორგი ბრწყინვალეს 6 შესახვევი, სერგეი მესხის (ენგელსის ქ) ფიროსმანის ქუჩები შესახვევებით და ჩიხებით. ნარსიას ქ. ა.ხორავას ქ. (უკრაინის ქ.) (565 აბონენტი) გაზსადენის რეაბილიტაცია P.6.617"/>
    <x v="4"/>
    <n v="80000"/>
    <n v="2"/>
    <n v="0"/>
    <m/>
    <n v="0"/>
    <n v="80000"/>
    <n v="0"/>
    <m/>
    <n v="80000"/>
    <n v="1"/>
    <m/>
    <s v="P.6.617"/>
    <n v="0"/>
    <n v="0"/>
    <m/>
    <m/>
    <m/>
    <m/>
    <m/>
    <m/>
    <m/>
    <m/>
    <m/>
    <m/>
    <m/>
    <m/>
    <m/>
    <m/>
    <m/>
    <m/>
    <m/>
    <m/>
    <m/>
    <m/>
    <m/>
    <m/>
    <m/>
    <m/>
    <m/>
    <n v="0"/>
    <n v="0"/>
    <n v="0"/>
    <n v="0"/>
    <n v="0"/>
    <n v="0"/>
    <m/>
    <m/>
    <m/>
    <m/>
    <m/>
    <m/>
    <m/>
    <m/>
    <s v="Реаб."/>
    <m/>
    <n v="0"/>
    <s v="Сакорггаз"/>
    <d v="2024-01-10T00:00:00"/>
    <s v="BCG-240110-1/0(39)"/>
    <m/>
    <m/>
    <s v="Yes"/>
  </r>
  <r>
    <n v="2186"/>
    <s v="Имерети"/>
    <s v="Самтредия"/>
    <s v="(40) სამტრედია ნინოშვილის ქუჩა და ნინოშვილის ჩიხის გაზსადენის რეაბილიტაცია P.6.681"/>
    <x v="9"/>
    <n v="0"/>
    <s v="ამოსაღებია ჩაბარდა 2023 წლის ხელშეკრულებით."/>
    <m/>
    <m/>
    <m/>
    <n v="0"/>
    <n v="0"/>
    <m/>
    <n v="0"/>
    <n v="2"/>
    <m/>
    <s v="P.6.681"/>
    <n v="0"/>
    <n v="0"/>
    <m/>
    <m/>
    <m/>
    <m/>
    <m/>
    <m/>
    <m/>
    <m/>
    <m/>
    <m/>
    <m/>
    <m/>
    <m/>
    <m/>
    <m/>
    <m/>
    <m/>
    <m/>
    <m/>
    <m/>
    <m/>
    <m/>
    <m/>
    <m/>
    <m/>
    <n v="0"/>
    <n v="0"/>
    <n v="0"/>
    <n v="0"/>
    <n v="0"/>
    <n v="0"/>
    <m/>
    <m/>
    <m/>
    <m/>
    <m/>
    <m/>
    <m/>
    <m/>
    <s v="Проектирование"/>
    <m/>
    <n v="0"/>
    <s v="Сакорггаз"/>
    <d v="2024-01-10T00:00:00"/>
    <s v="BCG-240110-1/0(40)"/>
    <m/>
    <m/>
    <s v="No"/>
  </r>
  <r>
    <n v="2187"/>
    <s v="Имерети"/>
    <s v="Самтредия"/>
    <s v="(41) სამტრედია ნინოშვილის ქუჩა და ნინოშვილის ჩიხის გაზსადენის რეაბილიტაცია P.6.681"/>
    <x v="4"/>
    <n v="75000"/>
    <n v="2"/>
    <n v="131838.31"/>
    <n v="131838.31"/>
    <n v="131838.31"/>
    <n v="-56838.31"/>
    <n v="0"/>
    <n v="1399"/>
    <n v="0"/>
    <n v="0"/>
    <m/>
    <s v="P.6.681"/>
    <n v="0"/>
    <n v="0"/>
    <m/>
    <m/>
    <m/>
    <m/>
    <m/>
    <m/>
    <m/>
    <m/>
    <m/>
    <m/>
    <m/>
    <m/>
    <m/>
    <m/>
    <m/>
    <m/>
    <m/>
    <m/>
    <m/>
    <m/>
    <m/>
    <m/>
    <m/>
    <m/>
    <m/>
    <n v="0"/>
    <n v="0"/>
    <n v="0"/>
    <n v="0"/>
    <n v="0"/>
    <n v="0"/>
    <n v="84745.76"/>
    <n v="7752.5"/>
    <n v="0"/>
    <n v="10397.488135593221"/>
    <m/>
    <m/>
    <m/>
    <m/>
    <s v="Реаб."/>
    <d v="2024-08-27T00:00:00"/>
    <s v="Принят"/>
    <s v="Сакорггаз"/>
    <d v="2024-01-10T00:00:00"/>
    <s v="BCG-240110-1/0(41)"/>
    <m/>
    <m/>
    <s v="Yes"/>
  </r>
  <r>
    <n v="2188"/>
    <s v="Имерети"/>
    <s v="Самтредия"/>
    <s v="(42) სამტრედია გაზსადენის შეღებვა: ვაშაკიძის, გამსახურდიას. დადიანის, არგონავტების, თევზაძის, ლორიას, გამრეკელიძის, ელიავას, თავისუფლების, დიდგორის, პაპავას, რესპუბლიკის მე-2, მე-4 ჩიხები, ფანჯიკიძის, ნიკოლეიშვილის ქუჩები. P.6.929"/>
    <x v="4"/>
    <n v="50000"/>
    <n v="2"/>
    <n v="40000"/>
    <m/>
    <n v="33898.31"/>
    <n v="16101.690000000002"/>
    <n v="6101.6900000000023"/>
    <n v="0"/>
    <n v="16101.690000000002"/>
    <n v="1"/>
    <m/>
    <s v="P.6.929"/>
    <n v="0"/>
    <n v="0"/>
    <m/>
    <m/>
    <m/>
    <m/>
    <m/>
    <m/>
    <m/>
    <m/>
    <m/>
    <m/>
    <m/>
    <m/>
    <m/>
    <m/>
    <m/>
    <m/>
    <m/>
    <m/>
    <m/>
    <m/>
    <m/>
    <m/>
    <m/>
    <m/>
    <m/>
    <n v="0"/>
    <n v="0"/>
    <n v="0"/>
    <n v="0"/>
    <n v="0"/>
    <n v="0"/>
    <n v="33898.31"/>
    <m/>
    <m/>
    <m/>
    <m/>
    <m/>
    <m/>
    <m/>
    <s v="Реаб."/>
    <m/>
    <n v="80"/>
    <s v="Сакорггаз"/>
    <d v="2024-01-10T00:00:00"/>
    <s v="BCG-240110-1/0(42)"/>
    <m/>
    <m/>
    <s v="Yes"/>
  </r>
  <r>
    <n v="2189"/>
    <s v="Имерети"/>
    <s v="Терджола"/>
    <s v="(43) მრიცხველების შეცვლა გამოტანა: ქ. თერჯოლა 200 და ქ.ამბროლაური 300 P.6.191 (5)"/>
    <x v="9"/>
    <n v="0"/>
    <n v="2"/>
    <n v="3057.25"/>
    <m/>
    <n v="3057.25"/>
    <n v="-3057.25"/>
    <n v="0"/>
    <m/>
    <n v="0"/>
    <n v="0"/>
    <m/>
    <s v="P.6.191 (5)"/>
    <n v="0"/>
    <n v="0"/>
    <m/>
    <m/>
    <m/>
    <m/>
    <m/>
    <m/>
    <m/>
    <m/>
    <m/>
    <m/>
    <m/>
    <m/>
    <m/>
    <m/>
    <m/>
    <m/>
    <m/>
    <m/>
    <m/>
    <m/>
    <m/>
    <m/>
    <m/>
    <m/>
    <m/>
    <n v="0"/>
    <n v="0"/>
    <n v="0"/>
    <n v="0"/>
    <n v="0"/>
    <n v="0"/>
    <m/>
    <m/>
    <m/>
    <m/>
    <m/>
    <m/>
    <m/>
    <m/>
    <s v="Проектирование"/>
    <d v="2024-08-20T00:00:00"/>
    <s v="ПриПро"/>
    <s v="Сакорггаз"/>
    <d v="2024-01-10T00:00:00"/>
    <s v="BCG-240110-1/0(43)"/>
    <m/>
    <m/>
    <s v="No"/>
  </r>
  <r>
    <n v="2190"/>
    <s v="Имерети"/>
    <s v="Терджола"/>
    <s v="(44) მრიცხველების შეცვლა გამოტანა: ქ. თერჯოლა 200 და ქ.ამბროლაური 300 P.6.191 (5)"/>
    <x v="4"/>
    <n v="35000"/>
    <n v="2"/>
    <n v="0"/>
    <m/>
    <n v="0"/>
    <n v="35000"/>
    <n v="0"/>
    <m/>
    <n v="35000"/>
    <n v="1"/>
    <m/>
    <s v="P.6.191 (5)"/>
    <n v="0"/>
    <n v="0"/>
    <m/>
    <m/>
    <m/>
    <m/>
    <m/>
    <m/>
    <m/>
    <m/>
    <m/>
    <m/>
    <m/>
    <m/>
    <m/>
    <m/>
    <m/>
    <m/>
    <m/>
    <m/>
    <m/>
    <m/>
    <m/>
    <m/>
    <m/>
    <m/>
    <m/>
    <n v="0"/>
    <n v="0"/>
    <n v="0"/>
    <n v="0"/>
    <n v="0"/>
    <n v="0"/>
    <m/>
    <m/>
    <m/>
    <m/>
    <m/>
    <m/>
    <m/>
    <m/>
    <s v="Реаб."/>
    <m/>
    <n v="0"/>
    <s v="Сакорггаз"/>
    <d v="2024-01-10T00:00:00"/>
    <s v="BCG-240110-1/0(44)"/>
    <m/>
    <m/>
    <s v="Yes"/>
  </r>
  <r>
    <n v="2191"/>
    <s v="Имерети"/>
    <s v="Кутаиси"/>
    <s v="(45) ახალგაზრდობის 1 შესახვევის გაზს-ის რეაბილიტაცია (აღრ. კვანძ-დან გმპ-მდე) P.6.614"/>
    <x v="9"/>
    <n v="276.5"/>
    <n v="2"/>
    <n v="276.5"/>
    <m/>
    <n v="276.5"/>
    <n v="0"/>
    <n v="0"/>
    <m/>
    <n v="0"/>
    <n v="0"/>
    <m/>
    <s v="P.6.614"/>
    <n v="0"/>
    <n v="0"/>
    <m/>
    <m/>
    <m/>
    <m/>
    <m/>
    <m/>
    <m/>
    <m/>
    <m/>
    <m/>
    <m/>
    <m/>
    <m/>
    <m/>
    <m/>
    <m/>
    <m/>
    <m/>
    <m/>
    <m/>
    <m/>
    <m/>
    <m/>
    <m/>
    <m/>
    <n v="0"/>
    <n v="0"/>
    <n v="0"/>
    <n v="0"/>
    <n v="0"/>
    <n v="0"/>
    <m/>
    <m/>
    <m/>
    <m/>
    <m/>
    <m/>
    <m/>
    <m/>
    <s v="Проектирование"/>
    <d v="2024-12-13T00:00:00"/>
    <s v="ПриПро"/>
    <s v="Сакорггаз"/>
    <d v="2024-01-10T00:00:00"/>
    <s v="BCG-240110-1/0(45)"/>
    <m/>
    <m/>
    <s v="No"/>
  </r>
  <r>
    <n v="2192"/>
    <s v="Имерети"/>
    <s v="Кутаиси"/>
    <s v="(46) ახალგაზრდობის 1 შესახვევის გაზს-ის რეაბილიტაცია (აღრ. კვანძ-დან გმპ-მდე) P.6.614"/>
    <x v="4"/>
    <n v="30000"/>
    <n v="2"/>
    <n v="0"/>
    <m/>
    <n v="0"/>
    <n v="30000"/>
    <n v="0"/>
    <m/>
    <n v="30000"/>
    <n v="1"/>
    <m/>
    <s v="P.6.614"/>
    <n v="0"/>
    <n v="0"/>
    <m/>
    <m/>
    <m/>
    <m/>
    <m/>
    <m/>
    <m/>
    <m/>
    <m/>
    <m/>
    <m/>
    <m/>
    <m/>
    <m/>
    <m/>
    <m/>
    <m/>
    <m/>
    <m/>
    <m/>
    <m/>
    <m/>
    <m/>
    <m/>
    <m/>
    <n v="0"/>
    <n v="0"/>
    <n v="0"/>
    <n v="0"/>
    <n v="0"/>
    <n v="0"/>
    <m/>
    <m/>
    <m/>
    <m/>
    <m/>
    <m/>
    <m/>
    <m/>
    <s v="Реаб."/>
    <m/>
    <n v="0"/>
    <s v="Сакорггаз"/>
    <d v="2024-01-10T00:00:00"/>
    <s v="BCG-240110-1/0(46)"/>
    <m/>
    <m/>
    <s v="Yes"/>
  </r>
  <r>
    <n v="2193"/>
    <s v="Имерети"/>
    <s v="Кутаиси"/>
    <s v="(47) გრიგოლ აბაშიძის ქუჩის გაზსადენის რეაბილიტაცია P.6.613"/>
    <x v="9"/>
    <n v="0"/>
    <n v="2"/>
    <m/>
    <m/>
    <m/>
    <n v="0"/>
    <n v="0"/>
    <m/>
    <n v="0"/>
    <n v="2"/>
    <m/>
    <s v="P.6.613"/>
    <n v="0"/>
    <n v="0"/>
    <m/>
    <m/>
    <m/>
    <m/>
    <m/>
    <m/>
    <m/>
    <m/>
    <m/>
    <m/>
    <m/>
    <m/>
    <m/>
    <m/>
    <m/>
    <m/>
    <m/>
    <m/>
    <m/>
    <m/>
    <m/>
    <m/>
    <m/>
    <m/>
    <m/>
    <n v="0"/>
    <n v="0"/>
    <n v="0"/>
    <n v="0"/>
    <n v="0"/>
    <n v="0"/>
    <m/>
    <m/>
    <m/>
    <m/>
    <m/>
    <m/>
    <m/>
    <m/>
    <s v="Проектирование"/>
    <m/>
    <n v="0"/>
    <s v="Сакорггаз"/>
    <d v="2024-01-10T00:00:00"/>
    <s v="BCG-240110-1/0(47)"/>
    <m/>
    <m/>
    <s v="No"/>
  </r>
  <r>
    <n v="2194"/>
    <s v="Имерети"/>
    <s v="Кутаиси"/>
    <s v="(48) გრიგოლ აბაშიძის ქუჩის გაზსადენის რეაბილიტაცია P.6.613"/>
    <x v="4"/>
    <n v="25000"/>
    <n v="2"/>
    <n v="0"/>
    <m/>
    <n v="0"/>
    <n v="25000"/>
    <n v="0"/>
    <m/>
    <n v="25000"/>
    <n v="1"/>
    <m/>
    <s v="P.6.613"/>
    <n v="0"/>
    <n v="0"/>
    <m/>
    <m/>
    <m/>
    <m/>
    <m/>
    <m/>
    <m/>
    <m/>
    <m/>
    <m/>
    <m/>
    <m/>
    <m/>
    <m/>
    <m/>
    <m/>
    <m/>
    <m/>
    <m/>
    <m/>
    <m/>
    <m/>
    <m/>
    <m/>
    <m/>
    <n v="0"/>
    <n v="0"/>
    <n v="0"/>
    <n v="0"/>
    <n v="0"/>
    <n v="0"/>
    <m/>
    <m/>
    <m/>
    <m/>
    <m/>
    <m/>
    <m/>
    <m/>
    <s v="Реаб."/>
    <m/>
    <n v="0"/>
    <s v="Сакорггаз"/>
    <d v="2024-01-10T00:00:00"/>
    <s v="BCG-240110-1/0(48)"/>
    <m/>
    <m/>
    <s v="Yes"/>
  </r>
  <r>
    <n v="2195"/>
    <s v="Имерети"/>
    <s v="Терджола"/>
    <s v="(49) სოფ. ნახშირღელის გაზსადენის ავტობანი-ქუთაისის ტრასის მარცხენა გვერდზე გაზსადენის მშენებლობა. P.6.744"/>
    <x v="9"/>
    <n v="0"/>
    <n v="2"/>
    <m/>
    <m/>
    <m/>
    <n v="0"/>
    <n v="0"/>
    <m/>
    <n v="0"/>
    <n v="2"/>
    <m/>
    <s v="P.6.744"/>
    <n v="0"/>
    <n v="0"/>
    <m/>
    <m/>
    <m/>
    <m/>
    <m/>
    <m/>
    <m/>
    <m/>
    <m/>
    <m/>
    <m/>
    <m/>
    <m/>
    <m/>
    <m/>
    <m/>
    <m/>
    <m/>
    <m/>
    <m/>
    <m/>
    <m/>
    <m/>
    <m/>
    <m/>
    <n v="0"/>
    <n v="0"/>
    <n v="0"/>
    <n v="0"/>
    <n v="0"/>
    <n v="0"/>
    <m/>
    <m/>
    <m/>
    <m/>
    <m/>
    <m/>
    <m/>
    <m/>
    <s v="Проектирование"/>
    <m/>
    <n v="0"/>
    <s v="Сакорггаз"/>
    <d v="2024-01-10T00:00:00"/>
    <s v="BCG-240110-1/0(49)"/>
    <m/>
    <m/>
    <s v="No"/>
  </r>
  <r>
    <n v="2196"/>
    <s v="Имерети"/>
    <s v="Терджола"/>
    <s v="(50) სოფ. ნახშირღელის გაზსადენის ავტობანი-ქუთაისის ტრასის მარცხენა გვერდზე გაზსადენის მშენებლობა. P.6.744"/>
    <x v="4"/>
    <n v="20000"/>
    <n v="2"/>
    <n v="0"/>
    <m/>
    <n v="0"/>
    <n v="20000"/>
    <n v="0"/>
    <m/>
    <n v="20000"/>
    <n v="1"/>
    <m/>
    <s v="P.6.744"/>
    <n v="0"/>
    <n v="0"/>
    <m/>
    <m/>
    <m/>
    <m/>
    <m/>
    <m/>
    <m/>
    <m/>
    <m/>
    <m/>
    <m/>
    <m/>
    <m/>
    <m/>
    <m/>
    <m/>
    <m/>
    <m/>
    <m/>
    <m/>
    <m/>
    <m/>
    <m/>
    <m/>
    <m/>
    <n v="0"/>
    <n v="0"/>
    <n v="0"/>
    <n v="0"/>
    <n v="0"/>
    <n v="0"/>
    <m/>
    <m/>
    <m/>
    <m/>
    <m/>
    <m/>
    <m/>
    <m/>
    <s v="Реаб."/>
    <m/>
    <n v="0"/>
    <s v="Сакорггаз"/>
    <d v="2024-01-10T00:00:00"/>
    <s v="BCG-240110-1/0(50)"/>
    <m/>
    <m/>
    <s v="Yes"/>
  </r>
  <r>
    <n v="2197"/>
    <s v="Имерети"/>
    <s v="Кутаиси"/>
    <s v="(51) გაზსადენის შეღებვა: ქ, ქუთაისი, ნიკეას ქუჩა P.6.230"/>
    <x v="4"/>
    <n v="15000"/>
    <n v="2"/>
    <n v="0"/>
    <m/>
    <n v="0"/>
    <n v="15000"/>
    <n v="0"/>
    <m/>
    <n v="15000"/>
    <n v="1"/>
    <m/>
    <s v="P.6.230"/>
    <n v="0"/>
    <n v="0"/>
    <m/>
    <m/>
    <m/>
    <m/>
    <m/>
    <m/>
    <m/>
    <m/>
    <m/>
    <m/>
    <m/>
    <m/>
    <m/>
    <m/>
    <m/>
    <m/>
    <m/>
    <m/>
    <m/>
    <m/>
    <m/>
    <m/>
    <m/>
    <m/>
    <m/>
    <n v="0"/>
    <n v="0"/>
    <n v="0"/>
    <n v="0"/>
    <n v="0"/>
    <n v="0"/>
    <m/>
    <m/>
    <m/>
    <m/>
    <m/>
    <m/>
    <m/>
    <m/>
    <s v="Реаб."/>
    <m/>
    <n v="0"/>
    <s v="Сакорггаз"/>
    <d v="2024-01-10T00:00:00"/>
    <s v="BCG-240110-1/0(51)"/>
    <m/>
    <m/>
    <s v="Yes"/>
  </r>
  <r>
    <n v="2198"/>
    <s v="Имерети"/>
    <s v="Амбролаури"/>
    <s v="(52) ამბროლაური სოფ. სადმელი მკვებავი გაზსადენის რეაბილიტაცია. P.6.742"/>
    <x v="9"/>
    <n v="402.5"/>
    <n v="2"/>
    <n v="402.5"/>
    <m/>
    <n v="402.5"/>
    <n v="0"/>
    <n v="0"/>
    <m/>
    <n v="0"/>
    <n v="0"/>
    <m/>
    <s v="P.6.742"/>
    <n v="0"/>
    <n v="0"/>
    <m/>
    <m/>
    <m/>
    <m/>
    <m/>
    <m/>
    <m/>
    <m/>
    <m/>
    <m/>
    <m/>
    <m/>
    <m/>
    <m/>
    <m/>
    <m/>
    <m/>
    <m/>
    <m/>
    <m/>
    <m/>
    <m/>
    <m/>
    <m/>
    <m/>
    <n v="0"/>
    <n v="0"/>
    <n v="0"/>
    <n v="0"/>
    <n v="0"/>
    <n v="0"/>
    <m/>
    <m/>
    <m/>
    <m/>
    <m/>
    <m/>
    <m/>
    <m/>
    <s v="Проектирование"/>
    <d v="2024-07-02T00:00:00"/>
    <s v="ПриПро"/>
    <s v="Сакорггаз"/>
    <d v="2024-01-10T00:00:00"/>
    <s v="BCG-240110-1/0(52)"/>
    <m/>
    <m/>
    <s v="No"/>
  </r>
  <r>
    <n v="2199"/>
    <s v="Имерети"/>
    <s v="Амбролаури"/>
    <s v="(53) ამბროლაური სოფ. სადმელი მკვებავი გაზსადენის რეაბილიტაცია. P.6.742"/>
    <x v="4"/>
    <n v="15000"/>
    <n v="2"/>
    <n v="39117.160000000003"/>
    <n v="39117.160000000003"/>
    <n v="39117.160000000003"/>
    <n v="-24117.160000000003"/>
    <n v="0"/>
    <n v="209"/>
    <n v="0"/>
    <n v="0"/>
    <m/>
    <s v="P.6.742"/>
    <n v="0"/>
    <n v="0"/>
    <m/>
    <m/>
    <m/>
    <m/>
    <m/>
    <m/>
    <m/>
    <m/>
    <m/>
    <m/>
    <m/>
    <m/>
    <m/>
    <m/>
    <m/>
    <m/>
    <m/>
    <m/>
    <m/>
    <m/>
    <m/>
    <m/>
    <m/>
    <m/>
    <m/>
    <n v="0"/>
    <n v="0"/>
    <n v="0"/>
    <n v="0"/>
    <n v="0"/>
    <n v="0"/>
    <m/>
    <m/>
    <n v="0"/>
    <n v="3315.0135593220348"/>
    <m/>
    <m/>
    <m/>
    <m/>
    <s v="Реаб."/>
    <d v="2024-08-27T00:00:00"/>
    <s v="Принят"/>
    <s v="Сакорггаз"/>
    <d v="2024-01-10T00:00:00"/>
    <s v="BCG-240110-1/0(53)"/>
    <m/>
    <m/>
    <s v="Yes"/>
  </r>
  <r>
    <n v="2200"/>
    <s v="Имерети"/>
    <s v="Самтредия"/>
    <s v="(54) ხონი, სოფ. კონტუათი, გაზსადენის რეაბილიტაცია.  P.6.927"/>
    <x v="9"/>
    <n v="0"/>
    <s v="ამოსაღებია, გასაუქმებელია"/>
    <m/>
    <m/>
    <m/>
    <n v="0"/>
    <n v="0"/>
    <m/>
    <n v="0"/>
    <n v="2"/>
    <m/>
    <s v="P.6.927"/>
    <n v="0"/>
    <n v="0"/>
    <m/>
    <m/>
    <m/>
    <m/>
    <m/>
    <m/>
    <m/>
    <m/>
    <m/>
    <m/>
    <m/>
    <m/>
    <m/>
    <m/>
    <m/>
    <m/>
    <m/>
    <m/>
    <m/>
    <m/>
    <m/>
    <m/>
    <m/>
    <m/>
    <m/>
    <n v="0"/>
    <n v="0"/>
    <n v="0"/>
    <n v="0"/>
    <n v="0"/>
    <n v="0"/>
    <m/>
    <m/>
    <m/>
    <m/>
    <m/>
    <m/>
    <m/>
    <m/>
    <s v="Проектирование"/>
    <m/>
    <n v="0"/>
    <s v="Сакорггаз"/>
    <d v="2024-01-10T00:00:00"/>
    <s v="BCG-240110-1/0(54)"/>
    <m/>
    <m/>
    <s v="No"/>
  </r>
  <r>
    <n v="2201"/>
    <s v="Имерети"/>
    <s v="Самтредия"/>
    <s v="(55) ხონი, სოფ. კონტუათი, გაზსადენის რეაბილიტაცია.  P.6.927"/>
    <x v="4"/>
    <n v="5000"/>
    <s v="ამოსაღებია, გასაუქმებელია"/>
    <n v="0"/>
    <m/>
    <n v="0"/>
    <n v="5000"/>
    <n v="0"/>
    <m/>
    <n v="5000"/>
    <n v="1"/>
    <m/>
    <s v="P.6.927"/>
    <n v="0"/>
    <n v="0"/>
    <m/>
    <m/>
    <m/>
    <m/>
    <m/>
    <m/>
    <m/>
    <m/>
    <m/>
    <m/>
    <m/>
    <m/>
    <m/>
    <m/>
    <m/>
    <m/>
    <m/>
    <m/>
    <m/>
    <m/>
    <m/>
    <m/>
    <m/>
    <m/>
    <m/>
    <n v="0"/>
    <n v="0"/>
    <n v="0"/>
    <n v="0"/>
    <n v="0"/>
    <n v="0"/>
    <m/>
    <m/>
    <m/>
    <m/>
    <m/>
    <m/>
    <m/>
    <m/>
    <s v="Реаб."/>
    <m/>
    <n v="0"/>
    <s v="Сакорггаз"/>
    <d v="2024-01-10T00:00:00"/>
    <s v="BCG-240110-1/0(55)"/>
    <m/>
    <m/>
    <s v="Yes"/>
  </r>
  <r>
    <n v="2202"/>
    <s v="Имерети"/>
    <s v="Кутаиси"/>
    <s v="(56) ნიუპორტის ქ.  გზის რეაბილიტაციასთან დაკავშირებით შესაძლებელია კოროზირებული გაზსადენის შეცვლა P.6.1122"/>
    <x v="9"/>
    <n v="917"/>
    <n v="2"/>
    <n v="917"/>
    <m/>
    <n v="917"/>
    <n v="0"/>
    <n v="0"/>
    <m/>
    <n v="0"/>
    <n v="0"/>
    <m/>
    <s v="P.6.1122"/>
    <n v="0"/>
    <n v="0"/>
    <m/>
    <m/>
    <m/>
    <m/>
    <m/>
    <m/>
    <m/>
    <m/>
    <m/>
    <m/>
    <m/>
    <m/>
    <m/>
    <m/>
    <m/>
    <m/>
    <m/>
    <m/>
    <m/>
    <m/>
    <m/>
    <m/>
    <m/>
    <m/>
    <m/>
    <n v="0"/>
    <n v="0"/>
    <n v="0"/>
    <n v="0"/>
    <n v="0"/>
    <n v="0"/>
    <m/>
    <m/>
    <m/>
    <m/>
    <m/>
    <m/>
    <m/>
    <m/>
    <s v="Проектирование"/>
    <d v="2024-05-01T00:00:00"/>
    <s v="ПриПро"/>
    <s v="Сакорггаз"/>
    <d v="2024-01-10T00:00:00"/>
    <s v="BCG-240110-1/0(56)"/>
    <m/>
    <m/>
    <s v="No"/>
  </r>
  <r>
    <n v="2203"/>
    <s v="Имерети"/>
    <s v="Кутаиси"/>
    <s v="(57) ნიუპორტის ქ.  გზის რეაბილიტაციასთან დაკავშირებით შესაძლებელია კოროზირებული გაზსადენის შეცვლა P.6.1122"/>
    <x v="4"/>
    <n v="10000"/>
    <n v="2"/>
    <n v="0"/>
    <m/>
    <n v="0"/>
    <n v="10000"/>
    <n v="0"/>
    <m/>
    <n v="10000"/>
    <n v="1"/>
    <m/>
    <s v="P.6.1122"/>
    <n v="0"/>
    <n v="0"/>
    <m/>
    <m/>
    <m/>
    <m/>
    <m/>
    <m/>
    <m/>
    <m/>
    <m/>
    <m/>
    <m/>
    <m/>
    <m/>
    <m/>
    <m/>
    <m/>
    <m/>
    <m/>
    <m/>
    <m/>
    <m/>
    <m/>
    <m/>
    <m/>
    <m/>
    <n v="0"/>
    <n v="0"/>
    <n v="0"/>
    <n v="0"/>
    <n v="0"/>
    <n v="0"/>
    <m/>
    <m/>
    <m/>
    <m/>
    <m/>
    <m/>
    <m/>
    <m/>
    <s v="Реаб."/>
    <m/>
    <n v="0"/>
    <s v="Сакорггаз"/>
    <d v="2024-01-10T00:00:00"/>
    <s v="BCG-240110-1/0(57)"/>
    <m/>
    <m/>
    <s v="Yes"/>
  </r>
  <r>
    <n v="2204"/>
    <s v="Имерети"/>
    <s v="Самтредия"/>
    <s v="(58) სამტრედია სოფ. პატარა ეწერი D=63 მმ-იანი L600 საშუალო წნევის გაზსადენის მშენებლობა.  P.6.958"/>
    <x v="9"/>
    <n v="1135.75"/>
    <n v="2"/>
    <n v="1135.75"/>
    <m/>
    <n v="1135.75"/>
    <n v="0"/>
    <n v="0"/>
    <m/>
    <n v="0"/>
    <n v="0"/>
    <m/>
    <s v="P.6.958"/>
    <n v="0"/>
    <n v="0"/>
    <m/>
    <m/>
    <m/>
    <m/>
    <m/>
    <m/>
    <m/>
    <m/>
    <m/>
    <m/>
    <m/>
    <m/>
    <m/>
    <m/>
    <m/>
    <m/>
    <m/>
    <m/>
    <m/>
    <m/>
    <m/>
    <m/>
    <m/>
    <m/>
    <m/>
    <n v="0"/>
    <n v="0"/>
    <n v="0"/>
    <n v="0"/>
    <n v="0"/>
    <n v="0"/>
    <m/>
    <m/>
    <m/>
    <m/>
    <m/>
    <m/>
    <m/>
    <m/>
    <s v="Проектирование"/>
    <d v="2024-05-01T00:00:00"/>
    <s v="ПриПро"/>
    <s v="Сакорггаз"/>
    <d v="2024-01-10T00:00:00"/>
    <s v="BCG-240110-1/0(58)"/>
    <m/>
    <m/>
    <s v="No"/>
  </r>
  <r>
    <n v="2205"/>
    <s v="Имерети"/>
    <s v="Самтредия"/>
    <s v="(59) სამტრედია სოფ. პატარა ეწერი D=63 მმ-იანი L600 საშუალო წნევის გაზსადენის მშენებლობა.  P.6.958"/>
    <x v="4"/>
    <n v="90000"/>
    <n v="2"/>
    <n v="32964.85"/>
    <n v="32964.85"/>
    <n v="32964.85"/>
    <n v="57035.15"/>
    <n v="0"/>
    <n v="631"/>
    <n v="0"/>
    <n v="0"/>
    <m/>
    <s v="P.6.958"/>
    <n v="0"/>
    <n v="0"/>
    <m/>
    <m/>
    <m/>
    <m/>
    <m/>
    <m/>
    <m/>
    <m/>
    <m/>
    <m/>
    <m/>
    <m/>
    <m/>
    <m/>
    <m/>
    <m/>
    <m/>
    <m/>
    <m/>
    <m/>
    <m/>
    <m/>
    <m/>
    <m/>
    <m/>
    <n v="0"/>
    <n v="0"/>
    <n v="0"/>
    <n v="0"/>
    <m/>
    <n v="0"/>
    <m/>
    <m/>
    <n v="0"/>
    <n v="2793.6313559322039"/>
    <m/>
    <m/>
    <m/>
    <m/>
    <s v="Реаб."/>
    <d v="2024-08-27T00:00:00"/>
    <s v="Принят"/>
    <s v="Сакорггаз"/>
    <d v="2024-01-10T00:00:00"/>
    <s v="BCG-240110-1/0(59)"/>
    <m/>
    <m/>
    <s v="Yes"/>
  </r>
  <r>
    <n v="2206"/>
    <s v="Квемо Картли"/>
    <s v="Марнеули"/>
    <s v="(1) სოფ ჯანდარის დაბალი წნევის მილის რეაბილიტაცია. (P.2.906)"/>
    <x v="7"/>
    <n v="540000"/>
    <n v="2"/>
    <m/>
    <m/>
    <m/>
    <n v="540000"/>
    <n v="0"/>
    <m/>
    <n v="540000"/>
    <n v="1"/>
    <m/>
    <s v="P.2.906"/>
    <n v="0"/>
    <n v="0"/>
    <m/>
    <m/>
    <m/>
    <m/>
    <m/>
    <m/>
    <m/>
    <m/>
    <m/>
    <m/>
    <m/>
    <m/>
    <m/>
    <m/>
    <m/>
    <m/>
    <m/>
    <m/>
    <m/>
    <m/>
    <m/>
    <m/>
    <m/>
    <m/>
    <m/>
    <n v="0"/>
    <n v="0"/>
    <n v="0"/>
    <n v="0"/>
    <n v="0"/>
    <n v="0"/>
    <m/>
    <m/>
    <m/>
    <m/>
    <m/>
    <m/>
    <m/>
    <m/>
    <s v="Реаб."/>
    <m/>
    <n v="0"/>
    <s v="SGG"/>
    <d v="2024-01-12T00:00:00"/>
    <s v="BSG-240112-1/0(1)"/>
    <m/>
    <m/>
    <s v="Yes"/>
  </r>
  <r>
    <n v="2207"/>
    <s v="Кахети"/>
    <s v="Кварели"/>
    <s v="(2) ქ. ყვარელი დურუჯის ქუჩის მიწისქვეშა გაზსადენის რეაბილიტაცია 57. 06. 56. 379-დან 57. 06. 52. 133-მდე (P.2.93)"/>
    <x v="7"/>
    <n v="310000"/>
    <n v="2"/>
    <n v="165485.91"/>
    <m/>
    <n v="142531.74999999997"/>
    <n v="167468.25000000003"/>
    <n v="22954.160000000033"/>
    <n v="2363.1999999999998"/>
    <n v="22954.160000000033"/>
    <n v="1"/>
    <m/>
    <s v="P.2.93"/>
    <n v="5485.91"/>
    <n v="836.83"/>
    <n v="5485.91"/>
    <m/>
    <m/>
    <n v="836.83"/>
    <m/>
    <m/>
    <m/>
    <m/>
    <m/>
    <m/>
    <m/>
    <m/>
    <m/>
    <m/>
    <m/>
    <m/>
    <m/>
    <m/>
    <m/>
    <m/>
    <m/>
    <m/>
    <m/>
    <m/>
    <m/>
    <n v="0"/>
    <n v="0"/>
    <n v="0"/>
    <n v="0"/>
    <n v="0"/>
    <n v="0"/>
    <n v="135593.22999999998"/>
    <n v="11679.91"/>
    <n v="0"/>
    <n v="12856.238661016949"/>
    <m/>
    <m/>
    <m/>
    <m/>
    <s v="Реаб."/>
    <d v="2025-01-23T00:00:00"/>
    <s v="Принят"/>
    <s v="SGG"/>
    <d v="2024-01-12T00:00:00"/>
    <s v="BSG-240112-1/0(2)"/>
    <m/>
    <m/>
    <s v="Yes"/>
  </r>
  <r>
    <n v="2208"/>
    <s v="Кахети"/>
    <s v="Гурджаани"/>
    <s v="(3) 34-ე საუბნო (სოფ. დარჩეთი, ცენტრალური გზა, ორივე მხრიდან) (არაშენდიდან ქოდალომდე) ბესოს ფერმასთან (შესასვლელში) (დარჩეთის სკოლასთან) წნევის გაზსადენის რეაბილიტაცია. (P.2.871)"/>
    <x v="7"/>
    <n v="300000"/>
    <n v="2"/>
    <m/>
    <m/>
    <m/>
    <n v="300000"/>
    <n v="0"/>
    <m/>
    <n v="300000"/>
    <n v="1"/>
    <m/>
    <s v="P.2.871"/>
    <n v="0"/>
    <n v="0"/>
    <m/>
    <m/>
    <m/>
    <m/>
    <m/>
    <m/>
    <m/>
    <m/>
    <m/>
    <m/>
    <m/>
    <m/>
    <m/>
    <m/>
    <m/>
    <m/>
    <m/>
    <m/>
    <m/>
    <m/>
    <m/>
    <m/>
    <m/>
    <m/>
    <m/>
    <n v="0"/>
    <n v="0"/>
    <n v="0"/>
    <n v="0"/>
    <n v="0"/>
    <n v="0"/>
    <m/>
    <m/>
    <m/>
    <m/>
    <m/>
    <m/>
    <m/>
    <m/>
    <s v="Реаб."/>
    <m/>
    <n v="0"/>
    <s v="SGG"/>
    <d v="2024-01-12T00:00:00"/>
    <s v="BSG-240112-1/0(3)"/>
    <m/>
    <m/>
    <s v="Yes"/>
  </r>
  <r>
    <n v="2209"/>
    <s v="Кахети"/>
    <s v="Гурджаани"/>
    <s v="(4) 43-ე საუბნო კვანძზე (მელაანიდან გზის პირი, გაჩერებამდე) (ჩალაუბანში საშ. წნევის მიყვანა სოფ. მელაანამდე) დაბალი წნევის გაზსადენის რეაბილიტაცია. (P.2.874)"/>
    <x v="7"/>
    <n v="240000"/>
    <n v="2"/>
    <n v="0"/>
    <m/>
    <n v="0"/>
    <n v="240000"/>
    <n v="0"/>
    <m/>
    <n v="240000"/>
    <n v="1"/>
    <m/>
    <s v="P.2.874"/>
    <n v="0"/>
    <n v="0"/>
    <m/>
    <m/>
    <m/>
    <m/>
    <m/>
    <m/>
    <m/>
    <m/>
    <m/>
    <m/>
    <m/>
    <m/>
    <m/>
    <m/>
    <m/>
    <m/>
    <m/>
    <m/>
    <m/>
    <m/>
    <m/>
    <m/>
    <m/>
    <m/>
    <m/>
    <n v="0"/>
    <n v="0"/>
    <n v="0"/>
    <n v="0"/>
    <n v="0"/>
    <n v="0"/>
    <m/>
    <m/>
    <m/>
    <m/>
    <m/>
    <m/>
    <m/>
    <m/>
    <s v="Реаб."/>
    <m/>
    <n v="0"/>
    <s v="SGG"/>
    <d v="2024-01-12T00:00:00"/>
    <s v="BSG-240112-1/0(4)"/>
    <m/>
    <m/>
    <s v="Yes"/>
  </r>
  <r>
    <n v="2210"/>
    <s v="Квемо Картли"/>
    <s v="Болниси"/>
    <s v="(5) N11 საუბნოზე ი ჭავჭავაძის და წმინდა ნინოს ქუჩებზე კერძო საკუთრებაში გამავალი გაზსადენის გამოტანა მრიცხველების შეცვლა 140 აბონენტზე, რეაბილიტაცია . (P.2.809)"/>
    <x v="7"/>
    <n v="230000"/>
    <n v="2"/>
    <m/>
    <m/>
    <m/>
    <n v="230000"/>
    <n v="0"/>
    <m/>
    <n v="230000"/>
    <n v="1"/>
    <m/>
    <s v="P.2.809"/>
    <n v="0"/>
    <n v="0"/>
    <m/>
    <m/>
    <m/>
    <m/>
    <m/>
    <m/>
    <m/>
    <m/>
    <m/>
    <m/>
    <m/>
    <m/>
    <m/>
    <m/>
    <m/>
    <m/>
    <m/>
    <m/>
    <m/>
    <m/>
    <m/>
    <m/>
    <m/>
    <m/>
    <m/>
    <n v="0"/>
    <n v="0"/>
    <n v="0"/>
    <n v="0"/>
    <n v="0"/>
    <n v="0"/>
    <m/>
    <m/>
    <m/>
    <m/>
    <m/>
    <m/>
    <m/>
    <m/>
    <s v="Реаб."/>
    <m/>
    <n v="0"/>
    <s v="SGG"/>
    <d v="2024-01-12T00:00:00"/>
    <s v="BSG-240112-1/0(5)"/>
    <m/>
    <m/>
    <s v="Yes"/>
  </r>
  <r>
    <n v="2211"/>
    <s v="Квемо Картли"/>
    <s v="Болниси"/>
    <s v="(6) N12 საუბნოზე თამარმეფის ქუჩისა და წმინდა ნინოს ქუჩებზე კერძო საკუთრებაში გამავალი გაზსადენის გამოტანა მრიცხველების შეცვლა 190 აბონენტზე, რეაბილიტაცია. (P.2.810)"/>
    <x v="7"/>
    <n v="225000"/>
    <n v="2"/>
    <m/>
    <m/>
    <m/>
    <n v="225000"/>
    <n v="0"/>
    <m/>
    <n v="225000"/>
    <n v="1"/>
    <m/>
    <s v="P.2.810"/>
    <n v="0"/>
    <n v="0"/>
    <m/>
    <m/>
    <m/>
    <m/>
    <m/>
    <m/>
    <m/>
    <m/>
    <m/>
    <m/>
    <m/>
    <m/>
    <m/>
    <m/>
    <m/>
    <m/>
    <m/>
    <m/>
    <m/>
    <m/>
    <m/>
    <m/>
    <m/>
    <m/>
    <m/>
    <n v="0"/>
    <n v="0"/>
    <n v="0"/>
    <n v="0"/>
    <n v="0"/>
    <n v="0"/>
    <m/>
    <m/>
    <m/>
    <m/>
    <m/>
    <m/>
    <m/>
    <m/>
    <s v="Реаб."/>
    <m/>
    <n v="0"/>
    <s v="SGG"/>
    <d v="2024-01-12T00:00:00"/>
    <s v="BSG-240112-1/0(6)"/>
    <m/>
    <m/>
    <s v="Yes"/>
  </r>
  <r>
    <n v="2212"/>
    <s v="Кахети"/>
    <s v="Лагодехи"/>
    <s v="(7) გაზსადენების შეღებვა სხვადასხვა მისამართებზე (P.2.888)"/>
    <x v="7"/>
    <n v="225000"/>
    <n v="2"/>
    <n v="175232.09"/>
    <n v="175232.09"/>
    <n v="175232.09"/>
    <n v="49767.91"/>
    <n v="0"/>
    <n v="0"/>
    <n v="0"/>
    <n v="0"/>
    <m/>
    <s v="P.2.888"/>
    <n v="0"/>
    <n v="0"/>
    <m/>
    <m/>
    <m/>
    <m/>
    <m/>
    <m/>
    <m/>
    <m/>
    <m/>
    <m/>
    <m/>
    <m/>
    <m/>
    <m/>
    <m/>
    <m/>
    <m/>
    <m/>
    <m/>
    <m/>
    <m/>
    <m/>
    <m/>
    <m/>
    <m/>
    <n v="0"/>
    <n v="0"/>
    <n v="0"/>
    <n v="0"/>
    <n v="0"/>
    <n v="0"/>
    <n v="144067.79999999999"/>
    <n v="10927.449999999999"/>
    <n v="0"/>
    <n v="13757.432118644068"/>
    <m/>
    <m/>
    <m/>
    <m/>
    <s v="Реаб."/>
    <d v="2024-12-11T00:00:00"/>
    <s v="Принят"/>
    <s v="SGG"/>
    <d v="2024-01-12T00:00:00"/>
    <s v="BSG-240112-1/0(7)"/>
    <m/>
    <m/>
    <s v="Yes"/>
  </r>
  <r>
    <n v="2213"/>
    <s v="Квемо Картли"/>
    <s v="Тетрицкаро"/>
    <s v="(8) სოფ მარაბდის მკვებავი გზსადენის რეაბილიტაცია (P.2.815)"/>
    <x v="7"/>
    <n v="210000"/>
    <n v="2"/>
    <m/>
    <m/>
    <m/>
    <n v="210000"/>
    <n v="0"/>
    <m/>
    <n v="210000"/>
    <n v="1"/>
    <m/>
    <s v="P.2.815"/>
    <n v="0"/>
    <n v="0"/>
    <m/>
    <m/>
    <m/>
    <m/>
    <m/>
    <m/>
    <m/>
    <m/>
    <m/>
    <m/>
    <m/>
    <m/>
    <m/>
    <m/>
    <m/>
    <m/>
    <m/>
    <m/>
    <m/>
    <m/>
    <m/>
    <m/>
    <m/>
    <m/>
    <m/>
    <n v="0"/>
    <n v="0"/>
    <n v="0"/>
    <n v="0"/>
    <n v="0"/>
    <n v="0"/>
    <m/>
    <m/>
    <m/>
    <m/>
    <m/>
    <m/>
    <m/>
    <m/>
    <s v="Реаб."/>
    <m/>
    <n v="0"/>
    <s v="SGG"/>
    <d v="2024-01-12T00:00:00"/>
    <s v="BSG-240112-1/0(8)"/>
    <m/>
    <m/>
    <s v="Yes"/>
  </r>
  <r>
    <n v="2214"/>
    <s v="Кахети"/>
    <s v="Сагареджо"/>
    <s v="(9) საგარეჯო, საშულო წნევის 999 გერეესის კანარგოს მიმართულება, გამავალი ფოლადის საჰაერო გაზსადენისა და საყრდენების შეღებვა (P.2.975)"/>
    <x v="7"/>
    <n v="190000"/>
    <n v="2"/>
    <n v="230000"/>
    <m/>
    <n v="163898.30000000002"/>
    <n v="26101.699999999983"/>
    <n v="66101.699999999983"/>
    <m/>
    <n v="26101.699999999983"/>
    <n v="1"/>
    <m/>
    <s v="P.2.975"/>
    <n v="110000"/>
    <n v="9152.5400000000009"/>
    <m/>
    <m/>
    <m/>
    <m/>
    <n v="50000"/>
    <m/>
    <n v="10000"/>
    <n v="7627.12"/>
    <n v="50000"/>
    <n v="1525.42"/>
    <m/>
    <m/>
    <m/>
    <m/>
    <m/>
    <m/>
    <m/>
    <m/>
    <m/>
    <m/>
    <m/>
    <m/>
    <m/>
    <m/>
    <m/>
    <n v="0"/>
    <n v="0"/>
    <n v="0"/>
    <n v="0"/>
    <n v="0"/>
    <n v="0"/>
    <n v="144067.79"/>
    <m/>
    <m/>
    <m/>
    <m/>
    <m/>
    <m/>
    <m/>
    <s v="Реаб."/>
    <m/>
    <n v="90"/>
    <s v="SGG"/>
    <d v="2024-01-12T00:00:00"/>
    <s v="BSG-240112-1/0(9)"/>
    <m/>
    <m/>
    <s v="Yes"/>
  </r>
  <r>
    <n v="2215"/>
    <s v="Кахети"/>
    <s v="Кварели"/>
    <s v="(10) ქ. ყვარელი წერეთლის ქუჩის მიწისქვეშა დაბალი წნევის გაზსადენის რეაბილიტაცია 57. 06. 56. 397-დან57. 06. 56. 198-მდე (შუა ქალაქიდან ბოლომდე დასავლეთით) გიორგი მერჩულეს ქუჩა 57. 06. 56. 226-დან 57. 06. 56. 235-მდე (P.2.99)"/>
    <x v="7"/>
    <n v="190000"/>
    <n v="2"/>
    <n v="66038.36"/>
    <m/>
    <n v="52446.53"/>
    <n v="137553.47"/>
    <n v="13591.830000000002"/>
    <n v="604.20000000000005"/>
    <n v="13591.830000000002"/>
    <n v="1"/>
    <m/>
    <s v="P.2.99"/>
    <n v="66038.36"/>
    <n v="10073.65"/>
    <m/>
    <m/>
    <n v="50000"/>
    <m/>
    <m/>
    <n v="7627.12"/>
    <n v="16038.36"/>
    <m/>
    <m/>
    <n v="2446.5300000000002"/>
    <m/>
    <m/>
    <m/>
    <m/>
    <m/>
    <m/>
    <m/>
    <m/>
    <m/>
    <m/>
    <m/>
    <m/>
    <m/>
    <m/>
    <m/>
    <n v="0"/>
    <n v="0"/>
    <n v="0"/>
    <n v="0"/>
    <n v="0"/>
    <n v="0"/>
    <m/>
    <m/>
    <m/>
    <m/>
    <n v="42372.88"/>
    <n v="815.24"/>
    <m/>
    <m/>
    <s v="Реаб."/>
    <d v="2025-04-15T00:00:00"/>
    <s v="Принят"/>
    <s v="SGG"/>
    <d v="2024-01-12T00:00:00"/>
    <s v="BSG-240112-1/0(10)"/>
    <m/>
    <m/>
    <s v="Yes"/>
  </r>
  <r>
    <n v="2216"/>
    <s v="Кахети"/>
    <s v="Сагареджо"/>
    <s v="(11) საგარეჯო,სოფ. პატარძეულის 01 საუბნო მრიცხველის შემდეგ გამავალი ფოლადის საჰაერო გაზსადენისა და საყრდენების შეღებვა (P.2.970)"/>
    <x v="7"/>
    <n v="190000"/>
    <n v="2"/>
    <n v="222600"/>
    <m/>
    <n v="134125.42000000001"/>
    <n v="55874.579999999987"/>
    <n v="88474.579999999987"/>
    <m/>
    <n v="55874.579999999987"/>
    <n v="1"/>
    <m/>
    <s v="P.2.970"/>
    <n v="152600"/>
    <n v="11074.57"/>
    <m/>
    <m/>
    <m/>
    <m/>
    <n v="62600"/>
    <m/>
    <n v="10000"/>
    <n v="9549.15"/>
    <n v="80000"/>
    <n v="1525.42"/>
    <m/>
    <m/>
    <m/>
    <m/>
    <m/>
    <m/>
    <m/>
    <m/>
    <m/>
    <m/>
    <m/>
    <m/>
    <m/>
    <m/>
    <m/>
    <n v="0"/>
    <n v="0"/>
    <n v="0"/>
    <n v="0"/>
    <n v="0"/>
    <n v="0"/>
    <n v="59322.03"/>
    <m/>
    <m/>
    <m/>
    <n v="53050.85"/>
    <m/>
    <m/>
    <m/>
    <s v="Реаб."/>
    <m/>
    <n v="45"/>
    <s v="SGG"/>
    <d v="2024-01-12T00:00:00"/>
    <s v="BSG-240112-1/0(11)"/>
    <m/>
    <m/>
    <s v="Yes"/>
  </r>
  <r>
    <n v="2217"/>
    <s v="Кахети"/>
    <s v="Ахмета"/>
    <s v="(12) გაზსადენების შეღებვა სხვადასხვა მისამართებზე (P.2.502)"/>
    <x v="7"/>
    <n v="180000"/>
    <n v="2"/>
    <n v="200000"/>
    <m/>
    <n v="74576.27"/>
    <n v="105423.73"/>
    <n v="125423.73"/>
    <m/>
    <n v="105423.73"/>
    <n v="1"/>
    <m/>
    <s v="P.2.502"/>
    <n v="130000"/>
    <n v="15254.24"/>
    <m/>
    <m/>
    <m/>
    <m/>
    <n v="70000"/>
    <m/>
    <n v="30000"/>
    <n v="10677.97"/>
    <n v="30000"/>
    <n v="4576.2700000000004"/>
    <m/>
    <m/>
    <m/>
    <m/>
    <m/>
    <m/>
    <m/>
    <m/>
    <m/>
    <m/>
    <m/>
    <m/>
    <m/>
    <m/>
    <m/>
    <n v="0"/>
    <n v="0"/>
    <n v="0"/>
    <n v="0"/>
    <n v="0"/>
    <n v="0"/>
    <n v="59322.03"/>
    <m/>
    <m/>
    <m/>
    <n v="59322.03"/>
    <m/>
    <m/>
    <m/>
    <s v="Реаб."/>
    <m/>
    <n v="50"/>
    <s v="SGG"/>
    <d v="2024-01-12T00:00:00"/>
    <s v="BSG-240112-1/0(12)"/>
    <m/>
    <m/>
    <s v="Yes"/>
  </r>
  <r>
    <n v="2218"/>
    <s v="Кахети"/>
    <s v="Гурджаани"/>
    <s v="(13) სოფ. ჭანდარი; მე-7 საუბნო კვანძზე (თენგოს უბანი და განშტოებები) (სონღულაშვილის გივის უბანი) საშუალო წნევის გაზსადენის რეაბილიტაცია. (P.2.856)"/>
    <x v="7"/>
    <n v="175000"/>
    <n v="2"/>
    <m/>
    <m/>
    <m/>
    <n v="175000"/>
    <n v="0"/>
    <m/>
    <n v="175000"/>
    <n v="1"/>
    <m/>
    <s v="P.2.856"/>
    <n v="0"/>
    <n v="0"/>
    <m/>
    <m/>
    <m/>
    <m/>
    <m/>
    <m/>
    <m/>
    <m/>
    <m/>
    <m/>
    <m/>
    <m/>
    <m/>
    <m/>
    <m/>
    <m/>
    <m/>
    <m/>
    <m/>
    <m/>
    <m/>
    <m/>
    <m/>
    <m/>
    <m/>
    <n v="0"/>
    <n v="0"/>
    <n v="0"/>
    <n v="0"/>
    <n v="0"/>
    <n v="0"/>
    <m/>
    <m/>
    <m/>
    <m/>
    <m/>
    <m/>
    <m/>
    <m/>
    <s v="Реаб."/>
    <m/>
    <n v="0"/>
    <s v="SGG"/>
    <d v="2024-01-12T00:00:00"/>
    <s v="BSG-240112-1/0(13)"/>
    <m/>
    <m/>
    <s v="Yes"/>
  </r>
  <r>
    <n v="2219"/>
    <s v="Кахети"/>
    <s v="Дедоплисцкаро"/>
    <s v="(14) საშუალო წნევა ზემო მაჩხაანი, აროშიკი ქ. დედოფლისწყარო საჰაერო გაზსადენის შეღებვა (P.2.551)"/>
    <x v="7"/>
    <n v="170000"/>
    <n v="2"/>
    <n v="212000"/>
    <m/>
    <n v="166949.15"/>
    <n v="3050.8500000000058"/>
    <n v="45050.850000000006"/>
    <m/>
    <n v="3050.8500000000058"/>
    <n v="1"/>
    <m/>
    <s v="P.2.551"/>
    <n v="112000"/>
    <n v="15254.24"/>
    <m/>
    <m/>
    <m/>
    <m/>
    <n v="70000"/>
    <m/>
    <n v="30000"/>
    <n v="10677.97"/>
    <n v="12000"/>
    <n v="4576.2700000000004"/>
    <m/>
    <m/>
    <m/>
    <m/>
    <m/>
    <m/>
    <m/>
    <m/>
    <m/>
    <m/>
    <m/>
    <m/>
    <m/>
    <m/>
    <m/>
    <n v="0"/>
    <n v="0"/>
    <n v="0"/>
    <n v="0"/>
    <n v="0"/>
    <n v="0"/>
    <n v="84745.76"/>
    <m/>
    <m/>
    <m/>
    <n v="59322.03"/>
    <m/>
    <m/>
    <m/>
    <s v="Реаб."/>
    <m/>
    <n v="70"/>
    <s v="SGG"/>
    <d v="2024-01-12T00:00:00"/>
    <s v="BSG-240112-1/0(14)"/>
    <m/>
    <m/>
    <s v="Yes"/>
  </r>
  <r>
    <n v="2220"/>
    <s v="Кахети"/>
    <s v="Сигнаги"/>
    <s v="(15) გაზსადენების შეღებვა სხვადასხვა მისამართებზე (P.2.799)"/>
    <x v="7"/>
    <n v="170000"/>
    <n v="2"/>
    <n v="156000"/>
    <m/>
    <n v="84745.76"/>
    <n v="85254.24"/>
    <n v="71254.240000000005"/>
    <m/>
    <n v="85254.24"/>
    <n v="1"/>
    <m/>
    <s v="P.2.799"/>
    <n v="56000"/>
    <n v="0"/>
    <m/>
    <m/>
    <m/>
    <m/>
    <m/>
    <m/>
    <m/>
    <m/>
    <n v="56000"/>
    <m/>
    <m/>
    <m/>
    <m/>
    <m/>
    <m/>
    <m/>
    <m/>
    <m/>
    <m/>
    <m/>
    <m/>
    <m/>
    <m/>
    <m/>
    <m/>
    <n v="0"/>
    <n v="0"/>
    <n v="0"/>
    <n v="0"/>
    <n v="0"/>
    <n v="0"/>
    <n v="84745.76"/>
    <m/>
    <m/>
    <m/>
    <m/>
    <m/>
    <m/>
    <m/>
    <s v="Реаб."/>
    <m/>
    <n v="50"/>
    <s v="SGG"/>
    <d v="2024-01-12T00:00:00"/>
    <s v="BSG-240112-1/0(15)"/>
    <m/>
    <m/>
    <s v="Yes"/>
  </r>
  <r>
    <n v="2221"/>
    <s v="Кахети"/>
    <s v="Лагодехи"/>
    <s v="(16) სოფ. კაბალში და სოფ. ყარაჯალაში აღრიცხვიანობის მოწესრიგება (P.2.1161)"/>
    <x v="7"/>
    <n v="160000"/>
    <n v="2"/>
    <m/>
    <m/>
    <m/>
    <n v="160000"/>
    <n v="0"/>
    <m/>
    <n v="160000"/>
    <n v="1"/>
    <m/>
    <s v="P.2.1161"/>
    <n v="0"/>
    <n v="0"/>
    <m/>
    <m/>
    <m/>
    <m/>
    <m/>
    <m/>
    <m/>
    <m/>
    <m/>
    <m/>
    <m/>
    <m/>
    <m/>
    <m/>
    <m/>
    <m/>
    <m/>
    <m/>
    <m/>
    <m/>
    <m/>
    <m/>
    <m/>
    <m/>
    <m/>
    <n v="0"/>
    <n v="0"/>
    <n v="0"/>
    <n v="0"/>
    <n v="0"/>
    <n v="0"/>
    <m/>
    <m/>
    <m/>
    <m/>
    <m/>
    <m/>
    <m/>
    <m/>
    <s v="Реаб."/>
    <m/>
    <n v="0"/>
    <s v="SGG"/>
    <d v="2024-01-12T00:00:00"/>
    <s v="BSG-240112-1/0(16)"/>
    <m/>
    <m/>
    <s v="Yes"/>
  </r>
  <r>
    <n v="2222"/>
    <s v="Кахети"/>
    <s v="Гурджаани"/>
    <s v="(17) მე-9 საუბნო კვანძზე (სკოლიდან მამაოს უბანი, დოხას უბანი) (ხევისუბანი-ჩალიჩების უბნამდე) (ხევისუბნიდან სკოლამდე) საშუალო წნევის გაზსადენის რეაბილიტაცია. (P.2.858)"/>
    <x v="7"/>
    <n v="160000"/>
    <n v="2"/>
    <m/>
    <m/>
    <m/>
    <n v="160000"/>
    <n v="0"/>
    <m/>
    <n v="160000"/>
    <n v="1"/>
    <m/>
    <s v="P.2.858"/>
    <n v="0"/>
    <n v="0"/>
    <m/>
    <m/>
    <m/>
    <m/>
    <m/>
    <m/>
    <m/>
    <m/>
    <m/>
    <m/>
    <m/>
    <m/>
    <m/>
    <m/>
    <m/>
    <m/>
    <m/>
    <m/>
    <m/>
    <m/>
    <m/>
    <m/>
    <m/>
    <m/>
    <m/>
    <n v="0"/>
    <n v="0"/>
    <n v="0"/>
    <n v="0"/>
    <n v="0"/>
    <n v="0"/>
    <m/>
    <m/>
    <m/>
    <m/>
    <m/>
    <m/>
    <m/>
    <m/>
    <s v="Реаб."/>
    <m/>
    <n v="0"/>
    <s v="SGG"/>
    <d v="2024-01-12T00:00:00"/>
    <s v="BSG-240112-1/0(17)"/>
    <m/>
    <m/>
    <s v="Yes"/>
  </r>
  <r>
    <n v="2223"/>
    <s v="Кахети"/>
    <s v="Кварели"/>
    <s v="(18) ქ. ყვარელი ქეთევან დედოფლის ქუჩის მიწისქვეშა დაბალი წნევის გაზსადენის რეაბილიტაცია 57. 06. 56. 410-დან 57. 06. 51. 135-მდე ძველი რაიკომის ქუჩა (P.2.104)"/>
    <x v="7"/>
    <n v="150000"/>
    <n v="2"/>
    <n v="175630.39"/>
    <m/>
    <n v="136960.57"/>
    <n v="13039.429999999993"/>
    <n v="38669.820000000007"/>
    <n v="1737"/>
    <n v="38669.820000000007"/>
    <n v="1"/>
    <m/>
    <s v="P.2.104"/>
    <n v="75630.39"/>
    <n v="11536.84"/>
    <m/>
    <m/>
    <n v="30000"/>
    <m/>
    <m/>
    <n v="4576.2700000000004"/>
    <n v="45630.39"/>
    <m/>
    <m/>
    <n v="6960.57"/>
    <m/>
    <m/>
    <m/>
    <m/>
    <m/>
    <m/>
    <m/>
    <m/>
    <m/>
    <m/>
    <m/>
    <m/>
    <m/>
    <m/>
    <m/>
    <n v="0"/>
    <n v="0"/>
    <n v="0"/>
    <n v="0"/>
    <n v="0"/>
    <n v="0"/>
    <n v="84745.76"/>
    <n v="6491.18"/>
    <m/>
    <m/>
    <n v="25423.73"/>
    <n v="489.15"/>
    <m/>
    <m/>
    <s v="Реаб."/>
    <d v="2025-04-15T00:00:00"/>
    <s v="Принят"/>
    <s v="SGG"/>
    <d v="2024-01-12T00:00:00"/>
    <s v="BSG-240112-1/0(18)"/>
    <m/>
    <m/>
    <s v="Yes"/>
  </r>
  <r>
    <n v="2224"/>
    <s v="Кахети"/>
    <s v="Гурджаани"/>
    <s v="(19) მე-12 საუბნო კვანძზე (სოფ. ბაკურციხე ტექნიკუმის გზაზე, ორივე მხარეს) (სოფ. ბაკურციხე, პარკისუბანში) საშუალო წნევის გაზსადენის რეაბილიტაცია. (P.2.859)"/>
    <x v="7"/>
    <n v="120000"/>
    <n v="2"/>
    <m/>
    <m/>
    <m/>
    <n v="120000"/>
    <n v="0"/>
    <m/>
    <n v="120000"/>
    <n v="1"/>
    <m/>
    <s v="P.2.859"/>
    <n v="0"/>
    <n v="0"/>
    <m/>
    <m/>
    <m/>
    <m/>
    <m/>
    <m/>
    <m/>
    <m/>
    <m/>
    <m/>
    <m/>
    <m/>
    <m/>
    <m/>
    <m/>
    <m/>
    <m/>
    <m/>
    <m/>
    <m/>
    <m/>
    <m/>
    <m/>
    <m/>
    <m/>
    <n v="0"/>
    <n v="0"/>
    <n v="0"/>
    <n v="0"/>
    <n v="0"/>
    <n v="0"/>
    <m/>
    <m/>
    <m/>
    <m/>
    <m/>
    <m/>
    <m/>
    <m/>
    <s v="Реаб."/>
    <m/>
    <n v="0"/>
    <s v="SGG"/>
    <d v="2024-01-12T00:00:00"/>
    <s v="BSG-240112-1/0(19)"/>
    <m/>
    <m/>
    <s v="Yes"/>
  </r>
  <r>
    <n v="2225"/>
    <s v="Кахети"/>
    <s v="Кварели"/>
    <s v="(20) ქ. ყვარელი ქაქუცა ჩოლოყაშვილი ქუჩის მიწისქვეშა დაბალი წნევის გაზსადენის რეაბილიტაცია 57. 06. 54. 506-დან 57. 06. 55. 095-მდე სალავაშეს ქ (P.2.105)"/>
    <x v="7"/>
    <n v="115000"/>
    <n v="2"/>
    <m/>
    <m/>
    <m/>
    <n v="115000"/>
    <n v="0"/>
    <m/>
    <n v="115000"/>
    <n v="1"/>
    <m/>
    <s v="P.2.105"/>
    <n v="0"/>
    <n v="0"/>
    <m/>
    <m/>
    <m/>
    <m/>
    <m/>
    <m/>
    <m/>
    <m/>
    <m/>
    <m/>
    <m/>
    <m/>
    <m/>
    <m/>
    <m/>
    <m/>
    <m/>
    <m/>
    <m/>
    <m/>
    <m/>
    <m/>
    <m/>
    <m/>
    <m/>
    <n v="0"/>
    <n v="0"/>
    <n v="0"/>
    <n v="0"/>
    <n v="0"/>
    <n v="0"/>
    <m/>
    <m/>
    <m/>
    <m/>
    <m/>
    <m/>
    <m/>
    <m/>
    <s v="Реаб."/>
    <m/>
    <n v="0"/>
    <s v="SGG"/>
    <d v="2024-01-12T00:00:00"/>
    <s v="BSG-240112-1/0(20)"/>
    <m/>
    <m/>
    <s v="Yes"/>
  </r>
  <r>
    <n v="2226"/>
    <s v="Кахети"/>
    <s v="Сагареджо"/>
    <s v="(21) საგარეჯო,სოფ. ხაშმის 09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73)"/>
    <x v="7"/>
    <n v="110000"/>
    <n v="2"/>
    <n v="135000"/>
    <m/>
    <n v="100457.63"/>
    <n v="9542.3699999999953"/>
    <n v="34542.369999999995"/>
    <m/>
    <n v="9542.3699999999953"/>
    <n v="1"/>
    <m/>
    <s v="P.2.973"/>
    <n v="85000"/>
    <n v="8084.75"/>
    <m/>
    <m/>
    <m/>
    <m/>
    <n v="50000"/>
    <m/>
    <n v="3000"/>
    <n v="7627.12"/>
    <n v="32000"/>
    <n v="457.63"/>
    <m/>
    <m/>
    <m/>
    <m/>
    <m/>
    <m/>
    <m/>
    <m/>
    <m/>
    <m/>
    <m/>
    <m/>
    <m/>
    <m/>
    <m/>
    <n v="0"/>
    <n v="0"/>
    <n v="0"/>
    <n v="0"/>
    <n v="0"/>
    <n v="0"/>
    <n v="42372.88"/>
    <m/>
    <m/>
    <m/>
    <n v="42372.88"/>
    <m/>
    <m/>
    <m/>
    <s v="Реаб."/>
    <m/>
    <n v="60"/>
    <s v="SGG"/>
    <d v="2024-01-12T00:00:00"/>
    <s v="BSG-240112-1/0(21)"/>
    <m/>
    <m/>
    <s v="Yes"/>
  </r>
  <r>
    <n v="2227"/>
    <s v="Кахети"/>
    <s v="Лагодехи"/>
    <s v="(22) გაზსადენების შეღებვა სხვადასხვა მისამართებზე (P.2.887)"/>
    <x v="7"/>
    <n v="110000"/>
    <n v="2"/>
    <n v="75887.44"/>
    <n v="75887.44"/>
    <n v="75887.44"/>
    <n v="34112.559999999998"/>
    <n v="0"/>
    <n v="0"/>
    <n v="0"/>
    <n v="0"/>
    <m/>
    <s v="P.2.887"/>
    <n v="0"/>
    <n v="0"/>
    <m/>
    <m/>
    <m/>
    <m/>
    <m/>
    <m/>
    <m/>
    <m/>
    <m/>
    <m/>
    <m/>
    <m/>
    <m/>
    <m/>
    <m/>
    <m/>
    <m/>
    <m/>
    <m/>
    <m/>
    <m/>
    <m/>
    <m/>
    <m/>
    <m/>
    <n v="0"/>
    <n v="0"/>
    <n v="0"/>
    <n v="0"/>
    <n v="0"/>
    <n v="0"/>
    <n v="59322.03"/>
    <n v="4690.25"/>
    <n v="0"/>
    <n v="5962.1139830508482"/>
    <m/>
    <m/>
    <m/>
    <m/>
    <s v="Реаб."/>
    <d v="2024-12-11T00:00:00"/>
    <s v="Принят"/>
    <s v="SGG"/>
    <d v="2024-01-12T00:00:00"/>
    <s v="BSG-240112-1/0(22)"/>
    <m/>
    <m/>
    <s v="Yes"/>
  </r>
  <r>
    <n v="2228"/>
    <s v="Кахети"/>
    <s v="Кварели"/>
    <s v="(23) ქ. ყვარელი, თამარ მეფის ქუჩის მიწისქვეშა დაბალი წნევის გაზსადენის რეაბილიტაცია 57.06.56.000.165-დან 57.06.51.000.122-მდე (P.2.1118)"/>
    <x v="7"/>
    <n v="105000"/>
    <n v="2"/>
    <n v="66637.13"/>
    <m/>
    <n v="52537.869999999995"/>
    <n v="52462.130000000005"/>
    <n v="14099.260000000009"/>
    <n v="662.8"/>
    <n v="14099.260000000009"/>
    <n v="1"/>
    <m/>
    <s v="P.2.1118"/>
    <n v="66637.13"/>
    <n v="10164.99"/>
    <m/>
    <m/>
    <n v="50000"/>
    <m/>
    <m/>
    <n v="7627.12"/>
    <n v="16637.13"/>
    <m/>
    <m/>
    <n v="2537.87"/>
    <m/>
    <m/>
    <m/>
    <m/>
    <m/>
    <m/>
    <m/>
    <m/>
    <m/>
    <m/>
    <m/>
    <m/>
    <m/>
    <m/>
    <m/>
    <n v="0"/>
    <n v="0"/>
    <n v="0"/>
    <n v="0"/>
    <n v="0"/>
    <n v="0"/>
    <m/>
    <m/>
    <m/>
    <m/>
    <n v="42372.88"/>
    <n v="815.24"/>
    <m/>
    <m/>
    <s v="Реаб."/>
    <d v="2025-04-15T00:00:00"/>
    <s v="Принят"/>
    <s v="SGG"/>
    <d v="2024-01-12T00:00:00"/>
    <s v="BSG-240112-1/0(23)"/>
    <m/>
    <m/>
    <s v="Yes"/>
  </r>
  <r>
    <n v="2229"/>
    <s v="Кахети"/>
    <s v="Кварели"/>
    <s v="(24) ქ. ყვარელი შოთა რუსთაველის ქუჩის მიწისქვეშა დაბალი წნევის გაზსადენის რეაბილიტაცია 57. 06. 56. 019-დან 57. 06. 51. 372-მდე რესპუბლიკა ბანკიდან ძველი სასამართლოს ქუჩა (P.2.995)"/>
    <x v="7"/>
    <n v="105000"/>
    <n v="2"/>
    <n v="105021.76000000001"/>
    <m/>
    <n v="92291.45"/>
    <n v="12708.550000000003"/>
    <n v="12730.310000000012"/>
    <n v="1143"/>
    <n v="12708.550000000003"/>
    <n v="1"/>
    <m/>
    <s v="P.2.995"/>
    <n v="45021.760000000002"/>
    <n v="6867.72"/>
    <m/>
    <m/>
    <n v="30000"/>
    <m/>
    <m/>
    <n v="4576.2700000000004"/>
    <n v="15021.76"/>
    <m/>
    <m/>
    <n v="2291.4499999999998"/>
    <m/>
    <m/>
    <m/>
    <m/>
    <m/>
    <m/>
    <m/>
    <m/>
    <m/>
    <m/>
    <m/>
    <m/>
    <m/>
    <m/>
    <m/>
    <n v="0"/>
    <n v="0"/>
    <n v="0"/>
    <n v="0"/>
    <n v="0"/>
    <n v="0"/>
    <n v="50847.46"/>
    <n v="3359.42"/>
    <m/>
    <m/>
    <n v="25423.73"/>
    <n v="489.15"/>
    <m/>
    <m/>
    <s v="Реаб."/>
    <m/>
    <n v="70"/>
    <s v="SGG"/>
    <d v="2024-01-12T00:00:00"/>
    <s v="BSG-240112-1/0(24)"/>
    <m/>
    <m/>
    <s v="Yes"/>
  </r>
  <r>
    <n v="2230"/>
    <s v="Квемо Картли"/>
    <s v="Марнеули"/>
    <s v="(25) ქ. მარნეული პირველ და მეორე ქუჩებზე გაზსადენის მოწყობა (P.2.1224)"/>
    <x v="7"/>
    <n v="100000"/>
    <n v="2"/>
    <m/>
    <m/>
    <m/>
    <n v="100000"/>
    <n v="0"/>
    <m/>
    <n v="100000"/>
    <n v="1"/>
    <m/>
    <s v="P.2.1224"/>
    <n v="0"/>
    <n v="0"/>
    <m/>
    <m/>
    <m/>
    <m/>
    <m/>
    <m/>
    <m/>
    <m/>
    <m/>
    <m/>
    <m/>
    <m/>
    <m/>
    <m/>
    <m/>
    <m/>
    <m/>
    <m/>
    <m/>
    <m/>
    <m/>
    <m/>
    <m/>
    <m/>
    <m/>
    <n v="0"/>
    <n v="0"/>
    <n v="0"/>
    <n v="0"/>
    <n v="0"/>
    <n v="0"/>
    <m/>
    <m/>
    <m/>
    <m/>
    <m/>
    <m/>
    <m/>
    <m/>
    <s v="Реаб."/>
    <m/>
    <n v="0"/>
    <s v="SGG"/>
    <d v="2024-01-12T00:00:00"/>
    <s v="BSG-240112-1/0(25)"/>
    <m/>
    <m/>
    <s v="Yes"/>
  </r>
  <r>
    <n v="2231"/>
    <s v="Кахети"/>
    <s v="Кварели"/>
    <s v="(26) სოფ შილდა საუბნო N 2, N 32, N 33, N 34, N 35. (P.2.119)"/>
    <x v="7"/>
    <n v="100000"/>
    <n v="2"/>
    <n v="69888.160000000003"/>
    <n v="69888.160000000003"/>
    <n v="69888.154999999999"/>
    <n v="30111.845000000001"/>
    <n v="5.0000000046566129E-3"/>
    <n v="0"/>
    <n v="5.0000000046566129E-3"/>
    <n v="0"/>
    <m/>
    <s v="P.2.119"/>
    <n v="0"/>
    <n v="0"/>
    <m/>
    <m/>
    <m/>
    <m/>
    <m/>
    <m/>
    <m/>
    <m/>
    <m/>
    <m/>
    <m/>
    <m/>
    <m/>
    <m/>
    <m/>
    <m/>
    <m/>
    <m/>
    <m/>
    <m/>
    <m/>
    <m/>
    <m/>
    <m/>
    <m/>
    <n v="0"/>
    <n v="0"/>
    <n v="0"/>
    <n v="0"/>
    <n v="0"/>
    <n v="0"/>
    <n v="55084.74"/>
    <n v="4501.05"/>
    <n v="0"/>
    <n v="5472.6204237288148"/>
    <m/>
    <m/>
    <m/>
    <m/>
    <s v="Реаб."/>
    <d v="2024-12-11T00:00:00"/>
    <s v="Принят"/>
    <s v="SGG"/>
    <d v="2024-01-12T00:00:00"/>
    <s v="BSG-240112-1/0(26)"/>
    <m/>
    <m/>
    <s v="Yes"/>
  </r>
  <r>
    <n v="2232"/>
    <s v="Кахети"/>
    <s v="Сагареджо"/>
    <s v="(27) საგარეჯო,სოფ. გიორგიწმნდის 08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72)"/>
    <x v="7"/>
    <n v="90000"/>
    <n v="2"/>
    <n v="110000"/>
    <m/>
    <n v="81525.42"/>
    <n v="8474.5800000000017"/>
    <n v="28474.58"/>
    <m/>
    <n v="8474.5800000000017"/>
    <n v="1"/>
    <m/>
    <s v="P.2.972"/>
    <n v="60000"/>
    <n v="6101.6900000000005"/>
    <m/>
    <m/>
    <m/>
    <m/>
    <n v="30000"/>
    <m/>
    <n v="10000"/>
    <n v="4576.2700000000004"/>
    <n v="20000"/>
    <n v="1525.42"/>
    <m/>
    <m/>
    <m/>
    <m/>
    <m/>
    <m/>
    <m/>
    <m/>
    <m/>
    <m/>
    <m/>
    <m/>
    <m/>
    <m/>
    <m/>
    <n v="0"/>
    <n v="0"/>
    <n v="0"/>
    <n v="0"/>
    <n v="0"/>
    <n v="0"/>
    <n v="42372.88"/>
    <m/>
    <m/>
    <m/>
    <n v="25423.73"/>
    <m/>
    <m/>
    <m/>
    <s v="Реаб."/>
    <m/>
    <n v="60"/>
    <s v="SGG"/>
    <d v="2024-01-12T00:00:00"/>
    <s v="BSG-240112-1/0(27)"/>
    <m/>
    <m/>
    <s v="Yes"/>
  </r>
  <r>
    <n v="2233"/>
    <s v="Кахети"/>
    <s v="Кварели"/>
    <s v="(28) ქ. ყვარელი შტეინის ქუჩის მიწისქვეშა დაბალი წნევის გაზსადენის რეაბილიტაცია 57. 06. 52. 115-დან 57. 06. 52. 133-მდე (P.2.109)"/>
    <x v="7"/>
    <n v="90000"/>
    <n v="2"/>
    <m/>
    <m/>
    <m/>
    <n v="90000"/>
    <n v="0"/>
    <m/>
    <n v="90000"/>
    <n v="1"/>
    <m/>
    <s v="P.2.109"/>
    <n v="0"/>
    <n v="0"/>
    <m/>
    <m/>
    <m/>
    <m/>
    <m/>
    <m/>
    <m/>
    <m/>
    <m/>
    <m/>
    <m/>
    <m/>
    <m/>
    <m/>
    <m/>
    <m/>
    <m/>
    <m/>
    <m/>
    <m/>
    <m/>
    <m/>
    <m/>
    <m/>
    <m/>
    <n v="0"/>
    <n v="0"/>
    <n v="0"/>
    <n v="0"/>
    <n v="0"/>
    <n v="0"/>
    <m/>
    <m/>
    <m/>
    <m/>
    <m/>
    <m/>
    <m/>
    <m/>
    <s v="Реаб."/>
    <m/>
    <n v="0"/>
    <s v="SGG"/>
    <d v="2024-01-12T00:00:00"/>
    <s v="BSG-240112-1/0(28)"/>
    <m/>
    <m/>
    <s v="Yes"/>
  </r>
  <r>
    <n v="2234"/>
    <s v="Кахети"/>
    <s v="Кварели"/>
    <s v="(29) ქ. ყვარელი, ვაჟა-ფშაველას ქუჩის მიწისქვეშა დაბალი წნევის გაზსადენის რეაბილიტაცია 57.06.56.000.113-დან 57.06.51.000.599-მდე (P.2.1120)"/>
    <x v="7"/>
    <n v="90000"/>
    <n v="2"/>
    <n v="260916.87"/>
    <m/>
    <n v="255902.57"/>
    <n v="-165902.57"/>
    <n v="5014.2999999999884"/>
    <n v="1961"/>
    <n v="5014.2999999999884"/>
    <n v="1"/>
    <m/>
    <s v="P.2.1120"/>
    <n v="145916.87"/>
    <n v="22258.5"/>
    <m/>
    <m/>
    <n v="140000"/>
    <m/>
    <m/>
    <n v="21355.93"/>
    <n v="5916.87"/>
    <m/>
    <m/>
    <n v="902.57"/>
    <m/>
    <m/>
    <m/>
    <m/>
    <m/>
    <m/>
    <m/>
    <m/>
    <m/>
    <m/>
    <m/>
    <m/>
    <m/>
    <m/>
    <m/>
    <n v="0"/>
    <n v="0"/>
    <n v="0"/>
    <n v="0"/>
    <n v="0"/>
    <n v="0"/>
    <n v="97457.63"/>
    <n v="6438.88"/>
    <m/>
    <m/>
    <n v="118644.07"/>
    <n v="2282.6799999999998"/>
    <m/>
    <m/>
    <s v="Реаб."/>
    <d v="2025-04-24T00:00:00"/>
    <s v="Принят"/>
    <s v="SGG"/>
    <d v="2024-01-12T00:00:00"/>
    <s v="BSG-240112-1/0(29)"/>
    <m/>
    <m/>
    <s v="Yes"/>
  </r>
  <r>
    <n v="2235"/>
    <s v="Квемо Картли"/>
    <s v="Гардабани"/>
    <s v="(30) გაზსადენების შეღებვა სხვადასხვა მისამართებზე (P.2.847)"/>
    <x v="7"/>
    <n v="90000"/>
    <n v="2"/>
    <n v="103426.37"/>
    <n v="103426.37"/>
    <n v="103426.37"/>
    <n v="-13426.369999999995"/>
    <n v="0"/>
    <n v="0"/>
    <n v="0"/>
    <n v="0"/>
    <m/>
    <s v="P.2.847"/>
    <n v="0"/>
    <n v="0"/>
    <m/>
    <m/>
    <m/>
    <m/>
    <m/>
    <m/>
    <m/>
    <m/>
    <m/>
    <m/>
    <m/>
    <m/>
    <m/>
    <m/>
    <m/>
    <m/>
    <m/>
    <m/>
    <m/>
    <m/>
    <m/>
    <m/>
    <m/>
    <m/>
    <m/>
    <n v="0"/>
    <n v="0"/>
    <n v="0"/>
    <n v="0"/>
    <n v="0"/>
    <n v="0"/>
    <n v="80508.479999999996"/>
    <n v="5227.95"/>
    <n v="0"/>
    <n v="8242.1516101694924"/>
    <m/>
    <m/>
    <m/>
    <m/>
    <s v="Реаб."/>
    <d v="2024-12-11T00:00:00"/>
    <s v="Принят"/>
    <s v="SGG"/>
    <d v="2024-01-12T00:00:00"/>
    <s v="BSG-240112-1/0(30)"/>
    <m/>
    <m/>
    <s v="Yes"/>
  </r>
  <r>
    <n v="2236"/>
    <s v="Кахети"/>
    <s v="Сигнаги"/>
    <s v="(31) ქ. წნორი ჯავაშვილი ფილიმონის უბნიდან ბოდბისხევის ბაზრამდე ქუჩის რეაბილიტაცია (P.2.780)"/>
    <x v="7"/>
    <n v="75000"/>
    <n v="2"/>
    <m/>
    <m/>
    <m/>
    <n v="75000"/>
    <n v="0"/>
    <m/>
    <n v="75000"/>
    <n v="1"/>
    <m/>
    <s v="P.2.780"/>
    <n v="0"/>
    <n v="0"/>
    <m/>
    <m/>
    <m/>
    <m/>
    <m/>
    <m/>
    <m/>
    <m/>
    <m/>
    <m/>
    <m/>
    <m/>
    <m/>
    <m/>
    <m/>
    <m/>
    <m/>
    <m/>
    <m/>
    <m/>
    <m/>
    <m/>
    <m/>
    <m/>
    <m/>
    <n v="0"/>
    <n v="0"/>
    <n v="0"/>
    <n v="0"/>
    <n v="0"/>
    <n v="0"/>
    <m/>
    <m/>
    <m/>
    <m/>
    <m/>
    <m/>
    <m/>
    <m/>
    <s v="Реаб."/>
    <m/>
    <n v="0"/>
    <s v="SGG"/>
    <d v="2024-01-12T00:00:00"/>
    <s v="BSG-240112-1/0(31)"/>
    <m/>
    <m/>
    <s v="Yes"/>
  </r>
  <r>
    <n v="2237"/>
    <s v="Кахети"/>
    <s v="Кварели"/>
    <s v="(32) ქ. ყვარელი ყაზბეგის ქუჩის მიწისქვეშა დაბალი წნევის გაზსადენის რეაბილიტაცია 57. 06. 55. 024-დან 57. 06. 55. 024-მდე (P.2.108)"/>
    <x v="7"/>
    <n v="75000"/>
    <n v="2"/>
    <m/>
    <m/>
    <m/>
    <n v="75000"/>
    <n v="0"/>
    <m/>
    <n v="75000"/>
    <n v="1"/>
    <m/>
    <s v="P.2.108"/>
    <n v="0"/>
    <n v="0"/>
    <m/>
    <m/>
    <m/>
    <m/>
    <m/>
    <m/>
    <m/>
    <m/>
    <m/>
    <m/>
    <m/>
    <m/>
    <m/>
    <m/>
    <m/>
    <m/>
    <m/>
    <m/>
    <m/>
    <m/>
    <m/>
    <m/>
    <m/>
    <m/>
    <m/>
    <n v="0"/>
    <n v="0"/>
    <n v="0"/>
    <n v="0"/>
    <n v="0"/>
    <n v="0"/>
    <m/>
    <m/>
    <m/>
    <m/>
    <m/>
    <m/>
    <m/>
    <m/>
    <s v="Реаб."/>
    <m/>
    <n v="0"/>
    <s v="SGG"/>
    <d v="2024-01-12T00:00:00"/>
    <s v="BSG-240112-1/0(32)"/>
    <m/>
    <m/>
    <s v="Yes"/>
  </r>
  <r>
    <n v="2238"/>
    <s v="Кахети"/>
    <s v="Дедоплисцкаро"/>
    <s v="(33) ქ. დედოფლისწყარო-მთისა,გურამიშვილის და წერეთლის ქუჩები გაზსადენის რეაბილიტაცია (P.2.550)"/>
    <x v="7"/>
    <n v="70000"/>
    <n v="2"/>
    <m/>
    <m/>
    <m/>
    <n v="70000"/>
    <n v="0"/>
    <m/>
    <n v="70000"/>
    <n v="1"/>
    <m/>
    <s v="P.2.550"/>
    <n v="0"/>
    <n v="0"/>
    <m/>
    <m/>
    <m/>
    <m/>
    <m/>
    <m/>
    <m/>
    <m/>
    <m/>
    <m/>
    <m/>
    <m/>
    <m/>
    <m/>
    <m/>
    <m/>
    <m/>
    <m/>
    <m/>
    <m/>
    <m/>
    <m/>
    <m/>
    <m/>
    <m/>
    <n v="0"/>
    <n v="0"/>
    <n v="0"/>
    <n v="0"/>
    <n v="0"/>
    <n v="0"/>
    <m/>
    <m/>
    <m/>
    <m/>
    <m/>
    <m/>
    <m/>
    <m/>
    <s v="Реаб."/>
    <m/>
    <n v="0"/>
    <s v="SGG"/>
    <d v="2024-01-12T00:00:00"/>
    <s v="BSG-240112-1/0(33)"/>
    <m/>
    <m/>
    <s v="Yes"/>
  </r>
  <r>
    <n v="2239"/>
    <s v="Кахети"/>
    <s v="Гурджаани"/>
    <s v="(34) 32-ე საუბნო კვანძზე, (ორველაშვილის უბანზე) (საშ. სკოლასთან) დაბალი წნევის გაზსადენის რეაბილიტაცია. (P.2.869)"/>
    <x v="7"/>
    <n v="70000"/>
    <n v="2"/>
    <m/>
    <m/>
    <m/>
    <n v="70000"/>
    <n v="0"/>
    <m/>
    <n v="70000"/>
    <n v="1"/>
    <m/>
    <s v="P.2.869"/>
    <n v="0"/>
    <n v="0"/>
    <m/>
    <m/>
    <m/>
    <m/>
    <m/>
    <m/>
    <m/>
    <m/>
    <m/>
    <m/>
    <m/>
    <m/>
    <m/>
    <m/>
    <m/>
    <m/>
    <m/>
    <m/>
    <m/>
    <m/>
    <m/>
    <m/>
    <m/>
    <m/>
    <m/>
    <n v="0"/>
    <n v="0"/>
    <n v="0"/>
    <n v="0"/>
    <n v="0"/>
    <n v="0"/>
    <m/>
    <m/>
    <m/>
    <m/>
    <m/>
    <m/>
    <m/>
    <m/>
    <s v="Реаб."/>
    <m/>
    <n v="0"/>
    <s v="SGG"/>
    <d v="2024-01-12T00:00:00"/>
    <s v="BSG-240112-1/0(34)"/>
    <m/>
    <m/>
    <s v="Yes"/>
  </r>
  <r>
    <n v="2240"/>
    <s v="Кахети"/>
    <s v="Дедоплисцкаро"/>
    <s v="(35) ქ. დედოფლისწყარო წყაროს ქუჩის რეაბილიტაცია (P.2.35)"/>
    <x v="7"/>
    <n v="65000"/>
    <n v="2"/>
    <m/>
    <m/>
    <m/>
    <n v="65000"/>
    <n v="0"/>
    <m/>
    <n v="65000"/>
    <n v="1"/>
    <m/>
    <s v="P.2.35"/>
    <n v="0"/>
    <n v="0"/>
    <m/>
    <m/>
    <m/>
    <m/>
    <m/>
    <m/>
    <m/>
    <m/>
    <m/>
    <m/>
    <m/>
    <m/>
    <m/>
    <m/>
    <m/>
    <m/>
    <m/>
    <m/>
    <m/>
    <m/>
    <m/>
    <m/>
    <m/>
    <m/>
    <m/>
    <n v="0"/>
    <n v="0"/>
    <n v="0"/>
    <n v="0"/>
    <n v="0"/>
    <n v="0"/>
    <m/>
    <m/>
    <m/>
    <m/>
    <m/>
    <m/>
    <m/>
    <m/>
    <s v="Реаб."/>
    <m/>
    <n v="0"/>
    <s v="SGG"/>
    <d v="2024-01-12T00:00:00"/>
    <s v="BSG-240112-1/0(35)"/>
    <m/>
    <m/>
    <s v="Yes"/>
  </r>
  <r>
    <n v="2241"/>
    <s v="Кахети"/>
    <s v="Гурджаани"/>
    <s v="(36) მე-14 საუბნო კვანძზე (ფიროს უბანი, ადვიოკატი ნოდარის უბანი) საშუალო წნევის გაზსადენის რეაბილიტაცია. (P.2.861)"/>
    <x v="7"/>
    <n v="65000"/>
    <n v="2"/>
    <m/>
    <m/>
    <m/>
    <n v="65000"/>
    <n v="0"/>
    <m/>
    <n v="65000"/>
    <n v="1"/>
    <m/>
    <s v="P.2.861"/>
    <n v="0"/>
    <n v="0"/>
    <m/>
    <m/>
    <m/>
    <m/>
    <m/>
    <m/>
    <m/>
    <m/>
    <m/>
    <m/>
    <m/>
    <m/>
    <m/>
    <m/>
    <m/>
    <m/>
    <m/>
    <m/>
    <m/>
    <m/>
    <m/>
    <m/>
    <m/>
    <m/>
    <m/>
    <n v="0"/>
    <n v="0"/>
    <n v="0"/>
    <n v="0"/>
    <n v="0"/>
    <n v="0"/>
    <m/>
    <m/>
    <m/>
    <m/>
    <m/>
    <m/>
    <m/>
    <m/>
    <s v="Реаб."/>
    <m/>
    <n v="0"/>
    <s v="SGG"/>
    <d v="2024-01-12T00:00:00"/>
    <s v="BSG-240112-1/0(36)"/>
    <m/>
    <m/>
    <s v="Yes"/>
  </r>
  <r>
    <n v="2242"/>
    <s v="Кахети"/>
    <s v="Ахмета"/>
    <s v="(37) #5 ქ. ახმეტა დედის ქუჩის გაზსადენის რეაბილიტაცია პირველი მაისის ქუჩის გაზსადენის რეაბილიტაცია (P.2.506)"/>
    <x v="7"/>
    <n v="60000"/>
    <n v="2"/>
    <n v="55798.55"/>
    <n v="55798.55"/>
    <n v="55798.55"/>
    <n v="4201.4499999999971"/>
    <n v="0"/>
    <n v="822"/>
    <n v="0"/>
    <n v="0"/>
    <m/>
    <s v="P.2.506"/>
    <n v="0"/>
    <n v="0"/>
    <m/>
    <m/>
    <m/>
    <m/>
    <m/>
    <m/>
    <m/>
    <m/>
    <m/>
    <m/>
    <m/>
    <m/>
    <m/>
    <m/>
    <m/>
    <m/>
    <m/>
    <m/>
    <m/>
    <m/>
    <m/>
    <m/>
    <m/>
    <m/>
    <m/>
    <n v="0"/>
    <n v="0"/>
    <n v="0"/>
    <n v="0"/>
    <n v="0"/>
    <n v="0"/>
    <n v="25423.73"/>
    <n v="2360.08"/>
    <n v="0"/>
    <n v="4492.6826779661023"/>
    <m/>
    <m/>
    <m/>
    <m/>
    <s v="Реаб."/>
    <d v="2024-09-30T00:00:00"/>
    <s v="Принят"/>
    <s v="SGG"/>
    <d v="2024-01-12T00:00:00"/>
    <s v="BSG-240112-1/0(37)"/>
    <m/>
    <m/>
    <s v="Yes"/>
  </r>
  <r>
    <n v="2243"/>
    <s v="Кахети"/>
    <s v="Сигнаги"/>
    <s v="(38) ს. საქობო ანას უბნის რეაბილიტაცია (P.2.792)"/>
    <x v="7"/>
    <n v="60000"/>
    <n v="2"/>
    <n v="94092.85"/>
    <m/>
    <n v="82149.759000000005"/>
    <n v="-22149.759000000005"/>
    <n v="11943.091"/>
    <n v="1532.5"/>
    <n v="11943.091"/>
    <n v="1"/>
    <m/>
    <s v="P.2.792"/>
    <n v="14092.85"/>
    <n v="2149.7600000000002"/>
    <m/>
    <m/>
    <m/>
    <m/>
    <m/>
    <m/>
    <n v="14092.85"/>
    <m/>
    <m/>
    <n v="2149.7600000000002"/>
    <m/>
    <m/>
    <m/>
    <m/>
    <m/>
    <m/>
    <m/>
    <m/>
    <m/>
    <m/>
    <m/>
    <m/>
    <m/>
    <m/>
    <m/>
    <n v="0"/>
    <n v="0"/>
    <n v="0"/>
    <n v="0"/>
    <n v="0"/>
    <n v="0"/>
    <n v="67796.61"/>
    <n v="4479.22"/>
    <m/>
    <m/>
    <m/>
    <m/>
    <m/>
    <m/>
    <s v="Реаб."/>
    <d v="2025-04-29T00:00:00"/>
    <s v="Принят"/>
    <s v="SGG"/>
    <d v="2024-01-12T00:00:00"/>
    <s v="BSG-240112-1/0(38)"/>
    <m/>
    <m/>
    <s v="Yes"/>
  </r>
  <r>
    <n v="2244"/>
    <s v="Квемо Картли"/>
    <s v="Марнеули"/>
    <s v="(39) 724 ცალი მრიცხველის დაბლა ჩამოტანა მარნეულის სერვის ცენტრში (P.2.903)"/>
    <x v="7"/>
    <n v="60000"/>
    <n v="2"/>
    <m/>
    <m/>
    <m/>
    <n v="60000"/>
    <n v="0"/>
    <m/>
    <n v="60000"/>
    <n v="1"/>
    <m/>
    <s v="P.2.903"/>
    <n v="0"/>
    <n v="0"/>
    <m/>
    <m/>
    <m/>
    <m/>
    <m/>
    <m/>
    <m/>
    <m/>
    <m/>
    <m/>
    <m/>
    <m/>
    <m/>
    <m/>
    <m/>
    <m/>
    <m/>
    <m/>
    <m/>
    <m/>
    <m/>
    <m/>
    <m/>
    <m/>
    <m/>
    <n v="0"/>
    <n v="0"/>
    <n v="0"/>
    <n v="0"/>
    <n v="0"/>
    <n v="0"/>
    <m/>
    <m/>
    <m/>
    <m/>
    <m/>
    <m/>
    <m/>
    <m/>
    <s v="Реаб."/>
    <m/>
    <n v="0"/>
    <s v="SGG"/>
    <d v="2024-01-12T00:00:00"/>
    <s v="BSG-240112-1/0(39)"/>
    <m/>
    <m/>
    <s v="Yes"/>
  </r>
  <r>
    <n v="2245"/>
    <s v="Кахети"/>
    <s v="Кварели"/>
    <s v="(40) ქ. ყვარელი, ელადის ქუჩის მიწისქვეშა დაბალი წნევის გაზსადენის რეაბილიტაცია 57.06.56.000.182-დან 57.06.51.000.454-მდე (P.2.1117)"/>
    <x v="7"/>
    <n v="55000"/>
    <n v="2"/>
    <n v="58693.75"/>
    <m/>
    <n v="42851.59"/>
    <n v="12148.410000000003"/>
    <n v="15842.160000000003"/>
    <n v="548.5"/>
    <n v="15842.160000000003"/>
    <n v="1"/>
    <m/>
    <s v="P.2.1117"/>
    <n v="58693.75"/>
    <n v="8953.2799999999988"/>
    <m/>
    <m/>
    <n v="40000"/>
    <m/>
    <m/>
    <n v="6101.69"/>
    <n v="18693.75"/>
    <m/>
    <m/>
    <n v="2851.59"/>
    <m/>
    <m/>
    <m/>
    <m/>
    <m/>
    <m/>
    <m/>
    <m/>
    <m/>
    <m/>
    <m/>
    <m/>
    <m/>
    <m/>
    <m/>
    <n v="0"/>
    <n v="0"/>
    <n v="0"/>
    <n v="0"/>
    <n v="0"/>
    <n v="0"/>
    <m/>
    <m/>
    <m/>
    <m/>
    <n v="33898.31"/>
    <n v="652.19000000000005"/>
    <m/>
    <m/>
    <s v="Реаб."/>
    <d v="2025-04-15T00:00:00"/>
    <s v="Принят"/>
    <s v="SGG"/>
    <d v="2024-01-12T00:00:00"/>
    <s v="BSG-240112-1/0(40)"/>
    <m/>
    <m/>
    <s v="Yes"/>
  </r>
  <r>
    <n v="2246"/>
    <s v="Кахети"/>
    <s v="Сигнаги"/>
    <s v="(41) სოფ. საქობო მხატვარი იურას უბნის რეაბილიტაცია (P.2.778)"/>
    <x v="7"/>
    <n v="50000"/>
    <n v="2"/>
    <m/>
    <m/>
    <m/>
    <n v="50000"/>
    <n v="0"/>
    <m/>
    <n v="50000"/>
    <n v="1"/>
    <m/>
    <s v="P.2.778"/>
    <n v="0"/>
    <n v="0"/>
    <m/>
    <m/>
    <m/>
    <m/>
    <m/>
    <m/>
    <m/>
    <m/>
    <m/>
    <m/>
    <m/>
    <m/>
    <m/>
    <m/>
    <m/>
    <m/>
    <m/>
    <m/>
    <m/>
    <m/>
    <m/>
    <m/>
    <m/>
    <m/>
    <m/>
    <n v="0"/>
    <n v="0"/>
    <n v="0"/>
    <n v="0"/>
    <n v="0"/>
    <n v="0"/>
    <m/>
    <m/>
    <m/>
    <m/>
    <m/>
    <m/>
    <m/>
    <m/>
    <s v="Реаб."/>
    <m/>
    <n v="0"/>
    <s v="SGG"/>
    <d v="2024-01-12T00:00:00"/>
    <s v="BSG-240112-1/0(41)"/>
    <m/>
    <m/>
    <s v="Yes"/>
  </r>
  <r>
    <n v="2247"/>
    <s v="Кахети"/>
    <s v="Дедоплисцкаро"/>
    <s v="(42) ქ. დედოფლისწყარო ძნელაძის ქუჩის რეაბილიტაცია (P.2.34)"/>
    <x v="7"/>
    <n v="40000"/>
    <n v="2"/>
    <m/>
    <m/>
    <m/>
    <n v="40000"/>
    <n v="0"/>
    <m/>
    <n v="40000"/>
    <n v="1"/>
    <m/>
    <s v="P.2.34"/>
    <n v="0"/>
    <n v="0"/>
    <m/>
    <m/>
    <m/>
    <m/>
    <m/>
    <m/>
    <m/>
    <m/>
    <m/>
    <m/>
    <m/>
    <m/>
    <m/>
    <m/>
    <m/>
    <m/>
    <m/>
    <m/>
    <m/>
    <m/>
    <m/>
    <m/>
    <m/>
    <m/>
    <m/>
    <n v="0"/>
    <n v="0"/>
    <n v="0"/>
    <n v="0"/>
    <n v="0"/>
    <n v="0"/>
    <m/>
    <m/>
    <m/>
    <m/>
    <m/>
    <m/>
    <m/>
    <m/>
    <s v="Реаб."/>
    <m/>
    <n v="0"/>
    <s v="SGG"/>
    <d v="2024-01-12T00:00:00"/>
    <s v="BSG-240112-1/0(42)"/>
    <m/>
    <m/>
    <s v="Yes"/>
  </r>
  <r>
    <n v="2248"/>
    <s v="Квемо Картли"/>
    <s v="Марнеули"/>
    <s v="(43) ქ მარნეული სოფ წერეთელი მე-31 საუბნო მრიცხველის შემდეგ გამავალი ფოლადის საჰაერო გაზსადენისა და საყრდენების ზედაპირის ფართობის ორ პირზე საღებავით შეღებვა (P.2.923)"/>
    <x v="7"/>
    <n v="40000"/>
    <n v="2"/>
    <n v="20000"/>
    <m/>
    <n v="16949.150000000001"/>
    <n v="23050.85"/>
    <n v="3050.8499999999985"/>
    <m/>
    <n v="23050.85"/>
    <n v="1"/>
    <m/>
    <s v="P.2.923"/>
    <n v="0"/>
    <n v="0"/>
    <m/>
    <m/>
    <m/>
    <m/>
    <m/>
    <m/>
    <m/>
    <m/>
    <m/>
    <m/>
    <m/>
    <m/>
    <m/>
    <m/>
    <m/>
    <m/>
    <m/>
    <m/>
    <m/>
    <m/>
    <m/>
    <m/>
    <m/>
    <m/>
    <m/>
    <n v="0"/>
    <n v="0"/>
    <n v="0"/>
    <n v="0"/>
    <n v="0"/>
    <n v="0"/>
    <n v="16949.150000000001"/>
    <m/>
    <m/>
    <m/>
    <m/>
    <m/>
    <m/>
    <m/>
    <s v="Реаб."/>
    <m/>
    <n v="80"/>
    <s v="SGG"/>
    <d v="2024-01-12T00:00:00"/>
    <s v="BSG-240112-1/0(43)"/>
    <m/>
    <m/>
    <s v="Yes"/>
  </r>
  <r>
    <n v="2249"/>
    <s v="Кахети"/>
    <s v="Сигнаги"/>
    <s v="(44) ქ. წნორი პაპუაშვილის უბნის რეაბილიტაცია (P.2.775)"/>
    <x v="7"/>
    <n v="40000"/>
    <n v="2"/>
    <n v="36863.119999999995"/>
    <m/>
    <n v="14097.762999999999"/>
    <n v="25902.237000000001"/>
    <n v="22765.356999999996"/>
    <n v="673.5"/>
    <n v="22765.356999999996"/>
    <n v="1"/>
    <m/>
    <s v="P.2.775"/>
    <n v="26863.119999999999"/>
    <n v="4097.76"/>
    <m/>
    <m/>
    <m/>
    <m/>
    <m/>
    <m/>
    <n v="26863.119999999999"/>
    <m/>
    <m/>
    <n v="4097.76"/>
    <m/>
    <m/>
    <m/>
    <m/>
    <m/>
    <m/>
    <m/>
    <m/>
    <m/>
    <m/>
    <m/>
    <m/>
    <m/>
    <m/>
    <m/>
    <n v="0"/>
    <n v="0"/>
    <n v="0"/>
    <n v="0"/>
    <n v="0"/>
    <n v="0"/>
    <n v="8474.58"/>
    <n v="489.15"/>
    <m/>
    <m/>
    <m/>
    <m/>
    <m/>
    <m/>
    <s v="Реаб."/>
    <d v="2025-04-15T00:00:00"/>
    <s v="Принят"/>
    <s v="SGG"/>
    <d v="2024-01-12T00:00:00"/>
    <s v="BSG-240112-1/0(44)"/>
    <m/>
    <m/>
    <s v="Yes"/>
  </r>
  <r>
    <n v="2250"/>
    <s v="Кахети"/>
    <s v="Кварели"/>
    <s v="(45) ქ. ყვარელი, ანდრია ბენაშვილის (ერეკლეს) ქუჩის მიწისქვეშა დაბალი წნევის გაზსადენის რეაბილიტაცია 57.06.56.000.154-დან 57.06.51.000.213-მდე (P.2.1116)"/>
    <x v="7"/>
    <n v="35000"/>
    <n v="2"/>
    <m/>
    <m/>
    <m/>
    <n v="35000"/>
    <n v="0"/>
    <m/>
    <n v="35000"/>
    <n v="1"/>
    <m/>
    <s v="P.2.1116"/>
    <n v="0"/>
    <n v="0"/>
    <m/>
    <m/>
    <m/>
    <m/>
    <m/>
    <m/>
    <m/>
    <m/>
    <m/>
    <m/>
    <m/>
    <m/>
    <m/>
    <m/>
    <m/>
    <m/>
    <m/>
    <m/>
    <m/>
    <m/>
    <m/>
    <m/>
    <m/>
    <m/>
    <m/>
    <n v="0"/>
    <n v="0"/>
    <n v="0"/>
    <n v="0"/>
    <n v="0"/>
    <n v="0"/>
    <m/>
    <m/>
    <m/>
    <m/>
    <m/>
    <m/>
    <m/>
    <m/>
    <s v="Реаб."/>
    <m/>
    <n v="0"/>
    <s v="SGG"/>
    <d v="2024-01-12T00:00:00"/>
    <s v="BSG-240112-1/0(45)"/>
    <m/>
    <m/>
    <s v="Yes"/>
  </r>
  <r>
    <n v="2251"/>
    <s v="Кахети"/>
    <s v="Сагареджо"/>
    <s v="(46) საგარეჯო,სოფ. ნინოწმინდის 03 საუბნო მრიცხველის შემდეგ გამავალი ფოლადის საჰაერო გაზსადენისა და საყრდენების შეღებვა (P.2.966)"/>
    <x v="7"/>
    <n v="35000"/>
    <n v="2"/>
    <n v="20000"/>
    <m/>
    <n v="16949.150000000001"/>
    <n v="18050.849999999999"/>
    <n v="3050.8499999999985"/>
    <m/>
    <n v="18050.849999999999"/>
    <n v="1"/>
    <m/>
    <s v="P.2.966"/>
    <n v="0"/>
    <n v="0"/>
    <m/>
    <m/>
    <m/>
    <m/>
    <m/>
    <m/>
    <m/>
    <m/>
    <m/>
    <m/>
    <m/>
    <m/>
    <m/>
    <m/>
    <m/>
    <m/>
    <m/>
    <m/>
    <m/>
    <m/>
    <m/>
    <m/>
    <m/>
    <m/>
    <m/>
    <n v="0"/>
    <n v="0"/>
    <n v="0"/>
    <n v="0"/>
    <n v="0"/>
    <n v="0"/>
    <n v="16949.150000000001"/>
    <m/>
    <m/>
    <m/>
    <m/>
    <m/>
    <m/>
    <m/>
    <s v="Реаб."/>
    <m/>
    <n v="80"/>
    <s v="SGG"/>
    <d v="2024-01-12T00:00:00"/>
    <s v="BSG-240112-1/0(46)"/>
    <m/>
    <m/>
    <s v="Yes"/>
  </r>
  <r>
    <n v="2252"/>
    <s v="Кахети"/>
    <s v="Дедоплисцкаро"/>
    <s v="(47) ქ. დედოფლისწყარო-ბარათაშვილის ქუჩა გაზსადენის რეაბილიტაცია (P.2.991)"/>
    <x v="7"/>
    <n v="35000"/>
    <n v="2"/>
    <m/>
    <m/>
    <m/>
    <n v="35000"/>
    <n v="0"/>
    <m/>
    <n v="35000"/>
    <n v="1"/>
    <m/>
    <s v="P.2.991"/>
    <n v="0"/>
    <n v="0"/>
    <m/>
    <m/>
    <m/>
    <m/>
    <m/>
    <m/>
    <m/>
    <m/>
    <m/>
    <m/>
    <m/>
    <m/>
    <m/>
    <m/>
    <m/>
    <m/>
    <m/>
    <m/>
    <m/>
    <m/>
    <m/>
    <m/>
    <m/>
    <m/>
    <m/>
    <n v="0"/>
    <n v="0"/>
    <n v="0"/>
    <n v="0"/>
    <n v="0"/>
    <n v="0"/>
    <m/>
    <m/>
    <m/>
    <m/>
    <m/>
    <m/>
    <m/>
    <m/>
    <s v="Реаб."/>
    <m/>
    <n v="0"/>
    <s v="SGG"/>
    <d v="2024-01-12T00:00:00"/>
    <s v="BSG-240112-1/0(47)"/>
    <m/>
    <m/>
    <s v="Yes"/>
  </r>
  <r>
    <n v="2253"/>
    <s v="Кахети"/>
    <s v="Сагареджо"/>
    <s v="(48) საგარეჯო,სადგურის უბნის 07 საუბნო მრიცხველის შემდეგ გამავალი ფოლადის საჰაერო გაზსადენისა და საყრდენების შეღებვა (P.2.971)"/>
    <x v="7"/>
    <n v="30000"/>
    <n v="2"/>
    <m/>
    <m/>
    <m/>
    <n v="30000"/>
    <n v="0"/>
    <m/>
    <n v="30000"/>
    <n v="1"/>
    <m/>
    <s v="P.2.971"/>
    <n v="0"/>
    <n v="0"/>
    <m/>
    <m/>
    <m/>
    <m/>
    <m/>
    <m/>
    <m/>
    <m/>
    <m/>
    <m/>
    <m/>
    <m/>
    <m/>
    <m/>
    <m/>
    <m/>
    <m/>
    <m/>
    <m/>
    <m/>
    <m/>
    <m/>
    <m/>
    <m/>
    <m/>
    <n v="0"/>
    <n v="0"/>
    <n v="0"/>
    <n v="0"/>
    <n v="0"/>
    <n v="0"/>
    <m/>
    <m/>
    <m/>
    <m/>
    <m/>
    <m/>
    <m/>
    <m/>
    <s v="Реаб."/>
    <m/>
    <n v="0"/>
    <s v="SGG"/>
    <d v="2024-01-12T00:00:00"/>
    <s v="BSG-240112-1/0(48)"/>
    <m/>
    <m/>
    <s v="Yes"/>
  </r>
  <r>
    <n v="2254"/>
    <s v="Квемо Картли"/>
    <s v="Марнеули"/>
    <s v="(49) ქ მარნეული სოფ საიმერლო მე-36 საუბნო მრიცხველის შემდეგ გამავალი ფოლადის საჰაერო გაზსადენისა და საყრდენების შეღებვა (P.2.927)"/>
    <x v="7"/>
    <n v="30000"/>
    <n v="2"/>
    <m/>
    <m/>
    <m/>
    <n v="30000"/>
    <n v="0"/>
    <m/>
    <n v="30000"/>
    <n v="1"/>
    <m/>
    <s v="P.2.927"/>
    <n v="0"/>
    <n v="0"/>
    <m/>
    <m/>
    <m/>
    <m/>
    <m/>
    <m/>
    <m/>
    <m/>
    <m/>
    <m/>
    <m/>
    <m/>
    <m/>
    <m/>
    <m/>
    <m/>
    <m/>
    <m/>
    <m/>
    <m/>
    <m/>
    <m/>
    <m/>
    <m/>
    <m/>
    <n v="0"/>
    <n v="0"/>
    <n v="0"/>
    <n v="0"/>
    <n v="0"/>
    <n v="0"/>
    <m/>
    <m/>
    <m/>
    <m/>
    <m/>
    <m/>
    <m/>
    <m/>
    <s v="Реаб."/>
    <m/>
    <n v="0"/>
    <s v="SGG"/>
    <d v="2024-01-12T00:00:00"/>
    <s v="BSG-240112-1/0(49)"/>
    <m/>
    <m/>
    <s v="Yes"/>
  </r>
  <r>
    <n v="2255"/>
    <s v="Кахети"/>
    <s v="Гурджаани"/>
    <s v="(50) სოფ. ვეჯინი გაზსადენის შეღებვა 50მმ დან 150მმ (P.2.879)"/>
    <x v="7"/>
    <n v="25000"/>
    <n v="2"/>
    <m/>
    <m/>
    <m/>
    <n v="25000"/>
    <n v="0"/>
    <m/>
    <n v="25000"/>
    <n v="1"/>
    <m/>
    <s v="P.2.879"/>
    <n v="0"/>
    <n v="0"/>
    <m/>
    <m/>
    <m/>
    <m/>
    <m/>
    <m/>
    <m/>
    <m/>
    <m/>
    <m/>
    <m/>
    <m/>
    <m/>
    <m/>
    <m/>
    <m/>
    <m/>
    <m/>
    <m/>
    <m/>
    <m/>
    <m/>
    <m/>
    <m/>
    <m/>
    <n v="0"/>
    <n v="0"/>
    <n v="0"/>
    <n v="0"/>
    <n v="0"/>
    <n v="0"/>
    <m/>
    <m/>
    <m/>
    <m/>
    <m/>
    <m/>
    <m/>
    <m/>
    <s v="Реаб."/>
    <m/>
    <n v="0"/>
    <s v="SGG"/>
    <d v="2024-01-12T00:00:00"/>
    <s v="BSG-240112-1/0(50)"/>
    <m/>
    <m/>
    <s v="Yes"/>
  </r>
  <r>
    <n v="2256"/>
    <s v="Кахети"/>
    <s v="Кварели"/>
    <s v="(51) ქ. ყვარელი, ლაშარის ქუჩის მიწისქვეშა დაბალი წნევის გაზსადენის რეაბილიტაცია 57.06.56.000.293-დან 57.06.51.000.138-მდე (P.2.1115)"/>
    <x v="7"/>
    <n v="25000"/>
    <n v="2"/>
    <n v="123258.36"/>
    <m/>
    <n v="103547.87699999999"/>
    <n v="-78547.876999999993"/>
    <n v="19710.483000000007"/>
    <n v="1271.5"/>
    <n v="19710.483000000007"/>
    <n v="1"/>
    <m/>
    <s v="P.2.1115"/>
    <n v="123258.36"/>
    <n v="18802.116999999998"/>
    <m/>
    <m/>
    <n v="100000"/>
    <m/>
    <m/>
    <n v="15254.236999999999"/>
    <n v="23258.36"/>
    <m/>
    <m/>
    <n v="3547.88"/>
    <m/>
    <m/>
    <m/>
    <m/>
    <m/>
    <m/>
    <m/>
    <m/>
    <m/>
    <m/>
    <m/>
    <m/>
    <m/>
    <m/>
    <m/>
    <n v="0"/>
    <n v="0"/>
    <n v="0"/>
    <n v="0"/>
    <n v="0"/>
    <n v="0"/>
    <m/>
    <m/>
    <m/>
    <m/>
    <n v="84745.76"/>
    <n v="1630.49"/>
    <m/>
    <m/>
    <s v="Реаб."/>
    <d v="2025-04-15T00:00:00"/>
    <s v="Принят"/>
    <s v="SGG"/>
    <d v="2024-01-12T00:00:00"/>
    <s v="BSG-240112-1/0(51)"/>
    <m/>
    <m/>
    <s v="Yes"/>
  </r>
  <r>
    <n v="2257"/>
    <s v="Кахети"/>
    <s v="Кварели"/>
    <s v="(52) ქ. ყვარელი, სოლომონ დოდაშვილის ქუჩის მიწისქვეშა დაბალი წნევის გაზსადენის რეაბილიტაცია 57.06.56.000.2675-დან 57.06.51.000.074-მდე (P.2.1119)"/>
    <x v="7"/>
    <n v="25000"/>
    <n v="2"/>
    <n v="63896.03"/>
    <m/>
    <n v="35170.58"/>
    <n v="-10170.580000000002"/>
    <n v="28725.449999999997"/>
    <n v="652"/>
    <n v="28725.449999999997"/>
    <n v="1"/>
    <m/>
    <s v="P.2.1119"/>
    <n v="63896.03"/>
    <n v="9746.85"/>
    <m/>
    <m/>
    <n v="30000"/>
    <m/>
    <m/>
    <n v="4576.2700000000004"/>
    <n v="33896.03"/>
    <m/>
    <m/>
    <n v="5170.58"/>
    <m/>
    <m/>
    <m/>
    <m/>
    <m/>
    <m/>
    <m/>
    <m/>
    <m/>
    <m/>
    <m/>
    <m/>
    <m/>
    <m/>
    <m/>
    <n v="0"/>
    <n v="0"/>
    <n v="0"/>
    <n v="0"/>
    <n v="0"/>
    <n v="0"/>
    <m/>
    <m/>
    <m/>
    <m/>
    <n v="25423.73"/>
    <n v="489.15"/>
    <m/>
    <m/>
    <s v="Реаб."/>
    <d v="2025-04-15T00:00:00"/>
    <s v="Принят"/>
    <s v="SGG"/>
    <d v="2024-01-12T00:00:00"/>
    <s v="BSG-240112-1/0(52)"/>
    <m/>
    <m/>
    <s v="Yes"/>
  </r>
  <r>
    <n v="2258"/>
    <s v="Кахети"/>
    <s v="Сигнаги"/>
    <s v="(53) სოფ. საქობო კლუბის უბნის გაზსადენის რეაბილიტაცია (P.2.777)"/>
    <x v="7"/>
    <n v="25000"/>
    <n v="2"/>
    <m/>
    <m/>
    <m/>
    <n v="25000"/>
    <n v="0"/>
    <m/>
    <n v="25000"/>
    <n v="1"/>
    <m/>
    <s v="P.2.777"/>
    <n v="0"/>
    <n v="0"/>
    <m/>
    <m/>
    <m/>
    <m/>
    <m/>
    <m/>
    <m/>
    <m/>
    <m/>
    <m/>
    <m/>
    <m/>
    <m/>
    <m/>
    <m/>
    <m/>
    <m/>
    <m/>
    <m/>
    <m/>
    <m/>
    <m/>
    <m/>
    <m/>
    <m/>
    <n v="0"/>
    <n v="0"/>
    <n v="0"/>
    <n v="0"/>
    <n v="0"/>
    <n v="0"/>
    <m/>
    <m/>
    <m/>
    <m/>
    <m/>
    <m/>
    <m/>
    <m/>
    <s v="Реаб."/>
    <m/>
    <n v="0"/>
    <s v="SGG"/>
    <d v="2024-01-12T00:00:00"/>
    <s v="BSG-240112-1/0(53)"/>
    <m/>
    <m/>
    <s v="Yes"/>
  </r>
  <r>
    <n v="2259"/>
    <s v="Кахети"/>
    <s v="Сигнаги"/>
    <s v="(54) ქ. წნორი ნოდარ მოლაშვილის უბნის რეაბილიტაცია (P.2.791)"/>
    <x v="7"/>
    <n v="20000"/>
    <n v="2"/>
    <m/>
    <m/>
    <m/>
    <n v="20000"/>
    <n v="0"/>
    <m/>
    <n v="20000"/>
    <n v="1"/>
    <m/>
    <s v="P.2.791"/>
    <n v="0"/>
    <n v="0"/>
    <m/>
    <m/>
    <m/>
    <m/>
    <m/>
    <m/>
    <m/>
    <m/>
    <m/>
    <m/>
    <m/>
    <m/>
    <m/>
    <m/>
    <m/>
    <m/>
    <m/>
    <m/>
    <m/>
    <m/>
    <m/>
    <m/>
    <m/>
    <m/>
    <m/>
    <n v="0"/>
    <n v="0"/>
    <n v="0"/>
    <n v="0"/>
    <n v="0"/>
    <n v="0"/>
    <m/>
    <m/>
    <m/>
    <m/>
    <m/>
    <m/>
    <m/>
    <m/>
    <s v="Реаб."/>
    <m/>
    <n v="0"/>
    <s v="SGG"/>
    <d v="2024-01-12T00:00:00"/>
    <s v="BSG-240112-1/0(54)"/>
    <m/>
    <m/>
    <s v="Yes"/>
  </r>
  <r>
    <n v="2260"/>
    <s v="Квемо Картли"/>
    <s v="Марнеули"/>
    <s v="(55) ქ მარნეული ლაღიძის ქ მე-15 საუბნო მრიცხველის შემდეგ გამავალი ფოლადის საჰაერო გაზსადენისა და საყრდენების შეღებვა (P.2.921)"/>
    <x v="7"/>
    <n v="20000"/>
    <n v="2"/>
    <m/>
    <m/>
    <m/>
    <n v="20000"/>
    <n v="0"/>
    <m/>
    <n v="20000"/>
    <n v="1"/>
    <m/>
    <s v="P.2.921"/>
    <n v="0"/>
    <n v="0"/>
    <m/>
    <m/>
    <m/>
    <m/>
    <m/>
    <m/>
    <m/>
    <m/>
    <m/>
    <m/>
    <m/>
    <m/>
    <m/>
    <m/>
    <m/>
    <m/>
    <m/>
    <m/>
    <m/>
    <m/>
    <m/>
    <m/>
    <m/>
    <m/>
    <m/>
    <n v="0"/>
    <n v="0"/>
    <n v="0"/>
    <n v="0"/>
    <n v="0"/>
    <n v="0"/>
    <m/>
    <m/>
    <m/>
    <m/>
    <m/>
    <m/>
    <m/>
    <m/>
    <s v="Реаб."/>
    <m/>
    <n v="0"/>
    <s v="SGG"/>
    <d v="2024-01-12T00:00:00"/>
    <s v="BSG-240112-1/0(55)"/>
    <m/>
    <m/>
    <s v="Yes"/>
  </r>
  <r>
    <n v="2261"/>
    <s v="Квемо Картли"/>
    <s v="Марнеули"/>
    <s v="(56) იაღლურჯის ქუჩა მე-9 საუბნო მრიცხველის შემდეგ გამავალი ფოლადის საჰაერო გაზსადენისა და საყრდენების შეღებვა (P.2.919)"/>
    <x v="7"/>
    <n v="20000"/>
    <n v="2"/>
    <m/>
    <m/>
    <m/>
    <n v="20000"/>
    <n v="0"/>
    <m/>
    <n v="20000"/>
    <n v="1"/>
    <m/>
    <s v="P.2.919"/>
    <n v="0"/>
    <n v="0"/>
    <m/>
    <m/>
    <m/>
    <m/>
    <m/>
    <m/>
    <m/>
    <m/>
    <m/>
    <m/>
    <m/>
    <m/>
    <m/>
    <m/>
    <m/>
    <m/>
    <m/>
    <m/>
    <m/>
    <m/>
    <m/>
    <m/>
    <m/>
    <m/>
    <m/>
    <n v="0"/>
    <n v="0"/>
    <n v="0"/>
    <n v="0"/>
    <n v="0"/>
    <n v="0"/>
    <m/>
    <m/>
    <m/>
    <m/>
    <m/>
    <m/>
    <m/>
    <m/>
    <s v="Реаб."/>
    <m/>
    <n v="0"/>
    <s v="SGG"/>
    <d v="2024-01-12T00:00:00"/>
    <s v="BSG-240112-1/0(56)"/>
    <m/>
    <m/>
    <s v="Yes"/>
  </r>
  <r>
    <n v="2262"/>
    <s v="Кахети"/>
    <s v="Сагареджо"/>
    <s v="(57) საგარეჯო,სოფ. წყაროსთავის 02 საუბნო მრიცხველის შემდეგ გამავალი ფოლადის საჰაერო გაზსადენისა და საყრდენების შეღებვა (P.2.965)"/>
    <x v="7"/>
    <n v="20000"/>
    <n v="2"/>
    <m/>
    <m/>
    <m/>
    <n v="20000"/>
    <n v="0"/>
    <m/>
    <n v="20000"/>
    <n v="1"/>
    <m/>
    <s v="P.2.965"/>
    <n v="0"/>
    <n v="0"/>
    <m/>
    <m/>
    <m/>
    <m/>
    <m/>
    <m/>
    <m/>
    <m/>
    <m/>
    <m/>
    <m/>
    <m/>
    <m/>
    <m/>
    <m/>
    <m/>
    <m/>
    <m/>
    <m/>
    <m/>
    <m/>
    <m/>
    <m/>
    <m/>
    <m/>
    <n v="0"/>
    <n v="0"/>
    <n v="0"/>
    <n v="0"/>
    <n v="0"/>
    <n v="0"/>
    <m/>
    <m/>
    <m/>
    <m/>
    <m/>
    <m/>
    <m/>
    <m/>
    <s v="Реаб."/>
    <m/>
    <n v="0"/>
    <s v="SGG"/>
    <d v="2024-01-12T00:00:00"/>
    <s v="BSG-240112-1/0(57)"/>
    <m/>
    <m/>
    <s v="Yes"/>
  </r>
  <r>
    <n v="2263"/>
    <s v="Кахети"/>
    <s v="Ахмета"/>
    <s v="(58) ქ. ახმეტა მარქსის ქუჩის გაზსადენის რეაბილიტაცია (P.2.100)"/>
    <x v="7"/>
    <n v="15000"/>
    <n v="2"/>
    <n v="8023.47"/>
    <n v="8023.47"/>
    <n v="8023.47"/>
    <n v="6976.53"/>
    <n v="0"/>
    <n v="162"/>
    <n v="0"/>
    <n v="0"/>
    <m/>
    <s v="P.2.100"/>
    <n v="0"/>
    <n v="0"/>
    <m/>
    <m/>
    <m/>
    <m/>
    <m/>
    <m/>
    <m/>
    <m/>
    <m/>
    <m/>
    <m/>
    <m/>
    <m/>
    <m/>
    <m/>
    <m/>
    <m/>
    <m/>
    <m/>
    <m/>
    <m/>
    <m/>
    <m/>
    <m/>
    <m/>
    <n v="0"/>
    <n v="0"/>
    <n v="0"/>
    <n v="0"/>
    <n v="0"/>
    <n v="0"/>
    <m/>
    <m/>
    <n v="0"/>
    <n v="679.95508474576275"/>
    <m/>
    <m/>
    <m/>
    <m/>
    <s v="Реаб."/>
    <d v="2024-09-30T00:00:00"/>
    <s v="Принят"/>
    <s v="SGG"/>
    <d v="2024-01-12T00:00:00"/>
    <s v="BSG-240112-1/0(58)"/>
    <m/>
    <m/>
    <s v="Yes"/>
  </r>
  <r>
    <n v="2264"/>
    <s v="Квемо Картли"/>
    <s v="Марнеули"/>
    <s v="(59) ქ მარნეული სოფ წერეთელი მე-32 საუბნო მრიცხველის შემდეგ გამავალი ფოლადის საჰაერო გაზსადენისა და საყრდენების შეღებვა (P.2.924)"/>
    <x v="7"/>
    <n v="15000"/>
    <n v="2"/>
    <m/>
    <m/>
    <m/>
    <n v="15000"/>
    <n v="0"/>
    <m/>
    <n v="15000"/>
    <n v="1"/>
    <m/>
    <s v="P.2.924"/>
    <n v="0"/>
    <n v="0"/>
    <m/>
    <m/>
    <m/>
    <m/>
    <m/>
    <m/>
    <m/>
    <m/>
    <m/>
    <m/>
    <m/>
    <m/>
    <m/>
    <m/>
    <m/>
    <m/>
    <m/>
    <m/>
    <m/>
    <m/>
    <m/>
    <m/>
    <m/>
    <m/>
    <m/>
    <n v="0"/>
    <n v="0"/>
    <n v="0"/>
    <n v="0"/>
    <n v="0"/>
    <n v="0"/>
    <m/>
    <m/>
    <m/>
    <m/>
    <m/>
    <m/>
    <m/>
    <m/>
    <s v="Реаб."/>
    <m/>
    <n v="0"/>
    <s v="SGG"/>
    <d v="2024-01-12T00:00:00"/>
    <s v="BSG-240112-1/0(59)"/>
    <m/>
    <m/>
    <s v="Yes"/>
  </r>
  <r>
    <n v="2265"/>
    <s v="Квемо Картли"/>
    <s v="Марнеули"/>
    <s v="(60) ქ მარნეული სოფ მირზოვკა მე-33 საუბნო მრიცხველის შემდეგ გამავალი ფოლადის საჰაერო გაზსადენისა და საყრდენების შეღებვა (P.2.925)"/>
    <x v="7"/>
    <n v="10000"/>
    <n v="2"/>
    <m/>
    <m/>
    <m/>
    <n v="10000"/>
    <n v="0"/>
    <m/>
    <n v="10000"/>
    <n v="1"/>
    <m/>
    <s v="P.2.925"/>
    <n v="0"/>
    <n v="0"/>
    <m/>
    <m/>
    <m/>
    <m/>
    <m/>
    <m/>
    <m/>
    <m/>
    <m/>
    <m/>
    <m/>
    <m/>
    <m/>
    <m/>
    <m/>
    <m/>
    <m/>
    <m/>
    <m/>
    <m/>
    <m/>
    <m/>
    <m/>
    <m/>
    <m/>
    <n v="0"/>
    <n v="0"/>
    <n v="0"/>
    <n v="0"/>
    <n v="0"/>
    <n v="0"/>
    <m/>
    <m/>
    <m/>
    <m/>
    <m/>
    <m/>
    <m/>
    <m/>
    <s v="Реаб."/>
    <m/>
    <n v="0"/>
    <s v="SGG"/>
    <d v="2024-01-12T00:00:00"/>
    <s v="BSG-240112-1/0(60)"/>
    <m/>
    <m/>
    <s v="Yes"/>
  </r>
  <r>
    <n v="2266"/>
    <s v="Квемо Картли"/>
    <s v="Марнеули"/>
    <s v="(61) ქ მარნეული ლაღიძის ქ მე-16 საუბნო მრიცხველის შემდეგ გამავალი ფოლადის საჰაერო გაზსადენისა და საყრდენების შეღებვა (P.2.922)"/>
    <x v="7"/>
    <n v="10000"/>
    <n v="2"/>
    <m/>
    <m/>
    <m/>
    <n v="10000"/>
    <n v="0"/>
    <m/>
    <n v="10000"/>
    <n v="1"/>
    <m/>
    <s v="P.2.922"/>
    <n v="0"/>
    <n v="0"/>
    <m/>
    <m/>
    <m/>
    <m/>
    <m/>
    <m/>
    <m/>
    <m/>
    <m/>
    <m/>
    <m/>
    <m/>
    <m/>
    <m/>
    <m/>
    <m/>
    <m/>
    <m/>
    <m/>
    <m/>
    <m/>
    <m/>
    <m/>
    <m/>
    <m/>
    <n v="0"/>
    <n v="0"/>
    <n v="0"/>
    <n v="0"/>
    <n v="0"/>
    <n v="0"/>
    <m/>
    <m/>
    <m/>
    <m/>
    <m/>
    <m/>
    <m/>
    <m/>
    <s v="Реаб."/>
    <m/>
    <n v="0"/>
    <s v="SGG"/>
    <d v="2024-01-12T00:00:00"/>
    <s v="BSG-240112-1/0(61)"/>
    <m/>
    <m/>
    <s v="Yes"/>
  </r>
  <r>
    <n v="2267"/>
    <s v="Квемо Картли"/>
    <s v="Марнеули"/>
    <s v="(62) ქ მარნეული სოფ ბაილარი მე-34 საუბნო მრიცხველის შემდეგ გამავალი ფოლადის საჰაერო გაზსადენისა და საყრდენების შეღებვა (P.2.926)"/>
    <x v="7"/>
    <n v="5000"/>
    <n v="2"/>
    <m/>
    <m/>
    <m/>
    <n v="5000"/>
    <n v="0"/>
    <m/>
    <n v="5000"/>
    <n v="1"/>
    <m/>
    <s v="P.2.926"/>
    <n v="0"/>
    <n v="0"/>
    <m/>
    <m/>
    <m/>
    <m/>
    <m/>
    <m/>
    <m/>
    <m/>
    <m/>
    <m/>
    <m/>
    <m/>
    <m/>
    <m/>
    <m/>
    <m/>
    <m/>
    <m/>
    <m/>
    <m/>
    <m/>
    <m/>
    <m/>
    <m/>
    <m/>
    <n v="0"/>
    <n v="0"/>
    <n v="0"/>
    <n v="0"/>
    <n v="0"/>
    <n v="0"/>
    <m/>
    <m/>
    <m/>
    <m/>
    <m/>
    <m/>
    <m/>
    <m/>
    <s v="Реаб."/>
    <m/>
    <n v="0"/>
    <s v="SGG"/>
    <d v="2024-01-12T00:00:00"/>
    <s v="BSG-240112-1/0(62)"/>
    <m/>
    <m/>
    <s v="Yes"/>
  </r>
  <r>
    <n v="2268"/>
    <s v="Квемо Картли"/>
    <s v="Марнеули"/>
    <s v="(63) სოფ ჯანდარი მე-11 საუბნო მრიცხველის შემდეგ გამავალი ფოლადის საჰაერო გაზსადენისა და საყრდენების შეღებვა (P.2.920)"/>
    <x v="7"/>
    <n v="5000"/>
    <n v="2"/>
    <m/>
    <m/>
    <m/>
    <n v="5000"/>
    <n v="0"/>
    <m/>
    <n v="5000"/>
    <n v="1"/>
    <m/>
    <s v="P.2.920"/>
    <n v="0"/>
    <n v="0"/>
    <m/>
    <m/>
    <m/>
    <m/>
    <m/>
    <m/>
    <m/>
    <m/>
    <m/>
    <m/>
    <m/>
    <m/>
    <m/>
    <m/>
    <m/>
    <m/>
    <m/>
    <m/>
    <m/>
    <m/>
    <m/>
    <m/>
    <m/>
    <m/>
    <m/>
    <n v="0"/>
    <n v="0"/>
    <n v="0"/>
    <n v="0"/>
    <n v="0"/>
    <n v="0"/>
    <m/>
    <m/>
    <m/>
    <m/>
    <m/>
    <m/>
    <m/>
    <m/>
    <s v="Реаб."/>
    <m/>
    <n v="0"/>
    <s v="SGG"/>
    <d v="2024-01-12T00:00:00"/>
    <s v="BSG-240112-1/0(63)"/>
    <m/>
    <m/>
    <s v="Yes"/>
  </r>
  <r>
    <n v="2269"/>
    <s v="Кахети"/>
    <s v="Сагареджо"/>
    <s v="(64) საგარეჯო, საშულო წნევის 999 გერეესის გამწვანების მიმართულება, გამავალი ფოლადის საჰაერო გაზსადენისა შეღებვა (P.2.974)"/>
    <x v="7"/>
    <n v="5000"/>
    <n v="2"/>
    <m/>
    <m/>
    <m/>
    <n v="5000"/>
    <n v="0"/>
    <m/>
    <n v="5000"/>
    <n v="1"/>
    <m/>
    <s v="P.2.974"/>
    <n v="0"/>
    <n v="0"/>
    <m/>
    <m/>
    <m/>
    <m/>
    <m/>
    <m/>
    <m/>
    <m/>
    <m/>
    <m/>
    <m/>
    <m/>
    <m/>
    <m/>
    <m/>
    <m/>
    <m/>
    <m/>
    <m/>
    <m/>
    <m/>
    <m/>
    <m/>
    <m/>
    <m/>
    <n v="0"/>
    <n v="0"/>
    <n v="0"/>
    <n v="0"/>
    <n v="0"/>
    <n v="0"/>
    <m/>
    <m/>
    <m/>
    <m/>
    <m/>
    <m/>
    <m/>
    <m/>
    <s v="Реаб."/>
    <m/>
    <n v="0"/>
    <s v="SGG"/>
    <d v="2024-01-12T00:00:00"/>
    <s v="BSG-240112-1/0(64)"/>
    <m/>
    <m/>
    <s v="Yes"/>
  </r>
  <r>
    <n v="2270"/>
    <s v="Квемо Картли"/>
    <s v="Рустави"/>
    <s v="(1) გამოსატანი მრიცხველების გამოტანა (P.2.647 (P.2.685))"/>
    <x v="7"/>
    <n v="2300000"/>
    <n v="2"/>
    <m/>
    <m/>
    <m/>
    <n v="2300000"/>
    <n v="0"/>
    <m/>
    <n v="2300000"/>
    <n v="1"/>
    <m/>
    <s v="P.2.647 (P.2.685)"/>
    <n v="0"/>
    <n v="0"/>
    <m/>
    <m/>
    <m/>
    <m/>
    <m/>
    <m/>
    <m/>
    <m/>
    <m/>
    <m/>
    <m/>
    <m/>
    <m/>
    <m/>
    <m/>
    <m/>
    <m/>
    <m/>
    <m/>
    <m/>
    <m/>
    <m/>
    <m/>
    <m/>
    <m/>
    <n v="0"/>
    <n v="0"/>
    <n v="0"/>
    <n v="0"/>
    <n v="0"/>
    <n v="0"/>
    <m/>
    <m/>
    <m/>
    <m/>
    <m/>
    <m/>
    <m/>
    <m/>
    <s v="Реаб."/>
    <m/>
    <n v="0"/>
    <s v="Сакорггаз"/>
    <d v="2024-01-12T00:00:00"/>
    <s v="BCG-240112-1/0(1)"/>
    <m/>
    <m/>
    <s v="Yes"/>
  </r>
  <r>
    <n v="2271"/>
    <s v="Квемо Картли"/>
    <s v="Рустави"/>
    <s v="(2) გამოსატანი მრიცხველების გამოტანა (P.2.618)"/>
    <x v="7"/>
    <n v="1800000"/>
    <n v="2"/>
    <m/>
    <m/>
    <m/>
    <n v="1800000"/>
    <n v="0"/>
    <m/>
    <n v="1800000"/>
    <n v="1"/>
    <m/>
    <s v="P.2.618"/>
    <n v="0"/>
    <n v="0"/>
    <m/>
    <m/>
    <m/>
    <m/>
    <m/>
    <m/>
    <m/>
    <m/>
    <m/>
    <m/>
    <m/>
    <m/>
    <m/>
    <m/>
    <m/>
    <m/>
    <m/>
    <m/>
    <m/>
    <m/>
    <m/>
    <m/>
    <m/>
    <m/>
    <m/>
    <n v="0"/>
    <n v="0"/>
    <n v="0"/>
    <n v="0"/>
    <n v="0"/>
    <n v="0"/>
    <m/>
    <m/>
    <m/>
    <m/>
    <m/>
    <m/>
    <m/>
    <m/>
    <s v="Реаб."/>
    <m/>
    <n v="0"/>
    <s v="Сакорггаз"/>
    <d v="2024-01-12T00:00:00"/>
    <s v="BCG-240112-1/0(2)"/>
    <m/>
    <m/>
    <s v="Yes"/>
  </r>
  <r>
    <n v="2272"/>
    <s v="Квемо Картли"/>
    <s v="Тетрицкаро"/>
    <s v="(3) ქ. თეთრიწყაროს სოფ ასურეთში სოფლის შიდა გაზსადენის რეაბილიტაცია (P.2.826)"/>
    <x v="7"/>
    <n v="265000"/>
    <n v="2"/>
    <n v="200000"/>
    <m/>
    <n v="200000"/>
    <n v="65000"/>
    <n v="0"/>
    <m/>
    <n v="65000"/>
    <n v="1"/>
    <m/>
    <s v="P.2.826"/>
    <n v="0"/>
    <n v="0"/>
    <m/>
    <m/>
    <m/>
    <m/>
    <m/>
    <m/>
    <m/>
    <m/>
    <m/>
    <m/>
    <m/>
    <m/>
    <m/>
    <m/>
    <m/>
    <m/>
    <m/>
    <m/>
    <m/>
    <m/>
    <m/>
    <m/>
    <m/>
    <m/>
    <m/>
    <n v="0"/>
    <n v="0"/>
    <n v="0"/>
    <n v="0"/>
    <n v="0"/>
    <n v="0"/>
    <n v="169491.53"/>
    <m/>
    <m/>
    <m/>
    <m/>
    <m/>
    <m/>
    <m/>
    <s v="Реаб."/>
    <m/>
    <n v="0"/>
    <s v="Сакорггаз"/>
    <d v="2024-01-12T00:00:00"/>
    <s v=" BCG-240112-1/0(3)"/>
    <m/>
    <m/>
    <s v="Yes"/>
  </r>
  <r>
    <n v="2273"/>
    <s v="Квемо Картли"/>
    <s v="Рустави"/>
    <s v="(4) საჰაერო გაზსადენების შეღებვა (P.2.566)"/>
    <x v="7"/>
    <n v="175000"/>
    <n v="2"/>
    <n v="100000"/>
    <m/>
    <n v="92372.877999999997"/>
    <n v="82627.122000000003"/>
    <n v="7627.122000000003"/>
    <m/>
    <n v="82627.122000000003"/>
    <n v="1"/>
    <m/>
    <s v="P.2.566"/>
    <n v="0"/>
    <n v="0"/>
    <m/>
    <m/>
    <m/>
    <m/>
    <m/>
    <m/>
    <m/>
    <m/>
    <m/>
    <m/>
    <m/>
    <m/>
    <m/>
    <m/>
    <m/>
    <m/>
    <m/>
    <m/>
    <m/>
    <m/>
    <m/>
    <m/>
    <m/>
    <m/>
    <m/>
    <n v="0"/>
    <n v="0"/>
    <n v="0"/>
    <n v="0"/>
    <n v="0"/>
    <n v="0"/>
    <n v="84745.76"/>
    <m/>
    <m/>
    <m/>
    <m/>
    <m/>
    <m/>
    <m/>
    <s v="Реаб."/>
    <m/>
    <n v="70"/>
    <s v="Сакорггаз"/>
    <d v="2024-01-12T00:00:00"/>
    <s v="BCG-240112-1/0(4)"/>
    <m/>
    <m/>
    <s v="Yes"/>
  </r>
  <r>
    <n v="2274"/>
    <s v="Квемо Картли"/>
    <s v="Тетрицкаро"/>
    <s v="(5) ქ. თეთრიწყაროს ბაგრატიონის და გ . ბრწყინვალეს ქუჩაზე კერძო საკუთრებაში გამავალი გაზსადენის გამოტანა 105 აბ, რეაბილიტაცია. (P.2.824)"/>
    <x v="7"/>
    <n v="160000"/>
    <n v="2"/>
    <m/>
    <m/>
    <m/>
    <n v="160000"/>
    <n v="0"/>
    <m/>
    <n v="160000"/>
    <n v="1"/>
    <m/>
    <s v="P.2.824"/>
    <n v="0"/>
    <n v="0"/>
    <m/>
    <m/>
    <m/>
    <m/>
    <m/>
    <m/>
    <m/>
    <m/>
    <m/>
    <m/>
    <m/>
    <m/>
    <m/>
    <m/>
    <m/>
    <m/>
    <m/>
    <m/>
    <m/>
    <m/>
    <m/>
    <m/>
    <m/>
    <m/>
    <m/>
    <n v="0"/>
    <n v="0"/>
    <n v="0"/>
    <n v="0"/>
    <n v="0"/>
    <n v="0"/>
    <m/>
    <m/>
    <m/>
    <m/>
    <m/>
    <m/>
    <m/>
    <m/>
    <s v="Реаб."/>
    <m/>
    <n v="0"/>
    <s v="Сакорггаз"/>
    <d v="2024-01-12T00:00:00"/>
    <s v=" BCG-240112-1/0(5)"/>
    <m/>
    <m/>
    <s v="Yes"/>
  </r>
  <r>
    <n v="2275"/>
    <s v="Квемо Картли"/>
    <s v="Тетрицкаро"/>
    <s v="(6) სოფ კოდა კერძო საკუთრებაში გამავალი გაზსადენის გამოტანა 20 აბ რეაბილიტაცია (P.2.818)"/>
    <x v="7"/>
    <n v="20000"/>
    <n v="2"/>
    <m/>
    <m/>
    <m/>
    <n v="20000"/>
    <n v="0"/>
    <m/>
    <n v="20000"/>
    <n v="1"/>
    <m/>
    <s v="P.2.818"/>
    <n v="0"/>
    <n v="0"/>
    <m/>
    <m/>
    <m/>
    <m/>
    <m/>
    <m/>
    <m/>
    <m/>
    <m/>
    <m/>
    <m/>
    <m/>
    <m/>
    <m/>
    <m/>
    <m/>
    <m/>
    <m/>
    <m/>
    <m/>
    <m/>
    <m/>
    <m/>
    <m/>
    <m/>
    <n v="0"/>
    <n v="0"/>
    <n v="0"/>
    <n v="0"/>
    <n v="0"/>
    <n v="0"/>
    <m/>
    <m/>
    <m/>
    <m/>
    <m/>
    <m/>
    <m/>
    <m/>
    <s v="Реаб."/>
    <m/>
    <n v="0"/>
    <s v="Сакорггаз"/>
    <d v="2024-01-12T00:00:00"/>
    <s v=" BCG-240112-1/0(6)"/>
    <m/>
    <m/>
    <s v="Yes"/>
  </r>
  <r>
    <n v="2276"/>
    <s v="Квемо Картли"/>
    <s v="Рустави"/>
    <s v="(7) მტკვრის მარჯვენა დასახლება ახალი პოლიეთილენის დ - 63 მმ-იანი გაზსადენის აშენება (P.2.580)"/>
    <x v="7"/>
    <n v="20000"/>
    <n v="2"/>
    <m/>
    <m/>
    <m/>
    <n v="20000"/>
    <n v="0"/>
    <m/>
    <n v="20000"/>
    <n v="1"/>
    <m/>
    <s v="P.2.580"/>
    <n v="0"/>
    <n v="0"/>
    <m/>
    <m/>
    <m/>
    <m/>
    <m/>
    <m/>
    <m/>
    <m/>
    <m/>
    <m/>
    <m/>
    <m/>
    <m/>
    <m/>
    <m/>
    <m/>
    <m/>
    <m/>
    <m/>
    <m/>
    <m/>
    <m/>
    <m/>
    <m/>
    <m/>
    <n v="0"/>
    <n v="0"/>
    <n v="0"/>
    <n v="0"/>
    <n v="0"/>
    <n v="0"/>
    <m/>
    <m/>
    <m/>
    <m/>
    <m/>
    <m/>
    <m/>
    <m/>
    <s v="Реаб."/>
    <m/>
    <n v="0"/>
    <s v="Сакорггаз"/>
    <d v="2024-01-12T00:00:00"/>
    <s v=" BCG-240112-1/0(7)"/>
    <m/>
    <m/>
    <s v="Yes"/>
  </r>
  <r>
    <n v="2277"/>
    <s v="Квемо Картли"/>
    <s v="Рустави"/>
    <s v="(8) მელიქიშვილის ქუჩის მ/ტ-ზე კერძო მესაკუთრის ნაკვეთებზე გამავალი საჰაერო დ - 50 მმ-იანი გაზსადენის დემონტაჟი და ახლი საჰაერო დ - 50 მმ-იანი გაზსადენის მონტაჟი (დემონტაჟი - მონტაჟი) (P.2.581)"/>
    <x v="7"/>
    <n v="10000"/>
    <n v="2"/>
    <m/>
    <m/>
    <m/>
    <n v="10000"/>
    <n v="0"/>
    <m/>
    <n v="10000"/>
    <n v="1"/>
    <m/>
    <s v="P.2.581"/>
    <n v="0"/>
    <n v="0"/>
    <m/>
    <m/>
    <m/>
    <m/>
    <m/>
    <m/>
    <m/>
    <m/>
    <m/>
    <m/>
    <m/>
    <m/>
    <m/>
    <m/>
    <m/>
    <m/>
    <m/>
    <m/>
    <m/>
    <m/>
    <m/>
    <m/>
    <m/>
    <m/>
    <m/>
    <n v="0"/>
    <n v="0"/>
    <n v="0"/>
    <n v="0"/>
    <n v="0"/>
    <n v="0"/>
    <m/>
    <m/>
    <m/>
    <m/>
    <m/>
    <m/>
    <m/>
    <m/>
    <s v="Реаб."/>
    <m/>
    <n v="0"/>
    <s v="Сакорггаз"/>
    <d v="2024-01-12T00:00:00"/>
    <s v=" BCG-240112-1/0(8)"/>
    <m/>
    <m/>
    <s v="Yes"/>
  </r>
  <r>
    <n v="2278"/>
    <s v="Квемо Картли"/>
    <s v="Рустави"/>
    <s v="(9) თავისუფლებ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2)"/>
    <x v="7"/>
    <n v="5000"/>
    <n v="2"/>
    <m/>
    <m/>
    <m/>
    <n v="5000"/>
    <n v="0"/>
    <m/>
    <n v="5000"/>
    <n v="1"/>
    <m/>
    <s v="P.2.1192"/>
    <n v="0"/>
    <n v="0"/>
    <m/>
    <m/>
    <m/>
    <m/>
    <m/>
    <m/>
    <m/>
    <m/>
    <m/>
    <m/>
    <m/>
    <m/>
    <m/>
    <m/>
    <m/>
    <m/>
    <m/>
    <m/>
    <m/>
    <m/>
    <m/>
    <m/>
    <m/>
    <m/>
    <m/>
    <n v="0"/>
    <n v="0"/>
    <n v="0"/>
    <n v="0"/>
    <n v="0"/>
    <n v="0"/>
    <m/>
    <m/>
    <m/>
    <m/>
    <m/>
    <m/>
    <m/>
    <m/>
    <s v="Реаб."/>
    <m/>
    <n v="0"/>
    <s v="Сакорггаз"/>
    <d v="2024-01-12T00:00:00"/>
    <s v=" BCG-240112-1/0(9)"/>
    <m/>
    <m/>
    <s v="Yes"/>
  </r>
  <r>
    <n v="2279"/>
    <s v="Квемо Картли"/>
    <s v="Рустави"/>
    <s v="(10) სტალინ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3)"/>
    <x v="7"/>
    <n v="5000"/>
    <n v="2"/>
    <m/>
    <m/>
    <m/>
    <n v="5000"/>
    <n v="0"/>
    <m/>
    <n v="5000"/>
    <n v="1"/>
    <m/>
    <s v="P.2.1193"/>
    <n v="0"/>
    <n v="0"/>
    <m/>
    <m/>
    <m/>
    <m/>
    <m/>
    <m/>
    <m/>
    <m/>
    <m/>
    <m/>
    <m/>
    <m/>
    <m/>
    <m/>
    <m/>
    <m/>
    <m/>
    <m/>
    <m/>
    <m/>
    <m/>
    <m/>
    <m/>
    <m/>
    <m/>
    <n v="0"/>
    <n v="0"/>
    <n v="0"/>
    <n v="0"/>
    <n v="0"/>
    <n v="0"/>
    <m/>
    <m/>
    <m/>
    <m/>
    <m/>
    <m/>
    <m/>
    <m/>
    <s v="Реаб."/>
    <m/>
    <n v="0"/>
    <s v="Сакорггаз"/>
    <d v="2024-01-12T00:00:00"/>
    <s v=" BCG-240112-1/0(10)"/>
    <m/>
    <m/>
    <s v="Yes"/>
  </r>
  <r>
    <n v="2280"/>
    <s v="Квемо Картли"/>
    <s v="Рустави"/>
    <s v="(11) თიანეთ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1)"/>
    <x v="7"/>
    <n v="5000"/>
    <n v="2"/>
    <m/>
    <m/>
    <m/>
    <n v="5000"/>
    <n v="0"/>
    <m/>
    <n v="5000"/>
    <n v="1"/>
    <m/>
    <s v="P.2.1191"/>
    <n v="0"/>
    <n v="0"/>
    <m/>
    <m/>
    <m/>
    <m/>
    <m/>
    <m/>
    <m/>
    <m/>
    <m/>
    <m/>
    <m/>
    <m/>
    <m/>
    <m/>
    <m/>
    <m/>
    <m/>
    <m/>
    <m/>
    <m/>
    <m/>
    <m/>
    <m/>
    <m/>
    <m/>
    <n v="0"/>
    <n v="0"/>
    <n v="0"/>
    <m/>
    <m/>
    <m/>
    <m/>
    <m/>
    <m/>
    <m/>
    <m/>
    <m/>
    <m/>
    <m/>
    <s v="Реаб."/>
    <m/>
    <n v="0"/>
    <s v="Сакорггаз"/>
    <d v="2024-01-12T00:00:00"/>
    <s v=" BCG-240112-1/0(11)"/>
    <m/>
    <m/>
    <s v="Yes"/>
  </r>
  <r>
    <n v="2281"/>
    <s v="Мцхета-Мтианети"/>
    <s v="Душети"/>
    <s v="(1) ქვეშეთი, არახვეთი, ქვემო და ზემო მლეთის მკვებავი და სოფლის დ. წ. გარე ქსელის რეაბილიტაცია და მრიცხველების გამოტანა (P.3.178 (P3.624, P3.625, P3.626,  P3.627))"/>
    <x v="12"/>
    <n v="34615"/>
    <n v="2"/>
    <n v="34615"/>
    <m/>
    <n v="34615"/>
    <n v="0"/>
    <n v="0"/>
    <m/>
    <n v="0"/>
    <n v="0"/>
    <m/>
    <s v="P.3.178 (P.3.624, P.3.625, P.3.626,  P.3.627)"/>
    <n v="0"/>
    <n v="0"/>
    <m/>
    <m/>
    <m/>
    <m/>
    <m/>
    <m/>
    <m/>
    <m/>
    <m/>
    <m/>
    <m/>
    <m/>
    <m/>
    <m/>
    <m/>
    <m/>
    <m/>
    <m/>
    <m/>
    <m/>
    <m/>
    <m/>
    <m/>
    <m/>
    <m/>
    <n v="0"/>
    <n v="0"/>
    <n v="0"/>
    <n v="0"/>
    <n v="0"/>
    <n v="0"/>
    <m/>
    <m/>
    <m/>
    <m/>
    <m/>
    <m/>
    <m/>
    <m/>
    <s v="Проектирование"/>
    <d v="2024-09-02T00:00:00"/>
    <s v="ПриПро"/>
    <s v="SGG"/>
    <d v="2024-01-09T00:00:00"/>
    <s v="BSG-240109-1/0(1)"/>
    <m/>
    <m/>
    <s v="No"/>
  </r>
  <r>
    <n v="2282"/>
    <s v="Мцхета-Мтианети"/>
    <s v="Душети"/>
    <s v="(2) ქვეშეთი, არახვეთი, ქვემო და ზემო მლეთის მკვებავი და სოფლის დ. წ. გარე ქსელის რეაბილიტაცია და მრიცხველების გამოტანა (P.3.178 (P3.624, P3.625, P3.626,  P3.627))"/>
    <x v="5"/>
    <n v="1080000"/>
    <n v="2"/>
    <n v="880000"/>
    <m/>
    <n v="473220.33899999998"/>
    <n v="606779.66100000008"/>
    <n v="406779.66100000002"/>
    <m/>
    <n v="606779.66100000008"/>
    <n v="1"/>
    <m/>
    <s v="P.3.178 (P.3.624, P.3.625, P.3.626,  P.3.627)"/>
    <n v="480000"/>
    <n v="73220.34"/>
    <m/>
    <m/>
    <n v="300000"/>
    <m/>
    <m/>
    <n v="45762.71"/>
    <n v="180000"/>
    <m/>
    <m/>
    <n v="27457.63"/>
    <m/>
    <m/>
    <m/>
    <m/>
    <m/>
    <m/>
    <m/>
    <m/>
    <m/>
    <m/>
    <m/>
    <m/>
    <m/>
    <m/>
    <m/>
    <n v="0"/>
    <n v="0"/>
    <n v="0"/>
    <n v="0"/>
    <n v="0"/>
    <n v="0"/>
    <n v="338983.05"/>
    <m/>
    <m/>
    <m/>
    <m/>
    <m/>
    <m/>
    <m/>
    <s v="Реаб."/>
    <m/>
    <n v="80"/>
    <s v="SGG"/>
    <d v="2024-01-09T00:00:00"/>
    <s v="BSG-240109-1/0(2)"/>
    <m/>
    <m/>
    <s v="Yes"/>
  </r>
  <r>
    <n v="2283"/>
    <s v="Мцхета-Мтианети"/>
    <s v="Душети"/>
    <s v="(3) სოფ. არაგვისპირი-ჟინვალის მიმართულებით გაზსადენის რეაბილიტაცია (საუბნო 2) (P.3.70 (P.3.610, P.3.604))"/>
    <x v="12"/>
    <n v="12540.5"/>
    <n v="2"/>
    <n v="12540.5"/>
    <m/>
    <n v="12540.5"/>
    <n v="0"/>
    <n v="0"/>
    <m/>
    <n v="0"/>
    <n v="0"/>
    <m/>
    <s v="P.3.70 (P.3.610, P.3.604)"/>
    <n v="0"/>
    <n v="0"/>
    <m/>
    <m/>
    <m/>
    <m/>
    <m/>
    <m/>
    <m/>
    <m/>
    <m/>
    <m/>
    <m/>
    <m/>
    <m/>
    <m/>
    <m/>
    <m/>
    <m/>
    <m/>
    <m/>
    <m/>
    <m/>
    <m/>
    <m/>
    <m/>
    <m/>
    <n v="0"/>
    <n v="0"/>
    <n v="0"/>
    <n v="0"/>
    <n v="0"/>
    <n v="0"/>
    <m/>
    <m/>
    <m/>
    <m/>
    <m/>
    <m/>
    <m/>
    <m/>
    <s v="Проектирование"/>
    <d v="2024-05-13T00:00:00"/>
    <s v="ПриПро"/>
    <s v="SGG"/>
    <d v="2024-01-09T00:00:00"/>
    <s v="BSG-240109-1/0(3)"/>
    <m/>
    <m/>
    <s v="No"/>
  </r>
  <r>
    <n v="2284"/>
    <s v="Мцхета-Мтианети"/>
    <s v="Душети"/>
    <s v="(4) სოფ. არაგვისპირი-ჟინვალის მიმართულებით გაზსადენის რეაბილიტაცია (საუბნო 2) (P.3.70 (P.3.610, P.3.604))"/>
    <x v="5"/>
    <n v="910000"/>
    <n v="2"/>
    <n v="800000"/>
    <m/>
    <n v="799999.99999999988"/>
    <n v="110000.00000000012"/>
    <n v="0"/>
    <m/>
    <n v="110000.00000000012"/>
    <n v="1"/>
    <m/>
    <s v="P.3.70 (P.3.610, P.3.604)"/>
    <n v="0"/>
    <n v="0"/>
    <m/>
    <m/>
    <m/>
    <m/>
    <m/>
    <m/>
    <m/>
    <m/>
    <m/>
    <m/>
    <m/>
    <m/>
    <m/>
    <m/>
    <m/>
    <m/>
    <m/>
    <m/>
    <m/>
    <m/>
    <m/>
    <m/>
    <m/>
    <m/>
    <m/>
    <n v="0"/>
    <n v="0"/>
    <n v="0"/>
    <n v="0"/>
    <n v="0"/>
    <n v="0"/>
    <n v="677966.1"/>
    <m/>
    <m/>
    <m/>
    <m/>
    <m/>
    <m/>
    <m/>
    <s v="Реаб."/>
    <m/>
    <n v="80"/>
    <s v="SGG"/>
    <d v="2024-01-09T00:00:00"/>
    <s v="BSG-240109-1/0(4)"/>
    <m/>
    <m/>
    <s v="Yes"/>
  </r>
  <r>
    <n v="2285"/>
    <s v="Мцхета-Мтианети"/>
    <s v="Мцхета"/>
    <s v="(5) სოფ. ძველი ქანდა არსებული დაბალი წნევის გაზსადენის რეაბილიტაცია (P.3.166)"/>
    <x v="12"/>
    <n v="25172"/>
    <n v="2"/>
    <n v="25172"/>
    <m/>
    <n v="25172"/>
    <n v="0"/>
    <n v="0"/>
    <m/>
    <n v="0"/>
    <n v="0"/>
    <m/>
    <s v="P.3.166"/>
    <n v="0"/>
    <n v="0"/>
    <m/>
    <m/>
    <m/>
    <m/>
    <m/>
    <m/>
    <m/>
    <m/>
    <m/>
    <m/>
    <m/>
    <m/>
    <m/>
    <m/>
    <m/>
    <m/>
    <m/>
    <m/>
    <m/>
    <m/>
    <m/>
    <m/>
    <m/>
    <m/>
    <m/>
    <n v="0"/>
    <n v="0"/>
    <n v="0"/>
    <n v="0"/>
    <n v="0"/>
    <n v="0"/>
    <m/>
    <m/>
    <m/>
    <m/>
    <m/>
    <m/>
    <m/>
    <m/>
    <s v="Проектирование"/>
    <d v="2024-04-30T00:00:00"/>
    <s v="ПриПро"/>
    <s v="SGG"/>
    <d v="2024-01-09T00:00:00"/>
    <s v="BSG-240109-1/0(5)"/>
    <m/>
    <m/>
    <s v="No"/>
  </r>
  <r>
    <n v="2286"/>
    <s v="Шида Картли"/>
    <s v="Хашури"/>
    <s v="(6) დაბა სურამში აღმაშენებლისა და თამარ მეფის ქუჩებზე D=100 მმ ფოლადის საჰაიერო გაზსადენის შეცვლა პოლიეთილენის D=160 მმ მიწისქვეშა გაზსადენით (P.3.879)"/>
    <x v="12"/>
    <n v="18873.75"/>
    <n v="2"/>
    <n v="18873.75"/>
    <m/>
    <n v="18873.75"/>
    <n v="0"/>
    <n v="0"/>
    <m/>
    <n v="0"/>
    <n v="0"/>
    <m/>
    <s v="P.3.879"/>
    <n v="0"/>
    <n v="0"/>
    <m/>
    <m/>
    <m/>
    <m/>
    <m/>
    <m/>
    <m/>
    <m/>
    <m/>
    <m/>
    <m/>
    <m/>
    <m/>
    <m/>
    <m/>
    <m/>
    <m/>
    <m/>
    <m/>
    <m/>
    <m/>
    <m/>
    <m/>
    <m/>
    <m/>
    <n v="0"/>
    <n v="0"/>
    <n v="0"/>
    <n v="0"/>
    <n v="0"/>
    <n v="0"/>
    <m/>
    <m/>
    <m/>
    <m/>
    <m/>
    <m/>
    <m/>
    <m/>
    <s v="Проектирование"/>
    <d v="2024-09-02T00:00:00"/>
    <s v="ПриПро"/>
    <s v="SGG"/>
    <d v="2024-01-09T00:00:00"/>
    <s v="BSG-240109-1/0(6)"/>
    <m/>
    <m/>
    <s v="No"/>
  </r>
  <r>
    <n v="2287"/>
    <s v="Шида Картли"/>
    <s v="Карели"/>
    <s v="(7) მე-19-ე აღრიცხვის კვანძზე არსებული სოფლების (სანებელი, ვედრება, ქობესაანთ უბანი) გაზსადენის შეცვლა (P.3.501)"/>
    <x v="12"/>
    <n v="13450.5"/>
    <n v="2"/>
    <n v="13450.5"/>
    <m/>
    <n v="2051.77"/>
    <n v="11398.73"/>
    <n v="11398.73"/>
    <m/>
    <n v="11398.73"/>
    <n v="2"/>
    <m/>
    <s v="P.3.501"/>
    <n v="13450.5"/>
    <n v="2051.77"/>
    <n v="13450.5"/>
    <m/>
    <m/>
    <n v="2051.77"/>
    <m/>
    <m/>
    <m/>
    <m/>
    <m/>
    <m/>
    <m/>
    <m/>
    <m/>
    <m/>
    <m/>
    <m/>
    <m/>
    <m/>
    <m/>
    <m/>
    <m/>
    <m/>
    <m/>
    <m/>
    <m/>
    <n v="0"/>
    <n v="0"/>
    <n v="0"/>
    <n v="0"/>
    <n v="0"/>
    <n v="0"/>
    <m/>
    <m/>
    <m/>
    <m/>
    <m/>
    <m/>
    <m/>
    <m/>
    <s v="Проектирование"/>
    <d v="2025-01-06T00:00:00"/>
    <s v="ПриПро"/>
    <s v="SGG"/>
    <d v="2024-01-09T00:00:00"/>
    <s v="BSG-240109-1/0(7)"/>
    <m/>
    <m/>
    <s v="No"/>
  </r>
  <r>
    <n v="2288"/>
    <s v="Шида Картли"/>
    <s v="Карели"/>
    <s v="(8) მე-19-ე აღრიცხვის კვანძზე არსებული სოფლების (სანებელი, ვედრება, ქობესაანთ უბანი) გაზსადენის შეცვლა (P.3.501)"/>
    <x v="5"/>
    <n v="505173"/>
    <s v="აკლასნიკური განფასებით"/>
    <n v="600000"/>
    <m/>
    <n v="268686.87"/>
    <n v="236486.13"/>
    <n v="331313.13"/>
    <m/>
    <n v="236486.13"/>
    <n v="1"/>
    <m/>
    <s v="P.3.501"/>
    <n v="600000"/>
    <n v="61016.95"/>
    <n v="400000"/>
    <m/>
    <m/>
    <n v="61016.95"/>
    <m/>
    <m/>
    <m/>
    <m/>
    <n v="200000"/>
    <m/>
    <m/>
    <m/>
    <m/>
    <m/>
    <m/>
    <m/>
    <m/>
    <m/>
    <m/>
    <m/>
    <m/>
    <m/>
    <m/>
    <m/>
    <m/>
    <n v="0"/>
    <n v="0"/>
    <n v="0"/>
    <n v="0"/>
    <n v="0"/>
    <n v="0"/>
    <m/>
    <m/>
    <m/>
    <m/>
    <n v="207669.92"/>
    <m/>
    <m/>
    <m/>
    <s v="Реаб."/>
    <m/>
    <n v="80"/>
    <s v="SGG"/>
    <d v="2024-01-09T00:00:00"/>
    <s v="BSG-240109-1/0(8)"/>
    <m/>
    <m/>
    <s v="Yes"/>
  </r>
  <r>
    <n v="2289"/>
    <s v="Мцхета-Мтианети"/>
    <s v="Душети"/>
    <s v="(9) სოფ. ჭოპორტის გაზსადენის რეაბილიტაცია (P.3.72; (P.3.582))"/>
    <x v="12"/>
    <n v="6779.5"/>
    <n v="2"/>
    <n v="6779.5"/>
    <m/>
    <n v="6779.5"/>
    <n v="0"/>
    <n v="0"/>
    <m/>
    <n v="0"/>
    <n v="0"/>
    <m/>
    <s v="P.3.72; (P.3.582)"/>
    <n v="0"/>
    <n v="0"/>
    <m/>
    <m/>
    <m/>
    <m/>
    <m/>
    <m/>
    <m/>
    <m/>
    <m/>
    <m/>
    <m/>
    <m/>
    <m/>
    <m/>
    <m/>
    <m/>
    <m/>
    <m/>
    <m/>
    <m/>
    <m/>
    <m/>
    <m/>
    <m/>
    <m/>
    <n v="0"/>
    <n v="0"/>
    <n v="0"/>
    <n v="0"/>
    <n v="0"/>
    <n v="0"/>
    <m/>
    <m/>
    <m/>
    <m/>
    <m/>
    <m/>
    <m/>
    <m/>
    <s v="Проектирование"/>
    <d v="2024-07-18T00:00:00"/>
    <s v="ПриПро"/>
    <s v="SGG"/>
    <d v="2024-01-09T00:00:00"/>
    <s v="BSG-240109-1/0(9)"/>
    <m/>
    <m/>
    <s v="No"/>
  </r>
  <r>
    <n v="2290"/>
    <s v="Мцхета-Мтианети"/>
    <s v="Душети"/>
    <s v="(10) სოფ. ჭოპორტის გაზსადენის რეაბილიტაცია (P.3.72; (P.3.582))"/>
    <x v="5"/>
    <n v="700000"/>
    <n v="2"/>
    <n v="1350000"/>
    <m/>
    <n v="438135.53899999999"/>
    <n v="261864.46100000001"/>
    <n v="911864.46100000001"/>
    <m/>
    <n v="261864.46100000001"/>
    <n v="1"/>
    <m/>
    <s v="P.3.72; (P.3.582)"/>
    <n v="950000"/>
    <n v="38135.589999999997"/>
    <m/>
    <m/>
    <m/>
    <m/>
    <m/>
    <m/>
    <n v="250000"/>
    <m/>
    <n v="700000"/>
    <n v="38135.589999999997"/>
    <m/>
    <m/>
    <m/>
    <m/>
    <m/>
    <m/>
    <m/>
    <m/>
    <m/>
    <m/>
    <m/>
    <m/>
    <m/>
    <m/>
    <m/>
    <n v="0"/>
    <n v="0"/>
    <n v="0"/>
    <n v="0"/>
    <n v="0"/>
    <n v="0"/>
    <n v="338983"/>
    <m/>
    <m/>
    <m/>
    <m/>
    <m/>
    <m/>
    <m/>
    <s v="Реаб."/>
    <m/>
    <n v="60"/>
    <s v="SGG"/>
    <d v="2024-01-09T00:00:00"/>
    <s v="BSG-240109-1/0(10)"/>
    <m/>
    <m/>
    <s v="Yes"/>
  </r>
  <r>
    <n v="2291"/>
    <s v="Мцхета-Мтианети"/>
    <s v="Мцхета"/>
    <s v="(11) ნატახტრი და მისაქციელი ცენტრალური გაზსადენის რეაბილიტაცია (P.3.954)"/>
    <x v="12"/>
    <n v="11152.75"/>
    <n v="2"/>
    <n v="11152.75"/>
    <m/>
    <n v="11152.75"/>
    <n v="0"/>
    <n v="0"/>
    <m/>
    <n v="0"/>
    <n v="0"/>
    <m/>
    <s v="P.3.954"/>
    <n v="0"/>
    <n v="0"/>
    <m/>
    <m/>
    <m/>
    <m/>
    <m/>
    <m/>
    <m/>
    <m/>
    <m/>
    <m/>
    <m/>
    <m/>
    <m/>
    <m/>
    <m/>
    <m/>
    <m/>
    <m/>
    <m/>
    <m/>
    <m/>
    <m/>
    <m/>
    <m/>
    <m/>
    <n v="0"/>
    <n v="0"/>
    <n v="0"/>
    <n v="0"/>
    <n v="0"/>
    <n v="0"/>
    <m/>
    <m/>
    <m/>
    <m/>
    <m/>
    <m/>
    <m/>
    <m/>
    <s v="Проектирование"/>
    <d v="2024-12-19T00:00:00"/>
    <s v="ПриПро"/>
    <s v="SGG"/>
    <d v="2024-01-09T00:00:00"/>
    <s v="BSG-240109-1/0(11)"/>
    <m/>
    <m/>
    <s v="No"/>
  </r>
  <r>
    <n v="2292"/>
    <s v="Мцхета-Мтианети"/>
    <s v="Мцхета"/>
    <s v="(12) ნატახტრიდა მისაქციელი ცენტრალური გაზსადენის რეაბილიტაცია (P.3.954)"/>
    <x v="5"/>
    <n v="330000"/>
    <n v="2"/>
    <n v="430000"/>
    <m/>
    <n v="65593.22"/>
    <n v="264406.78000000003"/>
    <n v="364406.78"/>
    <m/>
    <n v="264406.78000000003"/>
    <n v="1"/>
    <m/>
    <s v="P.3.954"/>
    <n v="430000"/>
    <n v="65593.22"/>
    <n v="200000"/>
    <m/>
    <n v="230000"/>
    <n v="30508.47"/>
    <m/>
    <n v="35084.75"/>
    <m/>
    <m/>
    <m/>
    <m/>
    <m/>
    <m/>
    <m/>
    <m/>
    <m/>
    <m/>
    <m/>
    <m/>
    <m/>
    <m/>
    <m/>
    <m/>
    <m/>
    <m/>
    <m/>
    <n v="0"/>
    <n v="0"/>
    <n v="0"/>
    <n v="0"/>
    <n v="0"/>
    <n v="0"/>
    <m/>
    <m/>
    <m/>
    <m/>
    <m/>
    <m/>
    <m/>
    <m/>
    <s v="Реаб."/>
    <m/>
    <n v="75"/>
    <s v="SGG"/>
    <d v="2024-01-09T00:00:00"/>
    <s v="BSG-240109-1/0(12)"/>
    <m/>
    <m/>
    <s v="Yes"/>
  </r>
  <r>
    <n v="2293"/>
    <s v="Мцхета-Мтианети"/>
    <s v="Мцхета"/>
    <s v="(13) ქ. მცხეთა, სამხედროს ქუჩა, საცურაო აუზიდან პირველ სკოლამდე ცენტრალური გაზსადენის რეაბილიტაცია (P.3.969)"/>
    <x v="12"/>
    <n v="6492.5"/>
    <n v="2"/>
    <n v="6492.5"/>
    <m/>
    <n v="6492.5"/>
    <n v="0"/>
    <n v="0"/>
    <m/>
    <n v="0"/>
    <n v="0"/>
    <m/>
    <s v="P.3.969"/>
    <n v="0"/>
    <n v="0"/>
    <m/>
    <m/>
    <m/>
    <m/>
    <m/>
    <m/>
    <m/>
    <m/>
    <m/>
    <m/>
    <m/>
    <m/>
    <m/>
    <m/>
    <m/>
    <m/>
    <m/>
    <m/>
    <m/>
    <m/>
    <m/>
    <m/>
    <m/>
    <m/>
    <m/>
    <n v="0"/>
    <n v="0"/>
    <n v="0"/>
    <n v="0"/>
    <n v="0"/>
    <n v="0"/>
    <m/>
    <m/>
    <m/>
    <m/>
    <m/>
    <m/>
    <m/>
    <m/>
    <s v="Проектирование"/>
    <d v="2024-10-02T00:00:00"/>
    <s v="ПриПро"/>
    <s v="SGG"/>
    <d v="2024-01-09T00:00:00"/>
    <s v="BSG-240109-1/0(13)"/>
    <m/>
    <m/>
    <s v="No"/>
  </r>
  <r>
    <n v="2294"/>
    <s v="Мцхета-Мтианети"/>
    <s v="Мцхета"/>
    <s v="(14) ქ. მცხეთა, სამხედროს ქუჩა, საცურაო აუზიდან პირველ სკოლამდე ცენტრალური გაზსადენის რეაბილიტაცია (P.3.969)"/>
    <x v="5"/>
    <n v="330000"/>
    <n v="2"/>
    <n v="207000"/>
    <m/>
    <n v="120559.319"/>
    <n v="209440.68099999998"/>
    <n v="86440.680999999997"/>
    <m/>
    <n v="209440.68099999998"/>
    <n v="1"/>
    <m/>
    <s v="P.3.969"/>
    <n v="102000"/>
    <n v="15559.32"/>
    <m/>
    <m/>
    <m/>
    <m/>
    <n v="102000"/>
    <m/>
    <m/>
    <n v="15559.32"/>
    <m/>
    <m/>
    <m/>
    <m/>
    <m/>
    <m/>
    <m/>
    <m/>
    <m/>
    <m/>
    <m/>
    <m/>
    <m/>
    <m/>
    <m/>
    <m/>
    <m/>
    <n v="0"/>
    <n v="0"/>
    <n v="0"/>
    <n v="0"/>
    <n v="0"/>
    <n v="0"/>
    <n v="88983.05"/>
    <m/>
    <m/>
    <m/>
    <m/>
    <m/>
    <m/>
    <m/>
    <s v="Реаб."/>
    <m/>
    <n v="50"/>
    <s v="SGG"/>
    <d v="2024-01-09T00:00:00"/>
    <s v="BSG-240109-1/0(14)"/>
    <m/>
    <m/>
    <s v="Yes"/>
  </r>
  <r>
    <n v="2295"/>
    <s v="Мцхета-Мтианети"/>
    <s v="Душети"/>
    <s v="(15) სოფ. წითელსოფელის გაზსადენის რეაბილიტაცია (P.3.74; (P.3.585))"/>
    <x v="12"/>
    <n v="10055.5"/>
    <n v="2"/>
    <n v="10055.5"/>
    <m/>
    <n v="10055.5"/>
    <n v="0"/>
    <n v="0"/>
    <m/>
    <n v="0"/>
    <n v="0"/>
    <m/>
    <s v="P.3.74; (P.3.585)"/>
    <n v="0"/>
    <n v="0"/>
    <m/>
    <m/>
    <m/>
    <m/>
    <m/>
    <m/>
    <m/>
    <m/>
    <m/>
    <m/>
    <m/>
    <m/>
    <m/>
    <m/>
    <m/>
    <m/>
    <m/>
    <m/>
    <m/>
    <m/>
    <m/>
    <m/>
    <m/>
    <m/>
    <m/>
    <n v="0"/>
    <n v="0"/>
    <n v="0"/>
    <n v="0"/>
    <n v="0"/>
    <n v="0"/>
    <m/>
    <m/>
    <m/>
    <m/>
    <m/>
    <m/>
    <m/>
    <m/>
    <s v="Проектирование"/>
    <d v="2024-07-02T00:00:00"/>
    <s v="ПриПро"/>
    <s v="SGG"/>
    <d v="2024-01-09T00:00:00"/>
    <s v="BSG-240109-1/0(15)"/>
    <m/>
    <m/>
    <s v="No"/>
  </r>
  <r>
    <n v="2296"/>
    <s v="Мцхета-Мтианети"/>
    <s v="Душети"/>
    <s v="(16) სოფ. წითელსოფელის გაზსადენის რეაბილიტაცია (P.3.74; (P.3.585))"/>
    <x v="5"/>
    <n v="580000"/>
    <n v="2"/>
    <n v="325000"/>
    <m/>
    <n v="303813.56"/>
    <n v="276186.44"/>
    <n v="21186.440000000002"/>
    <m/>
    <n v="276186.44"/>
    <n v="1"/>
    <m/>
    <s v="P.3.74; (P.3.585)"/>
    <n v="25000"/>
    <n v="3813.56"/>
    <m/>
    <m/>
    <n v="25000"/>
    <m/>
    <m/>
    <n v="3813.56"/>
    <m/>
    <m/>
    <m/>
    <m/>
    <m/>
    <m/>
    <m/>
    <m/>
    <m/>
    <m/>
    <m/>
    <m/>
    <m/>
    <m/>
    <m/>
    <m/>
    <m/>
    <m/>
    <m/>
    <n v="0"/>
    <n v="0"/>
    <n v="0"/>
    <n v="0"/>
    <n v="0"/>
    <n v="0"/>
    <n v="254237.29"/>
    <m/>
    <m/>
    <m/>
    <m/>
    <m/>
    <m/>
    <m/>
    <s v="Реаб."/>
    <m/>
    <n v="50"/>
    <s v="SGG"/>
    <d v="2024-01-09T00:00:00"/>
    <s v="BSG-240109-1/0(16)"/>
    <m/>
    <m/>
    <s v="Yes"/>
  </r>
  <r>
    <n v="2297"/>
    <s v="Мцхета-Мтианети"/>
    <s v="Мцхета"/>
    <s v="(17) სოფელ ჯიღაურაში არსებული შიდა ქსელის რეაბილიტაცია და გამსხვილება (P.3.699)"/>
    <x v="12"/>
    <n v="18650.625"/>
    <n v="2"/>
    <n v="18650.625"/>
    <m/>
    <n v="18650.62"/>
    <n v="5.0000000010186341E-3"/>
    <n v="5.0000000010186341E-3"/>
    <m/>
    <n v="5.0000000010186341E-3"/>
    <n v="0"/>
    <m/>
    <s v="P.3.699"/>
    <n v="0"/>
    <n v="0"/>
    <m/>
    <m/>
    <m/>
    <m/>
    <m/>
    <m/>
    <m/>
    <m/>
    <m/>
    <m/>
    <m/>
    <m/>
    <m/>
    <m/>
    <m/>
    <m/>
    <m/>
    <m/>
    <m/>
    <m/>
    <m/>
    <m/>
    <m/>
    <m/>
    <m/>
    <n v="0"/>
    <n v="0"/>
    <n v="0"/>
    <n v="0"/>
    <n v="0"/>
    <n v="0"/>
    <m/>
    <m/>
    <m/>
    <m/>
    <m/>
    <m/>
    <m/>
    <m/>
    <s v="Проектирование"/>
    <d v="2024-12-19T00:00:00"/>
    <s v="ПриПро"/>
    <s v="SGG"/>
    <d v="2024-01-09T00:00:00"/>
    <s v="BSG-240109-1/0(17)"/>
    <m/>
    <m/>
    <s v="No"/>
  </r>
  <r>
    <n v="2298"/>
    <s v="Мцхета-Мтианети"/>
    <s v="Мцхета"/>
    <s v="(18) სოფელ ჯიღაურაში არსებული შიდა ქსელის რეაბილიტაცია და გამსხვილება (P.3.699)"/>
    <x v="5"/>
    <n v="270000"/>
    <n v="2"/>
    <n v="745000"/>
    <m/>
    <n v="98389.83"/>
    <n v="171610.16999999998"/>
    <n v="646610.17000000004"/>
    <m/>
    <n v="171610.16999999998"/>
    <n v="1"/>
    <m/>
    <s v="P.3.699"/>
    <n v="745000"/>
    <n v="98389.83"/>
    <n v="600000"/>
    <m/>
    <m/>
    <n v="91525.42"/>
    <n v="45000"/>
    <m/>
    <m/>
    <n v="6864.41"/>
    <n v="100000"/>
    <m/>
    <m/>
    <m/>
    <m/>
    <m/>
    <m/>
    <m/>
    <m/>
    <m/>
    <m/>
    <m/>
    <m/>
    <m/>
    <m/>
    <m/>
    <m/>
    <n v="0"/>
    <n v="0"/>
    <n v="0"/>
    <n v="0"/>
    <n v="0"/>
    <n v="0"/>
    <m/>
    <m/>
    <m/>
    <m/>
    <m/>
    <m/>
    <m/>
    <m/>
    <s v="Реаб."/>
    <m/>
    <n v="75"/>
    <s v="SGG"/>
    <d v="2024-01-09T00:00:00"/>
    <s v="BSG-240109-1/0(18)"/>
    <m/>
    <m/>
    <s v="Yes"/>
  </r>
  <r>
    <n v="2299"/>
    <s v="Тбилиси"/>
    <s v="Тбилиси"/>
    <s v="(19) დაბა კოჯორში 21- საუბნოზე არსებული გაზსადენის გამსხვილება და გამოტანა კერძო ტერიტორიებიდან (P.3.705)"/>
    <x v="12"/>
    <n v="0"/>
    <n v="2"/>
    <m/>
    <m/>
    <m/>
    <n v="0"/>
    <n v="0"/>
    <m/>
    <n v="0"/>
    <n v="2"/>
    <m/>
    <s v="P.3.705"/>
    <n v="0"/>
    <n v="0"/>
    <m/>
    <m/>
    <m/>
    <m/>
    <m/>
    <m/>
    <m/>
    <m/>
    <m/>
    <m/>
    <m/>
    <m/>
    <m/>
    <m/>
    <m/>
    <m/>
    <m/>
    <m/>
    <m/>
    <m/>
    <m/>
    <m/>
    <m/>
    <m/>
    <m/>
    <n v="0"/>
    <n v="0"/>
    <n v="0"/>
    <n v="0"/>
    <n v="0"/>
    <n v="0"/>
    <m/>
    <m/>
    <m/>
    <m/>
    <m/>
    <m/>
    <m/>
    <m/>
    <s v="Проектирование"/>
    <m/>
    <n v="0"/>
    <s v="SGG"/>
    <d v="2024-01-09T00:00:00"/>
    <s v="BSG-240109-1/0(19)"/>
    <m/>
    <m/>
    <s v="No"/>
  </r>
  <r>
    <n v="2300"/>
    <s v="Тбилиси"/>
    <s v="Тбилиси"/>
    <s v="(20) დაბა კოჯორში 21- საუბნოზე არსებული გაზსადენის გამსხვილება და გამოტანა კერძო ტერიტორიებიდან (P.3.705)"/>
    <x v="5"/>
    <n v="260000"/>
    <n v="2"/>
    <m/>
    <m/>
    <m/>
    <n v="260000"/>
    <n v="0"/>
    <m/>
    <n v="260000"/>
    <n v="1"/>
    <m/>
    <s v="P.3.705"/>
    <n v="0"/>
    <n v="0"/>
    <m/>
    <m/>
    <m/>
    <m/>
    <m/>
    <m/>
    <m/>
    <m/>
    <m/>
    <m/>
    <m/>
    <m/>
    <m/>
    <m/>
    <m/>
    <m/>
    <m/>
    <m/>
    <m/>
    <m/>
    <m/>
    <m/>
    <m/>
    <m/>
    <m/>
    <n v="0"/>
    <n v="0"/>
    <n v="0"/>
    <n v="0"/>
    <n v="0"/>
    <n v="0"/>
    <m/>
    <m/>
    <m/>
    <m/>
    <m/>
    <m/>
    <m/>
    <m/>
    <s v="Реаб."/>
    <m/>
    <n v="0"/>
    <s v="SGG"/>
    <d v="2024-01-09T00:00:00"/>
    <s v="BSG-240109-1/0(20)"/>
    <m/>
    <m/>
    <s v="Yes"/>
  </r>
  <r>
    <n v="2301"/>
    <s v="Шида Картли"/>
    <s v="Хашури"/>
    <s v="(21) დაბა სურამი, ბაიანთხევი, 26 მაისის ქუჩის რეაბილიტაცია (P.3.933)"/>
    <x v="12"/>
    <n v="0"/>
    <n v="2"/>
    <m/>
    <m/>
    <m/>
    <n v="0"/>
    <n v="0"/>
    <m/>
    <n v="0"/>
    <n v="2"/>
    <m/>
    <s v="P.3.933"/>
    <n v="0"/>
    <n v="0"/>
    <m/>
    <m/>
    <m/>
    <m/>
    <m/>
    <m/>
    <m/>
    <m/>
    <m/>
    <m/>
    <m/>
    <m/>
    <m/>
    <m/>
    <m/>
    <m/>
    <m/>
    <m/>
    <m/>
    <m/>
    <m/>
    <m/>
    <m/>
    <m/>
    <m/>
    <n v="0"/>
    <n v="0"/>
    <n v="0"/>
    <n v="0"/>
    <n v="0"/>
    <n v="0"/>
    <m/>
    <m/>
    <m/>
    <m/>
    <m/>
    <m/>
    <m/>
    <m/>
    <s v="Проектирование"/>
    <m/>
    <n v="0"/>
    <s v="SGG"/>
    <d v="2024-01-09T00:00:00"/>
    <s v="BSG-240109-1/0(21)"/>
    <m/>
    <m/>
    <s v="No"/>
  </r>
  <r>
    <n v="2302"/>
    <s v="Шида Картли"/>
    <s v="Хашури"/>
    <s v="(22) დაბა სურამი, ბაიანთხევი, 26 მაისის ქუჩის რეაბილიტაცია (P.3.933)"/>
    <x v="5"/>
    <n v="215000"/>
    <n v="2"/>
    <m/>
    <m/>
    <m/>
    <n v="215000"/>
    <n v="0"/>
    <m/>
    <n v="215000"/>
    <n v="1"/>
    <m/>
    <s v="P.3.933"/>
    <n v="0"/>
    <n v="0"/>
    <m/>
    <m/>
    <m/>
    <m/>
    <m/>
    <m/>
    <m/>
    <m/>
    <m/>
    <m/>
    <m/>
    <m/>
    <m/>
    <m/>
    <m/>
    <m/>
    <m/>
    <m/>
    <m/>
    <m/>
    <m/>
    <m/>
    <m/>
    <m/>
    <m/>
    <n v="0"/>
    <n v="0"/>
    <n v="0"/>
    <n v="0"/>
    <n v="0"/>
    <n v="0"/>
    <m/>
    <m/>
    <m/>
    <m/>
    <m/>
    <m/>
    <m/>
    <m/>
    <s v="Реаб."/>
    <m/>
    <n v="0"/>
    <s v="SGG"/>
    <d v="2024-01-09T00:00:00"/>
    <s v="BSG-240109-1/0(22)"/>
    <m/>
    <m/>
    <s v="Yes"/>
  </r>
  <r>
    <n v="2303"/>
    <s v="Шида Картли"/>
    <s v="Гори"/>
    <s v="(23) ვარიანის გრს ზე არსებული სოფელ ფხვენისის გაზსადენის რეაბილიტაცია (P.3.707)"/>
    <x v="12"/>
    <n v="0"/>
    <n v="2"/>
    <n v="0"/>
    <m/>
    <n v="0"/>
    <n v="0"/>
    <n v="0"/>
    <m/>
    <n v="0"/>
    <n v="2"/>
    <m/>
    <s v="P.3.707"/>
    <n v="0"/>
    <n v="0"/>
    <m/>
    <m/>
    <m/>
    <m/>
    <m/>
    <m/>
    <m/>
    <m/>
    <m/>
    <m/>
    <m/>
    <m/>
    <m/>
    <m/>
    <m/>
    <m/>
    <m/>
    <m/>
    <m/>
    <m/>
    <m/>
    <m/>
    <m/>
    <m/>
    <m/>
    <n v="0"/>
    <n v="0"/>
    <n v="0"/>
    <n v="0"/>
    <n v="0"/>
    <n v="0"/>
    <m/>
    <m/>
    <m/>
    <m/>
    <m/>
    <m/>
    <m/>
    <m/>
    <s v="Проектирование"/>
    <m/>
    <n v="0"/>
    <s v="SGG"/>
    <d v="2024-01-09T00:00:00"/>
    <s v="BSG-240109-1/0(23)"/>
    <m/>
    <m/>
    <s v="No"/>
  </r>
  <r>
    <n v="2304"/>
    <s v="Шида Картли"/>
    <s v="Гори"/>
    <s v="(24) ვარიანის გრს ზე არსებული სოფელ ფხვენისის გაზსადენის რეაბილიტაცია (P.3.707)"/>
    <x v="5"/>
    <n v="190000"/>
    <n v="2"/>
    <n v="335000"/>
    <m/>
    <n v="51101.689999999995"/>
    <n v="138898.31"/>
    <n v="283898.31"/>
    <m/>
    <n v="138898.31"/>
    <n v="1"/>
    <m/>
    <s v="P.3.707"/>
    <n v="335000"/>
    <n v="51101.689999999995"/>
    <n v="85000"/>
    <m/>
    <n v="250000"/>
    <n v="12966.1"/>
    <m/>
    <n v="38135.589999999997"/>
    <m/>
    <m/>
    <m/>
    <m/>
    <m/>
    <m/>
    <m/>
    <m/>
    <m/>
    <m/>
    <m/>
    <m/>
    <m/>
    <m/>
    <m/>
    <m/>
    <m/>
    <m/>
    <m/>
    <n v="0"/>
    <n v="0"/>
    <n v="0"/>
    <n v="0"/>
    <n v="0"/>
    <n v="0"/>
    <m/>
    <m/>
    <m/>
    <m/>
    <m/>
    <m/>
    <m/>
    <m/>
    <s v="Реаб."/>
    <m/>
    <n v="80"/>
    <s v="SGG"/>
    <d v="2024-01-09T00:00:00"/>
    <s v="BSG-240109-1/0(24)"/>
    <m/>
    <m/>
    <s v="Yes"/>
  </r>
  <r>
    <n v="2305"/>
    <s v="Шида Картли"/>
    <s v="Карели"/>
    <s v="(25) ქარელის არეალში ეზოებიდან გამოსატანი მრიცხველები (P.3.146)"/>
    <x v="12"/>
    <n v="0"/>
    <n v="2"/>
    <n v="0"/>
    <m/>
    <n v="0"/>
    <n v="0"/>
    <n v="0"/>
    <m/>
    <n v="0"/>
    <n v="2"/>
    <m/>
    <s v="P.3.146"/>
    <n v="0"/>
    <n v="0"/>
    <m/>
    <m/>
    <m/>
    <m/>
    <m/>
    <m/>
    <m/>
    <m/>
    <m/>
    <m/>
    <m/>
    <m/>
    <m/>
    <m/>
    <m/>
    <m/>
    <m/>
    <m/>
    <m/>
    <m/>
    <m/>
    <m/>
    <m/>
    <m/>
    <m/>
    <n v="0"/>
    <n v="0"/>
    <n v="0"/>
    <n v="0"/>
    <n v="0"/>
    <n v="0"/>
    <m/>
    <m/>
    <m/>
    <m/>
    <m/>
    <m/>
    <m/>
    <m/>
    <s v="Проектирование"/>
    <m/>
    <n v="0"/>
    <s v="SGG"/>
    <d v="2024-01-09T00:00:00"/>
    <s v="BSG-240109-1/0(25)"/>
    <m/>
    <m/>
    <s v="No"/>
  </r>
  <r>
    <n v="2306"/>
    <s v="Шида Картли"/>
    <s v="Карели"/>
    <s v="(26) ქარელის არეალში ეზოებიდან გამოსატანი მრიცხველები (P.3.146)"/>
    <x v="5"/>
    <n v="150000"/>
    <n v="2"/>
    <n v="100000"/>
    <m/>
    <n v="15254.236999999999"/>
    <n v="134745.76300000001"/>
    <n v="84745.763000000006"/>
    <m/>
    <n v="134745.76300000001"/>
    <n v="1"/>
    <m/>
    <s v="P.3.146"/>
    <n v="100000"/>
    <n v="15254.236999999999"/>
    <m/>
    <m/>
    <n v="100000"/>
    <m/>
    <m/>
    <n v="15254.236999999999"/>
    <m/>
    <m/>
    <m/>
    <m/>
    <m/>
    <m/>
    <m/>
    <m/>
    <m/>
    <m/>
    <m/>
    <m/>
    <m/>
    <m/>
    <m/>
    <m/>
    <m/>
    <m/>
    <m/>
    <n v="0"/>
    <n v="0"/>
    <n v="0"/>
    <n v="0"/>
    <n v="0"/>
    <n v="0"/>
    <m/>
    <m/>
    <m/>
    <m/>
    <m/>
    <m/>
    <m/>
    <m/>
    <s v="Реаб."/>
    <m/>
    <n v="80"/>
    <s v="SGG"/>
    <d v="2024-01-09T00:00:00"/>
    <s v="BSG-240109-1/0(26)"/>
    <m/>
    <m/>
    <s v="Yes"/>
  </r>
  <r>
    <n v="2307"/>
    <s v="Тбилиси"/>
    <s v="Тбилиси"/>
    <s v="(27) დაბა კოჯორში მე-20 საუბნოზე არსებული გაზსადენის რეაბილიტაცია და კერძო ტერიტორიებიდან გამოტანა (P.3.704)"/>
    <x v="12"/>
    <n v="0"/>
    <n v="2"/>
    <m/>
    <m/>
    <m/>
    <n v="0"/>
    <n v="0"/>
    <m/>
    <n v="0"/>
    <n v="2"/>
    <m/>
    <s v="P.3.704"/>
    <n v="0"/>
    <n v="0"/>
    <m/>
    <m/>
    <m/>
    <m/>
    <m/>
    <m/>
    <m/>
    <m/>
    <m/>
    <m/>
    <m/>
    <m/>
    <m/>
    <m/>
    <m/>
    <m/>
    <m/>
    <m/>
    <m/>
    <m/>
    <m/>
    <m/>
    <m/>
    <m/>
    <m/>
    <n v="0"/>
    <n v="0"/>
    <n v="0"/>
    <n v="0"/>
    <n v="0"/>
    <n v="0"/>
    <m/>
    <m/>
    <m/>
    <m/>
    <m/>
    <m/>
    <m/>
    <m/>
    <s v="Проектирование"/>
    <m/>
    <n v="0"/>
    <s v="SGG"/>
    <d v="2024-01-09T00:00:00"/>
    <s v="BSG-240109-1/0(27)"/>
    <m/>
    <m/>
    <s v="No"/>
  </r>
  <r>
    <n v="2308"/>
    <s v="Тбилиси"/>
    <s v="Тбилиси"/>
    <s v="(28) დაბა კოჯორში მე-20 საუბნოზე არსებული გაზსადენის რეაბილიტაცია და კერძო ტერიტორიებიდან გამოტანა (P.3.704)"/>
    <x v="5"/>
    <n v="145000"/>
    <n v="2"/>
    <m/>
    <m/>
    <m/>
    <n v="145000"/>
    <n v="0"/>
    <m/>
    <n v="145000"/>
    <n v="1"/>
    <m/>
    <s v="P.3.704"/>
    <n v="0"/>
    <n v="0"/>
    <m/>
    <m/>
    <m/>
    <m/>
    <m/>
    <m/>
    <m/>
    <m/>
    <m/>
    <m/>
    <m/>
    <m/>
    <m/>
    <m/>
    <m/>
    <m/>
    <m/>
    <m/>
    <m/>
    <m/>
    <m/>
    <m/>
    <m/>
    <m/>
    <m/>
    <n v="0"/>
    <n v="0"/>
    <n v="0"/>
    <n v="0"/>
    <n v="0"/>
    <n v="0"/>
    <m/>
    <m/>
    <m/>
    <m/>
    <m/>
    <m/>
    <m/>
    <m/>
    <s v="Реаб."/>
    <m/>
    <n v="0"/>
    <s v="SGG"/>
    <d v="2024-01-09T00:00:00"/>
    <s v="BSG-240109-1/0(28)"/>
    <m/>
    <m/>
    <s v="Yes"/>
  </r>
  <r>
    <n v="2309"/>
    <s v="Шида Картли"/>
    <s v="Карели"/>
    <s v="(29) სოფ. ბებნისის გაზსადენის რეაბილიტაცია (P.3.5)"/>
    <x v="12"/>
    <n v="14652.75"/>
    <n v="2"/>
    <n v="14652.75"/>
    <m/>
    <n v="14652.75"/>
    <n v="0"/>
    <n v="0"/>
    <m/>
    <n v="0"/>
    <n v="0"/>
    <m/>
    <s v="P.3.5"/>
    <n v="0"/>
    <n v="0"/>
    <m/>
    <m/>
    <m/>
    <m/>
    <m/>
    <m/>
    <m/>
    <m/>
    <m/>
    <m/>
    <m/>
    <m/>
    <m/>
    <m/>
    <m/>
    <m/>
    <m/>
    <m/>
    <m/>
    <m/>
    <m/>
    <m/>
    <m/>
    <m/>
    <m/>
    <n v="0"/>
    <n v="0"/>
    <n v="0"/>
    <n v="0"/>
    <n v="0"/>
    <n v="0"/>
    <m/>
    <m/>
    <m/>
    <m/>
    <m/>
    <m/>
    <m/>
    <m/>
    <s v="Проектирование"/>
    <d v="2024-09-02T00:00:00"/>
    <s v="ПриПро"/>
    <s v="SGG"/>
    <d v="2024-01-09T00:00:00"/>
    <s v="BSG-240109-1/0(29)"/>
    <m/>
    <m/>
    <s v="No"/>
  </r>
  <r>
    <n v="2310"/>
    <s v="Шида Картли"/>
    <s v="Карели"/>
    <s v="(30) სოფ. ბებნისის გაზსადენის რეაბილიტაცია (P.3.5)"/>
    <x v="5"/>
    <n v="100000"/>
    <n v="2"/>
    <n v="485000"/>
    <m/>
    <n v="298559.31799999997"/>
    <n v="-198559.31799999997"/>
    <n v="186440.68200000003"/>
    <m/>
    <n v="-198559.31799999997"/>
    <n v="1"/>
    <m/>
    <s v="P.3.5"/>
    <n v="220000"/>
    <n v="33559.32"/>
    <m/>
    <m/>
    <n v="220000"/>
    <m/>
    <m/>
    <n v="33559.32"/>
    <m/>
    <m/>
    <m/>
    <m/>
    <m/>
    <m/>
    <m/>
    <m/>
    <m/>
    <m/>
    <m/>
    <m/>
    <m/>
    <m/>
    <m/>
    <m/>
    <m/>
    <m/>
    <m/>
    <n v="0"/>
    <n v="0"/>
    <n v="0"/>
    <n v="0"/>
    <n v="0"/>
    <n v="0"/>
    <n v="224576.27"/>
    <m/>
    <m/>
    <m/>
    <m/>
    <m/>
    <m/>
    <m/>
    <s v="Реаб."/>
    <m/>
    <n v="60"/>
    <s v="SGG"/>
    <d v="2024-01-09T00:00:00"/>
    <s v="BSG-240109-1/0(30)"/>
    <m/>
    <m/>
    <s v="Yes"/>
  </r>
  <r>
    <n v="2311"/>
    <s v="Шида Картли"/>
    <s v="Хашури"/>
    <s v="(31) დაბა სურამი, გურამიშვილის ქუჩის რეაბილიტაცია (P.3.934)"/>
    <x v="12"/>
    <n v="0"/>
    <n v="2"/>
    <m/>
    <m/>
    <m/>
    <n v="0"/>
    <n v="0"/>
    <m/>
    <n v="0"/>
    <n v="2"/>
    <m/>
    <s v="P.3.934"/>
    <n v="0"/>
    <n v="0"/>
    <m/>
    <m/>
    <m/>
    <m/>
    <m/>
    <m/>
    <m/>
    <m/>
    <m/>
    <m/>
    <m/>
    <m/>
    <m/>
    <m/>
    <m/>
    <m/>
    <m/>
    <m/>
    <m/>
    <m/>
    <m/>
    <m/>
    <m/>
    <m/>
    <m/>
    <n v="0"/>
    <n v="0"/>
    <n v="0"/>
    <n v="0"/>
    <n v="0"/>
    <n v="0"/>
    <m/>
    <m/>
    <m/>
    <m/>
    <m/>
    <m/>
    <m/>
    <m/>
    <s v="Проектирование"/>
    <m/>
    <n v="0"/>
    <s v="SGG"/>
    <d v="2024-01-09T00:00:00"/>
    <s v="BSG-240109-1/0(31)"/>
    <m/>
    <m/>
    <s v="No"/>
  </r>
  <r>
    <n v="2312"/>
    <s v="Шида Картли"/>
    <s v="Хашури"/>
    <s v="(32) დაბა სურამი, გურამიშვილის ქუჩის რეაბილიტაცია (P.3.934)"/>
    <x v="5"/>
    <n v="100000"/>
    <n v="2"/>
    <m/>
    <m/>
    <m/>
    <n v="100000"/>
    <n v="0"/>
    <m/>
    <n v="100000"/>
    <n v="1"/>
    <m/>
    <s v="P.3.934"/>
    <n v="0"/>
    <n v="0"/>
    <m/>
    <m/>
    <m/>
    <m/>
    <m/>
    <m/>
    <m/>
    <m/>
    <m/>
    <m/>
    <m/>
    <m/>
    <m/>
    <m/>
    <m/>
    <m/>
    <m/>
    <m/>
    <m/>
    <m/>
    <m/>
    <m/>
    <m/>
    <m/>
    <m/>
    <n v="0"/>
    <n v="0"/>
    <n v="0"/>
    <n v="0"/>
    <n v="0"/>
    <n v="0"/>
    <m/>
    <m/>
    <m/>
    <m/>
    <m/>
    <m/>
    <m/>
    <m/>
    <s v="Реаб."/>
    <m/>
    <n v="0"/>
    <s v="SGG"/>
    <d v="2024-01-09T00:00:00"/>
    <s v="BSG-240109-1/0(32)"/>
    <m/>
    <m/>
    <s v="Yes"/>
  </r>
  <r>
    <n v="2313"/>
    <s v="Шида Картли"/>
    <s v="Хашури"/>
    <s v="(33) დაბა სურამი, გრიგოლ სურამელის ქუჩის რეაბილიტაცია (P.3.935)"/>
    <x v="12"/>
    <n v="4371.5"/>
    <n v="2"/>
    <n v="4371.5"/>
    <m/>
    <n v="4371.5"/>
    <n v="0"/>
    <n v="0"/>
    <m/>
    <n v="0"/>
    <n v="0"/>
    <m/>
    <s v="P.3.935"/>
    <n v="0"/>
    <n v="0"/>
    <m/>
    <m/>
    <m/>
    <m/>
    <m/>
    <m/>
    <m/>
    <m/>
    <m/>
    <m/>
    <m/>
    <m/>
    <m/>
    <m/>
    <m/>
    <m/>
    <m/>
    <m/>
    <m/>
    <m/>
    <m/>
    <m/>
    <m/>
    <m/>
    <m/>
    <n v="0"/>
    <n v="0"/>
    <n v="0"/>
    <n v="0"/>
    <n v="0"/>
    <n v="0"/>
    <m/>
    <m/>
    <m/>
    <m/>
    <m/>
    <m/>
    <m/>
    <m/>
    <s v="Проектирование"/>
    <d v="2024-12-16T00:00:00"/>
    <s v="ПриПро"/>
    <s v="SGG"/>
    <d v="2024-01-09T00:00:00"/>
    <s v="BSG-240109-1/0(33)"/>
    <m/>
    <m/>
    <s v="No"/>
  </r>
  <r>
    <n v="2314"/>
    <s v="Шида Картли"/>
    <s v="Хашури"/>
    <s v="(34) დაბა სურამი, გრიგოლ სურამელის ქუჩის რეაბილიტაცია (P.3.935)"/>
    <x v="5"/>
    <n v="100000"/>
    <n v="2"/>
    <m/>
    <m/>
    <m/>
    <n v="100000"/>
    <n v="0"/>
    <m/>
    <n v="100000"/>
    <n v="1"/>
    <m/>
    <s v="P.3.935"/>
    <n v="0"/>
    <n v="0"/>
    <m/>
    <m/>
    <m/>
    <m/>
    <m/>
    <m/>
    <m/>
    <m/>
    <m/>
    <m/>
    <m/>
    <m/>
    <m/>
    <m/>
    <m/>
    <m/>
    <m/>
    <m/>
    <m/>
    <m/>
    <m/>
    <m/>
    <m/>
    <m/>
    <m/>
    <n v="0"/>
    <n v="0"/>
    <n v="0"/>
    <n v="0"/>
    <n v="0"/>
    <n v="0"/>
    <m/>
    <m/>
    <m/>
    <m/>
    <m/>
    <m/>
    <m/>
    <m/>
    <s v="Реаб."/>
    <m/>
    <n v="0"/>
    <s v="SGG"/>
    <d v="2024-01-09T00:00:00"/>
    <s v="BSG-240109-1/0(34)"/>
    <m/>
    <m/>
    <s v="Yes"/>
  </r>
  <r>
    <n v="2315"/>
    <s v="Шида Картли"/>
    <s v="Хашури"/>
    <s v="(35) დაბა სურამი, კიკვიძის ქუჩის რეაბილიტაცია (P.3.936)"/>
    <x v="12"/>
    <n v="0"/>
    <n v="2"/>
    <m/>
    <m/>
    <m/>
    <n v="0"/>
    <n v="0"/>
    <m/>
    <n v="0"/>
    <n v="2"/>
    <m/>
    <s v="P.3.936"/>
    <n v="0"/>
    <n v="0"/>
    <m/>
    <m/>
    <m/>
    <m/>
    <m/>
    <m/>
    <m/>
    <m/>
    <m/>
    <m/>
    <m/>
    <m/>
    <m/>
    <m/>
    <m/>
    <m/>
    <m/>
    <m/>
    <m/>
    <m/>
    <m/>
    <m/>
    <m/>
    <m/>
    <m/>
    <n v="0"/>
    <n v="0"/>
    <n v="0"/>
    <n v="0"/>
    <n v="0"/>
    <n v="0"/>
    <m/>
    <m/>
    <m/>
    <m/>
    <m/>
    <m/>
    <m/>
    <m/>
    <s v="Проектирование"/>
    <m/>
    <n v="0"/>
    <s v="SGG"/>
    <d v="2024-01-09T00:00:00"/>
    <s v="BSG-240109-1/0(35)"/>
    <m/>
    <m/>
    <s v="No"/>
  </r>
  <r>
    <n v="2316"/>
    <s v="Шида Картли"/>
    <s v="Хашури"/>
    <s v="(36) დაბა სურამი, კიკვიძის ქუჩის რეაბილიტაცია (P.3.936)"/>
    <x v="5"/>
    <n v="70000"/>
    <n v="2"/>
    <m/>
    <m/>
    <m/>
    <n v="70000"/>
    <n v="0"/>
    <m/>
    <n v="70000"/>
    <n v="1"/>
    <m/>
    <s v="P.3.936"/>
    <n v="0"/>
    <n v="0"/>
    <m/>
    <m/>
    <m/>
    <m/>
    <m/>
    <m/>
    <m/>
    <m/>
    <m/>
    <m/>
    <m/>
    <m/>
    <m/>
    <m/>
    <m/>
    <m/>
    <m/>
    <m/>
    <m/>
    <m/>
    <m/>
    <m/>
    <m/>
    <m/>
    <m/>
    <n v="0"/>
    <n v="0"/>
    <n v="0"/>
    <n v="0"/>
    <n v="0"/>
    <n v="0"/>
    <m/>
    <m/>
    <m/>
    <m/>
    <m/>
    <m/>
    <m/>
    <m/>
    <s v="Реаб."/>
    <m/>
    <n v="0"/>
    <s v="SGG"/>
    <d v="2024-01-09T00:00:00"/>
    <s v="BSG-240109-1/0(36)"/>
    <m/>
    <m/>
    <s v="Yes"/>
  </r>
  <r>
    <n v="2317"/>
    <s v="Мцхета-Мтианети"/>
    <s v="Мцхета"/>
    <s v="(37) სოფელ ქსოვრისში ქსელის რეაბილიტაცია (P.3.949)"/>
    <x v="12"/>
    <n v="5556.25"/>
    <n v="2"/>
    <n v="5556.25"/>
    <m/>
    <n v="847.56"/>
    <n v="4708.6900000000005"/>
    <n v="4708.6900000000005"/>
    <m/>
    <n v="4708.6900000000005"/>
    <n v="2"/>
    <m/>
    <s v="P.3.949"/>
    <n v="5556.25"/>
    <n v="847.56"/>
    <n v="5556.25"/>
    <m/>
    <m/>
    <n v="847.56"/>
    <m/>
    <m/>
    <m/>
    <m/>
    <m/>
    <m/>
    <m/>
    <m/>
    <m/>
    <m/>
    <m/>
    <m/>
    <m/>
    <m/>
    <m/>
    <m/>
    <m/>
    <m/>
    <m/>
    <m/>
    <m/>
    <n v="0"/>
    <n v="0"/>
    <n v="0"/>
    <n v="0"/>
    <n v="0"/>
    <n v="0"/>
    <m/>
    <m/>
    <m/>
    <m/>
    <m/>
    <m/>
    <m/>
    <m/>
    <s v="Проектирование"/>
    <d v="2025-01-06T00:00:00"/>
    <s v="ПриПро"/>
    <s v="SGG"/>
    <d v="2024-01-09T00:00:00"/>
    <s v="BSG-240109-1/0(37)"/>
    <m/>
    <m/>
    <s v="No"/>
  </r>
  <r>
    <n v="2318"/>
    <s v="Мцхета-Мтианети"/>
    <s v="Мцхета"/>
    <s v="(38) სოფელ ქსოვრისში ქსელის რეაბილიტაცია (P.3.949)"/>
    <x v="5"/>
    <n v="169502"/>
    <s v="აკლასნიკური განფასებით"/>
    <n v="169000"/>
    <m/>
    <n v="25779.66"/>
    <n v="143722.34"/>
    <n v="143220.34"/>
    <m/>
    <n v="143722.34"/>
    <n v="1"/>
    <m/>
    <s v="P.3.949"/>
    <n v="169000"/>
    <n v="25779.66"/>
    <m/>
    <m/>
    <m/>
    <m/>
    <n v="169000"/>
    <m/>
    <m/>
    <n v="25779.66"/>
    <m/>
    <m/>
    <m/>
    <m/>
    <m/>
    <m/>
    <m/>
    <m/>
    <m/>
    <m/>
    <m/>
    <m/>
    <m/>
    <m/>
    <m/>
    <m/>
    <m/>
    <n v="0"/>
    <n v="0"/>
    <n v="0"/>
    <n v="0"/>
    <n v="0"/>
    <n v="0"/>
    <m/>
    <m/>
    <m/>
    <m/>
    <m/>
    <m/>
    <m/>
    <m/>
    <s v="Реаб."/>
    <m/>
    <n v="0"/>
    <s v="SGG"/>
    <d v="2024-01-09T00:00:00"/>
    <s v="BSG-240109-1/0(38)"/>
    <m/>
    <m/>
    <s v="Yes"/>
  </r>
  <r>
    <n v="2319"/>
    <s v="Мцхета-Мтианети"/>
    <s v="Мцхета"/>
    <s v="(39) სოფ. მუხრანის ბაზრის უბნის არსებული გაზსადენის გამოტანა რეაბილიტაცია (P.3.59)"/>
    <x v="12"/>
    <n v="4919.25"/>
    <n v="2"/>
    <n v="4919.25"/>
    <m/>
    <n v="4919.25"/>
    <n v="0"/>
    <n v="0"/>
    <m/>
    <n v="0"/>
    <n v="0"/>
    <m/>
    <s v="P.3.59"/>
    <n v="0"/>
    <n v="0"/>
    <m/>
    <m/>
    <m/>
    <m/>
    <m/>
    <m/>
    <m/>
    <m/>
    <m/>
    <m/>
    <m/>
    <m/>
    <m/>
    <m/>
    <m/>
    <m/>
    <m/>
    <m/>
    <m/>
    <m/>
    <m/>
    <m/>
    <m/>
    <m/>
    <m/>
    <n v="0"/>
    <n v="0"/>
    <n v="0"/>
    <n v="0"/>
    <n v="0"/>
    <n v="0"/>
    <m/>
    <m/>
    <m/>
    <m/>
    <m/>
    <m/>
    <m/>
    <m/>
    <s v="Проектирование"/>
    <d v="2024-11-01T00:00:00"/>
    <s v="ПриПро"/>
    <s v="SGG"/>
    <d v="2024-01-09T00:00:00"/>
    <s v="BSG-240109-1/0(39)"/>
    <m/>
    <m/>
    <s v="No"/>
  </r>
  <r>
    <n v="2320"/>
    <s v="Мцхета-Мтианети"/>
    <s v="Мцхета"/>
    <s v="(40) სოფ. მუხრანის ბაზრის უბნის არსებული გაზსადენის გამოტანა რეაბილიტაცია (P.3.59)"/>
    <x v="5"/>
    <n v="55000"/>
    <n v="2"/>
    <n v="140000"/>
    <m/>
    <n v="21355.93"/>
    <n v="33644.07"/>
    <n v="118644.07"/>
    <m/>
    <n v="33644.07"/>
    <n v="1"/>
    <m/>
    <s v="P.3.59"/>
    <n v="140000"/>
    <n v="21355.93"/>
    <m/>
    <m/>
    <n v="140000"/>
    <m/>
    <m/>
    <n v="21355.93"/>
    <m/>
    <m/>
    <m/>
    <m/>
    <m/>
    <m/>
    <m/>
    <m/>
    <m/>
    <m/>
    <m/>
    <m/>
    <m/>
    <m/>
    <m/>
    <m/>
    <m/>
    <m/>
    <m/>
    <n v="0"/>
    <n v="0"/>
    <n v="0"/>
    <n v="0"/>
    <n v="0"/>
    <n v="0"/>
    <m/>
    <m/>
    <m/>
    <m/>
    <m/>
    <m/>
    <m/>
    <m/>
    <s v="Реаб."/>
    <m/>
    <n v="80"/>
    <s v="SGG"/>
    <d v="2024-01-09T00:00:00"/>
    <s v="BSG-240109-1/0(40)"/>
    <m/>
    <m/>
    <s v="Yes"/>
  </r>
  <r>
    <n v="2321"/>
    <s v="Мцхета-Мтианети"/>
    <s v="Душети"/>
    <s v="(41) სოფ. ციხისძირის საშუალო წნევის გაზსადენის რეაბილიტაცია (P.3.69)"/>
    <x v="12"/>
    <n v="1211"/>
    <n v="2"/>
    <n v="1211"/>
    <m/>
    <n v="184.73"/>
    <n v="1026.27"/>
    <n v="1026.27"/>
    <m/>
    <n v="1026.27"/>
    <n v="2"/>
    <m/>
    <s v="P.3.69"/>
    <n v="1211"/>
    <n v="184.73"/>
    <n v="1211"/>
    <m/>
    <m/>
    <n v="184.73"/>
    <m/>
    <m/>
    <m/>
    <m/>
    <m/>
    <m/>
    <m/>
    <m/>
    <m/>
    <m/>
    <m/>
    <m/>
    <m/>
    <m/>
    <m/>
    <m/>
    <m/>
    <m/>
    <m/>
    <m/>
    <m/>
    <n v="0"/>
    <n v="0"/>
    <n v="0"/>
    <n v="0"/>
    <n v="0"/>
    <n v="0"/>
    <m/>
    <m/>
    <m/>
    <m/>
    <m/>
    <m/>
    <m/>
    <m/>
    <s v="Проектирование"/>
    <d v="2025-01-06T00:00:00"/>
    <s v="ПриПро"/>
    <s v="SGG"/>
    <d v="2024-01-09T00:00:00"/>
    <s v="BSG-240109-1/0(41)"/>
    <m/>
    <m/>
    <s v="No"/>
  </r>
  <r>
    <n v="2322"/>
    <s v="Мцхета-Мтианети"/>
    <s v="Душети"/>
    <s v="(42) სოფ. ციხისძირის საშუალო წნევის გაზსადენის რეაბილიტაცია (P.3.69)"/>
    <x v="5"/>
    <n v="29410"/>
    <s v="აკლასნიკური განფასებით"/>
    <n v="29000"/>
    <m/>
    <n v="4423.7299999999996"/>
    <n v="24986.27"/>
    <n v="24576.27"/>
    <m/>
    <n v="24986.27"/>
    <n v="1"/>
    <m/>
    <s v="P.3.69"/>
    <n v="29000"/>
    <n v="4423.7299999999996"/>
    <m/>
    <m/>
    <m/>
    <m/>
    <n v="29000"/>
    <m/>
    <m/>
    <n v="4423.7299999999996"/>
    <m/>
    <m/>
    <m/>
    <m/>
    <m/>
    <m/>
    <m/>
    <m/>
    <m/>
    <m/>
    <m/>
    <m/>
    <m/>
    <m/>
    <m/>
    <m/>
    <m/>
    <n v="0"/>
    <n v="0"/>
    <n v="0"/>
    <n v="0"/>
    <n v="0"/>
    <n v="0"/>
    <m/>
    <m/>
    <m/>
    <m/>
    <m/>
    <m/>
    <m/>
    <m/>
    <s v="Реаб."/>
    <m/>
    <n v="0"/>
    <s v="SGG"/>
    <d v="2024-01-09T00:00:00"/>
    <s v="BSG-240109-1/0(42)"/>
    <m/>
    <m/>
    <s v="Yes"/>
  </r>
  <r>
    <n v="2323"/>
    <s v="Шида Картли"/>
    <s v="Карели"/>
    <s v="(43) დაბა აგარაში ჩოლოყაშვილის და მესხის ქუჩებზე და ქარელში ცაბაძის და რუხაძის ქუჩებზე არსებულ კორპუსებში მრიცხველების ჩამოწევა (P.3.145)"/>
    <x v="12"/>
    <n v="0"/>
    <n v="2"/>
    <m/>
    <m/>
    <n v="0"/>
    <n v="0"/>
    <n v="0"/>
    <m/>
    <n v="0"/>
    <n v="2"/>
    <m/>
    <s v="P.3.145"/>
    <n v="0"/>
    <n v="0"/>
    <m/>
    <m/>
    <m/>
    <m/>
    <m/>
    <m/>
    <m/>
    <m/>
    <m/>
    <m/>
    <m/>
    <m/>
    <m/>
    <m/>
    <m/>
    <m/>
    <m/>
    <m/>
    <m/>
    <m/>
    <m/>
    <m/>
    <m/>
    <m/>
    <m/>
    <n v="0"/>
    <n v="0"/>
    <n v="0"/>
    <n v="0"/>
    <n v="0"/>
    <n v="0"/>
    <m/>
    <m/>
    <m/>
    <m/>
    <m/>
    <m/>
    <m/>
    <m/>
    <s v="Проектирование"/>
    <m/>
    <n v="0"/>
    <s v="SGG"/>
    <d v="2024-01-09T00:00:00"/>
    <s v="BSG-240109-1/0(43)"/>
    <m/>
    <m/>
    <s v="No"/>
  </r>
  <r>
    <n v="2324"/>
    <s v="Шида Картли"/>
    <s v="Карели"/>
    <s v="(44) დაბა აგარაში ჩოლოყაშვილის და მესხის ქუჩებზე და ქარელში ცაბაძის და რუხაძის ქუჩებზე არსებულ კორპუსებში მრიცხველების ჩამოწევა (P.3.145)"/>
    <x v="5"/>
    <n v="50000"/>
    <n v="2"/>
    <n v="30000"/>
    <m/>
    <n v="4576.2700000000004"/>
    <n v="45423.729999999996"/>
    <n v="25423.73"/>
    <m/>
    <n v="45423.729999999996"/>
    <n v="1"/>
    <m/>
    <s v="P.3.145"/>
    <n v="30000"/>
    <n v="4576.2700000000004"/>
    <m/>
    <m/>
    <m/>
    <m/>
    <n v="30000"/>
    <m/>
    <m/>
    <n v="4576.2700000000004"/>
    <m/>
    <m/>
    <m/>
    <m/>
    <m/>
    <m/>
    <m/>
    <m/>
    <m/>
    <m/>
    <m/>
    <m/>
    <m/>
    <m/>
    <m/>
    <m/>
    <m/>
    <n v="0"/>
    <n v="0"/>
    <n v="0"/>
    <n v="0"/>
    <n v="0"/>
    <n v="0"/>
    <m/>
    <m/>
    <m/>
    <m/>
    <m/>
    <m/>
    <m/>
    <m/>
    <s v="Реаб."/>
    <m/>
    <n v="0"/>
    <s v="SGG"/>
    <d v="2024-01-09T00:00:00"/>
    <s v="BSG-240109-1/0(44)"/>
    <m/>
    <m/>
    <s v="Yes"/>
  </r>
  <r>
    <n v="2325"/>
    <s v="Мцхета-Мтианети"/>
    <s v="Мцхета"/>
    <s v="(45) მცხეთა წერეთლის ქუჩა გამოსატანი მრიცხველები 5. გამოსატანი გაზსადენი კერძო ტერიტორიიდან დ=50 მმ L=500 მ (P.3.658)"/>
    <x v="12"/>
    <n v="648.375"/>
    <n v="2"/>
    <n v="648.375"/>
    <m/>
    <n v="648.37"/>
    <n v="4.9999999999954525E-3"/>
    <n v="4.9999999999954525E-3"/>
    <m/>
    <n v="4.9999999999954525E-3"/>
    <n v="0"/>
    <m/>
    <s v="P.3.658"/>
    <n v="0"/>
    <n v="0"/>
    <m/>
    <m/>
    <m/>
    <m/>
    <m/>
    <m/>
    <m/>
    <m/>
    <m/>
    <m/>
    <m/>
    <m/>
    <m/>
    <m/>
    <m/>
    <m/>
    <m/>
    <m/>
    <m/>
    <m/>
    <m/>
    <m/>
    <m/>
    <m/>
    <m/>
    <n v="0"/>
    <n v="0"/>
    <n v="0"/>
    <n v="0"/>
    <n v="0"/>
    <n v="0"/>
    <m/>
    <m/>
    <m/>
    <m/>
    <m/>
    <m/>
    <m/>
    <m/>
    <s v="Проектирование"/>
    <d v="2024-12-16T00:00:00"/>
    <s v="ПриПро"/>
    <s v="SGG"/>
    <d v="2024-01-09T00:00:00"/>
    <s v="BSG-240109-1/0(45)"/>
    <m/>
    <m/>
    <s v="No"/>
  </r>
  <r>
    <n v="2326"/>
    <s v="Мцхета-Мтианети"/>
    <s v="Мцхета"/>
    <s v="(46) მცხეთა წერეთლის ქუჩა გამოსატანი მრიცხველები 5. გამოსატანი გაზსადენი კერძო ტერიტორიიდან დ=50 მმ L=500 მ (P.3.658)"/>
    <x v="5"/>
    <n v="40000"/>
    <n v="2"/>
    <m/>
    <m/>
    <m/>
    <n v="40000"/>
    <n v="0"/>
    <m/>
    <n v="40000"/>
    <n v="1"/>
    <m/>
    <s v="P.3.658"/>
    <n v="0"/>
    <n v="0"/>
    <m/>
    <m/>
    <m/>
    <m/>
    <m/>
    <m/>
    <m/>
    <m/>
    <m/>
    <m/>
    <m/>
    <m/>
    <m/>
    <m/>
    <m/>
    <m/>
    <m/>
    <m/>
    <m/>
    <m/>
    <m/>
    <m/>
    <m/>
    <m/>
    <m/>
    <n v="0"/>
    <n v="0"/>
    <n v="0"/>
    <n v="0"/>
    <n v="0"/>
    <n v="0"/>
    <m/>
    <m/>
    <m/>
    <m/>
    <m/>
    <m/>
    <m/>
    <m/>
    <s v="Реаб."/>
    <m/>
    <n v="0"/>
    <s v="SGG"/>
    <d v="2024-01-09T00:00:00"/>
    <s v="BSG-240109-1/0(46)"/>
    <m/>
    <m/>
    <s v="Yes"/>
  </r>
  <r>
    <n v="2327"/>
    <s v="Шида Картли"/>
    <s v="Хашури"/>
    <s v="(47) დაბა სურამი მშვიდობის ქუჩის რეაბილიტაცია (P.3.941)"/>
    <x v="12"/>
    <n v="2602.25"/>
    <n v="2"/>
    <n v="2602.25"/>
    <m/>
    <n v="396.95"/>
    <n v="2205.3000000000002"/>
    <n v="2205.3000000000002"/>
    <m/>
    <n v="2205.3000000000002"/>
    <n v="2"/>
    <m/>
    <s v="P.3.941"/>
    <n v="2602.25"/>
    <n v="396.95"/>
    <n v="2602.25"/>
    <m/>
    <m/>
    <n v="396.95"/>
    <m/>
    <m/>
    <m/>
    <m/>
    <m/>
    <m/>
    <m/>
    <m/>
    <m/>
    <m/>
    <m/>
    <m/>
    <m/>
    <m/>
    <m/>
    <m/>
    <m/>
    <m/>
    <m/>
    <m/>
    <m/>
    <n v="0"/>
    <n v="0"/>
    <n v="0"/>
    <n v="0"/>
    <n v="0"/>
    <n v="0"/>
    <m/>
    <m/>
    <m/>
    <m/>
    <m/>
    <m/>
    <m/>
    <m/>
    <s v="Проектирование"/>
    <d v="2025-01-06T00:00:00"/>
    <s v="ПриПро"/>
    <s v="SGG"/>
    <d v="2024-01-09T00:00:00"/>
    <s v="BSG-240109-1/0(47)"/>
    <m/>
    <m/>
    <s v="No"/>
  </r>
  <r>
    <n v="2328"/>
    <s v="Шида Картли"/>
    <s v="Хашури"/>
    <s v="(48) დაბა სურამი მშვიდობის ქუჩის რეაბილიტაცია (P.3.941)"/>
    <x v="5"/>
    <n v="176015"/>
    <s v="აკლასნიკური განფასებით"/>
    <m/>
    <m/>
    <m/>
    <n v="176015"/>
    <n v="0"/>
    <m/>
    <n v="176015"/>
    <n v="1"/>
    <m/>
    <s v="P.3.941"/>
    <n v="0"/>
    <n v="0"/>
    <m/>
    <m/>
    <m/>
    <m/>
    <m/>
    <m/>
    <m/>
    <m/>
    <m/>
    <m/>
    <m/>
    <m/>
    <m/>
    <m/>
    <m/>
    <m/>
    <m/>
    <m/>
    <m/>
    <m/>
    <m/>
    <m/>
    <m/>
    <m/>
    <m/>
    <n v="0"/>
    <n v="0"/>
    <n v="0"/>
    <n v="0"/>
    <n v="0"/>
    <n v="0"/>
    <m/>
    <m/>
    <m/>
    <m/>
    <m/>
    <m/>
    <m/>
    <m/>
    <s v="Реаб."/>
    <m/>
    <n v="0"/>
    <s v="SGG"/>
    <d v="2024-01-09T00:00:00"/>
    <s v="BSG-240109-1/0(48)"/>
    <m/>
    <m/>
    <s v="Yes"/>
  </r>
  <r>
    <n v="2329"/>
    <s v="Мцхета-Мтианети"/>
    <s v="Мцхета"/>
    <s v="(49) ქ. მცხეთა საშუალო წნევის ამორტიზირებული გაზსადენის რეაბილიტაცია რუსთაველის ქუჩა (P.3.111)"/>
    <x v="12"/>
    <n v="633.5"/>
    <n v="2"/>
    <n v="633.5"/>
    <m/>
    <n v="633.5"/>
    <n v="0"/>
    <n v="0"/>
    <m/>
    <n v="0"/>
    <n v="0"/>
    <m/>
    <s v="P.3.111"/>
    <n v="0"/>
    <n v="0"/>
    <m/>
    <m/>
    <m/>
    <m/>
    <m/>
    <m/>
    <m/>
    <m/>
    <m/>
    <m/>
    <m/>
    <m/>
    <m/>
    <m/>
    <m/>
    <m/>
    <m/>
    <m/>
    <m/>
    <m/>
    <m/>
    <m/>
    <m/>
    <m/>
    <m/>
    <n v="0"/>
    <n v="0"/>
    <n v="0"/>
    <n v="0"/>
    <n v="0"/>
    <n v="0"/>
    <m/>
    <m/>
    <m/>
    <m/>
    <m/>
    <m/>
    <m/>
    <m/>
    <s v="Проектирование"/>
    <d v="2024-12-16T00:00:00"/>
    <s v="ПриПро"/>
    <s v="SGG"/>
    <d v="2024-01-09T00:00:00"/>
    <s v="BSG-240109-1/0(49)"/>
    <m/>
    <m/>
    <s v="No"/>
  </r>
  <r>
    <n v="2330"/>
    <s v="Мцхета-Мтианети"/>
    <s v="Мцхета"/>
    <s v="(50) ქ. მცხეთა საშუალო წნევის ამორტიზირებული გაზსადენის რეაბილიტაცია რუსთაველის ქუჩა (P.3.111)"/>
    <x v="5"/>
    <n v="30000"/>
    <n v="2"/>
    <m/>
    <m/>
    <m/>
    <n v="30000"/>
    <n v="0"/>
    <m/>
    <n v="30000"/>
    <n v="1"/>
    <m/>
    <s v="P.3.111"/>
    <n v="0"/>
    <n v="0"/>
    <m/>
    <m/>
    <m/>
    <m/>
    <m/>
    <m/>
    <m/>
    <m/>
    <m/>
    <m/>
    <m/>
    <m/>
    <m/>
    <m/>
    <m/>
    <m/>
    <m/>
    <m/>
    <m/>
    <m/>
    <m/>
    <m/>
    <m/>
    <m/>
    <m/>
    <n v="0"/>
    <n v="0"/>
    <n v="0"/>
    <n v="0"/>
    <n v="0"/>
    <n v="0"/>
    <m/>
    <m/>
    <m/>
    <m/>
    <m/>
    <m/>
    <m/>
    <m/>
    <s v="Реаб."/>
    <m/>
    <n v="0"/>
    <s v="SGG"/>
    <d v="2024-01-09T00:00:00"/>
    <s v="BSG-240109-1/0(50)"/>
    <m/>
    <m/>
    <s v="Yes"/>
  </r>
  <r>
    <n v="2331"/>
    <s v="Мцхета-Мтианети"/>
    <s v="Душети"/>
    <s v="(51) მრიცხველების გამოტანა სოფ. სეთურები (P.3.631)"/>
    <x v="12"/>
    <n v="0"/>
    <n v="2"/>
    <m/>
    <m/>
    <m/>
    <n v="0"/>
    <n v="0"/>
    <m/>
    <n v="0"/>
    <n v="2"/>
    <m/>
    <s v="P.3.631"/>
    <n v="0"/>
    <n v="0"/>
    <m/>
    <m/>
    <m/>
    <m/>
    <m/>
    <m/>
    <m/>
    <m/>
    <m/>
    <m/>
    <m/>
    <m/>
    <m/>
    <m/>
    <m/>
    <m/>
    <m/>
    <m/>
    <m/>
    <m/>
    <m/>
    <m/>
    <m/>
    <m/>
    <m/>
    <n v="0"/>
    <n v="0"/>
    <n v="0"/>
    <n v="0"/>
    <n v="0"/>
    <n v="0"/>
    <m/>
    <m/>
    <m/>
    <m/>
    <m/>
    <m/>
    <m/>
    <m/>
    <s v="Проектирование"/>
    <m/>
    <n v="0"/>
    <s v="SGG"/>
    <d v="2024-01-09T00:00:00"/>
    <s v="BSG-240109-1/0(51)"/>
    <m/>
    <m/>
    <s v="No"/>
  </r>
  <r>
    <n v="2332"/>
    <s v="Мцхета-Мтианети"/>
    <s v="Душети"/>
    <s v="(52) მრიცხველების გამოტანა სოფ. სეთურები (P.3.631)"/>
    <x v="5"/>
    <n v="25000"/>
    <n v="2"/>
    <m/>
    <m/>
    <m/>
    <n v="25000"/>
    <n v="0"/>
    <m/>
    <n v="25000"/>
    <n v="1"/>
    <m/>
    <s v="P.3.631"/>
    <n v="0"/>
    <n v="0"/>
    <m/>
    <m/>
    <m/>
    <m/>
    <m/>
    <m/>
    <m/>
    <m/>
    <m/>
    <m/>
    <m/>
    <m/>
    <m/>
    <m/>
    <m/>
    <m/>
    <m/>
    <m/>
    <m/>
    <m/>
    <m/>
    <m/>
    <m/>
    <m/>
    <m/>
    <n v="0"/>
    <n v="0"/>
    <n v="0"/>
    <n v="0"/>
    <n v="0"/>
    <n v="0"/>
    <m/>
    <m/>
    <m/>
    <m/>
    <m/>
    <m/>
    <m/>
    <m/>
    <s v="Реаб."/>
    <m/>
    <n v="0"/>
    <s v="SGG"/>
    <d v="2024-01-09T00:00:00"/>
    <s v="BSG-240109-1/0(52)"/>
    <m/>
    <m/>
    <s v="Yes"/>
  </r>
  <r>
    <n v="2333"/>
    <s v="Мцхета-Мтианети"/>
    <s v="Душети"/>
    <s v="(53) მრიცხველების გამოტანა სოფ. ზაქათკარი (P.3.633)"/>
    <x v="12"/>
    <n v="0"/>
    <n v="2"/>
    <m/>
    <m/>
    <m/>
    <n v="0"/>
    <n v="0"/>
    <m/>
    <n v="0"/>
    <n v="2"/>
    <m/>
    <s v="P.3.633"/>
    <n v="0"/>
    <n v="0"/>
    <m/>
    <m/>
    <m/>
    <m/>
    <m/>
    <m/>
    <m/>
    <m/>
    <m/>
    <m/>
    <m/>
    <m/>
    <m/>
    <m/>
    <m/>
    <m/>
    <m/>
    <m/>
    <m/>
    <m/>
    <m/>
    <m/>
    <m/>
    <m/>
    <m/>
    <n v="0"/>
    <n v="0"/>
    <n v="0"/>
    <n v="0"/>
    <n v="0"/>
    <n v="0"/>
    <m/>
    <m/>
    <m/>
    <m/>
    <m/>
    <m/>
    <m/>
    <m/>
    <s v="Проектирование"/>
    <m/>
    <n v="0"/>
    <s v="SGG"/>
    <d v="2024-01-09T00:00:00"/>
    <s v="BSG-240109-1/0(53)"/>
    <m/>
    <m/>
    <s v="No"/>
  </r>
  <r>
    <n v="2334"/>
    <s v="Мцхета-Мтианети"/>
    <s v="Душети"/>
    <s v="(54) მრიცხველების გამოტანა სოფ. ზაქათკარი (P.3.633)"/>
    <x v="5"/>
    <n v="20000"/>
    <n v="2"/>
    <m/>
    <m/>
    <m/>
    <n v="20000"/>
    <n v="0"/>
    <m/>
    <n v="20000"/>
    <n v="1"/>
    <m/>
    <s v="P.3.633"/>
    <n v="0"/>
    <n v="0"/>
    <m/>
    <m/>
    <m/>
    <m/>
    <m/>
    <m/>
    <m/>
    <m/>
    <m/>
    <m/>
    <m/>
    <m/>
    <m/>
    <m/>
    <m/>
    <m/>
    <m/>
    <m/>
    <m/>
    <m/>
    <m/>
    <m/>
    <m/>
    <m/>
    <m/>
    <n v="0"/>
    <n v="0"/>
    <n v="0"/>
    <n v="0"/>
    <n v="0"/>
    <n v="0"/>
    <m/>
    <m/>
    <m/>
    <m/>
    <m/>
    <m/>
    <m/>
    <m/>
    <s v="Реаб."/>
    <m/>
    <n v="0"/>
    <s v="SGG"/>
    <d v="2024-01-09T00:00:00"/>
    <s v="BSG-240109-1/0(54)"/>
    <m/>
    <m/>
    <s v="Yes"/>
  </r>
  <r>
    <n v="2335"/>
    <s v="Мцхета-Мтианети"/>
    <s v="Душети"/>
    <s v="(55) მრიცველების გამოტანა სოფ. ჯაღმიანი (P.3.632)"/>
    <x v="12"/>
    <n v="0"/>
    <n v="2"/>
    <m/>
    <m/>
    <m/>
    <n v="0"/>
    <n v="0"/>
    <m/>
    <n v="0"/>
    <n v="2"/>
    <m/>
    <s v="P.3.632"/>
    <n v="0"/>
    <n v="0"/>
    <m/>
    <m/>
    <m/>
    <m/>
    <m/>
    <m/>
    <m/>
    <m/>
    <m/>
    <m/>
    <m/>
    <m/>
    <m/>
    <m/>
    <m/>
    <m/>
    <m/>
    <m/>
    <m/>
    <m/>
    <m/>
    <m/>
    <m/>
    <m/>
    <m/>
    <n v="0"/>
    <n v="0"/>
    <n v="0"/>
    <n v="0"/>
    <n v="0"/>
    <n v="0"/>
    <m/>
    <m/>
    <m/>
    <m/>
    <m/>
    <m/>
    <m/>
    <m/>
    <s v="Проектирование"/>
    <m/>
    <n v="0"/>
    <s v="SGG"/>
    <d v="2024-01-09T00:00:00"/>
    <s v="BSG-240109-1/0(55)"/>
    <m/>
    <m/>
    <s v="No"/>
  </r>
  <r>
    <n v="2336"/>
    <s v="Мцхета-Мтианети"/>
    <s v="Душети"/>
    <s v="(56) მრიცველების გამოტანა სოფ. ჯაღმიანი (P.3.632)"/>
    <x v="5"/>
    <n v="20000"/>
    <n v="2"/>
    <m/>
    <m/>
    <m/>
    <n v="20000"/>
    <n v="0"/>
    <m/>
    <n v="20000"/>
    <n v="1"/>
    <m/>
    <s v="P.3.632"/>
    <n v="0"/>
    <n v="0"/>
    <m/>
    <m/>
    <m/>
    <m/>
    <m/>
    <m/>
    <m/>
    <m/>
    <m/>
    <m/>
    <m/>
    <m/>
    <m/>
    <m/>
    <m/>
    <m/>
    <m/>
    <m/>
    <m/>
    <m/>
    <m/>
    <m/>
    <m/>
    <m/>
    <m/>
    <n v="0"/>
    <n v="0"/>
    <n v="0"/>
    <n v="0"/>
    <n v="0"/>
    <n v="0"/>
    <m/>
    <m/>
    <m/>
    <m/>
    <m/>
    <m/>
    <m/>
    <m/>
    <s v="Реаб."/>
    <m/>
    <n v="0"/>
    <s v="SGG"/>
    <d v="2024-01-09T00:00:00"/>
    <s v="BSG-240109-1/0(56)"/>
    <m/>
    <m/>
    <s v="Yes"/>
  </r>
  <r>
    <n v="2337"/>
    <s v="Мцхета-Мтианети"/>
    <s v="Мцхета"/>
    <s v="(57) სვეტიცხოვლის უბნის რეაბილიტაცია (P.3.953)"/>
    <x v="12"/>
    <n v="1723.75"/>
    <n v="2"/>
    <n v="1723.75"/>
    <m/>
    <n v="1723.75"/>
    <n v="0"/>
    <n v="0"/>
    <m/>
    <n v="0"/>
    <n v="0"/>
    <m/>
    <s v="P.3.953"/>
    <n v="0"/>
    <n v="0"/>
    <m/>
    <m/>
    <m/>
    <m/>
    <m/>
    <m/>
    <m/>
    <m/>
    <m/>
    <m/>
    <m/>
    <m/>
    <m/>
    <m/>
    <m/>
    <m/>
    <m/>
    <m/>
    <m/>
    <m/>
    <m/>
    <m/>
    <m/>
    <m/>
    <m/>
    <n v="0"/>
    <n v="0"/>
    <n v="0"/>
    <n v="0"/>
    <n v="0"/>
    <n v="0"/>
    <m/>
    <m/>
    <m/>
    <m/>
    <m/>
    <m/>
    <m/>
    <m/>
    <s v="Проектирование"/>
    <d v="2024-09-02T00:00:00"/>
    <s v="ПриПро"/>
    <s v="SGG"/>
    <d v="2024-01-09T00:00:00"/>
    <s v="BSG-240109-1/0(57)"/>
    <m/>
    <m/>
    <s v="No"/>
  </r>
  <r>
    <n v="2338"/>
    <s v="Мцхета-Мтианети"/>
    <s v="Мцхета"/>
    <s v="(58) სვეტიცხოვლის უბნის რეაბილიტაცია (P.3.953)"/>
    <x v="5"/>
    <n v="25000"/>
    <n v="2"/>
    <n v="64150.75"/>
    <n v="64150.75"/>
    <n v="64150.75"/>
    <n v="-39150.75"/>
    <n v="0"/>
    <n v="554"/>
    <n v="0"/>
    <n v="0"/>
    <m/>
    <s v="P.3.953"/>
    <n v="0"/>
    <n v="0"/>
    <m/>
    <m/>
    <m/>
    <m/>
    <m/>
    <m/>
    <m/>
    <m/>
    <m/>
    <m/>
    <m/>
    <m/>
    <m/>
    <m/>
    <m/>
    <m/>
    <m/>
    <m/>
    <m/>
    <m/>
    <m/>
    <m/>
    <m/>
    <m/>
    <m/>
    <n v="0"/>
    <n v="0"/>
    <n v="0"/>
    <n v="0"/>
    <n v="0"/>
    <n v="0"/>
    <n v="42372.88"/>
    <n v="2784.13"/>
    <n v="0"/>
    <n v="5158.0912372881367"/>
    <m/>
    <m/>
    <m/>
    <m/>
    <s v="Реаб."/>
    <d v="2024-11-25T00:00:00"/>
    <s v="Принят"/>
    <s v="SGG"/>
    <d v="2024-01-09T00:00:00"/>
    <s v="BSG-240109-1/0(58)"/>
    <m/>
    <m/>
    <s v="Yes"/>
  </r>
  <r>
    <n v="2339"/>
    <s v="Мцхета-Мтианети"/>
    <s v="Мцхета"/>
    <s v="(59) სოფ. ძეგვში გამოსატანია 20 მრიცხველი (P.3.664)"/>
    <x v="12"/>
    <n v="0"/>
    <n v="2"/>
    <m/>
    <m/>
    <m/>
    <n v="0"/>
    <n v="0"/>
    <m/>
    <n v="0"/>
    <n v="2"/>
    <m/>
    <s v="P.3.664"/>
    <n v="0"/>
    <n v="0"/>
    <m/>
    <m/>
    <m/>
    <m/>
    <m/>
    <m/>
    <m/>
    <m/>
    <m/>
    <m/>
    <m/>
    <m/>
    <m/>
    <m/>
    <m/>
    <m/>
    <m/>
    <m/>
    <m/>
    <m/>
    <m/>
    <m/>
    <m/>
    <m/>
    <m/>
    <n v="0"/>
    <n v="0"/>
    <n v="0"/>
    <n v="0"/>
    <n v="0"/>
    <n v="0"/>
    <m/>
    <m/>
    <m/>
    <m/>
    <m/>
    <m/>
    <m/>
    <m/>
    <s v="Проектирование"/>
    <m/>
    <n v="0"/>
    <s v="SGG"/>
    <d v="2024-01-09T00:00:00"/>
    <s v="BSG-240109-1/0(59)"/>
    <m/>
    <m/>
    <s v="No"/>
  </r>
  <r>
    <n v="2340"/>
    <s v="Мцхета-Мтианети"/>
    <s v="Мцхета"/>
    <s v="(60) სოფ. ძეგვში გამოსატანია 20 მრიცხველი (P.3.664)"/>
    <x v="5"/>
    <n v="25000"/>
    <n v="2"/>
    <m/>
    <m/>
    <m/>
    <n v="25000"/>
    <n v="0"/>
    <m/>
    <n v="25000"/>
    <n v="1"/>
    <m/>
    <s v="P.3.664"/>
    <n v="0"/>
    <n v="0"/>
    <m/>
    <m/>
    <m/>
    <m/>
    <m/>
    <m/>
    <m/>
    <m/>
    <m/>
    <m/>
    <m/>
    <m/>
    <m/>
    <m/>
    <m/>
    <m/>
    <m/>
    <m/>
    <m/>
    <m/>
    <m/>
    <m/>
    <m/>
    <m/>
    <m/>
    <n v="0"/>
    <n v="0"/>
    <n v="0"/>
    <n v="0"/>
    <n v="0"/>
    <n v="0"/>
    <m/>
    <m/>
    <m/>
    <m/>
    <m/>
    <m/>
    <m/>
    <m/>
    <s v="Реаб."/>
    <m/>
    <n v="0"/>
    <s v="SGG"/>
    <d v="2024-01-09T00:00:00"/>
    <s v="BSG-240109-1/0(60)"/>
    <m/>
    <m/>
    <s v="Yes"/>
  </r>
  <r>
    <n v="2341"/>
    <s v="Тбилиси"/>
    <s v="Тбилиси"/>
    <s v="(61) დაბა კოჯორში 99 საუბნოზე არსებული გაზსადენის რეაბილიტაცია და გამოტანა კერძო ტერიტორიებიდან (P.3.706)"/>
    <x v="12"/>
    <n v="0"/>
    <n v="2"/>
    <m/>
    <m/>
    <m/>
    <n v="0"/>
    <n v="0"/>
    <m/>
    <n v="0"/>
    <n v="2"/>
    <m/>
    <s v="P.3.706"/>
    <n v="0"/>
    <n v="0"/>
    <m/>
    <m/>
    <m/>
    <m/>
    <m/>
    <m/>
    <m/>
    <m/>
    <m/>
    <m/>
    <m/>
    <m/>
    <m/>
    <m/>
    <m/>
    <m/>
    <m/>
    <m/>
    <m/>
    <m/>
    <m/>
    <m/>
    <m/>
    <m/>
    <m/>
    <n v="0"/>
    <n v="0"/>
    <n v="0"/>
    <n v="0"/>
    <n v="0"/>
    <n v="0"/>
    <m/>
    <m/>
    <m/>
    <m/>
    <m/>
    <m/>
    <m/>
    <m/>
    <s v="Проектирование"/>
    <m/>
    <n v="0"/>
    <s v="SGG"/>
    <d v="2024-01-09T00:00:00"/>
    <s v="BSG-240109-1/0(61)"/>
    <m/>
    <m/>
    <s v="No"/>
  </r>
  <r>
    <n v="2342"/>
    <s v="Тбилиси"/>
    <s v="Тбилиси"/>
    <s v="(62) დაბა კოჯორში 99 საუბნოზე არსებული გაზსადენის რეაბილიტაცია და გამოტანა კერძო ტერიტორიებიდან (P.3.706)"/>
    <x v="5"/>
    <n v="20000"/>
    <n v="2"/>
    <m/>
    <m/>
    <m/>
    <n v="20000"/>
    <n v="0"/>
    <m/>
    <n v="20000"/>
    <n v="1"/>
    <m/>
    <s v="P.3.706"/>
    <n v="0"/>
    <n v="0"/>
    <m/>
    <m/>
    <m/>
    <m/>
    <m/>
    <m/>
    <m/>
    <m/>
    <m/>
    <m/>
    <m/>
    <m/>
    <m/>
    <m/>
    <m/>
    <m/>
    <m/>
    <m/>
    <m/>
    <m/>
    <m/>
    <m/>
    <m/>
    <m/>
    <m/>
    <n v="0"/>
    <n v="0"/>
    <n v="0"/>
    <n v="0"/>
    <n v="0"/>
    <n v="0"/>
    <m/>
    <m/>
    <m/>
    <m/>
    <m/>
    <m/>
    <m/>
    <m/>
    <s v="Реаб."/>
    <m/>
    <n v="0"/>
    <s v="SGG"/>
    <d v="2024-01-09T00:00:00"/>
    <s v="BSG-240109-1/0(62)"/>
    <m/>
    <m/>
    <s v="Yes"/>
  </r>
  <r>
    <n v="2343"/>
    <s v="Шида Картли"/>
    <s v="Хашури"/>
    <s v="(63) ქ. ხაშური, მრიცხველების გამოტანა. ბორჯომის, ოქტომბრის, გორის, სვანეთის, მელიქიშვილის და ტოლსტოის ქუჩებზე. (P.3.29; (P.3.28; P.3.27; P.3.24; P.3.21))"/>
    <x v="12"/>
    <n v="0"/>
    <n v="2"/>
    <m/>
    <m/>
    <m/>
    <n v="0"/>
    <n v="0"/>
    <m/>
    <n v="0"/>
    <n v="2"/>
    <m/>
    <s v="P.3.29; (P.3.28; P.3.27; P.3.24; P.3.21)"/>
    <n v="0"/>
    <n v="0"/>
    <m/>
    <m/>
    <m/>
    <m/>
    <m/>
    <m/>
    <m/>
    <m/>
    <m/>
    <m/>
    <m/>
    <m/>
    <m/>
    <m/>
    <m/>
    <m/>
    <m/>
    <m/>
    <m/>
    <m/>
    <m/>
    <m/>
    <m/>
    <m/>
    <m/>
    <n v="0"/>
    <n v="0"/>
    <n v="0"/>
    <n v="0"/>
    <n v="0"/>
    <n v="0"/>
    <m/>
    <m/>
    <m/>
    <m/>
    <m/>
    <m/>
    <m/>
    <m/>
    <s v="Проектирование"/>
    <m/>
    <n v="0"/>
    <s v="SGG"/>
    <d v="2024-01-09T00:00:00"/>
    <s v="BSG-240109-1/0(63)"/>
    <m/>
    <m/>
    <s v="No"/>
  </r>
  <r>
    <n v="2344"/>
    <s v="Шида Картли"/>
    <s v="Хашури"/>
    <s v="(64) ქ. ხაშური, მრიცხველების გამოტანა. ბორჯომის, ოქტომბრის, გორის, სვანეთის, მელიქიშვილის და ტოლსტოის ქუჩებზე. (P.3.29; (P.3.28; P.3.27; P.3.24; P.3.21))"/>
    <x v="5"/>
    <n v="70000"/>
    <n v="2"/>
    <m/>
    <m/>
    <m/>
    <n v="70000"/>
    <n v="0"/>
    <m/>
    <n v="70000"/>
    <n v="1"/>
    <m/>
    <s v="P.3.29; (P.3.28; P.3.27; P.3.24; P.3.21)"/>
    <n v="0"/>
    <n v="0"/>
    <m/>
    <m/>
    <m/>
    <m/>
    <m/>
    <m/>
    <m/>
    <m/>
    <m/>
    <m/>
    <m/>
    <m/>
    <m/>
    <m/>
    <m/>
    <m/>
    <m/>
    <m/>
    <m/>
    <m/>
    <m/>
    <m/>
    <m/>
    <m/>
    <m/>
    <n v="0"/>
    <n v="0"/>
    <n v="0"/>
    <n v="0"/>
    <n v="0"/>
    <n v="0"/>
    <m/>
    <m/>
    <m/>
    <m/>
    <m/>
    <m/>
    <m/>
    <m/>
    <s v="Реаб."/>
    <m/>
    <n v="0"/>
    <s v="SGG"/>
    <d v="2024-01-09T00:00:00"/>
    <s v="BSG-240109-1/0(64)"/>
    <m/>
    <m/>
    <s v="Yes"/>
  </r>
  <r>
    <n v="2345"/>
    <s v="Мцхета-Мтианети"/>
    <s v="Казбеги"/>
    <s v="(65) სოფ. გარბანის გაზსადენის რეაბილიტაცია და მრიცხველების გამოტანა (P.3.641 (P.3.634))"/>
    <x v="12"/>
    <n v="1634.5"/>
    <n v="2"/>
    <n v="1634.5"/>
    <m/>
    <n v="1634.5"/>
    <n v="0"/>
    <n v="0"/>
    <m/>
    <n v="0"/>
    <n v="0"/>
    <m/>
    <s v="P.3.641 (P.3.634)"/>
    <n v="0"/>
    <n v="0"/>
    <m/>
    <m/>
    <m/>
    <m/>
    <m/>
    <m/>
    <m/>
    <m/>
    <m/>
    <m/>
    <m/>
    <m/>
    <m/>
    <m/>
    <m/>
    <m/>
    <m/>
    <m/>
    <m/>
    <m/>
    <m/>
    <m/>
    <m/>
    <m/>
    <m/>
    <n v="0"/>
    <n v="0"/>
    <n v="0"/>
    <n v="0"/>
    <n v="0"/>
    <n v="0"/>
    <m/>
    <m/>
    <m/>
    <m/>
    <m/>
    <m/>
    <m/>
    <m/>
    <s v="Проектирование"/>
    <d v="2024-12-10T00:00:00"/>
    <s v="ПриПро"/>
    <s v="SGG"/>
    <d v="2024-01-09T00:00:00"/>
    <s v="BSG-240109-1/0(65)"/>
    <m/>
    <m/>
    <s v="No"/>
  </r>
  <r>
    <n v="2346"/>
    <s v="Мцхета-Мтианети"/>
    <s v="Казбеги"/>
    <s v="(66) სოფ. გარბანის გაზსადენის რეაბილიტაცია და მრიცხველების გამოტანა (P.3.641 (P.3.634))"/>
    <x v="5"/>
    <n v="30000"/>
    <n v="2"/>
    <n v="37729.35"/>
    <m/>
    <n v="31179.05"/>
    <n v="-1179.0499999999993"/>
    <n v="6550.2999999999993"/>
    <n v="917.9"/>
    <n v="6550.2999999999993"/>
    <n v="1"/>
    <m/>
    <s v="P.3.641 (P.3.634)"/>
    <n v="37729.35"/>
    <n v="5755.3200000000006"/>
    <m/>
    <m/>
    <m/>
    <m/>
    <n v="30000"/>
    <m/>
    <n v="7729.35"/>
    <n v="4576.2700000000004"/>
    <m/>
    <n v="1179.05"/>
    <m/>
    <m/>
    <m/>
    <m/>
    <m/>
    <m/>
    <m/>
    <m/>
    <m/>
    <m/>
    <m/>
    <m/>
    <m/>
    <m/>
    <m/>
    <n v="0"/>
    <n v="0"/>
    <n v="0"/>
    <n v="0"/>
    <n v="0"/>
    <n v="0"/>
    <m/>
    <m/>
    <m/>
    <m/>
    <n v="25423.73"/>
    <n v="3789.53"/>
    <m/>
    <m/>
    <s v="Реаб."/>
    <d v="2025-04-30T00:00:00"/>
    <s v="Принят"/>
    <s v="SGG"/>
    <d v="2024-01-09T00:00:00"/>
    <s v="BSG-240109-1/0(66)"/>
    <m/>
    <m/>
    <s v="Yes"/>
  </r>
  <r>
    <n v="2347"/>
    <s v="Мцхета-Мтианети"/>
    <s v="Душети"/>
    <s v="(67) მრიცხველების გამოტანა სოფ. ანანური (8 აბონენტი) (P.3.616)"/>
    <x v="12"/>
    <n v="0"/>
    <n v="2"/>
    <m/>
    <m/>
    <m/>
    <n v="0"/>
    <n v="0"/>
    <m/>
    <n v="0"/>
    <n v="2"/>
    <m/>
    <s v="P.3.616"/>
    <n v="0"/>
    <n v="0"/>
    <m/>
    <m/>
    <m/>
    <m/>
    <m/>
    <m/>
    <m/>
    <m/>
    <m/>
    <m/>
    <m/>
    <m/>
    <m/>
    <m/>
    <m/>
    <m/>
    <m/>
    <m/>
    <m/>
    <m/>
    <m/>
    <m/>
    <m/>
    <m/>
    <m/>
    <n v="0"/>
    <n v="0"/>
    <n v="0"/>
    <n v="0"/>
    <n v="0"/>
    <n v="0"/>
    <m/>
    <m/>
    <m/>
    <m/>
    <m/>
    <m/>
    <m/>
    <m/>
    <s v="Проектирование"/>
    <m/>
    <n v="0"/>
    <s v="SGG"/>
    <d v="2024-01-09T00:00:00"/>
    <s v="BSG-240109-1/0(67)"/>
    <m/>
    <m/>
    <s v="No"/>
  </r>
  <r>
    <n v="2348"/>
    <s v="Мцхета-Мтианети"/>
    <s v="Душети"/>
    <s v="(68) მრიცხველების გამოტანა სოფ. ანანური (8 აბონენტი) (P.3.616)"/>
    <x v="5"/>
    <n v="5000"/>
    <n v="2"/>
    <m/>
    <m/>
    <m/>
    <n v="5000"/>
    <n v="0"/>
    <m/>
    <n v="5000"/>
    <n v="1"/>
    <m/>
    <s v="P.3.616"/>
    <n v="0"/>
    <n v="0"/>
    <m/>
    <m/>
    <m/>
    <m/>
    <m/>
    <m/>
    <m/>
    <m/>
    <m/>
    <m/>
    <m/>
    <m/>
    <m/>
    <m/>
    <m/>
    <m/>
    <m/>
    <m/>
    <m/>
    <m/>
    <m/>
    <m/>
    <m/>
    <m/>
    <m/>
    <n v="0"/>
    <n v="0"/>
    <n v="0"/>
    <n v="0"/>
    <n v="0"/>
    <n v="0"/>
    <m/>
    <m/>
    <m/>
    <m/>
    <m/>
    <m/>
    <m/>
    <m/>
    <s v="Реаб."/>
    <m/>
    <n v="0"/>
    <s v="SGG"/>
    <d v="2024-01-09T00:00:00"/>
    <s v="BSG-240109-1/0(68)"/>
    <m/>
    <m/>
    <s v="Yes"/>
  </r>
  <r>
    <n v="2349"/>
    <s v="Мцхета-Мтианети"/>
    <s v="Мцхета"/>
    <s v="(69) ქალაქი მცხეთა ნარეკვავის დასახლება დაბალი წნევის გაზსადენის რეაბილიტაცია, დ=89-80-100 აღდგენა კერძო საკუთრებიდან გამოტანა (P.3.164)"/>
    <x v="12"/>
    <n v="196"/>
    <n v="2"/>
    <n v="196"/>
    <m/>
    <n v="196"/>
    <n v="0"/>
    <n v="0"/>
    <m/>
    <n v="0"/>
    <n v="0"/>
    <m/>
    <s v="P.3.164"/>
    <n v="0"/>
    <n v="0"/>
    <m/>
    <m/>
    <m/>
    <m/>
    <m/>
    <m/>
    <m/>
    <m/>
    <m/>
    <m/>
    <m/>
    <m/>
    <m/>
    <m/>
    <m/>
    <m/>
    <m/>
    <m/>
    <m/>
    <m/>
    <m/>
    <m/>
    <m/>
    <m/>
    <m/>
    <n v="0"/>
    <n v="0"/>
    <n v="0"/>
    <n v="0"/>
    <n v="0"/>
    <n v="0"/>
    <m/>
    <m/>
    <m/>
    <m/>
    <m/>
    <m/>
    <m/>
    <m/>
    <s v="Проектирование"/>
    <d v="2024-12-11T00:00:00"/>
    <s v="ПриПро"/>
    <s v="SGG"/>
    <d v="2024-01-09T00:00:00"/>
    <s v="BSG-240109-1/0(69)"/>
    <m/>
    <m/>
    <s v="No"/>
  </r>
  <r>
    <n v="2350"/>
    <s v="Мцхета-Мтианети"/>
    <s v="Мцхета"/>
    <s v="(70) ქალაქი მცხეთა ნარეკვავის დასახლება დაბალი წნევის გაზსადენის რეაბილიტაცია, დ=89-80-100 აღდგენა კერძო საკუთრებიდან გამოტანა (P.3.164)"/>
    <x v="5"/>
    <n v="5000"/>
    <n v="2"/>
    <m/>
    <m/>
    <m/>
    <n v="5000"/>
    <n v="0"/>
    <m/>
    <n v="5000"/>
    <n v="1"/>
    <m/>
    <s v="P.3.164"/>
    <n v="0"/>
    <n v="0"/>
    <m/>
    <m/>
    <m/>
    <m/>
    <m/>
    <m/>
    <m/>
    <m/>
    <m/>
    <m/>
    <m/>
    <m/>
    <m/>
    <m/>
    <m/>
    <m/>
    <m/>
    <m/>
    <m/>
    <m/>
    <m/>
    <m/>
    <m/>
    <m/>
    <m/>
    <n v="0"/>
    <n v="0"/>
    <n v="0"/>
    <n v="0"/>
    <n v="0"/>
    <n v="0"/>
    <m/>
    <m/>
    <m/>
    <m/>
    <m/>
    <m/>
    <m/>
    <m/>
    <s v="Реаб."/>
    <m/>
    <n v="0"/>
    <s v="SGG"/>
    <d v="2024-01-09T00:00:00"/>
    <s v="BSG-240109-1/0(70)"/>
    <m/>
    <m/>
    <s v="Yes"/>
  </r>
  <r>
    <n v="2351"/>
    <s v="Шида Картли"/>
    <s v="Гори"/>
    <s v="(1) ორთაშენის გრს-დან შინდისის გზატკეცილამდე კერძო ტერიტორიებზე გამავალი გაზსადენის რეაბილიტაცია (P.3.198)"/>
    <x v="12"/>
    <n v="2185.75"/>
    <n v="2"/>
    <n v="2185.75"/>
    <m/>
    <n v="2185.75"/>
    <n v="0"/>
    <n v="0"/>
    <m/>
    <n v="0"/>
    <n v="0"/>
    <m/>
    <s v="P.3.198"/>
    <n v="0"/>
    <n v="0"/>
    <m/>
    <m/>
    <m/>
    <m/>
    <m/>
    <m/>
    <m/>
    <m/>
    <m/>
    <m/>
    <m/>
    <m/>
    <m/>
    <m/>
    <m/>
    <m/>
    <m/>
    <m/>
    <m/>
    <m/>
    <m/>
    <m/>
    <m/>
    <m/>
    <m/>
    <n v="0"/>
    <n v="0"/>
    <n v="0"/>
    <n v="0"/>
    <n v="0"/>
    <n v="0"/>
    <m/>
    <m/>
    <m/>
    <m/>
    <m/>
    <m/>
    <m/>
    <m/>
    <s v="Проектирование"/>
    <d v="2024-06-03T00:00:00"/>
    <s v="ПриПро"/>
    <s v="Сакорггаз"/>
    <d v="2024-01-09T00:00:00"/>
    <s v="BCG-240109-1/0(1)"/>
    <m/>
    <m/>
    <s v="No"/>
  </r>
  <r>
    <n v="2352"/>
    <s v="Шида Картли"/>
    <s v="Каспи"/>
    <s v="(2) კოდისწყაროს გგს-დან მინდვრებზე გამავალი დ100 მილიმეტრიანი კოროზირებული გაზსადენის ამოცვლა და გამდლისწყაროს მიმართულებით ქსელის გამსხვილება (P.3.853)"/>
    <x v="12"/>
    <n v="10342.5"/>
    <n v="2"/>
    <n v="10342.5"/>
    <m/>
    <n v="10342.5"/>
    <n v="0"/>
    <n v="0"/>
    <m/>
    <n v="0"/>
    <n v="0"/>
    <m/>
    <s v="P.3.853"/>
    <n v="0"/>
    <n v="0"/>
    <m/>
    <m/>
    <m/>
    <m/>
    <m/>
    <m/>
    <m/>
    <m/>
    <m/>
    <m/>
    <m/>
    <m/>
    <m/>
    <m/>
    <m/>
    <m/>
    <m/>
    <m/>
    <m/>
    <m/>
    <m/>
    <m/>
    <m/>
    <m/>
    <m/>
    <n v="0"/>
    <n v="0"/>
    <n v="0"/>
    <n v="0"/>
    <n v="0"/>
    <n v="0"/>
    <m/>
    <m/>
    <m/>
    <m/>
    <m/>
    <m/>
    <m/>
    <m/>
    <s v="Проектирование"/>
    <d v="2024-08-26T00:00:00"/>
    <s v="ПриПро"/>
    <s v="Сакорггаз"/>
    <d v="2024-01-09T00:00:00"/>
    <s v="BCG-240109-1/0(2)"/>
    <m/>
    <m/>
    <s v="No"/>
  </r>
  <r>
    <n v="2353"/>
    <s v="Шида Картли"/>
    <s v="Гори"/>
    <s v="(3) სოფელ ნაწრეტში მკვებავი გაზსადენის გამოტანა-რეაბილიტაცია (P.3.735)"/>
    <x v="12"/>
    <n v="17092.25"/>
    <n v="2"/>
    <n v="17092.25"/>
    <m/>
    <n v="17092.25"/>
    <n v="0"/>
    <n v="0"/>
    <m/>
    <n v="0"/>
    <n v="0"/>
    <m/>
    <s v="P.3.735"/>
    <n v="0"/>
    <n v="0"/>
    <m/>
    <m/>
    <m/>
    <m/>
    <m/>
    <m/>
    <m/>
    <m/>
    <m/>
    <m/>
    <m/>
    <m/>
    <m/>
    <m/>
    <m/>
    <m/>
    <m/>
    <m/>
    <m/>
    <m/>
    <m/>
    <m/>
    <m/>
    <m/>
    <m/>
    <n v="0"/>
    <n v="0"/>
    <n v="0"/>
    <n v="0"/>
    <n v="0"/>
    <n v="0"/>
    <m/>
    <m/>
    <m/>
    <m/>
    <m/>
    <m/>
    <m/>
    <m/>
    <s v="Проектирование"/>
    <d v="2024-06-17T00:00:00"/>
    <s v="ПриПро"/>
    <s v="Сакорггаз"/>
    <d v="2024-01-09T00:00:00"/>
    <s v="BCG-240109-1/0(3)"/>
    <m/>
    <m/>
    <s v="No"/>
  </r>
  <r>
    <n v="2354"/>
    <s v="Шида Картли"/>
    <s v="Гори"/>
    <s v="(4) სოფ. ქიწნისი გაზსადენის რეაბილიტაცია (P.3.962)"/>
    <x v="12"/>
    <n v="12862.85"/>
    <n v="2"/>
    <n v="12862.85"/>
    <m/>
    <n v="12862.85"/>
    <n v="0"/>
    <n v="0"/>
    <m/>
    <n v="0"/>
    <n v="0"/>
    <m/>
    <s v="P.3.962"/>
    <n v="0"/>
    <n v="0"/>
    <m/>
    <m/>
    <m/>
    <m/>
    <m/>
    <m/>
    <m/>
    <m/>
    <m/>
    <m/>
    <m/>
    <m/>
    <m/>
    <m/>
    <m/>
    <m/>
    <m/>
    <m/>
    <m/>
    <m/>
    <m/>
    <m/>
    <m/>
    <m/>
    <m/>
    <n v="0"/>
    <n v="0"/>
    <n v="0"/>
    <n v="0"/>
    <n v="0"/>
    <n v="0"/>
    <m/>
    <m/>
    <m/>
    <m/>
    <m/>
    <m/>
    <m/>
    <m/>
    <s v="Проектирование"/>
    <d v="2024-06-17T00:00:00"/>
    <s v="ПриПро"/>
    <s v="Сакорггаз"/>
    <d v="2024-01-09T00:00:00"/>
    <s v="BCG-240109-1/0(4)"/>
    <m/>
    <m/>
    <s v="No"/>
  </r>
  <r>
    <n v="2355"/>
    <s v="Шида Картли"/>
    <s v="Гори"/>
    <s v="(5) სოფ. ძევერა გაზსადენის რეაბილიტაცია (P.3.963)"/>
    <x v="12"/>
    <n v="32999.75"/>
    <n v="2"/>
    <n v="32999.75"/>
    <m/>
    <n v="32999.75"/>
    <n v="0"/>
    <n v="0"/>
    <m/>
    <n v="0"/>
    <n v="0"/>
    <m/>
    <s v="P.3.963"/>
    <n v="0"/>
    <n v="0"/>
    <m/>
    <m/>
    <m/>
    <m/>
    <m/>
    <m/>
    <m/>
    <m/>
    <m/>
    <m/>
    <m/>
    <m/>
    <m/>
    <m/>
    <m/>
    <m/>
    <m/>
    <m/>
    <m/>
    <m/>
    <m/>
    <m/>
    <m/>
    <m/>
    <m/>
    <n v="0"/>
    <n v="0"/>
    <n v="0"/>
    <n v="0"/>
    <n v="0"/>
    <n v="0"/>
    <m/>
    <m/>
    <m/>
    <m/>
    <m/>
    <m/>
    <m/>
    <m/>
    <s v="Проектирование"/>
    <d v="2024-07-18T00:00:00"/>
    <s v="ПриПро"/>
    <s v="Сакорггаз"/>
    <d v="2024-01-09T00:00:00"/>
    <s v="BCG-240109-1/0(5)"/>
    <m/>
    <m/>
    <s v="No"/>
  </r>
  <r>
    <n v="2356"/>
    <s v="Шида Картли"/>
    <s v="Гори"/>
    <s v="(6) სოფ. ძევერა გაზსადენის რეაბილიტაცია (P.3.963)"/>
    <x v="5"/>
    <n v="245000"/>
    <n v="2"/>
    <n v="930000"/>
    <m/>
    <n v="708813.55999999994"/>
    <n v="-463813.55999999994"/>
    <n v="221186.44000000006"/>
    <m/>
    <n v="-463813.55999999994"/>
    <n v="1"/>
    <m/>
    <s v="P.3.963"/>
    <n v="180000"/>
    <n v="27457.63"/>
    <m/>
    <m/>
    <n v="180000"/>
    <m/>
    <m/>
    <n v="27457.63"/>
    <m/>
    <m/>
    <m/>
    <m/>
    <m/>
    <m/>
    <m/>
    <m/>
    <m/>
    <m/>
    <m/>
    <m/>
    <m/>
    <m/>
    <m/>
    <m/>
    <m/>
    <m/>
    <m/>
    <n v="0"/>
    <n v="0"/>
    <n v="0"/>
    <n v="0"/>
    <n v="0"/>
    <n v="0"/>
    <n v="635593.22"/>
    <m/>
    <m/>
    <m/>
    <m/>
    <m/>
    <m/>
    <m/>
    <s v="Реаб."/>
    <m/>
    <n v="80"/>
    <s v="Сакорггаз"/>
    <d v="2024-01-09T00:00:00"/>
    <s v="BCG-240109-1/0(6)"/>
    <m/>
    <m/>
    <s v="Yes"/>
  </r>
  <r>
    <n v="2357"/>
    <s v="Шида Картли"/>
    <s v="Гори"/>
    <s v="(7) სოფ. ტყვიავი გაზსადენის რეაბილიტაცია (P.3.964)"/>
    <x v="12"/>
    <n v="7224"/>
    <n v="2"/>
    <n v="7224"/>
    <m/>
    <n v="7224"/>
    <n v="0"/>
    <n v="0"/>
    <m/>
    <n v="0"/>
    <n v="0"/>
    <m/>
    <s v="P.3.964"/>
    <n v="0"/>
    <n v="0"/>
    <m/>
    <m/>
    <m/>
    <m/>
    <m/>
    <m/>
    <m/>
    <m/>
    <m/>
    <m/>
    <m/>
    <m/>
    <m/>
    <m/>
    <m/>
    <m/>
    <m/>
    <m/>
    <m/>
    <m/>
    <m/>
    <m/>
    <m/>
    <m/>
    <m/>
    <n v="0"/>
    <n v="0"/>
    <n v="0"/>
    <n v="0"/>
    <n v="0"/>
    <n v="0"/>
    <m/>
    <m/>
    <m/>
    <m/>
    <m/>
    <m/>
    <m/>
    <m/>
    <s v="Проектирование"/>
    <d v="2024-04-30T00:00:00"/>
    <s v="ПриПро"/>
    <s v="Сакорггаз"/>
    <d v="2024-01-09T00:00:00"/>
    <s v="BCG-240109-1/0(7)"/>
    <m/>
    <m/>
    <s v="No"/>
  </r>
  <r>
    <n v="2358"/>
    <s v="Шида Картли"/>
    <s v="Гори"/>
    <s v="(8) სოფ. ტყვიავი გაზსადენის რეაბილიტაცია (P.3.964)"/>
    <x v="5"/>
    <n v="245000"/>
    <n v="2"/>
    <n v="256302.1"/>
    <m/>
    <n v="228080.217"/>
    <n v="16919.782999999996"/>
    <n v="28221.883000000002"/>
    <m/>
    <n v="16919.782999999996"/>
    <n v="1"/>
    <m/>
    <s v="P.3.964"/>
    <n v="0"/>
    <n v="961.34"/>
    <m/>
    <n v="961.34"/>
    <m/>
    <m/>
    <m/>
    <m/>
    <m/>
    <m/>
    <m/>
    <m/>
    <m/>
    <m/>
    <m/>
    <m/>
    <m/>
    <m/>
    <m/>
    <m/>
    <m/>
    <m/>
    <m/>
    <m/>
    <m/>
    <m/>
    <m/>
    <n v="0"/>
    <n v="0"/>
    <n v="0"/>
    <n v="0"/>
    <n v="0"/>
    <n v="0"/>
    <n v="211864.64"/>
    <m/>
    <m/>
    <m/>
    <m/>
    <m/>
    <m/>
    <m/>
    <s v="Реаб."/>
    <m/>
    <n v="70"/>
    <s v="Сакорггаз"/>
    <d v="2024-01-09T00:00:00"/>
    <s v="BCG-240109-1/0(8)"/>
    <m/>
    <m/>
    <s v="Yes"/>
  </r>
  <r>
    <n v="2359"/>
    <s v="Шида Картли"/>
    <s v="Гори"/>
    <s v="(9) სოფ. ხელთუბანში გამავალი გაზსადენის რეკონსტრუქცია (P.3.216)"/>
    <x v="12"/>
    <n v="63295.75"/>
    <n v="2"/>
    <n v="63295.75"/>
    <m/>
    <n v="63295.75"/>
    <n v="0"/>
    <n v="0"/>
    <m/>
    <n v="0"/>
    <n v="0"/>
    <m/>
    <s v="P.3.216"/>
    <n v="0"/>
    <n v="0"/>
    <m/>
    <m/>
    <m/>
    <m/>
    <m/>
    <m/>
    <m/>
    <m/>
    <m/>
    <m/>
    <m/>
    <m/>
    <m/>
    <m/>
    <m/>
    <m/>
    <m/>
    <m/>
    <m/>
    <m/>
    <m/>
    <m/>
    <m/>
    <m/>
    <m/>
    <n v="0"/>
    <n v="0"/>
    <n v="0"/>
    <n v="0"/>
    <n v="0"/>
    <n v="0"/>
    <m/>
    <m/>
    <m/>
    <m/>
    <m/>
    <m/>
    <m/>
    <m/>
    <s v="Проектирование"/>
    <d v="2024-12-02T00:00:00"/>
    <s v="ПриПро"/>
    <s v="Сакорггаз"/>
    <d v="2024-01-09T00:00:00"/>
    <s v="BCG-240109-1/0(9)"/>
    <m/>
    <m/>
    <s v="No"/>
  </r>
  <r>
    <n v="2360"/>
    <s v="Шида Картли"/>
    <s v="Гори"/>
    <s v="(10) სოფ. ხელთუბანში გამავალი გაზსადენის რეკონსტრუქცია (P.3.216)"/>
    <x v="5"/>
    <n v="215000"/>
    <n v="2"/>
    <n v="300000"/>
    <m/>
    <n v="184745.71"/>
    <n v="30254.290000000008"/>
    <n v="115254.29000000001"/>
    <m/>
    <n v="30254.290000000008"/>
    <n v="1"/>
    <m/>
    <s v="P.3.216"/>
    <n v="300000"/>
    <n v="45762.71"/>
    <n v="300000"/>
    <m/>
    <m/>
    <n v="45762.71"/>
    <m/>
    <m/>
    <m/>
    <m/>
    <m/>
    <m/>
    <m/>
    <m/>
    <m/>
    <m/>
    <m/>
    <m/>
    <m/>
    <m/>
    <m/>
    <m/>
    <m/>
    <m/>
    <m/>
    <m/>
    <m/>
    <n v="0"/>
    <n v="0"/>
    <n v="0"/>
    <n v="0"/>
    <n v="0"/>
    <n v="0"/>
    <m/>
    <m/>
    <m/>
    <m/>
    <n v="138983"/>
    <m/>
    <m/>
    <m/>
    <s v="Реаб."/>
    <m/>
    <n v="0"/>
    <s v="Сакорггаз"/>
    <d v="2024-01-09T00:00:00"/>
    <s v="BCG-240109-1/0(10)"/>
    <m/>
    <m/>
    <s v="Yes"/>
  </r>
  <r>
    <n v="2361"/>
    <s v="Шида Картли"/>
    <s v="Гори"/>
    <s v="(11) სოფ. ორთაშენი გაზსადენის რეაბილიტაცია (P.3.967)"/>
    <x v="12"/>
    <n v="0"/>
    <n v="2"/>
    <m/>
    <m/>
    <m/>
    <n v="0"/>
    <n v="0"/>
    <m/>
    <n v="0"/>
    <n v="2"/>
    <m/>
    <s v="P.3.967"/>
    <n v="0"/>
    <n v="0"/>
    <m/>
    <m/>
    <m/>
    <m/>
    <m/>
    <m/>
    <m/>
    <m/>
    <m/>
    <m/>
    <m/>
    <m/>
    <m/>
    <m/>
    <m/>
    <m/>
    <m/>
    <m/>
    <m/>
    <m/>
    <m/>
    <m/>
    <m/>
    <m/>
    <m/>
    <n v="0"/>
    <n v="0"/>
    <n v="0"/>
    <n v="0"/>
    <n v="0"/>
    <n v="0"/>
    <m/>
    <m/>
    <m/>
    <m/>
    <m/>
    <m/>
    <m/>
    <m/>
    <s v="Проектирование"/>
    <m/>
    <n v="0"/>
    <s v="Сакорггаз"/>
    <d v="2024-01-09T00:00:00"/>
    <s v="BCG-240109-1/0(11)"/>
    <m/>
    <m/>
    <s v="No"/>
  </r>
  <r>
    <n v="2362"/>
    <s v="Шида Картли"/>
    <s v="Гори"/>
    <s v="(12) სოფ. ორთაშენი გაზსადენის რეაბილიტაცია (P.3.967)"/>
    <x v="5"/>
    <n v="145000"/>
    <n v="2"/>
    <m/>
    <m/>
    <m/>
    <n v="145000"/>
    <n v="0"/>
    <m/>
    <n v="145000"/>
    <n v="1"/>
    <m/>
    <s v="P.3.967"/>
    <n v="0"/>
    <n v="0"/>
    <m/>
    <m/>
    <m/>
    <m/>
    <m/>
    <m/>
    <m/>
    <m/>
    <m/>
    <m/>
    <m/>
    <m/>
    <m/>
    <m/>
    <m/>
    <m/>
    <m/>
    <m/>
    <m/>
    <m/>
    <m/>
    <m/>
    <m/>
    <m/>
    <m/>
    <n v="0"/>
    <n v="0"/>
    <n v="0"/>
    <n v="0"/>
    <n v="0"/>
    <n v="0"/>
    <m/>
    <m/>
    <m/>
    <m/>
    <m/>
    <m/>
    <m/>
    <m/>
    <s v="Реаб."/>
    <m/>
    <n v="0"/>
    <s v="Сакорггаз"/>
    <d v="2024-01-09T00:00:00"/>
    <s v="BCG-240109-1/0(12)"/>
    <m/>
    <m/>
    <s v="Yes"/>
  </r>
  <r>
    <n v="2363"/>
    <s v="Шида Картли"/>
    <s v="Гори"/>
    <s v="(13) მრიცხველების გამოტანა_გორი (P.3.228)"/>
    <x v="12"/>
    <n v="0"/>
    <n v="2"/>
    <m/>
    <m/>
    <m/>
    <n v="0"/>
    <n v="0"/>
    <m/>
    <n v="0"/>
    <n v="2"/>
    <m/>
    <s v="P.3.228"/>
    <n v="0"/>
    <n v="0"/>
    <m/>
    <m/>
    <m/>
    <m/>
    <m/>
    <m/>
    <m/>
    <m/>
    <m/>
    <m/>
    <m/>
    <m/>
    <m/>
    <m/>
    <m/>
    <m/>
    <m/>
    <m/>
    <m/>
    <m/>
    <m/>
    <m/>
    <m/>
    <m/>
    <m/>
    <n v="0"/>
    <n v="0"/>
    <n v="0"/>
    <n v="0"/>
    <n v="0"/>
    <n v="0"/>
    <m/>
    <m/>
    <m/>
    <m/>
    <m/>
    <m/>
    <m/>
    <m/>
    <s v="Проектирование"/>
    <m/>
    <n v="0"/>
    <s v="Сакорггаз"/>
    <d v="2024-01-09T00:00:00"/>
    <s v="BCG-240109-1/0(13)"/>
    <m/>
    <m/>
    <s v="No"/>
  </r>
  <r>
    <n v="2364"/>
    <s v="Шида Картли"/>
    <s v="Гори"/>
    <s v="(14) მრიცხველების გამოტანა_გორი (P.3.228)"/>
    <x v="5"/>
    <n v="135000"/>
    <n v="2"/>
    <m/>
    <m/>
    <m/>
    <n v="135000"/>
    <n v="0"/>
    <m/>
    <n v="135000"/>
    <n v="1"/>
    <m/>
    <s v="P.3.228"/>
    <n v="0"/>
    <n v="0"/>
    <m/>
    <m/>
    <m/>
    <m/>
    <m/>
    <m/>
    <m/>
    <m/>
    <m/>
    <m/>
    <m/>
    <m/>
    <m/>
    <m/>
    <m/>
    <m/>
    <m/>
    <m/>
    <m/>
    <m/>
    <m/>
    <m/>
    <m/>
    <m/>
    <m/>
    <n v="0"/>
    <n v="0"/>
    <n v="0"/>
    <n v="0"/>
    <n v="0"/>
    <n v="0"/>
    <m/>
    <m/>
    <m/>
    <m/>
    <m/>
    <m/>
    <m/>
    <m/>
    <s v="Реаб."/>
    <m/>
    <n v="0"/>
    <s v="Сакорггаз"/>
    <d v="2024-01-09T00:00:00"/>
    <s v="BCG-240109-1/0(14)"/>
    <m/>
    <m/>
    <s v="Yes"/>
  </r>
  <r>
    <n v="2365"/>
    <s v="Шида Картли"/>
    <s v="Каспи"/>
    <s v="(15) ცხრა ძმის ქუჩაზე გაზსადენის რეაბილიტაცია (P.3.849)"/>
    <x v="12"/>
    <n v="0"/>
    <n v="2"/>
    <n v="0"/>
    <m/>
    <n v="0"/>
    <n v="0"/>
    <n v="0"/>
    <m/>
    <n v="0"/>
    <n v="2"/>
    <m/>
    <s v="P.3.849"/>
    <n v="0"/>
    <n v="0"/>
    <m/>
    <m/>
    <m/>
    <m/>
    <m/>
    <m/>
    <m/>
    <m/>
    <m/>
    <m/>
    <m/>
    <m/>
    <m/>
    <m/>
    <m/>
    <m/>
    <m/>
    <m/>
    <m/>
    <m/>
    <m/>
    <m/>
    <m/>
    <m/>
    <m/>
    <n v="0"/>
    <n v="0"/>
    <n v="0"/>
    <n v="0"/>
    <n v="0"/>
    <n v="0"/>
    <m/>
    <m/>
    <m/>
    <m/>
    <m/>
    <m/>
    <m/>
    <m/>
    <s v="Проектирование"/>
    <m/>
    <n v="0"/>
    <s v="Сакорггаз"/>
    <d v="2024-01-09T00:00:00"/>
    <s v="BCG-240109-1/0(15)"/>
    <m/>
    <m/>
    <s v="No"/>
  </r>
  <r>
    <n v="2366"/>
    <s v="Шида Картли"/>
    <s v="Каспи"/>
    <s v="(16) ცხრა ძმის ქუჩაზე გაზსადენის რეაბილიტაცია (P.3.849)"/>
    <x v="5"/>
    <n v="130000"/>
    <n v="2"/>
    <n v="71000"/>
    <m/>
    <n v="10830.508"/>
    <n v="119169.492"/>
    <n v="60169.491999999998"/>
    <m/>
    <n v="119169.492"/>
    <n v="1"/>
    <m/>
    <s v="P.3.849"/>
    <n v="71000"/>
    <n v="10830.508"/>
    <m/>
    <m/>
    <n v="71000"/>
    <m/>
    <m/>
    <n v="10830.508"/>
    <m/>
    <m/>
    <m/>
    <m/>
    <m/>
    <m/>
    <m/>
    <m/>
    <m/>
    <m/>
    <m/>
    <m/>
    <m/>
    <m/>
    <m/>
    <m/>
    <m/>
    <m/>
    <m/>
    <n v="0"/>
    <n v="0"/>
    <n v="0"/>
    <n v="0"/>
    <n v="0"/>
    <n v="0"/>
    <m/>
    <m/>
    <m/>
    <m/>
    <m/>
    <m/>
    <m/>
    <m/>
    <s v="Реаб."/>
    <m/>
    <n v="99"/>
    <s v="Сакорггаз"/>
    <d v="2024-01-09T00:00:00"/>
    <s v="BCG-240109-1/0(16)"/>
    <m/>
    <m/>
    <s v="Yes"/>
  </r>
  <r>
    <n v="2367"/>
    <s v="Шида Картли"/>
    <s v="Каспи"/>
    <s v="(17) სოფელი ფერმა-თეზის მონაკვეთის ფოლადის გაზსადენის რეაბილიტაცია (P.3.840)"/>
    <x v="12"/>
    <n v="2156.875"/>
    <n v="2"/>
    <n v="2156.875"/>
    <m/>
    <n v="2156.875"/>
    <n v="0"/>
    <n v="0"/>
    <m/>
    <n v="0"/>
    <n v="0"/>
    <m/>
    <s v="P.3.840"/>
    <n v="0"/>
    <n v="0"/>
    <m/>
    <m/>
    <m/>
    <m/>
    <m/>
    <m/>
    <m/>
    <m/>
    <m/>
    <m/>
    <m/>
    <m/>
    <m/>
    <m/>
    <m/>
    <m/>
    <m/>
    <m/>
    <m/>
    <m/>
    <m/>
    <m/>
    <m/>
    <m/>
    <m/>
    <n v="0"/>
    <n v="0"/>
    <n v="0"/>
    <n v="0"/>
    <n v="0"/>
    <n v="0"/>
    <m/>
    <m/>
    <m/>
    <m/>
    <m/>
    <m/>
    <m/>
    <m/>
    <s v="Проектирование"/>
    <d v="2024-11-01T00:00:00"/>
    <s v="ПриПро"/>
    <s v="Сакорггаз"/>
    <d v="2024-01-09T00:00:00"/>
    <s v="BCG-240109-1/0(17)"/>
    <m/>
    <m/>
    <s v="No"/>
  </r>
  <r>
    <n v="2368"/>
    <s v="Шида Картли"/>
    <s v="Каспи"/>
    <s v="(18) სოფელი ფერმა-თეზის მონაკვეთის ფოლადის გაზსადენის რეაბილიტაცია (P.3.840)"/>
    <x v="5"/>
    <n v="110000"/>
    <n v="2"/>
    <n v="69459.039999999994"/>
    <m/>
    <n v="68222.570000000007"/>
    <n v="41777.429999999993"/>
    <n v="1236.4699999999866"/>
    <n v="1243.5"/>
    <n v="1236.4699999999866"/>
    <n v="1"/>
    <m/>
    <s v="P.3.840"/>
    <n v="69459.039999999994"/>
    <n v="10595.449999999999"/>
    <n v="68000"/>
    <m/>
    <m/>
    <n v="10372.879999999999"/>
    <n v="1459.04"/>
    <m/>
    <m/>
    <n v="222.57"/>
    <m/>
    <m/>
    <m/>
    <m/>
    <m/>
    <m/>
    <m/>
    <m/>
    <m/>
    <m/>
    <m/>
    <m/>
    <m/>
    <m/>
    <m/>
    <m/>
    <s v="საბოლოო"/>
    <n v="0"/>
    <n v="0"/>
    <n v="0"/>
    <n v="0"/>
    <n v="0"/>
    <n v="0"/>
    <m/>
    <m/>
    <m/>
    <n v="5886.3593220338989"/>
    <n v="57627.12"/>
    <m/>
    <m/>
    <m/>
    <s v="Реаб."/>
    <d v="2025-03-12T00:00:00"/>
    <s v="Принят"/>
    <s v="Сакорггаз"/>
    <d v="2024-01-09T00:00:00"/>
    <s v="BCG-240109-1/0(18)"/>
    <m/>
    <m/>
    <s v="Yes"/>
  </r>
  <r>
    <n v="2369"/>
    <s v="Самцхе Джавахети"/>
    <s v="Борджоми"/>
    <s v="(19) ქ. ბორჯომში, რაზმაძის ქ. გაზსადენის სარეაბილიტაცია (P.3.123)"/>
    <x v="12"/>
    <n v="4511.5"/>
    <n v="2"/>
    <n v="4511.5"/>
    <m/>
    <n v="4511.5"/>
    <n v="0"/>
    <n v="0"/>
    <m/>
    <n v="0"/>
    <n v="0"/>
    <m/>
    <s v="P.3.123"/>
    <n v="0"/>
    <n v="0"/>
    <m/>
    <m/>
    <m/>
    <m/>
    <m/>
    <m/>
    <m/>
    <m/>
    <m/>
    <m/>
    <m/>
    <m/>
    <m/>
    <m/>
    <m/>
    <m/>
    <m/>
    <m/>
    <m/>
    <m/>
    <m/>
    <m/>
    <m/>
    <m/>
    <m/>
    <n v="0"/>
    <n v="0"/>
    <n v="0"/>
    <n v="0"/>
    <n v="0"/>
    <n v="0"/>
    <m/>
    <m/>
    <m/>
    <m/>
    <m/>
    <m/>
    <m/>
    <m/>
    <s v="Проектирование"/>
    <d v="2024-07-02T00:00:00"/>
    <s v="ПриПро"/>
    <s v="Сакорггаз"/>
    <d v="2024-01-09T00:00:00"/>
    <s v="BCG-240109-1/0(19)"/>
    <m/>
    <m/>
    <s v="No"/>
  </r>
  <r>
    <n v="2370"/>
    <s v="Самцхе Джавахети"/>
    <s v="Борджоми"/>
    <s v="(20) ქ. ბორჯომში, რაზმაძის ქ. გაზსადენის სარეაბილიტაცია (P.3.123)"/>
    <x v="5"/>
    <n v="110000"/>
    <n v="2"/>
    <n v="293675.11499999999"/>
    <m/>
    <n v="266831.78999999998"/>
    <n v="-156831.78999999998"/>
    <n v="26843.325000000012"/>
    <n v="2660.3"/>
    <n v="26843.325000000012"/>
    <n v="1"/>
    <m/>
    <s v="P.3.123"/>
    <n v="193675.11499999999"/>
    <n v="29543.66"/>
    <m/>
    <m/>
    <n v="180000"/>
    <m/>
    <n v="13675.115"/>
    <n v="27457.63"/>
    <m/>
    <n v="2086.0300000000002"/>
    <m/>
    <m/>
    <m/>
    <m/>
    <m/>
    <m/>
    <m/>
    <m/>
    <m/>
    <m/>
    <m/>
    <m/>
    <m/>
    <m/>
    <m/>
    <m/>
    <m/>
    <n v="0"/>
    <n v="0"/>
    <n v="0"/>
    <n v="0"/>
    <n v="0"/>
    <n v="0"/>
    <n v="84745.76"/>
    <n v="7690.97"/>
    <m/>
    <m/>
    <n v="152542.37"/>
    <n v="1872.3"/>
    <m/>
    <m/>
    <s v="Реаб."/>
    <d v="2025-03-12T00:00:00"/>
    <s v="Принят"/>
    <s v="Сакорггаз"/>
    <d v="2024-01-09T00:00:00"/>
    <s v="BCG-240109-1/0(20)"/>
    <m/>
    <m/>
    <s v="Yes"/>
  </r>
  <r>
    <n v="2371"/>
    <s v="Шида Картли"/>
    <s v="Гори"/>
    <s v="(21) სოფ. კარალეთი 1 ქუჩის განშტოება გაზსადენის რეაბილიტაცია (P.3.712)"/>
    <x v="12"/>
    <n v="10316.25"/>
    <n v="2"/>
    <n v="10316.25"/>
    <m/>
    <n v="1573.665"/>
    <n v="8742.5849999999991"/>
    <n v="8742.5849999999991"/>
    <m/>
    <n v="8742.5849999999991"/>
    <n v="2"/>
    <m/>
    <s v="P.3.712"/>
    <n v="10316.25"/>
    <n v="1573.665"/>
    <n v="10316.25"/>
    <n v="0"/>
    <m/>
    <n v="1573.665"/>
    <m/>
    <m/>
    <m/>
    <m/>
    <m/>
    <m/>
    <m/>
    <m/>
    <m/>
    <m/>
    <m/>
    <m/>
    <m/>
    <m/>
    <m/>
    <m/>
    <m/>
    <m/>
    <m/>
    <m/>
    <m/>
    <n v="0"/>
    <n v="0"/>
    <n v="0"/>
    <n v="0"/>
    <n v="0"/>
    <n v="0"/>
    <m/>
    <m/>
    <m/>
    <m/>
    <m/>
    <m/>
    <m/>
    <m/>
    <s v="Проектирование"/>
    <d v="2025-01-06T00:00:00"/>
    <s v="ПриПро"/>
    <s v="Сакорггаз"/>
    <d v="2024-01-09T00:00:00"/>
    <s v="BCG-240109-1/0(21)"/>
    <m/>
    <m/>
    <s v="No"/>
  </r>
  <r>
    <n v="2372"/>
    <s v="Шида Картли"/>
    <s v="Гори"/>
    <s v="(22) სოფ. კარალეთი 1 ქუჩის განშტოება გაზსადენის რეაბილიტაცია (P.3.712)"/>
    <x v="5"/>
    <n v="269528"/>
    <s v="აკლასნიკური განფასებით"/>
    <n v="100000"/>
    <m/>
    <n v="100000.23699999999"/>
    <n v="169527.76300000001"/>
    <n v="-0.23699999999371357"/>
    <m/>
    <n v="169527.76300000001"/>
    <n v="1"/>
    <m/>
    <s v="P.3.712"/>
    <n v="100000"/>
    <n v="15254.236999999999"/>
    <n v="100000"/>
    <m/>
    <m/>
    <n v="15254.236999999999"/>
    <m/>
    <m/>
    <m/>
    <m/>
    <m/>
    <m/>
    <m/>
    <m/>
    <m/>
    <m/>
    <m/>
    <m/>
    <m/>
    <m/>
    <m/>
    <m/>
    <m/>
    <m/>
    <m/>
    <m/>
    <m/>
    <n v="0"/>
    <n v="0"/>
    <n v="0"/>
    <n v="0"/>
    <n v="0"/>
    <n v="0"/>
    <m/>
    <m/>
    <m/>
    <m/>
    <n v="84746"/>
    <m/>
    <m/>
    <m/>
    <s v="Реаб."/>
    <m/>
    <n v="55"/>
    <s v="Сакорггаз"/>
    <d v="2024-01-09T00:00:00"/>
    <s v="BCG-240109-1/0(22)"/>
    <m/>
    <m/>
    <s v="Yes"/>
  </r>
  <r>
    <n v="2373"/>
    <s v="Самцхе Джавахети"/>
    <s v="Борджоми"/>
    <s v="(23) ქ. ბორჯომში, კომპოზიტორთა შემოქმედებითი სახლიდან პლატოს საბაგირომდე საშ. წნევის დ=100 მიწისქვეშა ფოლადის გაზსადენის რეაბილიტაცია (P.3.127)"/>
    <x v="12"/>
    <n v="0"/>
    <n v="2"/>
    <m/>
    <m/>
    <m/>
    <n v="0"/>
    <n v="0"/>
    <m/>
    <n v="0"/>
    <n v="2"/>
    <m/>
    <s v="P.3.127"/>
    <n v="0"/>
    <n v="0"/>
    <m/>
    <m/>
    <m/>
    <m/>
    <m/>
    <m/>
    <m/>
    <m/>
    <m/>
    <m/>
    <m/>
    <m/>
    <m/>
    <m/>
    <m/>
    <m/>
    <m/>
    <m/>
    <m/>
    <m/>
    <m/>
    <m/>
    <m/>
    <m/>
    <m/>
    <n v="0"/>
    <n v="0"/>
    <n v="0"/>
    <n v="0"/>
    <n v="0"/>
    <n v="0"/>
    <m/>
    <m/>
    <m/>
    <m/>
    <m/>
    <m/>
    <m/>
    <m/>
    <s v="Проектирование"/>
    <m/>
    <n v="0"/>
    <s v="Сакорггаз"/>
    <d v="2024-01-09T00:00:00"/>
    <s v="BCG-240109-1/0(23)"/>
    <m/>
    <m/>
    <s v="No"/>
  </r>
  <r>
    <n v="2374"/>
    <s v="Самцхе Джавахети"/>
    <s v="Борджоми"/>
    <s v="(24) ქ. ბორჯომში, კომპოზიტორთა შემოქმედებითი სახლიდან პლატოს საბაგირომდე საშ. წნევის დ=100 მიწისქვეშა ფოლადის გაზსადენის რეაბილიტაცია (P.3.127)"/>
    <x v="5"/>
    <n v="95000"/>
    <n v="2"/>
    <m/>
    <m/>
    <m/>
    <n v="95000"/>
    <n v="0"/>
    <m/>
    <n v="95000"/>
    <n v="1"/>
    <m/>
    <s v="P.3.127"/>
    <n v="0"/>
    <n v="0"/>
    <m/>
    <m/>
    <m/>
    <m/>
    <m/>
    <m/>
    <m/>
    <m/>
    <m/>
    <m/>
    <m/>
    <m/>
    <m/>
    <m/>
    <m/>
    <m/>
    <m/>
    <m/>
    <m/>
    <m/>
    <m/>
    <m/>
    <m/>
    <m/>
    <m/>
    <n v="0"/>
    <n v="0"/>
    <n v="0"/>
    <n v="0"/>
    <n v="0"/>
    <n v="0"/>
    <m/>
    <m/>
    <m/>
    <m/>
    <m/>
    <m/>
    <m/>
    <m/>
    <s v="Реаб."/>
    <m/>
    <n v="0"/>
    <s v="Сакорггаз"/>
    <d v="2024-01-09T00:00:00"/>
    <s v="BCG-240109-1/0(24)"/>
    <m/>
    <m/>
    <s v="Yes"/>
  </r>
  <r>
    <n v="2375"/>
    <s v="Шида Картли"/>
    <s v="Гори"/>
    <s v="(25) სოფ. თორტიზაში გამავალი გაზსადენის რეკონსტრუქცია (P.3.215)"/>
    <x v="12"/>
    <n v="17886.75"/>
    <n v="2"/>
    <n v="17886.75"/>
    <m/>
    <n v="17886.75"/>
    <n v="0"/>
    <n v="0"/>
    <m/>
    <n v="0"/>
    <n v="0"/>
    <m/>
    <s v="P.3.215"/>
    <n v="0"/>
    <n v="0"/>
    <m/>
    <m/>
    <m/>
    <m/>
    <m/>
    <m/>
    <m/>
    <m/>
    <m/>
    <m/>
    <m/>
    <m/>
    <m/>
    <m/>
    <m/>
    <m/>
    <m/>
    <m/>
    <m/>
    <m/>
    <m/>
    <m/>
    <m/>
    <m/>
    <m/>
    <n v="0"/>
    <n v="0"/>
    <n v="0"/>
    <n v="0"/>
    <n v="0"/>
    <n v="0"/>
    <m/>
    <m/>
    <m/>
    <m/>
    <m/>
    <m/>
    <m/>
    <m/>
    <s v="Проектирование"/>
    <d v="2024-12-19T00:00:00"/>
    <s v="ПриПро"/>
    <s v="Сакорггаз"/>
    <d v="2024-01-09T00:00:00"/>
    <s v="BCG-240109-1/0(25)"/>
    <m/>
    <m/>
    <s v="No"/>
  </r>
  <r>
    <n v="2376"/>
    <s v="Шида Картли"/>
    <s v="Гори"/>
    <s v="(26) სოფ. თორტიზაში გამავალი გაზსადენის რეკონსტრუქცია (P.3.215)"/>
    <x v="5"/>
    <n v="90000"/>
    <n v="2"/>
    <n v="400000"/>
    <m/>
    <n v="399999.95"/>
    <n v="-309999.95"/>
    <n v="4.9999999988358468E-2"/>
    <m/>
    <n v="-309999.95"/>
    <n v="1"/>
    <m/>
    <s v="P.3.215"/>
    <n v="400000"/>
    <n v="61016.95"/>
    <n v="400000"/>
    <m/>
    <m/>
    <n v="61016.95"/>
    <m/>
    <m/>
    <m/>
    <m/>
    <m/>
    <m/>
    <m/>
    <m/>
    <m/>
    <m/>
    <m/>
    <m/>
    <m/>
    <m/>
    <m/>
    <m/>
    <m/>
    <m/>
    <m/>
    <m/>
    <m/>
    <n v="0"/>
    <n v="0"/>
    <n v="0"/>
    <n v="0"/>
    <n v="0"/>
    <n v="0"/>
    <n v="0"/>
    <m/>
    <m/>
    <m/>
    <n v="338983"/>
    <m/>
    <m/>
    <m/>
    <s v="Реаб."/>
    <m/>
    <n v="80"/>
    <s v="Сакорггаз"/>
    <d v="2024-01-09T00:00:00"/>
    <s v="BCG-240109-1/0(26)"/>
    <m/>
    <m/>
    <s v="Yes"/>
  </r>
  <r>
    <n v="2377"/>
    <s v="Шида Картли"/>
    <s v="Гори"/>
    <s v="(27) ქ. გორში, გ. ბრწყინვალის ქუჩის რეაბილიტაცია (P.3.209)"/>
    <x v="12"/>
    <n v="0"/>
    <n v="2"/>
    <m/>
    <m/>
    <m/>
    <n v="0"/>
    <n v="0"/>
    <m/>
    <n v="0"/>
    <n v="2"/>
    <m/>
    <s v="P.3.209"/>
    <n v="0"/>
    <n v="0"/>
    <m/>
    <m/>
    <m/>
    <m/>
    <m/>
    <m/>
    <m/>
    <m/>
    <m/>
    <m/>
    <m/>
    <m/>
    <m/>
    <m/>
    <m/>
    <m/>
    <m/>
    <m/>
    <m/>
    <m/>
    <m/>
    <m/>
    <m/>
    <m/>
    <m/>
    <n v="0"/>
    <n v="0"/>
    <n v="0"/>
    <n v="0"/>
    <n v="0"/>
    <n v="0"/>
    <m/>
    <m/>
    <m/>
    <m/>
    <m/>
    <m/>
    <m/>
    <m/>
    <s v="Проектирование"/>
    <m/>
    <n v="0"/>
    <s v="Сакорггаз"/>
    <d v="2024-01-09T00:00:00"/>
    <s v="BCG-240109-1/0(27)"/>
    <m/>
    <m/>
    <s v="No"/>
  </r>
  <r>
    <n v="2378"/>
    <s v="Шида Картли"/>
    <s v="Гори"/>
    <s v="(28) ქ. გორში, გ. ბრწყინვალის ქუჩის რეაბილიტაცია (P.3.209)"/>
    <x v="5"/>
    <n v="70000"/>
    <n v="2"/>
    <m/>
    <m/>
    <m/>
    <n v="70000"/>
    <n v="0"/>
    <m/>
    <n v="70000"/>
    <n v="1"/>
    <m/>
    <s v="P.3.209"/>
    <n v="0"/>
    <n v="0"/>
    <m/>
    <m/>
    <m/>
    <m/>
    <m/>
    <m/>
    <m/>
    <m/>
    <m/>
    <m/>
    <m/>
    <m/>
    <m/>
    <m/>
    <m/>
    <m/>
    <m/>
    <m/>
    <m/>
    <m/>
    <m/>
    <m/>
    <m/>
    <m/>
    <m/>
    <n v="0"/>
    <n v="0"/>
    <n v="0"/>
    <n v="0"/>
    <n v="0"/>
    <n v="0"/>
    <m/>
    <m/>
    <m/>
    <m/>
    <m/>
    <m/>
    <m/>
    <m/>
    <s v="Реаб."/>
    <m/>
    <n v="0"/>
    <s v="Сакорггаз"/>
    <d v="2024-01-09T00:00:00"/>
    <s v="BCG-240109-1/0(28)"/>
    <m/>
    <m/>
    <s v="Yes"/>
  </r>
  <r>
    <n v="2379"/>
    <s v="Шида Картли"/>
    <s v="Каспи"/>
    <s v="(29) ქ კასპი, იას ქუჩაზე საშუალო წნევის დ100მმ გაზსადენის აშენება გაზ მომარაგების გაუმჯობესების მიზნით (დარგოლვა) (P.3.193)"/>
    <x v="12"/>
    <n v="1604.05"/>
    <n v="2"/>
    <n v="1604.05"/>
    <m/>
    <n v="244.69"/>
    <n v="1359.36"/>
    <n v="1359.36"/>
    <m/>
    <n v="1359.36"/>
    <n v="2"/>
    <m/>
    <s v="P.3.193"/>
    <n v="1604.05"/>
    <n v="244.69"/>
    <n v="1604.05"/>
    <n v="0"/>
    <m/>
    <n v="244.69"/>
    <m/>
    <m/>
    <m/>
    <m/>
    <m/>
    <m/>
    <m/>
    <m/>
    <m/>
    <m/>
    <m/>
    <m/>
    <m/>
    <m/>
    <m/>
    <m/>
    <m/>
    <m/>
    <m/>
    <m/>
    <m/>
    <n v="0"/>
    <n v="0"/>
    <n v="0"/>
    <n v="0"/>
    <n v="0"/>
    <n v="0"/>
    <m/>
    <m/>
    <m/>
    <m/>
    <m/>
    <m/>
    <m/>
    <m/>
    <s v="Проектирование"/>
    <d v="2025-01-06T00:00:00"/>
    <s v="ПриПро"/>
    <s v="Сакорггаз"/>
    <d v="2024-01-09T00:00:00"/>
    <s v="BCG-240109-1/0(29)"/>
    <m/>
    <m/>
    <s v="No"/>
  </r>
  <r>
    <n v="2380"/>
    <s v="Шида Картли"/>
    <s v="Каспи"/>
    <s v="(30) ქ კასპი, იას ქუჩაზე საშუალო წნევის დ100მმ გაზსადენის აშენება გაზ მომარაგების გაუმჯობესების მიზნით (დარგოლვა) (P.3.193)"/>
    <x v="5"/>
    <n v="67997"/>
    <s v="აკლასნიკური განფასებით"/>
    <n v="50000"/>
    <m/>
    <n v="7627.12"/>
    <n v="60369.88"/>
    <n v="42372.88"/>
    <m/>
    <n v="60369.88"/>
    <n v="1"/>
    <m/>
    <s v="P.3.193"/>
    <n v="50000"/>
    <n v="7627.12"/>
    <m/>
    <m/>
    <m/>
    <m/>
    <n v="50000"/>
    <m/>
    <m/>
    <n v="7627.12"/>
    <m/>
    <m/>
    <m/>
    <m/>
    <m/>
    <m/>
    <m/>
    <m/>
    <m/>
    <m/>
    <m/>
    <m/>
    <m/>
    <m/>
    <m/>
    <m/>
    <m/>
    <n v="0"/>
    <n v="0"/>
    <n v="0"/>
    <n v="0"/>
    <n v="0"/>
    <n v="0"/>
    <m/>
    <m/>
    <m/>
    <m/>
    <m/>
    <m/>
    <m/>
    <m/>
    <s v="Реаб."/>
    <m/>
    <n v="0"/>
    <s v="Сакорггаз"/>
    <d v="2024-01-09T00:00:00"/>
    <s v="BCG-240109-1/0(30)"/>
    <m/>
    <m/>
    <s v="Yes"/>
  </r>
  <r>
    <n v="2381"/>
    <s v="Самцхе Джавахети"/>
    <s v="Адигени"/>
    <s v="(31) გაზსადენის რეაბილიტაცია სოფ არალში (P.3.827)"/>
    <x v="12"/>
    <n v="754.25"/>
    <n v="2"/>
    <n v="754.25"/>
    <m/>
    <n v="754.25"/>
    <n v="0"/>
    <n v="0"/>
    <m/>
    <n v="0"/>
    <n v="0"/>
    <m/>
    <s v="P.3.827"/>
    <n v="0"/>
    <n v="0"/>
    <m/>
    <m/>
    <m/>
    <m/>
    <m/>
    <m/>
    <m/>
    <m/>
    <m/>
    <m/>
    <m/>
    <m/>
    <m/>
    <m/>
    <m/>
    <m/>
    <m/>
    <m/>
    <m/>
    <m/>
    <m/>
    <m/>
    <m/>
    <m/>
    <m/>
    <n v="0"/>
    <n v="0"/>
    <n v="0"/>
    <n v="0"/>
    <n v="0"/>
    <n v="0"/>
    <m/>
    <m/>
    <m/>
    <m/>
    <m/>
    <m/>
    <m/>
    <m/>
    <s v="Проектирование"/>
    <d v="2024-12-20T00:00:00"/>
    <s v="ПриПро"/>
    <s v="Сакорггаз"/>
    <d v="2024-01-09T00:00:00"/>
    <s v="BCG-240109-1/0(31)"/>
    <m/>
    <m/>
    <s v="No"/>
  </r>
  <r>
    <n v="2382"/>
    <s v="Самцхе Джавахети"/>
    <s v="Адигени"/>
    <s v="(32) გაზსადენის რეაბილიტაცია სოფ არალში (P.3.827)"/>
    <x v="5"/>
    <n v="70000"/>
    <n v="2"/>
    <n v="14927.12"/>
    <m/>
    <n v="14141.42"/>
    <n v="55858.58"/>
    <n v="785.70000000000073"/>
    <n v="398"/>
    <n v="785.70000000000073"/>
    <n v="1"/>
    <m/>
    <s v="P.3.827"/>
    <n v="14927.12"/>
    <n v="2277.0100000000002"/>
    <m/>
    <m/>
    <n v="14000"/>
    <m/>
    <n v="927.12"/>
    <n v="2135.59"/>
    <m/>
    <n v="141.41999999999999"/>
    <m/>
    <m/>
    <m/>
    <m/>
    <m/>
    <m/>
    <m/>
    <m/>
    <m/>
    <m/>
    <m/>
    <m/>
    <m/>
    <m/>
    <m/>
    <m/>
    <m/>
    <n v="0"/>
    <n v="0"/>
    <n v="0"/>
    <n v="0"/>
    <n v="0"/>
    <n v="0"/>
    <m/>
    <m/>
    <m/>
    <m/>
    <n v="11864.41"/>
    <n v="145.62"/>
    <m/>
    <m/>
    <s v="Реаб."/>
    <d v="2025-03-12T00:00:00"/>
    <s v="Принят"/>
    <s v="Сакорггаз"/>
    <d v="2024-01-09T00:00:00"/>
    <s v="BCG-240109-1/0(32)"/>
    <m/>
    <m/>
    <s v="Yes"/>
  </r>
  <r>
    <n v="2383"/>
    <s v="Шида Картли"/>
    <s v="Каспи"/>
    <s v="(33) ხეთაგუროვის ქუჩაზე მიჯნებიდან გაზსადენის გამოტანა და ახალ ქსელზე გადაერთება (P.3.843)"/>
    <x v="12"/>
    <n v="0"/>
    <n v="2"/>
    <n v="0"/>
    <m/>
    <n v="0"/>
    <n v="0"/>
    <n v="0"/>
    <m/>
    <n v="0"/>
    <n v="2"/>
    <m/>
    <s v="P.3.843"/>
    <n v="0"/>
    <n v="0"/>
    <m/>
    <m/>
    <m/>
    <m/>
    <m/>
    <m/>
    <m/>
    <m/>
    <m/>
    <m/>
    <m/>
    <m/>
    <m/>
    <m/>
    <m/>
    <m/>
    <m/>
    <m/>
    <m/>
    <m/>
    <m/>
    <m/>
    <m/>
    <m/>
    <m/>
    <n v="0"/>
    <n v="0"/>
    <n v="0"/>
    <n v="0"/>
    <n v="0"/>
    <n v="0"/>
    <m/>
    <m/>
    <m/>
    <m/>
    <m/>
    <m/>
    <m/>
    <m/>
    <s v="Проектирование"/>
    <m/>
    <n v="0"/>
    <s v="Сакорггаз"/>
    <d v="2024-01-09T00:00:00"/>
    <s v="BCG-240109-1/0(33)"/>
    <m/>
    <m/>
    <s v="No"/>
  </r>
  <r>
    <n v="2384"/>
    <s v="Шида Картли"/>
    <s v="Каспи"/>
    <s v="(34) ხეთაგუროვის ქუჩაზე მიჯნებიდან გაზსადენის გამოტანა და ახალ ქსელზე გადაერთება (P.3.843)"/>
    <x v="5"/>
    <n v="50000"/>
    <n v="2"/>
    <n v="41000"/>
    <m/>
    <n v="6254.2370000000001"/>
    <n v="43745.762999999999"/>
    <n v="34745.762999999999"/>
    <m/>
    <n v="43745.762999999999"/>
    <n v="1"/>
    <m/>
    <s v="P.3.843"/>
    <n v="41000"/>
    <n v="6254.2370000000001"/>
    <m/>
    <m/>
    <n v="41000"/>
    <m/>
    <m/>
    <n v="6254.2370000000001"/>
    <m/>
    <m/>
    <m/>
    <m/>
    <m/>
    <m/>
    <m/>
    <m/>
    <m/>
    <m/>
    <m/>
    <m/>
    <m/>
    <m/>
    <m/>
    <m/>
    <m/>
    <m/>
    <m/>
    <n v="0"/>
    <n v="0"/>
    <n v="0"/>
    <n v="0"/>
    <n v="0"/>
    <n v="0"/>
    <m/>
    <m/>
    <m/>
    <m/>
    <m/>
    <m/>
    <m/>
    <m/>
    <s v="Реаб."/>
    <m/>
    <n v="0"/>
    <s v="Сакорггаз"/>
    <d v="2024-01-09T00:00:00"/>
    <s v="BCG-240109-1/0(34)"/>
    <m/>
    <m/>
    <s v="Yes"/>
  </r>
  <r>
    <n v="2385"/>
    <s v="Шида Картли"/>
    <s v="Гори"/>
    <s v="(35) ქ. გორში, ჭანტურიას ქუჩის რეაბილიტაცია (P.3.208)"/>
    <x v="12"/>
    <n v="0"/>
    <n v="2"/>
    <m/>
    <m/>
    <m/>
    <n v="0"/>
    <n v="0"/>
    <m/>
    <n v="0"/>
    <n v="2"/>
    <m/>
    <s v="P.3.208"/>
    <n v="0"/>
    <n v="0"/>
    <m/>
    <m/>
    <m/>
    <m/>
    <m/>
    <m/>
    <m/>
    <m/>
    <m/>
    <m/>
    <m/>
    <m/>
    <m/>
    <m/>
    <m/>
    <m/>
    <m/>
    <m/>
    <m/>
    <m/>
    <m/>
    <m/>
    <m/>
    <m/>
    <m/>
    <n v="0"/>
    <n v="0"/>
    <n v="0"/>
    <n v="0"/>
    <n v="0"/>
    <n v="0"/>
    <m/>
    <m/>
    <m/>
    <m/>
    <m/>
    <m/>
    <m/>
    <m/>
    <s v="Проектирование"/>
    <m/>
    <n v="0"/>
    <s v="Сакорггаз"/>
    <d v="2024-01-09T00:00:00"/>
    <s v="BCG-240109-1/0(35)"/>
    <m/>
    <m/>
    <s v="No"/>
  </r>
  <r>
    <n v="2386"/>
    <s v="Шида Картли"/>
    <s v="Гори"/>
    <s v="(36) ქ. გორში, ჭანტურიას ქუჩის რეაბილიტაცია (P.3.208)"/>
    <x v="5"/>
    <n v="40000"/>
    <n v="2"/>
    <m/>
    <m/>
    <m/>
    <n v="40000"/>
    <n v="0"/>
    <m/>
    <n v="40000"/>
    <n v="1"/>
    <m/>
    <s v="P.3.208"/>
    <n v="0"/>
    <n v="0"/>
    <m/>
    <m/>
    <m/>
    <m/>
    <m/>
    <m/>
    <m/>
    <m/>
    <m/>
    <m/>
    <m/>
    <m/>
    <m/>
    <m/>
    <m/>
    <m/>
    <m/>
    <m/>
    <m/>
    <m/>
    <m/>
    <m/>
    <m/>
    <m/>
    <m/>
    <n v="0"/>
    <n v="0"/>
    <n v="0"/>
    <n v="0"/>
    <n v="0"/>
    <n v="0"/>
    <m/>
    <m/>
    <m/>
    <m/>
    <m/>
    <m/>
    <m/>
    <m/>
    <s v="Реаб."/>
    <m/>
    <n v="0"/>
    <s v="Сакорггаз"/>
    <d v="2024-01-09T00:00:00"/>
    <s v="BCG-240109-1/0(36)"/>
    <m/>
    <m/>
    <s v="Yes"/>
  </r>
  <r>
    <n v="2387"/>
    <s v="Самцхе Джавахети"/>
    <s v="Борджоми"/>
    <s v="(37) სოფ. მზეთამზეს შესასვლელიდან დაბა წაღვერის აღრიცხვის კვანძამდე, მკვებავი d=100 გაზსადენის 400 მ. რეაბილიტაცია. (P.3.781)"/>
    <x v="12"/>
    <n v="2929.5"/>
    <n v="2"/>
    <n v="2929.5"/>
    <m/>
    <n v="446.87"/>
    <n v="2482.63"/>
    <n v="2482.63"/>
    <m/>
    <n v="2482.63"/>
    <n v="2"/>
    <m/>
    <s v="P.3.781"/>
    <n v="0"/>
    <n v="446.87"/>
    <m/>
    <n v="446.87"/>
    <m/>
    <m/>
    <m/>
    <m/>
    <m/>
    <m/>
    <m/>
    <m/>
    <m/>
    <m/>
    <m/>
    <m/>
    <m/>
    <m/>
    <m/>
    <m/>
    <m/>
    <m/>
    <m/>
    <m/>
    <m/>
    <m/>
    <m/>
    <n v="0"/>
    <n v="0"/>
    <n v="0"/>
    <n v="0"/>
    <n v="0"/>
    <n v="0"/>
    <m/>
    <m/>
    <m/>
    <m/>
    <m/>
    <m/>
    <m/>
    <m/>
    <s v="Проектирование"/>
    <d v="2024-12-19T00:00:00"/>
    <s v="ПриПро"/>
    <s v="Сакорггаз"/>
    <d v="2024-01-09T00:00:00"/>
    <s v="BCG-240109-1/0(37)"/>
    <m/>
    <m/>
    <s v="No"/>
  </r>
  <r>
    <n v="2388"/>
    <s v="Самцхе Джавахети"/>
    <s v="Борджоми"/>
    <s v="(38) სოფ. მზეთამზეს შესასვლელიდან დაბა წაღვერის აღრიცხვის კვანძამდე, მკვებავი d=100 გაზსადენის 400 მ. რეაბილიტაცია. (P.3.781)"/>
    <x v="5"/>
    <n v="40000"/>
    <n v="2"/>
    <n v="156000"/>
    <m/>
    <n v="23796.61"/>
    <n v="16203.39"/>
    <n v="132203.39000000001"/>
    <m/>
    <n v="16203.39"/>
    <n v="1"/>
    <m/>
    <s v="P.3.781"/>
    <n v="156000"/>
    <n v="23796.61"/>
    <m/>
    <m/>
    <n v="156000"/>
    <m/>
    <m/>
    <n v="23796.61"/>
    <m/>
    <m/>
    <m/>
    <m/>
    <m/>
    <m/>
    <m/>
    <m/>
    <m/>
    <m/>
    <m/>
    <m/>
    <m/>
    <m/>
    <m/>
    <m/>
    <m/>
    <m/>
    <m/>
    <n v="0"/>
    <n v="0"/>
    <n v="0"/>
    <n v="0"/>
    <n v="0"/>
    <n v="0"/>
    <m/>
    <m/>
    <m/>
    <m/>
    <m/>
    <m/>
    <m/>
    <m/>
    <s v="Реаб."/>
    <m/>
    <n v="99"/>
    <s v="Сакорггаз"/>
    <d v="2024-01-09T00:00:00"/>
    <s v="BCG-240109-1/0(38)"/>
    <m/>
    <m/>
    <s v="Yes"/>
  </r>
  <r>
    <n v="2389"/>
    <s v="Шида Картли"/>
    <s v="Каспи"/>
    <s v="(39) სოფ ქვემოჭალაში ფოლადის მკვებავი გაზსადენის ამოცვლა პოლიეთილენის მილით  (P.3.842)"/>
    <x v="12"/>
    <n v="663.94999999999993"/>
    <n v="2"/>
    <n v="663.94999999999993"/>
    <m/>
    <n v="663.94999999999993"/>
    <n v="0"/>
    <n v="0"/>
    <m/>
    <n v="0"/>
    <n v="0"/>
    <m/>
    <s v="P.3.842"/>
    <n v="0"/>
    <n v="0"/>
    <m/>
    <m/>
    <m/>
    <m/>
    <m/>
    <m/>
    <m/>
    <m/>
    <m/>
    <m/>
    <m/>
    <m/>
    <m/>
    <m/>
    <m/>
    <m/>
    <m/>
    <m/>
    <m/>
    <m/>
    <m/>
    <m/>
    <m/>
    <m/>
    <m/>
    <n v="0"/>
    <n v="0"/>
    <n v="0"/>
    <n v="0"/>
    <n v="0"/>
    <n v="0"/>
    <m/>
    <m/>
    <m/>
    <m/>
    <m/>
    <m/>
    <m/>
    <m/>
    <s v="Проектирование"/>
    <d v="2024-11-01T00:00:00"/>
    <s v="ПриПро"/>
    <s v="Сакорггаз"/>
    <d v="2024-01-09T00:00:00"/>
    <s v="BCG-240109-1/0(39)"/>
    <m/>
    <m/>
    <s v="No"/>
  </r>
  <r>
    <n v="2390"/>
    <s v="Шида Картли"/>
    <s v="Каспи"/>
    <s v="(40) სოფ ქვემოჭალაში ფოლადის მკვებავი გაზსადენის ამოცვლა პოლიეთილენის მილით  (P.3.842)"/>
    <x v="5"/>
    <n v="35000"/>
    <n v="2"/>
    <n v="37443.78"/>
    <m/>
    <n v="36220.235000000001"/>
    <n v="-1220.2350000000006"/>
    <n v="1223.5449999999983"/>
    <n v="398"/>
    <n v="1223.5449999999983"/>
    <n v="1"/>
    <m/>
    <s v="P.3.842"/>
    <n v="37443.78"/>
    <n v="5711.7649999999994"/>
    <n v="36000"/>
    <m/>
    <m/>
    <n v="5491.5249999999996"/>
    <n v="1443.78"/>
    <m/>
    <m/>
    <n v="220.24"/>
    <m/>
    <m/>
    <m/>
    <m/>
    <m/>
    <m/>
    <m/>
    <m/>
    <m/>
    <m/>
    <m/>
    <m/>
    <m/>
    <m/>
    <m/>
    <m/>
    <s v="საბოლოო"/>
    <n v="0"/>
    <n v="0"/>
    <n v="0"/>
    <n v="0"/>
    <n v="0"/>
    <n v="0"/>
    <m/>
    <m/>
    <m/>
    <n v="3173.2016949152548"/>
    <n v="30508.47"/>
    <n v="454.7"/>
    <m/>
    <m/>
    <s v="Реаб."/>
    <d v="2025-03-12T00:00:00"/>
    <s v="Принят"/>
    <s v="Сакорггаз"/>
    <d v="2024-01-09T00:00:00"/>
    <s v="BCG-240109-1/0(40)"/>
    <m/>
    <m/>
    <s v="Yes"/>
  </r>
  <r>
    <n v="2391"/>
    <s v="Самцхе Джавахети"/>
    <s v="Борджоми"/>
    <s v="(41) დაბა ბაკურიანში №50-51-52-54 საუბნოზე და წაქაძის ქ. ,,მზიური ველის და ,,ვილა ნაძვის კორპუსებში მრიცხველების გამოტანა (P.3.41; (P.3.119))"/>
    <x v="12"/>
    <n v="0"/>
    <n v="2"/>
    <m/>
    <m/>
    <m/>
    <n v="0"/>
    <n v="0"/>
    <m/>
    <n v="0"/>
    <n v="2"/>
    <m/>
    <s v="P.3.41; (P.3.119)"/>
    <n v="0"/>
    <n v="0"/>
    <m/>
    <m/>
    <m/>
    <m/>
    <m/>
    <m/>
    <m/>
    <m/>
    <m/>
    <m/>
    <m/>
    <m/>
    <m/>
    <m/>
    <m/>
    <m/>
    <m/>
    <m/>
    <m/>
    <m/>
    <m/>
    <m/>
    <m/>
    <m/>
    <m/>
    <n v="0"/>
    <n v="0"/>
    <n v="0"/>
    <n v="0"/>
    <n v="0"/>
    <n v="0"/>
    <m/>
    <m/>
    <m/>
    <m/>
    <m/>
    <m/>
    <m/>
    <m/>
    <s v="Проектирование"/>
    <m/>
    <n v="0"/>
    <s v="Сакорггаз"/>
    <d v="2024-01-09T00:00:00"/>
    <s v="BCG-240109-1/0(41)"/>
    <m/>
    <m/>
    <s v="No"/>
  </r>
  <r>
    <n v="2392"/>
    <s v="Самцхе Джавахети"/>
    <s v="Борджоми"/>
    <s v="(42) დაბა ბაკურიანში №50-51-52-54 საუბნოზე და წაქაძის ქ. ,,მზიური ველის და ,,ვილა ნაძვის კორპუსებში მრიცხველების გამოტანა (P.3.41; (P.3.119))"/>
    <x v="5"/>
    <n v="60000"/>
    <n v="2"/>
    <m/>
    <m/>
    <m/>
    <n v="60000"/>
    <n v="0"/>
    <m/>
    <n v="60000"/>
    <n v="1"/>
    <m/>
    <s v="P.3.41; (P.3.119)"/>
    <n v="0"/>
    <n v="0"/>
    <m/>
    <m/>
    <m/>
    <m/>
    <m/>
    <m/>
    <m/>
    <m/>
    <m/>
    <m/>
    <m/>
    <m/>
    <m/>
    <m/>
    <m/>
    <m/>
    <m/>
    <m/>
    <m/>
    <m/>
    <m/>
    <m/>
    <m/>
    <m/>
    <m/>
    <n v="0"/>
    <n v="0"/>
    <n v="0"/>
    <n v="0"/>
    <n v="0"/>
    <n v="0"/>
    <m/>
    <m/>
    <m/>
    <m/>
    <m/>
    <m/>
    <m/>
    <m/>
    <s v="Реаб."/>
    <m/>
    <n v="0"/>
    <s v="Сакорггаз"/>
    <d v="2024-01-09T00:00:00"/>
    <s v="BCG-240109-1/0(42)"/>
    <m/>
    <m/>
    <s v="Yes"/>
  </r>
  <r>
    <n v="2393"/>
    <s v="Шида Картли"/>
    <s v="Гори"/>
    <s v="(43) სოფ. ბერბუკის გაზსადენის რეაბილიტაცია (P.3.86)"/>
    <x v="12"/>
    <n v="6303.5"/>
    <n v="2"/>
    <n v="6303.5"/>
    <m/>
    <n v="6303.5"/>
    <n v="0"/>
    <n v="0"/>
    <m/>
    <n v="0"/>
    <n v="0"/>
    <m/>
    <s v="P.3.86"/>
    <n v="0"/>
    <n v="0"/>
    <m/>
    <m/>
    <m/>
    <m/>
    <m/>
    <m/>
    <m/>
    <m/>
    <m/>
    <m/>
    <m/>
    <m/>
    <m/>
    <m/>
    <m/>
    <m/>
    <m/>
    <m/>
    <m/>
    <m/>
    <m/>
    <m/>
    <m/>
    <m/>
    <m/>
    <n v="0"/>
    <n v="0"/>
    <n v="0"/>
    <n v="0"/>
    <n v="0"/>
    <n v="0"/>
    <m/>
    <m/>
    <m/>
    <m/>
    <m/>
    <m/>
    <m/>
    <m/>
    <s v="Проектирование"/>
    <d v="2024-12-10T00:00:00"/>
    <s v="ПриПро"/>
    <s v="Сакорггаз"/>
    <d v="2024-01-09T00:00:00"/>
    <s v="BCG-240109-1/0(43)"/>
    <m/>
    <m/>
    <s v="No"/>
  </r>
  <r>
    <n v="2394"/>
    <s v="Шида Картли"/>
    <s v="Гори"/>
    <s v="(44) სოფ. ბერბუკის გაზსადენის რეაბილიტაცია (P.3.86)"/>
    <x v="5"/>
    <n v="35000"/>
    <n v="2"/>
    <n v="100000"/>
    <m/>
    <n v="100000.24"/>
    <n v="-65000.240000000005"/>
    <n v="-0.24000000000523869"/>
    <m/>
    <n v="-65000.240000000005"/>
    <n v="1"/>
    <m/>
    <s v="P.3.86"/>
    <n v="100000"/>
    <n v="15254.24"/>
    <n v="100000"/>
    <m/>
    <m/>
    <n v="15254.24"/>
    <m/>
    <m/>
    <m/>
    <m/>
    <m/>
    <m/>
    <m/>
    <m/>
    <m/>
    <m/>
    <m/>
    <m/>
    <m/>
    <m/>
    <m/>
    <m/>
    <m/>
    <m/>
    <m/>
    <m/>
    <m/>
    <n v="0"/>
    <n v="0"/>
    <n v="0"/>
    <n v="0"/>
    <n v="0"/>
    <n v="0"/>
    <m/>
    <m/>
    <m/>
    <m/>
    <n v="84746"/>
    <m/>
    <m/>
    <m/>
    <s v="Реаб."/>
    <m/>
    <n v="55"/>
    <s v="Сакорггаз"/>
    <d v="2024-01-09T00:00:00"/>
    <s v="BCG-240109-1/0(44)"/>
    <m/>
    <m/>
    <s v="Yes"/>
  </r>
  <r>
    <n v="2395"/>
    <s v="Шида Картли"/>
    <s v="Каспи"/>
    <s v="(45) ქ. კასპში რუსთაველის ქუჩაზე  გაზსადენის და მრიცხველების გამოტანა კერძო საკუთრებიდან (P.3.833)"/>
    <x v="12"/>
    <n v="745.5"/>
    <n v="2"/>
    <n v="745.5"/>
    <m/>
    <n v="745.5"/>
    <n v="0"/>
    <n v="0"/>
    <m/>
    <n v="0"/>
    <n v="0"/>
    <m/>
    <s v="P.3.833"/>
    <n v="0"/>
    <n v="0"/>
    <m/>
    <m/>
    <m/>
    <m/>
    <m/>
    <m/>
    <m/>
    <m/>
    <m/>
    <m/>
    <m/>
    <m/>
    <m/>
    <m/>
    <m/>
    <m/>
    <m/>
    <m/>
    <m/>
    <m/>
    <m/>
    <m/>
    <m/>
    <m/>
    <m/>
    <n v="0"/>
    <n v="0"/>
    <n v="0"/>
    <n v="0"/>
    <n v="0"/>
    <n v="0"/>
    <m/>
    <m/>
    <m/>
    <m/>
    <m/>
    <m/>
    <m/>
    <m/>
    <s v="Проектирование"/>
    <d v="2024-12-16T00:00:00"/>
    <s v="ПриПро"/>
    <s v="Сакорггаз"/>
    <d v="2024-01-09T00:00:00"/>
    <s v="BCG-240109-1/0(45)"/>
    <m/>
    <m/>
    <s v="No"/>
  </r>
  <r>
    <n v="2396"/>
    <s v="Шида Картли"/>
    <s v="Каспи"/>
    <s v="(46) ქ. კასპში რუსთაველის ქუჩაზე  გაზსადენის და მრიცხველების გამოტანა კერძო საკუთრებიდან (P.3.833)"/>
    <x v="5"/>
    <n v="30000"/>
    <n v="2"/>
    <m/>
    <m/>
    <m/>
    <n v="30000"/>
    <n v="0"/>
    <m/>
    <n v="30000"/>
    <n v="1"/>
    <m/>
    <s v="P.3.833"/>
    <n v="0"/>
    <n v="0"/>
    <m/>
    <m/>
    <m/>
    <m/>
    <m/>
    <m/>
    <m/>
    <m/>
    <m/>
    <m/>
    <m/>
    <m/>
    <m/>
    <m/>
    <m/>
    <m/>
    <m/>
    <m/>
    <m/>
    <m/>
    <m/>
    <m/>
    <m/>
    <m/>
    <m/>
    <n v="0"/>
    <n v="0"/>
    <n v="0"/>
    <n v="0"/>
    <n v="0"/>
    <n v="0"/>
    <m/>
    <m/>
    <m/>
    <m/>
    <m/>
    <m/>
    <m/>
    <m/>
    <s v="Реаб."/>
    <m/>
    <n v="0"/>
    <s v="Сакорггаз"/>
    <d v="2024-01-09T00:00:00"/>
    <s v="BCG-240109-1/0(46)"/>
    <m/>
    <m/>
    <s v="Yes"/>
  </r>
  <r>
    <n v="2397"/>
    <s v="Шида Картли"/>
    <s v="Каспи"/>
    <s v="(47) სოფელ თეზში მიწისქვეშა გაზსადენების ამოცვლა პოლიეთილენის მილით (P.3.841)"/>
    <x v="12"/>
    <n v="561.75"/>
    <n v="2"/>
    <n v="561.75"/>
    <m/>
    <n v="561.75"/>
    <n v="0"/>
    <n v="0"/>
    <m/>
    <n v="0"/>
    <n v="0"/>
    <m/>
    <s v="P.3.841"/>
    <n v="0"/>
    <n v="0"/>
    <m/>
    <m/>
    <m/>
    <m/>
    <m/>
    <m/>
    <m/>
    <m/>
    <m/>
    <m/>
    <m/>
    <m/>
    <m/>
    <m/>
    <m/>
    <m/>
    <m/>
    <m/>
    <m/>
    <m/>
    <m/>
    <m/>
    <m/>
    <m/>
    <m/>
    <n v="0"/>
    <n v="0"/>
    <n v="0"/>
    <n v="0"/>
    <n v="0"/>
    <n v="0"/>
    <m/>
    <m/>
    <m/>
    <m/>
    <m/>
    <m/>
    <m/>
    <m/>
    <s v="Проектирование"/>
    <d v="2024-12-16T00:00:00"/>
    <s v="ПриПро"/>
    <s v="Сакорггаз"/>
    <d v="2024-01-09T00:00:00"/>
    <s v="BCG-240109-1/0(47)"/>
    <m/>
    <m/>
    <s v="No"/>
  </r>
  <r>
    <n v="2398"/>
    <s v="Шида Картли"/>
    <s v="Каспи"/>
    <s v="(48) სოფელ თეზში მიწისქვეშა გაზსადენების ამოცვლა პოლიეთილენის მილით (P.3.841)"/>
    <x v="5"/>
    <n v="25000"/>
    <n v="2"/>
    <m/>
    <m/>
    <m/>
    <n v="25000"/>
    <n v="0"/>
    <m/>
    <n v="25000"/>
    <n v="1"/>
    <m/>
    <s v="P.3.841"/>
    <n v="0"/>
    <n v="0"/>
    <m/>
    <m/>
    <m/>
    <m/>
    <m/>
    <m/>
    <m/>
    <m/>
    <m/>
    <m/>
    <m/>
    <m/>
    <m/>
    <m/>
    <m/>
    <m/>
    <m/>
    <m/>
    <m/>
    <m/>
    <m/>
    <m/>
    <m/>
    <m/>
    <m/>
    <n v="0"/>
    <n v="0"/>
    <n v="0"/>
    <n v="0"/>
    <n v="0"/>
    <n v="0"/>
    <m/>
    <m/>
    <m/>
    <m/>
    <m/>
    <m/>
    <m/>
    <m/>
    <s v="Реаб."/>
    <m/>
    <n v="0"/>
    <s v="Сакорггаз"/>
    <d v="2024-01-09T00:00:00"/>
    <s v="BCG-240109-1/0(48)"/>
    <m/>
    <m/>
    <s v="Yes"/>
  </r>
  <r>
    <n v="2399"/>
    <s v="Шида Картли"/>
    <s v="Каспи"/>
    <s v="(49) ქ. კასპში ნინოშვილის ქუჩაზე საშუალო წნევის მიწისქვეშა გაზსადენის რეაბილიტაცია  (P.3.875)"/>
    <x v="12"/>
    <n v="551.25"/>
    <n v="2"/>
    <n v="551.25"/>
    <m/>
    <n v="551.25"/>
    <n v="0"/>
    <n v="0"/>
    <m/>
    <n v="0"/>
    <n v="0"/>
    <m/>
    <s v="P.3.875"/>
    <n v="0"/>
    <n v="0"/>
    <m/>
    <m/>
    <m/>
    <m/>
    <m/>
    <m/>
    <m/>
    <m/>
    <m/>
    <m/>
    <m/>
    <m/>
    <m/>
    <m/>
    <m/>
    <m/>
    <m/>
    <m/>
    <m/>
    <m/>
    <m/>
    <m/>
    <m/>
    <m/>
    <m/>
    <n v="0"/>
    <n v="0"/>
    <n v="0"/>
    <n v="0"/>
    <n v="0"/>
    <n v="0"/>
    <m/>
    <m/>
    <m/>
    <m/>
    <m/>
    <m/>
    <m/>
    <m/>
    <s v="Проектирование"/>
    <d v="2024-12-11T00:00:00"/>
    <s v="ПриПро"/>
    <s v="Сакорггаз"/>
    <d v="2024-01-09T00:00:00"/>
    <s v="BCG-240109-1/0(49)"/>
    <m/>
    <m/>
    <s v="No"/>
  </r>
  <r>
    <n v="2400"/>
    <s v="Шида Картли"/>
    <s v="Каспи"/>
    <s v="(50) ქ. კასპში ნინოშვილის ქუჩაზე საშუალო წნევის მიწისქვეშა გაზსადენის რეაბილიტაცია  (P.3.875)"/>
    <x v="5"/>
    <n v="25000"/>
    <n v="2"/>
    <m/>
    <m/>
    <m/>
    <n v="25000"/>
    <n v="0"/>
    <m/>
    <n v="25000"/>
    <n v="1"/>
    <m/>
    <s v="P.3.875"/>
    <n v="0"/>
    <n v="0"/>
    <m/>
    <m/>
    <m/>
    <m/>
    <m/>
    <m/>
    <m/>
    <m/>
    <m/>
    <m/>
    <m/>
    <m/>
    <m/>
    <m/>
    <m/>
    <m/>
    <m/>
    <m/>
    <m/>
    <m/>
    <m/>
    <m/>
    <m/>
    <m/>
    <m/>
    <n v="0"/>
    <n v="0"/>
    <n v="0"/>
    <n v="0"/>
    <n v="0"/>
    <n v="0"/>
    <m/>
    <m/>
    <m/>
    <m/>
    <m/>
    <m/>
    <m/>
    <m/>
    <s v="Реаб."/>
    <m/>
    <n v="0"/>
    <s v="Сакорггаз"/>
    <d v="2024-01-09T00:00:00"/>
    <s v="BCG-240109-1/0(50)"/>
    <m/>
    <m/>
    <s v="Yes"/>
  </r>
  <r>
    <n v="2401"/>
    <s v="Самцхе Джавахети"/>
    <s v="Адигени"/>
    <s v="(51) გაზსადენის რეაბილიტაცია სოფ უდეში (P.3.854 (P.3.821))"/>
    <x v="12"/>
    <n v="1582"/>
    <n v="2"/>
    <n v="1582"/>
    <m/>
    <n v="241.32"/>
    <n v="1340.68"/>
    <n v="1340.68"/>
    <m/>
    <n v="1340.68"/>
    <n v="2"/>
    <m/>
    <s v="P.3.854 (P.3.821)"/>
    <n v="1582"/>
    <n v="241.32"/>
    <n v="1582"/>
    <m/>
    <m/>
    <n v="241.32"/>
    <m/>
    <m/>
    <m/>
    <m/>
    <m/>
    <m/>
    <m/>
    <m/>
    <m/>
    <m/>
    <m/>
    <m/>
    <m/>
    <m/>
    <m/>
    <m/>
    <m/>
    <m/>
    <m/>
    <m/>
    <m/>
    <n v="0"/>
    <n v="0"/>
    <n v="0"/>
    <n v="0"/>
    <n v="0"/>
    <n v="0"/>
    <m/>
    <m/>
    <m/>
    <m/>
    <m/>
    <m/>
    <m/>
    <m/>
    <s v="Проектирование"/>
    <d v="2025-01-06T00:00:00"/>
    <s v="ПриПро"/>
    <s v="Сакорггаз"/>
    <d v="2024-01-09T00:00:00"/>
    <s v="BCG-240109-1/0(51)"/>
    <m/>
    <m/>
    <s v="No"/>
  </r>
  <r>
    <n v="2402"/>
    <s v="Самцхе Джавахети"/>
    <s v="Адигени"/>
    <s v="(52) გაზსადენის რეაბილიტაცია სოფ უდეში (P.3.854 (P.3.821))"/>
    <x v="5"/>
    <n v="42812"/>
    <s v="აკლასნიკური განფასებით"/>
    <n v="45811.46"/>
    <m/>
    <n v="42581.41"/>
    <n v="230.58999999999651"/>
    <n v="3230.0499999999956"/>
    <n v="803"/>
    <n v="3230.0499999999956"/>
    <n v="1"/>
    <m/>
    <s v="P.3.854 (P.3.821)"/>
    <n v="45811.46"/>
    <n v="6988.19"/>
    <m/>
    <m/>
    <n v="42000"/>
    <m/>
    <n v="3811.46"/>
    <n v="6406.78"/>
    <m/>
    <n v="581.41"/>
    <m/>
    <m/>
    <m/>
    <m/>
    <m/>
    <m/>
    <m/>
    <m/>
    <m/>
    <m/>
    <m/>
    <m/>
    <m/>
    <m/>
    <m/>
    <m/>
    <m/>
    <n v="0"/>
    <n v="0"/>
    <n v="0"/>
    <n v="0"/>
    <n v="0"/>
    <n v="0"/>
    <m/>
    <m/>
    <m/>
    <m/>
    <n v="35593.22"/>
    <n v="436.87"/>
    <m/>
    <m/>
    <s v="Реаб."/>
    <d v="2025-03-12T00:00:00"/>
    <s v="Принят"/>
    <s v="Сакорггаз"/>
    <d v="2024-01-09T00:00:00"/>
    <s v="BCG-240109-1/0(52)"/>
    <m/>
    <m/>
    <s v="Yes"/>
  </r>
  <r>
    <n v="2403"/>
    <s v="Самцхе Джавахети"/>
    <s v="Адигени"/>
    <s v="(53) ქალაქ ვალეში ფოლადის გაზსადენის რეაბილიტაცია (P.3.819 (P.3.828))"/>
    <x v="12"/>
    <n v="392"/>
    <n v="2"/>
    <n v="392"/>
    <m/>
    <n v="392"/>
    <n v="0"/>
    <n v="0"/>
    <m/>
    <n v="0"/>
    <n v="0"/>
    <m/>
    <s v="P.3.819 (P.3.828)"/>
    <n v="0"/>
    <n v="0"/>
    <m/>
    <m/>
    <m/>
    <m/>
    <m/>
    <m/>
    <m/>
    <m/>
    <m/>
    <m/>
    <m/>
    <m/>
    <m/>
    <m/>
    <m/>
    <m/>
    <m/>
    <m/>
    <m/>
    <m/>
    <m/>
    <m/>
    <m/>
    <m/>
    <m/>
    <n v="0"/>
    <n v="0"/>
    <n v="0"/>
    <n v="0"/>
    <n v="0"/>
    <n v="0"/>
    <m/>
    <m/>
    <m/>
    <m/>
    <m/>
    <m/>
    <m/>
    <m/>
    <s v="Проектирование"/>
    <d v="2024-11-01T00:00:00"/>
    <s v="ПриПро"/>
    <s v="Сакорггаз"/>
    <d v="2024-01-09T00:00:00"/>
    <s v="BCG-240109-1/0(53)"/>
    <m/>
    <m/>
    <s v="No"/>
  </r>
  <r>
    <n v="2404"/>
    <s v="Самцхе Джавахети"/>
    <s v="Адигени"/>
    <s v="(54) ქალაქ ვალეში ფოლადის გაზსადენის რეაბილიტაცია (P.3.819 (P.3.828))"/>
    <x v="5"/>
    <n v="70000"/>
    <n v="2"/>
    <n v="15892.05"/>
    <n v="15892.05"/>
    <n v="15892.05"/>
    <n v="54107.95"/>
    <n v="0"/>
    <n v="222.5"/>
    <n v="0"/>
    <n v="0"/>
    <m/>
    <s v="P.3.819 (P.3.828)"/>
    <n v="0"/>
    <n v="0"/>
    <m/>
    <m/>
    <m/>
    <m/>
    <m/>
    <m/>
    <m/>
    <m/>
    <m/>
    <m/>
    <m/>
    <m/>
    <m/>
    <m/>
    <m/>
    <m/>
    <m/>
    <m/>
    <m/>
    <m/>
    <m/>
    <m/>
    <m/>
    <m/>
    <m/>
    <n v="0"/>
    <n v="0"/>
    <n v="0"/>
    <n v="0"/>
    <n v="0"/>
    <n v="0"/>
    <m/>
    <m/>
    <n v="0"/>
    <n v="1346.7838983050849"/>
    <m/>
    <m/>
    <m/>
    <m/>
    <s v="Реаб."/>
    <d v="2024-11-25T00:00:00"/>
    <s v="Принят"/>
    <s v="Сакорггаз"/>
    <d v="2024-01-09T00:00:00"/>
    <s v="BCG-240109-1/0(54)"/>
    <m/>
    <m/>
    <s v="Yes"/>
  </r>
  <r>
    <n v="2405"/>
    <s v="Самцхе Джавахети"/>
    <s v="Борджоми"/>
    <s v="(55) დაბა ბაკურიანში, 9 აპრილის ქუჩაზე  გაზსადენის რეაბილიტაცია. (P.3.806; (P.3.807))"/>
    <x v="12"/>
    <n v="1951.25"/>
    <n v="2"/>
    <n v="1951.25"/>
    <m/>
    <n v="297.64800000000002"/>
    <n v="1653.6019999999999"/>
    <n v="1653.6019999999999"/>
    <m/>
    <n v="1653.6019999999999"/>
    <n v="2"/>
    <m/>
    <s v="P.3.806; (P.3.807)"/>
    <n v="1951.25"/>
    <n v="297.64800000000002"/>
    <n v="1951.25"/>
    <m/>
    <m/>
    <n v="297.64800000000002"/>
    <m/>
    <m/>
    <m/>
    <m/>
    <m/>
    <m/>
    <m/>
    <m/>
    <m/>
    <m/>
    <m/>
    <m/>
    <m/>
    <m/>
    <m/>
    <m/>
    <m/>
    <m/>
    <m/>
    <m/>
    <m/>
    <n v="0"/>
    <n v="0"/>
    <n v="0"/>
    <n v="0"/>
    <n v="0"/>
    <n v="0"/>
    <m/>
    <m/>
    <m/>
    <m/>
    <m/>
    <m/>
    <m/>
    <m/>
    <s v="Проектирование"/>
    <d v="2025-01-06T00:00:00"/>
    <s v="ПриПро"/>
    <s v="Сакорггаз"/>
    <d v="2024-01-09T00:00:00"/>
    <s v="BCG-240109-1/0(55)"/>
    <m/>
    <m/>
    <s v="No"/>
  </r>
  <r>
    <n v="2406"/>
    <s v="Самцхе Джавахети"/>
    <s v="Борджоми"/>
    <s v="(56) დაბა ბაკურიანში, 9 აპრილის ქუჩაზე  გაზსადენის რეაბილიტაცია. (P.3.806; (P.3.807))"/>
    <x v="5"/>
    <n v="75823"/>
    <s v="აკლასნიკური განფასებით"/>
    <m/>
    <m/>
    <m/>
    <n v="75823"/>
    <n v="0"/>
    <m/>
    <n v="75823"/>
    <n v="1"/>
    <m/>
    <s v="P.3.806; (P.3.807)"/>
    <n v="0"/>
    <n v="0"/>
    <m/>
    <m/>
    <m/>
    <m/>
    <m/>
    <m/>
    <m/>
    <m/>
    <m/>
    <m/>
    <m/>
    <m/>
    <m/>
    <m/>
    <m/>
    <m/>
    <m/>
    <m/>
    <m/>
    <m/>
    <m/>
    <m/>
    <m/>
    <m/>
    <m/>
    <n v="0"/>
    <n v="0"/>
    <n v="0"/>
    <n v="0"/>
    <n v="0"/>
    <n v="0"/>
    <m/>
    <m/>
    <m/>
    <m/>
    <m/>
    <m/>
    <m/>
    <m/>
    <s v="Реаб."/>
    <m/>
    <n v="0"/>
    <s v="Сакорггаз"/>
    <d v="2024-01-09T00:00:00"/>
    <s v="BCG-240109-1/0(56)"/>
    <m/>
    <m/>
    <s v="Yes"/>
  </r>
  <r>
    <n v="2407"/>
    <s v="Шида Картли"/>
    <s v="Каспи"/>
    <s v="(57) გურამიშვილის ქუჩაზე გაზსადენის და მრიცხველების გამოტანა კერძო საკუთრებიდან (P.3.844)"/>
    <x v="12"/>
    <n v="406.87"/>
    <n v="2"/>
    <n v="406.87"/>
    <m/>
    <n v="406.87"/>
    <n v="0"/>
    <n v="0"/>
    <m/>
    <n v="0"/>
    <n v="0"/>
    <m/>
    <s v="P.3.844"/>
    <n v="0"/>
    <n v="0"/>
    <m/>
    <m/>
    <m/>
    <m/>
    <m/>
    <m/>
    <m/>
    <m/>
    <m/>
    <m/>
    <m/>
    <m/>
    <m/>
    <m/>
    <m/>
    <m/>
    <m/>
    <m/>
    <m/>
    <m/>
    <m/>
    <m/>
    <m/>
    <m/>
    <m/>
    <n v="0"/>
    <n v="0"/>
    <n v="0"/>
    <n v="0"/>
    <n v="0"/>
    <n v="0"/>
    <m/>
    <m/>
    <m/>
    <m/>
    <m/>
    <m/>
    <m/>
    <m/>
    <s v="Проектирование"/>
    <d v="2024-12-11T00:00:00"/>
    <s v="ПриПро"/>
    <s v="Сакорггаз"/>
    <d v="2024-01-09T00:00:00"/>
    <s v="BCG-240109-1/0(57)"/>
    <m/>
    <m/>
    <s v="No"/>
  </r>
  <r>
    <n v="2408"/>
    <s v="Шида Картли"/>
    <s v="Каспи"/>
    <s v="(58) გურამიშვილის ქუჩაზე გაზსადენის და მრიცხველების გამოტანა კერძო საკუთრებიდან (P.3.844)"/>
    <x v="5"/>
    <n v="20000"/>
    <n v="2"/>
    <n v="15678.44"/>
    <m/>
    <n v="2391.63"/>
    <n v="17608.37"/>
    <n v="13286.810000000001"/>
    <n v="216"/>
    <n v="13286.810000000001"/>
    <n v="1"/>
    <m/>
    <s v="P.3.844"/>
    <n v="15678.44"/>
    <n v="2391.63"/>
    <m/>
    <m/>
    <m/>
    <m/>
    <m/>
    <m/>
    <n v="15678.44"/>
    <m/>
    <m/>
    <n v="2391.63"/>
    <m/>
    <m/>
    <m/>
    <m/>
    <m/>
    <m/>
    <m/>
    <m/>
    <m/>
    <m/>
    <m/>
    <m/>
    <m/>
    <m/>
    <m/>
    <n v="0"/>
    <n v="0"/>
    <n v="0"/>
    <n v="0"/>
    <n v="0"/>
    <n v="0"/>
    <n v="0"/>
    <n v="0"/>
    <n v="0"/>
    <n v="0"/>
    <n v="0"/>
    <n v="0"/>
    <n v="0"/>
    <n v="0"/>
    <s v="Реаб."/>
    <d v="2025-04-30T00:00:00"/>
    <s v="Принят"/>
    <s v="Сакорггаз"/>
    <d v="2024-01-09T00:00:00"/>
    <s v="BCG-240109-1/0(58)"/>
    <m/>
    <m/>
    <s v="Yes"/>
  </r>
  <r>
    <n v="2409"/>
    <s v="Шида Картли"/>
    <s v="Гори"/>
    <s v="(59) ლეონიძის ქუჩის რეაბილიტაცია (P.3.194)"/>
    <x v="12"/>
    <n v="0"/>
    <n v="2"/>
    <m/>
    <m/>
    <m/>
    <n v="0"/>
    <n v="0"/>
    <m/>
    <n v="0"/>
    <n v="2"/>
    <m/>
    <s v="P.3.194"/>
    <n v="0"/>
    <n v="0"/>
    <m/>
    <m/>
    <m/>
    <m/>
    <m/>
    <m/>
    <m/>
    <m/>
    <m/>
    <m/>
    <m/>
    <m/>
    <m/>
    <m/>
    <m/>
    <m/>
    <m/>
    <m/>
    <m/>
    <m/>
    <m/>
    <m/>
    <m/>
    <m/>
    <m/>
    <n v="0"/>
    <n v="0"/>
    <n v="0"/>
    <n v="0"/>
    <n v="0"/>
    <n v="0"/>
    <m/>
    <m/>
    <m/>
    <m/>
    <m/>
    <m/>
    <m/>
    <m/>
    <s v="Проектирование"/>
    <m/>
    <n v="0"/>
    <s v="Сакорггаз"/>
    <d v="2024-01-09T00:00:00"/>
    <s v="BCG-240109-1/0(59)"/>
    <m/>
    <m/>
    <s v="No"/>
  </r>
  <r>
    <n v="2410"/>
    <s v="Шида Картли"/>
    <s v="Гори"/>
    <s v="(60) ლეონიძის ქუჩის რეაბილიტაცია (P.3.194)"/>
    <x v="5"/>
    <n v="20000"/>
    <n v="2"/>
    <m/>
    <m/>
    <m/>
    <n v="20000"/>
    <n v="0"/>
    <m/>
    <n v="20000"/>
    <n v="1"/>
    <m/>
    <s v="P.3.194"/>
    <n v="0"/>
    <n v="0"/>
    <m/>
    <m/>
    <m/>
    <m/>
    <m/>
    <m/>
    <m/>
    <m/>
    <m/>
    <m/>
    <m/>
    <m/>
    <m/>
    <m/>
    <m/>
    <m/>
    <m/>
    <m/>
    <m/>
    <m/>
    <m/>
    <m/>
    <m/>
    <m/>
    <m/>
    <n v="0"/>
    <n v="0"/>
    <n v="0"/>
    <n v="0"/>
    <n v="0"/>
    <n v="0"/>
    <m/>
    <m/>
    <m/>
    <m/>
    <m/>
    <m/>
    <m/>
    <m/>
    <s v="Реаб."/>
    <m/>
    <n v="0"/>
    <s v="Сакорггаз"/>
    <d v="2024-01-09T00:00:00"/>
    <s v="BCG-240109-1/0(60)"/>
    <m/>
    <m/>
    <s v="Yes"/>
  </r>
  <r>
    <n v="2411"/>
    <s v="Шида Картли"/>
    <s v="Гори"/>
    <s v="(61) ქ. გორი ელიოზიშვილის ქუჩა გაზსადენის რეაბილიტაცია (P.3.732)"/>
    <x v="12"/>
    <n v="887.25"/>
    <n v="2"/>
    <n v="887.25"/>
    <m/>
    <n v="887.25"/>
    <n v="0"/>
    <n v="0"/>
    <m/>
    <n v="0"/>
    <n v="0"/>
    <m/>
    <s v="P.3.732"/>
    <n v="0"/>
    <n v="0"/>
    <m/>
    <m/>
    <m/>
    <m/>
    <m/>
    <m/>
    <m/>
    <m/>
    <m/>
    <m/>
    <m/>
    <m/>
    <m/>
    <m/>
    <m/>
    <m/>
    <m/>
    <m/>
    <m/>
    <m/>
    <m/>
    <m/>
    <m/>
    <m/>
    <m/>
    <n v="0"/>
    <n v="0"/>
    <n v="0"/>
    <n v="0"/>
    <n v="0"/>
    <n v="0"/>
    <m/>
    <m/>
    <m/>
    <m/>
    <m/>
    <m/>
    <m/>
    <m/>
    <s v="Проектирование"/>
    <d v="2024-12-10T00:00:00"/>
    <s v="ПриПро"/>
    <s v="Сакорггаз"/>
    <d v="2024-01-09T00:00:00"/>
    <s v="BCG-240109-1/0(61)"/>
    <m/>
    <m/>
    <s v="No"/>
  </r>
  <r>
    <n v="2412"/>
    <s v="Шида Картли"/>
    <s v="Гори"/>
    <s v="(62) ქ. გორი ელიოზიშვილის ქუჩა გაზსადენის რეაბილიტაცია (P.3.732)"/>
    <x v="5"/>
    <n v="20000"/>
    <n v="2"/>
    <m/>
    <m/>
    <m/>
    <n v="20000"/>
    <n v="0"/>
    <m/>
    <n v="20000"/>
    <n v="1"/>
    <m/>
    <s v="P.3.732"/>
    <n v="0"/>
    <n v="0"/>
    <m/>
    <m/>
    <m/>
    <m/>
    <m/>
    <m/>
    <m/>
    <m/>
    <m/>
    <m/>
    <m/>
    <m/>
    <m/>
    <m/>
    <m/>
    <m/>
    <m/>
    <m/>
    <m/>
    <m/>
    <m/>
    <m/>
    <m/>
    <m/>
    <m/>
    <n v="0"/>
    <n v="0"/>
    <n v="0"/>
    <n v="0"/>
    <n v="0"/>
    <n v="0"/>
    <m/>
    <m/>
    <m/>
    <m/>
    <m/>
    <m/>
    <m/>
    <m/>
    <s v="Реаб."/>
    <m/>
    <n v="0"/>
    <s v="Сакорггаз"/>
    <d v="2024-01-09T00:00:00"/>
    <s v="BCG-240109-1/0(62)"/>
    <m/>
    <m/>
    <s v="Yes"/>
  </r>
  <r>
    <n v="2413"/>
    <s v="Шида Картли"/>
    <s v="Гори"/>
    <s v="(63) ქ. გორში, ჩერქეზიშვილის ქუჩის რეაბილიტაცია (P.3.202)"/>
    <x v="12"/>
    <n v="0"/>
    <n v="2"/>
    <m/>
    <m/>
    <m/>
    <n v="0"/>
    <n v="0"/>
    <m/>
    <n v="0"/>
    <n v="2"/>
    <m/>
    <s v="P.3.202"/>
    <n v="0"/>
    <n v="0"/>
    <m/>
    <m/>
    <m/>
    <m/>
    <m/>
    <m/>
    <m/>
    <m/>
    <m/>
    <m/>
    <m/>
    <m/>
    <m/>
    <m/>
    <m/>
    <m/>
    <m/>
    <m/>
    <m/>
    <m/>
    <m/>
    <m/>
    <m/>
    <m/>
    <m/>
    <n v="0"/>
    <n v="0"/>
    <n v="0"/>
    <n v="0"/>
    <n v="0"/>
    <n v="0"/>
    <m/>
    <m/>
    <m/>
    <m/>
    <m/>
    <m/>
    <m/>
    <m/>
    <s v="Проектирование"/>
    <m/>
    <n v="0"/>
    <s v="Сакорггаз"/>
    <d v="2024-01-09T00:00:00"/>
    <s v="BCG-240109-1/0(63)"/>
    <m/>
    <m/>
    <s v="No"/>
  </r>
  <r>
    <n v="2414"/>
    <s v="Шида Картли"/>
    <s v="Гори"/>
    <s v="(64) ქ. გორში, ჩერქეზიშვილის ქუჩის რეაბილიტაცია (P.3.202)"/>
    <x v="5"/>
    <n v="15000"/>
    <n v="2"/>
    <m/>
    <m/>
    <m/>
    <n v="15000"/>
    <n v="0"/>
    <m/>
    <n v="15000"/>
    <n v="1"/>
    <m/>
    <s v="P.3.202"/>
    <n v="0"/>
    <n v="0"/>
    <m/>
    <m/>
    <m/>
    <m/>
    <m/>
    <m/>
    <m/>
    <m/>
    <m/>
    <m/>
    <m/>
    <m/>
    <m/>
    <m/>
    <m/>
    <m/>
    <m/>
    <m/>
    <m/>
    <m/>
    <m/>
    <m/>
    <m/>
    <m/>
    <m/>
    <n v="0"/>
    <n v="0"/>
    <n v="0"/>
    <n v="0"/>
    <n v="0"/>
    <n v="0"/>
    <m/>
    <m/>
    <m/>
    <m/>
    <m/>
    <m/>
    <m/>
    <m/>
    <s v="Реаб."/>
    <m/>
    <n v="0"/>
    <s v="Сакорггаз"/>
    <d v="2024-01-09T00:00:00"/>
    <s v="BCG-240109-1/0(64)"/>
    <m/>
    <m/>
    <s v="Yes"/>
  </r>
  <r>
    <n v="2415"/>
    <s v="Самцхе Джавахети"/>
    <s v="Адигени"/>
    <s v="(65) დაბა ადიგენში ჩადუნელის ქუჩაზე გაზსადენი რეაბილიტაცია (P.3.1006)"/>
    <x v="12"/>
    <n v="281.75"/>
    <n v="2"/>
    <n v="281.75"/>
    <m/>
    <n v="281.75"/>
    <n v="0"/>
    <n v="0"/>
    <m/>
    <n v="0"/>
    <n v="0"/>
    <m/>
    <s v="P.3.1006"/>
    <n v="0"/>
    <n v="0"/>
    <m/>
    <m/>
    <m/>
    <m/>
    <m/>
    <m/>
    <m/>
    <m/>
    <m/>
    <m/>
    <m/>
    <m/>
    <m/>
    <m/>
    <m/>
    <m/>
    <m/>
    <m/>
    <m/>
    <m/>
    <m/>
    <m/>
    <m/>
    <m/>
    <m/>
    <n v="0"/>
    <n v="0"/>
    <n v="0"/>
    <n v="0"/>
    <n v="0"/>
    <n v="0"/>
    <m/>
    <m/>
    <m/>
    <m/>
    <m/>
    <m/>
    <m/>
    <m/>
    <s v="Проектирование"/>
    <d v="2024-12-16T00:00:00"/>
    <s v="ПриПро"/>
    <s v="Сакорггаз"/>
    <d v="2024-01-09T00:00:00"/>
    <s v="BCG-240109-1/0(65)"/>
    <m/>
    <m/>
    <s v="No"/>
  </r>
  <r>
    <n v="2416"/>
    <s v="Самцхе Джавахети"/>
    <s v="Адигени"/>
    <s v="(66) დაბა ადიგენში ჩადუნელის ქუჩაზე გაზსადენი რეაბილიტაცია (P.3.1006)"/>
    <x v="5"/>
    <n v="15000"/>
    <n v="2"/>
    <m/>
    <m/>
    <m/>
    <n v="15000"/>
    <n v="0"/>
    <m/>
    <n v="15000"/>
    <n v="1"/>
    <m/>
    <s v="P.3.1006"/>
    <n v="0"/>
    <n v="0"/>
    <m/>
    <m/>
    <m/>
    <m/>
    <m/>
    <m/>
    <m/>
    <m/>
    <m/>
    <m/>
    <m/>
    <m/>
    <m/>
    <m/>
    <m/>
    <m/>
    <m/>
    <m/>
    <m/>
    <m/>
    <m/>
    <m/>
    <m/>
    <m/>
    <m/>
    <n v="0"/>
    <n v="0"/>
    <n v="0"/>
    <n v="0"/>
    <n v="0"/>
    <n v="0"/>
    <m/>
    <m/>
    <m/>
    <m/>
    <m/>
    <m/>
    <m/>
    <m/>
    <s v="Реаб."/>
    <m/>
    <n v="0"/>
    <s v="Сакорггаз"/>
    <d v="2024-01-09T00:00:00"/>
    <s v="BCG-240109-1/0(66)"/>
    <m/>
    <m/>
    <s v="Yes"/>
  </r>
  <r>
    <n v="2417"/>
    <s v="Шида Картли"/>
    <s v="Каспи"/>
    <s v="(67) ქ. კასპიში ლაშქარაშვილის ქუჩაზე გაზსადენის და მრიცხველების გამოტანა კერძო საკუთრებიდან (P.3.834)"/>
    <x v="12"/>
    <n v="294.87"/>
    <n v="2"/>
    <n v="294.87"/>
    <m/>
    <n v="294.87"/>
    <n v="0"/>
    <n v="0"/>
    <m/>
    <n v="0"/>
    <n v="0"/>
    <m/>
    <s v="P.3.834"/>
    <n v="0"/>
    <n v="0"/>
    <m/>
    <m/>
    <m/>
    <m/>
    <m/>
    <m/>
    <m/>
    <m/>
    <m/>
    <m/>
    <m/>
    <m/>
    <m/>
    <m/>
    <m/>
    <m/>
    <m/>
    <m/>
    <m/>
    <m/>
    <m/>
    <m/>
    <m/>
    <m/>
    <m/>
    <n v="0"/>
    <n v="0"/>
    <n v="0"/>
    <n v="0"/>
    <n v="0"/>
    <n v="0"/>
    <m/>
    <m/>
    <m/>
    <m/>
    <m/>
    <m/>
    <m/>
    <m/>
    <s v="Проектирование"/>
    <d v="2024-12-11T00:00:00"/>
    <s v="ПриПро"/>
    <s v="Сакорггаз"/>
    <d v="2024-01-09T00:00:00"/>
    <s v="BCG-240109-1/0(67)"/>
    <m/>
    <m/>
    <s v="No"/>
  </r>
  <r>
    <n v="2418"/>
    <s v="Шида Картли"/>
    <s v="Каспи"/>
    <s v="(68) ქ. კასპიში ლაშქარაშვილის ქუჩაზე გაზსადენის და მრიცხველების გამოტანა კერძო საკუთრებიდან (P.3.834)"/>
    <x v="5"/>
    <n v="10000"/>
    <n v="2"/>
    <m/>
    <m/>
    <m/>
    <n v="10000"/>
    <n v="0"/>
    <m/>
    <n v="10000"/>
    <n v="1"/>
    <m/>
    <s v="P.3.834"/>
    <n v="0"/>
    <n v="0"/>
    <m/>
    <m/>
    <m/>
    <m/>
    <m/>
    <m/>
    <m/>
    <m/>
    <m/>
    <m/>
    <m/>
    <m/>
    <m/>
    <m/>
    <m/>
    <m/>
    <m/>
    <m/>
    <m/>
    <m/>
    <m/>
    <m/>
    <m/>
    <m/>
    <m/>
    <n v="0"/>
    <n v="0"/>
    <n v="0"/>
    <n v="0"/>
    <n v="0"/>
    <n v="0"/>
    <m/>
    <m/>
    <m/>
    <m/>
    <m/>
    <m/>
    <m/>
    <m/>
    <s v="Реаб."/>
    <m/>
    <n v="0"/>
    <s v="Сакорггаз"/>
    <d v="2024-01-09T00:00:00"/>
    <s v="BCG-240109-1/0(68)"/>
    <m/>
    <m/>
    <s v="Yes"/>
  </r>
  <r>
    <n v="2419"/>
    <s v="Шида Картли"/>
    <s v="Гори"/>
    <s v="(69) კოსტავას ქუჩის რეაბილიტაცია (P.3.195)"/>
    <x v="12"/>
    <n v="938"/>
    <n v="2"/>
    <n v="938"/>
    <m/>
    <n v="938"/>
    <n v="0"/>
    <n v="0"/>
    <m/>
    <n v="0"/>
    <n v="0"/>
    <m/>
    <s v="P.3.195"/>
    <n v="0"/>
    <n v="0"/>
    <m/>
    <m/>
    <m/>
    <m/>
    <m/>
    <m/>
    <m/>
    <m/>
    <m/>
    <m/>
    <m/>
    <m/>
    <m/>
    <m/>
    <m/>
    <m/>
    <m/>
    <m/>
    <m/>
    <m/>
    <m/>
    <m/>
    <m/>
    <m/>
    <m/>
    <n v="0"/>
    <n v="0"/>
    <n v="0"/>
    <n v="0"/>
    <n v="0"/>
    <n v="0"/>
    <m/>
    <m/>
    <m/>
    <m/>
    <m/>
    <m/>
    <m/>
    <m/>
    <s v="Проектирование"/>
    <d v="2024-12-10T00:00:00"/>
    <s v="ПриПро"/>
    <s v="Сакорггаз"/>
    <d v="2024-01-09T00:00:00"/>
    <s v="BCG-240109-1/0(69)"/>
    <m/>
    <m/>
    <s v="No"/>
  </r>
  <r>
    <n v="2420"/>
    <s v="Шида Картли"/>
    <s v="Гори"/>
    <s v="(70) კოსტავას ქუჩის რეაბილიტაცია (P.3.195)"/>
    <x v="5"/>
    <n v="10000"/>
    <n v="2"/>
    <m/>
    <m/>
    <m/>
    <n v="10000"/>
    <n v="0"/>
    <m/>
    <n v="10000"/>
    <n v="1"/>
    <m/>
    <s v="P.3.195"/>
    <n v="0"/>
    <n v="0"/>
    <m/>
    <m/>
    <m/>
    <m/>
    <m/>
    <m/>
    <m/>
    <m/>
    <m/>
    <m/>
    <m/>
    <m/>
    <m/>
    <m/>
    <m/>
    <m/>
    <m/>
    <m/>
    <m/>
    <m/>
    <m/>
    <m/>
    <m/>
    <m/>
    <m/>
    <n v="0"/>
    <n v="0"/>
    <n v="0"/>
    <n v="0"/>
    <n v="0"/>
    <n v="0"/>
    <m/>
    <m/>
    <m/>
    <m/>
    <m/>
    <m/>
    <m/>
    <m/>
    <s v="Реаб."/>
    <m/>
    <n v="0"/>
    <s v="Сакорггаз"/>
    <d v="2024-01-09T00:00:00"/>
    <s v="BCG-240109-1/0(70)"/>
    <m/>
    <m/>
    <s v="Yes"/>
  </r>
  <r>
    <n v="2421"/>
    <s v="Шида Картли"/>
    <s v="Гори"/>
    <s v="(71) ქ. გორი აბაშიძის ქუჩა გაზსადენის რეაბილიტაცია (P.3.717)"/>
    <x v="12"/>
    <n v="0"/>
    <n v="2"/>
    <m/>
    <m/>
    <m/>
    <n v="0"/>
    <n v="0"/>
    <m/>
    <n v="0"/>
    <n v="2"/>
    <m/>
    <s v="P.3.717"/>
    <n v="0"/>
    <n v="0"/>
    <m/>
    <m/>
    <m/>
    <m/>
    <m/>
    <m/>
    <m/>
    <m/>
    <m/>
    <m/>
    <m/>
    <m/>
    <m/>
    <m/>
    <m/>
    <m/>
    <m/>
    <m/>
    <m/>
    <m/>
    <m/>
    <m/>
    <m/>
    <m/>
    <m/>
    <n v="0"/>
    <n v="0"/>
    <n v="0"/>
    <n v="0"/>
    <n v="0"/>
    <n v="0"/>
    <m/>
    <m/>
    <m/>
    <m/>
    <m/>
    <m/>
    <m/>
    <m/>
    <s v="Проектирование"/>
    <m/>
    <n v="0"/>
    <s v="Сакорггаз"/>
    <d v="2024-01-09T00:00:00"/>
    <s v="BCG-240109-1/0(71)"/>
    <m/>
    <m/>
    <s v="No"/>
  </r>
  <r>
    <n v="2422"/>
    <s v="Шида Картли"/>
    <s v="Гори"/>
    <s v="(72) ქ. გორი აბაშიძის ქუჩა გაზსადენის რეაბილიტაცია (P.3.717)"/>
    <x v="5"/>
    <n v="10000"/>
    <n v="2"/>
    <m/>
    <m/>
    <m/>
    <n v="10000"/>
    <n v="0"/>
    <m/>
    <n v="10000"/>
    <n v="1"/>
    <m/>
    <s v="P.3.717"/>
    <n v="0"/>
    <n v="0"/>
    <m/>
    <m/>
    <m/>
    <m/>
    <m/>
    <m/>
    <m/>
    <m/>
    <m/>
    <m/>
    <m/>
    <m/>
    <m/>
    <m/>
    <m/>
    <m/>
    <m/>
    <m/>
    <m/>
    <m/>
    <m/>
    <m/>
    <m/>
    <m/>
    <m/>
    <n v="0"/>
    <n v="0"/>
    <n v="0"/>
    <n v="0"/>
    <n v="0"/>
    <n v="0"/>
    <m/>
    <m/>
    <m/>
    <m/>
    <m/>
    <m/>
    <m/>
    <m/>
    <s v="Реаб."/>
    <m/>
    <n v="0"/>
    <s v="Сакорггаз"/>
    <d v="2024-01-09T00:00:00"/>
    <s v="BCG-240109-1/0(72)"/>
    <m/>
    <m/>
    <s v="Yes"/>
  </r>
  <r>
    <n v="2423"/>
    <s v="Шида Картли"/>
    <s v="Каспи"/>
    <s v="(73) ქ.კასპში მდინარის კალაპოტის ცვლილების გამო მოქმედი გაზსადენის გადალაგება (P.3.983)"/>
    <x v="12"/>
    <n v="0"/>
    <n v="2"/>
    <m/>
    <m/>
    <m/>
    <n v="0"/>
    <n v="0"/>
    <m/>
    <n v="0"/>
    <n v="2"/>
    <m/>
    <s v="P.3.983"/>
    <n v="0"/>
    <n v="0"/>
    <m/>
    <m/>
    <m/>
    <m/>
    <m/>
    <m/>
    <m/>
    <m/>
    <m/>
    <m/>
    <m/>
    <m/>
    <m/>
    <m/>
    <m/>
    <m/>
    <m/>
    <m/>
    <m/>
    <m/>
    <m/>
    <m/>
    <m/>
    <m/>
    <m/>
    <n v="0"/>
    <n v="0"/>
    <n v="0"/>
    <n v="0"/>
    <n v="0"/>
    <n v="0"/>
    <m/>
    <m/>
    <m/>
    <m/>
    <m/>
    <m/>
    <m/>
    <m/>
    <s v="Проектирование"/>
    <m/>
    <n v="0"/>
    <s v="Сакорггаз"/>
    <d v="2024-01-09T00:00:00"/>
    <s v="BCG-240109-1/0(73)"/>
    <m/>
    <m/>
    <s v="No"/>
  </r>
  <r>
    <n v="2424"/>
    <s v="Шида Картли"/>
    <s v="Каспи"/>
    <s v="(74) ქ.კასპში მდინარის კალაპოტის ცვლილების გამო მოქმედი გაზსადენის გადალაგება (P.3.983)"/>
    <x v="5"/>
    <n v="10000"/>
    <n v="2"/>
    <n v="21000"/>
    <m/>
    <n v="3203.3890000000001"/>
    <n v="6796.6109999999999"/>
    <n v="17796.611000000001"/>
    <m/>
    <n v="6796.6109999999999"/>
    <n v="1"/>
    <m/>
    <s v="P.3.983"/>
    <n v="21000"/>
    <n v="3203.3890000000001"/>
    <m/>
    <m/>
    <n v="21000"/>
    <m/>
    <m/>
    <n v="3203.3890000000001"/>
    <m/>
    <m/>
    <m/>
    <m/>
    <m/>
    <m/>
    <m/>
    <m/>
    <m/>
    <m/>
    <m/>
    <m/>
    <m/>
    <m/>
    <m/>
    <m/>
    <m/>
    <m/>
    <m/>
    <n v="0"/>
    <n v="0"/>
    <n v="0"/>
    <n v="0"/>
    <n v="0"/>
    <n v="0"/>
    <m/>
    <m/>
    <m/>
    <m/>
    <m/>
    <m/>
    <m/>
    <m/>
    <s v="Реаб."/>
    <m/>
    <n v="99"/>
    <s v="Сакорггаз"/>
    <d v="2024-01-09T00:00:00"/>
    <s v="BCG-240109-1/0(74)"/>
    <m/>
    <m/>
    <s v="Yes"/>
  </r>
  <r>
    <n v="2425"/>
    <s v="Шида Картли"/>
    <s v="Каспи"/>
    <s v="(75) კოსტავას ქუჩაზე  გაზსადენის და მრიცხველების გამოტანა კერძო საკუთრებიდან (P.3.845)"/>
    <x v="12"/>
    <n v="207.37"/>
    <n v="2"/>
    <n v="207.37"/>
    <m/>
    <n v="207.37"/>
    <n v="0"/>
    <n v="0"/>
    <m/>
    <n v="0"/>
    <n v="0"/>
    <m/>
    <s v="P.3.845"/>
    <n v="0"/>
    <n v="0"/>
    <m/>
    <m/>
    <m/>
    <m/>
    <m/>
    <m/>
    <m/>
    <m/>
    <m/>
    <m/>
    <m/>
    <m/>
    <m/>
    <m/>
    <m/>
    <m/>
    <m/>
    <m/>
    <m/>
    <m/>
    <m/>
    <m/>
    <m/>
    <m/>
    <m/>
    <n v="0"/>
    <n v="0"/>
    <n v="0"/>
    <n v="0"/>
    <n v="0"/>
    <n v="0"/>
    <m/>
    <m/>
    <m/>
    <m/>
    <m/>
    <m/>
    <m/>
    <m/>
    <s v="Проектирование"/>
    <d v="2024-12-11T00:00:00"/>
    <s v="ПриПро"/>
    <s v="Сакорггаз"/>
    <d v="2024-01-09T00:00:00"/>
    <s v="BCG-240109-1/0(75)"/>
    <m/>
    <m/>
    <s v="No"/>
  </r>
  <r>
    <n v="2426"/>
    <s v="Шида Картли"/>
    <s v="Каспи"/>
    <s v="(76) კოსტავას ქუჩაზე  გაზსადენის და მრიცხველების გამოტანა კერძო საკუთრებიდან (P.3.845)"/>
    <x v="5"/>
    <n v="10000"/>
    <n v="2"/>
    <m/>
    <m/>
    <m/>
    <n v="10000"/>
    <n v="0"/>
    <m/>
    <n v="10000"/>
    <n v="1"/>
    <m/>
    <s v="P.3.845"/>
    <n v="0"/>
    <n v="0"/>
    <m/>
    <m/>
    <m/>
    <m/>
    <m/>
    <m/>
    <m/>
    <m/>
    <m/>
    <m/>
    <m/>
    <m/>
    <m/>
    <m/>
    <m/>
    <m/>
    <m/>
    <m/>
    <m/>
    <m/>
    <m/>
    <m/>
    <m/>
    <m/>
    <m/>
    <n v="0"/>
    <n v="0"/>
    <n v="0"/>
    <n v="0"/>
    <n v="0"/>
    <n v="0"/>
    <m/>
    <m/>
    <m/>
    <m/>
    <m/>
    <m/>
    <m/>
    <m/>
    <s v="Реаб."/>
    <m/>
    <n v="0"/>
    <s v="Сакорггаз"/>
    <d v="2024-01-09T00:00:00"/>
    <s v="BCG-240109-1/0(76)"/>
    <m/>
    <m/>
    <s v="Yes"/>
  </r>
  <r>
    <n v="2427"/>
    <s v="Шида Картли"/>
    <s v="Гори"/>
    <s v="(77) ქ. გორში 300 არაგველის, ქუჩის რეაბილიტაცია (P.3.201)"/>
    <x v="12"/>
    <n v="0"/>
    <n v="2"/>
    <m/>
    <m/>
    <m/>
    <n v="0"/>
    <n v="0"/>
    <m/>
    <n v="0"/>
    <n v="2"/>
    <m/>
    <s v="P.3.201"/>
    <n v="0"/>
    <n v="0"/>
    <m/>
    <m/>
    <m/>
    <m/>
    <m/>
    <m/>
    <m/>
    <m/>
    <m/>
    <m/>
    <m/>
    <m/>
    <m/>
    <m/>
    <m/>
    <m/>
    <m/>
    <m/>
    <m/>
    <m/>
    <m/>
    <m/>
    <m/>
    <m/>
    <m/>
    <n v="0"/>
    <n v="0"/>
    <n v="0"/>
    <n v="0"/>
    <n v="0"/>
    <n v="0"/>
    <m/>
    <m/>
    <m/>
    <m/>
    <m/>
    <m/>
    <m/>
    <m/>
    <s v="Проектирование"/>
    <m/>
    <n v="0"/>
    <s v="Сакорггаз"/>
    <d v="2024-01-09T00:00:00"/>
    <s v="BCG-240109-1/0(77)"/>
    <m/>
    <m/>
    <s v="No"/>
  </r>
  <r>
    <n v="2428"/>
    <s v="Шида Картли"/>
    <s v="Гори"/>
    <s v="(78) ქ. გორში 300 არაგველის, ქუჩის რეაბილიტაცია (P.3.201)"/>
    <x v="5"/>
    <n v="10000"/>
    <n v="2"/>
    <m/>
    <m/>
    <m/>
    <n v="10000"/>
    <n v="0"/>
    <m/>
    <n v="10000"/>
    <n v="1"/>
    <m/>
    <s v="P.3.201"/>
    <n v="0"/>
    <n v="0"/>
    <m/>
    <m/>
    <m/>
    <m/>
    <m/>
    <m/>
    <m/>
    <m/>
    <m/>
    <m/>
    <m/>
    <m/>
    <m/>
    <m/>
    <m/>
    <m/>
    <m/>
    <m/>
    <m/>
    <m/>
    <m/>
    <m/>
    <m/>
    <m/>
    <m/>
    <n v="0"/>
    <n v="0"/>
    <n v="0"/>
    <n v="0"/>
    <n v="0"/>
    <n v="0"/>
    <m/>
    <m/>
    <m/>
    <m/>
    <m/>
    <m/>
    <m/>
    <m/>
    <s v="Реаб."/>
    <m/>
    <n v="0"/>
    <s v="Сакорггаз"/>
    <d v="2024-01-09T00:00:00"/>
    <s v="BCG-240109-1/0(78)"/>
    <m/>
    <m/>
    <s v="Yes"/>
  </r>
  <r>
    <n v="2429"/>
    <s v="Шида Картли"/>
    <s v="Каспи"/>
    <s v="(79) ქ. კასპი სააკაძის მეტეხის ქუჩაზე გაზსადენის და მრიცხველების გამოტანა კერძო საკუთრებიდან (P.3.832)"/>
    <x v="12"/>
    <n v="213.5"/>
    <n v="2"/>
    <n v="213.5"/>
    <m/>
    <n v="213.5"/>
    <n v="0"/>
    <n v="0"/>
    <m/>
    <n v="0"/>
    <n v="0"/>
    <m/>
    <s v="P.3.832"/>
    <n v="0"/>
    <n v="0"/>
    <m/>
    <m/>
    <m/>
    <m/>
    <m/>
    <m/>
    <m/>
    <m/>
    <m/>
    <m/>
    <m/>
    <m/>
    <m/>
    <m/>
    <m/>
    <m/>
    <m/>
    <m/>
    <m/>
    <m/>
    <m/>
    <m/>
    <m/>
    <m/>
    <m/>
    <n v="0"/>
    <n v="0"/>
    <n v="0"/>
    <n v="0"/>
    <n v="0"/>
    <n v="0"/>
    <m/>
    <m/>
    <m/>
    <m/>
    <m/>
    <m/>
    <m/>
    <m/>
    <s v="Проектирование"/>
    <d v="2024-12-11T00:00:00"/>
    <s v="ПриПро"/>
    <s v="Сакорггаз"/>
    <d v="2024-01-09T00:00:00"/>
    <s v="BCG-240109-1/0(79)"/>
    <m/>
    <m/>
    <s v="No"/>
  </r>
  <r>
    <n v="2430"/>
    <s v="Шида Картли"/>
    <s v="Каспи"/>
    <s v="(80) ქ. კასპი სააკაძის მეტეხის ქუჩაზე გაზსადენის და მრიცხველების გამოტანა კერძო საკუთრებიდან (P.3.832)"/>
    <x v="5"/>
    <n v="5000"/>
    <n v="2"/>
    <m/>
    <m/>
    <m/>
    <n v="5000"/>
    <n v="0"/>
    <m/>
    <n v="5000"/>
    <n v="1"/>
    <m/>
    <s v="P.3.832"/>
    <n v="0"/>
    <n v="0"/>
    <m/>
    <m/>
    <m/>
    <m/>
    <m/>
    <m/>
    <m/>
    <m/>
    <m/>
    <m/>
    <m/>
    <m/>
    <m/>
    <m/>
    <m/>
    <m/>
    <m/>
    <m/>
    <m/>
    <m/>
    <m/>
    <m/>
    <m/>
    <m/>
    <m/>
    <n v="0"/>
    <n v="0"/>
    <n v="0"/>
    <n v="0"/>
    <n v="0"/>
    <n v="0"/>
    <m/>
    <m/>
    <m/>
    <m/>
    <m/>
    <m/>
    <m/>
    <m/>
    <s v="Реаб."/>
    <m/>
    <n v="0"/>
    <s v="Сакорггаз"/>
    <d v="2024-01-09T00:00:00"/>
    <s v="BCG-240109-1/0(80)"/>
    <m/>
    <m/>
    <s v="Yes"/>
  </r>
  <r>
    <n v="2431"/>
    <s v="Шида Картли"/>
    <s v="Каспи"/>
    <s v="(81) ქ. კასპში პაატას ქუჩაზე გაზსადენის და მრიცხველების გამოტანა კერძო საკუთრებიდან (P.3.835)"/>
    <x v="12"/>
    <n v="75.25"/>
    <n v="2"/>
    <n v="75.25"/>
    <m/>
    <n v="75.25"/>
    <n v="0"/>
    <n v="0"/>
    <m/>
    <n v="0"/>
    <n v="0"/>
    <m/>
    <s v="P.3.835"/>
    <n v="0"/>
    <n v="0"/>
    <m/>
    <m/>
    <m/>
    <m/>
    <m/>
    <m/>
    <m/>
    <m/>
    <m/>
    <m/>
    <m/>
    <m/>
    <m/>
    <m/>
    <m/>
    <m/>
    <m/>
    <m/>
    <m/>
    <m/>
    <m/>
    <m/>
    <m/>
    <m/>
    <m/>
    <n v="0"/>
    <n v="0"/>
    <n v="0"/>
    <n v="0"/>
    <n v="0"/>
    <n v="0"/>
    <m/>
    <m/>
    <m/>
    <m/>
    <m/>
    <m/>
    <m/>
    <m/>
    <s v="Проектирование"/>
    <d v="2024-12-11T00:00:00"/>
    <s v="ПриПро"/>
    <s v="Сакорггаз"/>
    <d v="2024-01-09T00:00:00"/>
    <s v="BCG-240109-1/0(81)"/>
    <m/>
    <m/>
    <s v="No"/>
  </r>
  <r>
    <n v="2432"/>
    <s v="Шида Картли"/>
    <s v="Каспи"/>
    <s v="(82) ქ. კასპში პაატას ქუჩაზე გაზსადენის და მრიცხველების გამოტანა კერძო საკუთრებიდან (P.3.835)"/>
    <x v="5"/>
    <n v="5000"/>
    <n v="2"/>
    <m/>
    <m/>
    <m/>
    <n v="5000"/>
    <n v="0"/>
    <m/>
    <n v="5000"/>
    <n v="1"/>
    <m/>
    <s v="P.3.835"/>
    <n v="0"/>
    <n v="0"/>
    <m/>
    <m/>
    <m/>
    <m/>
    <m/>
    <m/>
    <m/>
    <m/>
    <m/>
    <m/>
    <m/>
    <m/>
    <m/>
    <m/>
    <m/>
    <m/>
    <m/>
    <m/>
    <m/>
    <m/>
    <m/>
    <m/>
    <m/>
    <m/>
    <m/>
    <n v="0"/>
    <n v="0"/>
    <n v="0"/>
    <n v="0"/>
    <n v="0"/>
    <n v="0"/>
    <m/>
    <m/>
    <m/>
    <m/>
    <m/>
    <m/>
    <m/>
    <m/>
    <s v="Реаб."/>
    <m/>
    <n v="0"/>
    <s v="Сакорггаз"/>
    <d v="2024-01-09T00:00:00"/>
    <s v="BCG-240109-1/0(82)"/>
    <m/>
    <m/>
    <s v="Yes"/>
  </r>
  <r>
    <n v="2433"/>
    <s v="Самцхе Джавахети"/>
    <s v="Борджоми"/>
    <s v="(83) სოფ. ახალდაბაში ძველი გაზსადენის რეაბილიტაცია (P.3.861)"/>
    <x v="12"/>
    <n v="0"/>
    <n v="2"/>
    <n v="1688.75"/>
    <m/>
    <n v="0"/>
    <n v="0"/>
    <n v="1688.75"/>
    <m/>
    <n v="1688.75"/>
    <n v="2"/>
    <m/>
    <s v="P.3.861"/>
    <n v="1688.75"/>
    <n v="0"/>
    <m/>
    <m/>
    <m/>
    <m/>
    <m/>
    <m/>
    <m/>
    <m/>
    <n v="1688.75"/>
    <m/>
    <m/>
    <m/>
    <m/>
    <m/>
    <m/>
    <m/>
    <m/>
    <m/>
    <m/>
    <m/>
    <m/>
    <m/>
    <m/>
    <m/>
    <m/>
    <n v="0"/>
    <n v="0"/>
    <n v="0"/>
    <n v="0"/>
    <n v="0"/>
    <n v="0"/>
    <m/>
    <m/>
    <m/>
    <m/>
    <m/>
    <m/>
    <m/>
    <m/>
    <s v="Проектирование"/>
    <d v="2025-05-01T00:00:00"/>
    <s v="ПриПро"/>
    <s v="Сакорггаз"/>
    <d v="2024-01-09T00:00:00"/>
    <s v="BCG-240109-1/0(83)"/>
    <m/>
    <m/>
    <s v="No"/>
  </r>
  <r>
    <n v="2434"/>
    <s v="Самцхе Джавахети"/>
    <s v="Борджоми"/>
    <s v="(84) სოფ. ახალდაბაში ძველი გაზსადენის რეაბილიტაცია (P.3.861)"/>
    <x v="5"/>
    <n v="35000"/>
    <n v="2"/>
    <n v="80000"/>
    <m/>
    <n v="4576.2700000000004"/>
    <n v="30423.73"/>
    <n v="75423.73"/>
    <m/>
    <n v="30423.73"/>
    <n v="1"/>
    <m/>
    <s v="P.3.861"/>
    <n v="80000"/>
    <n v="4576.2700000000004"/>
    <m/>
    <m/>
    <m/>
    <m/>
    <n v="30000"/>
    <m/>
    <m/>
    <n v="4576.2700000000004"/>
    <n v="50000"/>
    <m/>
    <m/>
    <m/>
    <m/>
    <m/>
    <m/>
    <m/>
    <m/>
    <m/>
    <m/>
    <m/>
    <m/>
    <m/>
    <m/>
    <m/>
    <m/>
    <n v="0"/>
    <n v="0"/>
    <n v="0"/>
    <n v="0"/>
    <n v="0"/>
    <n v="0"/>
    <m/>
    <m/>
    <m/>
    <m/>
    <m/>
    <m/>
    <m/>
    <m/>
    <s v="Реаб."/>
    <m/>
    <n v="99"/>
    <s v="Сакорггаз"/>
    <d v="2024-01-09T00:00:00"/>
    <s v="BCG-240109-1/0(84)"/>
    <m/>
    <m/>
    <s v="Yes"/>
  </r>
  <r>
    <n v="2435"/>
    <s v="Имерети"/>
    <s v="Вани"/>
    <s v="(1.1.1) სოფ. ზედა მუქედის (P.6.658) და (1.1.2) ქვედა მუქედის (P.6.659) გაზსადენების რეაბილიტაცია."/>
    <x v="1"/>
    <n v="28493.5"/>
    <n v="2"/>
    <n v="28493.5"/>
    <m/>
    <n v="28493.5"/>
    <n v="0"/>
    <n v="0"/>
    <m/>
    <n v="0"/>
    <n v="0"/>
    <m/>
    <s v="P.6.658 მოიცავს (P.6.659)"/>
    <n v="0"/>
    <n v="0"/>
    <m/>
    <m/>
    <m/>
    <m/>
    <m/>
    <m/>
    <m/>
    <m/>
    <m/>
    <m/>
    <m/>
    <m/>
    <m/>
    <m/>
    <m/>
    <m/>
    <m/>
    <m/>
    <m/>
    <m/>
    <m/>
    <m/>
    <m/>
    <m/>
    <m/>
    <n v="0"/>
    <n v="0"/>
    <n v="0"/>
    <n v="0"/>
    <n v="0"/>
    <n v="0"/>
    <m/>
    <m/>
    <m/>
    <m/>
    <m/>
    <m/>
    <m/>
    <m/>
    <s v="Проектирование"/>
    <d v="2024-09-02T00:00:00"/>
    <s v="ПриПро"/>
    <s v="Сакорггаз"/>
    <d v="2024-01-16T00:00:00"/>
    <s v="CC-240116-1/0(1.1.1) და (1.1.2)"/>
    <m/>
    <m/>
    <s v="No"/>
  </r>
  <r>
    <n v="2436"/>
    <s v="Имерети"/>
    <s v="Вани"/>
    <s v="(1.1.2) სოფ. ქვედა მუქედი. გაზსადენის რეაბილიტაცია (P.6.659)"/>
    <x v="1"/>
    <n v="0"/>
    <s v="ამოსაღებია, რაც საჭირო იყო კეთდება P.6.659-ის ფარგლებში!"/>
    <m/>
    <m/>
    <m/>
    <n v="0"/>
    <n v="0"/>
    <m/>
    <n v="0"/>
    <s v="X"/>
    <m/>
    <s v="P.6.659 შედის P.6.658-ში"/>
    <n v="0"/>
    <n v="0"/>
    <m/>
    <m/>
    <m/>
    <m/>
    <m/>
    <m/>
    <m/>
    <m/>
    <m/>
    <m/>
    <m/>
    <m/>
    <m/>
    <m/>
    <m/>
    <m/>
    <m/>
    <m/>
    <m/>
    <m/>
    <m/>
    <m/>
    <m/>
    <m/>
    <m/>
    <n v="0"/>
    <n v="0"/>
    <n v="0"/>
    <n v="0"/>
    <n v="0"/>
    <n v="0"/>
    <m/>
    <m/>
    <m/>
    <m/>
    <m/>
    <m/>
    <m/>
    <m/>
    <s v="Проектирование"/>
    <m/>
    <n v="0"/>
    <s v="Сакорггаз"/>
    <d v="2024-01-16T00:00:00"/>
    <s v="CC-240116-1/0(1.1.2)"/>
    <m/>
    <m/>
    <s v="No"/>
  </r>
  <r>
    <n v="2437"/>
    <s v="Мцхета-Мтианети"/>
    <s v="Мцхета"/>
    <s v="(1.1.1) მუხრანის გრს-დან N 37 საუბნომდე ცენტრალური გასზადენის რეაბილიტაცია (P.3.955)"/>
    <x v="1"/>
    <n v="28752.5"/>
    <n v="2"/>
    <n v="28752.5"/>
    <m/>
    <n v="28752.5"/>
    <n v="0"/>
    <n v="0"/>
    <m/>
    <n v="0"/>
    <n v="0"/>
    <m/>
    <s v="P.3.955"/>
    <n v="0"/>
    <n v="0"/>
    <m/>
    <m/>
    <m/>
    <m/>
    <m/>
    <m/>
    <m/>
    <m/>
    <m/>
    <m/>
    <m/>
    <m/>
    <m/>
    <m/>
    <m/>
    <m/>
    <m/>
    <m/>
    <m/>
    <m/>
    <m/>
    <m/>
    <m/>
    <m/>
    <m/>
    <n v="0"/>
    <n v="0"/>
    <n v="0"/>
    <n v="0"/>
    <n v="0"/>
    <n v="0"/>
    <m/>
    <m/>
    <m/>
    <m/>
    <m/>
    <m/>
    <m/>
    <m/>
    <s v="Проектирование"/>
    <d v="2024-09-02T00:00:00"/>
    <s v="ПриПро"/>
    <s v="SGG"/>
    <d v="2024-01-16T00:00:00"/>
    <s v="CS-240116-1/0(1.1.1)"/>
    <m/>
    <m/>
    <s v="No"/>
  </r>
  <r>
    <n v="2438"/>
    <s v="Шида Картли"/>
    <s v="Карели"/>
    <s v="(1.1.2) ქ. ქარელში (ფანასკერტელის, ვაჟა ფშაველას, მუსხელიშვილის, თბილისის, აბაშიშვილის, მარჯანიშვილის, ახალგაზრდობის, ნონეშვილის სტალინის, თამარ მეფის, ჭავჭავაძის, წერეთლის, კეცხოველის, ავთანდილაშვილის, 9 აპრილის, ბახტრიონის ქ. ქარელში მე2ე და მე4ე საუბნო კვანძებზე არსებული) ქუჩების საჰაერო გაზსადენის შეცვლა (P.3.502)"/>
    <x v="1"/>
    <n v="58738.75"/>
    <n v="2"/>
    <n v="58738.75"/>
    <m/>
    <n v="58738.75"/>
    <n v="0"/>
    <n v="0"/>
    <m/>
    <n v="0"/>
    <n v="0"/>
    <m/>
    <s v="P.3.502 (P.3.503)"/>
    <n v="0"/>
    <n v="0"/>
    <m/>
    <m/>
    <m/>
    <m/>
    <m/>
    <m/>
    <m/>
    <m/>
    <m/>
    <m/>
    <m/>
    <m/>
    <m/>
    <m/>
    <m/>
    <m/>
    <m/>
    <m/>
    <m/>
    <m/>
    <m/>
    <m/>
    <m/>
    <m/>
    <m/>
    <n v="0"/>
    <n v="0"/>
    <n v="0"/>
    <n v="0"/>
    <n v="0"/>
    <n v="0"/>
    <m/>
    <m/>
    <m/>
    <m/>
    <m/>
    <m/>
    <m/>
    <m/>
    <s v="Проектирование"/>
    <d v="2024-09-02T00:00:00"/>
    <s v="ПриПро"/>
    <s v="SGG"/>
    <d v="2024-01-16T00:00:00"/>
    <s v="CS-240116-1/0(1.1.2)"/>
    <m/>
    <m/>
    <s v="No"/>
  </r>
  <r>
    <n v="2439"/>
    <s v="Гурия"/>
    <s v="Озургети"/>
    <s v="(1.1.3) სოფ. დვაბზუს ქსელის რეაბილიტაცია (P.4.519)"/>
    <x v="1"/>
    <n v="12232.5"/>
    <n v="2"/>
    <n v="12232.5"/>
    <m/>
    <n v="12232.5"/>
    <n v="0"/>
    <n v="0"/>
    <m/>
    <n v="0"/>
    <n v="0"/>
    <m/>
    <s v="P.4.519"/>
    <n v="0"/>
    <n v="0"/>
    <m/>
    <m/>
    <m/>
    <m/>
    <m/>
    <m/>
    <m/>
    <m/>
    <m/>
    <m/>
    <m/>
    <m/>
    <m/>
    <m/>
    <m/>
    <m/>
    <m/>
    <m/>
    <m/>
    <m/>
    <m/>
    <m/>
    <m/>
    <m/>
    <m/>
    <n v="0"/>
    <n v="0"/>
    <n v="0"/>
    <n v="0"/>
    <n v="0"/>
    <n v="0"/>
    <m/>
    <m/>
    <m/>
    <m/>
    <m/>
    <m/>
    <m/>
    <m/>
    <s v="Проектирование"/>
    <d v="2024-09-02T00:00:00"/>
    <s v="ПриПро"/>
    <s v="SGG"/>
    <d v="2024-01-16T00:00:00"/>
    <s v="CS-240116-1/0(1.1.3)"/>
    <m/>
    <m/>
    <s v="No"/>
  </r>
  <r>
    <n v="2440"/>
    <s v="Гурия"/>
    <s v="Озургети"/>
    <s v="(1.1.4) ოზურგეთში მრიცხველების გამოტანა 85 ოჯახიდან (P.4.16)"/>
    <x v="1"/>
    <n v="4373.25"/>
    <n v="2"/>
    <n v="4373.25"/>
    <m/>
    <n v="4373.25"/>
    <n v="0"/>
    <n v="0"/>
    <m/>
    <n v="0"/>
    <n v="0"/>
    <m/>
    <s v="P.4.16"/>
    <n v="0"/>
    <n v="0"/>
    <m/>
    <m/>
    <m/>
    <m/>
    <m/>
    <m/>
    <m/>
    <m/>
    <m/>
    <m/>
    <m/>
    <m/>
    <m/>
    <m/>
    <m/>
    <m/>
    <m/>
    <m/>
    <m/>
    <m/>
    <m/>
    <m/>
    <m/>
    <m/>
    <m/>
    <n v="0"/>
    <n v="0"/>
    <n v="0"/>
    <n v="0"/>
    <n v="0"/>
    <n v="0"/>
    <m/>
    <m/>
    <m/>
    <m/>
    <m/>
    <m/>
    <m/>
    <m/>
    <s v="Проектирование"/>
    <d v="2024-09-02T00:00:00"/>
    <s v="ПриПро"/>
    <s v="SGG"/>
    <d v="2024-01-16T00:00:00"/>
    <s v="CS-240116-1/0(1.1.4)"/>
    <m/>
    <m/>
    <s v="No"/>
  </r>
  <r>
    <n v="2441"/>
    <s v="Гурия"/>
    <s v="Чохатаури"/>
    <s v="(1.1.5) ჩოხატაურში მრიცხველების გამოტანა 61 ოჯახიდან P.4.18"/>
    <x v="1"/>
    <n v="1218"/>
    <n v="2"/>
    <n v="1218"/>
    <m/>
    <n v="1218"/>
    <n v="0"/>
    <n v="0"/>
    <m/>
    <n v="0"/>
    <n v="0"/>
    <m/>
    <s v="P.4.18"/>
    <n v="0"/>
    <n v="0"/>
    <m/>
    <m/>
    <m/>
    <m/>
    <m/>
    <m/>
    <m/>
    <m/>
    <m/>
    <m/>
    <m/>
    <m/>
    <m/>
    <m/>
    <m/>
    <m/>
    <m/>
    <m/>
    <m/>
    <m/>
    <m/>
    <m/>
    <m/>
    <m/>
    <m/>
    <n v="0"/>
    <n v="0"/>
    <n v="0"/>
    <n v="0"/>
    <n v="0"/>
    <n v="0"/>
    <m/>
    <m/>
    <m/>
    <m/>
    <m/>
    <m/>
    <m/>
    <m/>
    <s v="Проектирование"/>
    <d v="2024-09-02T00:00:00"/>
    <s v="ПриПро"/>
    <s v="SGG"/>
    <d v="2024-01-16T00:00:00"/>
    <s v="CS-240116-1/0(1.1.5)"/>
    <m/>
    <m/>
    <s v="No"/>
  </r>
  <r>
    <n v="2442"/>
    <s v="Аджара"/>
    <s v="Кобулети"/>
    <s v="(1.1.1) ქ. ქობულეთში საშ. წნევის ფოლადის D-300 მმ ქსელის რეაბილიტაცია (P.5.34)"/>
    <x v="15"/>
    <n v="25606"/>
    <m/>
    <n v="25606"/>
    <m/>
    <n v="25606"/>
    <n v="0"/>
    <n v="0"/>
    <m/>
    <n v="0"/>
    <n v="0"/>
    <m/>
    <s v="P.5.34"/>
    <n v="0"/>
    <n v="0"/>
    <m/>
    <m/>
    <m/>
    <m/>
    <m/>
    <m/>
    <m/>
    <m/>
    <m/>
    <m/>
    <m/>
    <m/>
    <m/>
    <m/>
    <m/>
    <m/>
    <m/>
    <m/>
    <m/>
    <m/>
    <m/>
    <m/>
    <m/>
    <m/>
    <m/>
    <n v="0"/>
    <n v="0"/>
    <n v="0"/>
    <n v="0"/>
    <n v="0"/>
    <n v="0"/>
    <m/>
    <m/>
    <m/>
    <m/>
    <m/>
    <m/>
    <m/>
    <m/>
    <s v="Проектирование"/>
    <d v="2024-10-11T00:00:00"/>
    <s v="ПриПро"/>
    <s v="SGG"/>
    <d v="2024-01-15T00:00:00"/>
    <s v="CS-240115-1/0(1.1.1)"/>
    <m/>
    <m/>
    <m/>
  </r>
  <r>
    <n v="2443"/>
    <s v="Самегрело"/>
    <s v="Хоби"/>
    <s v="(1.1.2) ხობი, ლითონის D=500 მმ გაზსადენის რეაბილიტაცია (P.4.3)"/>
    <x v="15"/>
    <n v="3251.5"/>
    <m/>
    <n v="3251.5"/>
    <m/>
    <n v="3251.5"/>
    <n v="0"/>
    <n v="0"/>
    <m/>
    <n v="0"/>
    <n v="0"/>
    <m/>
    <s v="P.4.3"/>
    <n v="0"/>
    <n v="0"/>
    <m/>
    <m/>
    <m/>
    <m/>
    <m/>
    <m/>
    <m/>
    <m/>
    <m/>
    <m/>
    <m/>
    <m/>
    <m/>
    <m/>
    <m/>
    <m/>
    <m/>
    <m/>
    <m/>
    <m/>
    <m/>
    <m/>
    <m/>
    <m/>
    <m/>
    <n v="0"/>
    <n v="0"/>
    <n v="0"/>
    <n v="0"/>
    <n v="0"/>
    <n v="0"/>
    <m/>
    <m/>
    <m/>
    <m/>
    <m/>
    <m/>
    <m/>
    <m/>
    <s v="Проектирование"/>
    <d v="2024-04-16T00:00:00"/>
    <s v="ПриПро"/>
    <s v="SGG"/>
    <d v="2024-01-15T00:00:00"/>
    <s v="CS-240115-1/0(1.1.2)"/>
    <m/>
    <m/>
    <m/>
  </r>
  <r>
    <n v="2444"/>
    <s v="Аджара"/>
    <s v="Хелвачаури"/>
    <s v="(1.1.3) გაზსადენის მშენებლობა, ადლია, ანგისას დასახლებაში უსაფრთხო უწყვეტი მიწოდებისთვის (P.5.549)"/>
    <x v="15"/>
    <n v="5876.5"/>
    <m/>
    <n v="5876.5"/>
    <m/>
    <n v="5876.5"/>
    <n v="0"/>
    <n v="0"/>
    <m/>
    <n v="0"/>
    <n v="0"/>
    <m/>
    <s v="P.5.549"/>
    <n v="0"/>
    <n v="0"/>
    <m/>
    <m/>
    <m/>
    <m/>
    <m/>
    <m/>
    <m/>
    <m/>
    <m/>
    <m/>
    <m/>
    <m/>
    <m/>
    <m/>
    <m/>
    <m/>
    <m/>
    <m/>
    <m/>
    <m/>
    <m/>
    <m/>
    <m/>
    <m/>
    <m/>
    <n v="0"/>
    <n v="0"/>
    <n v="0"/>
    <n v="0"/>
    <n v="0"/>
    <n v="0"/>
    <m/>
    <m/>
    <m/>
    <m/>
    <m/>
    <m/>
    <m/>
    <m/>
    <s v="Проектирование"/>
    <d v="2024-11-05T00:00:00"/>
    <s v="ПриПро"/>
    <s v="SGG"/>
    <d v="2024-01-15T00:00:00"/>
    <s v="CS-240115-1/0(1.1.3)"/>
    <m/>
    <m/>
    <s v="No"/>
  </r>
  <r>
    <n v="2445"/>
    <s v="Кахети"/>
    <s v="Ахмета"/>
    <s v="(1) #999 გერეესიდან ზ. ალვნამდე არსებული ქსელის რეაბილიტაცია (P.2.525)"/>
    <x v="10"/>
    <n v="15454.25"/>
    <n v="2"/>
    <n v="15454.25"/>
    <m/>
    <n v="15454.25"/>
    <n v="0"/>
    <n v="0"/>
    <m/>
    <n v="0"/>
    <n v="0"/>
    <m/>
    <s v="P.2.525"/>
    <n v="0"/>
    <n v="0"/>
    <m/>
    <m/>
    <m/>
    <m/>
    <m/>
    <m/>
    <m/>
    <m/>
    <m/>
    <m/>
    <m/>
    <m/>
    <m/>
    <m/>
    <m/>
    <m/>
    <m/>
    <m/>
    <m/>
    <m/>
    <m/>
    <m/>
    <m/>
    <m/>
    <m/>
    <n v="0"/>
    <n v="0"/>
    <n v="0"/>
    <n v="0"/>
    <n v="0"/>
    <n v="0"/>
    <m/>
    <m/>
    <m/>
    <m/>
    <m/>
    <m/>
    <m/>
    <m/>
    <s v="Проектирование"/>
    <d v="2024-06-03T00:00:00"/>
    <s v="ПриПро"/>
    <s v="SGG"/>
    <d v="2024-01-18T00:00:00"/>
    <s v="CS-240118-1/0 (1)"/>
    <m/>
    <m/>
    <s v="No"/>
  </r>
  <r>
    <n v="2446"/>
    <s v="Кахети"/>
    <s v="Лагодехи"/>
    <s v="(2) სოფელ შრომისა და სოფელ კავშირის გაზსადენების რეაბილიტაცია. (P.2.894)"/>
    <x v="10"/>
    <n v="0"/>
    <n v="2"/>
    <m/>
    <m/>
    <m/>
    <n v="0"/>
    <n v="0"/>
    <m/>
    <n v="0"/>
    <n v="2"/>
    <m/>
    <s v="P.2.894"/>
    <n v="0"/>
    <n v="0"/>
    <m/>
    <m/>
    <m/>
    <m/>
    <m/>
    <m/>
    <m/>
    <m/>
    <m/>
    <m/>
    <m/>
    <m/>
    <m/>
    <m/>
    <m/>
    <m/>
    <m/>
    <m/>
    <m/>
    <m/>
    <m/>
    <m/>
    <m/>
    <m/>
    <m/>
    <n v="0"/>
    <n v="0"/>
    <n v="0"/>
    <n v="0"/>
    <n v="0"/>
    <n v="0"/>
    <m/>
    <m/>
    <m/>
    <m/>
    <m/>
    <m/>
    <m/>
    <m/>
    <s v="Проектирование"/>
    <m/>
    <n v="0"/>
    <s v="SGG"/>
    <d v="2024-01-18T00:00:00"/>
    <s v="CS-240118-1/0 (2)"/>
    <m/>
    <m/>
    <m/>
  </r>
  <r>
    <n v="2447"/>
    <s v="Кахети"/>
    <s v="Лагодехи"/>
    <s v="(3) სოფ. კაბალში ფოლადის გაზსადენის შეცვლა პოლიეთილენით (P.2.1160)"/>
    <x v="10"/>
    <n v="3311"/>
    <n v="2"/>
    <n v="3311"/>
    <m/>
    <n v="3311"/>
    <n v="0"/>
    <n v="0"/>
    <m/>
    <n v="0"/>
    <n v="0"/>
    <m/>
    <s v="P.2.1160"/>
    <n v="0"/>
    <n v="0"/>
    <m/>
    <m/>
    <m/>
    <m/>
    <m/>
    <m/>
    <m/>
    <m/>
    <m/>
    <m/>
    <m/>
    <m/>
    <m/>
    <m/>
    <m/>
    <m/>
    <m/>
    <m/>
    <m/>
    <m/>
    <m/>
    <m/>
    <m/>
    <m/>
    <m/>
    <n v="0"/>
    <n v="0"/>
    <n v="0"/>
    <n v="0"/>
    <n v="0"/>
    <n v="0"/>
    <m/>
    <m/>
    <m/>
    <m/>
    <m/>
    <m/>
    <m/>
    <m/>
    <s v="Проектирование"/>
    <d v="2024-06-06T00:00:00"/>
    <s v="ПриПро"/>
    <s v="SGG"/>
    <d v="2024-01-18T00:00:00"/>
    <s v="CS-240118-1/0 (3)"/>
    <m/>
    <m/>
    <s v="No"/>
  </r>
  <r>
    <n v="2448"/>
    <s v="Кахети"/>
    <s v="Дедоплисцкаро"/>
    <s v="(4) ქ. დედოფლისწყარო-მეგობრობის ქუჩა #4 საუბნო მრიცხველამდე (P.2.553)"/>
    <x v="10"/>
    <n v="5146.75"/>
    <n v="2"/>
    <n v="5146.75"/>
    <m/>
    <n v="5146.75"/>
    <n v="0"/>
    <n v="0"/>
    <m/>
    <n v="0"/>
    <n v="0"/>
    <m/>
    <s v="P.2.553"/>
    <n v="0"/>
    <n v="0"/>
    <m/>
    <m/>
    <m/>
    <m/>
    <m/>
    <m/>
    <m/>
    <m/>
    <m/>
    <m/>
    <m/>
    <m/>
    <m/>
    <m/>
    <m/>
    <m/>
    <m/>
    <m/>
    <m/>
    <m/>
    <m/>
    <m/>
    <m/>
    <m/>
    <m/>
    <n v="0"/>
    <n v="0"/>
    <n v="0"/>
    <n v="0"/>
    <n v="0"/>
    <n v="0"/>
    <m/>
    <m/>
    <m/>
    <m/>
    <m/>
    <m/>
    <m/>
    <m/>
    <s v="Проектирование"/>
    <d v="2024-10-07T00:00:00"/>
    <s v="ПриПро"/>
    <s v="SGG"/>
    <d v="2024-01-18T00:00:00"/>
    <s v="CS-240118-1/0 (4)"/>
    <m/>
    <m/>
    <m/>
  </r>
  <r>
    <n v="2449"/>
    <s v="Квемо Картли"/>
    <s v="Марнеули"/>
    <s v="(5) სოფ ჯანდარის დაბალი წნევის მილის რეაბილიტაცია. (P.2.906)"/>
    <x v="10"/>
    <n v="26528.25"/>
    <n v="2"/>
    <n v="26528.25"/>
    <m/>
    <n v="26528.25"/>
    <n v="0"/>
    <n v="0"/>
    <m/>
    <n v="0"/>
    <n v="0"/>
    <m/>
    <s v="P.2.906"/>
    <n v="0"/>
    <n v="0"/>
    <m/>
    <m/>
    <m/>
    <m/>
    <m/>
    <m/>
    <m/>
    <m/>
    <m/>
    <m/>
    <m/>
    <m/>
    <m/>
    <m/>
    <m/>
    <m/>
    <m/>
    <m/>
    <m/>
    <m/>
    <m/>
    <m/>
    <m/>
    <m/>
    <m/>
    <n v="0"/>
    <n v="0"/>
    <n v="0"/>
    <n v="0"/>
    <n v="0"/>
    <n v="0"/>
    <m/>
    <m/>
    <m/>
    <m/>
    <m/>
    <m/>
    <m/>
    <m/>
    <s v="Проектирование"/>
    <d v="2024-10-16T00:00:00"/>
    <s v="ПриПро"/>
    <s v="SGG"/>
    <d v="2024-01-18T00:00:00"/>
    <s v="CS-240118-1/0 (5)"/>
    <m/>
    <m/>
    <m/>
  </r>
  <r>
    <n v="2450"/>
    <s v="Кахети"/>
    <s v="Кварели"/>
    <s v="(6) ქ. ყვარელი დურუჯის ქუჩის მიწისქვეშა გაზსადენის რეაბილიტაცია 57. 06. 56. 379-დან 57. 06. 52. 133-მდე (P.2.93)"/>
    <x v="10"/>
    <n v="4221"/>
    <n v="2"/>
    <n v="4221"/>
    <m/>
    <n v="4221"/>
    <n v="0"/>
    <n v="0"/>
    <m/>
    <n v="0"/>
    <n v="0"/>
    <m/>
    <s v="P.2.93"/>
    <n v="0"/>
    <n v="0"/>
    <m/>
    <m/>
    <m/>
    <m/>
    <m/>
    <m/>
    <m/>
    <m/>
    <m/>
    <m/>
    <m/>
    <m/>
    <m/>
    <m/>
    <m/>
    <m/>
    <m/>
    <m/>
    <m/>
    <m/>
    <m/>
    <m/>
    <m/>
    <m/>
    <m/>
    <n v="0"/>
    <n v="0"/>
    <n v="0"/>
    <n v="0"/>
    <n v="0"/>
    <n v="0"/>
    <m/>
    <m/>
    <m/>
    <m/>
    <m/>
    <m/>
    <m/>
    <m/>
    <s v="Проектирование"/>
    <d v="2024-06-06T00:00:00"/>
    <s v="ПриПро"/>
    <s v="SGG"/>
    <d v="2024-01-18T00:00:00"/>
    <s v="CS-240118-1/0 (6)"/>
    <m/>
    <m/>
    <s v="No"/>
  </r>
  <r>
    <n v="2451"/>
    <s v="Кахети"/>
    <s v="Гурджаани"/>
    <s v="(7) 34-ე საუბნო (სოფ. დარჩეთი, ცენტრალური გზა, ორივე მხრიდან) (არაშენდიდან ქოდალომდე) ბესოს ფერმასთან (შესასვლელში) (დარჩეთის სკოლასთან) წნევის გაზსადენის რეაბილიტაცია. (P.2.871)"/>
    <x v="10"/>
    <n v="0"/>
    <n v="2"/>
    <m/>
    <m/>
    <m/>
    <n v="0"/>
    <n v="0"/>
    <m/>
    <n v="0"/>
    <n v="2"/>
    <m/>
    <s v="P.2.871"/>
    <n v="0"/>
    <n v="0"/>
    <m/>
    <m/>
    <m/>
    <m/>
    <m/>
    <m/>
    <m/>
    <m/>
    <m/>
    <m/>
    <m/>
    <m/>
    <m/>
    <m/>
    <m/>
    <m/>
    <m/>
    <m/>
    <m/>
    <m/>
    <m/>
    <m/>
    <m/>
    <m/>
    <m/>
    <n v="0"/>
    <n v="0"/>
    <n v="0"/>
    <n v="0"/>
    <n v="0"/>
    <n v="0"/>
    <m/>
    <m/>
    <m/>
    <m/>
    <m/>
    <m/>
    <m/>
    <m/>
    <s v="Проектирование"/>
    <m/>
    <n v="0"/>
    <s v="SGG"/>
    <d v="2024-01-18T00:00:00"/>
    <s v="CS-240118-1/0 (7)"/>
    <m/>
    <m/>
    <m/>
  </r>
  <r>
    <n v="2452"/>
    <s v="Кахети"/>
    <s v="Гурджаани"/>
    <s v="(8) 43-ე საუბნო კვანძზე (მელაანიდან გზის პირი, გაჩერებამდე) (ჩალაუბანში საშ. წნევის მიყვანა სოფ. მელაანამდე) დაბალი წნევის გაზსადენის რეაბილიტაცია. (P.2.874)"/>
    <x v="10"/>
    <n v="23567.25"/>
    <n v="2"/>
    <n v="23567.25"/>
    <m/>
    <n v="23567.25"/>
    <n v="0"/>
    <n v="0"/>
    <m/>
    <n v="0"/>
    <n v="0"/>
    <m/>
    <s v="P.2.874"/>
    <n v="0"/>
    <n v="0"/>
    <m/>
    <m/>
    <m/>
    <m/>
    <m/>
    <m/>
    <m/>
    <m/>
    <m/>
    <m/>
    <m/>
    <m/>
    <m/>
    <m/>
    <m/>
    <m/>
    <m/>
    <m/>
    <m/>
    <m/>
    <m/>
    <m/>
    <m/>
    <m/>
    <m/>
    <n v="0"/>
    <n v="0"/>
    <n v="0"/>
    <n v="0"/>
    <n v="0"/>
    <n v="0"/>
    <m/>
    <m/>
    <m/>
    <m/>
    <m/>
    <m/>
    <m/>
    <m/>
    <s v="Проектирование"/>
    <d v="2024-10-16T00:00:00"/>
    <s v="ПриПро"/>
    <s v="SGG"/>
    <d v="2024-01-18T00:00:00"/>
    <s v="CS-240118-1/0 (8)"/>
    <m/>
    <m/>
    <m/>
  </r>
  <r>
    <n v="2453"/>
    <s v="Квемо Картли"/>
    <s v="Болниси"/>
    <s v="(9) N11 საუბნოზე ი ჭავჭავაძის და წმინდა ნინოს ქუჩებზე კერძო საკუთრებაში გამავალი გაზსადენის გამოტანა მრიცხველების შეცვლა 140 აბონენტზე, რეაბილიტაცია . (P.2.809)"/>
    <x v="10"/>
    <n v="0"/>
    <n v="2"/>
    <m/>
    <m/>
    <m/>
    <n v="0"/>
    <n v="0"/>
    <m/>
    <n v="0"/>
    <n v="2"/>
    <m/>
    <s v="P.2.809"/>
    <n v="0"/>
    <n v="0"/>
    <m/>
    <m/>
    <m/>
    <m/>
    <m/>
    <m/>
    <m/>
    <m/>
    <m/>
    <m/>
    <m/>
    <m/>
    <m/>
    <m/>
    <m/>
    <m/>
    <m/>
    <m/>
    <m/>
    <m/>
    <m/>
    <m/>
    <m/>
    <m/>
    <m/>
    <n v="0"/>
    <n v="0"/>
    <n v="0"/>
    <n v="0"/>
    <n v="0"/>
    <n v="0"/>
    <m/>
    <m/>
    <m/>
    <m/>
    <m/>
    <m/>
    <m/>
    <m/>
    <s v="Проектирование"/>
    <m/>
    <n v="0"/>
    <s v="SGG"/>
    <d v="2024-01-18T00:00:00"/>
    <s v="CS-240118-1/0 (9)"/>
    <m/>
    <m/>
    <m/>
  </r>
  <r>
    <n v="2454"/>
    <s v="Квемо Картли"/>
    <s v="Болниси"/>
    <s v="(10) N12 საუბნოზე თამარმეფის ქუჩისა და წმინდა ნინოს ქუჩებზე კერძო საკუთრებაში გამავალი გაზსადენის გამოტანა მრიცხველების შეცვლა 190 აბონენტზე, რეაბილიტაცია. (P.2.810)"/>
    <x v="10"/>
    <n v="7505.75"/>
    <n v="2"/>
    <n v="7505.75"/>
    <m/>
    <n v="7505.75"/>
    <n v="0"/>
    <n v="0"/>
    <m/>
    <n v="0"/>
    <n v="0"/>
    <m/>
    <s v="P.2.810"/>
    <n v="0"/>
    <n v="0"/>
    <m/>
    <m/>
    <m/>
    <m/>
    <m/>
    <m/>
    <m/>
    <m/>
    <m/>
    <m/>
    <m/>
    <m/>
    <m/>
    <m/>
    <m/>
    <m/>
    <m/>
    <m/>
    <m/>
    <m/>
    <m/>
    <m/>
    <m/>
    <m/>
    <m/>
    <n v="0"/>
    <n v="0"/>
    <n v="0"/>
    <n v="0"/>
    <n v="0"/>
    <n v="0"/>
    <m/>
    <m/>
    <m/>
    <m/>
    <m/>
    <m/>
    <m/>
    <m/>
    <s v="Проектирование"/>
    <d v="2024-10-16T00:00:00"/>
    <s v="ПриПро"/>
    <s v="SGG"/>
    <d v="2024-01-18T00:00:00"/>
    <s v="CS-240118-1/0 (10)"/>
    <m/>
    <m/>
    <m/>
  </r>
  <r>
    <n v="2455"/>
    <s v="Кахети"/>
    <s v="Дедоплисцкаро"/>
    <s v="(11) სოფ. ზემო მაჩხაანი-აკაკის და ჯამასპიანთ უბანი გაზსადენის რეაბილიტაცია  (P.2.45)"/>
    <x v="10"/>
    <n v="8485.75"/>
    <n v="2"/>
    <n v="8485.75"/>
    <m/>
    <n v="8485.75"/>
    <n v="0"/>
    <n v="0"/>
    <m/>
    <n v="0"/>
    <n v="0"/>
    <m/>
    <s v="P.2.45"/>
    <n v="0"/>
    <n v="0"/>
    <m/>
    <m/>
    <m/>
    <m/>
    <m/>
    <m/>
    <m/>
    <m/>
    <m/>
    <m/>
    <m/>
    <m/>
    <m/>
    <m/>
    <m/>
    <m/>
    <m/>
    <m/>
    <m/>
    <m/>
    <m/>
    <m/>
    <m/>
    <m/>
    <m/>
    <n v="0"/>
    <n v="0"/>
    <n v="0"/>
    <n v="0"/>
    <n v="0"/>
    <n v="0"/>
    <m/>
    <m/>
    <m/>
    <m/>
    <m/>
    <m/>
    <m/>
    <m/>
    <s v="Проектирование"/>
    <d v="2024-10-07T00:00:00"/>
    <s v="ПриПро"/>
    <s v="SGG"/>
    <d v="2024-01-18T00:00:00"/>
    <s v="CS-240118-1/0 (11)"/>
    <m/>
    <m/>
    <m/>
  </r>
  <r>
    <n v="2456"/>
    <s v="Квемо Картли"/>
    <s v="Тетрицкаро"/>
    <s v="(12) სოფ მარაბდის მკვებავი გზსადენის ჩადება მიწაში 2700 გ/მ (P.2.815)"/>
    <x v="10"/>
    <n v="0"/>
    <n v="2"/>
    <m/>
    <m/>
    <m/>
    <n v="0"/>
    <n v="0"/>
    <m/>
    <n v="0"/>
    <n v="2"/>
    <m/>
    <s v="P.2.815"/>
    <n v="0"/>
    <n v="0"/>
    <m/>
    <m/>
    <m/>
    <m/>
    <m/>
    <m/>
    <m/>
    <m/>
    <m/>
    <m/>
    <m/>
    <m/>
    <m/>
    <m/>
    <m/>
    <m/>
    <m/>
    <m/>
    <m/>
    <m/>
    <m/>
    <m/>
    <m/>
    <m/>
    <m/>
    <n v="0"/>
    <n v="0"/>
    <n v="0"/>
    <n v="0"/>
    <n v="0"/>
    <n v="0"/>
    <m/>
    <m/>
    <m/>
    <m/>
    <m/>
    <m/>
    <m/>
    <m/>
    <s v="Проектирование"/>
    <m/>
    <n v="0"/>
    <s v="SGG"/>
    <d v="2024-01-18T00:00:00"/>
    <s v="CS-240118-1/0 (12)"/>
    <m/>
    <m/>
    <m/>
  </r>
  <r>
    <n v="2457"/>
    <s v="Квемо Картли"/>
    <s v="Сагареджо"/>
    <s v="(13) სოფ. სართიჭალა, ცხაკაიას ქუჩის გაზსადენის რეაბილიტაცია (P.2.84)"/>
    <x v="10"/>
    <n v="4639.25"/>
    <n v="2"/>
    <n v="4639.25"/>
    <m/>
    <n v="4639.25"/>
    <n v="0"/>
    <n v="0"/>
    <m/>
    <n v="0"/>
    <n v="0"/>
    <m/>
    <s v="P.2.84"/>
    <n v="0"/>
    <n v="0"/>
    <m/>
    <m/>
    <m/>
    <m/>
    <m/>
    <m/>
    <m/>
    <m/>
    <m/>
    <m/>
    <m/>
    <m/>
    <m/>
    <m/>
    <m/>
    <m/>
    <m/>
    <m/>
    <m/>
    <m/>
    <m/>
    <m/>
    <m/>
    <m/>
    <m/>
    <n v="0"/>
    <n v="0"/>
    <n v="0"/>
    <n v="0"/>
    <n v="0"/>
    <n v="0"/>
    <m/>
    <m/>
    <m/>
    <m/>
    <m/>
    <m/>
    <m/>
    <m/>
    <s v="Проектирование"/>
    <d v="2024-06-06T00:00:00"/>
    <s v="ПриПро"/>
    <s v="SGG"/>
    <d v="2024-01-18T00:00:00"/>
    <s v="CS-240118-1/0 (13)"/>
    <m/>
    <m/>
    <m/>
  </r>
  <r>
    <n v="2458"/>
    <s v="Квемо Картли"/>
    <s v="Гардабани"/>
    <s v="(14) გარდაბანი, სოფ. ნაზარლოში ცენტრალური გაზსადენის აწევა და მიწისქვეშა გადასვლების რეაბილიტაცია (P.2.829)"/>
    <x v="10"/>
    <n v="0"/>
    <n v="2"/>
    <m/>
    <m/>
    <m/>
    <n v="0"/>
    <n v="0"/>
    <m/>
    <n v="0"/>
    <n v="2"/>
    <m/>
    <s v="P.2.829"/>
    <n v="0"/>
    <n v="0"/>
    <m/>
    <m/>
    <m/>
    <m/>
    <m/>
    <m/>
    <m/>
    <m/>
    <m/>
    <m/>
    <m/>
    <m/>
    <m/>
    <m/>
    <m/>
    <m/>
    <m/>
    <m/>
    <m/>
    <m/>
    <m/>
    <m/>
    <m/>
    <m/>
    <m/>
    <n v="0"/>
    <n v="0"/>
    <n v="0"/>
    <n v="0"/>
    <n v="0"/>
    <n v="0"/>
    <m/>
    <m/>
    <m/>
    <m/>
    <m/>
    <m/>
    <m/>
    <m/>
    <s v="Проектирование"/>
    <m/>
    <n v="0"/>
    <s v="SGG"/>
    <d v="2024-01-18T00:00:00"/>
    <s v="CS-240118-1/0 (14)"/>
    <m/>
    <m/>
    <m/>
  </r>
  <r>
    <n v="2459"/>
    <s v="Кахети"/>
    <s v="Кварели"/>
    <s v="(15) ქ. ყვარელი წერეთლის ქუჩის მიწისქვეშა დაბალი წნევის გაზსადენის რეაბილიტაცია 57. 06. 56. 397-დან57. 06. 56. 198-მდე (შუა ქალაქიდან ბოლომდე დასავლეთით) გიორგი მერჩულეს ქუჩა 57. 06. 56. 226-დან 57. 06. 56. 235-მდე (P.2.99)"/>
    <x v="10"/>
    <n v="1081.5"/>
    <n v="2"/>
    <n v="1081.5"/>
    <m/>
    <n v="1081.5"/>
    <n v="0"/>
    <n v="0"/>
    <m/>
    <n v="0"/>
    <n v="0"/>
    <m/>
    <s v="P.2.99"/>
    <n v="0"/>
    <n v="0"/>
    <m/>
    <m/>
    <m/>
    <m/>
    <m/>
    <m/>
    <m/>
    <m/>
    <m/>
    <m/>
    <m/>
    <m/>
    <m/>
    <m/>
    <m/>
    <m/>
    <m/>
    <m/>
    <m/>
    <m/>
    <m/>
    <m/>
    <m/>
    <m/>
    <m/>
    <n v="0"/>
    <n v="0"/>
    <n v="0"/>
    <n v="0"/>
    <n v="0"/>
    <n v="0"/>
    <m/>
    <m/>
    <m/>
    <m/>
    <m/>
    <m/>
    <m/>
    <m/>
    <s v="Проектирование"/>
    <d v="2024-06-06T00:00:00"/>
    <s v="ПриПро"/>
    <s v="SGG"/>
    <d v="2024-01-18T00:00:00"/>
    <s v="CS-240118-1/0 (15)"/>
    <m/>
    <m/>
    <m/>
  </r>
  <r>
    <n v="2460"/>
    <s v="Кахети"/>
    <s v="Ахмета"/>
    <s v="(16) #2 ახმეტის მუნიციპალიტეტი სოფელი მატანის გაზსადენის რეაბილიტაცია მატნის საუბნოდან სოფლის შესასვლელამდე (P.2.518)"/>
    <x v="10"/>
    <n v="3766"/>
    <n v="2"/>
    <n v="3766"/>
    <m/>
    <n v="3766"/>
    <n v="0"/>
    <n v="0"/>
    <m/>
    <n v="0"/>
    <n v="0"/>
    <m/>
    <s v="P.2.518"/>
    <n v="0"/>
    <n v="0"/>
    <m/>
    <m/>
    <m/>
    <m/>
    <m/>
    <m/>
    <m/>
    <m/>
    <m/>
    <m/>
    <m/>
    <m/>
    <m/>
    <m/>
    <m/>
    <m/>
    <m/>
    <m/>
    <m/>
    <m/>
    <m/>
    <m/>
    <m/>
    <m/>
    <m/>
    <n v="0"/>
    <n v="0"/>
    <n v="0"/>
    <n v="0"/>
    <n v="0"/>
    <n v="0"/>
    <m/>
    <m/>
    <m/>
    <m/>
    <m/>
    <m/>
    <m/>
    <m/>
    <s v="Проектирование"/>
    <d v="2024-06-06T00:00:00"/>
    <s v="ПриПро"/>
    <s v="SGG"/>
    <d v="2024-01-18T00:00:00"/>
    <s v="CS-240118-1/0 (16)"/>
    <m/>
    <m/>
    <m/>
  </r>
  <r>
    <n v="2461"/>
    <s v="Кахети"/>
    <s v="Гурджаани"/>
    <s v="(17) სოფ. ჭანდარი; მე-7 საუბნო კვანძზე (თენგოს უბანი და განშტოებები) (სონღულაშვილის გივის უბანი) საშუალო წნევის გაზსადენის რეაბილიტაცია. (P.2.856)"/>
    <x v="10"/>
    <n v="3143"/>
    <n v="2"/>
    <n v="3143"/>
    <m/>
    <n v="3143"/>
    <n v="0"/>
    <n v="0"/>
    <m/>
    <n v="0"/>
    <n v="0"/>
    <m/>
    <s v="P.2.856"/>
    <n v="0"/>
    <n v="0"/>
    <m/>
    <m/>
    <m/>
    <m/>
    <m/>
    <m/>
    <m/>
    <m/>
    <m/>
    <m/>
    <m/>
    <m/>
    <m/>
    <m/>
    <m/>
    <m/>
    <m/>
    <m/>
    <m/>
    <m/>
    <m/>
    <m/>
    <m/>
    <m/>
    <m/>
    <n v="0"/>
    <n v="0"/>
    <n v="0"/>
    <n v="0"/>
    <n v="0"/>
    <n v="0"/>
    <m/>
    <m/>
    <m/>
    <m/>
    <m/>
    <m/>
    <m/>
    <m/>
    <s v="Проектирование"/>
    <d v="2024-10-16T00:00:00"/>
    <s v="ПриПро"/>
    <s v="SGG"/>
    <d v="2024-01-18T00:00:00"/>
    <s v="CS-240118-1/0 (17)"/>
    <m/>
    <m/>
    <m/>
  </r>
  <r>
    <n v="2462"/>
    <s v="Кахети"/>
    <s v="Лагодехи"/>
    <s v="(18) სოფ. კაბალში და სოფ. ყარაჯალაში აღრიცხვიანობის მოწესრიგება (P.2.1161)"/>
    <x v="10"/>
    <n v="3503.5"/>
    <n v="2"/>
    <n v="3503.5"/>
    <m/>
    <n v="3503.5"/>
    <n v="0"/>
    <n v="0"/>
    <m/>
    <n v="0"/>
    <n v="0"/>
    <m/>
    <s v="P.2.1161"/>
    <n v="0"/>
    <n v="0"/>
    <m/>
    <m/>
    <m/>
    <m/>
    <m/>
    <m/>
    <m/>
    <m/>
    <m/>
    <m/>
    <m/>
    <m/>
    <m/>
    <m/>
    <m/>
    <m/>
    <m/>
    <m/>
    <m/>
    <m/>
    <m/>
    <m/>
    <m/>
    <m/>
    <m/>
    <n v="0"/>
    <n v="0"/>
    <n v="0"/>
    <n v="0"/>
    <n v="0"/>
    <n v="0"/>
    <m/>
    <m/>
    <m/>
    <m/>
    <m/>
    <m/>
    <m/>
    <m/>
    <s v="Проектирование"/>
    <d v="2024-07-22T00:00:00"/>
    <s v="ПриПро"/>
    <s v="SGG"/>
    <d v="2024-01-18T00:00:00"/>
    <s v="CS-240118-1/0 (18)"/>
    <m/>
    <m/>
    <m/>
  </r>
  <r>
    <n v="2463"/>
    <s v="Кахети"/>
    <s v="Гурджаани"/>
    <s v="(19) მე-9 საუბნო კვანძზე (სკოლიდან მამაოს უბანი, დოხას უბანი) (ხევისუბანი-ჩალიჩების უბნამდე) (ხევისუბნიდან სკოლამდე) საშუალო წნევის გაზსადენის რეაბილიტაცია. (P.2.858)"/>
    <x v="10"/>
    <n v="0"/>
    <n v="2"/>
    <m/>
    <m/>
    <m/>
    <n v="0"/>
    <n v="0"/>
    <m/>
    <n v="0"/>
    <n v="2"/>
    <m/>
    <s v="P.2.858"/>
    <n v="0"/>
    <n v="0"/>
    <m/>
    <m/>
    <m/>
    <m/>
    <m/>
    <m/>
    <m/>
    <m/>
    <m/>
    <m/>
    <m/>
    <m/>
    <m/>
    <m/>
    <m/>
    <m/>
    <m/>
    <m/>
    <m/>
    <m/>
    <m/>
    <m/>
    <m/>
    <m/>
    <m/>
    <n v="0"/>
    <n v="0"/>
    <n v="0"/>
    <n v="0"/>
    <n v="0"/>
    <n v="0"/>
    <m/>
    <m/>
    <m/>
    <m/>
    <m/>
    <m/>
    <m/>
    <m/>
    <s v="Проектирование"/>
    <m/>
    <n v="0"/>
    <s v="SGG"/>
    <d v="2024-01-18T00:00:00"/>
    <s v="CS-240118-1/0 (19)"/>
    <m/>
    <m/>
    <m/>
  </r>
  <r>
    <n v="2464"/>
    <s v="Кахети"/>
    <s v="Кварели"/>
    <s v="(20) ქ. ყვარელი ქეთევან დედოფლის ქუჩის მიწისქვეშა დაბალი წნევის გაზსადენის რეაბილიტაცია 57. 06. 56. 410-დან 57. 06. 51. 135-მდე ძველი რაიკომის ქუჩა (P.2.104)"/>
    <x v="10"/>
    <n v="2800"/>
    <n v="2"/>
    <n v="2800"/>
    <m/>
    <n v="2800"/>
    <n v="0"/>
    <n v="0"/>
    <m/>
    <n v="0"/>
    <n v="0"/>
    <m/>
    <s v="P.2.104"/>
    <n v="0"/>
    <n v="0"/>
    <m/>
    <m/>
    <m/>
    <m/>
    <m/>
    <m/>
    <m/>
    <m/>
    <m/>
    <m/>
    <m/>
    <m/>
    <m/>
    <m/>
    <m/>
    <m/>
    <m/>
    <m/>
    <m/>
    <m/>
    <m/>
    <m/>
    <m/>
    <m/>
    <m/>
    <n v="0"/>
    <n v="0"/>
    <n v="0"/>
    <n v="0"/>
    <n v="0"/>
    <n v="0"/>
    <m/>
    <m/>
    <m/>
    <m/>
    <m/>
    <m/>
    <m/>
    <m/>
    <s v="Проектирование"/>
    <d v="2024-06-06T00:00:00"/>
    <s v="ПриПро"/>
    <s v="SGG"/>
    <d v="2024-01-18T00:00:00"/>
    <s v="CS-240118-1/0 (20)"/>
    <m/>
    <m/>
    <m/>
  </r>
  <r>
    <n v="2465"/>
    <s v="Кахети"/>
    <s v="Гурджаани"/>
    <s v="(21) მე-12 საუბნო კვანძზე (სოფ. ბაკურციხე ტექნიკუმის გზაზე, ორივე მხარეს) (სოფ. ბაკურციხე, პარკისუბანში) საშუალო წნევის გაზსადენის რეაბილიტაცია. (P.2.859)"/>
    <x v="10"/>
    <n v="5302.5"/>
    <n v="2"/>
    <n v="5302.5"/>
    <m/>
    <n v="5302.5"/>
    <n v="0"/>
    <n v="0"/>
    <m/>
    <n v="0"/>
    <n v="0"/>
    <m/>
    <s v="P.2.859"/>
    <n v="0"/>
    <n v="0"/>
    <m/>
    <m/>
    <m/>
    <m/>
    <m/>
    <m/>
    <m/>
    <m/>
    <m/>
    <m/>
    <m/>
    <m/>
    <m/>
    <m/>
    <m/>
    <m/>
    <m/>
    <m/>
    <m/>
    <m/>
    <m/>
    <m/>
    <m/>
    <m/>
    <m/>
    <n v="0"/>
    <n v="0"/>
    <n v="0"/>
    <n v="0"/>
    <n v="0"/>
    <n v="0"/>
    <m/>
    <m/>
    <m/>
    <m/>
    <m/>
    <m/>
    <m/>
    <m/>
    <s v="Проектирование"/>
    <d v="2024-10-16T00:00:00"/>
    <s v="ПриПро"/>
    <s v="SGG"/>
    <d v="2024-01-18T00:00:00"/>
    <s v="CS-240118-1/0 (21)"/>
    <m/>
    <m/>
    <m/>
  </r>
  <r>
    <n v="2466"/>
    <s v="Кахети"/>
    <s v="Дедоплисцкаро"/>
    <s v="(22) სოფ. არბოშიკი-#20 საუბნო მრიცხველიდან კოტაანი და მაჩხაანის მიმართულება გაზსადენის რეაბილიტაცია (P.2.542)"/>
    <x v="10"/>
    <n v="4077.5"/>
    <n v="2"/>
    <n v="4077.5"/>
    <m/>
    <n v="4077.5"/>
    <n v="0"/>
    <n v="0"/>
    <m/>
    <n v="0"/>
    <n v="0"/>
    <m/>
    <s v="P.2.542"/>
    <n v="0"/>
    <n v="0"/>
    <m/>
    <m/>
    <m/>
    <m/>
    <m/>
    <m/>
    <m/>
    <m/>
    <m/>
    <m/>
    <m/>
    <m/>
    <m/>
    <m/>
    <m/>
    <m/>
    <m/>
    <m/>
    <m/>
    <m/>
    <m/>
    <m/>
    <m/>
    <m/>
    <m/>
    <n v="0"/>
    <n v="0"/>
    <n v="0"/>
    <n v="0"/>
    <n v="0"/>
    <n v="0"/>
    <m/>
    <m/>
    <m/>
    <m/>
    <m/>
    <m/>
    <m/>
    <m/>
    <s v="Проектирование"/>
    <d v="2024-07-22T00:00:00"/>
    <s v="ПриПро"/>
    <s v="SGG"/>
    <d v="2024-01-18T00:00:00"/>
    <s v="CS-240118-1/0 (22)"/>
    <m/>
    <m/>
    <m/>
  </r>
  <r>
    <n v="2467"/>
    <s v="Кахети"/>
    <s v="Кварели"/>
    <s v="(23) ქ. ყვარელი ქაქუცა ჩოლოყაშვილი ქუჩის მიწისქვეშა დაბალი წნევის გაზსადენის რეაბილიტაცია 57. 06. 54. 506-დან 57. 06. 55. 095-მდე სალავაშეს ქ (P.2.105)"/>
    <x v="10"/>
    <n v="4539.5"/>
    <n v="2"/>
    <n v="4539.5"/>
    <m/>
    <n v="4539.5"/>
    <n v="0"/>
    <n v="0"/>
    <m/>
    <n v="0"/>
    <n v="0"/>
    <m/>
    <s v="P.2.105"/>
    <n v="0"/>
    <n v="0"/>
    <m/>
    <m/>
    <m/>
    <m/>
    <m/>
    <m/>
    <m/>
    <m/>
    <m/>
    <m/>
    <m/>
    <m/>
    <m/>
    <m/>
    <m/>
    <m/>
    <m/>
    <m/>
    <m/>
    <m/>
    <m/>
    <m/>
    <m/>
    <m/>
    <m/>
    <n v="0"/>
    <n v="0"/>
    <n v="0"/>
    <n v="0"/>
    <n v="0"/>
    <n v="0"/>
    <m/>
    <m/>
    <m/>
    <m/>
    <m/>
    <m/>
    <m/>
    <m/>
    <s v="Проектирование"/>
    <d v="2024-07-22T00:00:00"/>
    <s v="ПриПро"/>
    <s v="SGG"/>
    <d v="2024-01-18T00:00:00"/>
    <s v="CS-240118-1/0 (23)"/>
    <m/>
    <m/>
    <m/>
  </r>
  <r>
    <n v="2468"/>
    <s v="Кахети"/>
    <s v="Сагареджо"/>
    <s v="(24)  სოფ. მუხროვანი ,არსებული დაბალი წნევის ფოლადის მიწისზედა D50(1000 გრ/მ), რომლის ჩანაცვლება უნდა მოხდეს შემდეგ ნაირად 800 გრ/მ ჩანაცვლდეს D76მმ ფოლადის მიწისზედა მილსადენით ხოლო დარჩენილი 200 გრ/მ D50მმ გადაყვანილი იქნას საშუალო წნევაზე.  D32 300 გრ/მ D25 300 გრ/მ ჩანაცვლებულ იქნას   D50მმ მიწისზედა 300-300 გრ/მ ფოლადის გაზსადენით. აგრეთვე D50მმ მიწისზედა ფოლადის მილი ჩანაცვლდეს  D63 მმ 200 გრ/მ მიწისქვეშა პოლიეთილენის გაზსადენით (P.2.1070)"/>
    <x v="10"/>
    <n v="4786.25"/>
    <n v="2"/>
    <n v="4786.25"/>
    <m/>
    <n v="4786.25"/>
    <n v="0"/>
    <n v="0"/>
    <m/>
    <n v="0"/>
    <n v="0"/>
    <m/>
    <s v="P.2.1070"/>
    <n v="0"/>
    <n v="0"/>
    <m/>
    <m/>
    <m/>
    <m/>
    <m/>
    <m/>
    <m/>
    <m/>
    <m/>
    <m/>
    <m/>
    <m/>
    <m/>
    <m/>
    <m/>
    <m/>
    <m/>
    <m/>
    <m/>
    <m/>
    <m/>
    <m/>
    <m/>
    <m/>
    <m/>
    <n v="0"/>
    <n v="0"/>
    <n v="0"/>
    <n v="0"/>
    <n v="0"/>
    <n v="0"/>
    <m/>
    <m/>
    <m/>
    <m/>
    <m/>
    <m/>
    <m/>
    <m/>
    <s v="Проектирование"/>
    <d v="2024-10-07T00:00:00"/>
    <s v="ПриПро"/>
    <s v="SGG"/>
    <d v="2024-01-18T00:00:00"/>
    <s v="CS-240118-1/0 (24)"/>
    <m/>
    <m/>
    <m/>
  </r>
  <r>
    <n v="2469"/>
    <s v="Кахети"/>
    <s v="Кварели"/>
    <s v="(25) ქ. ყვარელი, თამარ მეფის ქუჩის მიწისქვეშა დაბალი წნევის გაზსადენის რეაბილიტაცია 57.06.56.000.165-დან 57.06.51.000.122-მდე (P.2.1118)"/>
    <x v="10"/>
    <n v="1172.5"/>
    <n v="2"/>
    <n v="1172.5"/>
    <m/>
    <n v="1172.5"/>
    <n v="0"/>
    <n v="0"/>
    <m/>
    <n v="0"/>
    <n v="0"/>
    <m/>
    <s v="P.2.1118"/>
    <n v="0"/>
    <n v="0"/>
    <m/>
    <m/>
    <m/>
    <m/>
    <m/>
    <m/>
    <m/>
    <m/>
    <m/>
    <m/>
    <m/>
    <m/>
    <m/>
    <m/>
    <m/>
    <m/>
    <m/>
    <m/>
    <m/>
    <m/>
    <m/>
    <m/>
    <m/>
    <m/>
    <m/>
    <n v="0"/>
    <n v="0"/>
    <n v="0"/>
    <n v="0"/>
    <n v="0"/>
    <n v="0"/>
    <m/>
    <m/>
    <m/>
    <m/>
    <m/>
    <m/>
    <m/>
    <m/>
    <s v="Проектирование"/>
    <d v="2024-06-06T00:00:00"/>
    <s v="ПриПро"/>
    <s v="SGG"/>
    <d v="2024-01-18T00:00:00"/>
    <s v="CS-240118-1/0 (25)"/>
    <m/>
    <m/>
    <m/>
  </r>
  <r>
    <n v="2470"/>
    <s v="Кахети"/>
    <s v="Кварели"/>
    <s v="(26) ქ. ყვარელი შოთა რუსთაველის ქუჩის მიწისქვეშა დაბალი წნევის გაზსადენის რეაბილიტაცია 57. 06. 56. 019-დან 57. 06. 51. 372-მდე რესპუბლიკა ბანკიდან ძველი სასამართლოს ქუჩა (P.2.995)"/>
    <x v="10"/>
    <n v="2093"/>
    <n v="2"/>
    <n v="2093"/>
    <m/>
    <n v="2093"/>
    <n v="0"/>
    <n v="0"/>
    <m/>
    <n v="0"/>
    <n v="0"/>
    <m/>
    <s v="P.2.995"/>
    <n v="0"/>
    <n v="0"/>
    <m/>
    <m/>
    <m/>
    <m/>
    <m/>
    <m/>
    <m/>
    <m/>
    <m/>
    <m/>
    <m/>
    <m/>
    <m/>
    <m/>
    <m/>
    <m/>
    <m/>
    <m/>
    <m/>
    <m/>
    <m/>
    <m/>
    <m/>
    <m/>
    <m/>
    <n v="0"/>
    <n v="0"/>
    <n v="0"/>
    <n v="0"/>
    <n v="0"/>
    <n v="0"/>
    <m/>
    <m/>
    <m/>
    <m/>
    <m/>
    <m/>
    <m/>
    <m/>
    <s v="Проектирование"/>
    <d v="2024-06-06T00:00:00"/>
    <s v="ПриПро"/>
    <s v="SGG"/>
    <d v="2024-01-18T00:00:00"/>
    <s v="CS-240118-1/0 (26)"/>
    <m/>
    <m/>
    <m/>
  </r>
  <r>
    <n v="2471"/>
    <s v="Квемо Картли"/>
    <s v="Марнеули"/>
    <s v="(27) ქ. მარნეული პირველ და მეორე ქუჩებზე გაზსადენის მოწყობა (P.2.1224)"/>
    <x v="10"/>
    <n v="2619.75"/>
    <n v="2"/>
    <n v="2619.75"/>
    <m/>
    <n v="2619.75"/>
    <n v="0"/>
    <n v="0"/>
    <m/>
    <n v="0"/>
    <n v="0"/>
    <m/>
    <s v="P.2.1224"/>
    <n v="0"/>
    <n v="0"/>
    <m/>
    <m/>
    <m/>
    <m/>
    <m/>
    <m/>
    <m/>
    <m/>
    <m/>
    <m/>
    <m/>
    <m/>
    <m/>
    <m/>
    <m/>
    <m/>
    <m/>
    <m/>
    <m/>
    <m/>
    <m/>
    <m/>
    <m/>
    <m/>
    <m/>
    <n v="0"/>
    <n v="0"/>
    <n v="0"/>
    <n v="0"/>
    <n v="0"/>
    <n v="0"/>
    <m/>
    <m/>
    <m/>
    <m/>
    <m/>
    <m/>
    <m/>
    <m/>
    <s v="Проектирование"/>
    <d v="2024-06-06T00:00:00"/>
    <s v="ПриПро"/>
    <s v="SGG"/>
    <d v="2024-01-18T00:00:00"/>
    <s v="CS-240118-1/0 (27)"/>
    <m/>
    <m/>
    <m/>
  </r>
  <r>
    <n v="2472"/>
    <s v="Кахети"/>
    <s v="Кварели"/>
    <s v="(28) ქ. ყვარელი შტეინის ქუჩის მიწისქვეშა დაბალი წნევის გაზსადენის რეაბილიტაცია 57. 06. 52. 115-დან 57. 06. 52. 133-მდე (P.2.109)"/>
    <x v="10"/>
    <n v="2908.5"/>
    <n v="2"/>
    <n v="2908.5"/>
    <m/>
    <n v="2908.5"/>
    <n v="0"/>
    <n v="0"/>
    <m/>
    <n v="0"/>
    <n v="0"/>
    <m/>
    <s v="P.2.109"/>
    <n v="0"/>
    <n v="0"/>
    <m/>
    <m/>
    <m/>
    <m/>
    <m/>
    <m/>
    <m/>
    <m/>
    <m/>
    <m/>
    <m/>
    <m/>
    <m/>
    <m/>
    <m/>
    <m/>
    <m/>
    <m/>
    <m/>
    <m/>
    <m/>
    <m/>
    <m/>
    <m/>
    <m/>
    <n v="0"/>
    <n v="0"/>
    <n v="0"/>
    <n v="0"/>
    <n v="0"/>
    <n v="0"/>
    <m/>
    <m/>
    <m/>
    <m/>
    <m/>
    <m/>
    <m/>
    <m/>
    <s v="Проектирование"/>
    <d v="2024-07-22T00:00:00"/>
    <s v="ПриПро"/>
    <s v="SGG"/>
    <d v="2024-01-18T00:00:00"/>
    <s v="CS-240118-1/0 (28)"/>
    <m/>
    <m/>
    <m/>
  </r>
  <r>
    <n v="2473"/>
    <s v="Кахети"/>
    <s v="Кварели"/>
    <s v="(29) ქ. ყვარელი, ვაჟა-ფშაველას ქუჩის მიწისქვეშა დაბალი წნევის გაზსადენის რეაბილიტაცია 57.06.56.000.113-დან 57.06.51.000.599-მდე (P.2.1120)"/>
    <x v="10"/>
    <n v="2957.5"/>
    <n v="2"/>
    <n v="2957.5"/>
    <m/>
    <n v="2957.5"/>
    <n v="0"/>
    <n v="0"/>
    <m/>
    <n v="0"/>
    <n v="0"/>
    <m/>
    <s v="P.2.1120"/>
    <n v="0"/>
    <n v="0"/>
    <m/>
    <m/>
    <m/>
    <m/>
    <m/>
    <m/>
    <m/>
    <m/>
    <m/>
    <m/>
    <m/>
    <m/>
    <m/>
    <m/>
    <m/>
    <m/>
    <m/>
    <m/>
    <m/>
    <m/>
    <m/>
    <m/>
    <m/>
    <m/>
    <m/>
    <n v="0"/>
    <n v="0"/>
    <n v="0"/>
    <n v="0"/>
    <n v="0"/>
    <n v="0"/>
    <m/>
    <m/>
    <m/>
    <m/>
    <m/>
    <m/>
    <m/>
    <m/>
    <s v="Проектирование"/>
    <d v="2024-06-06T00:00:00"/>
    <s v="ПриПро"/>
    <s v="SGG"/>
    <d v="2024-01-18T00:00:00"/>
    <s v="CS-240118-1/0 (29)"/>
    <m/>
    <m/>
    <m/>
  </r>
  <r>
    <n v="2474"/>
    <s v="Кахети"/>
    <s v="Сагареджо"/>
    <s v="(30) სოფ. სართიჭალა არსებული საშ წნევის D300მმ მიწისქვეშა ფოლადის  გაზსადენის რეაბილიტაცია (P.2.1069)"/>
    <x v="10"/>
    <n v="1400"/>
    <n v="2"/>
    <n v="1400"/>
    <m/>
    <n v="1400"/>
    <n v="0"/>
    <n v="0"/>
    <m/>
    <n v="0"/>
    <n v="0"/>
    <m/>
    <s v="P.2.1069"/>
    <n v="0"/>
    <n v="0"/>
    <m/>
    <m/>
    <m/>
    <m/>
    <m/>
    <m/>
    <m/>
    <m/>
    <m/>
    <m/>
    <m/>
    <m/>
    <m/>
    <m/>
    <m/>
    <m/>
    <m/>
    <m/>
    <m/>
    <m/>
    <m/>
    <m/>
    <m/>
    <m/>
    <m/>
    <n v="0"/>
    <n v="0"/>
    <n v="0"/>
    <n v="0"/>
    <n v="0"/>
    <n v="0"/>
    <m/>
    <m/>
    <m/>
    <m/>
    <m/>
    <m/>
    <m/>
    <m/>
    <s v="Проектирование"/>
    <d v="2024-06-06T00:00:00"/>
    <s v="ПриПро"/>
    <s v="SGG"/>
    <d v="2024-01-18T00:00:00"/>
    <s v="CS-240118-1/0 (30)"/>
    <m/>
    <m/>
    <m/>
  </r>
  <r>
    <n v="2475"/>
    <s v="Кахети"/>
    <s v="Сигнаги"/>
    <s v="(31) ქ. წნორი ჯავაშვილი ფილიმონის უბნიდან ბოდბისხევის ბაზრამდე ქუჩის რეაბილიტაცია (P.2.780)"/>
    <x v="10"/>
    <n v="0"/>
    <n v="2"/>
    <m/>
    <m/>
    <m/>
    <n v="0"/>
    <n v="0"/>
    <m/>
    <n v="0"/>
    <n v="2"/>
    <m/>
    <s v="P.2.780"/>
    <n v="0"/>
    <n v="0"/>
    <m/>
    <m/>
    <m/>
    <m/>
    <m/>
    <m/>
    <m/>
    <m/>
    <m/>
    <m/>
    <m/>
    <m/>
    <m/>
    <m/>
    <m/>
    <m/>
    <m/>
    <m/>
    <m/>
    <m/>
    <m/>
    <m/>
    <m/>
    <m/>
    <m/>
    <n v="0"/>
    <n v="0"/>
    <n v="0"/>
    <n v="0"/>
    <n v="0"/>
    <n v="0"/>
    <m/>
    <m/>
    <m/>
    <m/>
    <m/>
    <m/>
    <m/>
    <m/>
    <s v="Проектирование"/>
    <m/>
    <n v="0"/>
    <s v="SGG"/>
    <d v="2024-01-18T00:00:00"/>
    <s v="CS-240118-1/0 (31)"/>
    <m/>
    <m/>
    <m/>
  </r>
  <r>
    <n v="2476"/>
    <s v="Кахети"/>
    <s v="Кварели"/>
    <s v="(32) ქ. ყვარელი ყაზბეგის ქუჩის მიწისქვეშა დაბალი წნევის გაზსადენის რეაბილიტაცია 57. 06. 55. 024-დან 57. 06. 55. 024-მდე (P.2.108)"/>
    <x v="10"/>
    <n v="2443"/>
    <n v="2"/>
    <n v="2443"/>
    <m/>
    <n v="2443"/>
    <n v="0"/>
    <n v="0"/>
    <m/>
    <n v="0"/>
    <n v="0"/>
    <m/>
    <s v="P.2.108"/>
    <n v="0"/>
    <n v="0"/>
    <m/>
    <m/>
    <m/>
    <m/>
    <m/>
    <m/>
    <m/>
    <m/>
    <m/>
    <m/>
    <m/>
    <m/>
    <m/>
    <m/>
    <m/>
    <m/>
    <m/>
    <m/>
    <m/>
    <m/>
    <m/>
    <m/>
    <m/>
    <m/>
    <m/>
    <n v="0"/>
    <n v="0"/>
    <n v="0"/>
    <n v="0"/>
    <n v="0"/>
    <n v="0"/>
    <m/>
    <m/>
    <m/>
    <m/>
    <m/>
    <m/>
    <m/>
    <m/>
    <s v="Проектирование"/>
    <d v="2024-06-06T00:00:00"/>
    <s v="ПриПро"/>
    <s v="SGG"/>
    <d v="2024-01-18T00:00:00"/>
    <s v="CS-240118-1/0 (32)"/>
    <m/>
    <m/>
    <m/>
  </r>
  <r>
    <n v="2477"/>
    <s v="Кахети"/>
    <s v="Дедоплисцкаро"/>
    <s v="(33) ქ. დედოფლისწყარო-მთისა,გურამიშვილის და წერეთლის ქუჩები გაზსადენის რეაბილიტაცია (P.2.550)"/>
    <x v="10"/>
    <n v="4425.75"/>
    <n v="2"/>
    <n v="4425.75"/>
    <m/>
    <n v="4425.75"/>
    <n v="0"/>
    <n v="0"/>
    <m/>
    <n v="0"/>
    <n v="0"/>
    <m/>
    <s v="P.2.550"/>
    <n v="0"/>
    <n v="0"/>
    <m/>
    <m/>
    <m/>
    <m/>
    <m/>
    <m/>
    <m/>
    <m/>
    <m/>
    <m/>
    <m/>
    <m/>
    <m/>
    <m/>
    <m/>
    <m/>
    <m/>
    <m/>
    <m/>
    <m/>
    <m/>
    <m/>
    <m/>
    <m/>
    <m/>
    <n v="0"/>
    <n v="0"/>
    <n v="0"/>
    <n v="0"/>
    <n v="0"/>
    <n v="0"/>
    <m/>
    <m/>
    <m/>
    <m/>
    <m/>
    <m/>
    <m/>
    <m/>
    <s v="Проектирование"/>
    <d v="2024-10-07T00:00:00"/>
    <s v="ПриПро"/>
    <s v="SGG"/>
    <d v="2024-01-18T00:00:00"/>
    <s v="CS-240118-1/0 (33)"/>
    <m/>
    <m/>
    <m/>
  </r>
  <r>
    <n v="2478"/>
    <s v="Кахети"/>
    <s v="Гурджаани"/>
    <s v="(34) 32-ე საუბნო კვანძზე, (ორველაშვილის უბანზე) (საშ. სკოლასთან) დაბალი წნევის გაზსადენის რეაბილიტაცია. (P.2.869)"/>
    <x v="10"/>
    <n v="0"/>
    <n v="2"/>
    <m/>
    <m/>
    <m/>
    <n v="0"/>
    <n v="0"/>
    <m/>
    <n v="0"/>
    <n v="2"/>
    <m/>
    <s v="P.2.869"/>
    <n v="0"/>
    <n v="0"/>
    <m/>
    <m/>
    <m/>
    <m/>
    <m/>
    <m/>
    <m/>
    <m/>
    <m/>
    <m/>
    <m/>
    <m/>
    <m/>
    <m/>
    <m/>
    <m/>
    <m/>
    <m/>
    <m/>
    <m/>
    <m/>
    <m/>
    <m/>
    <m/>
    <m/>
    <n v="0"/>
    <n v="0"/>
    <n v="0"/>
    <n v="0"/>
    <n v="0"/>
    <n v="0"/>
    <m/>
    <m/>
    <m/>
    <m/>
    <m/>
    <m/>
    <m/>
    <m/>
    <s v="Проектирование"/>
    <m/>
    <n v="0"/>
    <s v="SGG"/>
    <d v="2024-01-18T00:00:00"/>
    <s v="CS-240118-1/0 (34)"/>
    <m/>
    <m/>
    <m/>
  </r>
  <r>
    <n v="2479"/>
    <s v="Квемо Картли"/>
    <s v="Гардабани"/>
    <s v="(35) გარდაბანი , სოფ. ლელაშხაში არსებული გაზგამანაწილებელი ქსელის რეაბილიტაცია (P.2.831)"/>
    <x v="10"/>
    <n v="2138.5"/>
    <n v="2"/>
    <n v="2138.5"/>
    <m/>
    <n v="2138.5"/>
    <n v="0"/>
    <n v="0"/>
    <m/>
    <n v="0"/>
    <n v="0"/>
    <m/>
    <s v="P.2.831"/>
    <n v="0"/>
    <n v="0"/>
    <m/>
    <m/>
    <m/>
    <m/>
    <m/>
    <m/>
    <m/>
    <m/>
    <m/>
    <m/>
    <m/>
    <m/>
    <m/>
    <m/>
    <m/>
    <m/>
    <m/>
    <m/>
    <m/>
    <m/>
    <m/>
    <m/>
    <m/>
    <m/>
    <m/>
    <n v="0"/>
    <n v="0"/>
    <n v="0"/>
    <n v="0"/>
    <n v="0"/>
    <n v="0"/>
    <m/>
    <m/>
    <m/>
    <m/>
    <m/>
    <m/>
    <m/>
    <m/>
    <s v="Проектирование"/>
    <d v="2024-10-07T00:00:00"/>
    <s v="ПриПро"/>
    <s v="SGG"/>
    <d v="2024-01-18T00:00:00"/>
    <s v="CS-240118-1/0 (35)"/>
    <m/>
    <m/>
    <m/>
  </r>
  <r>
    <n v="2480"/>
    <s v="Кахети"/>
    <s v="Гурджаани"/>
    <s v="(36) მე-14 საუბნო კვანძზე (ფიროს უბანი, ადვიოკატი ნოდარის უბანი) საშუალო წნევის გაზსადენის რეაბილიტაცია. (P.2.861)"/>
    <x v="10"/>
    <n v="0"/>
    <n v="2"/>
    <m/>
    <m/>
    <m/>
    <n v="0"/>
    <n v="0"/>
    <m/>
    <n v="0"/>
    <n v="2"/>
    <m/>
    <s v="P.2.861"/>
    <n v="0"/>
    <n v="0"/>
    <m/>
    <m/>
    <m/>
    <m/>
    <m/>
    <m/>
    <m/>
    <m/>
    <m/>
    <m/>
    <m/>
    <m/>
    <m/>
    <m/>
    <m/>
    <m/>
    <m/>
    <m/>
    <m/>
    <m/>
    <m/>
    <m/>
    <m/>
    <m/>
    <m/>
    <n v="0"/>
    <n v="0"/>
    <n v="0"/>
    <n v="0"/>
    <n v="0"/>
    <n v="0"/>
    <m/>
    <m/>
    <m/>
    <m/>
    <m/>
    <m/>
    <m/>
    <m/>
    <s v="Проектирование"/>
    <m/>
    <n v="0"/>
    <s v="SGG"/>
    <d v="2024-01-18T00:00:00"/>
    <s v="CS-240118-1/0 (36)"/>
    <m/>
    <m/>
    <m/>
  </r>
  <r>
    <n v="2481"/>
    <s v="Кахети"/>
    <s v="Ахмета"/>
    <s v="(37) #5 ქ. ახმეტა დედის ქუჩის გაზსადენის რეაბილიტაცია პირველი მაისის ქუჩის გაზსადენის რეაბილიტაცია (P.2.506)"/>
    <x v="10"/>
    <n v="1417.5"/>
    <n v="2"/>
    <n v="1417.5"/>
    <m/>
    <n v="1417.5"/>
    <n v="0"/>
    <n v="0"/>
    <m/>
    <n v="0"/>
    <n v="0"/>
    <m/>
    <s v="P.2.506"/>
    <n v="0"/>
    <n v="0"/>
    <m/>
    <m/>
    <m/>
    <m/>
    <m/>
    <m/>
    <m/>
    <m/>
    <m/>
    <m/>
    <m/>
    <m/>
    <m/>
    <m/>
    <m/>
    <m/>
    <m/>
    <m/>
    <m/>
    <m/>
    <m/>
    <m/>
    <m/>
    <m/>
    <m/>
    <n v="0"/>
    <n v="0"/>
    <n v="0"/>
    <n v="0"/>
    <n v="0"/>
    <n v="0"/>
    <m/>
    <m/>
    <m/>
    <m/>
    <m/>
    <m/>
    <m/>
    <m/>
    <s v="Проектирование"/>
    <d v="2024-06-06T00:00:00"/>
    <s v="ПриПро"/>
    <s v="SGG"/>
    <d v="2024-01-18T00:00:00"/>
    <s v="CS-240118-1/0 (37)"/>
    <m/>
    <m/>
    <m/>
  </r>
  <r>
    <n v="2482"/>
    <s v="Кахети"/>
    <s v="Сигнаги"/>
    <s v="(38) ს. საქობო ანას უბნის რეაბილიტაცია (P.2.792)"/>
    <x v="10"/>
    <n v="2754.5"/>
    <n v="2"/>
    <n v="2754.5"/>
    <m/>
    <n v="2754.5"/>
    <n v="0"/>
    <n v="0"/>
    <m/>
    <n v="0"/>
    <n v="0"/>
    <m/>
    <s v="P.2.792"/>
    <n v="0"/>
    <n v="0"/>
    <m/>
    <m/>
    <m/>
    <m/>
    <m/>
    <m/>
    <m/>
    <m/>
    <m/>
    <m/>
    <m/>
    <m/>
    <m/>
    <m/>
    <m/>
    <m/>
    <m/>
    <m/>
    <m/>
    <m/>
    <m/>
    <m/>
    <m/>
    <m/>
    <m/>
    <n v="0"/>
    <n v="0"/>
    <n v="0"/>
    <n v="0"/>
    <n v="0"/>
    <n v="0"/>
    <m/>
    <m/>
    <m/>
    <m/>
    <m/>
    <m/>
    <m/>
    <m/>
    <s v="Проектирование"/>
    <d v="2024-06-06T00:00:00"/>
    <s v="ПриПро"/>
    <s v="SGG"/>
    <d v="2024-01-18T00:00:00"/>
    <s v="CS-240118-1/0 (38)"/>
    <m/>
    <m/>
    <s v="No"/>
  </r>
  <r>
    <n v="2483"/>
    <s v="Кахети"/>
    <s v="Кварели"/>
    <s v="(39) ქ. ყვარელი, ელადის ქუჩის მიწისქვეშა დაბალი წნევის გაზსადენის რეაბილიტაცია 57.06.56.000.182-დან 57.06.51.000.454-მდე (P.2.1117)"/>
    <x v="10"/>
    <n v="945"/>
    <n v="2"/>
    <n v="945"/>
    <m/>
    <n v="945"/>
    <n v="0"/>
    <n v="0"/>
    <m/>
    <n v="0"/>
    <n v="0"/>
    <m/>
    <s v="P.2.1117"/>
    <n v="0"/>
    <n v="0"/>
    <m/>
    <m/>
    <m/>
    <m/>
    <m/>
    <m/>
    <m/>
    <m/>
    <m/>
    <m/>
    <m/>
    <m/>
    <m/>
    <m/>
    <m/>
    <m/>
    <m/>
    <m/>
    <m/>
    <m/>
    <m/>
    <m/>
    <m/>
    <m/>
    <m/>
    <n v="0"/>
    <n v="0"/>
    <n v="0"/>
    <n v="0"/>
    <n v="0"/>
    <n v="0"/>
    <m/>
    <m/>
    <m/>
    <m/>
    <m/>
    <m/>
    <m/>
    <m/>
    <s v="Проектирование"/>
    <d v="2024-06-06T00:00:00"/>
    <s v="ПриПро"/>
    <s v="SGG"/>
    <d v="2024-01-18T00:00:00"/>
    <s v="CS-240118-1/0 (39)"/>
    <m/>
    <m/>
    <m/>
  </r>
  <r>
    <n v="2484"/>
    <s v="Кахети"/>
    <s v="Ахмета"/>
    <s v="(40) #999 ქ. ახმეტა გორგასლის პირველი შესახვევი მიწისქვეშა გაზსადენის რეაბილიტაცია (P.2.526)"/>
    <x v="10"/>
    <n v="1242.5"/>
    <n v="2"/>
    <n v="1242.5"/>
    <m/>
    <n v="1242.5"/>
    <n v="0"/>
    <n v="0"/>
    <m/>
    <n v="0"/>
    <n v="0"/>
    <m/>
    <s v="P.2.526"/>
    <n v="0"/>
    <n v="0"/>
    <m/>
    <m/>
    <m/>
    <m/>
    <m/>
    <m/>
    <m/>
    <m/>
    <m/>
    <m/>
    <m/>
    <m/>
    <m/>
    <m/>
    <m/>
    <m/>
    <m/>
    <m/>
    <m/>
    <m/>
    <m/>
    <m/>
    <m/>
    <m/>
    <m/>
    <n v="0"/>
    <n v="0"/>
    <n v="0"/>
    <n v="0"/>
    <n v="0"/>
    <n v="0"/>
    <m/>
    <m/>
    <m/>
    <m/>
    <m/>
    <m/>
    <m/>
    <m/>
    <s v="Проектирование"/>
    <d v="2024-06-06T00:00:00"/>
    <s v="ПриПро"/>
    <s v="SGG"/>
    <d v="2024-01-18T00:00:00"/>
    <s v="CS-240118-1/0 (40)"/>
    <m/>
    <m/>
    <s v="No"/>
  </r>
  <r>
    <n v="2485"/>
    <s v="Кахети"/>
    <s v="Сигнаги"/>
    <s v="(41) სოფ. საქობო მხატვარი იურას უბნის რეაბილიტაცია (P.2.778)"/>
    <x v="10"/>
    <n v="1338.75"/>
    <n v="2"/>
    <n v="1338.75"/>
    <m/>
    <n v="1338.75"/>
    <n v="0"/>
    <n v="0"/>
    <m/>
    <n v="0"/>
    <n v="0"/>
    <m/>
    <s v="P.2.778"/>
    <n v="0"/>
    <n v="0"/>
    <m/>
    <m/>
    <m/>
    <m/>
    <m/>
    <m/>
    <m/>
    <m/>
    <m/>
    <m/>
    <m/>
    <m/>
    <m/>
    <m/>
    <m/>
    <m/>
    <m/>
    <m/>
    <m/>
    <m/>
    <m/>
    <m/>
    <m/>
    <m/>
    <m/>
    <n v="0"/>
    <n v="0"/>
    <n v="0"/>
    <n v="0"/>
    <n v="0"/>
    <n v="0"/>
    <m/>
    <m/>
    <m/>
    <m/>
    <m/>
    <m/>
    <m/>
    <m/>
    <s v="Проектирование"/>
    <d v="2024-06-06T00:00:00"/>
    <s v="ПриПро"/>
    <s v="SGG"/>
    <d v="2024-01-18T00:00:00"/>
    <s v="CS-240118-1/0 (41)"/>
    <m/>
    <m/>
    <m/>
  </r>
  <r>
    <n v="2486"/>
    <s v="Кахети"/>
    <s v="Сагареджо"/>
    <s v="(42) სოფ. სართიჭალა, მუღანლოს დასახ. ქუჩის ჩიხის ქსელის რეაბილიტაცია (P.2.81)"/>
    <x v="10"/>
    <n v="2420.25"/>
    <n v="2"/>
    <n v="2420.25"/>
    <m/>
    <n v="2420.25"/>
    <n v="0"/>
    <n v="0"/>
    <m/>
    <n v="0"/>
    <n v="0"/>
    <m/>
    <s v="P.2.81"/>
    <n v="0"/>
    <n v="0"/>
    <m/>
    <m/>
    <m/>
    <m/>
    <m/>
    <m/>
    <m/>
    <m/>
    <m/>
    <m/>
    <m/>
    <m/>
    <m/>
    <m/>
    <m/>
    <m/>
    <m/>
    <m/>
    <m/>
    <m/>
    <m/>
    <m/>
    <m/>
    <m/>
    <m/>
    <n v="0"/>
    <n v="0"/>
    <n v="0"/>
    <n v="0"/>
    <n v="0"/>
    <n v="0"/>
    <m/>
    <m/>
    <m/>
    <m/>
    <m/>
    <m/>
    <m/>
    <m/>
    <s v="Проектирование"/>
    <d v="2024-06-06T00:00:00"/>
    <s v="ПриПро"/>
    <s v="SGG"/>
    <d v="2024-01-18T00:00:00"/>
    <s v="CS-240118-1/0 (42)"/>
    <m/>
    <m/>
    <m/>
  </r>
  <r>
    <n v="2487"/>
    <s v="Кахети"/>
    <s v="Сигнаги"/>
    <s v="(43) ქ. წნორი პაპუაშვილის უბნის რეაბილიტაცია (P.2.775)"/>
    <x v="10"/>
    <n v="985.25"/>
    <n v="2"/>
    <n v="985.25"/>
    <m/>
    <n v="985.25"/>
    <n v="0"/>
    <n v="0"/>
    <m/>
    <n v="0"/>
    <n v="0"/>
    <m/>
    <s v="P.2.775"/>
    <n v="0"/>
    <n v="0"/>
    <m/>
    <m/>
    <m/>
    <m/>
    <m/>
    <m/>
    <m/>
    <m/>
    <m/>
    <m/>
    <m/>
    <m/>
    <m/>
    <m/>
    <m/>
    <m/>
    <m/>
    <m/>
    <m/>
    <m/>
    <m/>
    <m/>
    <m/>
    <m/>
    <m/>
    <n v="0"/>
    <n v="0"/>
    <n v="0"/>
    <n v="0"/>
    <n v="0"/>
    <n v="0"/>
    <m/>
    <m/>
    <m/>
    <m/>
    <m/>
    <m/>
    <m/>
    <m/>
    <s v="Проектирование"/>
    <d v="2024-06-06T00:00:00"/>
    <s v="ПриПро"/>
    <s v="SGG"/>
    <d v="2024-01-18T00:00:00"/>
    <s v="CS-240118-1/0 (43)"/>
    <m/>
    <m/>
    <m/>
  </r>
  <r>
    <n v="2488"/>
    <s v="Кахети"/>
    <s v="Кварели"/>
    <s v="(44) ქ. ყვარელი, ანდრია ბენაშვილის (ერეკლეს) ქუჩის მიწისქვეშა დაბალი წნევის გაზსადენის რეაბილიტაცია 57.06.56.000.154-დან 57.06.51.000.213-მდე (P.2.1116)"/>
    <x v="10"/>
    <n v="1029"/>
    <n v="2"/>
    <n v="1029"/>
    <m/>
    <n v="1029"/>
    <n v="0"/>
    <n v="0"/>
    <m/>
    <n v="0"/>
    <n v="0"/>
    <m/>
    <s v="P.2.1116"/>
    <n v="0"/>
    <n v="0"/>
    <m/>
    <m/>
    <m/>
    <m/>
    <m/>
    <m/>
    <m/>
    <m/>
    <m/>
    <m/>
    <m/>
    <m/>
    <m/>
    <m/>
    <m/>
    <m/>
    <m/>
    <m/>
    <m/>
    <m/>
    <m/>
    <m/>
    <m/>
    <m/>
    <m/>
    <n v="0"/>
    <n v="0"/>
    <n v="0"/>
    <n v="0"/>
    <n v="0"/>
    <n v="0"/>
    <m/>
    <m/>
    <m/>
    <m/>
    <m/>
    <m/>
    <m/>
    <m/>
    <s v="Проектирование"/>
    <d v="2024-06-06T00:00:00"/>
    <s v="ПриПро"/>
    <s v="SGG"/>
    <d v="2024-01-18T00:00:00"/>
    <s v="CS-240118-1/0 (44)"/>
    <m/>
    <m/>
    <m/>
  </r>
  <r>
    <n v="2489"/>
    <s v="Кахети"/>
    <s v="Дедоплисцкаро"/>
    <s v="(45) ქ. დედოფლისწყარო-ბარათაშვილის ქუჩა გაზსადენის რეაბილიტაცია (P.2.991)"/>
    <x v="10"/>
    <n v="1314.25"/>
    <n v="2"/>
    <n v="1314.25"/>
    <m/>
    <n v="1314.25"/>
    <n v="0"/>
    <n v="0"/>
    <m/>
    <n v="0"/>
    <n v="0"/>
    <m/>
    <s v="P.2.991"/>
    <n v="0"/>
    <n v="0"/>
    <m/>
    <m/>
    <m/>
    <m/>
    <m/>
    <m/>
    <m/>
    <m/>
    <m/>
    <m/>
    <m/>
    <m/>
    <m/>
    <m/>
    <m/>
    <m/>
    <m/>
    <m/>
    <m/>
    <m/>
    <m/>
    <m/>
    <m/>
    <m/>
    <m/>
    <n v="0"/>
    <n v="0"/>
    <n v="0"/>
    <n v="0"/>
    <n v="0"/>
    <n v="0"/>
    <m/>
    <m/>
    <m/>
    <m/>
    <m/>
    <m/>
    <m/>
    <m/>
    <s v="Проектирование"/>
    <d v="2024-07-22T00:00:00"/>
    <s v="ПриПро"/>
    <s v="SGG"/>
    <d v="2024-01-18T00:00:00"/>
    <s v="CS-240118-1/0 (45)"/>
    <m/>
    <m/>
    <m/>
  </r>
  <r>
    <n v="2490"/>
    <s v="Кахети"/>
    <s v="Кварели"/>
    <s v="(46) ქ. ყვარელი, ლაშარის ქუჩის მიწისქვეშა დაბალი წნევის გაზსადენის რეაბილიტაცია 57.06.56.000.293-დან 57.06.51.000.138-მდე (P.2.1115)"/>
    <x v="10"/>
    <n v="2261"/>
    <n v="2"/>
    <n v="2261"/>
    <m/>
    <n v="2261"/>
    <n v="0"/>
    <n v="0"/>
    <m/>
    <n v="0"/>
    <n v="0"/>
    <m/>
    <s v="P.2.1115"/>
    <n v="0"/>
    <n v="0"/>
    <m/>
    <m/>
    <m/>
    <m/>
    <m/>
    <m/>
    <m/>
    <m/>
    <m/>
    <m/>
    <m/>
    <m/>
    <m/>
    <m/>
    <m/>
    <m/>
    <m/>
    <m/>
    <m/>
    <m/>
    <m/>
    <m/>
    <m/>
    <m/>
    <m/>
    <n v="0"/>
    <n v="0"/>
    <n v="0"/>
    <n v="0"/>
    <n v="0"/>
    <n v="0"/>
    <m/>
    <m/>
    <m/>
    <m/>
    <m/>
    <m/>
    <m/>
    <m/>
    <s v="Проектирование"/>
    <d v="2024-06-06T00:00:00"/>
    <s v="ПриПро"/>
    <s v="SGG"/>
    <d v="2024-01-18T00:00:00"/>
    <s v="CS-240118-1/0 (46)"/>
    <m/>
    <m/>
    <m/>
  </r>
  <r>
    <n v="2491"/>
    <s v="Кахети"/>
    <s v="Кварели"/>
    <s v="(47) ქ. ყვარელი, სოლომონ დოდაშვილის ქუჩის მიწისქვეშა დაბალი წნევის გაზსადენის რეაბილიტაცია 57.06.56.000.2675-დან 57.06.51.000.074-მდე (P.2.1119)"/>
    <x v="10"/>
    <n v="1100.75"/>
    <n v="2"/>
    <n v="1100.75"/>
    <m/>
    <n v="1100.75"/>
    <n v="0"/>
    <n v="0"/>
    <m/>
    <n v="0"/>
    <n v="0"/>
    <m/>
    <s v="P.2.1119"/>
    <n v="0"/>
    <n v="0"/>
    <m/>
    <m/>
    <m/>
    <m/>
    <m/>
    <m/>
    <m/>
    <m/>
    <m/>
    <m/>
    <m/>
    <m/>
    <m/>
    <m/>
    <m/>
    <m/>
    <m/>
    <m/>
    <m/>
    <m/>
    <m/>
    <m/>
    <m/>
    <m/>
    <m/>
    <n v="0"/>
    <n v="0"/>
    <n v="0"/>
    <n v="0"/>
    <n v="0"/>
    <n v="0"/>
    <m/>
    <m/>
    <m/>
    <m/>
    <m/>
    <m/>
    <m/>
    <m/>
    <s v="Проектирование"/>
    <d v="2024-06-06T00:00:00"/>
    <s v="ПриПро"/>
    <s v="SGG"/>
    <d v="2024-01-18T00:00:00"/>
    <s v="CS-240118-1/0 (47)"/>
    <m/>
    <m/>
    <m/>
  </r>
  <r>
    <n v="2492"/>
    <s v="Кахети"/>
    <s v="Сигнаги"/>
    <s v="(48) სოფ. საქობო კლუბის უბნის გაზსადენის რეაბილიტაცია (P.2.777)"/>
    <x v="10"/>
    <n v="829.5"/>
    <n v="2"/>
    <n v="829.5"/>
    <m/>
    <n v="829.5"/>
    <n v="0"/>
    <n v="0"/>
    <m/>
    <n v="0"/>
    <n v="0"/>
    <m/>
    <s v="P.2.777"/>
    <n v="0"/>
    <n v="0"/>
    <m/>
    <m/>
    <m/>
    <m/>
    <m/>
    <m/>
    <m/>
    <m/>
    <m/>
    <m/>
    <m/>
    <m/>
    <m/>
    <m/>
    <m/>
    <m/>
    <m/>
    <m/>
    <m/>
    <m/>
    <m/>
    <m/>
    <m/>
    <m/>
    <m/>
    <n v="0"/>
    <n v="0"/>
    <n v="0"/>
    <n v="0"/>
    <n v="0"/>
    <n v="0"/>
    <m/>
    <m/>
    <m/>
    <m/>
    <m/>
    <m/>
    <m/>
    <m/>
    <s v="Проектирование"/>
    <d v="2024-06-06T00:00:00"/>
    <s v="ПриПро"/>
    <s v="SGG"/>
    <d v="2024-01-18T00:00:00"/>
    <s v="CS-240118-1/0 (48)"/>
    <m/>
    <m/>
    <m/>
  </r>
  <r>
    <n v="2493"/>
    <s v="Кахети"/>
    <s v="Сигнаги"/>
    <s v="(49) ქ. წნორი ნოდარ მოლაშვილის უბნის რეაბილიტაცია (P.2.791)"/>
    <x v="10"/>
    <n v="416.5"/>
    <n v="2"/>
    <n v="416.5"/>
    <m/>
    <n v="416.5"/>
    <n v="0"/>
    <n v="0"/>
    <m/>
    <n v="0"/>
    <n v="0"/>
    <m/>
    <s v="P.2.791"/>
    <n v="0"/>
    <n v="0"/>
    <m/>
    <m/>
    <m/>
    <m/>
    <m/>
    <m/>
    <m/>
    <m/>
    <m/>
    <m/>
    <m/>
    <m/>
    <m/>
    <m/>
    <m/>
    <m/>
    <m/>
    <m/>
    <m/>
    <m/>
    <m/>
    <m/>
    <m/>
    <m/>
    <m/>
    <n v="0"/>
    <n v="0"/>
    <n v="0"/>
    <n v="0"/>
    <n v="0"/>
    <n v="0"/>
    <m/>
    <m/>
    <m/>
    <m/>
    <m/>
    <m/>
    <m/>
    <m/>
    <s v="Проектирование"/>
    <d v="2024-06-06T00:00:00"/>
    <s v="ПриПро"/>
    <s v="SGG"/>
    <d v="2024-01-18T00:00:00"/>
    <s v="CS-240118-1/0 (49)"/>
    <m/>
    <m/>
    <m/>
  </r>
  <r>
    <n v="2494"/>
    <s v="Квемо Картли"/>
    <s v="Рустави"/>
    <s v="(1) გამოსატანი მრიცხველების გამოტანა (P.2.647)"/>
    <x v="10"/>
    <n v="0"/>
    <n v="2"/>
    <m/>
    <m/>
    <m/>
    <n v="0"/>
    <n v="0"/>
    <m/>
    <n v="0"/>
    <n v="2"/>
    <m/>
    <s v="P.2.647"/>
    <n v="0"/>
    <n v="0"/>
    <m/>
    <m/>
    <m/>
    <m/>
    <m/>
    <m/>
    <m/>
    <m/>
    <m/>
    <m/>
    <m/>
    <m/>
    <m/>
    <m/>
    <m/>
    <m/>
    <m/>
    <m/>
    <m/>
    <m/>
    <m/>
    <m/>
    <m/>
    <m/>
    <m/>
    <n v="0"/>
    <n v="0"/>
    <n v="0"/>
    <n v="0"/>
    <n v="0"/>
    <n v="0"/>
    <m/>
    <m/>
    <m/>
    <m/>
    <m/>
    <m/>
    <m/>
    <m/>
    <s v="Проектирование"/>
    <m/>
    <n v="0"/>
    <s v="Сакорггаз"/>
    <d v="2024-01-18T00:00:00"/>
    <s v="CC-240118-1/0 (1)"/>
    <m/>
    <m/>
    <m/>
  </r>
  <r>
    <n v="2495"/>
    <s v="Квемо Картли"/>
    <s v="Рустави"/>
    <s v="(2) გამოსატანი მრიცხველების გამოტანა (P.2.618)"/>
    <x v="10"/>
    <n v="0"/>
    <n v="2"/>
    <m/>
    <m/>
    <m/>
    <n v="0"/>
    <n v="0"/>
    <m/>
    <n v="0"/>
    <n v="2"/>
    <m/>
    <s v="P.2.618"/>
    <n v="0"/>
    <n v="0"/>
    <m/>
    <m/>
    <m/>
    <m/>
    <m/>
    <m/>
    <m/>
    <m/>
    <m/>
    <m/>
    <m/>
    <m/>
    <m/>
    <m/>
    <m/>
    <m/>
    <m/>
    <m/>
    <m/>
    <m/>
    <m/>
    <m/>
    <m/>
    <m/>
    <m/>
    <n v="0"/>
    <n v="0"/>
    <n v="0"/>
    <n v="0"/>
    <n v="0"/>
    <n v="0"/>
    <m/>
    <m/>
    <m/>
    <m/>
    <m/>
    <m/>
    <m/>
    <m/>
    <s v="Проектирование"/>
    <m/>
    <n v="0"/>
    <s v="Сакорггаз"/>
    <d v="2024-01-18T00:00:00"/>
    <s v="CC-240118-1/0 (2)"/>
    <m/>
    <m/>
    <m/>
  </r>
  <r>
    <n v="2496"/>
    <s v="Квемо Картли"/>
    <s v="Тетрицкаро"/>
    <s v="(3) ქ. თეთრიწყაროს სოფ ასურეთში სოფლის შიდა გაზსადენის რეაბილიტაცია (P.2.826)"/>
    <x v="10"/>
    <n v="12040"/>
    <n v="2"/>
    <n v="12040"/>
    <m/>
    <n v="12040"/>
    <n v="0"/>
    <n v="0"/>
    <m/>
    <n v="0"/>
    <n v="0"/>
    <m/>
    <s v="P.2.826"/>
    <n v="0"/>
    <n v="0"/>
    <m/>
    <m/>
    <m/>
    <m/>
    <m/>
    <m/>
    <m/>
    <m/>
    <m/>
    <m/>
    <m/>
    <m/>
    <m/>
    <m/>
    <m/>
    <m/>
    <m/>
    <m/>
    <m/>
    <m/>
    <m/>
    <m/>
    <m/>
    <m/>
    <m/>
    <n v="0"/>
    <n v="0"/>
    <n v="0"/>
    <n v="0"/>
    <n v="0"/>
    <n v="0"/>
    <m/>
    <m/>
    <m/>
    <m/>
    <m/>
    <m/>
    <m/>
    <m/>
    <s v="Проектирование"/>
    <d v="2024-08-05T00:00:00"/>
    <s v="ПриПро"/>
    <s v="Сакорггаз"/>
    <d v="2024-01-18T00:00:00"/>
    <s v="CC-240118-1/0 (3)"/>
    <m/>
    <m/>
    <m/>
  </r>
  <r>
    <n v="2497"/>
    <s v="Квемо Картли"/>
    <s v="Тетрицкаро"/>
    <s v="(4) ქ. თეთრიწყაროს ბაგრატიონის და გ . ბრწყინვალეს ქუჩაზე კერძო საკუთრებაში გამავალი გაზსადენის გამოტანა 105 აბ, რეაბილიტაცია. (P.2.824)"/>
    <x v="10"/>
    <n v="0"/>
    <n v="2"/>
    <m/>
    <m/>
    <m/>
    <n v="0"/>
    <n v="0"/>
    <m/>
    <n v="0"/>
    <n v="2"/>
    <m/>
    <s v="P.2.824"/>
    <n v="0"/>
    <n v="0"/>
    <m/>
    <m/>
    <m/>
    <m/>
    <m/>
    <m/>
    <m/>
    <m/>
    <m/>
    <m/>
    <m/>
    <m/>
    <m/>
    <m/>
    <m/>
    <m/>
    <m/>
    <m/>
    <m/>
    <m/>
    <m/>
    <m/>
    <m/>
    <m/>
    <m/>
    <n v="0"/>
    <n v="0"/>
    <n v="0"/>
    <n v="0"/>
    <n v="0"/>
    <n v="0"/>
    <m/>
    <m/>
    <m/>
    <m/>
    <m/>
    <m/>
    <m/>
    <m/>
    <s v="Проектирование"/>
    <m/>
    <n v="0"/>
    <s v="Сакорггаз"/>
    <d v="2024-01-18T00:00:00"/>
    <s v="CC-240118-1/0 (4)"/>
    <m/>
    <m/>
    <m/>
  </r>
  <r>
    <n v="2498"/>
    <s v="Квемо Картли"/>
    <s v="Рустави"/>
    <s v="(5) გამოსატანი მრიცხველების გამოტანა (P.2.685)"/>
    <x v="10"/>
    <n v="0"/>
    <n v="2"/>
    <m/>
    <m/>
    <m/>
    <n v="0"/>
    <n v="0"/>
    <m/>
    <n v="0"/>
    <n v="2"/>
    <m/>
    <s v="P.2.685"/>
    <n v="0"/>
    <n v="0"/>
    <m/>
    <m/>
    <m/>
    <m/>
    <m/>
    <m/>
    <m/>
    <m/>
    <m/>
    <m/>
    <m/>
    <m/>
    <m/>
    <m/>
    <m/>
    <m/>
    <m/>
    <m/>
    <m/>
    <m/>
    <m/>
    <m/>
    <m/>
    <m/>
    <m/>
    <n v="0"/>
    <n v="0"/>
    <n v="0"/>
    <n v="0"/>
    <n v="0"/>
    <n v="0"/>
    <m/>
    <m/>
    <m/>
    <m/>
    <m/>
    <m/>
    <m/>
    <m/>
    <s v="Проектирование"/>
    <m/>
    <n v="0"/>
    <s v="Сакорггаз"/>
    <d v="2024-01-18T00:00:00"/>
    <s v="CC-240118-1/0 (5)"/>
    <m/>
    <m/>
    <m/>
  </r>
  <r>
    <n v="2499"/>
    <s v="Квемо Картли"/>
    <s v="Тетрицкаро"/>
    <s v="(6) სოფ კოდა კერძო საკუთრებაში გამავალი გაზსადენის გამოტანა 20 აბ რეაბილიტაცია (P.2.818)"/>
    <x v="10"/>
    <n v="2556.75"/>
    <n v="2"/>
    <n v="2556.75"/>
    <m/>
    <n v="2556.75"/>
    <n v="0"/>
    <n v="0"/>
    <m/>
    <n v="0"/>
    <n v="0"/>
    <m/>
    <s v="P.2.818"/>
    <n v="0"/>
    <n v="0"/>
    <m/>
    <m/>
    <m/>
    <m/>
    <m/>
    <m/>
    <m/>
    <m/>
    <m/>
    <m/>
    <m/>
    <m/>
    <m/>
    <m/>
    <m/>
    <m/>
    <m/>
    <m/>
    <m/>
    <m/>
    <m/>
    <m/>
    <m/>
    <m/>
    <m/>
    <n v="0"/>
    <n v="0"/>
    <n v="0"/>
    <n v="0"/>
    <n v="0"/>
    <n v="0"/>
    <m/>
    <m/>
    <m/>
    <m/>
    <m/>
    <m/>
    <m/>
    <m/>
    <s v="Проектирование"/>
    <d v="2024-09-05T00:00:00"/>
    <s v="ПриПро"/>
    <s v="Сакорггаз"/>
    <d v="2024-01-18T00:00:00"/>
    <s v="CC-240118-1/0 (6)"/>
    <m/>
    <m/>
    <s v="No"/>
  </r>
  <r>
    <n v="2500"/>
    <s v="Квемо Картли"/>
    <s v="Рустави"/>
    <s v="(7) მტკვრის მარჯვენა დასახლება ახალი პოლიეთილენის დ - 63 მმ-იანი გაზსადენის აშენება (P.2.580)"/>
    <x v="10"/>
    <n v="0"/>
    <n v="2"/>
    <m/>
    <m/>
    <m/>
    <n v="0"/>
    <n v="0"/>
    <m/>
    <n v="0"/>
    <n v="2"/>
    <m/>
    <s v="P.2.580"/>
    <n v="0"/>
    <n v="0"/>
    <m/>
    <m/>
    <m/>
    <m/>
    <m/>
    <m/>
    <m/>
    <m/>
    <m/>
    <m/>
    <m/>
    <m/>
    <m/>
    <m/>
    <m/>
    <m/>
    <m/>
    <m/>
    <m/>
    <m/>
    <m/>
    <m/>
    <m/>
    <m/>
    <m/>
    <n v="0"/>
    <n v="0"/>
    <n v="0"/>
    <n v="0"/>
    <n v="0"/>
    <n v="0"/>
    <m/>
    <m/>
    <m/>
    <m/>
    <m/>
    <m/>
    <m/>
    <m/>
    <s v="Проектирование"/>
    <m/>
    <n v="0"/>
    <s v="Сакорггаз"/>
    <d v="2024-01-18T00:00:00"/>
    <s v="CC-240118-1/0 (7)"/>
    <m/>
    <m/>
    <m/>
  </r>
  <r>
    <n v="2501"/>
    <s v="Квемо Картли"/>
    <s v="Рустави"/>
    <s v="(8) მელიქიშვილის ქუჩის მ/ტ-ზე კერძო მესაკუთრის ნაკვეთებზე გამავალი საჰაერო დ - 50 მმ-იანი გაზსადენის დემონტაჟი და ახლი საჰაერო დ - 50 მმ-იანი გაზსადენის მონტაჟი (P.2.581)"/>
    <x v="10"/>
    <n v="0"/>
    <n v="2"/>
    <m/>
    <m/>
    <m/>
    <n v="0"/>
    <n v="0"/>
    <m/>
    <n v="0"/>
    <n v="2"/>
    <m/>
    <s v="P.2.581"/>
    <n v="0"/>
    <n v="0"/>
    <m/>
    <m/>
    <m/>
    <m/>
    <m/>
    <m/>
    <m/>
    <m/>
    <m/>
    <m/>
    <m/>
    <m/>
    <m/>
    <m/>
    <m/>
    <m/>
    <m/>
    <m/>
    <m/>
    <m/>
    <m/>
    <m/>
    <m/>
    <m/>
    <m/>
    <n v="0"/>
    <n v="0"/>
    <n v="0"/>
    <n v="0"/>
    <n v="0"/>
    <n v="0"/>
    <m/>
    <m/>
    <m/>
    <m/>
    <m/>
    <m/>
    <m/>
    <m/>
    <s v="Проектирование"/>
    <m/>
    <n v="0"/>
    <s v="Сакорггаз"/>
    <d v="2024-01-18T00:00:00"/>
    <s v="CC-240118-1/0 (8)"/>
    <m/>
    <m/>
    <m/>
  </r>
  <r>
    <n v="2502"/>
    <s v="Квемо Картли"/>
    <s v="Рустави"/>
    <s v="(9) თავისუფლებ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2)"/>
    <x v="10"/>
    <n v="199.5"/>
    <n v="2"/>
    <n v="199.5"/>
    <m/>
    <n v="199.5"/>
    <n v="0"/>
    <n v="0"/>
    <m/>
    <n v="0"/>
    <n v="0"/>
    <m/>
    <s v="P.2.1192"/>
    <n v="0"/>
    <n v="0"/>
    <m/>
    <m/>
    <m/>
    <m/>
    <m/>
    <m/>
    <m/>
    <m/>
    <m/>
    <m/>
    <m/>
    <m/>
    <m/>
    <m/>
    <m/>
    <m/>
    <m/>
    <m/>
    <m/>
    <m/>
    <m/>
    <m/>
    <m/>
    <m/>
    <m/>
    <n v="0"/>
    <n v="0"/>
    <n v="0"/>
    <n v="0"/>
    <n v="0"/>
    <n v="0"/>
    <m/>
    <m/>
    <m/>
    <m/>
    <m/>
    <m/>
    <m/>
    <m/>
    <s v="Проектирование"/>
    <d v="2024-09-05T00:00:00"/>
    <s v="ПриПро"/>
    <s v="Сакорггаз"/>
    <d v="2024-01-18T00:00:00"/>
    <s v="CC-240118-1/0 (9)"/>
    <m/>
    <m/>
    <s v="No"/>
  </r>
  <r>
    <n v="2503"/>
    <s v="Квемо Картли"/>
    <s v="Рустави"/>
    <s v="(10) სტალინ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3)"/>
    <x v="10"/>
    <n v="176.75"/>
    <n v="2"/>
    <n v="176.75"/>
    <m/>
    <n v="176.75"/>
    <n v="0"/>
    <n v="0"/>
    <m/>
    <n v="0"/>
    <n v="0"/>
    <m/>
    <s v="P.2.1193"/>
    <n v="0"/>
    <n v="0"/>
    <m/>
    <m/>
    <m/>
    <m/>
    <m/>
    <m/>
    <m/>
    <m/>
    <m/>
    <m/>
    <m/>
    <m/>
    <m/>
    <m/>
    <m/>
    <m/>
    <m/>
    <m/>
    <m/>
    <m/>
    <m/>
    <m/>
    <m/>
    <m/>
    <m/>
    <n v="0"/>
    <n v="0"/>
    <n v="0"/>
    <n v="0"/>
    <n v="0"/>
    <n v="0"/>
    <m/>
    <m/>
    <m/>
    <m/>
    <m/>
    <m/>
    <m/>
    <m/>
    <s v="Проектирование"/>
    <d v="2024-09-05T00:00:00"/>
    <s v="ПриПро"/>
    <s v="Сакорггаз"/>
    <d v="2024-01-18T00:00:00"/>
    <s v="CC-240118-1/0 (10)"/>
    <m/>
    <m/>
    <s v="No"/>
  </r>
  <r>
    <n v="2504"/>
    <s v="Квемо Картли"/>
    <s v="Рустави"/>
    <s v="(11) თიანეთის ქუჩაზე (გამარჯვება) არსებული ფოლადის მიწისქვეშა გაზსადენის შეცვლა პოლიეთილენის მიწისქვეშა გაზსადენით (P.2.1191)"/>
    <x v="10"/>
    <n v="196"/>
    <n v="2"/>
    <n v="196"/>
    <m/>
    <n v="196"/>
    <n v="0"/>
    <n v="0"/>
    <m/>
    <n v="0"/>
    <n v="0"/>
    <m/>
    <s v="P.2.1191"/>
    <n v="0"/>
    <n v="0"/>
    <m/>
    <m/>
    <m/>
    <m/>
    <m/>
    <m/>
    <m/>
    <m/>
    <m/>
    <m/>
    <m/>
    <m/>
    <m/>
    <m/>
    <m/>
    <m/>
    <m/>
    <m/>
    <m/>
    <m/>
    <m/>
    <m/>
    <m/>
    <m/>
    <m/>
    <n v="0"/>
    <n v="0"/>
    <n v="0"/>
    <n v="0"/>
    <n v="0"/>
    <n v="0"/>
    <m/>
    <m/>
    <m/>
    <m/>
    <m/>
    <m/>
    <m/>
    <m/>
    <s v="Проектирование"/>
    <d v="2024-09-05T00:00:00"/>
    <s v="ПриПро"/>
    <s v="Сакорггаз"/>
    <d v="2024-01-18T00:00:00"/>
    <s v="CC-240118-1/0 (11)"/>
    <m/>
    <m/>
    <s v="No"/>
  </r>
  <r>
    <n v="2505"/>
    <s v="Аджара"/>
    <s v="Хелвачаури"/>
    <s v="D-500 მმ ქსელის მშენებლობის პროექტის კორექტირება ყოროლისწყალის მონაკვეთზე (P.5.11)"/>
    <x v="18"/>
    <n v="58351"/>
    <m/>
    <n v="58351"/>
    <n v="0"/>
    <n v="58351"/>
    <n v="0"/>
    <n v="0"/>
    <m/>
    <n v="0"/>
    <n v="0"/>
    <m/>
    <s v="P.5.11"/>
    <n v="0"/>
    <n v="0"/>
    <m/>
    <m/>
    <m/>
    <m/>
    <m/>
    <m/>
    <m/>
    <m/>
    <m/>
    <m/>
    <m/>
    <m/>
    <m/>
    <m/>
    <m/>
    <m/>
    <m/>
    <m/>
    <m/>
    <m/>
    <m/>
    <m/>
    <m/>
    <m/>
    <m/>
    <n v="0"/>
    <n v="0"/>
    <n v="0"/>
    <n v="0"/>
    <n v="0"/>
    <n v="0"/>
    <m/>
    <m/>
    <m/>
    <m/>
    <m/>
    <m/>
    <m/>
    <m/>
    <s v="Проектирование"/>
    <d v="2024-05-29T00:00:00"/>
    <s v="ПриПро"/>
    <s v="SGG"/>
    <d v="2024-05-13T00:00:00"/>
    <s v="13.05.2024-01"/>
    <m/>
    <m/>
    <s v="No"/>
  </r>
  <r>
    <n v="2506"/>
    <s v="Мцхета-Мтианети"/>
    <s v="Мцхета"/>
    <s v="(1.1.1) სოფელ ბიწმენდში არსებული შიდა ქსელის რეაბილიტაცია და გამსხვილება P.3.698"/>
    <x v="19"/>
    <n v="18984"/>
    <m/>
    <n v="18984"/>
    <m/>
    <n v="18984"/>
    <n v="0"/>
    <n v="0"/>
    <m/>
    <n v="0"/>
    <n v="0"/>
    <m/>
    <s v="P.3.698"/>
    <n v="0"/>
    <n v="0"/>
    <m/>
    <m/>
    <m/>
    <m/>
    <m/>
    <m/>
    <m/>
    <m/>
    <m/>
    <m/>
    <m/>
    <m/>
    <m/>
    <m/>
    <m/>
    <m/>
    <m/>
    <m/>
    <m/>
    <m/>
    <m/>
    <m/>
    <m/>
    <m/>
    <m/>
    <n v="0"/>
    <n v="0"/>
    <n v="0"/>
    <n v="0"/>
    <n v="0"/>
    <n v="0"/>
    <m/>
    <m/>
    <m/>
    <m/>
    <m/>
    <m/>
    <m/>
    <m/>
    <s v="Проектирование"/>
    <d v="2024-08-26T00:00:00"/>
    <s v="ПриПро"/>
    <s v="SGG"/>
    <d v="2024-01-19T00:00:00"/>
    <s v="CS-240119-1/0 (1.1.1)"/>
    <m/>
    <m/>
    <s v="No"/>
  </r>
  <r>
    <n v="2507"/>
    <s v="Мцхета-Мтианети"/>
    <s v="Мцхета"/>
    <s v="(1.1.2) სოფელ მუხრანში არსებული შიდა ქსელის რეაბილიტაცია და გამსხვილება P.3.697"/>
    <x v="19"/>
    <n v="17053.75"/>
    <m/>
    <n v="17053.75"/>
    <m/>
    <n v="17053.75"/>
    <n v="0"/>
    <n v="0"/>
    <m/>
    <n v="0"/>
    <n v="0"/>
    <m/>
    <s v="P.3.697"/>
    <n v="0"/>
    <n v="0"/>
    <m/>
    <m/>
    <m/>
    <m/>
    <m/>
    <m/>
    <m/>
    <m/>
    <m/>
    <m/>
    <m/>
    <m/>
    <m/>
    <m/>
    <m/>
    <m/>
    <m/>
    <m/>
    <m/>
    <m/>
    <m/>
    <m/>
    <m/>
    <m/>
    <m/>
    <n v="0"/>
    <n v="0"/>
    <n v="0"/>
    <n v="0"/>
    <n v="0"/>
    <n v="0"/>
    <m/>
    <m/>
    <m/>
    <m/>
    <m/>
    <m/>
    <m/>
    <m/>
    <s v="Проектирование"/>
    <d v="2024-08-26T00:00:00"/>
    <s v="ПриПро"/>
    <s v="SGG"/>
    <d v="2024-01-19T00:00:00"/>
    <s v="CS-240119-1/0 (1.1.2)"/>
    <m/>
    <m/>
    <s v="No"/>
  </r>
  <r>
    <n v="2508"/>
    <s v="Кахети"/>
    <s v="Гурджаани"/>
    <s v="ს. ველისციხეში ქსელის რეკონსტრუქცია"/>
    <x v="7"/>
    <n v="202519.94"/>
    <s v="მესამე პირის დაკვეთით"/>
    <n v="202519.94"/>
    <n v="202519.94"/>
    <n v="202519.94"/>
    <n v="0"/>
    <n v="0"/>
    <n v="0"/>
    <n v="0"/>
    <n v="0"/>
    <m/>
    <m/>
    <n v="0"/>
    <n v="0"/>
    <m/>
    <m/>
    <m/>
    <m/>
    <m/>
    <m/>
    <m/>
    <m/>
    <m/>
    <m/>
    <m/>
    <m/>
    <m/>
    <m/>
    <m/>
    <m/>
    <m/>
    <m/>
    <m/>
    <m/>
    <m/>
    <m/>
    <m/>
    <m/>
    <m/>
    <n v="0"/>
    <n v="0"/>
    <n v="0"/>
    <n v="0"/>
    <n v="0"/>
    <n v="0"/>
    <m/>
    <m/>
    <n v="17162.706779661017"/>
    <n v="0"/>
    <m/>
    <m/>
    <m/>
    <m/>
    <s v="Заказ"/>
    <d v="2024-03-22T00:00:00"/>
    <s v="Принят"/>
    <s v="SGG"/>
    <d v="2023-06-08T00:00:00"/>
    <s v="SGG-K/B-23/90"/>
    <m/>
    <s v="დამკვეთი შპს „ჯავა“"/>
    <s v="Yes"/>
  </r>
  <r>
    <n v="2509"/>
    <s v="Аджара"/>
    <s v="Кобулети"/>
    <s v="ქ. ქობულეთში საშ. წნევის ფოლადის D-300 მმ ქსელის მშენებლობა (P.5.34)"/>
    <x v="8"/>
    <n v="3500000"/>
    <m/>
    <n v="4360000"/>
    <m/>
    <n v="4360000"/>
    <n v="-860000"/>
    <n v="0"/>
    <m/>
    <n v="-860000"/>
    <n v="1"/>
    <m/>
    <s v="P.5.34"/>
    <n v="3360000"/>
    <n v="665084.74"/>
    <n v="1200000"/>
    <m/>
    <n v="1160000"/>
    <n v="183050.85"/>
    <n v="1000000"/>
    <m/>
    <m/>
    <n v="482033.89"/>
    <m/>
    <m/>
    <m/>
    <m/>
    <m/>
    <m/>
    <m/>
    <m/>
    <m/>
    <m/>
    <m/>
    <m/>
    <m/>
    <m/>
    <m/>
    <m/>
    <m/>
    <n v="0"/>
    <n v="0"/>
    <n v="0"/>
    <n v="0"/>
    <n v="0"/>
    <n v="0"/>
    <n v="847457.63"/>
    <n v="46453.45"/>
    <m/>
    <m/>
    <n v="2847457.63"/>
    <n v="165544.69"/>
    <m/>
    <m/>
    <s v="Реаб."/>
    <m/>
    <n v="80"/>
    <s v="SGG"/>
    <d v="2024-07-15T00:00:00"/>
    <s v="BSG-241507-1/0"/>
    <m/>
    <m/>
    <s v="Yes"/>
  </r>
  <r>
    <n v="2510"/>
    <s v="Квемо Картли"/>
    <s v="Гардабани"/>
    <s v="ს. მარტყოფში ქსელის რეაბილიტაციის I ეტაპის (რაგბის მოედნიდან ეკლესიამდე) პროექტის შედგენა."/>
    <x v="10"/>
    <n v="22149.75"/>
    <n v="2"/>
    <n v="22150"/>
    <m/>
    <n v="22150"/>
    <n v="-0.25"/>
    <n v="0"/>
    <m/>
    <n v="0"/>
    <n v="0"/>
    <m/>
    <m/>
    <n v="0"/>
    <n v="0"/>
    <m/>
    <m/>
    <m/>
    <m/>
    <m/>
    <m/>
    <m/>
    <m/>
    <m/>
    <m/>
    <m/>
    <m/>
    <m/>
    <m/>
    <m/>
    <m/>
    <m/>
    <m/>
    <m/>
    <m/>
    <m/>
    <m/>
    <m/>
    <m/>
    <m/>
    <n v="0"/>
    <n v="0"/>
    <n v="0"/>
    <n v="0"/>
    <n v="0"/>
    <n v="0"/>
    <m/>
    <m/>
    <m/>
    <m/>
    <m/>
    <m/>
    <m/>
    <m/>
    <s v="Проектирование"/>
    <d v="2024-11-20T00:00:00"/>
    <s v="ПриПро"/>
    <s v="SGG"/>
    <d v="2024-08-23T00:00:00"/>
    <s v="BSG-240809-1/0 (1)"/>
    <m/>
    <s v="აკრიანი 2026-ის ყოფილი განაწილების არეალი."/>
    <s v="No"/>
  </r>
  <r>
    <n v="2511"/>
    <s v="Квемо Картли"/>
    <s v="Гардабани"/>
    <s v="ს. მარტყოფში ქსელის რეაბილიტაციის I ეტაპის (რაგბის მოედნიდან ეკლესიამდე) სამშენებლო-სამონტაჟო სამუშაოები."/>
    <x v="7"/>
    <n v="850000"/>
    <n v="2"/>
    <n v="0"/>
    <m/>
    <n v="0"/>
    <n v="850000"/>
    <n v="0"/>
    <m/>
    <n v="850000"/>
    <n v="1"/>
    <m/>
    <m/>
    <n v="0"/>
    <n v="0"/>
    <m/>
    <m/>
    <m/>
    <m/>
    <m/>
    <m/>
    <m/>
    <m/>
    <m/>
    <m/>
    <m/>
    <m/>
    <m/>
    <m/>
    <m/>
    <m/>
    <m/>
    <m/>
    <m/>
    <m/>
    <m/>
    <m/>
    <m/>
    <m/>
    <m/>
    <n v="0"/>
    <n v="0"/>
    <n v="0"/>
    <n v="0"/>
    <n v="0"/>
    <n v="0"/>
    <m/>
    <m/>
    <m/>
    <m/>
    <m/>
    <m/>
    <m/>
    <m/>
    <s v="Реаб."/>
    <m/>
    <n v="0"/>
    <s v="SGG"/>
    <d v="2024-08-23T00:00:00"/>
    <s v="BSG-240809-1/0 (2)"/>
    <m/>
    <s v="აკრიანი 2026-ის ყოფილი განაწილების არეალი."/>
    <s v="Yes"/>
  </r>
  <r>
    <n v="2512"/>
    <s v="Аджара"/>
    <s v="Кобулети"/>
    <s v="ს. გვარადან ს. მუხაესტატემდე მიწისქვეშა გაზსადენის რეაბილიტაციის საპროექტო სამუშაოები."/>
    <x v="2"/>
    <n v="7626.5"/>
    <n v="2"/>
    <n v="7626.5"/>
    <m/>
    <n v="7626.5"/>
    <n v="0"/>
    <n v="0"/>
    <m/>
    <n v="0"/>
    <n v="0"/>
    <m/>
    <m/>
    <n v="0"/>
    <n v="0"/>
    <m/>
    <m/>
    <m/>
    <m/>
    <m/>
    <m/>
    <m/>
    <m/>
    <m/>
    <m/>
    <m/>
    <m/>
    <m/>
    <m/>
    <m/>
    <m/>
    <m/>
    <m/>
    <m/>
    <m/>
    <m/>
    <m/>
    <m/>
    <m/>
    <m/>
    <n v="0"/>
    <n v="0"/>
    <n v="0"/>
    <n v="0"/>
    <n v="0"/>
    <n v="0"/>
    <m/>
    <m/>
    <m/>
    <m/>
    <m/>
    <m/>
    <m/>
    <m/>
    <s v="Проектирование"/>
    <d v="2024-11-19T00:00:00"/>
    <s v="ПриПро"/>
    <s v="SGG"/>
    <d v="2024-08-05T00:00:00"/>
    <s v="BSG-240805-1/0 (1)"/>
    <m/>
    <s v="GGTC-ს აშენებულმა ქსელმა წნევა ვერ დაიჭირა."/>
    <s v="No"/>
  </r>
  <r>
    <n v="2513"/>
    <s v="Аджара"/>
    <s v="Кобулети"/>
    <s v="ს. გვარადან ს. მუხაესტატემდე მიწისქვეშა გაზსადენის რეაბილიტაციის სამშენებლო-სამონტაჟო სამუშაოები."/>
    <x v="3"/>
    <n v="600000"/>
    <s v="აკლასნიკი"/>
    <n v="449551"/>
    <m/>
    <n v="400778.97000000003"/>
    <n v="199221.02999999997"/>
    <n v="48772.02999999997"/>
    <n v="3308"/>
    <n v="48772.02999999997"/>
    <n v="1"/>
    <m/>
    <m/>
    <n v="449551"/>
    <n v="68575.58"/>
    <n v="392000"/>
    <m/>
    <m/>
    <n v="59796.61"/>
    <m/>
    <m/>
    <n v="57551"/>
    <m/>
    <m/>
    <n v="8778.9699999999993"/>
    <m/>
    <m/>
    <m/>
    <m/>
    <m/>
    <m/>
    <m/>
    <m/>
    <m/>
    <m/>
    <m/>
    <m/>
    <m/>
    <m/>
    <s v="საბოლოო"/>
    <n v="0"/>
    <n v="0"/>
    <n v="0"/>
    <n v="0"/>
    <n v="0"/>
    <n v="0"/>
    <m/>
    <m/>
    <m/>
    <n v="38097.542372881362"/>
    <n v="332203.39"/>
    <n v="48246.85"/>
    <m/>
    <m/>
    <s v="Реаб."/>
    <d v="2025-04-22T00:00:00"/>
    <s v="Принят"/>
    <s v="SGG"/>
    <d v="2024-08-05T00:00:00"/>
    <s v="BSG-240805-1/0 (2)"/>
    <m/>
    <s v="GGTC-ს აშენებულმა ქსელმა წნევა ვერ დაიჭირა."/>
    <s v="Yes"/>
  </r>
  <r>
    <n v="2514"/>
    <s v="Самегрело"/>
    <s v="Чхороцку"/>
    <s v="ხაბუმეს ადმ. ერთ. ს. მოიდანახეს, ეწერის უბნის, 17 ქუჩის ქსელის რეაბილ. პროექტის შედგენა."/>
    <x v="2"/>
    <n v="5225.5"/>
    <n v="2"/>
    <n v="5225.5"/>
    <m/>
    <n v="5225.5"/>
    <n v="0"/>
    <n v="0"/>
    <m/>
    <n v="0"/>
    <n v="0"/>
    <m/>
    <m/>
    <n v="0"/>
    <n v="0"/>
    <m/>
    <m/>
    <m/>
    <m/>
    <m/>
    <m/>
    <m/>
    <m/>
    <m/>
    <m/>
    <m/>
    <m/>
    <m/>
    <m/>
    <m/>
    <m/>
    <m/>
    <m/>
    <m/>
    <m/>
    <m/>
    <m/>
    <m/>
    <m/>
    <m/>
    <n v="0"/>
    <n v="0"/>
    <n v="0"/>
    <n v="0"/>
    <n v="0"/>
    <n v="0"/>
    <m/>
    <m/>
    <m/>
    <m/>
    <m/>
    <m/>
    <m/>
    <m/>
    <s v="Проектирование"/>
    <d v="2024-11-30T00:00:00"/>
    <s v="ПриПро"/>
    <s v="SGG"/>
    <d v="2024-08-05T00:00:00"/>
    <s v="BSG-240805-3/0 (1)"/>
    <m/>
    <s v="GGTC-ს აშენებულმა ქსელმა წნევა ვერ დაიჭირა."/>
    <s v="No"/>
  </r>
  <r>
    <n v="2515"/>
    <s v="Самегрело"/>
    <s v="Чхороцку"/>
    <s v="ხაბუმეს ადმ. ერთ. ს. მოიდანახეს, ეწერის უბნის, 17 ქუჩის ქსელის რეაბილ. სამშენებლო-სამონტაჟო სამუშაოები."/>
    <x v="3"/>
    <n v="180000"/>
    <s v="აკლასნიკი"/>
    <n v="184930"/>
    <m/>
    <n v="164650.34"/>
    <n v="15349.660000000003"/>
    <n v="20279.660000000003"/>
    <n v="2870"/>
    <n v="20279.660000000003"/>
    <n v="1"/>
    <m/>
    <m/>
    <n v="184930"/>
    <n v="28209.66"/>
    <n v="161000"/>
    <m/>
    <m/>
    <n v="24559.32"/>
    <m/>
    <m/>
    <n v="23930"/>
    <m/>
    <m/>
    <n v="3650.34"/>
    <m/>
    <m/>
    <m/>
    <m/>
    <m/>
    <m/>
    <m/>
    <m/>
    <m/>
    <m/>
    <m/>
    <m/>
    <m/>
    <m/>
    <s v="საბოლოო"/>
    <n v="0"/>
    <n v="0"/>
    <n v="0"/>
    <n v="0"/>
    <n v="0"/>
    <n v="0"/>
    <m/>
    <m/>
    <m/>
    <n v="15672.033898305088"/>
    <n v="136440.68"/>
    <n v="19815.669999999998"/>
    <m/>
    <m/>
    <s v="Реаб."/>
    <d v="2025-04-22T00:00:00"/>
    <s v="Принят"/>
    <s v="SGG"/>
    <d v="2024-08-05T00:00:00"/>
    <s v="BSG-240805-3/0 (2)"/>
    <m/>
    <s v="GGTC-ს აშენებულმა ქსელმა წნევა ვერ დაიჭირა."/>
    <s v="Yes"/>
  </r>
  <r>
    <n v="2516"/>
    <s v="Имерети"/>
    <s v="Чиатура"/>
    <s v="ს. კაცხში გამავალი გაზსადენის რეაბილიტაციის პროექტის შედგენა"/>
    <x v="9"/>
    <n v="2819.25"/>
    <n v="2"/>
    <n v="2819.25"/>
    <m/>
    <n v="2819.25"/>
    <n v="0"/>
    <n v="0"/>
    <m/>
    <n v="0"/>
    <n v="0"/>
    <m/>
    <m/>
    <n v="0"/>
    <n v="0"/>
    <m/>
    <m/>
    <m/>
    <m/>
    <m/>
    <m/>
    <m/>
    <m/>
    <m/>
    <m/>
    <m/>
    <m/>
    <m/>
    <m/>
    <m/>
    <m/>
    <m/>
    <m/>
    <m/>
    <m/>
    <m/>
    <m/>
    <m/>
    <m/>
    <m/>
    <n v="0"/>
    <n v="0"/>
    <n v="0"/>
    <n v="0"/>
    <n v="0"/>
    <n v="0"/>
    <m/>
    <m/>
    <m/>
    <m/>
    <m/>
    <m/>
    <m/>
    <m/>
    <s v="Проектирование"/>
    <d v="2024-10-15T00:00:00"/>
    <s v="ПриПро"/>
    <s v="SGG"/>
    <d v="2024-09-02T00:00:00"/>
    <s v="BSG-240902-1/0 (1)"/>
    <m/>
    <s v="GGTC-ს აშენებულმა ქსელმა წნევა ვერ დაიჭირა."/>
    <s v="No"/>
  </r>
  <r>
    <n v="2517"/>
    <s v="Имерети"/>
    <s v="Чиатура"/>
    <s v="ს. კაცხში გამავალი გაზსადენის რეაბილიტაციის სამშენებლო-სამონტაჟო სამუშაოები."/>
    <x v="4"/>
    <n v="230000"/>
    <n v="2"/>
    <n v="249153.79"/>
    <n v="249153.79"/>
    <n v="249153.79"/>
    <n v="-19153.790000000008"/>
    <n v="0"/>
    <n v="1624"/>
    <n v="0"/>
    <n v="0"/>
    <m/>
    <m/>
    <n v="0"/>
    <n v="0"/>
    <m/>
    <m/>
    <m/>
    <m/>
    <m/>
    <m/>
    <m/>
    <m/>
    <m/>
    <m/>
    <m/>
    <m/>
    <m/>
    <m/>
    <m/>
    <m/>
    <m/>
    <m/>
    <m/>
    <m/>
    <m/>
    <m/>
    <m/>
    <m/>
    <m/>
    <n v="0"/>
    <n v="0"/>
    <n v="0"/>
    <n v="0"/>
    <n v="0"/>
    <n v="0"/>
    <m/>
    <m/>
    <n v="0"/>
    <n v="21114.727966101698"/>
    <m/>
    <m/>
    <m/>
    <m/>
    <s v="Реаб."/>
    <d v="2024-11-28T00:00:00"/>
    <s v="Принят"/>
    <s v="SGG"/>
    <d v="2024-09-02T00:00:00"/>
    <s v="BSG-240902-1/0 (2)"/>
    <m/>
    <s v="GGTC-ს აშენებულმა ქსელმა წნევა ვერ დაიჭირა."/>
    <s v="Yes"/>
  </r>
  <r>
    <n v="2518"/>
    <s v="Имерети"/>
    <s v="Зестафони"/>
    <s v="ზესტაფონის ს-ცენტრის ოფისის შემოღობვა"/>
    <x v="4"/>
    <n v="114914"/>
    <n v="2"/>
    <n v="160172.26999999999"/>
    <m/>
    <n v="24433.06"/>
    <n v="90480.94"/>
    <n v="135739.21"/>
    <n v="0"/>
    <n v="135739.21"/>
    <n v="1"/>
    <n v="0"/>
    <m/>
    <n v="160172.26999999999"/>
    <n v="24433.06"/>
    <m/>
    <m/>
    <m/>
    <m/>
    <n v="160172.26999999999"/>
    <m/>
    <m/>
    <n v="24433.06"/>
    <m/>
    <m/>
    <m/>
    <m/>
    <m/>
    <m/>
    <m/>
    <m/>
    <m/>
    <m/>
    <m/>
    <m/>
    <m/>
    <m/>
    <m/>
    <m/>
    <m/>
    <n v="0"/>
    <n v="0"/>
    <n v="0"/>
    <n v="0"/>
    <n v="0"/>
    <n v="0"/>
    <m/>
    <m/>
    <m/>
    <m/>
    <m/>
    <m/>
    <m/>
    <m/>
    <s v="Ремонт офиса"/>
    <d v="2025-03-31T00:00:00"/>
    <s v="Принят"/>
    <s v="SGG"/>
    <d v="2024-08-05T00:00:00"/>
    <s v="SGG-C-24-48"/>
    <m/>
    <m/>
    <s v="Yes"/>
  </r>
  <r>
    <n v="2519"/>
    <s v="Самегрело"/>
    <s v="Хоби"/>
    <s v="ხობის საწყობის შეკეთება"/>
    <x v="3"/>
    <n v="74614"/>
    <n v="2"/>
    <n v="84044"/>
    <m/>
    <n v="12857.56"/>
    <n v="61756.44"/>
    <n v="71186.44"/>
    <n v="0"/>
    <n v="71186.44"/>
    <n v="1"/>
    <m/>
    <m/>
    <n v="84044"/>
    <n v="12857.56"/>
    <n v="84000"/>
    <m/>
    <m/>
    <n v="12813.56"/>
    <m/>
    <m/>
    <n v="44"/>
    <m/>
    <m/>
    <n v="44"/>
    <m/>
    <m/>
    <m/>
    <m/>
    <m/>
    <m/>
    <m/>
    <m/>
    <m/>
    <m/>
    <m/>
    <m/>
    <m/>
    <m/>
    <s v="საბოლოო"/>
    <n v="0"/>
    <n v="0"/>
    <n v="0"/>
    <n v="0"/>
    <n v="0"/>
    <n v="0"/>
    <m/>
    <m/>
    <m/>
    <n v="7122.3728813559328"/>
    <m/>
    <m/>
    <m/>
    <m/>
    <s v="Ремонт офиса"/>
    <d v="2025-04-29T00:00:00"/>
    <s v="Принят"/>
    <s v="SGG"/>
    <d v="2023-11-28T00:00:00"/>
    <s v="SGG-C-23-85"/>
    <m/>
    <m/>
    <s v="Yes"/>
  </r>
  <r>
    <n v="2520"/>
    <s v="Имерети"/>
    <s v="Кутаиси"/>
    <s v="ქუთაისის სერვის ცენტრის რემონტი"/>
    <x v="4"/>
    <n v="197910"/>
    <n v="2"/>
    <n v="382563.43"/>
    <m/>
    <n v="58357.13"/>
    <n v="139552.87"/>
    <n v="324206.3"/>
    <n v="0"/>
    <n v="324206.3"/>
    <n v="1"/>
    <n v="0"/>
    <m/>
    <n v="382563.43"/>
    <n v="58357.13"/>
    <m/>
    <m/>
    <m/>
    <m/>
    <m/>
    <m/>
    <n v="382563.43"/>
    <m/>
    <m/>
    <n v="58357.13"/>
    <m/>
    <m/>
    <m/>
    <m/>
    <m/>
    <m/>
    <m/>
    <m/>
    <m/>
    <m/>
    <m/>
    <m/>
    <m/>
    <m/>
    <m/>
    <n v="0"/>
    <n v="0"/>
    <n v="0"/>
    <n v="0"/>
    <n v="0"/>
    <n v="0"/>
    <m/>
    <m/>
    <m/>
    <n v="32038.066231016957"/>
    <m/>
    <m/>
    <m/>
    <m/>
    <s v="Ремонт офиса"/>
    <d v="2025-04-30T00:00:00"/>
    <s v="Принят"/>
    <s v="Сакорггаз"/>
    <d v="2024-03-01T00:00:00"/>
    <s v="CA-2024-2541"/>
    <m/>
    <m/>
    <s v="No"/>
  </r>
  <r>
    <n v="2521"/>
    <s v="Кахети"/>
    <s v="Рустави"/>
    <s v="ქ. რუსთავი, XVI-მკრ-ნის მიმდებარე ტერიტორიაზე-ბლოკი „ა“"/>
    <x v="20"/>
    <n v="27000"/>
    <m/>
    <n v="27000"/>
    <n v="27000"/>
    <n v="27000"/>
    <n v="0"/>
    <n v="0"/>
    <n v="0"/>
    <n v="0"/>
    <n v="0"/>
    <m/>
    <s v="კვანძი T-1 (ახალ. აბონ. მიერთება)"/>
    <n v="0"/>
    <n v="0"/>
    <m/>
    <m/>
    <m/>
    <m/>
    <m/>
    <m/>
    <m/>
    <m/>
    <m/>
    <m/>
    <m/>
    <m/>
    <m/>
    <m/>
    <m/>
    <m/>
    <m/>
    <m/>
    <m/>
    <m/>
    <m/>
    <m/>
    <m/>
    <m/>
    <m/>
    <n v="0"/>
    <n v="0"/>
    <n v="0"/>
    <n v="0"/>
    <n v="0"/>
    <n v="0"/>
    <m/>
    <m/>
    <n v="0"/>
    <n v="0"/>
    <m/>
    <m/>
    <m/>
    <m/>
    <s v="კვანძი (ახალ. აბონ. მიერთება)"/>
    <d v="2024-12-09T00:00:00"/>
    <s v="Принят"/>
    <s v="Сакорггаз"/>
    <d v="2024-12-09T00:00:00"/>
    <s v="CA-2024-3836"/>
    <m/>
    <m/>
    <s v="Yes"/>
  </r>
  <r>
    <n v="2522"/>
    <s v="Аджара"/>
    <s v="Батуми"/>
    <s v="ქ. ბათუმი, კაჭარავას ქუჩა №7 შპს „აჭარა ბილდინგი“"/>
    <x v="20"/>
    <n v="8500"/>
    <m/>
    <n v="8500"/>
    <n v="8500"/>
    <n v="1296.6099999999999"/>
    <n v="7203.39"/>
    <n v="7203.39"/>
    <n v="0"/>
    <n v="7203.39"/>
    <n v="1"/>
    <m/>
    <s v="კვანძი T-11 (ახალ. აბონ. მიერთება)"/>
    <n v="0"/>
    <n v="1296.6099999999999"/>
    <m/>
    <n v="1296.6099999999999"/>
    <m/>
    <m/>
    <m/>
    <m/>
    <m/>
    <m/>
    <m/>
    <m/>
    <m/>
    <m/>
    <m/>
    <m/>
    <m/>
    <m/>
    <m/>
    <m/>
    <m/>
    <m/>
    <m/>
    <m/>
    <m/>
    <m/>
    <m/>
    <n v="0"/>
    <n v="0"/>
    <n v="0"/>
    <n v="0"/>
    <n v="0"/>
    <n v="0"/>
    <m/>
    <m/>
    <n v="0"/>
    <n v="0"/>
    <m/>
    <m/>
    <m/>
    <m/>
    <s v="კვანძი (ახალ. აბონ. მიერთება)"/>
    <d v="2024-12-13T00:00:00"/>
    <s v="Принят"/>
    <s v="SGG"/>
    <d v="2024-12-09T00:00:00"/>
    <s v="SGG-C-24-70"/>
    <m/>
    <m/>
    <s v="Yes"/>
  </r>
  <r>
    <n v="2523"/>
    <s v="Аджара"/>
    <s v="Батуми"/>
    <s v="ქ. ბათუმი, თბილისის I შესახვევი, №8 შპს „მლ ჰოლდინგი“"/>
    <x v="20"/>
    <n v="8500"/>
    <m/>
    <n v="8500"/>
    <n v="8500"/>
    <n v="1296.6099999999999"/>
    <n v="7203.39"/>
    <n v="7203.39"/>
    <n v="0"/>
    <n v="7203.39"/>
    <n v="1"/>
    <m/>
    <s v="კვანძი T-11 (ახალ. აბონ. მიერთება)"/>
    <n v="0"/>
    <n v="1296.6099999999999"/>
    <m/>
    <n v="1296.6099999999999"/>
    <m/>
    <m/>
    <m/>
    <m/>
    <m/>
    <m/>
    <m/>
    <m/>
    <m/>
    <m/>
    <m/>
    <m/>
    <m/>
    <m/>
    <m/>
    <m/>
    <m/>
    <m/>
    <m/>
    <m/>
    <m/>
    <m/>
    <m/>
    <n v="0"/>
    <n v="0"/>
    <n v="0"/>
    <n v="0"/>
    <n v="0"/>
    <n v="0"/>
    <m/>
    <m/>
    <n v="0"/>
    <n v="0"/>
    <m/>
    <m/>
    <m/>
    <m/>
    <s v="კვანძი (ახალ. აბონ. მიერთება)"/>
    <d v="2024-12-18T00:00:00"/>
    <s v="Принят"/>
    <s v="SGG"/>
    <d v="2024-12-09T00:00:00"/>
    <s v="SGG-C-24-70"/>
    <m/>
    <m/>
    <s v="Yes"/>
  </r>
  <r>
    <n v="2524"/>
    <s v="Аджара"/>
    <s v="Кобулети"/>
    <s v="ქ. ქობულეთი, კობახიძის ქუჩა №2-ა „ამხანაგობა რუსთაველი 2023“ (მაია თევზაძე)"/>
    <x v="20"/>
    <n v="8500"/>
    <m/>
    <n v="8500"/>
    <n v="8500"/>
    <n v="1296.6099999999999"/>
    <n v="7203.39"/>
    <n v="7203.39"/>
    <n v="0"/>
    <n v="7203.39"/>
    <n v="1"/>
    <m/>
    <s v="კვანძი T-11 (ახალ. აბონ. მიერთება)"/>
    <n v="0"/>
    <n v="1296.6099999999999"/>
    <m/>
    <n v="1296.6099999999999"/>
    <m/>
    <m/>
    <m/>
    <m/>
    <m/>
    <m/>
    <m/>
    <m/>
    <m/>
    <m/>
    <m/>
    <m/>
    <m/>
    <m/>
    <m/>
    <m/>
    <m/>
    <m/>
    <m/>
    <m/>
    <m/>
    <m/>
    <m/>
    <n v="0"/>
    <n v="0"/>
    <n v="0"/>
    <n v="0"/>
    <n v="0"/>
    <n v="0"/>
    <m/>
    <m/>
    <n v="0"/>
    <n v="0"/>
    <m/>
    <m/>
    <m/>
    <m/>
    <s v="კვანძი (ახალ. აბონ. მიერთება)"/>
    <d v="2024-12-18T00:00:00"/>
    <s v="Принят"/>
    <s v="SGG"/>
    <d v="2024-12-09T00:00:00"/>
    <s v="SGG-C-24-70"/>
    <m/>
    <m/>
    <s v="Yes"/>
  </r>
  <r>
    <n v="2525"/>
    <s v="Аджара"/>
    <s v="Хелвачаури"/>
    <s v="(1) ქ. ბათუმის პოლითილენის D=315 მმ მაღალი წნევის გაზსადენის რეაბილიტაცია (155) P.5.11 (კვანძი T-5  ს. ჩელტაში)"/>
    <x v="20"/>
    <n v="120000"/>
    <m/>
    <n v="120000"/>
    <m/>
    <n v="18305.083999999999"/>
    <n v="101694.916"/>
    <n v="101694.916"/>
    <m/>
    <n v="101694.916"/>
    <n v="1"/>
    <n v="0"/>
    <s v="P.5.11"/>
    <n v="120000"/>
    <n v="18305.083999999999"/>
    <n v="120000"/>
    <m/>
    <m/>
    <n v="18305.083999999999"/>
    <m/>
    <m/>
    <m/>
    <m/>
    <m/>
    <m/>
    <m/>
    <m/>
    <m/>
    <m/>
    <m/>
    <m/>
    <m/>
    <m/>
    <m/>
    <m/>
    <m/>
    <m/>
    <m/>
    <m/>
    <m/>
    <n v="0"/>
    <n v="0"/>
    <n v="0"/>
    <n v="0"/>
    <n v="0"/>
    <n v="0"/>
    <m/>
    <m/>
    <n v="0"/>
    <n v="0"/>
    <m/>
    <m/>
    <m/>
    <m/>
    <s v="კვანძი (საინვესტ. გეგმით)"/>
    <d v="2025-01-06T00:00:00"/>
    <s v="Принят"/>
    <s v="SGG"/>
    <d v="2024-11-01T00:00:00"/>
    <s v="SGG-GRP-241101-1/0 (155)"/>
    <s v="P.5.11"/>
    <m/>
    <s v="Yes"/>
  </r>
  <r>
    <n v="2526"/>
    <s v="Аджара"/>
    <s v="Хелвачаури"/>
    <s v="(1) ქ. ბათუმის პოლითილენის D=315 მმ მაღალი წნევის გაზსადენის რეაბილიტაცია (155) P.5.11 (კვანძი T-6  ს. ორთაბათუმში)"/>
    <x v="20"/>
    <n v="160000"/>
    <m/>
    <n v="160000"/>
    <m/>
    <n v="24406.78"/>
    <n v="135593.22"/>
    <n v="135593.22"/>
    <m/>
    <n v="135593.22"/>
    <n v="1"/>
    <n v="0"/>
    <s v="P.5.11"/>
    <n v="160000"/>
    <n v="24406.78"/>
    <n v="160000"/>
    <m/>
    <m/>
    <n v="24406.78"/>
    <m/>
    <m/>
    <m/>
    <m/>
    <m/>
    <m/>
    <m/>
    <m/>
    <m/>
    <m/>
    <m/>
    <m/>
    <m/>
    <m/>
    <m/>
    <m/>
    <m/>
    <m/>
    <m/>
    <m/>
    <m/>
    <n v="0"/>
    <n v="0"/>
    <n v="0"/>
    <n v="0"/>
    <n v="0"/>
    <n v="0"/>
    <m/>
    <m/>
    <n v="0"/>
    <n v="0"/>
    <m/>
    <m/>
    <m/>
    <m/>
    <s v="კვანძი (საინვესტ. გეგმით)"/>
    <d v="2025-01-06T00:00:00"/>
    <s v="Принят"/>
    <s v="SGG"/>
    <d v="2024-11-01T00:00:00"/>
    <s v="SGG-GRP-241101-1/0 (155)"/>
    <s v="P.5.11"/>
    <m/>
    <s v="Yes"/>
  </r>
  <r>
    <n v="2527"/>
    <s v="Мцхета-Мтианети"/>
    <s v="Мцхета"/>
    <s v="ს. ქსოვრისში, საშუალოდან დაბალ წნევაზე რედუცირების T-2 ტიპის კვანძი. (119) (P.3.1094)"/>
    <x v="20"/>
    <n v="42700"/>
    <m/>
    <n v="42700"/>
    <m/>
    <n v="6513.56"/>
    <n v="36186.44"/>
    <n v="36186.44"/>
    <m/>
    <n v="36186.44"/>
    <n v="1"/>
    <n v="0"/>
    <s v="P.3.1094"/>
    <n v="42700"/>
    <n v="6513.56"/>
    <n v="42700"/>
    <m/>
    <m/>
    <n v="6513.56"/>
    <m/>
    <m/>
    <m/>
    <m/>
    <m/>
    <m/>
    <m/>
    <m/>
    <m/>
    <m/>
    <m/>
    <m/>
    <m/>
    <m/>
    <m/>
    <m/>
    <m/>
    <m/>
    <m/>
    <m/>
    <m/>
    <n v="0"/>
    <n v="0"/>
    <n v="0"/>
    <n v="0"/>
    <n v="0"/>
    <n v="0"/>
    <m/>
    <m/>
    <n v="0"/>
    <n v="0"/>
    <m/>
    <m/>
    <m/>
    <m/>
    <s v="კვანძი (საინვესტ. გეგმით)"/>
    <d v="2025-01-06T00:00:00"/>
    <s v="Принят"/>
    <s v="SGG"/>
    <d v="2024-11-01T00:00:00"/>
    <s v="SGG-GRP-241101-1/0 (119)"/>
    <s v="P.3.1094"/>
    <m/>
    <s v="Yes"/>
  </r>
  <r>
    <n v="2528"/>
    <s v="Мцхета-Мтианети"/>
    <s v="Мцхета"/>
    <s v="ს. წეროვნის აგარაკებში, საშუალოდან დაბალ წნევაზე რედუცირების T-1 ტიპის კვანძი. (120) (P.3.1124)"/>
    <x v="20"/>
    <n v="27000"/>
    <m/>
    <n v="27000"/>
    <m/>
    <n v="4118.6400000000003"/>
    <n v="22881.360000000001"/>
    <n v="22881.360000000001"/>
    <m/>
    <n v="22881.360000000001"/>
    <n v="1"/>
    <n v="0"/>
    <s v="P.3.1124"/>
    <n v="27000"/>
    <n v="4118.6400000000003"/>
    <n v="27000"/>
    <m/>
    <m/>
    <n v="4118.6400000000003"/>
    <m/>
    <m/>
    <m/>
    <m/>
    <m/>
    <m/>
    <m/>
    <m/>
    <m/>
    <m/>
    <m/>
    <m/>
    <m/>
    <m/>
    <m/>
    <m/>
    <m/>
    <m/>
    <m/>
    <m/>
    <m/>
    <n v="0"/>
    <n v="0"/>
    <n v="0"/>
    <n v="0"/>
    <n v="0"/>
    <n v="0"/>
    <m/>
    <m/>
    <n v="0"/>
    <n v="0"/>
    <m/>
    <m/>
    <m/>
    <m/>
    <s v="კვანძი (საინვესტ. გეგმით)"/>
    <d v="2025-01-06T00:00:00"/>
    <s v="Принят"/>
    <s v="SGG"/>
    <d v="2024-11-01T00:00:00"/>
    <s v="SGG-GRP-241101-1/0 (120)"/>
    <s v="P.3.1124"/>
    <m/>
    <s v="Yes"/>
  </r>
  <r>
    <n v="2529"/>
    <s v="Мцхета-Мтианети"/>
    <s v="Мцхета"/>
    <s v="ს. არმაზში, საშუალოდან დაბალ წნევაზე რედუცირების T-1 ტიპის კვანძი. (121) (P.3.1095)"/>
    <x v="20"/>
    <n v="27000"/>
    <m/>
    <n v="27000"/>
    <m/>
    <n v="4118.6400000000003"/>
    <n v="22881.360000000001"/>
    <n v="22881.360000000001"/>
    <m/>
    <n v="22881.360000000001"/>
    <n v="1"/>
    <n v="0"/>
    <s v="P.3.1095"/>
    <n v="27000"/>
    <n v="4118.6400000000003"/>
    <n v="27000"/>
    <m/>
    <m/>
    <n v="4118.6400000000003"/>
    <m/>
    <m/>
    <m/>
    <m/>
    <m/>
    <m/>
    <m/>
    <m/>
    <m/>
    <m/>
    <m/>
    <m/>
    <m/>
    <m/>
    <m/>
    <m/>
    <m/>
    <m/>
    <m/>
    <m/>
    <m/>
    <n v="0"/>
    <n v="0"/>
    <n v="0"/>
    <n v="0"/>
    <n v="0"/>
    <n v="0"/>
    <m/>
    <m/>
    <n v="0"/>
    <n v="0"/>
    <m/>
    <m/>
    <m/>
    <m/>
    <s v="კვანძი (საინვესტ. გეგმით)"/>
    <d v="2025-01-06T00:00:00"/>
    <s v="Принят"/>
    <s v="SGG"/>
    <d v="2024-11-01T00:00:00"/>
    <s v="SGG-GRP-241101-1/0 (121)"/>
    <s v="P.3.1095"/>
    <m/>
    <s v="Yes"/>
  </r>
  <r>
    <n v="2530"/>
    <s v="Самцхе Джавахети"/>
    <s v="Борджоми"/>
    <s v="ბორჯომის სერვის-ცენტრის ოფისის რემონტი"/>
    <x v="5"/>
    <n v="0"/>
    <m/>
    <n v="100000"/>
    <m/>
    <n v="15254.24"/>
    <n v="-15254.24"/>
    <n v="84745.76"/>
    <m/>
    <n v="-15254.24"/>
    <n v="1"/>
    <m/>
    <m/>
    <n v="100000"/>
    <n v="15254.24"/>
    <m/>
    <m/>
    <n v="100000"/>
    <m/>
    <m/>
    <n v="15254.24"/>
    <m/>
    <m/>
    <m/>
    <m/>
    <m/>
    <m/>
    <m/>
    <m/>
    <m/>
    <m/>
    <m/>
    <m/>
    <m/>
    <m/>
    <m/>
    <m/>
    <m/>
    <m/>
    <m/>
    <n v="0"/>
    <n v="0"/>
    <n v="0"/>
    <n v="0"/>
    <n v="0"/>
    <n v="0"/>
    <m/>
    <m/>
    <m/>
    <m/>
    <m/>
    <m/>
    <m/>
    <m/>
    <s v="Ремонт офиса"/>
    <m/>
    <n v="99"/>
    <s v="Сакорггаз"/>
    <d v="2022-10-31T00:00:00"/>
    <s v="SOG-2022/10/30"/>
    <m/>
    <s v="შეასრულა ქვეკონტრაქტორმა"/>
    <s v="No"/>
  </r>
  <r>
    <n v="2531"/>
    <s v="Квемо Картли"/>
    <s v="Рустави"/>
    <s v="(2) გამოსატანი მრიცხველების გამოტანა (P.2.618) (ფალიაშვილის ქუჩა №7-2 კორპ)"/>
    <x v="7"/>
    <n v="0"/>
    <m/>
    <n v="78598.720000000001"/>
    <m/>
    <n v="77999.997999999992"/>
    <n v="-77999.997999999992"/>
    <n v="598.72200000000885"/>
    <n v="1376"/>
    <n v="598.72200000000885"/>
    <s v="К"/>
    <m/>
    <s v="P.2.618"/>
    <n v="28598.720000000001"/>
    <n v="4271.18"/>
    <n v="10000"/>
    <m/>
    <n v="18000"/>
    <n v="1525.42"/>
    <n v="598.72"/>
    <n v="2745.76"/>
    <m/>
    <m/>
    <m/>
    <m/>
    <m/>
    <m/>
    <m/>
    <m/>
    <m/>
    <m/>
    <m/>
    <m/>
    <m/>
    <m/>
    <m/>
    <m/>
    <m/>
    <m/>
    <m/>
    <n v="0"/>
    <n v="0"/>
    <n v="0"/>
    <n v="0"/>
    <n v="0"/>
    <n v="0"/>
    <n v="42372.88"/>
    <n v="4260.8"/>
    <m/>
    <m/>
    <n v="23728.82"/>
    <n v="306.85000000000002"/>
    <m/>
    <m/>
    <s v="Реаб."/>
    <d v="2025-03-18T00:00:00"/>
    <s v="Принят"/>
    <s v="Сакорггаз"/>
    <d v="2024-01-12T00:00:00"/>
    <s v="BCG-240112-1/0(2)"/>
    <m/>
    <m/>
    <s v="Yes"/>
  </r>
  <r>
    <n v="2532"/>
    <s v="Квемо Картли"/>
    <s v="Рустави"/>
    <s v="(1) გამოსატანი მრიცხველების გამოტანა (P.2.647) (მე-7-ე მკრ. № 19 კორპ)"/>
    <x v="7"/>
    <n v="0"/>
    <m/>
    <n v="40647.629999999997"/>
    <m/>
    <n v="27711.86"/>
    <n v="-27711.86"/>
    <n v="12935.769999999997"/>
    <n v="595"/>
    <n v="12935.769999999997"/>
    <s v="К"/>
    <n v="0"/>
    <s v="P.2.647"/>
    <n v="15647.63"/>
    <n v="2288.13"/>
    <n v="5000"/>
    <m/>
    <n v="10000"/>
    <n v="762.71"/>
    <n v="647.63"/>
    <n v="1525.42"/>
    <m/>
    <m/>
    <m/>
    <m/>
    <m/>
    <m/>
    <m/>
    <m/>
    <m/>
    <m/>
    <m/>
    <m/>
    <m/>
    <m/>
    <m/>
    <m/>
    <m/>
    <m/>
    <m/>
    <n v="0"/>
    <n v="0"/>
    <n v="0"/>
    <n v="0"/>
    <n v="0"/>
    <n v="0"/>
    <n v="21186.44"/>
    <n v="1922.74"/>
    <m/>
    <m/>
    <n v="4237.29"/>
    <n v="95.37"/>
    <m/>
    <m/>
    <s v="Реаб."/>
    <d v="2025-03-18T00:00:00"/>
    <s v="Принят"/>
    <s v="Сакорггаз"/>
    <d v="2024-01-12T00:00:00"/>
    <s v="BCG-240112-1/0(1)"/>
    <m/>
    <m/>
    <m/>
  </r>
  <r>
    <n v="2533"/>
    <s v="Квемо Картли"/>
    <s v="Рустави"/>
    <s v="(2) გამოსატანი მრიცხველების გამოტანა (P.2.618) (ფალიაშვილის ქუჩა №3-2 კორპ)"/>
    <x v="7"/>
    <n v="0"/>
    <m/>
    <n v="83417.440000000002"/>
    <m/>
    <n v="62894.19"/>
    <n v="-62894.19"/>
    <n v="20523.25"/>
    <n v="1495"/>
    <n v="20523.25"/>
    <s v="К"/>
    <m/>
    <s v="P.2.618"/>
    <n v="23417.440000000002"/>
    <n v="3572.15"/>
    <m/>
    <m/>
    <m/>
    <m/>
    <n v="10000"/>
    <m/>
    <n v="13417.44"/>
    <n v="1525.42"/>
    <m/>
    <n v="2046.73"/>
    <m/>
    <m/>
    <m/>
    <m/>
    <m/>
    <m/>
    <m/>
    <m/>
    <m/>
    <m/>
    <m/>
    <m/>
    <m/>
    <m/>
    <m/>
    <n v="0"/>
    <n v="0"/>
    <n v="0"/>
    <n v="0"/>
    <n v="0"/>
    <n v="0"/>
    <n v="50847.46"/>
    <n v="4614.58"/>
    <m/>
    <m/>
    <n v="8474.58"/>
    <n v="1263.18"/>
    <m/>
    <m/>
    <s v="Реаб."/>
    <d v="2025-04-23T00:00:00"/>
    <s v="Принят"/>
    <s v="Сакорггаз"/>
    <d v="2024-01-12T00:00:00"/>
    <s v="BCG-240112-1/0(2)"/>
    <m/>
    <m/>
    <m/>
  </r>
  <r>
    <n v="2534"/>
    <s v="Квемо Картли"/>
    <s v="Рустави"/>
    <s v="(2) გამოსატანი მრიცხველების გამოტანა (P.2.618) (მე-14-ე მკრ. № 10 კორპ)"/>
    <x v="7"/>
    <n v="0"/>
    <m/>
    <n v="33843.49"/>
    <m/>
    <n v="18932.2"/>
    <n v="-18932.2"/>
    <n v="14911.289999999997"/>
    <n v="755"/>
    <n v="14911.289999999997"/>
    <s v="К"/>
    <n v="0"/>
    <s v="P.2.618"/>
    <n v="13843.49"/>
    <n v="1983.05"/>
    <m/>
    <m/>
    <n v="13000"/>
    <m/>
    <n v="843.49"/>
    <n v="1983.05"/>
    <m/>
    <m/>
    <m/>
    <m/>
    <m/>
    <m/>
    <m/>
    <m/>
    <m/>
    <m/>
    <m/>
    <m/>
    <m/>
    <m/>
    <m/>
    <m/>
    <m/>
    <m/>
    <m/>
    <n v="0"/>
    <n v="0"/>
    <n v="0"/>
    <n v="0"/>
    <n v="0"/>
    <n v="0"/>
    <n v="16949.150000000001"/>
    <n v="1538.19"/>
    <m/>
    <m/>
    <n v="0"/>
    <n v="0"/>
    <m/>
    <m/>
    <s v="Реаб."/>
    <d v="2025-03-18T00:00:00"/>
    <s v="Принят"/>
    <s v="Сакорггаз"/>
    <d v="2024-01-12T00:00:00"/>
    <s v="BCG-240112-1/0(2)"/>
    <m/>
    <m/>
    <m/>
  </r>
  <r>
    <n v="2535"/>
    <s v="Квемо Картли"/>
    <s v="Рустави"/>
    <s v="(1) გამოსატანი მრიცხველების გამოტანა (P.2.647) (მესხიშვილის ქუჩა №3 კორპ)"/>
    <x v="7"/>
    <n v="0"/>
    <m/>
    <n v="144049.69"/>
    <m/>
    <n v="142999.83600000001"/>
    <n v="-142999.83600000001"/>
    <n v="1049.8539999999921"/>
    <n v="1946"/>
    <n v="1049.8539999999921"/>
    <s v="К"/>
    <n v="0"/>
    <s v="P.2.647"/>
    <n v="52049.69"/>
    <n v="8084.74"/>
    <n v="33000"/>
    <n v="305.08"/>
    <n v="18000"/>
    <n v="5033.8999999999996"/>
    <n v="1049.69"/>
    <n v="2745.76"/>
    <m/>
    <m/>
    <m/>
    <m/>
    <m/>
    <m/>
    <m/>
    <m/>
    <m/>
    <m/>
    <m/>
    <m/>
    <m/>
    <m/>
    <m/>
    <m/>
    <m/>
    <m/>
    <m/>
    <n v="0"/>
    <n v="0"/>
    <n v="0"/>
    <n v="0"/>
    <n v="0"/>
    <n v="0"/>
    <n v="77965.95"/>
    <n v="5445.82"/>
    <m/>
    <m/>
    <n v="43220.34"/>
    <n v="597.35"/>
    <m/>
    <m/>
    <s v="Реаб."/>
    <d v="2025-03-18T00:00:00"/>
    <s v="Принят"/>
    <s v="Сакорггаз"/>
    <d v="2024-01-12T00:00:00"/>
    <s v="BCG-240112-1/0(1)"/>
    <m/>
    <m/>
    <s v="Yes"/>
  </r>
  <r>
    <n v="2536"/>
    <s v="Квемо Картли"/>
    <s v="Рустави"/>
    <s v="(1) გამოსატანი მრიცხველების გამოტანა (P.2.647) (მე-21-ე მკრ. № 1 კორპ)"/>
    <x v="7"/>
    <n v="0"/>
    <m/>
    <n v="125238.95"/>
    <m/>
    <n v="125000.42199999999"/>
    <n v="-125000.42199999999"/>
    <n v="238.5280000000057"/>
    <n v="2578"/>
    <n v="238.5280000000057"/>
    <s v="К"/>
    <n v="0"/>
    <s v="P.2.647"/>
    <n v="33238.949999999997"/>
    <n v="5338.98"/>
    <n v="15000"/>
    <n v="305.08"/>
    <n v="18000"/>
    <n v="2288.14"/>
    <n v="238.95"/>
    <n v="2745.76"/>
    <m/>
    <m/>
    <m/>
    <m/>
    <m/>
    <m/>
    <m/>
    <m/>
    <m/>
    <m/>
    <m/>
    <m/>
    <m/>
    <m/>
    <m/>
    <m/>
    <m/>
    <m/>
    <m/>
    <n v="0"/>
    <n v="0"/>
    <n v="0"/>
    <n v="0"/>
    <n v="0"/>
    <n v="0"/>
    <n v="77966.53"/>
    <n v="4916.6899999999996"/>
    <m/>
    <m/>
    <n v="27966.1"/>
    <n v="466.64"/>
    <m/>
    <m/>
    <s v="Реаб."/>
    <d v="2025-03-18T00:00:00"/>
    <s v="Принят"/>
    <s v="Сакорггаз"/>
    <d v="2024-01-12T00:00:00"/>
    <s v="BCG-240112-1/0(1)"/>
    <m/>
    <m/>
    <m/>
  </r>
  <r>
    <n v="2537"/>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83/85)"/>
    <x v="6"/>
    <n v="0"/>
    <m/>
    <n v="62925"/>
    <m/>
    <n v="62137.286"/>
    <n v="-62137.286"/>
    <n v="787.71399999999994"/>
    <s v="Ok"/>
    <n v="-62137.286"/>
    <s v="К"/>
    <m/>
    <s v="P.2.401"/>
    <n v="12025"/>
    <n v="1830.51"/>
    <n v="12000"/>
    <m/>
    <m/>
    <n v="1830.51"/>
    <n v="25"/>
    <m/>
    <m/>
    <m/>
    <m/>
    <m/>
    <m/>
    <m/>
    <m/>
    <m/>
    <m/>
    <m/>
    <m/>
    <m/>
    <m/>
    <m/>
    <m/>
    <m/>
    <m/>
    <m/>
    <m/>
    <n v="0"/>
    <n v="0"/>
    <n v="0"/>
    <n v="0"/>
    <n v="0"/>
    <n v="0"/>
    <n v="42372.88"/>
    <m/>
    <m/>
    <m/>
    <n v="10169.49"/>
    <m/>
    <m/>
    <m/>
    <s v="Реаб."/>
    <m/>
    <n v="99"/>
    <s v="SGG"/>
    <d v="2024-01-17T00:00:00"/>
    <s v="BSG-240117-1/0(3)"/>
    <m/>
    <m/>
    <s v="No"/>
  </r>
  <r>
    <n v="2538"/>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88/90)"/>
    <x v="6"/>
    <n v="0"/>
    <m/>
    <n v="63000"/>
    <m/>
    <n v="62999.997999999992"/>
    <n v="-62999.997999999992"/>
    <n v="2.0000000076834112E-3"/>
    <s v="Ok"/>
    <n v="-62999.997999999992"/>
    <s v="К"/>
    <m/>
    <s v="P.2.401"/>
    <n v="13000"/>
    <n v="1983.05"/>
    <n v="13000"/>
    <m/>
    <m/>
    <n v="1983.05"/>
    <m/>
    <m/>
    <m/>
    <m/>
    <m/>
    <m/>
    <m/>
    <m/>
    <m/>
    <m/>
    <m/>
    <m/>
    <m/>
    <m/>
    <m/>
    <m/>
    <m/>
    <m/>
    <m/>
    <m/>
    <m/>
    <n v="0"/>
    <n v="0"/>
    <n v="0"/>
    <n v="0"/>
    <n v="0"/>
    <n v="0"/>
    <n v="42372.88"/>
    <m/>
    <m/>
    <m/>
    <n v="11016.95"/>
    <m/>
    <m/>
    <m/>
    <s v="Реаб."/>
    <m/>
    <n v="99"/>
    <s v="SGG"/>
    <d v="2024-01-17T00:00:00"/>
    <s v="BSG-240117-1/0(3)"/>
    <m/>
    <m/>
    <s v="No"/>
  </r>
  <r>
    <n v="2539"/>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14/115)"/>
    <x v="6"/>
    <n v="0"/>
    <m/>
    <n v="64700"/>
    <m/>
    <n v="64106.777000000002"/>
    <n v="-64106.777000000002"/>
    <n v="593.22299999999814"/>
    <s v="Ok"/>
    <n v="-64106.777000000002"/>
    <s v="К"/>
    <m/>
    <s v="P.2.401"/>
    <n v="14000"/>
    <n v="2135.59"/>
    <n v="14000"/>
    <m/>
    <m/>
    <n v="2135.59"/>
    <m/>
    <m/>
    <m/>
    <m/>
    <m/>
    <m/>
    <m/>
    <m/>
    <m/>
    <m/>
    <m/>
    <m/>
    <m/>
    <m/>
    <m/>
    <m/>
    <m/>
    <m/>
    <m/>
    <m/>
    <m/>
    <n v="0"/>
    <n v="0"/>
    <n v="0"/>
    <n v="0"/>
    <n v="0"/>
    <n v="0"/>
    <n v="42372.88"/>
    <m/>
    <m/>
    <m/>
    <n v="11864.41"/>
    <m/>
    <m/>
    <m/>
    <s v="Реаб."/>
    <m/>
    <n v="99"/>
    <s v="SGG"/>
    <d v="2024-01-17T00:00:00"/>
    <s v="BSG-240117-1/0(3)"/>
    <m/>
    <m/>
    <s v="No"/>
  </r>
  <r>
    <n v="2540"/>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9/13)"/>
    <x v="6"/>
    <n v="0"/>
    <m/>
    <n v="64800"/>
    <m/>
    <n v="64122.031000000003"/>
    <n v="-64122.031000000003"/>
    <n v="677.96899999999732"/>
    <s v="Ok"/>
    <n v="-64122.031000000003"/>
    <s v="К"/>
    <m/>
    <s v="P.2.401"/>
    <n v="14000"/>
    <n v="2135.59"/>
    <n v="14000"/>
    <m/>
    <m/>
    <n v="2135.59"/>
    <m/>
    <m/>
    <m/>
    <m/>
    <m/>
    <m/>
    <m/>
    <m/>
    <m/>
    <m/>
    <m/>
    <m/>
    <m/>
    <m/>
    <m/>
    <m/>
    <m/>
    <m/>
    <m/>
    <m/>
    <m/>
    <n v="0"/>
    <n v="0"/>
    <n v="0"/>
    <n v="0"/>
    <n v="0"/>
    <n v="0"/>
    <n v="42372.88"/>
    <m/>
    <m/>
    <m/>
    <n v="11864.41"/>
    <m/>
    <m/>
    <m/>
    <s v="Реаб."/>
    <m/>
    <n v="99"/>
    <s v="SGG"/>
    <d v="2024-01-17T00:00:00"/>
    <s v="BSG-240117-1/0(3)"/>
    <m/>
    <m/>
    <s v="No"/>
  </r>
  <r>
    <n v="2541"/>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18/119)"/>
    <x v="6"/>
    <n v="0"/>
    <m/>
    <n v="62600"/>
    <m/>
    <n v="62091.522999999994"/>
    <n v="-62091.522999999994"/>
    <n v="508.47700000000623"/>
    <s v="Ok"/>
    <n v="-62091.522999999994"/>
    <s v="К"/>
    <m/>
    <s v="P.2.401"/>
    <n v="12000"/>
    <n v="1830.51"/>
    <n v="12000"/>
    <m/>
    <m/>
    <n v="1830.51"/>
    <m/>
    <m/>
    <m/>
    <m/>
    <m/>
    <m/>
    <m/>
    <m/>
    <m/>
    <m/>
    <m/>
    <m/>
    <m/>
    <m/>
    <m/>
    <m/>
    <m/>
    <m/>
    <m/>
    <m/>
    <m/>
    <n v="0"/>
    <n v="0"/>
    <n v="0"/>
    <n v="0"/>
    <n v="0"/>
    <n v="0"/>
    <n v="42372.88"/>
    <m/>
    <m/>
    <m/>
    <n v="10169.49"/>
    <m/>
    <m/>
    <m/>
    <s v="Реаб."/>
    <m/>
    <n v="99"/>
    <s v="SGG"/>
    <d v="2024-01-17T00:00:00"/>
    <s v="BSG-240117-1/0(3)"/>
    <m/>
    <m/>
    <s v="No"/>
  </r>
  <r>
    <n v="2542"/>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03/106)"/>
    <x v="6"/>
    <n v="0"/>
    <m/>
    <n v="66800"/>
    <m/>
    <n v="66122.030999999988"/>
    <n v="-66122.030999999988"/>
    <n v="677.96900000001187"/>
    <s v="Ok"/>
    <n v="-66122.030999999988"/>
    <s v="К"/>
    <m/>
    <s v="P.2.401"/>
    <n v="16000"/>
    <n v="2440.6799999999998"/>
    <n v="16000"/>
    <m/>
    <m/>
    <n v="2440.6799999999998"/>
    <m/>
    <m/>
    <m/>
    <m/>
    <m/>
    <m/>
    <m/>
    <m/>
    <m/>
    <m/>
    <m/>
    <m/>
    <m/>
    <m/>
    <m/>
    <m/>
    <m/>
    <m/>
    <m/>
    <m/>
    <m/>
    <n v="0"/>
    <n v="0"/>
    <n v="0"/>
    <n v="0"/>
    <n v="0"/>
    <n v="0"/>
    <n v="42372.88"/>
    <m/>
    <m/>
    <m/>
    <n v="13559.32"/>
    <m/>
    <m/>
    <m/>
    <s v="Реаб."/>
    <m/>
    <n v="99"/>
    <s v="SGG"/>
    <d v="2024-01-17T00:00:00"/>
    <s v="BSG-240117-1/0(3)"/>
    <m/>
    <m/>
    <s v="No"/>
  </r>
  <r>
    <n v="2543"/>
    <s v="Квемо Картли"/>
    <s v="Рустави"/>
    <s v="(2) გამოსატანი მრიცხველების გამოტანა (P.2.618) (მე-17-ე მკრ. № 13 კორპ)"/>
    <x v="7"/>
    <n v="0"/>
    <m/>
    <n v="84103.57"/>
    <m/>
    <n v="83000.421000000002"/>
    <n v="-83000.421000000002"/>
    <n v="1103.1490000000049"/>
    <n v="1003"/>
    <n v="1103.1490000000049"/>
    <s v="К"/>
    <n v="0"/>
    <s v="P.2.618"/>
    <n v="19103.57"/>
    <n v="3508.4700000000003"/>
    <m/>
    <n v="762.71"/>
    <n v="18000"/>
    <m/>
    <n v="1103.57"/>
    <n v="2745.76"/>
    <m/>
    <m/>
    <m/>
    <m/>
    <m/>
    <m/>
    <m/>
    <m/>
    <m/>
    <m/>
    <m/>
    <m/>
    <m/>
    <m/>
    <m/>
    <m/>
    <m/>
    <m/>
    <m/>
    <n v="0"/>
    <n v="0"/>
    <n v="0"/>
    <n v="0"/>
    <n v="0"/>
    <n v="0"/>
    <n v="55085.17"/>
    <n v="2971.8"/>
    <m/>
    <m/>
    <n v="15254.24"/>
    <n v="180.54"/>
    <m/>
    <m/>
    <s v="Реаб."/>
    <d v="2025-03-18T00:00:00"/>
    <s v="Принят"/>
    <s v="Сакорггаз"/>
    <d v="2024-01-12T00:00:00"/>
    <s v="BCG-240112-1/0(2)"/>
    <m/>
    <m/>
    <m/>
  </r>
  <r>
    <n v="2544"/>
    <s v="Квемо Картли"/>
    <s v="Рустави"/>
    <s v="(1) გამოსატანი მრიცხველების გამოტანა (P.2.647) (მე-12-ე მკრ. № 20 კორპ)"/>
    <x v="7"/>
    <n v="0"/>
    <m/>
    <n v="83593.17"/>
    <m/>
    <n v="76220.61"/>
    <n v="-76220.61"/>
    <n v="7372.5599999999977"/>
    <n v="1873"/>
    <n v="7372.5599999999977"/>
    <s v="К"/>
    <m/>
    <s v="P.2.647"/>
    <n v="48593.17"/>
    <n v="8084.74"/>
    <n v="40000"/>
    <n v="762.71"/>
    <n v="8000"/>
    <n v="6101.69"/>
    <n v="593.16999999999996"/>
    <n v="1220.3399999999999"/>
    <m/>
    <m/>
    <m/>
    <m/>
    <m/>
    <m/>
    <m/>
    <m/>
    <m/>
    <m/>
    <m/>
    <m/>
    <m/>
    <m/>
    <m/>
    <m/>
    <m/>
    <m/>
    <m/>
    <n v="0"/>
    <n v="0"/>
    <n v="0"/>
    <n v="0"/>
    <n v="0"/>
    <n v="0"/>
    <n v="29661.29"/>
    <n v="1282.8600000000001"/>
    <m/>
    <m/>
    <n v="33898.31"/>
    <n v="762.94"/>
    <m/>
    <m/>
    <s v="Реаб."/>
    <d v="2025-03-18T00:00:00"/>
    <s v="Принят"/>
    <s v="Сакорггаз"/>
    <d v="2024-01-12T00:00:00"/>
    <s v="BCG-240112-1/0(1)"/>
    <m/>
    <m/>
    <m/>
  </r>
  <r>
    <n v="2545"/>
    <s v="Квемо Картли"/>
    <s v="Рустави"/>
    <s v="(1) გამოსატანი მრიცხველების გამოტანა (P.2.647) (ბალანჩივაძის გასასვლელი № 4)"/>
    <x v="7"/>
    <n v="0"/>
    <m/>
    <n v="32959.46"/>
    <m/>
    <n v="28756.377"/>
    <n v="-28756.377"/>
    <n v="4203.0829999999987"/>
    <n v="409"/>
    <n v="4203.0829999999987"/>
    <s v="К"/>
    <m/>
    <s v="P.2.647"/>
    <n v="12959.46"/>
    <n v="1976.87"/>
    <m/>
    <m/>
    <m/>
    <m/>
    <n v="8000"/>
    <m/>
    <n v="4959.46"/>
    <n v="1220.3399999999999"/>
    <m/>
    <n v="756.53"/>
    <m/>
    <m/>
    <m/>
    <m/>
    <m/>
    <m/>
    <m/>
    <m/>
    <m/>
    <m/>
    <m/>
    <m/>
    <m/>
    <m/>
    <m/>
    <n v="0"/>
    <n v="0"/>
    <n v="0"/>
    <n v="0"/>
    <n v="0"/>
    <n v="0"/>
    <n v="16949"/>
    <n v="756.79"/>
    <m/>
    <m/>
    <n v="6779.66"/>
    <n v="1010.54"/>
    <m/>
    <m/>
    <s v="Реаб."/>
    <d v="2025-04-23T00:00:00"/>
    <s v="Принят"/>
    <s v="Сакорггаз"/>
    <d v="2024-01-12T00:00:00"/>
    <s v="BCG-240112-1/0(1)"/>
    <m/>
    <m/>
    <s v="Yes"/>
  </r>
  <r>
    <n v="2546"/>
    <s v="Квемо Картли"/>
    <s v="Рустави"/>
    <s v="(2) გამოსატანი მრიცხველების გამოტანა (P.2.618) (მე-17-ე მკრ. № 6 კორპ)"/>
    <x v="7"/>
    <n v="0"/>
    <m/>
    <n v="37755.33"/>
    <m/>
    <n v="37000.474000000002"/>
    <n v="-37000.474000000002"/>
    <n v="754.85599999999977"/>
    <n v="792"/>
    <n v="754.85599999999977"/>
    <s v="К"/>
    <n v="0"/>
    <s v="P.2.618"/>
    <n v="14755.33"/>
    <n v="2135.59"/>
    <m/>
    <m/>
    <n v="14000"/>
    <m/>
    <n v="755.33"/>
    <n v="2135.59"/>
    <m/>
    <m/>
    <m/>
    <m/>
    <m/>
    <m/>
    <m/>
    <m/>
    <m/>
    <m/>
    <m/>
    <m/>
    <m/>
    <m/>
    <m/>
    <m/>
    <m/>
    <m/>
    <m/>
    <n v="0"/>
    <n v="0"/>
    <n v="0"/>
    <n v="0"/>
    <n v="0"/>
    <n v="0"/>
    <n v="19492"/>
    <n v="870.31"/>
    <m/>
    <m/>
    <n v="11864.41"/>
    <n v="140.41999999999999"/>
    <m/>
    <m/>
    <s v="Реаб."/>
    <d v="2025-03-18T00:00:00"/>
    <s v="Принят"/>
    <s v="Сакорггаз"/>
    <d v="2024-01-12T00:00:00"/>
    <s v="BCG-240112-1/0(2)"/>
    <m/>
    <m/>
    <m/>
  </r>
  <r>
    <n v="2547"/>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57)"/>
    <x v="6"/>
    <n v="0"/>
    <m/>
    <n v="40500"/>
    <m/>
    <n v="40000"/>
    <n v="-40000"/>
    <n v="500"/>
    <s v="Ok"/>
    <n v="-40000"/>
    <s v="К"/>
    <m/>
    <s v="P.2.401"/>
    <n v="40000"/>
    <n v="6101.69"/>
    <n v="40000"/>
    <m/>
    <m/>
    <n v="6101.69"/>
    <m/>
    <m/>
    <m/>
    <m/>
    <m/>
    <m/>
    <m/>
    <m/>
    <m/>
    <m/>
    <m/>
    <m/>
    <m/>
    <m/>
    <m/>
    <m/>
    <m/>
    <m/>
    <m/>
    <m/>
    <m/>
    <n v="0"/>
    <n v="0"/>
    <n v="0"/>
    <n v="0"/>
    <n v="0"/>
    <n v="0"/>
    <n v="0"/>
    <m/>
    <m/>
    <m/>
    <n v="33898.31"/>
    <m/>
    <m/>
    <m/>
    <s v="Реаб."/>
    <m/>
    <n v="99"/>
    <s v="SGG"/>
    <d v="2024-01-17T00:00:00"/>
    <s v="BSG-240117-1/0(3)"/>
    <m/>
    <m/>
    <s v="No"/>
  </r>
  <r>
    <n v="2548"/>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56)"/>
    <x v="6"/>
    <n v="0"/>
    <m/>
    <n v="42500"/>
    <m/>
    <n v="42076.270000000004"/>
    <n v="-42076.270000000004"/>
    <n v="423.72999999999593"/>
    <s v="Ok"/>
    <n v="-42076.270000000004"/>
    <s v="К"/>
    <m/>
    <s v="P.2.401"/>
    <n v="42000"/>
    <n v="6483.05"/>
    <n v="42000"/>
    <n v="76.27"/>
    <m/>
    <n v="6406.78"/>
    <m/>
    <m/>
    <m/>
    <m/>
    <m/>
    <m/>
    <m/>
    <m/>
    <m/>
    <m/>
    <m/>
    <m/>
    <m/>
    <m/>
    <m/>
    <m/>
    <m/>
    <m/>
    <m/>
    <m/>
    <m/>
    <n v="0"/>
    <n v="0"/>
    <n v="0"/>
    <n v="0"/>
    <n v="0"/>
    <n v="0"/>
    <n v="0"/>
    <m/>
    <m/>
    <m/>
    <n v="35593.22"/>
    <m/>
    <m/>
    <m/>
    <s v="Реаб."/>
    <m/>
    <n v="99"/>
    <s v="SGG"/>
    <d v="2024-01-17T00:00:00"/>
    <s v="BSG-240117-1/0(3)"/>
    <m/>
    <m/>
    <s v="No"/>
  </r>
  <r>
    <n v="2549"/>
    <s v="Квемо Картли"/>
    <s v="Рустави"/>
    <s v="(1) გამოსატანი მრიცხველების გამოტანა (P.2.647) (მე-12-ე მკრ. № 23 კორპ)"/>
    <x v="7"/>
    <n v="0"/>
    <m/>
    <n v="18000"/>
    <m/>
    <n v="15457.630000000001"/>
    <n v="-15457.630000000001"/>
    <n v="2542.369999999999"/>
    <m/>
    <n v="-15457.630000000001"/>
    <s v="К"/>
    <m/>
    <s v="P.2.647"/>
    <n v="3000"/>
    <n v="2745.77"/>
    <m/>
    <n v="2288.14"/>
    <m/>
    <m/>
    <n v="3000"/>
    <m/>
    <m/>
    <n v="457.63"/>
    <m/>
    <m/>
    <m/>
    <m/>
    <m/>
    <m/>
    <m/>
    <m/>
    <m/>
    <m/>
    <m/>
    <m/>
    <m/>
    <m/>
    <m/>
    <m/>
    <m/>
    <n v="0"/>
    <n v="0"/>
    <n v="0"/>
    <n v="0"/>
    <n v="0"/>
    <n v="0"/>
    <n v="12711.86"/>
    <m/>
    <m/>
    <m/>
    <m/>
    <m/>
    <m/>
    <m/>
    <s v="Реаб."/>
    <m/>
    <n v="50"/>
    <s v="Сакорггаз"/>
    <d v="2024-01-12T00:00:00"/>
    <s v="BCG-240112-1/0(1)"/>
    <m/>
    <m/>
    <m/>
  </r>
  <r>
    <n v="2550"/>
    <s v="Квемо Картли"/>
    <s v="Рустави"/>
    <s v="(1) გამოსატანი მრიცხველების გამოტანა (P.2.647) (მე-12-ე მკრ. № 24 კორპ)"/>
    <x v="7"/>
    <n v="0"/>
    <m/>
    <n v="38000"/>
    <m/>
    <n v="18508.48"/>
    <n v="-18508.48"/>
    <n v="19491.52"/>
    <m/>
    <n v="-18508.48"/>
    <s v="К"/>
    <m/>
    <s v="P.2.647"/>
    <n v="23000"/>
    <n v="5796.62"/>
    <m/>
    <n v="2288.14"/>
    <n v="20000"/>
    <m/>
    <n v="3000"/>
    <n v="3050.85"/>
    <m/>
    <n v="457.63"/>
    <m/>
    <m/>
    <m/>
    <m/>
    <m/>
    <m/>
    <m/>
    <m/>
    <m/>
    <m/>
    <m/>
    <m/>
    <m/>
    <m/>
    <m/>
    <m/>
    <m/>
    <n v="0"/>
    <n v="0"/>
    <n v="0"/>
    <n v="0"/>
    <n v="0"/>
    <n v="0"/>
    <n v="12711.86"/>
    <m/>
    <m/>
    <m/>
    <m/>
    <m/>
    <m/>
    <m/>
    <s v="Реаб."/>
    <m/>
    <n v="60"/>
    <s v="Сакорггаз"/>
    <d v="2024-01-12T00:00:00"/>
    <s v="BCG-240112-1/0(1)"/>
    <m/>
    <m/>
    <m/>
  </r>
  <r>
    <n v="2551"/>
    <s v="Квемо Картли"/>
    <s v="Рустави"/>
    <s v="(2) გამოსატანი მრიცხველების გამოტანა (P.2.618) (ლეონიძის ქუჩა № 12 კორპ)"/>
    <x v="7"/>
    <n v="0"/>
    <m/>
    <n v="98765.53"/>
    <m/>
    <n v="71728.81"/>
    <n v="-71728.81"/>
    <n v="27036.720000000001"/>
    <n v="1355"/>
    <n v="27036.720000000001"/>
    <s v="К"/>
    <n v="0"/>
    <s v="P.2.618"/>
    <n v="81765.53"/>
    <n v="14949.150000000001"/>
    <n v="50000"/>
    <n v="2593.2199999999998"/>
    <n v="31000"/>
    <n v="7627.12"/>
    <n v="765.53"/>
    <n v="4728.8100000000004"/>
    <m/>
    <m/>
    <m/>
    <m/>
    <m/>
    <m/>
    <m/>
    <m/>
    <m/>
    <m/>
    <m/>
    <m/>
    <m/>
    <m/>
    <m/>
    <m/>
    <m/>
    <m/>
    <m/>
    <n v="0"/>
    <n v="0"/>
    <n v="0"/>
    <n v="0"/>
    <n v="0"/>
    <n v="0"/>
    <n v="14406.78"/>
    <n v="502.07"/>
    <m/>
    <m/>
    <n v="42372.88"/>
    <n v="953.68"/>
    <m/>
    <m/>
    <s v="Реаб."/>
    <d v="2025-03-18T00:00:00"/>
    <s v="Принят"/>
    <s v="Сакорггаз"/>
    <d v="2024-01-12T00:00:00"/>
    <s v="BCG-240112-1/0(2)"/>
    <m/>
    <m/>
    <m/>
  </r>
  <r>
    <n v="2552"/>
    <s v="Квемо Картли"/>
    <s v="Рустави"/>
    <s v="(1) გამოსატანი მრიცხველების გამოტანა (P.2.647) (დავით გარეჯის ქ. №12 კორპ)"/>
    <x v="7"/>
    <n v="0"/>
    <m/>
    <n v="33969.4"/>
    <m/>
    <n v="9419.0600000000013"/>
    <n v="-9419.0600000000013"/>
    <n v="24550.34"/>
    <n v="464"/>
    <n v="24550.34"/>
    <s v="К"/>
    <n v="0"/>
    <s v="P.2.647"/>
    <n v="28969.4"/>
    <n v="5181.7700000000004"/>
    <m/>
    <n v="762.71"/>
    <n v="25000"/>
    <m/>
    <n v="3969.4"/>
    <n v="3813.56"/>
    <m/>
    <n v="605.5"/>
    <m/>
    <m/>
    <m/>
    <m/>
    <m/>
    <m/>
    <m/>
    <m/>
    <m/>
    <m/>
    <m/>
    <m/>
    <m/>
    <m/>
    <m/>
    <m/>
    <m/>
    <n v="0"/>
    <n v="0"/>
    <n v="0"/>
    <n v="0"/>
    <n v="0"/>
    <n v="0"/>
    <n v="4237.29"/>
    <n v="147.66999999999999"/>
    <m/>
    <m/>
    <n v="0"/>
    <n v="0"/>
    <m/>
    <m/>
    <s v="Реаб."/>
    <d v="2025-03-18T00:00:00"/>
    <s v="Принят"/>
    <s v="Сакорггаз"/>
    <d v="2024-01-12T00:00:00"/>
    <s v="BCG-240112-1/0(1)"/>
    <m/>
    <m/>
    <s v="Yes"/>
  </r>
  <r>
    <n v="2553"/>
    <s v="Квемо Картли"/>
    <s v="Рустави"/>
    <s v="(1) გამოსატანი მრიცხველების გამოტანა (P.2.647) (დავით გარეჯის ქ. №14 კორპ)"/>
    <x v="7"/>
    <n v="0"/>
    <m/>
    <n v="34706.589999999997"/>
    <m/>
    <n v="9531.51"/>
    <n v="-9531.51"/>
    <n v="25175.079999999994"/>
    <n v="490"/>
    <n v="25175.079999999994"/>
    <s v="К"/>
    <n v="0"/>
    <s v="P.2.647"/>
    <n v="29706.59"/>
    <n v="5294.22"/>
    <m/>
    <n v="762.71"/>
    <n v="25000"/>
    <m/>
    <n v="4706.59"/>
    <n v="3813.56"/>
    <m/>
    <n v="717.95"/>
    <m/>
    <m/>
    <m/>
    <m/>
    <m/>
    <m/>
    <m/>
    <m/>
    <m/>
    <m/>
    <m/>
    <m/>
    <m/>
    <m/>
    <m/>
    <m/>
    <m/>
    <n v="0"/>
    <n v="0"/>
    <n v="0"/>
    <n v="0"/>
    <n v="0"/>
    <n v="0"/>
    <n v="4237.29"/>
    <n v="147.66999999999999"/>
    <m/>
    <m/>
    <n v="0"/>
    <n v="0"/>
    <m/>
    <m/>
    <s v="Реаб."/>
    <d v="2025-03-18T00:00:00"/>
    <s v="Принят"/>
    <s v="Сакорггаз"/>
    <d v="2024-01-12T00:00:00"/>
    <s v="BCG-240112-1/0(1)"/>
    <m/>
    <m/>
    <m/>
  </r>
  <r>
    <n v="2554"/>
    <s v="Квемо Картли"/>
    <s v="Рустави"/>
    <s v="(1) გამოსატანი მრიცხველების გამოტანა (P.2.647) (დავით გარეჯის ქ. №18 კორპ)"/>
    <x v="7"/>
    <n v="0"/>
    <m/>
    <n v="33020.660000000003"/>
    <m/>
    <n v="26220.34"/>
    <n v="-26220.34"/>
    <n v="6800.3200000000033"/>
    <n v="378"/>
    <n v="6800.3200000000033"/>
    <s v="К"/>
    <n v="0"/>
    <s v="P.2.647"/>
    <n v="28020.66"/>
    <n v="5033.8999999999996"/>
    <n v="20000"/>
    <n v="762.71"/>
    <n v="8000"/>
    <n v="3050.85"/>
    <n v="20.66"/>
    <n v="1220.3399999999999"/>
    <m/>
    <m/>
    <m/>
    <m/>
    <m/>
    <m/>
    <m/>
    <m/>
    <m/>
    <m/>
    <m/>
    <m/>
    <m/>
    <m/>
    <m/>
    <m/>
    <m/>
    <m/>
    <m/>
    <n v="0"/>
    <n v="0"/>
    <n v="0"/>
    <n v="0"/>
    <n v="0"/>
    <n v="0"/>
    <n v="4237.29"/>
    <n v="147.66999999999999"/>
    <m/>
    <m/>
    <n v="16949.150000000001"/>
    <n v="381.47"/>
    <m/>
    <m/>
    <s v="Реаб."/>
    <d v="2025-03-18T00:00:00"/>
    <s v="Принят"/>
    <s v="Сакорггаз"/>
    <d v="2024-01-12T00:00:00"/>
    <s v="BCG-240112-1/0(1)"/>
    <m/>
    <m/>
    <m/>
  </r>
  <r>
    <n v="2555"/>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54)"/>
    <x v="6"/>
    <n v="0"/>
    <m/>
    <n v="44600"/>
    <m/>
    <n v="41091.53"/>
    <n v="-41091.53"/>
    <n v="3508.4700000000012"/>
    <s v="Ok"/>
    <n v="-41091.53"/>
    <s v="К"/>
    <m/>
    <s v="P.2.401"/>
    <n v="41000"/>
    <n v="6345.7699999999995"/>
    <n v="41000"/>
    <n v="91.53"/>
    <m/>
    <n v="6254.24"/>
    <m/>
    <m/>
    <m/>
    <m/>
    <m/>
    <m/>
    <m/>
    <m/>
    <m/>
    <m/>
    <m/>
    <m/>
    <m/>
    <m/>
    <m/>
    <m/>
    <m/>
    <m/>
    <m/>
    <m/>
    <m/>
    <n v="0"/>
    <n v="0"/>
    <n v="0"/>
    <n v="0"/>
    <n v="0"/>
    <n v="0"/>
    <n v="0"/>
    <m/>
    <m/>
    <m/>
    <n v="34745.760000000002"/>
    <m/>
    <m/>
    <m/>
    <s v="Реаб."/>
    <m/>
    <n v="99"/>
    <s v="SGG"/>
    <d v="2024-01-17T00:00:00"/>
    <s v="BSG-240117-1/0(3)"/>
    <m/>
    <m/>
    <s v="No"/>
  </r>
  <r>
    <n v="2556"/>
    <s v="Самцхе Джавахети"/>
    <s v="Борджоми"/>
    <s v="1.1.24. В г. Боржоми реабилитация/реконструкция наружных сетей в корпусах на улицах Руставели и Месхети. (P.3.106) (проектирование и строительство)(ერეკლეს ქუჩა №25 კორპ)"/>
    <x v="5"/>
    <n v="114561"/>
    <s v="აკლასნიკური განფასებით"/>
    <n v="105234.79"/>
    <m/>
    <n v="100798.53"/>
    <n v="13762.470000000001"/>
    <n v="4436.2599999999948"/>
    <n v="3063.2"/>
    <n v="4436.2599999999948"/>
    <s v="К"/>
    <n v="0"/>
    <s v="P.3.106"/>
    <n v="105234.79"/>
    <n v="16052.77"/>
    <n v="100000"/>
    <m/>
    <m/>
    <n v="15254.24"/>
    <n v="5234.79"/>
    <m/>
    <m/>
    <n v="798.53"/>
    <m/>
    <m/>
    <m/>
    <m/>
    <m/>
    <m/>
    <m/>
    <m/>
    <m/>
    <m/>
    <m/>
    <m/>
    <m/>
    <m/>
    <m/>
    <m/>
    <m/>
    <n v="0"/>
    <n v="0"/>
    <n v="0"/>
    <n v="0"/>
    <n v="0"/>
    <n v="0"/>
    <m/>
    <m/>
    <m/>
    <m/>
    <n v="84745.76"/>
    <n v="1263.06"/>
    <m/>
    <m/>
    <s v="Реаб."/>
    <d v="2025-03-31T00:00:00"/>
    <s v="Принят"/>
    <s v="Сакорггаз"/>
    <d v="2022-04-25T00:00:00"/>
    <s v="BCP-220425-1/2(1.1.24)"/>
    <m/>
    <m/>
    <s v="Yes"/>
  </r>
  <r>
    <n v="2557"/>
    <s v="Квемо Картли"/>
    <s v="Рустави"/>
    <s v="(2) გამოსატანი მრიცხველების გამოტანა (P.2.618) (ფალიაშვილის ქუჩა № 7 კორპ)"/>
    <x v="7"/>
    <n v="0"/>
    <m/>
    <n v="80000"/>
    <m/>
    <n v="12203.39"/>
    <n v="-12203.39"/>
    <n v="67796.61"/>
    <m/>
    <n v="-12203.39"/>
    <s v="К"/>
    <m/>
    <s v="P.2.618"/>
    <n v="80000"/>
    <n v="12203.39"/>
    <n v="80000"/>
    <m/>
    <m/>
    <n v="12203.39"/>
    <m/>
    <m/>
    <m/>
    <m/>
    <m/>
    <m/>
    <m/>
    <m/>
    <m/>
    <m/>
    <m/>
    <m/>
    <m/>
    <m/>
    <m/>
    <m/>
    <m/>
    <m/>
    <m/>
    <m/>
    <m/>
    <n v="0"/>
    <n v="0"/>
    <n v="0"/>
    <n v="0"/>
    <n v="0"/>
    <n v="0"/>
    <m/>
    <m/>
    <m/>
    <m/>
    <m/>
    <m/>
    <m/>
    <m/>
    <s v="Реаб."/>
    <m/>
    <n v="75"/>
    <s v="Сакорггаз"/>
    <d v="2024-01-12T00:00:00"/>
    <s v="BCG-240112-1/0(2)"/>
    <m/>
    <m/>
    <m/>
  </r>
  <r>
    <n v="2558"/>
    <s v="Квемо Картли"/>
    <s v="Рустави"/>
    <s v="(2) გამოსატანი მრიცხველების გამოტანა (P.2.618) (ლეონიძის ქ. № 30 კორპ)"/>
    <x v="7"/>
    <n v="0"/>
    <m/>
    <n v="30000"/>
    <m/>
    <n v="30000"/>
    <n v="-30000"/>
    <n v="0"/>
    <m/>
    <n v="-30000"/>
    <s v="К"/>
    <m/>
    <s v="P.2.618"/>
    <n v="30000"/>
    <n v="4576.2700000000004"/>
    <n v="30000"/>
    <m/>
    <m/>
    <n v="4576.2700000000004"/>
    <m/>
    <m/>
    <m/>
    <m/>
    <m/>
    <m/>
    <m/>
    <m/>
    <m/>
    <m/>
    <m/>
    <m/>
    <m/>
    <m/>
    <m/>
    <m/>
    <m/>
    <m/>
    <m/>
    <m/>
    <m/>
    <n v="0"/>
    <n v="0"/>
    <n v="0"/>
    <n v="0"/>
    <n v="0"/>
    <n v="0"/>
    <m/>
    <m/>
    <m/>
    <m/>
    <n v="25423.73"/>
    <m/>
    <m/>
    <m/>
    <s v="Реаб."/>
    <m/>
    <n v="75"/>
    <s v="Сакорггаз"/>
    <d v="2024-01-12T00:00:00"/>
    <s v="BCG-240112-1/0(2)"/>
    <m/>
    <m/>
    <m/>
  </r>
  <r>
    <n v="2559"/>
    <s v="Квемо Картли"/>
    <s v="Рустави"/>
    <s v="(2) გამოსატანი მრიცხველების გამოტანა (P.2.618) (ლეონიძის ქ. № 32 კორპ)"/>
    <x v="7"/>
    <n v="0"/>
    <m/>
    <n v="30000"/>
    <m/>
    <n v="30000"/>
    <n v="-30000"/>
    <n v="0"/>
    <m/>
    <n v="-30000"/>
    <s v="К"/>
    <m/>
    <s v="P.2.618"/>
    <n v="30000"/>
    <n v="4576.2700000000004"/>
    <n v="30000"/>
    <m/>
    <m/>
    <n v="4576.2700000000004"/>
    <m/>
    <m/>
    <m/>
    <m/>
    <m/>
    <m/>
    <m/>
    <m/>
    <m/>
    <m/>
    <m/>
    <m/>
    <m/>
    <m/>
    <m/>
    <m/>
    <m/>
    <m/>
    <m/>
    <m/>
    <m/>
    <n v="0"/>
    <n v="0"/>
    <n v="0"/>
    <n v="0"/>
    <n v="0"/>
    <n v="0"/>
    <n v="0"/>
    <m/>
    <m/>
    <m/>
    <n v="25423.73"/>
    <m/>
    <m/>
    <m/>
    <s v="Реаб."/>
    <m/>
    <n v="75"/>
    <s v="Сакорггаз"/>
    <d v="2024-01-12T00:00:00"/>
    <s v="BCG-240112-1/0(2)"/>
    <m/>
    <m/>
    <m/>
  </r>
  <r>
    <n v="2560"/>
    <s v="Квемо Картли"/>
    <s v="Рустави"/>
    <s v="(2) გამოსატანი მრიცხველების გამოტანა (P.2.618) (მე-15-ე მკრ. № 16 კორპ)"/>
    <x v="7"/>
    <n v="0"/>
    <m/>
    <n v="103090"/>
    <m/>
    <n v="91996.78"/>
    <n v="-91996.78"/>
    <n v="11093.220000000001"/>
    <n v="1590"/>
    <n v="11093.220000000001"/>
    <s v="К"/>
    <m/>
    <s v="P.2.618"/>
    <n v="103090"/>
    <n v="15725.59"/>
    <n v="80000"/>
    <m/>
    <n v="10000"/>
    <n v="12203.39"/>
    <m/>
    <n v="1525.42"/>
    <n v="13090"/>
    <m/>
    <m/>
    <n v="1996.78"/>
    <m/>
    <m/>
    <m/>
    <m/>
    <m/>
    <m/>
    <m/>
    <m/>
    <m/>
    <m/>
    <m/>
    <m/>
    <m/>
    <m/>
    <m/>
    <n v="0"/>
    <n v="0"/>
    <n v="0"/>
    <n v="0"/>
    <n v="0"/>
    <n v="0"/>
    <m/>
    <m/>
    <m/>
    <m/>
    <n v="76271.19"/>
    <n v="2273.63"/>
    <m/>
    <m/>
    <s v="Реаб."/>
    <d v="2025-04-23T00:00:00"/>
    <s v="Принят"/>
    <s v="Сакорггаз"/>
    <d v="2024-01-12T00:00:00"/>
    <s v="BCG-240112-1/0(2)"/>
    <m/>
    <m/>
    <s v="Yes"/>
  </r>
  <r>
    <n v="2561"/>
    <s v="Самегрело"/>
    <s v="Мартвили"/>
    <s v="მარტვილის მუნიც. დიდი ჭყონის თემის ს. ლედგებეს და ს. მეორე ნამიკოლაოს გაზმომარაგების პროექტის შედგენა."/>
    <x v="9"/>
    <n v="0"/>
    <m/>
    <n v="0"/>
    <m/>
    <n v="0"/>
    <n v="0"/>
    <n v="0"/>
    <m/>
    <n v="0"/>
    <n v="2"/>
    <m/>
    <m/>
    <n v="0"/>
    <n v="0"/>
    <m/>
    <m/>
    <m/>
    <m/>
    <m/>
    <m/>
    <m/>
    <m/>
    <m/>
    <m/>
    <m/>
    <m/>
    <m/>
    <m/>
    <m/>
    <m/>
    <m/>
    <m/>
    <m/>
    <m/>
    <m/>
    <m/>
    <m/>
    <m/>
    <m/>
    <n v="0"/>
    <n v="0"/>
    <n v="0"/>
    <n v="0"/>
    <n v="0"/>
    <n v="0"/>
    <m/>
    <m/>
    <m/>
    <m/>
    <m/>
    <m/>
    <m/>
    <m/>
    <s v="Проектирование"/>
    <m/>
    <m/>
    <s v="Сакорггаз"/>
    <d v="2024-12-03T00:00:00"/>
    <s v="CC-241203-1/0"/>
    <m/>
    <s v="დირექტორის დავალებით (მარიკა)"/>
    <m/>
  </r>
  <r>
    <n v="2562"/>
    <s v="Квемо Картли"/>
    <s v="Рустави"/>
    <s v="(2) გამოსატანი მრიცხველების გამოტანა (P.2.618) (მე-17-ე მკრ. № 18 კორპ)"/>
    <x v="7"/>
    <n v="0"/>
    <m/>
    <n v="65538.720000000001"/>
    <m/>
    <n v="63387.26"/>
    <n v="-63387.26"/>
    <n v="2151.4599999999991"/>
    <n v="932"/>
    <n v="2151.4599999999991"/>
    <s v="К"/>
    <m/>
    <s v="P.2.618"/>
    <n v="65538.720000000001"/>
    <n v="9997.43"/>
    <n v="50000"/>
    <m/>
    <n v="3000"/>
    <n v="7627.12"/>
    <n v="10000"/>
    <n v="457.63"/>
    <n v="2538.7199999999998"/>
    <n v="1525.42"/>
    <m/>
    <n v="387.26"/>
    <m/>
    <m/>
    <m/>
    <m/>
    <m/>
    <m/>
    <m/>
    <m/>
    <m/>
    <m/>
    <m/>
    <m/>
    <m/>
    <m/>
    <m/>
    <n v="0"/>
    <n v="0"/>
    <n v="0"/>
    <n v="0"/>
    <n v="0"/>
    <n v="0"/>
    <n v="0"/>
    <m/>
    <m/>
    <m/>
    <n v="53389.83"/>
    <n v="2595.81"/>
    <m/>
    <m/>
    <s v="Реаб."/>
    <d v="2025-04-23T00:00:00"/>
    <s v="Принят"/>
    <s v="Сакорггаз"/>
    <d v="2024-01-12T00:00:00"/>
    <s v="BCG-240112-1/0(2)"/>
    <m/>
    <m/>
    <s v="Yes"/>
  </r>
  <r>
    <n v="2563"/>
    <s v="Квемо Картли"/>
    <s v="Рустави"/>
    <s v="(1) გამოსატანი მრიცხველების გამოტანა (P.2.647) (რუსთაველის ქუჩა №39 კორპ)"/>
    <x v="7"/>
    <n v="0"/>
    <m/>
    <n v="33455.54"/>
    <m/>
    <n v="30527.120000000003"/>
    <n v="-30527.120000000003"/>
    <n v="2928.4199999999983"/>
    <n v="311"/>
    <n v="2928.4199999999983"/>
    <s v="К"/>
    <m/>
    <s v="P.2.647"/>
    <n v="33455.54"/>
    <n v="5103.3900000000003"/>
    <n v="20000"/>
    <m/>
    <m/>
    <n v="3050.85"/>
    <n v="10000"/>
    <m/>
    <n v="3455.54"/>
    <n v="1525.42"/>
    <m/>
    <n v="527.12"/>
    <m/>
    <m/>
    <m/>
    <m/>
    <m/>
    <m/>
    <m/>
    <m/>
    <m/>
    <m/>
    <m/>
    <m/>
    <m/>
    <m/>
    <m/>
    <n v="0"/>
    <n v="0"/>
    <n v="0"/>
    <n v="0"/>
    <n v="0"/>
    <n v="0"/>
    <m/>
    <m/>
    <m/>
    <m/>
    <n v="25423.730000000003"/>
    <n v="1644.65"/>
    <m/>
    <m/>
    <s v="Реаб."/>
    <d v="2025-04-23T00:00:00"/>
    <s v="Принят"/>
    <s v="Сакорггаз"/>
    <d v="2024-01-12T00:00:00"/>
    <s v="BCG-240112-1/0(1)"/>
    <m/>
    <m/>
    <s v="Yes"/>
  </r>
  <r>
    <n v="2564"/>
    <s v="Квемо Картли"/>
    <s v="Рустави"/>
    <s v="(1) გამოსატანი მრიცხველების გამოტანა (P.2.647) (დავით გარეჯის ქ. №8 კორპ)"/>
    <x v="7"/>
    <n v="0"/>
    <m/>
    <n v="20000"/>
    <m/>
    <n v="20000"/>
    <n v="-20000"/>
    <n v="0"/>
    <m/>
    <n v="-20000"/>
    <s v="К"/>
    <m/>
    <s v="P.2.647"/>
    <n v="20000"/>
    <n v="3050.85"/>
    <n v="20000"/>
    <m/>
    <m/>
    <n v="3050.85"/>
    <m/>
    <m/>
    <m/>
    <m/>
    <m/>
    <m/>
    <m/>
    <m/>
    <m/>
    <m/>
    <m/>
    <m/>
    <m/>
    <m/>
    <m/>
    <m/>
    <m/>
    <m/>
    <m/>
    <m/>
    <m/>
    <n v="0"/>
    <n v="0"/>
    <n v="0"/>
    <n v="0"/>
    <n v="0"/>
    <n v="0"/>
    <m/>
    <m/>
    <m/>
    <m/>
    <n v="16949.150000000001"/>
    <m/>
    <m/>
    <m/>
    <s v="Реаб."/>
    <m/>
    <n v="75"/>
    <s v="Сакорггаз"/>
    <d v="2024-01-12T00:00:00"/>
    <s v="BCG-240112-1/0(1)"/>
    <m/>
    <m/>
    <m/>
  </r>
  <r>
    <n v="2565"/>
    <s v="Квемо Картли"/>
    <s v="Рустави"/>
    <s v="(1) გამოსატანი მრიცხველების გამოტანა (P.2.647) (დავით გარეჯის ქ. №4 კორპ)"/>
    <x v="7"/>
    <n v="0"/>
    <m/>
    <n v="20000"/>
    <m/>
    <n v="20000"/>
    <n v="-20000"/>
    <n v="0"/>
    <m/>
    <n v="-20000"/>
    <s v="К"/>
    <m/>
    <s v="P.2.647"/>
    <n v="20000"/>
    <n v="3050.85"/>
    <n v="20000"/>
    <m/>
    <m/>
    <n v="3050.85"/>
    <m/>
    <m/>
    <m/>
    <m/>
    <m/>
    <m/>
    <m/>
    <m/>
    <m/>
    <m/>
    <m/>
    <m/>
    <m/>
    <m/>
    <m/>
    <m/>
    <m/>
    <m/>
    <m/>
    <m/>
    <m/>
    <n v="0"/>
    <n v="0"/>
    <n v="0"/>
    <n v="0"/>
    <n v="0"/>
    <n v="0"/>
    <m/>
    <m/>
    <m/>
    <m/>
    <n v="16949.150000000001"/>
    <m/>
    <m/>
    <m/>
    <s v="Реаб."/>
    <m/>
    <n v="75"/>
    <s v="Сакорггаз"/>
    <d v="2024-01-12T00:00:00"/>
    <s v="BCG-240112-1/0(1)"/>
    <m/>
    <m/>
    <m/>
  </r>
  <r>
    <n v="2566"/>
    <s v="Мцхета-Мтианети"/>
    <s v="Мцхета"/>
    <s v="ლისი, წოდორეთი, მუხაწყაროს სათაო რედუცირების კვანძი. T-6 (145) (P.3.1126)"/>
    <x v="20"/>
    <n v="160000"/>
    <m/>
    <n v="160000"/>
    <m/>
    <n v="24406.78"/>
    <n v="135593.22"/>
    <n v="135593.22"/>
    <m/>
    <n v="135593.22"/>
    <n v="1"/>
    <n v="0"/>
    <s v="P.3.1126"/>
    <n v="160000"/>
    <n v="24406.78"/>
    <m/>
    <m/>
    <n v="160000"/>
    <m/>
    <m/>
    <n v="24406.78"/>
    <m/>
    <m/>
    <m/>
    <m/>
    <m/>
    <m/>
    <m/>
    <m/>
    <m/>
    <m/>
    <m/>
    <m/>
    <m/>
    <m/>
    <m/>
    <m/>
    <m/>
    <m/>
    <m/>
    <n v="0"/>
    <n v="0"/>
    <n v="0"/>
    <n v="0"/>
    <n v="0"/>
    <n v="0"/>
    <m/>
    <m/>
    <m/>
    <m/>
    <m/>
    <m/>
    <m/>
    <m/>
    <s v="კვანძი (საინვესტ. გეგმით)"/>
    <d v="2025-02-28T00:00:00"/>
    <s v="Принят"/>
    <s v="SGG"/>
    <d v="2024-11-01T00:00:00"/>
    <s v="SGG-GRP-241101-1/0 (145)"/>
    <s v="P.3.1126"/>
    <m/>
    <s v="Yes"/>
  </r>
  <r>
    <n v="2567"/>
    <s v="Квемо Картли"/>
    <s v="Рустави"/>
    <s v="(1) გამოსატანი მრიცხველების გამოტანა (P.2.647) (მე-21-ე მკრ. № 5 კორპ)"/>
    <x v="7"/>
    <n v="0"/>
    <m/>
    <n v="60000"/>
    <m/>
    <n v="9152.5400000000009"/>
    <n v="-9152.5400000000009"/>
    <n v="50847.46"/>
    <m/>
    <n v="-9152.5400000000009"/>
    <s v="К"/>
    <m/>
    <s v="P.2.647"/>
    <n v="60000"/>
    <n v="9152.5400000000009"/>
    <n v="60000"/>
    <m/>
    <m/>
    <n v="9152.5400000000009"/>
    <m/>
    <m/>
    <m/>
    <m/>
    <m/>
    <m/>
    <m/>
    <m/>
    <m/>
    <m/>
    <m/>
    <m/>
    <m/>
    <m/>
    <m/>
    <m/>
    <m/>
    <m/>
    <m/>
    <m/>
    <m/>
    <n v="0"/>
    <n v="0"/>
    <n v="0"/>
    <n v="0"/>
    <n v="0"/>
    <n v="0"/>
    <m/>
    <m/>
    <m/>
    <m/>
    <m/>
    <m/>
    <m/>
    <m/>
    <s v="Реаб."/>
    <m/>
    <n v="75"/>
    <s v="Сакорггаз"/>
    <d v="2024-01-12T00:00:00"/>
    <s v="BCG-240112-1/0(1)"/>
    <m/>
    <m/>
    <m/>
  </r>
  <r>
    <n v="2568"/>
    <s v="Квемо Картли"/>
    <s v="Рустави"/>
    <s v="(1) გამოსატანი მრიცხველების გამოტანა (P.2.647) (მე-21-ე მკრ. № 4 კორპ)"/>
    <x v="7"/>
    <n v="0"/>
    <m/>
    <n v="70000"/>
    <m/>
    <n v="70000"/>
    <n v="-70000"/>
    <n v="0"/>
    <m/>
    <n v="-70000"/>
    <s v="К"/>
    <m/>
    <s v="P.2.647"/>
    <n v="70000"/>
    <n v="10677.97"/>
    <n v="70000"/>
    <m/>
    <m/>
    <n v="10677.97"/>
    <m/>
    <m/>
    <m/>
    <m/>
    <m/>
    <m/>
    <m/>
    <m/>
    <m/>
    <m/>
    <m/>
    <m/>
    <m/>
    <m/>
    <m/>
    <m/>
    <m/>
    <m/>
    <m/>
    <m/>
    <m/>
    <n v="0"/>
    <n v="0"/>
    <n v="0"/>
    <n v="0"/>
    <n v="0"/>
    <n v="0"/>
    <n v="0"/>
    <m/>
    <m/>
    <m/>
    <n v="59322.03"/>
    <m/>
    <m/>
    <m/>
    <s v="Реаб."/>
    <m/>
    <n v="75"/>
    <s v="Сакорггаз"/>
    <d v="2024-01-12T00:00:00"/>
    <s v="BCG-240112-1/0(1)"/>
    <m/>
    <m/>
    <m/>
  </r>
  <r>
    <n v="2569"/>
    <s v="Квемо Картли"/>
    <s v="Рустави"/>
    <s v="(1) გამოსატანი მრიცხველების გამოტანა (P.2.647) (დავით გარეჯის ქ. №16 კორპ)"/>
    <x v="7"/>
    <n v="0"/>
    <m/>
    <n v="33384.949999999997"/>
    <m/>
    <n v="33000"/>
    <n v="-33000"/>
    <n v="384.94999999999709"/>
    <n v="384"/>
    <n v="384.94999999999709"/>
    <s v="К"/>
    <m/>
    <s v="P.2.647"/>
    <n v="33384.949999999997"/>
    <n v="5033.8999999999996"/>
    <n v="20000"/>
    <m/>
    <n v="13000"/>
    <n v="3050.85"/>
    <n v="384.95"/>
    <n v="1983.05"/>
    <m/>
    <m/>
    <m/>
    <m/>
    <m/>
    <m/>
    <m/>
    <m/>
    <m/>
    <m/>
    <m/>
    <m/>
    <m/>
    <m/>
    <m/>
    <m/>
    <m/>
    <m/>
    <m/>
    <n v="0"/>
    <n v="0"/>
    <n v="0"/>
    <n v="0"/>
    <n v="0"/>
    <n v="0"/>
    <m/>
    <m/>
    <m/>
    <m/>
    <n v="27966.100000000002"/>
    <n v="511.86"/>
    <m/>
    <m/>
    <s v="Реаб."/>
    <d v="2025-03-18T00:00:00"/>
    <s v="Принят"/>
    <s v="Сакорггаз"/>
    <d v="2024-01-12T00:00:00"/>
    <s v="BCG-240112-1/0(1)"/>
    <m/>
    <m/>
    <s v="Yes"/>
  </r>
  <r>
    <n v="2570"/>
    <s v="Квемо Картли"/>
    <s v="Рустави"/>
    <s v="(1) გამოსატანი მრიცხველების გამოტანა (P.2.647) (კლდიაშვილის ქ. № 12 კორპ)"/>
    <x v="7"/>
    <n v="0"/>
    <m/>
    <n v="79086.460000000006"/>
    <m/>
    <n v="78000"/>
    <n v="-78000"/>
    <n v="1086.4600000000064"/>
    <n v="1097"/>
    <n v="1086.4600000000064"/>
    <s v="К"/>
    <m/>
    <s v="P.2.647"/>
    <n v="79086.460000000006"/>
    <n v="11898.300000000001"/>
    <n v="60000"/>
    <m/>
    <n v="18000"/>
    <n v="9152.5400000000009"/>
    <n v="1086.46"/>
    <n v="2745.76"/>
    <m/>
    <m/>
    <m/>
    <m/>
    <m/>
    <m/>
    <m/>
    <m/>
    <m/>
    <m/>
    <m/>
    <m/>
    <m/>
    <m/>
    <m/>
    <m/>
    <m/>
    <m/>
    <m/>
    <n v="0"/>
    <n v="0"/>
    <n v="0"/>
    <n v="0"/>
    <n v="0"/>
    <n v="0"/>
    <m/>
    <m/>
    <m/>
    <m/>
    <n v="66101.7"/>
    <n v="938.38"/>
    <m/>
    <m/>
    <s v="Реаб."/>
    <d v="2025-03-18T00:00:00"/>
    <s v="Принят"/>
    <s v="Сакорггаз"/>
    <d v="2024-01-12T00:00:00"/>
    <s v="BCG-240112-1/0(1)"/>
    <m/>
    <m/>
    <m/>
  </r>
  <r>
    <n v="2571"/>
    <s v="Имерети"/>
    <s v="Кутаиси"/>
    <s v="(2) მრიცხველების შეცვლა გამოტანა 8000  P.6.191 (8) (ფელიქს კაკაურიძის ქ. #5 კორპ.)"/>
    <x v="4"/>
    <n v="120305.25"/>
    <m/>
    <n v="120305.25"/>
    <n v="120305.25"/>
    <n v="117504.18999999999"/>
    <n v="2801.0600000000122"/>
    <n v="2801.0600000000122"/>
    <n v="2515"/>
    <n v="2801.0600000000122"/>
    <s v="К"/>
    <m/>
    <s v="P.6.191 (8)"/>
    <n v="120305.25"/>
    <n v="18351.649999999998"/>
    <n v="117000"/>
    <m/>
    <n v="3305.25"/>
    <n v="17847.46"/>
    <m/>
    <n v="504.19"/>
    <m/>
    <m/>
    <m/>
    <m/>
    <m/>
    <m/>
    <m/>
    <m/>
    <m/>
    <m/>
    <m/>
    <m/>
    <m/>
    <m/>
    <m/>
    <m/>
    <m/>
    <m/>
    <s v="საბოლოო"/>
    <n v="0"/>
    <n v="0"/>
    <n v="0"/>
    <n v="0"/>
    <n v="0"/>
    <n v="0"/>
    <n v="0"/>
    <n v="0"/>
    <m/>
    <n v="10195.360169491527"/>
    <n v="99152.54"/>
    <n v="2015.65"/>
    <m/>
    <m/>
    <s v="Реаб."/>
    <d v="2025-02-19T00:00:00"/>
    <s v="Принят"/>
    <s v="Сакорггаз"/>
    <d v="2024-01-10T00:00:00"/>
    <s v="BCG-240110-1/0(2)"/>
    <m/>
    <m/>
    <s v="Yes"/>
  </r>
  <r>
    <n v="2572"/>
    <s v="Имерети"/>
    <s v="Кутаиси"/>
    <s v="(2) მრიცხველების შეცვლა გამოტანა 8000  P.6.191 (8) (ფელიქს კაკაურიძის ქ. #7 კორპ.)"/>
    <x v="4"/>
    <n v="53841.5"/>
    <m/>
    <n v="53841.5"/>
    <n v="53841.5"/>
    <n v="52280.91"/>
    <n v="1560.5899999999965"/>
    <n v="1560.5899999999965"/>
    <n v="1137"/>
    <n v="1560.5899999999965"/>
    <s v="К"/>
    <m/>
    <s v="P.6.191 (8)"/>
    <n v="53841.5"/>
    <n v="8213.11"/>
    <n v="52000"/>
    <m/>
    <n v="1841.5"/>
    <n v="7932.2"/>
    <m/>
    <n v="280.91000000000003"/>
    <m/>
    <m/>
    <m/>
    <m/>
    <m/>
    <m/>
    <m/>
    <m/>
    <m/>
    <m/>
    <m/>
    <m/>
    <m/>
    <m/>
    <m/>
    <m/>
    <m/>
    <m/>
    <s v="საბოლოო"/>
    <n v="0"/>
    <n v="0"/>
    <n v="0"/>
    <n v="0"/>
    <n v="0"/>
    <n v="0"/>
    <m/>
    <m/>
    <m/>
    <n v="4562.8389830508486"/>
    <n v="44067.8"/>
    <n v="895.84"/>
    <m/>
    <m/>
    <s v="Реаб."/>
    <d v="2025-02-19T00:00:00"/>
    <s v="Принят"/>
    <s v="Сакорггаз"/>
    <d v="2024-01-10T00:00:00"/>
    <s v="BCG-240110-1/0(2)"/>
    <m/>
    <m/>
    <s v="Yes"/>
  </r>
  <r>
    <n v="2573"/>
    <s v="Имерети"/>
    <s v="Кутаиси"/>
    <s v="(2) მრიცხველების შეცვლა გამოტანა 8000  P.6.191 (8) (შალვა დადიანის ქ. #61 კორპ.)"/>
    <x v="4"/>
    <n v="76039.360000000001"/>
    <m/>
    <n v="76039.360000000001"/>
    <n v="76039.360000000001"/>
    <n v="74311.09"/>
    <n v="1728.2700000000041"/>
    <n v="1728.2700000000041"/>
    <n v="1797"/>
    <n v="1728.2700000000041"/>
    <s v="К"/>
    <m/>
    <s v="P.6.191 (8)"/>
    <n v="76039.360000000001"/>
    <n v="11599.23"/>
    <n v="74000"/>
    <m/>
    <n v="2039.36"/>
    <n v="11288.14"/>
    <m/>
    <n v="311.08999999999997"/>
    <m/>
    <m/>
    <m/>
    <m/>
    <m/>
    <m/>
    <m/>
    <m/>
    <m/>
    <m/>
    <m/>
    <m/>
    <m/>
    <m/>
    <m/>
    <m/>
    <m/>
    <m/>
    <s v="საბოლოო"/>
    <n v="0"/>
    <n v="0"/>
    <n v="0"/>
    <n v="0"/>
    <n v="0"/>
    <n v="0"/>
    <m/>
    <m/>
    <m/>
    <n v="6444.0135593220348"/>
    <n v="62711.86"/>
    <n v="1274.8499999999999"/>
    <m/>
    <m/>
    <s v="Реаб."/>
    <d v="2025-02-21T00:00:00"/>
    <s v="Принят"/>
    <s v="Сакорггаз"/>
    <d v="2024-01-10T00:00:00"/>
    <s v="BCG-240110-1/0(2)"/>
    <m/>
    <m/>
    <s v="Yes"/>
  </r>
  <r>
    <n v="2574"/>
    <s v="Имерети"/>
    <s v="Кутаиси"/>
    <s v="(2) მრიცხველების შეცვლა გამოტანა 8000  P.6.191 (8) (შალვა დადიანის ქ. #59 კორპ.)"/>
    <x v="4"/>
    <n v="67183.81"/>
    <m/>
    <n v="67183.81"/>
    <n v="67183.81"/>
    <n v="65333.120000000003"/>
    <n v="1850.6899999999951"/>
    <n v="1850.6899999999951"/>
    <n v="1572"/>
    <n v="1850.6899999999951"/>
    <s v="К"/>
    <m/>
    <s v="P.6.191 (8)"/>
    <n v="67183.81"/>
    <n v="10248.370000000001"/>
    <n v="65000"/>
    <m/>
    <n v="2183.81"/>
    <n v="9915.25"/>
    <m/>
    <n v="333.12"/>
    <m/>
    <m/>
    <m/>
    <m/>
    <m/>
    <m/>
    <m/>
    <m/>
    <m/>
    <m/>
    <m/>
    <m/>
    <m/>
    <m/>
    <m/>
    <m/>
    <m/>
    <m/>
    <s v="საბოლოო"/>
    <n v="0"/>
    <n v="0"/>
    <n v="0"/>
    <n v="0"/>
    <n v="0"/>
    <n v="0"/>
    <m/>
    <m/>
    <m/>
    <n v="5693.5432203389828"/>
    <n v="55084.75"/>
    <n v="1119.81"/>
    <m/>
    <m/>
    <s v="Реаб."/>
    <d v="2025-02-21T00:00:00"/>
    <s v="Принят"/>
    <s v="Сакорггаз"/>
    <d v="2024-01-10T00:00:00"/>
    <s v="BCG-240110-1/0(2)"/>
    <m/>
    <m/>
    <s v="Yes"/>
  </r>
  <r>
    <n v="2575"/>
    <s v="Имерети"/>
    <s v="Кутаиси"/>
    <s v="(2) მრიცხველების შეცვლა გამოტანა 8000  P.6.191 (8) (შალვა დადიანის ქ. #57 კორპ.)"/>
    <x v="4"/>
    <n v="66910.31"/>
    <m/>
    <n v="66910.31"/>
    <n v="66910.31"/>
    <n v="65291.4"/>
    <n v="1618.9099999999962"/>
    <n v="1618.9099999999962"/>
    <n v="1686"/>
    <n v="1618.9099999999962"/>
    <s v="К"/>
    <m/>
    <s v="P.6.191 (8)"/>
    <n v="66910.31"/>
    <n v="10206.65"/>
    <n v="65000"/>
    <m/>
    <n v="1910.31"/>
    <n v="9915.25"/>
    <m/>
    <n v="291.39999999999998"/>
    <m/>
    <m/>
    <m/>
    <m/>
    <m/>
    <m/>
    <m/>
    <m/>
    <m/>
    <m/>
    <m/>
    <m/>
    <m/>
    <m/>
    <m/>
    <m/>
    <m/>
    <m/>
    <s v="საბოლოო"/>
    <n v="0"/>
    <n v="0"/>
    <n v="0"/>
    <n v="0"/>
    <n v="0"/>
    <n v="0"/>
    <m/>
    <m/>
    <m/>
    <n v="5670.3652542372884"/>
    <n v="55084.75"/>
    <n v="1119.81"/>
    <m/>
    <m/>
    <s v="Реаб."/>
    <d v="2025-02-20T00:00:00"/>
    <s v="Принят"/>
    <s v="Сакорггаз"/>
    <d v="2024-01-10T00:00:00"/>
    <s v="BCG-240110-1/0(2)"/>
    <m/>
    <m/>
    <s v="Yes"/>
  </r>
  <r>
    <n v="2576"/>
    <s v="Имерети"/>
    <s v="Кутаиси"/>
    <s v="(2) მრიცხველების შეცვლა გამოტანა 8000  P.6.191 (8) (ფელიქს კაკაურიძის ქ. #9 კორპ.)"/>
    <x v="4"/>
    <n v="76803.37"/>
    <m/>
    <n v="76803.37"/>
    <n v="76803.37"/>
    <n v="75275.09"/>
    <n v="1528.2799999999988"/>
    <n v="1528.2799999999988"/>
    <n v="1785"/>
    <n v="1528.2799999999988"/>
    <s v="К"/>
    <m/>
    <s v="P.6.191 (8)"/>
    <n v="76803.37"/>
    <n v="11715.77"/>
    <n v="75000"/>
    <m/>
    <n v="1803.37"/>
    <n v="11440.68"/>
    <m/>
    <n v="275.08999999999997"/>
    <m/>
    <m/>
    <m/>
    <m/>
    <m/>
    <m/>
    <m/>
    <m/>
    <m/>
    <m/>
    <m/>
    <m/>
    <m/>
    <m/>
    <m/>
    <m/>
    <m/>
    <m/>
    <s v="საბოლოო"/>
    <n v="0"/>
    <n v="0"/>
    <n v="0"/>
    <n v="0"/>
    <n v="0"/>
    <n v="0"/>
    <m/>
    <m/>
    <m/>
    <n v="6508.7601694915256"/>
    <n v="63559.32"/>
    <n v="1292.08"/>
    <m/>
    <m/>
    <s v="Реаб."/>
    <d v="2025-02-20T00:00:00"/>
    <s v="Принят"/>
    <s v="Сакорггаз"/>
    <d v="2024-01-10T00:00:00"/>
    <s v="BCG-240110-1/0(2)"/>
    <m/>
    <m/>
    <s v="Yes"/>
  </r>
  <r>
    <n v="2577"/>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08)"/>
    <x v="6"/>
    <n v="0"/>
    <m/>
    <n v="41025"/>
    <m/>
    <n v="41000"/>
    <n v="-41000"/>
    <n v="25"/>
    <s v="Ok"/>
    <n v="-41000"/>
    <s v="К"/>
    <m/>
    <s v="P.2.401"/>
    <n v="41025"/>
    <n v="6254.24"/>
    <n v="41000"/>
    <m/>
    <m/>
    <n v="6254.24"/>
    <n v="25"/>
    <m/>
    <m/>
    <m/>
    <m/>
    <m/>
    <m/>
    <m/>
    <m/>
    <m/>
    <m/>
    <m/>
    <m/>
    <m/>
    <m/>
    <m/>
    <m/>
    <m/>
    <m/>
    <m/>
    <m/>
    <n v="0"/>
    <n v="0"/>
    <n v="0"/>
    <n v="0"/>
    <n v="0"/>
    <n v="0"/>
    <m/>
    <m/>
    <m/>
    <m/>
    <n v="34745.760000000002"/>
    <m/>
    <m/>
    <m/>
    <s v="Реаб."/>
    <m/>
    <n v="99"/>
    <s v="SGG"/>
    <d v="2024-01-17T00:00:00"/>
    <s v="BSG-240117-1/0(3)"/>
    <m/>
    <m/>
    <s v="No"/>
  </r>
  <r>
    <n v="2578"/>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97-3)"/>
    <x v="6"/>
    <n v="0"/>
    <m/>
    <n v="85025"/>
    <m/>
    <n v="51101.689999999995"/>
    <n v="-51101.689999999995"/>
    <n v="33923.310000000005"/>
    <s v="Ok"/>
    <n v="-51101.689999999995"/>
    <s v="К"/>
    <m/>
    <s v="P.2.401"/>
    <n v="85025"/>
    <n v="12966.099999999999"/>
    <n v="45000"/>
    <m/>
    <m/>
    <n v="6864.41"/>
    <n v="25"/>
    <m/>
    <n v="40000"/>
    <m/>
    <m/>
    <n v="6101.69"/>
    <m/>
    <m/>
    <m/>
    <m/>
    <m/>
    <m/>
    <m/>
    <m/>
    <m/>
    <m/>
    <m/>
    <m/>
    <m/>
    <m/>
    <m/>
    <n v="0"/>
    <n v="0"/>
    <n v="0"/>
    <n v="0"/>
    <n v="0"/>
    <n v="0"/>
    <m/>
    <m/>
    <m/>
    <m/>
    <n v="38135.589999999997"/>
    <m/>
    <m/>
    <m/>
    <s v="Реаб."/>
    <m/>
    <n v="99"/>
    <s v="SGG"/>
    <d v="2024-01-17T00:00:00"/>
    <s v="BSG-240117-1/0(3)"/>
    <m/>
    <m/>
    <s v="No"/>
  </r>
  <r>
    <n v="2579"/>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55)"/>
    <x v="6"/>
    <n v="0"/>
    <m/>
    <n v="10000"/>
    <m/>
    <n v="10000"/>
    <n v="-10000"/>
    <n v="0"/>
    <s v="Ok"/>
    <n v="-10000"/>
    <s v="К"/>
    <m/>
    <s v="P.2.401"/>
    <n v="10000"/>
    <n v="1525.42"/>
    <n v="10000"/>
    <m/>
    <m/>
    <n v="1525.42"/>
    <m/>
    <m/>
    <m/>
    <m/>
    <m/>
    <m/>
    <m/>
    <m/>
    <m/>
    <m/>
    <m/>
    <m/>
    <m/>
    <m/>
    <m/>
    <m/>
    <m/>
    <m/>
    <m/>
    <m/>
    <m/>
    <n v="0"/>
    <n v="0"/>
    <n v="0"/>
    <n v="0"/>
    <n v="0"/>
    <n v="0"/>
    <m/>
    <m/>
    <m/>
    <m/>
    <n v="8474.58"/>
    <m/>
    <m/>
    <m/>
    <s v="Реаб."/>
    <m/>
    <n v="50"/>
    <s v="SGG"/>
    <d v="2024-01-17T00:00:00"/>
    <s v="BSG-240117-1/0(3)"/>
    <m/>
    <m/>
    <s v="No"/>
  </r>
  <r>
    <n v="2580"/>
    <s v="Шида Картли"/>
    <s v="Гори"/>
    <s v="გორში, სუვოროვის 82-ში საშუალოდან დაბალ წნევაზე რედუცირების T-2 ტიპის კვანძი. (134) (P.3.723)"/>
    <x v="20"/>
    <n v="42700"/>
    <m/>
    <n v="42700"/>
    <m/>
    <n v="6513.56"/>
    <n v="36186.44"/>
    <n v="36186.44"/>
    <m/>
    <n v="36186.44"/>
    <n v="1"/>
    <m/>
    <s v="P.3.723"/>
    <n v="42700"/>
    <n v="6513.56"/>
    <n v="0"/>
    <m/>
    <n v="42700"/>
    <m/>
    <m/>
    <n v="6513.56"/>
    <m/>
    <m/>
    <m/>
    <m/>
    <m/>
    <m/>
    <m/>
    <m/>
    <m/>
    <m/>
    <m/>
    <m/>
    <m/>
    <m/>
    <m/>
    <m/>
    <m/>
    <m/>
    <m/>
    <n v="0"/>
    <n v="0"/>
    <n v="0"/>
    <n v="0"/>
    <n v="0"/>
    <n v="0"/>
    <m/>
    <m/>
    <n v="0"/>
    <n v="0"/>
    <m/>
    <m/>
    <m/>
    <m/>
    <s v="კვანძი (საინვესტ. გეგმით)"/>
    <d v="2025-02-03T00:00:00"/>
    <s v="Принят"/>
    <s v="Сакорггаз"/>
    <d v="2024-11-01T00:00:00"/>
    <s v="SOG-GRP-241101-1/0 (134)"/>
    <s v="P.3.723"/>
    <m/>
    <s v="Yes"/>
  </r>
  <r>
    <n v="2581"/>
    <s v="Шида Картли"/>
    <s v="Гори"/>
    <s v="გორში, ცხინვალის 21-ში საშუალოდან დაბალ წნევაზე რედუცირების T-1 ტიპის კვანძი. (135) (P.3.884)"/>
    <x v="20"/>
    <n v="27000"/>
    <m/>
    <n v="27000"/>
    <m/>
    <n v="4118.6400000000003"/>
    <n v="22881.360000000001"/>
    <n v="22881.360000000001"/>
    <m/>
    <n v="22881.360000000001"/>
    <n v="1"/>
    <m/>
    <s v="P.3.884"/>
    <n v="27000"/>
    <n v="4118.6400000000003"/>
    <n v="0"/>
    <m/>
    <n v="27000"/>
    <m/>
    <m/>
    <n v="4118.6400000000003"/>
    <m/>
    <m/>
    <m/>
    <m/>
    <m/>
    <m/>
    <m/>
    <m/>
    <m/>
    <m/>
    <m/>
    <m/>
    <m/>
    <m/>
    <m/>
    <m/>
    <m/>
    <m/>
    <m/>
    <n v="0"/>
    <n v="0"/>
    <n v="0"/>
    <n v="0"/>
    <n v="0"/>
    <n v="0"/>
    <m/>
    <m/>
    <n v="0"/>
    <n v="0"/>
    <m/>
    <m/>
    <m/>
    <m/>
    <s v="კვანძი (საინვესტ. გეგმით)"/>
    <d v="2025-02-03T00:00:00"/>
    <s v="Принят"/>
    <s v="Сакорггаз"/>
    <d v="2024-11-01T00:00:00"/>
    <s v="SOG-GRP-241101-1/0 (135)"/>
    <s v="P.3.884"/>
    <m/>
    <s v="Yes"/>
  </r>
  <r>
    <n v="2582"/>
    <s v="Аджара"/>
    <s v="Батуми"/>
    <s v="ქ. ბათუმი, ანგისის I ჩიხი, №6 (კორპუსი) შპს „ნევ ბათუმი“"/>
    <x v="20"/>
    <n v="6500"/>
    <m/>
    <n v="6500"/>
    <m/>
    <n v="991.52499999999998"/>
    <n v="5508.4750000000004"/>
    <n v="5508.4750000000004"/>
    <m/>
    <n v="5508.4750000000004"/>
    <n v="1"/>
    <m/>
    <s v="კვანძი T-10 (ახალ. აბონ. მიერთება)"/>
    <n v="6500"/>
    <n v="991.52499999999998"/>
    <m/>
    <m/>
    <n v="6500"/>
    <m/>
    <m/>
    <n v="991.52499999999998"/>
    <m/>
    <m/>
    <m/>
    <m/>
    <m/>
    <m/>
    <m/>
    <m/>
    <m/>
    <m/>
    <m/>
    <m/>
    <m/>
    <m/>
    <m/>
    <m/>
    <m/>
    <m/>
    <m/>
    <n v="0"/>
    <n v="0"/>
    <n v="0"/>
    <n v="0"/>
    <n v="0"/>
    <n v="0"/>
    <m/>
    <m/>
    <m/>
    <m/>
    <m/>
    <m/>
    <m/>
    <m/>
    <s v="კვანძი (ახალ. აბონ. მიერთება)"/>
    <d v="2025-02-03T00:00:00"/>
    <s v="Принят"/>
    <s v="SGG"/>
    <d v="2024-12-09T00:00:00"/>
    <s v="SGG-C-24-70"/>
    <m/>
    <m/>
    <s v="Yes"/>
  </r>
  <r>
    <n v="2583"/>
    <s v="Аджара"/>
    <s v="Кобулети"/>
    <s v="ქ. ქობულეთი, რუსთაველის ქ. №276 (კორპუსი) შპს „ნეო თაიმი“"/>
    <x v="20"/>
    <n v="8500"/>
    <m/>
    <n v="8500"/>
    <m/>
    <n v="1296.6099999999999"/>
    <n v="7203.39"/>
    <n v="7203.39"/>
    <m/>
    <n v="7203.39"/>
    <n v="1"/>
    <m/>
    <s v="კვანძი T-11 (ახალ. აბონ. მიერთება)"/>
    <n v="8500"/>
    <n v="1296.6099999999999"/>
    <m/>
    <m/>
    <n v="8500"/>
    <m/>
    <m/>
    <n v="1296.6099999999999"/>
    <m/>
    <m/>
    <m/>
    <m/>
    <m/>
    <m/>
    <m/>
    <m/>
    <m/>
    <m/>
    <m/>
    <m/>
    <m/>
    <m/>
    <m/>
    <m/>
    <m/>
    <m/>
    <m/>
    <n v="0"/>
    <n v="0"/>
    <n v="0"/>
    <n v="0"/>
    <n v="0"/>
    <n v="0"/>
    <m/>
    <m/>
    <m/>
    <m/>
    <m/>
    <m/>
    <m/>
    <m/>
    <s v="კვანძი (ახალ. აბონ. მიერთება)"/>
    <d v="2025-02-04T00:00:00"/>
    <s v="Принят"/>
    <s v="SGG"/>
    <d v="2024-12-09T00:00:00"/>
    <s v="SGG-C-24-70"/>
    <m/>
    <m/>
    <s v="Yes"/>
  </r>
  <r>
    <n v="2584"/>
    <s v="Тбилиси"/>
    <s v="Тбилиси"/>
    <s v="ქ. თბილისი, ვ. კუპრაძის 72, კორპუსი №19 („ხუალინგი“)"/>
    <x v="20"/>
    <n v="27000"/>
    <m/>
    <n v="27000"/>
    <m/>
    <n v="4118.6400000000003"/>
    <n v="22881.360000000001"/>
    <n v="22881.360000000001"/>
    <m/>
    <n v="22881.360000000001"/>
    <n v="1"/>
    <m/>
    <s v="კვანძი T-1 (ახალ. აბონ. მიერთება)"/>
    <n v="27000"/>
    <n v="4118.6400000000003"/>
    <m/>
    <m/>
    <n v="27000"/>
    <m/>
    <m/>
    <n v="4118.6400000000003"/>
    <m/>
    <m/>
    <m/>
    <m/>
    <m/>
    <m/>
    <m/>
    <m/>
    <m/>
    <m/>
    <m/>
    <m/>
    <m/>
    <m/>
    <m/>
    <m/>
    <m/>
    <m/>
    <m/>
    <n v="0"/>
    <n v="0"/>
    <n v="0"/>
    <n v="0"/>
    <n v="0"/>
    <n v="0"/>
    <m/>
    <m/>
    <m/>
    <m/>
    <m/>
    <m/>
    <m/>
    <m/>
    <s v="კვანძი (ახალ. აბონ. მიერთება)"/>
    <d v="2025-02-03T00:00:00"/>
    <s v="Принят"/>
    <s v="Сакорггаз"/>
    <d v="2024-12-09T00:00:00"/>
    <s v="CA-2024-3836"/>
    <m/>
    <m/>
    <s v="Yes"/>
  </r>
  <r>
    <n v="2585"/>
    <s v="Аджара"/>
    <s v="Батуми"/>
    <s v="ქ. ბათუმი, ვახტანგ გორგასლის ქ. №162 (კორპუსი) შპს „თერმო ჯგუფი“"/>
    <x v="20"/>
    <n v="8500"/>
    <m/>
    <n v="8500"/>
    <m/>
    <n v="1296.6099999999999"/>
    <n v="7203.39"/>
    <n v="7203.39"/>
    <m/>
    <n v="7203.39"/>
    <n v="1"/>
    <m/>
    <s v="კვანძი T-11 (ახალ. აბონ. მიერთება)"/>
    <n v="8500"/>
    <n v="1296.6099999999999"/>
    <m/>
    <m/>
    <n v="8500"/>
    <m/>
    <m/>
    <n v="1296.6099999999999"/>
    <m/>
    <m/>
    <m/>
    <m/>
    <m/>
    <m/>
    <m/>
    <m/>
    <m/>
    <m/>
    <m/>
    <m/>
    <m/>
    <m/>
    <m/>
    <m/>
    <m/>
    <m/>
    <m/>
    <n v="0"/>
    <n v="0"/>
    <n v="0"/>
    <n v="0"/>
    <n v="0"/>
    <n v="0"/>
    <m/>
    <m/>
    <m/>
    <m/>
    <m/>
    <m/>
    <m/>
    <m/>
    <s v="კვანძი (ახალ. აბონ. მიერთება)"/>
    <d v="2025-02-03T00:00:00"/>
    <s v="Принят"/>
    <s v="SGG"/>
    <d v="2024-12-09T00:00:00"/>
    <s v="SGG-C-24-70"/>
    <m/>
    <m/>
    <s v="Yes"/>
  </r>
  <r>
    <n v="2586"/>
    <s v="Аджара"/>
    <s v="Батуми"/>
    <s v="ქ. ბათუმი, 9 მარტი-პუშკინი №24-82 (კორპუსი) შპს „ფერმერთა სახლი“"/>
    <x v="20"/>
    <n v="6500"/>
    <m/>
    <n v="6500"/>
    <m/>
    <n v="991.52499999999998"/>
    <n v="5508.4750000000004"/>
    <n v="5508.4750000000004"/>
    <m/>
    <n v="5508.4750000000004"/>
    <n v="1"/>
    <m/>
    <s v="კვანძი T-10 (ახალ. აბონ. მიერთება)"/>
    <n v="6500"/>
    <n v="991.52499999999998"/>
    <m/>
    <m/>
    <n v="6500"/>
    <m/>
    <m/>
    <n v="991.52499999999998"/>
    <m/>
    <m/>
    <m/>
    <m/>
    <m/>
    <m/>
    <m/>
    <m/>
    <m/>
    <m/>
    <m/>
    <m/>
    <m/>
    <m/>
    <m/>
    <m/>
    <m/>
    <m/>
    <m/>
    <n v="0"/>
    <n v="0"/>
    <n v="0"/>
    <n v="0"/>
    <n v="0"/>
    <n v="0"/>
    <m/>
    <m/>
    <m/>
    <m/>
    <m/>
    <m/>
    <m/>
    <m/>
    <s v="კვანძი (ახალ. აბონ. მიერთება)"/>
    <d v="2025-02-03T00:00:00"/>
    <s v="Принят"/>
    <s v="SGG"/>
    <d v="2024-12-09T00:00:00"/>
    <s v="SGG-C-24-70"/>
    <m/>
    <m/>
    <s v="Yes"/>
  </r>
  <r>
    <n v="2587"/>
    <s v="Аджара"/>
    <s v="Батуми"/>
    <s v="ქ. ბათუმი, ბაგრატიონის ქ. №26 (კორპუსი) შპს „ბაგრატიონი 26“"/>
    <x v="20"/>
    <n v="8500"/>
    <m/>
    <n v="8500"/>
    <m/>
    <n v="1296.6099999999999"/>
    <n v="7203.39"/>
    <n v="7203.39"/>
    <m/>
    <n v="7203.39"/>
    <n v="1"/>
    <m/>
    <s v="კვანძი T-11 (ახალ. აბონ. მიერთება)"/>
    <n v="8500"/>
    <n v="1296.6099999999999"/>
    <m/>
    <m/>
    <n v="8500"/>
    <m/>
    <m/>
    <n v="1296.6099999999999"/>
    <m/>
    <m/>
    <m/>
    <m/>
    <m/>
    <m/>
    <m/>
    <m/>
    <m/>
    <m/>
    <m/>
    <m/>
    <m/>
    <m/>
    <m/>
    <m/>
    <m/>
    <m/>
    <m/>
    <n v="0"/>
    <n v="0"/>
    <n v="0"/>
    <n v="0"/>
    <n v="0"/>
    <n v="0"/>
    <m/>
    <m/>
    <m/>
    <m/>
    <m/>
    <m/>
    <m/>
    <m/>
    <s v="კვანძი (ახალ. აბონ. მიერთება)"/>
    <d v="2025-02-03T00:00:00"/>
    <s v="Принят"/>
    <s v="SGG"/>
    <d v="2024-12-09T00:00:00"/>
    <s v="SGG-C-24-70"/>
    <m/>
    <m/>
    <s v="Yes"/>
  </r>
  <r>
    <n v="2588"/>
    <s v="Аджара"/>
    <s v="Батуми"/>
    <s v="ქ. ბათუმი, ტბელ აბუსერიძის ქ. №21 (კორპუსი) შპს „ცენტრალ სითი“"/>
    <x v="20"/>
    <n v="27000"/>
    <m/>
    <n v="27000"/>
    <m/>
    <n v="4118.6400000000003"/>
    <n v="22881.360000000001"/>
    <n v="22881.360000000001"/>
    <m/>
    <n v="22881.360000000001"/>
    <n v="1"/>
    <m/>
    <s v="კვანძი T-1 (ახალ. აბონ. მიერთება)"/>
    <n v="27000"/>
    <n v="4118.6400000000003"/>
    <m/>
    <m/>
    <n v="27000"/>
    <m/>
    <m/>
    <n v="4118.6400000000003"/>
    <m/>
    <m/>
    <m/>
    <m/>
    <m/>
    <m/>
    <m/>
    <m/>
    <m/>
    <m/>
    <m/>
    <m/>
    <m/>
    <m/>
    <m/>
    <m/>
    <m/>
    <m/>
    <m/>
    <n v="0"/>
    <n v="0"/>
    <n v="0"/>
    <n v="0"/>
    <n v="0"/>
    <n v="0"/>
    <m/>
    <m/>
    <m/>
    <m/>
    <m/>
    <m/>
    <m/>
    <m/>
    <s v="კვანძი (ახალ. აბონ. მიერთება)"/>
    <d v="2025-02-03T00:00:00"/>
    <s v="Принят"/>
    <s v="SGG"/>
    <d v="2024-12-09T00:00:00"/>
    <s v="SGG-C-24-70"/>
    <m/>
    <m/>
    <s v="Yes"/>
  </r>
  <r>
    <n v="2589"/>
    <s v="Аджара"/>
    <s v="Батуми"/>
    <s v="ქ. ბათუმი, ანგისის III ჩიხი №4 (კორპუსი) გელა ქათამაძის განცხადება."/>
    <x v="20"/>
    <n v="8500"/>
    <m/>
    <n v="8500"/>
    <m/>
    <n v="1296.6099999999999"/>
    <n v="7203.39"/>
    <n v="7203.39"/>
    <m/>
    <n v="7203.39"/>
    <n v="1"/>
    <m/>
    <s v="კვანძი T-11 (ახალ. აბონ. მიერთება)"/>
    <n v="8500"/>
    <n v="1296.6099999999999"/>
    <m/>
    <m/>
    <n v="8500"/>
    <m/>
    <m/>
    <n v="1296.6099999999999"/>
    <m/>
    <m/>
    <m/>
    <m/>
    <m/>
    <m/>
    <m/>
    <m/>
    <m/>
    <m/>
    <m/>
    <m/>
    <m/>
    <m/>
    <m/>
    <m/>
    <m/>
    <m/>
    <m/>
    <n v="0"/>
    <n v="0"/>
    <n v="0"/>
    <n v="0"/>
    <n v="0"/>
    <n v="0"/>
    <m/>
    <m/>
    <m/>
    <m/>
    <m/>
    <m/>
    <m/>
    <m/>
    <s v="კვანძი (ახალ. აბონ. მიერთება)"/>
    <d v="2025-02-03T00:00:00"/>
    <s v="Принят"/>
    <s v="SGG"/>
    <d v="2024-12-09T00:00:00"/>
    <s v="SGG-C-24-70"/>
    <m/>
    <m/>
    <s v="Yes"/>
  </r>
  <r>
    <n v="2590"/>
    <s v="Тбилиси"/>
    <s v="Тбилиси"/>
    <s v="ქ. თბილისი, ვ. კუპრაძის 72, კორპუსი №16 („ხუალინგი“) (დადგა 2 ცალი T-10 ტიპის კვანძი)"/>
    <x v="20"/>
    <n v="13000"/>
    <m/>
    <n v="13000"/>
    <m/>
    <n v="1983.05"/>
    <n v="11016.95"/>
    <n v="11016.95"/>
    <m/>
    <n v="11016.95"/>
    <n v="1"/>
    <m/>
    <s v="კვანძი T-10 (ახალ. აბონ. მიერთება)"/>
    <n v="13000"/>
    <n v="1983.05"/>
    <m/>
    <m/>
    <n v="13000"/>
    <m/>
    <m/>
    <n v="1983.05"/>
    <m/>
    <m/>
    <m/>
    <m/>
    <m/>
    <m/>
    <m/>
    <m/>
    <m/>
    <m/>
    <m/>
    <m/>
    <m/>
    <m/>
    <m/>
    <m/>
    <m/>
    <m/>
    <m/>
    <n v="0"/>
    <n v="0"/>
    <n v="0"/>
    <n v="0"/>
    <n v="0"/>
    <n v="0"/>
    <m/>
    <m/>
    <m/>
    <m/>
    <m/>
    <m/>
    <m/>
    <m/>
    <s v="კვანძი (ახალ. აბონ. მიერთება)"/>
    <d v="2025-02-03T00:00:00"/>
    <s v="Принят"/>
    <s v="Сакорггаз"/>
    <d v="2024-12-09T00:00:00"/>
    <s v="CA-2024-3836"/>
    <m/>
    <m/>
    <s v="Yes"/>
  </r>
  <r>
    <n v="2591"/>
    <s v="Квемо Картли"/>
    <s v="Рустави"/>
    <s v="ქ. რუსთავი, ლომოურის ქუჩა №6 (კორპუსი) შპს „ეიმ რუსთავი“"/>
    <x v="20"/>
    <n v="8500"/>
    <m/>
    <n v="8500"/>
    <m/>
    <n v="1296.6099999999999"/>
    <n v="7203.39"/>
    <n v="7203.39"/>
    <m/>
    <n v="7203.39"/>
    <n v="1"/>
    <m/>
    <s v="კვანძი T-11 (ახალ. აბონ. მიერთება)"/>
    <n v="8500"/>
    <n v="1296.6099999999999"/>
    <m/>
    <m/>
    <n v="8500"/>
    <m/>
    <m/>
    <n v="1296.6099999999999"/>
    <m/>
    <m/>
    <m/>
    <m/>
    <m/>
    <m/>
    <m/>
    <m/>
    <m/>
    <m/>
    <m/>
    <m/>
    <m/>
    <m/>
    <m/>
    <m/>
    <m/>
    <m/>
    <m/>
    <n v="0"/>
    <n v="0"/>
    <n v="0"/>
    <n v="0"/>
    <n v="0"/>
    <n v="0"/>
    <m/>
    <m/>
    <m/>
    <m/>
    <m/>
    <m/>
    <m/>
    <m/>
    <s v="კვანძი (ახალ. აბონ. მიერთება)"/>
    <d v="2025-02-18T00:00:00"/>
    <s v="Принят"/>
    <s v="Сакорггаз"/>
    <d v="2024-12-09T00:00:00"/>
    <s v="CA-2024-3836"/>
    <m/>
    <m/>
    <s v="Yes"/>
  </r>
  <r>
    <n v="2592"/>
    <s v="Квемо Картли"/>
    <s v="Рустави"/>
    <s v="ქ. რუსთავი, შარტავას გამზირი №3 (კორპუსი) შპს „რუსთავი დეველოპმენტი“"/>
    <x v="20"/>
    <n v="8500"/>
    <m/>
    <n v="8500"/>
    <m/>
    <n v="1296.6099999999999"/>
    <n v="7203.39"/>
    <n v="7203.39"/>
    <m/>
    <n v="7203.39"/>
    <n v="1"/>
    <m/>
    <s v="კვანძი T-11 (ახალ. აბონ. მიერთება)"/>
    <n v="8500"/>
    <n v="1296.6099999999999"/>
    <m/>
    <m/>
    <n v="8500"/>
    <m/>
    <m/>
    <n v="1296.6099999999999"/>
    <m/>
    <m/>
    <m/>
    <m/>
    <m/>
    <m/>
    <m/>
    <m/>
    <m/>
    <m/>
    <m/>
    <m/>
    <m/>
    <m/>
    <m/>
    <m/>
    <m/>
    <m/>
    <m/>
    <n v="0"/>
    <n v="0"/>
    <n v="0"/>
    <n v="0"/>
    <n v="0"/>
    <n v="0"/>
    <m/>
    <m/>
    <m/>
    <m/>
    <m/>
    <m/>
    <m/>
    <m/>
    <s v="კვანძი (ახალ. აბონ. მიერთება)"/>
    <d v="2025-02-18T00:00:00"/>
    <s v="Принят"/>
    <s v="Сакорггаз"/>
    <d v="2024-12-09T00:00:00"/>
    <s v="CA-2024-3836"/>
    <m/>
    <m/>
    <s v="Yes"/>
  </r>
  <r>
    <n v="2593"/>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07)"/>
    <x v="6"/>
    <n v="0"/>
    <m/>
    <n v="40000"/>
    <m/>
    <n v="6101.69"/>
    <n v="-6101.69"/>
    <n v="33898.31"/>
    <m/>
    <n v="-6101.69"/>
    <s v="К"/>
    <m/>
    <s v="P.2.401"/>
    <n v="40000"/>
    <n v="6101.69"/>
    <m/>
    <m/>
    <n v="40000"/>
    <m/>
    <m/>
    <n v="6101.69"/>
    <m/>
    <m/>
    <m/>
    <m/>
    <m/>
    <m/>
    <m/>
    <m/>
    <m/>
    <m/>
    <m/>
    <m/>
    <m/>
    <m/>
    <m/>
    <m/>
    <m/>
    <m/>
    <m/>
    <n v="0"/>
    <n v="0"/>
    <n v="0"/>
    <n v="0"/>
    <n v="0"/>
    <n v="0"/>
    <m/>
    <m/>
    <m/>
    <m/>
    <m/>
    <m/>
    <m/>
    <m/>
    <s v="Реаб."/>
    <m/>
    <n v="50"/>
    <s v="SGG"/>
    <d v="2024-01-17T00:00:00"/>
    <s v="BSG-240117-1/0(3)"/>
    <m/>
    <m/>
    <s v="No"/>
  </r>
  <r>
    <n v="2594"/>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09)"/>
    <x v="6"/>
    <n v="0"/>
    <m/>
    <n v="40025"/>
    <m/>
    <n v="6101.69"/>
    <n v="-6101.69"/>
    <n v="33923.31"/>
    <m/>
    <n v="-6101.69"/>
    <s v="К"/>
    <m/>
    <s v="P.2.401"/>
    <n v="40025"/>
    <n v="6101.69"/>
    <m/>
    <m/>
    <n v="40000"/>
    <m/>
    <n v="25"/>
    <n v="6101.69"/>
    <m/>
    <m/>
    <m/>
    <m/>
    <m/>
    <m/>
    <m/>
    <m/>
    <m/>
    <m/>
    <m/>
    <m/>
    <m/>
    <m/>
    <m/>
    <m/>
    <m/>
    <m/>
    <m/>
    <n v="0"/>
    <n v="0"/>
    <n v="0"/>
    <n v="0"/>
    <n v="0"/>
    <n v="0"/>
    <m/>
    <m/>
    <m/>
    <m/>
    <m/>
    <m/>
    <m/>
    <m/>
    <s v="Реаб."/>
    <m/>
    <n v="50"/>
    <s v="SGG"/>
    <d v="2024-01-17T00:00:00"/>
    <s v="BSG-240117-1/0(3)"/>
    <m/>
    <m/>
    <s v="No"/>
  </r>
  <r>
    <n v="2595"/>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95/102)"/>
    <x v="6"/>
    <n v="0"/>
    <m/>
    <n v="60000"/>
    <m/>
    <n v="9152.5400000000009"/>
    <n v="-9152.5400000000009"/>
    <n v="50847.46"/>
    <m/>
    <n v="-9152.5400000000009"/>
    <s v="К"/>
    <m/>
    <s v="P.2.401"/>
    <n v="60000"/>
    <n v="9152.5400000000009"/>
    <m/>
    <m/>
    <n v="60000"/>
    <m/>
    <m/>
    <n v="9152.5400000000009"/>
    <m/>
    <m/>
    <m/>
    <m/>
    <m/>
    <m/>
    <m/>
    <m/>
    <m/>
    <m/>
    <m/>
    <m/>
    <m/>
    <m/>
    <m/>
    <m/>
    <m/>
    <m/>
    <m/>
    <n v="0"/>
    <n v="0"/>
    <n v="0"/>
    <n v="0"/>
    <n v="0"/>
    <n v="0"/>
    <m/>
    <m/>
    <m/>
    <m/>
    <m/>
    <m/>
    <m/>
    <m/>
    <s v="Реаб."/>
    <m/>
    <n v="50"/>
    <s v="SGG"/>
    <d v="2024-01-17T00:00:00"/>
    <s v="BSG-240117-1/0(3)"/>
    <m/>
    <m/>
    <s v="No"/>
  </r>
  <r>
    <n v="2596"/>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26/1)"/>
    <x v="6"/>
    <n v="0"/>
    <m/>
    <n v="91650"/>
    <m/>
    <n v="13980.5"/>
    <n v="-13980.5"/>
    <n v="77669.5"/>
    <m/>
    <n v="-13980.5"/>
    <s v="К"/>
    <m/>
    <s v="P.2.401"/>
    <n v="91650"/>
    <n v="13980.5"/>
    <m/>
    <m/>
    <n v="50000"/>
    <m/>
    <n v="1650"/>
    <n v="7627.12"/>
    <n v="40000"/>
    <n v="251.69"/>
    <m/>
    <n v="6101.69"/>
    <m/>
    <m/>
    <m/>
    <m/>
    <m/>
    <m/>
    <m/>
    <m/>
    <m/>
    <m/>
    <m/>
    <m/>
    <m/>
    <m/>
    <m/>
    <n v="0"/>
    <n v="0"/>
    <n v="0"/>
    <n v="0"/>
    <n v="0"/>
    <n v="0"/>
    <m/>
    <m/>
    <m/>
    <m/>
    <m/>
    <m/>
    <m/>
    <m/>
    <s v="Реаб."/>
    <m/>
    <n v="50"/>
    <s v="SGG"/>
    <d v="2024-01-17T00:00:00"/>
    <s v="BSG-240117-1/0(3)"/>
    <m/>
    <m/>
    <s v="No"/>
  </r>
  <r>
    <n v="2597"/>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126/2)"/>
    <x v="6"/>
    <n v="0"/>
    <m/>
    <n v="88000"/>
    <m/>
    <n v="12966.099999999999"/>
    <n v="-12966.099999999999"/>
    <n v="75033.899999999994"/>
    <m/>
    <n v="-12966.099999999999"/>
    <s v="К"/>
    <m/>
    <s v="P.2.401"/>
    <n v="88000"/>
    <n v="12966.099999999999"/>
    <m/>
    <m/>
    <n v="45000"/>
    <m/>
    <m/>
    <n v="6864.41"/>
    <n v="40000"/>
    <m/>
    <n v="3000"/>
    <n v="6101.69"/>
    <m/>
    <m/>
    <m/>
    <m/>
    <m/>
    <m/>
    <m/>
    <m/>
    <m/>
    <m/>
    <m/>
    <m/>
    <m/>
    <m/>
    <m/>
    <n v="0"/>
    <n v="0"/>
    <n v="0"/>
    <n v="0"/>
    <n v="0"/>
    <n v="0"/>
    <m/>
    <m/>
    <m/>
    <m/>
    <m/>
    <m/>
    <m/>
    <m/>
    <s v="Реаб."/>
    <m/>
    <n v="70"/>
    <s v="SGG"/>
    <d v="2024-01-17T00:00:00"/>
    <s v="BSG-240117-1/0(3)"/>
    <m/>
    <m/>
    <s v="No"/>
  </r>
  <r>
    <n v="2598"/>
    <s v="Аджара"/>
    <s v="Батуми"/>
    <s v="ქ. ბათუმი, რურუას ქ. №10 (კორპუსი) შპს „ელთ ბილდინგი“"/>
    <x v="20"/>
    <n v="8500"/>
    <m/>
    <n v="8500"/>
    <m/>
    <n v="1296.6099999999999"/>
    <n v="7203.39"/>
    <n v="7203.39"/>
    <n v="0"/>
    <n v="7203.39"/>
    <n v="1"/>
    <m/>
    <s v="კვანძი T-11 (ახალ. აბონ. მიერთება)"/>
    <n v="8500"/>
    <n v="1296.6099999999999"/>
    <m/>
    <m/>
    <n v="8500"/>
    <m/>
    <m/>
    <n v="1296.6099999999999"/>
    <m/>
    <m/>
    <m/>
    <m/>
    <m/>
    <m/>
    <m/>
    <m/>
    <m/>
    <m/>
    <m/>
    <m/>
    <m/>
    <m/>
    <m/>
    <m/>
    <m/>
    <m/>
    <m/>
    <n v="0"/>
    <n v="0"/>
    <n v="0"/>
    <n v="0"/>
    <n v="0"/>
    <n v="0"/>
    <m/>
    <m/>
    <m/>
    <m/>
    <m/>
    <m/>
    <m/>
    <m/>
    <s v="კვანძი (ახალ. აბონ. მიერთება)"/>
    <d v="2025-02-28T00:00:00"/>
    <s v="Принят"/>
    <s v="SGG"/>
    <d v="2024-12-09T00:00:00"/>
    <s v="SGG-C-24-70"/>
    <m/>
    <m/>
    <s v="Yes"/>
  </r>
  <r>
    <n v="2599"/>
    <s v="Аджара"/>
    <s v="Батуми"/>
    <s v="ქ. ბათუმი, გიორგი ბრწყინვალეს ქ. №126 (კორპუსი) შპს „როიალ პალასი“"/>
    <x v="20"/>
    <n v="6500"/>
    <m/>
    <n v="6500"/>
    <m/>
    <n v="991.52499999999998"/>
    <n v="5508.4750000000004"/>
    <n v="5508.4750000000004"/>
    <n v="0"/>
    <n v="5508.4750000000004"/>
    <n v="1"/>
    <m/>
    <s v="კვანძი T-10 (ახალ. აბონ. მიერთება)"/>
    <n v="6500"/>
    <n v="991.52499999999998"/>
    <m/>
    <m/>
    <n v="6500"/>
    <m/>
    <m/>
    <n v="991.52499999999998"/>
    <m/>
    <m/>
    <m/>
    <m/>
    <m/>
    <m/>
    <m/>
    <m/>
    <m/>
    <m/>
    <m/>
    <m/>
    <m/>
    <m/>
    <m/>
    <m/>
    <m/>
    <m/>
    <m/>
    <n v="0"/>
    <n v="0"/>
    <n v="0"/>
    <n v="0"/>
    <n v="0"/>
    <n v="0"/>
    <m/>
    <m/>
    <m/>
    <m/>
    <m/>
    <m/>
    <m/>
    <m/>
    <s v="კვანძი (ახალ. აბონ. მიერთება)"/>
    <d v="2025-02-28T00:00:00"/>
    <s v="Принят"/>
    <s v="SGG"/>
    <d v="2024-12-09T00:00:00"/>
    <s v="SGG-C-24-70"/>
    <m/>
    <m/>
    <s v="Yes"/>
  </r>
  <r>
    <n v="2600"/>
    <s v="Аджара"/>
    <s v="Батуми"/>
    <s v="ქ. ბათუმი, გრიგოლ ვოლსკის ქ. №88 შენობა-2 (კორპუსი) შპს „ფრიენდ გრუპი“"/>
    <x v="20"/>
    <n v="8500"/>
    <m/>
    <n v="8500"/>
    <m/>
    <n v="1296.6099999999999"/>
    <n v="7203.39"/>
    <n v="7203.39"/>
    <n v="0"/>
    <n v="7203.39"/>
    <n v="1"/>
    <m/>
    <s v="კვანძი T-11 (ახალ. აბონ. მიერთება)"/>
    <n v="8500"/>
    <n v="1296.6099999999999"/>
    <m/>
    <m/>
    <n v="8500"/>
    <m/>
    <m/>
    <n v="1296.6099999999999"/>
    <m/>
    <m/>
    <m/>
    <m/>
    <m/>
    <m/>
    <m/>
    <m/>
    <m/>
    <m/>
    <m/>
    <m/>
    <m/>
    <m/>
    <m/>
    <m/>
    <m/>
    <m/>
    <m/>
    <n v="0"/>
    <n v="0"/>
    <n v="0"/>
    <n v="0"/>
    <n v="0"/>
    <n v="0"/>
    <m/>
    <m/>
    <m/>
    <m/>
    <m/>
    <m/>
    <m/>
    <m/>
    <s v="კვანძი (ახალ. აბონ. მიერთება)"/>
    <d v="2025-02-28T00:00:00"/>
    <s v="Принят"/>
    <s v="SGG"/>
    <d v="2024-12-09T00:00:00"/>
    <s v="SGG-C-24-70"/>
    <m/>
    <m/>
    <s v="Yes"/>
  </r>
  <r>
    <n v="2601"/>
    <s v="Квемо Картли"/>
    <s v="Рустави"/>
    <s v="(1) გამოსატანი მრიცხველების გამოტანა (P.2.647) (თოდრიას ქ. I ჩიხი № 7 კორპ)"/>
    <x v="7"/>
    <n v="0"/>
    <m/>
    <n v="27000"/>
    <m/>
    <n v="4118.6400000000003"/>
    <n v="-4118.6400000000003"/>
    <n v="22881.360000000001"/>
    <m/>
    <n v="-4118.6400000000003"/>
    <s v="К"/>
    <m/>
    <s v="P.2.647"/>
    <n v="27000"/>
    <n v="4118.6400000000003"/>
    <m/>
    <m/>
    <n v="27000"/>
    <m/>
    <m/>
    <n v="4118.6400000000003"/>
    <m/>
    <m/>
    <m/>
    <m/>
    <m/>
    <m/>
    <m/>
    <m/>
    <m/>
    <m/>
    <m/>
    <m/>
    <m/>
    <m/>
    <m/>
    <m/>
    <m/>
    <m/>
    <m/>
    <n v="0"/>
    <n v="0"/>
    <n v="0"/>
    <n v="0"/>
    <n v="0"/>
    <n v="0"/>
    <m/>
    <m/>
    <m/>
    <m/>
    <m/>
    <m/>
    <m/>
    <m/>
    <s v="Реаб."/>
    <m/>
    <n v="45"/>
    <s v="Сакорггаз"/>
    <d v="2024-01-12T00:00:00"/>
    <s v="BCG-240112-1/0(1)"/>
    <m/>
    <m/>
    <s v="Yes"/>
  </r>
  <r>
    <n v="2602"/>
    <s v="Квемо Картли"/>
    <s v="Рустави"/>
    <s v="ქ. რუსთავი თბილისის ქუჩა, საუბნო №17 საშუალოდან დაბალ წნევაზე რედუცირების T-2 ტიპის კვანძი. (107) (P.2.570)"/>
    <x v="20"/>
    <n v="42700"/>
    <m/>
    <n v="42700"/>
    <m/>
    <n v="6513.56"/>
    <n v="36186.44"/>
    <n v="36186.44"/>
    <n v="0"/>
    <n v="36186.44"/>
    <n v="1"/>
    <m/>
    <s v="P.2.570"/>
    <n v="42700"/>
    <n v="6513.56"/>
    <m/>
    <m/>
    <n v="42700"/>
    <m/>
    <m/>
    <n v="6513.56"/>
    <m/>
    <m/>
    <m/>
    <m/>
    <m/>
    <m/>
    <m/>
    <m/>
    <m/>
    <m/>
    <m/>
    <m/>
    <m/>
    <m/>
    <m/>
    <m/>
    <m/>
    <m/>
    <m/>
    <n v="0"/>
    <n v="0"/>
    <n v="0"/>
    <n v="0"/>
    <n v="0"/>
    <n v="0"/>
    <m/>
    <m/>
    <m/>
    <m/>
    <m/>
    <m/>
    <m/>
    <m/>
    <s v="კვანძი (საინვესტ. გეგმით)"/>
    <d v="2025-02-28T00:00:00"/>
    <s v="Принят"/>
    <s v="Сакорггаз"/>
    <d v="2024-11-01T00:00:00"/>
    <s v="SOG-GRP-241101-1/0 (107)"/>
    <m/>
    <m/>
    <s v="Yes"/>
  </r>
  <r>
    <n v="2603"/>
    <s v="Квемо Картли"/>
    <s v="Рустави"/>
    <s v="ქ. რუსთავი (ახალი სამგორი, რუსების უბანი საუბნო №47) საშუალოდან დაბალ წნევაზე რედუცირების T-2 ტიპის კვანძი. (123) (P.2.682)"/>
    <x v="20"/>
    <n v="42700"/>
    <m/>
    <n v="42700"/>
    <m/>
    <n v="6513.56"/>
    <n v="36186.44"/>
    <n v="36186.44"/>
    <n v="0"/>
    <n v="36186.44"/>
    <n v="1"/>
    <m/>
    <s v="P.2.682"/>
    <n v="42700"/>
    <n v="6513.56"/>
    <m/>
    <m/>
    <n v="42700"/>
    <m/>
    <m/>
    <n v="6513.56"/>
    <m/>
    <m/>
    <m/>
    <m/>
    <m/>
    <m/>
    <m/>
    <m/>
    <m/>
    <m/>
    <m/>
    <m/>
    <m/>
    <m/>
    <m/>
    <m/>
    <m/>
    <m/>
    <m/>
    <n v="0"/>
    <n v="0"/>
    <n v="0"/>
    <n v="0"/>
    <n v="0"/>
    <n v="0"/>
    <m/>
    <m/>
    <m/>
    <m/>
    <m/>
    <m/>
    <m/>
    <m/>
    <s v="კვანძი (საინვესტ. გეგმით)"/>
    <d v="2025-02-28T00:00:00"/>
    <s v="Принят"/>
    <s v="Сакорггаз"/>
    <d v="2024-11-01T00:00:00"/>
    <s v="SOG-GRP-241101-1/0 (123)"/>
    <m/>
    <m/>
    <s v="Yes"/>
  </r>
  <r>
    <n v="2604"/>
    <s v="Квемо Картли"/>
    <s v="Рустави"/>
    <s v="ქ. რუსთავი დუმბაძის ქუჩა საუბნო №4 საშუალოდან დაბალ წნევაზე რედუცირების T-2 ტიპის კვანძი. (127) (P.2.694)"/>
    <x v="20"/>
    <n v="42700"/>
    <m/>
    <n v="42700"/>
    <m/>
    <n v="6513.56"/>
    <n v="36186.44"/>
    <n v="36186.44"/>
    <n v="0"/>
    <n v="36186.44"/>
    <n v="1"/>
    <m/>
    <s v="P.2.694"/>
    <n v="42700"/>
    <n v="6513.56"/>
    <m/>
    <m/>
    <n v="42700"/>
    <m/>
    <m/>
    <n v="6513.56"/>
    <m/>
    <m/>
    <m/>
    <m/>
    <m/>
    <m/>
    <m/>
    <m/>
    <m/>
    <m/>
    <m/>
    <m/>
    <m/>
    <m/>
    <m/>
    <m/>
    <m/>
    <m/>
    <m/>
    <n v="0"/>
    <n v="0"/>
    <n v="0"/>
    <n v="0"/>
    <n v="0"/>
    <n v="0"/>
    <m/>
    <m/>
    <m/>
    <m/>
    <m/>
    <m/>
    <m/>
    <m/>
    <s v="კვანძი (საინვესტ. გეგმით)"/>
    <d v="2025-02-28T00:00:00"/>
    <s v="Принят"/>
    <s v="Сакорггаз"/>
    <d v="2024-11-01T00:00:00"/>
    <s v="SOG-GRP-241101-1/0 (127)"/>
    <m/>
    <m/>
    <s v="Yes"/>
  </r>
  <r>
    <n v="2605"/>
    <s v="Квемо Картли"/>
    <s v="Рустави"/>
    <s v="(2) გამოსატანი მრიცხველების გამოტანა (P.2.618) (მე-17-ე მკრ. № 28 კორპ)"/>
    <x v="7"/>
    <n v="0"/>
    <m/>
    <n v="35174.49"/>
    <m/>
    <n v="24857.129999999997"/>
    <n v="-24857.129999999997"/>
    <n v="10317.36"/>
    <n v="746"/>
    <n v="10317.36"/>
    <s v="К"/>
    <m/>
    <s v="P.2.618"/>
    <n v="35174.49"/>
    <n v="5365.6"/>
    <m/>
    <m/>
    <m/>
    <m/>
    <n v="23000"/>
    <m/>
    <n v="12174.49"/>
    <n v="3508.47"/>
    <m/>
    <n v="1857.13"/>
    <m/>
    <m/>
    <m/>
    <m/>
    <m/>
    <m/>
    <m/>
    <m/>
    <m/>
    <m/>
    <m/>
    <m/>
    <m/>
    <m/>
    <m/>
    <n v="0"/>
    <n v="0"/>
    <n v="0"/>
    <n v="0"/>
    <n v="0"/>
    <n v="0"/>
    <m/>
    <m/>
    <m/>
    <m/>
    <n v="19491.53"/>
    <n v="2905.31"/>
    <m/>
    <m/>
    <s v="Реаб."/>
    <d v="2025-04-23T00:00:00"/>
    <s v="Принят"/>
    <s v="Сакорггаз"/>
    <d v="2024-01-12T00:00:00"/>
    <s v="BCG-240112-1/0(2)"/>
    <m/>
    <m/>
    <s v="Yes"/>
  </r>
  <r>
    <n v="2606"/>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კორპუსი №63/66) (P.2.401)"/>
    <x v="6"/>
    <n v="0"/>
    <m/>
    <n v="53000"/>
    <m/>
    <n v="8084.75"/>
    <n v="-8084.75"/>
    <n v="44915.25"/>
    <m/>
    <n v="-8084.75"/>
    <s v="К"/>
    <m/>
    <s v="P.2.401"/>
    <n v="53000"/>
    <n v="8084.75"/>
    <m/>
    <m/>
    <m/>
    <m/>
    <n v="50000"/>
    <m/>
    <n v="3000"/>
    <n v="7627.12"/>
    <m/>
    <n v="457.63"/>
    <m/>
    <m/>
    <m/>
    <m/>
    <m/>
    <m/>
    <m/>
    <m/>
    <m/>
    <m/>
    <m/>
    <m/>
    <m/>
    <m/>
    <m/>
    <n v="0"/>
    <n v="0"/>
    <n v="0"/>
    <n v="0"/>
    <n v="0"/>
    <n v="0"/>
    <m/>
    <m/>
    <m/>
    <m/>
    <m/>
    <m/>
    <m/>
    <m/>
    <s v="Реаб."/>
    <m/>
    <n v="50"/>
    <s v="SGG"/>
    <d v="2024-01-17T00:00:00"/>
    <s v="BSG-240117-1/0(3)"/>
    <m/>
    <m/>
    <s v="No"/>
  </r>
  <r>
    <n v="2607"/>
    <s v="Мцхета-Мтианети"/>
    <s v="Мцхета"/>
    <s v="წეროვნის ინსტიტუტის დასახლება არსებული, ამორტიზირებული გაზსადენის კერძო საკუთრებიდან გამოტანა (I ჩიხში) (T-10) P.3.161"/>
    <x v="20"/>
    <n v="6500"/>
    <m/>
    <n v="6500"/>
    <m/>
    <n v="991.53"/>
    <n v="5508.47"/>
    <n v="5508.47"/>
    <n v="0"/>
    <n v="5508.47"/>
    <n v="1"/>
    <m/>
    <s v="P.3.161"/>
    <n v="6500"/>
    <n v="991.53"/>
    <m/>
    <m/>
    <m/>
    <m/>
    <n v="6500"/>
    <m/>
    <m/>
    <n v="991.53"/>
    <m/>
    <m/>
    <m/>
    <m/>
    <m/>
    <m/>
    <m/>
    <m/>
    <m/>
    <m/>
    <m/>
    <m/>
    <m/>
    <m/>
    <m/>
    <m/>
    <m/>
    <n v="0"/>
    <n v="0"/>
    <n v="0"/>
    <n v="0"/>
    <n v="0"/>
    <n v="0"/>
    <m/>
    <m/>
    <m/>
    <m/>
    <m/>
    <m/>
    <m/>
    <m/>
    <s v="კვანძი (საინვესტ. გეგმით)"/>
    <d v="2025-03-10T00:00:00"/>
    <s v="Принят"/>
    <s v="SGG"/>
    <d v="2024-11-01T00:00:00"/>
    <s v="SGG-GRP-241101-1/0 (40)"/>
    <m/>
    <m/>
    <s v="Yes"/>
  </r>
  <r>
    <n v="2608"/>
    <s v="Мцхета-Мтианети"/>
    <s v="Мцхета"/>
    <s v="წეროვნის ინსტიტუტის დასახლება არსებული, ამორტიზირებული გაზსადენის კერძო საკუთრებიდან გამოტანა (II ჩიხში) (T-11) P.3.161"/>
    <x v="20"/>
    <n v="8500"/>
    <m/>
    <n v="8500"/>
    <m/>
    <n v="1296.6099999999999"/>
    <n v="7203.39"/>
    <n v="7203.39"/>
    <n v="0"/>
    <n v="7203.39"/>
    <n v="1"/>
    <m/>
    <s v="P.3.161"/>
    <n v="8500"/>
    <n v="1296.6099999999999"/>
    <m/>
    <m/>
    <m/>
    <m/>
    <n v="8500"/>
    <m/>
    <m/>
    <n v="1296.6099999999999"/>
    <m/>
    <m/>
    <m/>
    <m/>
    <m/>
    <m/>
    <m/>
    <m/>
    <m/>
    <m/>
    <m/>
    <m/>
    <m/>
    <m/>
    <m/>
    <m/>
    <m/>
    <n v="0"/>
    <n v="0"/>
    <n v="0"/>
    <n v="0"/>
    <n v="0"/>
    <n v="0"/>
    <m/>
    <m/>
    <m/>
    <m/>
    <m/>
    <m/>
    <m/>
    <m/>
    <s v="კვანძი (საინვესტ. გეგმით)"/>
    <d v="2025-03-10T00:00:00"/>
    <s v="Принят"/>
    <s v="SGG"/>
    <d v="2024-11-01T00:00:00"/>
    <s v="SGG-GRP-241101-1/0 (40)"/>
    <m/>
    <m/>
    <s v="Yes"/>
  </r>
  <r>
    <n v="2609"/>
    <s v="Мцхета-Мтианети"/>
    <s v="Мцхета"/>
    <s v="წეროვნის ინსტიტუტის დასახლება არსებული, ამორტიზირებული გაზსადენის კერძო საკუთრებიდან გამოტანა (III ჩიხში) (T-11) P.3.161"/>
    <x v="20"/>
    <n v="8500"/>
    <m/>
    <n v="8500"/>
    <m/>
    <n v="1296.6099999999999"/>
    <n v="7203.39"/>
    <n v="7203.39"/>
    <n v="0"/>
    <n v="7203.39"/>
    <n v="1"/>
    <m/>
    <s v="P.3.161"/>
    <n v="8500"/>
    <n v="1296.6099999999999"/>
    <m/>
    <m/>
    <m/>
    <m/>
    <n v="8500"/>
    <m/>
    <m/>
    <n v="1296.6099999999999"/>
    <m/>
    <m/>
    <m/>
    <m/>
    <m/>
    <m/>
    <m/>
    <m/>
    <m/>
    <m/>
    <m/>
    <m/>
    <m/>
    <m/>
    <m/>
    <m/>
    <m/>
    <n v="0"/>
    <n v="0"/>
    <n v="0"/>
    <n v="0"/>
    <n v="0"/>
    <n v="0"/>
    <m/>
    <m/>
    <m/>
    <m/>
    <m/>
    <m/>
    <m/>
    <m/>
    <s v="კვანძი (საინვესტ. გეგმით)"/>
    <d v="2025-03-10T00:00:00"/>
    <s v="Принят"/>
    <s v="SGG"/>
    <d v="2024-11-01T00:00:00"/>
    <s v="SGG-GRP-241101-1/0 (40)"/>
    <m/>
    <m/>
    <s v="Yes"/>
  </r>
  <r>
    <n v="2610"/>
    <s v="Аджара"/>
    <s v="Батуми"/>
    <s v="ქ. ბათუმი, გენერალ ასლან აბაშიძის ქ. №25 (კორპუსის მიერთება) ამხანაგობა „მზია შევარდნაძე“ (T-11)"/>
    <x v="20"/>
    <n v="8500"/>
    <m/>
    <n v="8500"/>
    <m/>
    <n v="1296.6099999999999"/>
    <n v="7203.39"/>
    <n v="7203.39"/>
    <n v="0"/>
    <n v="7203.39"/>
    <n v="1"/>
    <m/>
    <s v="კვანძი T-11 (ახალ. აბონ. მიერთება)"/>
    <n v="8500"/>
    <n v="1296.6099999999999"/>
    <m/>
    <m/>
    <m/>
    <m/>
    <n v="8500"/>
    <m/>
    <m/>
    <n v="1296.6099999999999"/>
    <m/>
    <m/>
    <m/>
    <m/>
    <m/>
    <m/>
    <m/>
    <m/>
    <m/>
    <m/>
    <m/>
    <m/>
    <m/>
    <m/>
    <m/>
    <m/>
    <m/>
    <n v="0"/>
    <n v="0"/>
    <n v="0"/>
    <n v="0"/>
    <n v="0"/>
    <n v="0"/>
    <m/>
    <m/>
    <m/>
    <m/>
    <m/>
    <m/>
    <m/>
    <m/>
    <s v="კვანძი (ახალ. აბონ. მიერთება)"/>
    <d v="2025-03-28T00:00:00"/>
    <s v="Принят"/>
    <s v="SGG"/>
    <d v="2024-12-09T00:00:00"/>
    <s v="SGG-C-24-70"/>
    <m/>
    <m/>
    <s v="Yes"/>
  </r>
  <r>
    <n v="2611"/>
    <s v="Аджара"/>
    <s v="Батуми"/>
    <s v="ქ. ბათუმი, ზღვისპირის ქ. №1 ბლოკი „ა“ (კორპუსის მიერთება) შპს „ბათთაუერი“ (T-12)"/>
    <x v="20"/>
    <n v="22500"/>
    <m/>
    <n v="22500"/>
    <m/>
    <n v="3432.2"/>
    <n v="19067.8"/>
    <n v="19067.8"/>
    <n v="0"/>
    <n v="19067.8"/>
    <n v="1"/>
    <m/>
    <s v="კვანძი T-12 (ახალ. აბონ. მიერთება)"/>
    <n v="22500"/>
    <n v="3432.2"/>
    <m/>
    <m/>
    <m/>
    <m/>
    <n v="22500"/>
    <m/>
    <m/>
    <n v="3432.2"/>
    <m/>
    <m/>
    <m/>
    <m/>
    <m/>
    <m/>
    <m/>
    <m/>
    <m/>
    <m/>
    <m/>
    <m/>
    <m/>
    <m/>
    <m/>
    <m/>
    <m/>
    <n v="0"/>
    <n v="0"/>
    <n v="0"/>
    <n v="0"/>
    <n v="0"/>
    <n v="0"/>
    <m/>
    <m/>
    <m/>
    <m/>
    <m/>
    <m/>
    <m/>
    <m/>
    <s v="კვანძი (ახალ. აბონ. მიერთება)"/>
    <d v="2025-03-28T00:00:00"/>
    <s v="Принят"/>
    <s v="SGG"/>
    <d v="2024-12-09T00:00:00"/>
    <s v="SGG-C-24-70"/>
    <m/>
    <m/>
    <s v="Yes"/>
  </r>
  <r>
    <n v="2612"/>
    <s v="Аджара"/>
    <s v="Батуми"/>
    <s v="ქ. ბათუმი, დავით აღმაშენებლის ქ. №13 (კორპუსის მიერთება) შპს „ბ.თ. ბათუმი“ (T-12)"/>
    <x v="20"/>
    <n v="22500"/>
    <m/>
    <n v="22500"/>
    <m/>
    <n v="3432.2"/>
    <n v="19067.8"/>
    <n v="19067.8"/>
    <n v="0"/>
    <n v="19067.8"/>
    <n v="1"/>
    <m/>
    <s v="კვანძი T-12 (ახალ. აბონ. მიერთება)"/>
    <n v="22500"/>
    <n v="3432.2"/>
    <m/>
    <m/>
    <m/>
    <m/>
    <n v="22500"/>
    <m/>
    <m/>
    <n v="3432.2"/>
    <m/>
    <m/>
    <m/>
    <m/>
    <m/>
    <m/>
    <m/>
    <m/>
    <m/>
    <m/>
    <m/>
    <m/>
    <m/>
    <m/>
    <m/>
    <m/>
    <m/>
    <n v="0"/>
    <n v="0"/>
    <n v="0"/>
    <n v="0"/>
    <n v="0"/>
    <n v="0"/>
    <m/>
    <m/>
    <m/>
    <m/>
    <m/>
    <m/>
    <m/>
    <m/>
    <s v="კვანძი (ახალ. აბონ. მიერთება)"/>
    <d v="2025-03-28T00:00:00"/>
    <s v="Принят"/>
    <s v="SGG"/>
    <d v="2024-12-09T00:00:00"/>
    <s v="SGG-C-24-70"/>
    <m/>
    <m/>
    <s v="Yes"/>
  </r>
  <r>
    <n v="2613"/>
    <s v="Аджара"/>
    <s v="Батуми"/>
    <s v="ქ. ბათუმი, შავშეთის ქ. №24 შენობა №3 (კორპუსის მიერთება) შპს „ოთხი ძმა“ (T-11)"/>
    <x v="20"/>
    <n v="8500"/>
    <m/>
    <n v="8500"/>
    <m/>
    <n v="1296.6099999999999"/>
    <n v="7203.39"/>
    <n v="7203.39"/>
    <n v="0"/>
    <n v="7203.39"/>
    <n v="1"/>
    <m/>
    <s v="კვანძი T-11 (ახალ. აბონ. მიერთება)"/>
    <n v="8500"/>
    <n v="1296.6099999999999"/>
    <m/>
    <m/>
    <m/>
    <m/>
    <n v="8500"/>
    <m/>
    <m/>
    <n v="1296.6099999999999"/>
    <m/>
    <m/>
    <m/>
    <m/>
    <m/>
    <m/>
    <m/>
    <m/>
    <m/>
    <m/>
    <m/>
    <m/>
    <m/>
    <m/>
    <m/>
    <m/>
    <m/>
    <n v="0"/>
    <n v="0"/>
    <n v="0"/>
    <n v="0"/>
    <n v="0"/>
    <n v="0"/>
    <m/>
    <m/>
    <m/>
    <m/>
    <m/>
    <m/>
    <m/>
    <m/>
    <s v="კვანძი (ახალ. აბონ. მიერთება)"/>
    <d v="2025-03-28T00:00:00"/>
    <s v="Принят"/>
    <s v="SGG"/>
    <d v="2024-12-09T00:00:00"/>
    <s v="SGG-C-24-70"/>
    <m/>
    <m/>
    <s v="Yes"/>
  </r>
  <r>
    <n v="2614"/>
    <s v="Гурия"/>
    <s v="Ланчхути"/>
    <s v="საშუალოდან საშუალო წნევაზე რედუცირების ორხაზიანი კვანძი (T-6) (P.4.594)"/>
    <x v="20"/>
    <n v="160000"/>
    <m/>
    <n v="160000"/>
    <m/>
    <n v="24406.78"/>
    <n v="135593.22"/>
    <n v="135593.22"/>
    <n v="0"/>
    <n v="135593.22"/>
    <n v="1"/>
    <m/>
    <s v="P.4.594"/>
    <n v="160000"/>
    <n v="24406.78"/>
    <m/>
    <m/>
    <m/>
    <m/>
    <n v="160000"/>
    <m/>
    <m/>
    <n v="24406.78"/>
    <m/>
    <m/>
    <m/>
    <m/>
    <m/>
    <m/>
    <m/>
    <m/>
    <m/>
    <m/>
    <m/>
    <m/>
    <m/>
    <m/>
    <m/>
    <m/>
    <m/>
    <n v="0"/>
    <n v="0"/>
    <n v="0"/>
    <n v="0"/>
    <n v="0"/>
    <n v="0"/>
    <m/>
    <m/>
    <m/>
    <m/>
    <m/>
    <m/>
    <m/>
    <m/>
    <s v="კვანძი (საინვესტ. გეგმით)"/>
    <d v="2025-03-26T00:00:00"/>
    <s v="Принят"/>
    <s v="SGG"/>
    <d v="2024-11-01T00:00:00"/>
    <s v="SGG-GRP-241101-1/0 (3)"/>
    <m/>
    <m/>
    <s v="Yes"/>
  </r>
  <r>
    <n v="2615"/>
    <s v="Тбилиси"/>
    <s v="Тбилиси"/>
    <s v="31 ქარხნის დასახლება (29 დ კორპუსი) (T-12) (P.3.1321)"/>
    <x v="20"/>
    <n v="22500"/>
    <m/>
    <n v="22500"/>
    <m/>
    <n v="3432.2"/>
    <n v="19067.8"/>
    <n v="19067.8"/>
    <m/>
    <n v="19067.8"/>
    <n v="1"/>
    <m/>
    <s v="P.3.1321"/>
    <n v="22500"/>
    <n v="3432.2"/>
    <m/>
    <m/>
    <m/>
    <m/>
    <n v="22500"/>
    <m/>
    <m/>
    <n v="3432.2"/>
    <m/>
    <m/>
    <m/>
    <m/>
    <m/>
    <m/>
    <m/>
    <m/>
    <m/>
    <m/>
    <m/>
    <m/>
    <m/>
    <m/>
    <m/>
    <m/>
    <m/>
    <n v="0"/>
    <n v="0"/>
    <n v="0"/>
    <n v="0"/>
    <n v="0"/>
    <n v="0"/>
    <m/>
    <m/>
    <m/>
    <m/>
    <m/>
    <m/>
    <m/>
    <m/>
    <s v="კვანძი (საინვესტ. გეგმით)"/>
    <d v="2025-03-18T00:00:00"/>
    <s v="Принят"/>
    <s v="Сакорггаз"/>
    <d v="2024-11-01T00:00:00"/>
    <s v="SOG-GRP-241101-1/0 (39)"/>
    <m/>
    <m/>
    <s v="Yes"/>
  </r>
  <r>
    <n v="2616"/>
    <s v="Рача"/>
    <m/>
    <s v="ხოტევი - ამბროლაურის მონაკვეთის მშენებლობა (T-3) (P.6.140)"/>
    <x v="20"/>
    <n v="59000"/>
    <m/>
    <n v="59000"/>
    <m/>
    <n v="9000"/>
    <n v="50000"/>
    <n v="50000"/>
    <m/>
    <n v="50000"/>
    <n v="1"/>
    <m/>
    <s v="P.6.140"/>
    <n v="59000"/>
    <n v="9000"/>
    <m/>
    <m/>
    <m/>
    <m/>
    <n v="59000"/>
    <m/>
    <m/>
    <n v="9000"/>
    <m/>
    <m/>
    <m/>
    <m/>
    <m/>
    <m/>
    <m/>
    <m/>
    <m/>
    <m/>
    <m/>
    <m/>
    <m/>
    <m/>
    <m/>
    <m/>
    <m/>
    <n v="0"/>
    <n v="0"/>
    <n v="0"/>
    <n v="0"/>
    <n v="0"/>
    <n v="0"/>
    <m/>
    <m/>
    <m/>
    <m/>
    <m/>
    <m/>
    <m/>
    <m/>
    <s v="კვანძი (საინვესტ. გეგმით)"/>
    <d v="2025-03-28T00:00:00"/>
    <s v="Принят"/>
    <s v="Сакорггаз"/>
    <d v="2024-11-01T00:00:00"/>
    <s v="SOG-GRP-241101-1/0 (3)"/>
    <m/>
    <m/>
    <s v="Yes"/>
  </r>
  <r>
    <n v="2617"/>
    <s v="Рача"/>
    <m/>
    <s v="ხოტევი - ამბროლაურის მონაკვეთის მშენებლობა (T-4) (P.6.140)"/>
    <x v="20"/>
    <n v="105000"/>
    <m/>
    <n v="105000"/>
    <m/>
    <n v="16016.95"/>
    <n v="88983.05"/>
    <n v="88983.05"/>
    <m/>
    <n v="88983.05"/>
    <n v="1"/>
    <m/>
    <s v="P.6.140"/>
    <n v="105000"/>
    <n v="16016.95"/>
    <m/>
    <m/>
    <m/>
    <m/>
    <n v="105000"/>
    <m/>
    <m/>
    <n v="16016.95"/>
    <m/>
    <m/>
    <m/>
    <m/>
    <m/>
    <m/>
    <m/>
    <m/>
    <m/>
    <m/>
    <m/>
    <m/>
    <m/>
    <m/>
    <m/>
    <m/>
    <m/>
    <n v="0"/>
    <n v="0"/>
    <n v="0"/>
    <n v="0"/>
    <n v="0"/>
    <n v="0"/>
    <m/>
    <m/>
    <m/>
    <m/>
    <m/>
    <m/>
    <m/>
    <m/>
    <s v="კვანძი (საინვესტ. გეგმით)"/>
    <d v="2025-03-28T00:00:00"/>
    <s v="Принят"/>
    <s v="Сакорггаз"/>
    <d v="2024-11-01T00:00:00"/>
    <s v="SOG-GRP-241101-1/0 (3)"/>
    <m/>
    <m/>
    <s v="Yes"/>
  </r>
  <r>
    <n v="2618"/>
    <s v="Рача"/>
    <m/>
    <s v="მუხურა-ხოტევის მონაკვეთის მშენებლობა (T-1) P.6.144(1)"/>
    <x v="20"/>
    <n v="27000"/>
    <m/>
    <n v="27000"/>
    <m/>
    <n v="4118.6400000000003"/>
    <n v="22881.360000000001"/>
    <n v="22881.360000000001"/>
    <m/>
    <n v="22881.360000000001"/>
    <n v="1"/>
    <m/>
    <s v="P.6.144(1)"/>
    <n v="27000"/>
    <n v="4118.6400000000003"/>
    <m/>
    <m/>
    <m/>
    <m/>
    <n v="27000"/>
    <m/>
    <m/>
    <n v="4118.6400000000003"/>
    <m/>
    <m/>
    <m/>
    <m/>
    <m/>
    <m/>
    <m/>
    <m/>
    <m/>
    <m/>
    <m/>
    <m/>
    <m/>
    <m/>
    <m/>
    <m/>
    <m/>
    <n v="0"/>
    <n v="0"/>
    <n v="0"/>
    <n v="0"/>
    <n v="0"/>
    <n v="0"/>
    <m/>
    <m/>
    <m/>
    <m/>
    <m/>
    <m/>
    <m/>
    <m/>
    <s v="კვანძი (საინვესტ. გეგმით)"/>
    <d v="2025-03-28T00:00:00"/>
    <s v="Принят"/>
    <s v="Сакорггаз"/>
    <d v="2024-11-01T00:00:00"/>
    <s v="SOG-GRP-241101-1/0 (158)"/>
    <m/>
    <m/>
    <s v="Yes"/>
  </r>
  <r>
    <n v="2619"/>
    <s v="Рача"/>
    <m/>
    <s v="მუხურა-ხოტევის მონაკვეთის მშენებლობა (T-2) P.6.144(1)"/>
    <x v="20"/>
    <n v="42700"/>
    <m/>
    <n v="42700"/>
    <m/>
    <n v="6513.56"/>
    <n v="36186.44"/>
    <n v="36186.44"/>
    <m/>
    <n v="36186.44"/>
    <n v="1"/>
    <m/>
    <s v="P.6.144(1)"/>
    <n v="42700"/>
    <n v="6513.56"/>
    <m/>
    <m/>
    <m/>
    <m/>
    <n v="42700"/>
    <m/>
    <m/>
    <n v="6513.56"/>
    <m/>
    <m/>
    <m/>
    <m/>
    <m/>
    <m/>
    <m/>
    <m/>
    <m/>
    <m/>
    <m/>
    <m/>
    <m/>
    <m/>
    <m/>
    <m/>
    <m/>
    <n v="0"/>
    <n v="0"/>
    <n v="0"/>
    <n v="0"/>
    <n v="0"/>
    <n v="0"/>
    <m/>
    <m/>
    <m/>
    <m/>
    <m/>
    <m/>
    <m/>
    <m/>
    <s v="კვანძი (საინვესტ. გეგმით)"/>
    <d v="2025-03-28T00:00:00"/>
    <s v="Принят"/>
    <s v="Сакорггаз"/>
    <d v="2024-11-01T00:00:00"/>
    <s v="SOG-GRP-241101-1/0 (158)"/>
    <m/>
    <m/>
    <s v="Yes"/>
  </r>
  <r>
    <n v="2620"/>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99/1)"/>
    <x v="6"/>
    <n v="0"/>
    <m/>
    <n v="71675"/>
    <m/>
    <n v="10933.48"/>
    <n v="-10933.48"/>
    <n v="60741.520000000004"/>
    <m/>
    <n v="-10933.48"/>
    <s v="К"/>
    <m/>
    <s v="P.2.401"/>
    <n v="71675"/>
    <n v="10933.48"/>
    <m/>
    <m/>
    <m/>
    <m/>
    <n v="1675"/>
    <m/>
    <n v="70000"/>
    <n v="255.51"/>
    <m/>
    <n v="10677.97"/>
    <m/>
    <m/>
    <m/>
    <m/>
    <m/>
    <m/>
    <m/>
    <m/>
    <m/>
    <m/>
    <m/>
    <m/>
    <m/>
    <m/>
    <m/>
    <n v="0"/>
    <n v="0"/>
    <n v="0"/>
    <n v="0"/>
    <n v="0"/>
    <n v="0"/>
    <m/>
    <m/>
    <m/>
    <m/>
    <m/>
    <m/>
    <m/>
    <m/>
    <s v="Реаб."/>
    <m/>
    <n v="50"/>
    <s v="SGG"/>
    <d v="2024-01-17T00:00:00"/>
    <s v="BSG-240117-1/0(3)"/>
    <m/>
    <m/>
    <s v="No"/>
  </r>
  <r>
    <n v="2621"/>
    <s v="Мцхета-Мтианети"/>
    <s v="Мцхета"/>
    <s v="მცხეთის მუნიც. ახალგორის გგს-ის მიმდ. ტერიტორია (T-5) P.3.1317"/>
    <x v="20"/>
    <n v="0"/>
    <m/>
    <n v="136486.04999999999"/>
    <m/>
    <n v="118000"/>
    <n v="-118000"/>
    <n v="18486.049999999988"/>
    <n v="0"/>
    <n v="18486.049999999988"/>
    <n v="1"/>
    <m/>
    <s v="P.3.1317"/>
    <n v="136486.04999999999"/>
    <n v="18000"/>
    <m/>
    <m/>
    <m/>
    <m/>
    <m/>
    <m/>
    <n v="118000"/>
    <m/>
    <n v="18486.05"/>
    <n v="18000"/>
    <m/>
    <m/>
    <m/>
    <m/>
    <m/>
    <m/>
    <m/>
    <m/>
    <m/>
    <m/>
    <m/>
    <m/>
    <m/>
    <m/>
    <m/>
    <n v="0"/>
    <n v="0"/>
    <n v="0"/>
    <n v="0"/>
    <n v="0"/>
    <n v="0"/>
    <m/>
    <m/>
    <m/>
    <m/>
    <n v="100000"/>
    <n v="13971.23"/>
    <m/>
    <m/>
    <s v="კვანძი (საინვესტ. გეგმით)"/>
    <d v="2025-05-13T00:00:00"/>
    <s v="Принят"/>
    <s v="SGG"/>
    <d v="2024-11-01T00:00:00"/>
    <s v="SGG-GRP-241101-1/0 (32)"/>
    <m/>
    <m/>
    <s v="Yes"/>
  </r>
  <r>
    <n v="2622"/>
    <s v="Мцхета-Мтианети"/>
    <s v="Душети"/>
    <s v="დუშეთი, ქვეშეთი.  (T-5) P.3.1125"/>
    <x v="20"/>
    <n v="0"/>
    <m/>
    <n v="136486.04999999999"/>
    <m/>
    <n v="118000"/>
    <n v="-118000"/>
    <n v="18486.049999999988"/>
    <m/>
    <n v="18486.049999999988"/>
    <n v="1"/>
    <m/>
    <s v="P.3.1125"/>
    <n v="136486.04999999999"/>
    <n v="18000"/>
    <m/>
    <m/>
    <m/>
    <m/>
    <m/>
    <m/>
    <n v="118000"/>
    <m/>
    <n v="18486.05"/>
    <n v="18000"/>
    <m/>
    <m/>
    <m/>
    <m/>
    <m/>
    <m/>
    <m/>
    <m/>
    <m/>
    <m/>
    <m/>
    <m/>
    <m/>
    <m/>
    <m/>
    <n v="0"/>
    <n v="0"/>
    <n v="0"/>
    <n v="0"/>
    <n v="0"/>
    <n v="0"/>
    <m/>
    <m/>
    <m/>
    <m/>
    <n v="100000"/>
    <n v="13971.23"/>
    <m/>
    <m/>
    <s v="კვანძი (საინვესტ. გეგმით)"/>
    <d v="2025-05-13T00:00:00"/>
    <s v="Принят"/>
    <s v="SGG"/>
    <d v="2024-11-01T00:00:00"/>
    <s v="SGG-GRP-241101-1/0 (41)"/>
    <m/>
    <m/>
    <s v="Yes"/>
  </r>
  <r>
    <n v="2623"/>
    <s v="Аджара"/>
    <s v="Батуми"/>
    <s v="გიორგი ბრწყინვალეს №109-111 შპს „ჯნჯ“ ჯგუფი (T-12) (P-ს გარეშე)"/>
    <x v="20"/>
    <n v="0"/>
    <m/>
    <n v="22500"/>
    <m/>
    <n v="3432.2"/>
    <n v="-3432.2"/>
    <n v="19067.8"/>
    <m/>
    <n v="19067.8"/>
    <n v="1"/>
    <m/>
    <s v="კვანძი T-12 (ახალ. აბონ. მიერთება)"/>
    <n v="22500"/>
    <n v="3432.2"/>
    <m/>
    <m/>
    <m/>
    <m/>
    <m/>
    <m/>
    <n v="22500"/>
    <m/>
    <m/>
    <n v="3432.2"/>
    <m/>
    <m/>
    <m/>
    <m/>
    <m/>
    <m/>
    <m/>
    <m/>
    <m/>
    <m/>
    <m/>
    <m/>
    <m/>
    <m/>
    <m/>
    <n v="0"/>
    <n v="0"/>
    <n v="0"/>
    <n v="0"/>
    <n v="0"/>
    <n v="0"/>
    <m/>
    <m/>
    <m/>
    <m/>
    <m/>
    <m/>
    <m/>
    <m/>
    <s v="კვანძი (ახალ. აბონ. მიერთება)"/>
    <d v="2025-04-10T00:00:00"/>
    <s v="Принят"/>
    <s v="SGG"/>
    <d v="2024-12-09T00:00:00"/>
    <s v="SGG-C-24-70"/>
    <m/>
    <m/>
    <s v="Yes"/>
  </r>
  <r>
    <n v="2624"/>
    <s v="Квемо Картли"/>
    <s v="Рустави"/>
    <s v="ქ. რუსთავი, ვახუშტის ქ. №6, შპს (T-12) „ეიმ რუსთავი“ (P-ს გარეშე)"/>
    <x v="20"/>
    <n v="0"/>
    <m/>
    <n v="22500"/>
    <m/>
    <n v="3432.2"/>
    <n v="-3432.2"/>
    <n v="19067.8"/>
    <m/>
    <n v="19067.8"/>
    <n v="1"/>
    <m/>
    <s v="კვანძი T-12 (ახალ. აბონ. მიერთება)"/>
    <n v="22500"/>
    <n v="3432.2"/>
    <m/>
    <m/>
    <m/>
    <m/>
    <m/>
    <m/>
    <n v="22500"/>
    <m/>
    <m/>
    <n v="3432.2"/>
    <m/>
    <m/>
    <m/>
    <m/>
    <m/>
    <m/>
    <m/>
    <m/>
    <m/>
    <m/>
    <m/>
    <m/>
    <m/>
    <m/>
    <m/>
    <n v="0"/>
    <n v="0"/>
    <n v="0"/>
    <n v="0"/>
    <n v="0"/>
    <n v="0"/>
    <m/>
    <m/>
    <m/>
    <m/>
    <m/>
    <m/>
    <m/>
    <m/>
    <s v="კვანძი (ახალ. აბონ. მიერთება)"/>
    <d v="2025-04-10T00:00:00"/>
    <s v="Принят"/>
    <s v="Сакорггаз"/>
    <d v="2024-12-09T00:00:00"/>
    <s v="CA-2024-3836"/>
    <m/>
    <m/>
    <s v="Yes"/>
  </r>
  <r>
    <n v="2625"/>
    <s v="Имерети"/>
    <s v="Кутаиси"/>
    <s v="ქუთაისში, ი. ჭავჭავაძის გამზირი №55. (T-1) P.6.973"/>
    <x v="20"/>
    <n v="0"/>
    <m/>
    <n v="30632.52"/>
    <m/>
    <n v="26000"/>
    <n v="-26000"/>
    <n v="4632.5200000000004"/>
    <m/>
    <n v="4632.5200000000004"/>
    <n v="1"/>
    <m/>
    <s v="P.6.973"/>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56)"/>
    <m/>
    <m/>
    <s v="Yes"/>
  </r>
  <r>
    <n v="2626"/>
    <s v="Имерети"/>
    <s v="Кутаиси"/>
    <s v="ქუთაისი, სარბევი (T-1) P.6.974"/>
    <x v="20"/>
    <n v="0"/>
    <m/>
    <n v="30632.52"/>
    <m/>
    <n v="26000"/>
    <n v="-26000"/>
    <n v="4632.5200000000004"/>
    <m/>
    <n v="4632.5200000000004"/>
    <n v="1"/>
    <m/>
    <s v="P.6.974"/>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57)"/>
    <m/>
    <m/>
    <s v="Yes"/>
  </r>
  <r>
    <n v="2627"/>
    <s v="Имерети"/>
    <s v="Кутаиси"/>
    <s v="ქუთაისი, ქვედა და ზედა აგარაკები (T-1) P.6.963"/>
    <x v="20"/>
    <n v="0"/>
    <m/>
    <n v="30632.52"/>
    <m/>
    <n v="26000"/>
    <n v="-26000"/>
    <n v="4632.5200000000004"/>
    <m/>
    <n v="4632.5200000000004"/>
    <n v="1"/>
    <m/>
    <s v="P.6.963"/>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46)"/>
    <m/>
    <m/>
    <s v="Yes"/>
  </r>
  <r>
    <n v="2628"/>
    <s v="Имерети"/>
    <s v="Кутаиси"/>
    <s v="ქუთაისი, ხარებავას ქ. №2 (T-1) P.6.961"/>
    <x v="20"/>
    <n v="0"/>
    <m/>
    <n v="30632.52"/>
    <m/>
    <n v="26000"/>
    <n v="-26000"/>
    <n v="4632.5200000000004"/>
    <m/>
    <n v="4632.5200000000004"/>
    <n v="1"/>
    <m/>
    <s v="P.6.961"/>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45)"/>
    <m/>
    <m/>
    <s v="Yes"/>
  </r>
  <r>
    <n v="2629"/>
    <s v="Имерети"/>
    <s v="Кутаиси"/>
    <s v="ქუთაისი, გელათის ქ. №81 (T-1) P.6.1024"/>
    <x v="20"/>
    <n v="0"/>
    <m/>
    <n v="30632.52"/>
    <m/>
    <n v="26000"/>
    <n v="-26000"/>
    <n v="4632.5200000000004"/>
    <m/>
    <n v="4632.5200000000004"/>
    <n v="1"/>
    <m/>
    <s v="P.6.1024"/>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153)"/>
    <m/>
    <m/>
    <s v="Yes"/>
  </r>
  <r>
    <n v="2630"/>
    <s v="Имерети"/>
    <s v="Кутаиси"/>
    <s v="ქუთაისი, კუპრაძის ქ. (T-1) P.6.1037"/>
    <x v="20"/>
    <n v="0"/>
    <m/>
    <n v="30632.52"/>
    <m/>
    <n v="26000"/>
    <n v="-26000"/>
    <n v="4632.5200000000004"/>
    <m/>
    <n v="4632.5200000000004"/>
    <n v="1"/>
    <m/>
    <s v="P.6.1037"/>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120)"/>
    <m/>
    <m/>
    <s v="Yes"/>
  </r>
  <r>
    <n v="2631"/>
    <s v="Имерети"/>
    <s v="Терджола"/>
    <s v="თერჯოლაში №20 საუბნო (T-1) P.6.763"/>
    <x v="20"/>
    <n v="0"/>
    <m/>
    <n v="30632.52"/>
    <m/>
    <n v="26000"/>
    <n v="-26000"/>
    <n v="4632.5200000000004"/>
    <m/>
    <n v="4632.5200000000004"/>
    <n v="1"/>
    <m/>
    <s v="P.6.763"/>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10)"/>
    <m/>
    <m/>
    <s v="Yes"/>
  </r>
  <r>
    <n v="2632"/>
    <s v="Имерети"/>
    <s v="Терджола"/>
    <s v="თერჯოლაში №22 საუბნო (T-1) P.6.762"/>
    <x v="20"/>
    <n v="0"/>
    <m/>
    <n v="30632.52"/>
    <m/>
    <n v="26000"/>
    <n v="-26000"/>
    <n v="4632.5200000000004"/>
    <m/>
    <n v="4632.5200000000004"/>
    <n v="1"/>
    <m/>
    <s v="P.6.762"/>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11)"/>
    <m/>
    <m/>
    <s v="Yes"/>
  </r>
  <r>
    <n v="2633"/>
    <s v="Имерети"/>
    <s v="Терджола"/>
    <s v="თერჯოლაში №53 საუბნო (T-1) P.6.764"/>
    <x v="20"/>
    <n v="0"/>
    <m/>
    <n v="30632.52"/>
    <m/>
    <n v="26000"/>
    <n v="-26000"/>
    <n v="4632.5200000000004"/>
    <m/>
    <n v="4632.5200000000004"/>
    <n v="1"/>
    <m/>
    <s v="P.6.764"/>
    <n v="30632.52"/>
    <n v="3966.1"/>
    <m/>
    <m/>
    <m/>
    <m/>
    <m/>
    <m/>
    <n v="26000"/>
    <m/>
    <n v="4632.5200000000004"/>
    <n v="3966.1"/>
    <m/>
    <m/>
    <m/>
    <m/>
    <m/>
    <m/>
    <m/>
    <m/>
    <m/>
    <m/>
    <m/>
    <m/>
    <m/>
    <m/>
    <m/>
    <n v="0"/>
    <n v="0"/>
    <n v="0"/>
    <n v="0"/>
    <n v="0"/>
    <n v="0"/>
    <m/>
    <m/>
    <m/>
    <m/>
    <n v="22033.9"/>
    <n v="3078.41"/>
    <m/>
    <m/>
    <s v="კვანძი (საინვესტ. გეგმით)"/>
    <d v="2025-05-13T00:00:00"/>
    <s v="Принят"/>
    <s v="Сакорггаз"/>
    <d v="2024-11-01T00:00:00"/>
    <s v="SOG-GRP-241101-1/0 (12)"/>
    <m/>
    <m/>
    <s v="Yes"/>
  </r>
  <r>
    <n v="2634"/>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9/5)"/>
    <x v="6"/>
    <n v="0"/>
    <m/>
    <n v="50000"/>
    <m/>
    <n v="7627.12"/>
    <n v="-7627.12"/>
    <n v="42372.88"/>
    <m/>
    <n v="-7627.12"/>
    <s v="К"/>
    <m/>
    <s v="P.2.401"/>
    <n v="50000"/>
    <n v="7627.12"/>
    <m/>
    <m/>
    <m/>
    <m/>
    <m/>
    <m/>
    <n v="50000"/>
    <m/>
    <m/>
    <n v="7627.12"/>
    <m/>
    <m/>
    <m/>
    <m/>
    <m/>
    <m/>
    <m/>
    <m/>
    <m/>
    <m/>
    <m/>
    <m/>
    <m/>
    <m/>
    <m/>
    <n v="0"/>
    <n v="0"/>
    <n v="0"/>
    <n v="0"/>
    <n v="0"/>
    <n v="0"/>
    <m/>
    <m/>
    <m/>
    <m/>
    <m/>
    <m/>
    <m/>
    <m/>
    <s v="Реаб."/>
    <m/>
    <n v="50"/>
    <s v="SGG"/>
    <d v="2024-01-17T00:00:00"/>
    <s v="BSG-240117-1/0(3)"/>
    <m/>
    <m/>
    <s v="No"/>
  </r>
  <r>
    <n v="2635"/>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70/73)"/>
    <x v="6"/>
    <n v="0"/>
    <m/>
    <n v="50000"/>
    <m/>
    <n v="7627.12"/>
    <n v="-7627.12"/>
    <n v="42372.88"/>
    <m/>
    <n v="-7627.12"/>
    <s v="К"/>
    <m/>
    <s v="P.2.401"/>
    <n v="50000"/>
    <n v="7627.12"/>
    <m/>
    <m/>
    <m/>
    <m/>
    <m/>
    <m/>
    <n v="50000"/>
    <m/>
    <m/>
    <n v="7627.12"/>
    <m/>
    <m/>
    <m/>
    <m/>
    <m/>
    <m/>
    <m/>
    <m/>
    <m/>
    <m/>
    <m/>
    <m/>
    <m/>
    <m/>
    <m/>
    <n v="0"/>
    <n v="0"/>
    <n v="0"/>
    <n v="0"/>
    <n v="0"/>
    <n v="0"/>
    <m/>
    <m/>
    <m/>
    <m/>
    <m/>
    <m/>
    <m/>
    <m/>
    <s v="Реаб."/>
    <m/>
    <n v="50"/>
    <s v="SGG"/>
    <d v="2024-01-17T00:00:00"/>
    <s v="BSG-240117-1/0(3)"/>
    <m/>
    <m/>
    <s v="No"/>
  </r>
  <r>
    <n v="2636"/>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67/69)"/>
    <x v="6"/>
    <n v="0"/>
    <m/>
    <n v="50000"/>
    <m/>
    <n v="7627.12"/>
    <n v="-7627.12"/>
    <n v="42372.88"/>
    <m/>
    <n v="-7627.12"/>
    <s v="К"/>
    <m/>
    <s v="P.2.401"/>
    <n v="50000"/>
    <n v="7627.12"/>
    <m/>
    <m/>
    <m/>
    <m/>
    <m/>
    <m/>
    <n v="50000"/>
    <m/>
    <m/>
    <n v="7627.12"/>
    <m/>
    <m/>
    <m/>
    <m/>
    <m/>
    <m/>
    <m/>
    <m/>
    <m/>
    <m/>
    <m/>
    <m/>
    <m/>
    <m/>
    <m/>
    <n v="0"/>
    <n v="0"/>
    <n v="0"/>
    <n v="0"/>
    <n v="0"/>
    <n v="0"/>
    <m/>
    <m/>
    <m/>
    <m/>
    <m/>
    <m/>
    <m/>
    <m/>
    <s v="Реаб."/>
    <m/>
    <n v="50"/>
    <s v="SGG"/>
    <d v="2024-01-17T00:00:00"/>
    <s v="BSG-240117-1/0(3)"/>
    <m/>
    <m/>
    <s v="No"/>
  </r>
  <r>
    <n v="2637"/>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9/1)"/>
    <x v="6"/>
    <n v="0"/>
    <m/>
    <n v="50000"/>
    <m/>
    <n v="7627.12"/>
    <n v="-7627.12"/>
    <n v="42372.88"/>
    <m/>
    <n v="-7627.12"/>
    <s v="К"/>
    <m/>
    <s v="P.2.401"/>
    <n v="50000"/>
    <n v="7627.12"/>
    <m/>
    <m/>
    <m/>
    <m/>
    <m/>
    <m/>
    <n v="50000"/>
    <m/>
    <m/>
    <n v="7627.12"/>
    <m/>
    <m/>
    <m/>
    <m/>
    <m/>
    <m/>
    <m/>
    <m/>
    <m/>
    <m/>
    <m/>
    <m/>
    <m/>
    <m/>
    <m/>
    <n v="0"/>
    <n v="0"/>
    <n v="0"/>
    <m/>
    <m/>
    <m/>
    <m/>
    <m/>
    <m/>
    <m/>
    <m/>
    <m/>
    <m/>
    <m/>
    <s v="Реаб."/>
    <m/>
    <n v="50"/>
    <s v="SGG"/>
    <d v="2024-01-17T00:00:00"/>
    <s v="BSG-240117-1/0(3)"/>
    <m/>
    <m/>
    <s v="No"/>
  </r>
  <r>
    <n v="2638"/>
    <s v="Квемо Картли"/>
    <s v="Болниси"/>
    <s v="(3) ქ.ბოლნისი დაბა კაზრეთის მაღალსართულიანი კორპუსებიდან (სამზარეულო) მრიცხველების გამოტანა (P.2.401) (კორპუსი №9/2)"/>
    <x v="6"/>
    <n v="0"/>
    <m/>
    <n v="50000"/>
    <m/>
    <n v="7627.12"/>
    <n v="-7627.12"/>
    <n v="42372.88"/>
    <m/>
    <n v="-7627.12"/>
    <s v="К"/>
    <m/>
    <s v="P.2.401"/>
    <n v="50000"/>
    <n v="7627.12"/>
    <m/>
    <m/>
    <m/>
    <m/>
    <m/>
    <m/>
    <n v="50000"/>
    <m/>
    <m/>
    <n v="7627.12"/>
    <m/>
    <m/>
    <m/>
    <m/>
    <m/>
    <m/>
    <m/>
    <m/>
    <m/>
    <m/>
    <m/>
    <m/>
    <m/>
    <m/>
    <m/>
    <n v="0"/>
    <n v="0"/>
    <n v="0"/>
    <m/>
    <m/>
    <m/>
    <m/>
    <m/>
    <m/>
    <m/>
    <m/>
    <m/>
    <m/>
    <m/>
    <s v="Реаб."/>
    <m/>
    <n v="50"/>
    <s v="SGG"/>
    <d v="2024-01-17T00:00:00"/>
    <s v="BSG-240117-1/0(3)"/>
    <m/>
    <m/>
    <s v="No"/>
  </r>
  <r>
    <n v="2639"/>
    <s v="Аджара"/>
    <s v="Батуми"/>
    <s v="ქ. ბათუმი, მეგობრობის ქ. №2 (კორპუსის მიერთება) შპს „ა სექტორი“ (T-12)"/>
    <x v="20"/>
    <n v="0"/>
    <m/>
    <n v="22500"/>
    <m/>
    <n v="0"/>
    <n v="0"/>
    <n v="22500"/>
    <m/>
    <n v="22500"/>
    <n v="1"/>
    <m/>
    <s v="კვანძი T-12 (ახალ. აბონ. მიერთება)"/>
    <n v="22500"/>
    <n v="0"/>
    <m/>
    <m/>
    <m/>
    <m/>
    <m/>
    <m/>
    <m/>
    <m/>
    <n v="22500"/>
    <m/>
    <m/>
    <m/>
    <m/>
    <m/>
    <m/>
    <m/>
    <m/>
    <m/>
    <m/>
    <m/>
    <m/>
    <m/>
    <m/>
    <m/>
    <m/>
    <n v="0"/>
    <n v="0"/>
    <n v="0"/>
    <m/>
    <m/>
    <m/>
    <m/>
    <m/>
    <m/>
    <m/>
    <m/>
    <m/>
    <m/>
    <m/>
    <s v="კვანძი (ახალ. აბონ. მიერთება)"/>
    <d v="2025-05-10T00:00:00"/>
    <s v="Принят"/>
    <s v="SGG"/>
    <d v="2024-12-09T00:00:00"/>
    <s v="SGG-C-24-70"/>
    <m/>
    <m/>
    <s v="Yes"/>
  </r>
  <r>
    <n v="2640"/>
    <s v="Квемо Картли"/>
    <s v="Рустави"/>
    <s v="ქ. რუსთავი ლებანიძის ქუჩა, №6 (კორპუსის მიერთება) T-12 ტიპის კვანძი. შპს „რიტმი“"/>
    <x v="20"/>
    <n v="0"/>
    <m/>
    <n v="22500"/>
    <m/>
    <n v="0"/>
    <n v="0"/>
    <n v="22500"/>
    <m/>
    <n v="22500"/>
    <n v="1"/>
    <m/>
    <s v="კვანძი T-12 (ახალ. აბონ. მიერთება)"/>
    <n v="22500"/>
    <n v="0"/>
    <m/>
    <m/>
    <m/>
    <m/>
    <m/>
    <m/>
    <m/>
    <m/>
    <n v="22500"/>
    <m/>
    <m/>
    <m/>
    <m/>
    <m/>
    <m/>
    <m/>
    <m/>
    <m/>
    <m/>
    <m/>
    <m/>
    <m/>
    <m/>
    <m/>
    <m/>
    <n v="0"/>
    <n v="0"/>
    <n v="0"/>
    <m/>
    <m/>
    <m/>
    <m/>
    <m/>
    <m/>
    <m/>
    <m/>
    <m/>
    <m/>
    <m/>
    <s v="კვანძი (ახალ. აბონ. მიერთება)"/>
    <d v="2025-05-08T00:00:00"/>
    <s v="Принят"/>
    <s v="Сакорггаз"/>
    <d v="2024-12-09T00:00:00"/>
    <s v="CA-2024-3836"/>
    <m/>
    <m/>
    <s v="Yes"/>
  </r>
  <r>
    <n v="2641"/>
    <s v="Шида Картли"/>
    <s v="Хашури"/>
    <s v="ქ. ხაშური №2 საუბო T-1 ტიპის კვანძი (P.3.513)"/>
    <x v="20"/>
    <n v="0"/>
    <m/>
    <n v="30345.45"/>
    <m/>
    <n v="22033.9"/>
    <n v="-22033.9"/>
    <n v="8311.5499999999993"/>
    <m/>
    <n v="8311.5499999999993"/>
    <n v="1"/>
    <m/>
    <s v="P.3.513"/>
    <n v="30345.45"/>
    <n v="0"/>
    <m/>
    <m/>
    <m/>
    <m/>
    <m/>
    <m/>
    <m/>
    <m/>
    <n v="26000"/>
    <m/>
    <n v="4345.45"/>
    <m/>
    <m/>
    <m/>
    <m/>
    <m/>
    <m/>
    <m/>
    <m/>
    <m/>
    <m/>
    <m/>
    <m/>
    <m/>
    <m/>
    <n v="0"/>
    <n v="0"/>
    <n v="0"/>
    <m/>
    <m/>
    <m/>
    <m/>
    <m/>
    <m/>
    <m/>
    <n v="22033.9"/>
    <n v="2835.13"/>
    <m/>
    <m/>
    <s v="კვანძი (საინვესტ. გეგმით)"/>
    <d v="2025-06-02T00:00:00"/>
    <s v="Принят"/>
    <s v="SGG"/>
    <d v="2024-11-01T00:00:00"/>
    <s v="SGG-GRP-241101-1/0 (213)"/>
    <m/>
    <m/>
    <s v="Yes"/>
  </r>
  <r>
    <n v="2642"/>
    <s v="Шида Картли"/>
    <s v="Хашури"/>
    <s v="ქ. ხაშური გაგარინი-გორის ქუჩების კვეთა, მარჯვენა მხარე T-1 ტიპის კვანძი (P.3.1091)"/>
    <x v="20"/>
    <n v="0"/>
    <m/>
    <n v="30345.45"/>
    <m/>
    <n v="22033.9"/>
    <n v="-22033.9"/>
    <n v="8311.5499999999993"/>
    <m/>
    <n v="8311.5499999999993"/>
    <n v="1"/>
    <m/>
    <s v="P.3.1091"/>
    <n v="30345.45"/>
    <n v="0"/>
    <m/>
    <m/>
    <m/>
    <m/>
    <m/>
    <m/>
    <m/>
    <m/>
    <n v="26000"/>
    <m/>
    <n v="4345.45"/>
    <m/>
    <m/>
    <m/>
    <m/>
    <m/>
    <m/>
    <m/>
    <m/>
    <m/>
    <m/>
    <m/>
    <m/>
    <m/>
    <m/>
    <n v="0"/>
    <n v="0"/>
    <n v="0"/>
    <m/>
    <m/>
    <m/>
    <m/>
    <m/>
    <m/>
    <m/>
    <n v="22033.9"/>
    <n v="2835.13"/>
    <m/>
    <m/>
    <s v="კვანძი (საინვესტ. გეგმით)"/>
    <d v="2025-06-02T00:00:00"/>
    <s v="Принят"/>
    <s v="SGG"/>
    <d v="2024-11-01T00:00:00"/>
    <s v="SGG-GRP-241101-1/0 (278)"/>
    <m/>
    <m/>
    <s v="Yes"/>
  </r>
  <r>
    <n v="2643"/>
    <s v="Кахети"/>
    <s v="Сагареджо"/>
    <s v="სართიჭალა, მახარაძის ქუჩა T-2 ტიპის კვანძი (P.2.1389)"/>
    <x v="20"/>
    <n v="0"/>
    <m/>
    <n v="47846.85"/>
    <m/>
    <n v="33898.31"/>
    <n v="-33898.31"/>
    <n v="13948.54"/>
    <m/>
    <n v="13948.54"/>
    <n v="1"/>
    <m/>
    <s v="P.2.1389"/>
    <n v="47846.85"/>
    <n v="0"/>
    <m/>
    <m/>
    <m/>
    <m/>
    <m/>
    <m/>
    <m/>
    <m/>
    <n v="40000"/>
    <m/>
    <n v="7846.85"/>
    <m/>
    <m/>
    <m/>
    <m/>
    <m/>
    <m/>
    <m/>
    <m/>
    <m/>
    <m/>
    <m/>
    <m/>
    <m/>
    <m/>
    <n v="0"/>
    <n v="0"/>
    <n v="0"/>
    <m/>
    <m/>
    <m/>
    <m/>
    <m/>
    <m/>
    <m/>
    <n v="33898.31"/>
    <n v="4361.74"/>
    <m/>
    <m/>
    <s v="კვანძი (საინვესტ. გეგმით)"/>
    <d v="2025-06-02T00:00:00"/>
    <s v="Принят"/>
    <s v="SGG"/>
    <d v="2024-11-01T00:00:00"/>
    <s v="SGG-GRP-241101-1/0 (76)"/>
    <m/>
    <m/>
    <s v="Yes"/>
  </r>
  <r>
    <n v="2644"/>
    <s v="Кахети"/>
    <s v="Сагареджо"/>
    <s v="სართიჭალა, ცხაკაიას ქუჩა T-2 ტიპის კვანძი (P.2.1381)"/>
    <x v="20"/>
    <n v="0"/>
    <m/>
    <n v="47846.85"/>
    <m/>
    <n v="33898.31"/>
    <n v="-33898.31"/>
    <n v="13948.54"/>
    <m/>
    <n v="13948.54"/>
    <n v="1"/>
    <m/>
    <s v="P.2.1381"/>
    <n v="47846.85"/>
    <n v="0"/>
    <m/>
    <m/>
    <m/>
    <m/>
    <m/>
    <m/>
    <m/>
    <m/>
    <n v="40000"/>
    <m/>
    <n v="7846.85"/>
    <m/>
    <m/>
    <m/>
    <m/>
    <m/>
    <m/>
    <m/>
    <m/>
    <m/>
    <m/>
    <m/>
    <m/>
    <m/>
    <m/>
    <n v="0"/>
    <n v="0"/>
    <n v="0"/>
    <m/>
    <m/>
    <m/>
    <m/>
    <m/>
    <m/>
    <m/>
    <n v="33898.31"/>
    <n v="4361.74"/>
    <m/>
    <m/>
    <s v="კვანძი (საინვესტ. გეგმით)"/>
    <d v="2025-06-02T00:00:00"/>
    <s v="Принят"/>
    <s v="SGG"/>
    <d v="2024-11-01T00:00:00"/>
    <s v="SGG-GRP-241101-1/0 (68)"/>
    <m/>
    <m/>
    <s v="Yes"/>
  </r>
  <r>
    <n v="2645"/>
    <s v="Кахети"/>
    <s v="Лагодехи"/>
    <s v="ლაგოდეხში ს. ჩადუნიანის ავარიული რედუცირების კვანძის შეცვლა (ყოფილი შპს „ჩირაღდანი“ (T-1)"/>
    <x v="20"/>
    <n v="0"/>
    <m/>
    <n v="27000"/>
    <m/>
    <n v="0"/>
    <n v="0"/>
    <n v="27000"/>
    <m/>
    <n v="27000"/>
    <n v="1"/>
    <m/>
    <s v="კვანძი T-1 (ავარიული შემთხვევა)"/>
    <n v="27000"/>
    <n v="0"/>
    <m/>
    <m/>
    <m/>
    <m/>
    <m/>
    <m/>
    <m/>
    <m/>
    <n v="27000"/>
    <m/>
    <m/>
    <m/>
    <m/>
    <m/>
    <m/>
    <m/>
    <m/>
    <m/>
    <m/>
    <m/>
    <m/>
    <m/>
    <m/>
    <m/>
    <m/>
    <n v="0"/>
    <n v="0"/>
    <n v="0"/>
    <m/>
    <m/>
    <m/>
    <m/>
    <m/>
    <m/>
    <m/>
    <m/>
    <m/>
    <m/>
    <m/>
    <s v="კვანძი (ავარიული შემთხვევა)"/>
    <d v="2025-05-21T00:00:00"/>
    <s v="Принят"/>
    <s v="SGG"/>
    <d v="2024-12-09T00:00:00"/>
    <s v="SGG-C-24-70"/>
    <m/>
    <m/>
    <s v="Yes"/>
  </r>
  <r>
    <n v="2646"/>
    <s v="Аджара"/>
    <s v="Батуми"/>
    <s v="ქ. ბათუმში, აეროპორტის გზატკეცილი №80ა (კორპუსის მიერთება) T-10 ტიპის კვანძი შპს „ევროპა 2017“"/>
    <x v="20"/>
    <n v="0"/>
    <m/>
    <n v="6500"/>
    <m/>
    <n v="0"/>
    <n v="0"/>
    <n v="6500"/>
    <m/>
    <n v="6500"/>
    <n v="1"/>
    <m/>
    <s v="კვანძი T-10 (ახალ. აბონ. მიერთება)"/>
    <n v="6500"/>
    <n v="0"/>
    <m/>
    <m/>
    <m/>
    <m/>
    <m/>
    <m/>
    <m/>
    <m/>
    <n v="6500"/>
    <m/>
    <m/>
    <m/>
    <m/>
    <m/>
    <m/>
    <m/>
    <m/>
    <m/>
    <m/>
    <m/>
    <m/>
    <m/>
    <m/>
    <m/>
    <m/>
    <n v="0"/>
    <n v="0"/>
    <n v="0"/>
    <m/>
    <m/>
    <m/>
    <m/>
    <m/>
    <m/>
    <m/>
    <m/>
    <m/>
    <m/>
    <m/>
    <s v="კვანძი (ახალ. აბონ. მიერთება)"/>
    <d v="2025-05-22T00:00:00"/>
    <s v="Принят"/>
    <s v="SGG"/>
    <d v="2024-12-09T00:00:00"/>
    <s v="SGG-C-24-70"/>
    <m/>
    <m/>
    <s v="Yes"/>
  </r>
  <r>
    <n v="2647"/>
    <s v="Аджара"/>
    <s v="Батуми"/>
    <s v="ქ. ბათუმში, ზღვისპირის №10-ლ (კორპუსის მიერთება) T-12 ტიპის კვანძი შპს „ანდე“"/>
    <x v="20"/>
    <n v="0"/>
    <m/>
    <n v="22500"/>
    <m/>
    <n v="0"/>
    <n v="0"/>
    <n v="22500"/>
    <m/>
    <n v="22500"/>
    <n v="1"/>
    <m/>
    <s v="კვანძი T-12 (ახალ. აბონ. მიერთება)"/>
    <n v="22500"/>
    <n v="0"/>
    <m/>
    <m/>
    <m/>
    <m/>
    <m/>
    <m/>
    <m/>
    <m/>
    <n v="22500"/>
    <m/>
    <m/>
    <m/>
    <m/>
    <m/>
    <m/>
    <m/>
    <m/>
    <m/>
    <m/>
    <m/>
    <m/>
    <m/>
    <m/>
    <m/>
    <m/>
    <n v="0"/>
    <n v="0"/>
    <n v="0"/>
    <m/>
    <m/>
    <m/>
    <m/>
    <m/>
    <m/>
    <m/>
    <m/>
    <m/>
    <m/>
    <m/>
    <s v="კვანძი (ახალ. აბონ. მიერთება)"/>
    <d v="2025-05-22T00:00:00"/>
    <s v="Принят"/>
    <s v="SGG"/>
    <d v="2024-12-09T00:00:00"/>
    <s v="SGG-C-24-70"/>
    <m/>
    <m/>
    <s v="Yes"/>
  </r>
  <r>
    <n v="2648"/>
    <s v="Аджара"/>
    <s v="Батуми"/>
    <s v="ქ. ბათუმში, ზღვისპირის №12 (კორპუსის მიერთება) T-12 ტიპის კვანძი შპს „ჯორჯიან გრუპი“"/>
    <x v="20"/>
    <n v="0"/>
    <m/>
    <n v="22500"/>
    <m/>
    <n v="0"/>
    <n v="0"/>
    <n v="22500"/>
    <m/>
    <n v="22500"/>
    <n v="1"/>
    <m/>
    <s v="კვანძი T-12 (ახალ. აბონ. მიერთება)"/>
    <n v="22500"/>
    <n v="0"/>
    <m/>
    <m/>
    <m/>
    <m/>
    <m/>
    <m/>
    <m/>
    <m/>
    <n v="22500"/>
    <m/>
    <m/>
    <m/>
    <m/>
    <m/>
    <m/>
    <m/>
    <m/>
    <m/>
    <m/>
    <m/>
    <m/>
    <m/>
    <m/>
    <m/>
    <m/>
    <n v="0"/>
    <n v="0"/>
    <n v="0"/>
    <m/>
    <m/>
    <m/>
    <m/>
    <m/>
    <m/>
    <m/>
    <m/>
    <m/>
    <m/>
    <m/>
    <s v="კვანძი (ახალ. აბონ. მიერთება)"/>
    <d v="2025-05-22T00:00:00"/>
    <s v="Принят"/>
    <s v="SGG"/>
    <d v="2024-12-09T00:00:00"/>
    <s v="SGG-C-24-70"/>
    <m/>
    <m/>
    <s v="Yes"/>
  </r>
  <r>
    <n v="2649"/>
    <s v="Шида Картли"/>
    <s v="Гори"/>
    <s v="ქ. გორი, ს. ორთაშენის გგს მიმდებარე ტერიტორია (T-7) P.3.721"/>
    <x v="20"/>
    <n v="0"/>
    <m/>
    <n v="213804.16999999998"/>
    <m/>
    <n v="156779.66"/>
    <n v="-156779.66"/>
    <n v="57024.50999999998"/>
    <m/>
    <n v="57024.50999999998"/>
    <n v="1"/>
    <m/>
    <s v="P.3.721"/>
    <n v="213804.16999999998"/>
    <n v="0"/>
    <m/>
    <m/>
    <m/>
    <m/>
    <m/>
    <m/>
    <m/>
    <m/>
    <n v="185000"/>
    <m/>
    <n v="28804.17"/>
    <m/>
    <m/>
    <m/>
    <m/>
    <m/>
    <m/>
    <m/>
    <m/>
    <m/>
    <m/>
    <m/>
    <m/>
    <m/>
    <m/>
    <n v="0"/>
    <n v="0"/>
    <n v="0"/>
    <m/>
    <m/>
    <m/>
    <m/>
    <m/>
    <m/>
    <m/>
    <n v="156779.66"/>
    <n v="20173.03"/>
    <m/>
    <m/>
    <s v="კვანძი (საინვესტ. გეგმით)"/>
    <d v="2025-06-04T00:00:00"/>
    <s v="Принят"/>
    <s v="Сакорггаз"/>
    <d v="2024-11-01T00:00:00"/>
    <s v="SOG-GRP-241101-1/0 (7)"/>
    <m/>
    <m/>
    <s v="Yes"/>
  </r>
  <r>
    <n v="2650"/>
    <s v="Аджара"/>
    <s v="Батуми"/>
    <s v="ქ. ბათუმში, გრიგოლ ლორთქიფანიძის ქ. №6ა (კორპუსის მიერთება) T-12 ტიპის კვანძი შპს „ბულვარი რეზიდენსი“."/>
    <x v="20"/>
    <n v="0"/>
    <m/>
    <n v="22500"/>
    <m/>
    <n v="0"/>
    <n v="0"/>
    <n v="22500"/>
    <m/>
    <n v="22500"/>
    <n v="1"/>
    <m/>
    <s v="კვანძი T-12 (ახალ. აბონ. მიერთება)"/>
    <n v="22500"/>
    <n v="0"/>
    <m/>
    <m/>
    <m/>
    <m/>
    <m/>
    <m/>
    <m/>
    <m/>
    <m/>
    <m/>
    <n v="22500"/>
    <m/>
    <m/>
    <m/>
    <m/>
    <m/>
    <m/>
    <m/>
    <m/>
    <m/>
    <m/>
    <m/>
    <m/>
    <m/>
    <m/>
    <n v="0"/>
    <n v="0"/>
    <n v="0"/>
    <m/>
    <m/>
    <m/>
    <m/>
    <m/>
    <m/>
    <m/>
    <m/>
    <m/>
    <m/>
    <m/>
    <s v="კვანძი (ახალ. აბონ. მიერთება)"/>
    <d v="2025-06-02T00:00:00"/>
    <s v="Принят"/>
    <s v="SGG"/>
    <d v="2024-12-09T00:00:00"/>
    <s v="SGG-C-24-70"/>
    <m/>
    <m/>
    <s v="Yes"/>
  </r>
  <r>
    <n v="2651"/>
    <s v="Аджара"/>
    <s v="Батуми"/>
    <s v="ქ. ბათუმში, ზღვის პირის ქ. №6ა (კორპუსის მიერთება) T-12 ტიპის კვანძი შპს „აჭარა ბურჯი“."/>
    <x v="20"/>
    <n v="0"/>
    <m/>
    <n v="22500"/>
    <m/>
    <n v="0"/>
    <n v="0"/>
    <n v="22500"/>
    <m/>
    <n v="22500"/>
    <n v="1"/>
    <m/>
    <s v="კვანძი T-12 (ახალ. აბონ. მიერთება)"/>
    <n v="22500"/>
    <n v="0"/>
    <m/>
    <m/>
    <m/>
    <m/>
    <m/>
    <m/>
    <m/>
    <m/>
    <m/>
    <m/>
    <n v="22500"/>
    <m/>
    <m/>
    <m/>
    <m/>
    <m/>
    <m/>
    <m/>
    <m/>
    <m/>
    <m/>
    <m/>
    <m/>
    <m/>
    <m/>
    <n v="0"/>
    <n v="0"/>
    <n v="0"/>
    <m/>
    <m/>
    <m/>
    <m/>
    <m/>
    <m/>
    <m/>
    <m/>
    <m/>
    <m/>
    <m/>
    <s v="კვანძი (ახალ. აბონ. მიერთება)"/>
    <d v="2025-06-02T00:00:00"/>
    <s v="Принят"/>
    <s v="SGG"/>
    <d v="2024-12-09T00:00:00"/>
    <s v="SGG-C-24-70"/>
    <m/>
    <m/>
    <s v="Yes"/>
  </r>
  <r>
    <n v="2652"/>
    <s v="Квемо Картли"/>
    <s v="Рустави"/>
    <s v="ქ. რუსთავში, საუბნო№11, რჩეულიშვილის ქუჩა (T-2) P.2.681"/>
    <x v="20"/>
    <n v="0"/>
    <m/>
    <n v="40000"/>
    <m/>
    <n v="0"/>
    <n v="0"/>
    <n v="40000"/>
    <m/>
    <n v="0"/>
    <n v="1"/>
    <m/>
    <s v="P.2.681"/>
    <n v="40000"/>
    <n v="0"/>
    <m/>
    <m/>
    <m/>
    <m/>
    <m/>
    <m/>
    <m/>
    <m/>
    <m/>
    <m/>
    <n v="40000"/>
    <m/>
    <m/>
    <m/>
    <m/>
    <m/>
    <m/>
    <m/>
    <m/>
    <m/>
    <m/>
    <m/>
    <m/>
    <m/>
    <m/>
    <n v="0"/>
    <n v="0"/>
    <n v="0"/>
    <m/>
    <m/>
    <m/>
    <m/>
    <m/>
    <m/>
    <m/>
    <m/>
    <m/>
    <m/>
    <m/>
    <s v="კვანძი (საინვესტ. გეგმით)"/>
    <m/>
    <n v="99"/>
    <s v="Сакорггаз"/>
    <d v="2024-11-01T00:00:00"/>
    <s v="SOG-GRP-241101-1/0 (22)"/>
    <m/>
    <m/>
    <s v="Yes"/>
  </r>
  <r>
    <n v="2653"/>
    <s v="Квемо Картли"/>
    <s v="Рустави"/>
    <s v="ქ. რუსთავში, საუბნო№30, ბალანჩივაძის ქუჩა (T-2) P.2.697"/>
    <x v="20"/>
    <n v="0"/>
    <m/>
    <n v="40000"/>
    <m/>
    <n v="0"/>
    <n v="0"/>
    <n v="40000"/>
    <m/>
    <n v="0"/>
    <n v="1"/>
    <m/>
    <s v="P.2.697"/>
    <n v="40000"/>
    <n v="0"/>
    <m/>
    <m/>
    <m/>
    <m/>
    <m/>
    <m/>
    <m/>
    <m/>
    <m/>
    <m/>
    <n v="40000"/>
    <m/>
    <m/>
    <m/>
    <m/>
    <m/>
    <m/>
    <m/>
    <m/>
    <m/>
    <m/>
    <m/>
    <m/>
    <m/>
    <m/>
    <n v="0"/>
    <n v="0"/>
    <n v="0"/>
    <m/>
    <m/>
    <m/>
    <m/>
    <m/>
    <m/>
    <m/>
    <m/>
    <m/>
    <m/>
    <m/>
    <s v="კვანძი (საინვესტ. გეგმით)"/>
    <m/>
    <n v="99"/>
    <s v="Сакорггаз"/>
    <d v="2024-11-01T00:00:00"/>
    <s v="SOG-GRP-241101-1/0 (32)"/>
    <m/>
    <m/>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BF340-BB74-46FE-8605-FFE5FFF5A9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5" firstHeaderRow="0" firstDataRow="1" firstDataCol="1"/>
  <pivotFields count="67">
    <pivotField showAll="0"/>
    <pivotField showAll="0"/>
    <pivotField showAll="0"/>
    <pivotField showAll="0"/>
    <pivotField axis="axisRow" showAll="0">
      <items count="22">
        <item x="0"/>
        <item x="1"/>
        <item x="12"/>
        <item x="9"/>
        <item x="15"/>
        <item x="19"/>
        <item x="11"/>
        <item x="10"/>
        <item x="2"/>
        <item x="14"/>
        <item x="13"/>
        <item x="6"/>
        <item x="5"/>
        <item x="4"/>
        <item x="17"/>
        <item x="8"/>
        <item x="7"/>
        <item x="3"/>
        <item x="20"/>
        <item x="18"/>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სულ_x000a_შესრ_x000a_2025" fld="17" baseField="0" baseItem="0"/>
    <dataField name="Sum of ფაქტორ. ხარჯი 2025" fld="55"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E4C19-A3D8-4BF3-AF4C-6BFBD2002965}"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compact="0" outline="1" outlineData="1" compactData="0" multipleFieldFilters="0">
  <location ref="S4:V18" firstHeaderRow="1" firstDataRow="2" firstDataCol="1" rowPageCount="1" colPageCount="1"/>
  <pivotFields count="4">
    <pivotField name="კონტრქტორი" axis="axisRow" compact="0" allDrilled="1" subtotalTop="0" showAll="0" dataSourceSort="1" defaultAttributeDrillState="1">
      <items count="13">
        <item x="0"/>
        <item x="1"/>
        <item x="2"/>
        <item x="3"/>
        <item x="4"/>
        <item x="5"/>
        <item x="6"/>
        <item x="7"/>
        <item x="8"/>
        <item x="9"/>
        <item x="10"/>
        <item x="11"/>
        <item t="default"/>
      </items>
    </pivotField>
    <pivotField axis="axisPage" compact="0" allDrilled="1" subtotalTop="0" showAll="0" dataSourceSort="1" defaultAttributeDrillState="1">
      <items count="1">
        <item t="default"/>
      </items>
    </pivotField>
    <pivotField axis="axisCol" compact="0" allDrilled="1" subtotalTop="0" showAll="0" dataSourceSort="1" defaultAttributeDrillState="1">
      <items count="3">
        <item x="0"/>
        <item x="1"/>
        <item t="default"/>
      </items>
    </pivotField>
    <pivotField dataField="1" compact="0" subtotalTop="0" showAll="0"/>
  </pivotFields>
  <rowFields count="1">
    <field x="0"/>
  </rowFields>
  <rowItems count="13">
    <i>
      <x/>
    </i>
    <i>
      <x v="1"/>
    </i>
    <i>
      <x v="2"/>
    </i>
    <i>
      <x v="3"/>
    </i>
    <i>
      <x v="4"/>
    </i>
    <i>
      <x v="5"/>
    </i>
    <i>
      <x v="6"/>
    </i>
    <i>
      <x v="7"/>
    </i>
    <i>
      <x v="8"/>
    </i>
    <i>
      <x v="9"/>
    </i>
    <i>
      <x v="10"/>
    </i>
    <i>
      <x v="11"/>
    </i>
    <i t="grand">
      <x/>
    </i>
  </rowItems>
  <colFields count="1">
    <field x="2"/>
  </colFields>
  <colItems count="3">
    <i>
      <x/>
    </i>
    <i>
      <x v="1"/>
    </i>
    <i t="grand">
      <x/>
    </i>
  </colItems>
  <pageFields count="1">
    <pageField fld="1" hier="7" name="[Table2].[7].[All]" cap="All"/>
  </pageFields>
  <dataFields count="1">
    <dataField name="Sum of 6" fld="3" baseField="0" baseItem="0"/>
  </dataFields>
  <formats count="2">
    <format dxfId="20">
      <pivotArea outline="0" collapsedLevelsAreSubtotals="1" fieldPosition="0"/>
    </format>
    <format dxfId="19">
      <pivotArea field="0" type="button" dataOnly="0" labelOnly="1" outline="0" axis="axisRow" fieldPosition="0"/>
    </format>
  </formats>
  <pivotHierarchies count="2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6_2"/>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Строит. и реаб. (13 თებ 2025).xlsx!Table2">
        <x15:activeTabTopLevelEntity name="[Table2]"/>
      </x15:pivotTableUISettings>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AD2CAF-64F3-4E3F-AB87-71F8CDD1C7C7}" name="VAT_2025" displayName="VAT_2025" ref="B4:Q949" totalsRowShown="0" headerRowDxfId="18" tableBorderDxfId="17">
  <autoFilter ref="B4:Q949" xr:uid="{EEAD2CAF-64F3-4E3F-AB87-71F8CDD1C7C7}"/>
  <tableColumns count="16">
    <tableColumn id="18" xr3:uid="{62AB6D55-B0FC-497D-A16E-06C04EFF7905}" name="0" dataDxfId="16"/>
    <tableColumn id="1" xr3:uid="{00721F02-1321-473B-9251-42A381EC9F7D}" name="1" dataDxfId="15"/>
    <tableColumn id="2" xr3:uid="{5E8B246E-AC72-408C-B95D-A9E0EA3F693F}" name="2" dataDxfId="14"/>
    <tableColumn id="3" xr3:uid="{5463A314-E447-4207-B5F6-68DCFD3B14CE}" name="3" dataDxfId="13"/>
    <tableColumn id="4" xr3:uid="{5C1A83CD-F077-42AA-8404-9C8E538EEBD3}" name="4" dataDxfId="12"/>
    <tableColumn id="5" xr3:uid="{0AD51629-8412-475B-BDCE-56B33709346B}" name="VAT" dataDxfId="11">
      <calculatedColumnFormula>H5-H5/1.18</calculatedColumnFormula>
    </tableColumn>
    <tableColumn id="6" xr3:uid="{324FC9C5-02FB-433F-9DF0-BEFED9C5E019}" name="6" dataDxfId="10"/>
    <tableColumn id="7" xr3:uid="{AB8FCCE8-9DC2-4818-A2CD-3172B9A6D8E8}" name="7" dataDxfId="9"/>
    <tableColumn id="8" xr3:uid="{99860C7E-EDAE-423B-A3E8-5E41DE44FA9E}" name="8" dataDxfId="8"/>
    <tableColumn id="9" xr3:uid="{318263F1-B534-49AD-8AFA-BB838060A49F}" name="Column1"/>
    <tableColumn id="10" xr3:uid="{DFC5EE0E-C9C0-4DA8-9928-F8F5DCD32AF4}" name="Column2"/>
    <tableColumn id="11" xr3:uid="{FA9CA5B8-6448-4AC9-A944-656A34450818}" name="Column3"/>
    <tableColumn id="12" xr3:uid="{67CC93F5-C951-48F7-89AB-7FDB5FF1067A}" name="Column4"/>
    <tableColumn id="13" xr3:uid="{0C7E5524-003D-4B9E-B4D3-013BE4D03F1A}" name="მრიცხველები" dataDxfId="7"/>
    <tableColumn id="14" xr3:uid="{D2B3C41E-17AE-47EB-B808-F547EFA7C3A2}" name="Column6"/>
    <tableColumn id="15" xr3:uid="{F6527883-5FC8-423E-9C98-F6CF94934F4A}" name="Column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pivotTable" Target="../pivotTables/pivotTable2.xml"/><Relationship Id="rId5" Type="http://schemas.openxmlformats.org/officeDocument/2006/relationships/comments" Target="../comments6.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J206"/>
  <sheetViews>
    <sheetView zoomScale="120" zoomScaleNormal="120" workbookViewId="0">
      <selection activeCell="A5" sqref="A5"/>
    </sheetView>
  </sheetViews>
  <sheetFormatPr defaultRowHeight="15" x14ac:dyDescent="0.25"/>
  <cols>
    <col min="1" max="1" width="30.7109375" bestFit="1" customWidth="1"/>
    <col min="2" max="2" width="17.85546875" style="15" customWidth="1"/>
    <col min="3" max="3" width="15.5703125" bestFit="1" customWidth="1"/>
    <col min="4" max="4" width="14.140625" bestFit="1" customWidth="1"/>
    <col min="5" max="5" width="15.140625" customWidth="1"/>
    <col min="6" max="7" width="15.5703125" bestFit="1" customWidth="1"/>
    <col min="8" max="8" width="16.28515625" bestFit="1" customWidth="1"/>
    <col min="10" max="10" width="15.5703125" bestFit="1" customWidth="1"/>
  </cols>
  <sheetData>
    <row r="1" spans="1:8" x14ac:dyDescent="0.25">
      <c r="B1"/>
    </row>
    <row r="2" spans="1:8" ht="15.75" thickBot="1" x14ac:dyDescent="0.3">
      <c r="B2"/>
    </row>
    <row r="3" spans="1:8" ht="15.75" thickBot="1" x14ac:dyDescent="0.3">
      <c r="B3" s="337" t="s">
        <v>3353</v>
      </c>
      <c r="C3" s="338"/>
      <c r="D3" s="339"/>
    </row>
    <row r="4" spans="1:8" x14ac:dyDescent="0.25">
      <c r="A4" s="209" t="s">
        <v>63</v>
      </c>
      <c r="B4" s="210">
        <v>213523955.81833416</v>
      </c>
      <c r="C4" s="211">
        <v>213523955.81833416</v>
      </c>
      <c r="D4" s="219">
        <f>B4-C4</f>
        <v>0</v>
      </c>
    </row>
    <row r="5" spans="1:8" x14ac:dyDescent="0.25">
      <c r="A5" t="s">
        <v>633</v>
      </c>
      <c r="B5" s="212">
        <v>225532723.72922572</v>
      </c>
      <c r="C5" s="213">
        <v>225532723.72922572</v>
      </c>
      <c r="D5" s="80">
        <f t="shared" ref="D5:D8" si="0">B5-C5</f>
        <v>0</v>
      </c>
    </row>
    <row r="6" spans="1:8" x14ac:dyDescent="0.25">
      <c r="A6" s="209" t="s">
        <v>9</v>
      </c>
      <c r="B6" s="212">
        <v>211926505.31163588</v>
      </c>
      <c r="C6" s="213">
        <v>211926505.31163588</v>
      </c>
      <c r="D6" s="219">
        <f t="shared" si="0"/>
        <v>0</v>
      </c>
      <c r="E6" s="79"/>
      <c r="F6" s="5"/>
    </row>
    <row r="7" spans="1:8" x14ac:dyDescent="0.25">
      <c r="A7" s="93" t="s">
        <v>635</v>
      </c>
      <c r="B7" s="212">
        <v>1721212.5846984074</v>
      </c>
      <c r="C7" s="213">
        <v>1721212.5846984074</v>
      </c>
      <c r="D7" s="80">
        <f t="shared" si="0"/>
        <v>0</v>
      </c>
    </row>
    <row r="8" spans="1:8" ht="15.75" thickBot="1" x14ac:dyDescent="0.3">
      <c r="A8" s="220" t="s">
        <v>634</v>
      </c>
      <c r="B8" s="214">
        <v>13606218.417589916</v>
      </c>
      <c r="C8" s="215">
        <v>13606218.417589916</v>
      </c>
      <c r="D8" s="219">
        <f t="shared" si="0"/>
        <v>0</v>
      </c>
    </row>
    <row r="9" spans="1:8" x14ac:dyDescent="0.25">
      <c r="A9" s="93"/>
      <c r="B9" s="16"/>
      <c r="C9" s="16"/>
      <c r="D9" s="16"/>
    </row>
    <row r="10" spans="1:8" ht="15.75" thickBot="1" x14ac:dyDescent="0.3">
      <c r="A10" s="93"/>
      <c r="B10" s="16"/>
      <c r="C10" s="16"/>
      <c r="D10" s="16"/>
    </row>
    <row r="11" spans="1:8" ht="15.75" thickBot="1" x14ac:dyDescent="0.3">
      <c r="A11" s="93"/>
      <c r="B11" s="340" t="s">
        <v>3354</v>
      </c>
      <c r="C11" s="341"/>
      <c r="D11" s="342"/>
      <c r="H11" s="80"/>
    </row>
    <row r="12" spans="1:8" x14ac:dyDescent="0.25">
      <c r="A12" s="221" t="s">
        <v>63</v>
      </c>
      <c r="B12" s="216"/>
      <c r="C12" s="211"/>
      <c r="D12" s="222">
        <f>B12-C12</f>
        <v>0</v>
      </c>
    </row>
    <row r="13" spans="1:8" x14ac:dyDescent="0.25">
      <c r="A13" t="s">
        <v>633</v>
      </c>
      <c r="B13" s="217"/>
      <c r="C13" s="213"/>
      <c r="D13" s="80">
        <f t="shared" ref="D13:D16" si="1">B13-C13</f>
        <v>0</v>
      </c>
    </row>
    <row r="14" spans="1:8" x14ac:dyDescent="0.25">
      <c r="A14" s="69" t="s">
        <v>9</v>
      </c>
      <c r="B14" s="217"/>
      <c r="C14" s="213"/>
      <c r="D14" s="222">
        <f t="shared" si="1"/>
        <v>0</v>
      </c>
    </row>
    <row r="15" spans="1:8" x14ac:dyDescent="0.25">
      <c r="A15" t="s">
        <v>635</v>
      </c>
      <c r="B15" s="217"/>
      <c r="C15" s="213"/>
      <c r="D15" s="80">
        <f t="shared" si="1"/>
        <v>0</v>
      </c>
    </row>
    <row r="16" spans="1:8" ht="15.75" thickBot="1" x14ac:dyDescent="0.3">
      <c r="A16" s="69" t="s">
        <v>634</v>
      </c>
      <c r="B16" s="218"/>
      <c r="C16" s="215"/>
      <c r="D16" s="222">
        <f t="shared" si="1"/>
        <v>0</v>
      </c>
    </row>
    <row r="17" spans="1:10" ht="15.75" thickBot="1" x14ac:dyDescent="0.3">
      <c r="B17" s="87"/>
      <c r="C17" s="87"/>
      <c r="D17" s="80"/>
    </row>
    <row r="18" spans="1:10" ht="15.75" thickBot="1" x14ac:dyDescent="0.3">
      <c r="B18" s="343"/>
      <c r="C18" s="344"/>
      <c r="D18" s="345"/>
      <c r="I18" s="80"/>
      <c r="J18" s="80"/>
    </row>
    <row r="19" spans="1:10" x14ac:dyDescent="0.25">
      <c r="A19" s="223" t="s">
        <v>63</v>
      </c>
      <c r="B19" s="225"/>
      <c r="C19" s="226"/>
      <c r="D19" s="224">
        <f>B19-C19</f>
        <v>0</v>
      </c>
      <c r="I19" s="80"/>
      <c r="J19" s="80"/>
    </row>
    <row r="20" spans="1:10" x14ac:dyDescent="0.25">
      <c r="A20" t="s">
        <v>633</v>
      </c>
      <c r="B20" s="227"/>
      <c r="C20" s="228"/>
      <c r="D20" s="79">
        <f t="shared" ref="D20:D23" si="2">B20-C20</f>
        <v>0</v>
      </c>
      <c r="I20" s="80"/>
      <c r="J20" s="80"/>
    </row>
    <row r="21" spans="1:10" x14ac:dyDescent="0.25">
      <c r="A21" s="208" t="s">
        <v>9</v>
      </c>
      <c r="B21" s="227"/>
      <c r="C21" s="228"/>
      <c r="D21" s="224">
        <f t="shared" si="2"/>
        <v>0</v>
      </c>
      <c r="I21" s="80"/>
      <c r="J21" s="80"/>
    </row>
    <row r="22" spans="1:10" x14ac:dyDescent="0.25">
      <c r="A22" t="s">
        <v>635</v>
      </c>
      <c r="B22" s="227"/>
      <c r="C22" s="228"/>
      <c r="D22" s="79">
        <f t="shared" si="2"/>
        <v>0</v>
      </c>
      <c r="I22" s="80"/>
      <c r="J22" s="80"/>
    </row>
    <row r="23" spans="1:10" ht="15.75" thickBot="1" x14ac:dyDescent="0.3">
      <c r="A23" s="208" t="s">
        <v>634</v>
      </c>
      <c r="B23" s="229"/>
      <c r="C23" s="230"/>
      <c r="D23" s="224">
        <f t="shared" si="2"/>
        <v>0</v>
      </c>
      <c r="I23" s="80"/>
      <c r="J23" s="80"/>
    </row>
    <row r="24" spans="1:10" x14ac:dyDescent="0.25">
      <c r="B24"/>
      <c r="H24" s="80"/>
      <c r="I24" s="80"/>
      <c r="J24" s="80"/>
    </row>
    <row r="25" spans="1:10" x14ac:dyDescent="0.25">
      <c r="B25"/>
      <c r="H25" s="80"/>
      <c r="I25" s="80"/>
      <c r="J25" s="80"/>
    </row>
    <row r="26" spans="1:10" x14ac:dyDescent="0.25">
      <c r="B26"/>
    </row>
    <row r="27" spans="1:10" x14ac:dyDescent="0.25">
      <c r="B27"/>
    </row>
    <row r="28" spans="1:10" x14ac:dyDescent="0.25">
      <c r="B28"/>
    </row>
    <row r="29" spans="1:10" x14ac:dyDescent="0.25">
      <c r="B29"/>
    </row>
    <row r="30" spans="1:10" x14ac:dyDescent="0.25">
      <c r="B30"/>
    </row>
    <row r="31" spans="1:10" x14ac:dyDescent="0.25">
      <c r="B31"/>
    </row>
    <row r="32" spans="1:10"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sheetData>
  <mergeCells count="3">
    <mergeCell ref="B3:D3"/>
    <mergeCell ref="B11:D11"/>
    <mergeCell ref="B18:D18"/>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3806-DA91-41EB-9497-656C25660828}">
  <dimension ref="A3:C25"/>
  <sheetViews>
    <sheetView workbookViewId="0">
      <selection activeCell="B30" sqref="B30"/>
    </sheetView>
  </sheetViews>
  <sheetFormatPr defaultRowHeight="15" x14ac:dyDescent="0.25"/>
  <cols>
    <col min="1" max="1" width="33.140625" bestFit="1" customWidth="1"/>
    <col min="2" max="2" width="21.5703125" bestFit="1" customWidth="1"/>
    <col min="3" max="3" width="28.42578125" bestFit="1" customWidth="1"/>
  </cols>
  <sheetData>
    <row r="3" spans="1:3" x14ac:dyDescent="0.25">
      <c r="A3" s="92" t="s">
        <v>1609</v>
      </c>
      <c r="B3" t="s">
        <v>3988</v>
      </c>
      <c r="C3" t="s">
        <v>3987</v>
      </c>
    </row>
    <row r="4" spans="1:3" x14ac:dyDescent="0.25">
      <c r="A4" s="93">
        <v>5</v>
      </c>
      <c r="B4" s="16">
        <v>19</v>
      </c>
      <c r="C4" s="16">
        <v>69</v>
      </c>
    </row>
    <row r="5" spans="1:3" x14ac:dyDescent="0.25">
      <c r="A5" s="93" t="s">
        <v>116</v>
      </c>
      <c r="B5" s="16">
        <v>0</v>
      </c>
      <c r="C5" s="16"/>
    </row>
    <row r="6" spans="1:3" x14ac:dyDescent="0.25">
      <c r="A6" s="93" t="s">
        <v>106</v>
      </c>
      <c r="B6" s="16">
        <v>40275.550000000003</v>
      </c>
      <c r="C6" s="16"/>
    </row>
    <row r="7" spans="1:3" x14ac:dyDescent="0.25">
      <c r="A7" s="93" t="s">
        <v>117</v>
      </c>
      <c r="B7" s="16">
        <v>0</v>
      </c>
      <c r="C7" s="16"/>
    </row>
    <row r="8" spans="1:3" x14ac:dyDescent="0.25">
      <c r="A8" s="93" t="s">
        <v>1853</v>
      </c>
      <c r="B8" s="16">
        <v>0</v>
      </c>
      <c r="C8" s="16"/>
    </row>
    <row r="9" spans="1:3" x14ac:dyDescent="0.25">
      <c r="A9" s="93" t="s">
        <v>128</v>
      </c>
      <c r="B9" s="16">
        <v>0</v>
      </c>
      <c r="C9" s="16"/>
    </row>
    <row r="10" spans="1:3" x14ac:dyDescent="0.25">
      <c r="A10" s="93" t="s">
        <v>506</v>
      </c>
      <c r="B10" s="16">
        <v>0</v>
      </c>
      <c r="C10" s="16"/>
    </row>
    <row r="11" spans="1:3" x14ac:dyDescent="0.25">
      <c r="A11" s="93" t="s">
        <v>110</v>
      </c>
      <c r="B11" s="16">
        <v>0</v>
      </c>
      <c r="C11" s="16"/>
    </row>
    <row r="12" spans="1:3" x14ac:dyDescent="0.25">
      <c r="A12" s="93" t="s">
        <v>123</v>
      </c>
      <c r="B12" s="16">
        <v>11102</v>
      </c>
      <c r="C12" s="16"/>
    </row>
    <row r="13" spans="1:3" x14ac:dyDescent="0.25">
      <c r="A13" s="93" t="s">
        <v>77</v>
      </c>
      <c r="B13" s="16">
        <v>0</v>
      </c>
      <c r="C13" s="16"/>
    </row>
    <row r="14" spans="1:3" x14ac:dyDescent="0.25">
      <c r="A14" s="93" t="s">
        <v>75</v>
      </c>
      <c r="B14" s="16">
        <v>2971405.57</v>
      </c>
      <c r="C14" s="16">
        <v>147436.03</v>
      </c>
    </row>
    <row r="15" spans="1:3" x14ac:dyDescent="0.25">
      <c r="A15" s="93" t="s">
        <v>141</v>
      </c>
      <c r="B15" s="16">
        <v>2058818.78</v>
      </c>
      <c r="C15" s="16"/>
    </row>
    <row r="16" spans="1:3" x14ac:dyDescent="0.25">
      <c r="A16" s="93" t="s">
        <v>90</v>
      </c>
      <c r="B16" s="16">
        <v>9754642.6849999968</v>
      </c>
      <c r="C16" s="16">
        <v>40232.14</v>
      </c>
    </row>
    <row r="17" spans="1:3" x14ac:dyDescent="0.25">
      <c r="A17" s="93" t="s">
        <v>87</v>
      </c>
      <c r="B17" s="16">
        <v>6922112.0179999992</v>
      </c>
      <c r="C17" s="16">
        <v>262367.49</v>
      </c>
    </row>
    <row r="18" spans="1:3" x14ac:dyDescent="0.25">
      <c r="A18" s="93" t="s">
        <v>114</v>
      </c>
      <c r="B18" s="16">
        <v>3142978.1199999996</v>
      </c>
      <c r="C18" s="16">
        <v>31453.449999999997</v>
      </c>
    </row>
    <row r="19" spans="1:3" x14ac:dyDescent="0.25">
      <c r="A19" s="93" t="s">
        <v>105</v>
      </c>
      <c r="B19" s="16">
        <v>12717647.050000001</v>
      </c>
      <c r="C19" s="16">
        <v>466204.67</v>
      </c>
    </row>
    <row r="20" spans="1:3" x14ac:dyDescent="0.25">
      <c r="A20" s="93" t="s">
        <v>71</v>
      </c>
      <c r="B20" s="16">
        <v>3187737.9500000007</v>
      </c>
      <c r="C20" s="16">
        <v>28773.660000000007</v>
      </c>
    </row>
    <row r="21" spans="1:3" x14ac:dyDescent="0.25">
      <c r="A21" s="93" t="s">
        <v>115</v>
      </c>
      <c r="B21" s="16">
        <v>3908525</v>
      </c>
      <c r="C21" s="16">
        <v>68062.51999999999</v>
      </c>
    </row>
    <row r="22" spans="1:3" x14ac:dyDescent="0.25">
      <c r="A22" s="93" t="s">
        <v>3635</v>
      </c>
      <c r="B22" s="16">
        <v>2603053.5500000003</v>
      </c>
      <c r="C22" s="16">
        <v>90214.920000000027</v>
      </c>
    </row>
    <row r="23" spans="1:3" x14ac:dyDescent="0.25">
      <c r="A23" s="93" t="s">
        <v>3345</v>
      </c>
      <c r="B23" s="16">
        <v>0</v>
      </c>
      <c r="C23" s="16"/>
    </row>
    <row r="24" spans="1:3" x14ac:dyDescent="0.25">
      <c r="A24" s="93" t="s">
        <v>3986</v>
      </c>
      <c r="B24" s="16">
        <v>0</v>
      </c>
      <c r="C24" s="16"/>
    </row>
    <row r="25" spans="1:3" x14ac:dyDescent="0.25">
      <c r="A25" s="93" t="s">
        <v>1610</v>
      </c>
      <c r="B25" s="16">
        <v>47318317.273000002</v>
      </c>
      <c r="C25" s="16">
        <v>1134813.8800000001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0000"/>
  </sheetPr>
  <dimension ref="A1:BS3497"/>
  <sheetViews>
    <sheetView showGridLines="0" tabSelected="1" zoomScale="120" zoomScaleNormal="120" zoomScaleSheetLayoutView="100" workbookViewId="0">
      <pane xSplit="6" ySplit="10" topLeftCell="H600" activePane="bottomRight" state="frozen"/>
      <selection activeCell="D26" sqref="D26"/>
      <selection pane="topRight" activeCell="D26" sqref="D26"/>
      <selection pane="bottomLeft" activeCell="D26" sqref="D26"/>
      <selection pane="bottomRight" activeCell="BI3507" sqref="BI3507"/>
    </sheetView>
  </sheetViews>
  <sheetFormatPr defaultColWidth="9.140625" defaultRowHeight="12.75" outlineLevelCol="1" x14ac:dyDescent="0.2"/>
  <cols>
    <col min="1" max="1" width="5.28515625" style="101" customWidth="1"/>
    <col min="2" max="2" width="9" style="101" customWidth="1"/>
    <col min="3" max="3" width="11.5703125" style="101" customWidth="1"/>
    <col min="4" max="4" width="20.7109375" style="102" customWidth="1"/>
    <col min="5" max="5" width="9.5703125" style="102" customWidth="1"/>
    <col min="6" max="6" width="16.5703125" style="108" customWidth="1"/>
    <col min="7" max="7" width="8.28515625" style="108" customWidth="1"/>
    <col min="8" max="10" width="14.5703125" style="108" bestFit="1" customWidth="1"/>
    <col min="11" max="11" width="14" style="108" bestFit="1" customWidth="1"/>
    <col min="12" max="12" width="13.28515625" style="108" customWidth="1"/>
    <col min="13" max="13" width="13.5703125" style="109" bestFit="1" customWidth="1"/>
    <col min="14" max="14" width="12.42578125" style="109" bestFit="1" customWidth="1"/>
    <col min="15" max="15" width="3.140625" style="109" customWidth="1"/>
    <col min="16" max="16" width="6" style="109" customWidth="1"/>
    <col min="17" max="17" width="8.85546875" style="101" customWidth="1"/>
    <col min="18" max="18" width="12.140625" style="109" hidden="1" customWidth="1" outlineLevel="1"/>
    <col min="19" max="20" width="11" style="109" hidden="1" customWidth="1" outlineLevel="1"/>
    <col min="21" max="21" width="8.5703125" style="109" hidden="1" customWidth="1" outlineLevel="1"/>
    <col min="22" max="22" width="11" style="109" hidden="1" customWidth="1" outlineLevel="1"/>
    <col min="23" max="28" width="10" style="109" hidden="1" customWidth="1" outlineLevel="1"/>
    <col min="29" max="29" width="8.5703125" style="109" hidden="1" customWidth="1" outlineLevel="1"/>
    <col min="30" max="32" width="10" style="109" hidden="1" customWidth="1" outlineLevel="1"/>
    <col min="33" max="33" width="8.5703125" style="109" hidden="1" customWidth="1" outlineLevel="1"/>
    <col min="34" max="34" width="10" style="109" hidden="1" customWidth="1" outlineLevel="1"/>
    <col min="35" max="35" width="9.7109375" style="109" hidden="1" customWidth="1" outlineLevel="1"/>
    <col min="36" max="38" width="10" style="109" hidden="1" customWidth="1" outlineLevel="1"/>
    <col min="39" max="39" width="8.5703125" style="109" hidden="1" customWidth="1" outlineLevel="1"/>
    <col min="40" max="40" width="10" style="109" hidden="1" customWidth="1" outlineLevel="1"/>
    <col min="41" max="43" width="8.5703125" style="109" hidden="1" customWidth="1" outlineLevel="1"/>
    <col min="44" max="44" width="3.5703125" style="109" customWidth="1" collapsed="1"/>
    <col min="45" max="45" width="12.42578125" style="109" hidden="1" customWidth="1" outlineLevel="1"/>
    <col min="46" max="46" width="11" style="109" hidden="1" customWidth="1" outlineLevel="1"/>
    <col min="47" max="47" width="10" style="109" hidden="1" customWidth="1" outlineLevel="1"/>
    <col min="48" max="48" width="12.42578125" style="109" hidden="1" customWidth="1" outlineLevel="1"/>
    <col min="49" max="50" width="11" style="109" hidden="1" customWidth="1" outlineLevel="1"/>
    <col min="51" max="51" width="12.42578125" style="109" hidden="1" customWidth="1" outlineLevel="1"/>
    <col min="52" max="52" width="11.42578125" style="109" hidden="1" customWidth="1" outlineLevel="1"/>
    <col min="53" max="53" width="11" style="109" hidden="1" customWidth="1" outlineLevel="1"/>
    <col min="54" max="54" width="10.85546875" style="109" hidden="1" customWidth="1" outlineLevel="1"/>
    <col min="55" max="55" width="12.42578125" style="109" hidden="1" customWidth="1" outlineLevel="1"/>
    <col min="56" max="56" width="10.85546875" style="109" hidden="1" customWidth="1" outlineLevel="1"/>
    <col min="57" max="58" width="12.5703125" style="109" hidden="1" customWidth="1" outlineLevel="1"/>
    <col min="59" max="59" width="13.5703125" style="109" hidden="1" customWidth="1" outlineLevel="1"/>
    <col min="60" max="60" width="12.42578125" style="109" hidden="1" customWidth="1" outlineLevel="1"/>
    <col min="61" max="61" width="5.7109375" style="101" customWidth="1" collapsed="1"/>
    <col min="62" max="62" width="9.42578125" style="101" customWidth="1"/>
    <col min="63" max="63" width="12.5703125" style="101" bestFit="1" customWidth="1"/>
    <col min="64" max="64" width="9.42578125" style="126" bestFit="1" customWidth="1"/>
    <col min="65" max="65" width="9.28515625" style="126" bestFit="1" customWidth="1"/>
    <col min="66" max="66" width="16.85546875" style="101" customWidth="1"/>
    <col min="67" max="67" width="5.28515625" style="101" customWidth="1"/>
    <col min="68" max="68" width="12.140625" style="101" customWidth="1"/>
    <col min="69" max="69" width="11.140625" style="115" customWidth="1"/>
    <col min="70" max="70" width="10" style="101" bestFit="1" customWidth="1"/>
    <col min="71" max="16384" width="9.140625" style="101"/>
  </cols>
  <sheetData>
    <row r="1" spans="1:71" ht="15.75" x14ac:dyDescent="0.25">
      <c r="A1" s="100" t="s">
        <v>70</v>
      </c>
      <c r="E1" s="249"/>
      <c r="F1" s="247">
        <v>283649.109782574</v>
      </c>
      <c r="G1" s="247"/>
      <c r="H1" s="104">
        <f>F1-H728</f>
        <v>-2.1742598619312048E-4</v>
      </c>
      <c r="I1" s="104"/>
      <c r="K1" s="118"/>
      <c r="L1" s="347"/>
      <c r="M1" s="348"/>
      <c r="N1" s="108"/>
      <c r="Q1" s="101" t="s">
        <v>3730</v>
      </c>
      <c r="AM1" s="109">
        <v>5197</v>
      </c>
      <c r="AO1" s="109">
        <v>70809.720000000016</v>
      </c>
      <c r="AS1" s="111"/>
      <c r="AT1" s="111"/>
      <c r="AV1" s="110"/>
      <c r="AW1" s="110"/>
      <c r="AX1" s="111"/>
      <c r="AY1" s="111"/>
      <c r="AZ1" s="118"/>
      <c r="BA1" s="111"/>
      <c r="BB1" s="111"/>
      <c r="BC1" s="111"/>
      <c r="BD1" s="111"/>
      <c r="BE1" s="111"/>
      <c r="BF1" s="111"/>
      <c r="BG1" s="110"/>
      <c r="BH1" s="110"/>
      <c r="BI1" s="108"/>
      <c r="BJ1" s="108"/>
      <c r="BK1" s="108" t="s">
        <v>3746</v>
      </c>
      <c r="BL1" s="112">
        <v>45639</v>
      </c>
      <c r="BM1" s="112" t="s">
        <v>109</v>
      </c>
      <c r="BN1" s="101" t="s">
        <v>113</v>
      </c>
      <c r="BO1" s="101">
        <v>45635</v>
      </c>
      <c r="BP1" s="113" t="s">
        <v>3641</v>
      </c>
      <c r="BQ1" s="114"/>
      <c r="BS1" s="101" t="s">
        <v>119</v>
      </c>
    </row>
    <row r="2" spans="1:71" x14ac:dyDescent="0.2">
      <c r="B2" s="101" t="s">
        <v>63</v>
      </c>
      <c r="D2" s="247">
        <f>F7</f>
        <v>213523955.81833416</v>
      </c>
      <c r="F2" s="313"/>
      <c r="H2" s="206"/>
      <c r="J2" s="105">
        <v>27000</v>
      </c>
      <c r="L2" s="296"/>
      <c r="N2" s="105"/>
      <c r="AO2" s="109">
        <f>AO7-AO1</f>
        <v>181174.69999999995</v>
      </c>
      <c r="AS2" s="111"/>
      <c r="AT2" s="111"/>
      <c r="AU2" s="110"/>
      <c r="AV2" s="110"/>
      <c r="AW2" s="110"/>
      <c r="AX2" s="111"/>
      <c r="AY2" s="111"/>
      <c r="AZ2" s="118"/>
      <c r="BA2" s="111"/>
      <c r="BB2" s="111"/>
      <c r="BC2" s="111"/>
      <c r="BD2" s="111"/>
      <c r="BE2" s="111"/>
      <c r="BF2" s="111"/>
      <c r="BG2" s="110"/>
      <c r="BH2" s="110"/>
      <c r="BI2" s="108"/>
      <c r="BJ2" s="108"/>
      <c r="BK2" s="105"/>
      <c r="BL2" s="112"/>
      <c r="BM2" s="112"/>
      <c r="BN2" s="108"/>
      <c r="BO2" s="108"/>
      <c r="BP2" s="108"/>
      <c r="BQ2" s="114"/>
    </row>
    <row r="3" spans="1:71" x14ac:dyDescent="0.2">
      <c r="B3" s="158" t="s">
        <v>633</v>
      </c>
      <c r="C3" s="158"/>
      <c r="D3" s="201">
        <f>H7</f>
        <v>226111581.14922574</v>
      </c>
      <c r="E3" s="275"/>
      <c r="F3" s="104"/>
      <c r="G3" s="104"/>
      <c r="I3" s="107"/>
      <c r="J3" s="105">
        <v>1420.98</v>
      </c>
      <c r="AS3" s="110"/>
      <c r="AT3" s="110"/>
      <c r="AU3" s="110"/>
      <c r="AV3" s="110"/>
      <c r="AW3" s="113"/>
      <c r="AX3" s="111"/>
      <c r="AY3" s="111"/>
      <c r="AZ3" s="118"/>
      <c r="BA3" s="111"/>
      <c r="BB3" s="111"/>
      <c r="BC3" s="111"/>
      <c r="BD3" s="111"/>
      <c r="BE3" s="111"/>
      <c r="BF3" s="111"/>
      <c r="BG3" s="110"/>
      <c r="BH3" s="110"/>
      <c r="BI3" s="112"/>
      <c r="BJ3" s="108"/>
      <c r="BK3" s="105"/>
      <c r="BL3" s="112"/>
      <c r="BM3" s="112"/>
      <c r="BN3" s="108"/>
      <c r="BO3" s="108"/>
      <c r="BP3" s="108"/>
      <c r="BQ3" s="137" t="s">
        <v>119</v>
      </c>
    </row>
    <row r="4" spans="1:71" ht="12.75" customHeight="1" x14ac:dyDescent="0.2">
      <c r="B4" s="158" t="s">
        <v>9</v>
      </c>
      <c r="C4" s="158"/>
      <c r="D4" s="201">
        <f>J7</f>
        <v>212956511.65163592</v>
      </c>
      <c r="E4" s="168"/>
      <c r="F4" s="169"/>
      <c r="G4" s="169"/>
      <c r="H4" s="313"/>
      <c r="I4" s="198"/>
      <c r="J4" s="121">
        <f>J3*1.18</f>
        <v>1676.7564</v>
      </c>
      <c r="K4" s="273"/>
      <c r="L4" s="171"/>
      <c r="M4" s="171"/>
      <c r="N4" s="112"/>
      <c r="O4" s="124"/>
      <c r="P4" s="101"/>
      <c r="Q4" s="108"/>
      <c r="R4" s="112"/>
      <c r="S4" s="101"/>
      <c r="U4" s="101"/>
      <c r="V4" s="101"/>
      <c r="W4" s="101"/>
      <c r="X4" s="101"/>
      <c r="Y4" s="101"/>
      <c r="Z4" s="101"/>
      <c r="AA4" s="101"/>
      <c r="AB4" s="101"/>
      <c r="AC4" s="101"/>
      <c r="AD4" s="101"/>
      <c r="AH4" s="101"/>
      <c r="AI4" s="101"/>
      <c r="AJ4" s="101"/>
      <c r="AK4" s="101"/>
      <c r="AL4" s="101"/>
      <c r="AM4" s="101"/>
      <c r="AN4" s="101"/>
      <c r="AO4" s="101"/>
      <c r="AP4" s="101"/>
      <c r="AQ4" s="101"/>
      <c r="AR4" s="101"/>
      <c r="AS4" s="110"/>
      <c r="AT4" s="110"/>
      <c r="AU4" s="110"/>
      <c r="BC4" s="294"/>
      <c r="BI4" s="112"/>
      <c r="BJ4" s="108"/>
      <c r="BK4" s="105"/>
      <c r="BL4" s="112"/>
      <c r="BM4" s="112"/>
      <c r="BN4" s="108"/>
      <c r="BO4" s="108"/>
      <c r="BP4" s="108"/>
      <c r="BQ4" s="114"/>
    </row>
    <row r="5" spans="1:71" x14ac:dyDescent="0.2">
      <c r="B5" s="158" t="s">
        <v>635</v>
      </c>
      <c r="C5" s="158"/>
      <c r="D5" s="201">
        <f>K7</f>
        <v>691206.24469840794</v>
      </c>
      <c r="E5" s="168"/>
      <c r="F5" s="169"/>
      <c r="G5" s="169"/>
      <c r="H5" s="326"/>
      <c r="I5" s="198"/>
      <c r="J5" s="330">
        <f>J2+J4</f>
        <v>28676.756399999998</v>
      </c>
      <c r="K5" s="274"/>
      <c r="L5" s="169"/>
      <c r="M5" s="157"/>
      <c r="N5" s="158"/>
      <c r="O5" s="108"/>
      <c r="P5" s="101"/>
      <c r="R5" s="101"/>
      <c r="S5" s="101"/>
      <c r="T5" s="112"/>
      <c r="U5" s="101"/>
      <c r="V5" s="112"/>
      <c r="W5" s="101"/>
      <c r="X5" s="112"/>
      <c r="Y5" s="101"/>
      <c r="Z5" s="112"/>
      <c r="AA5" s="101"/>
      <c r="AB5" s="112"/>
      <c r="AC5" s="101"/>
      <c r="AD5" s="112"/>
      <c r="AE5" s="101"/>
      <c r="AF5" s="112"/>
      <c r="AG5" s="101"/>
      <c r="AH5" s="112"/>
      <c r="AI5" s="101"/>
      <c r="AJ5" s="112"/>
      <c r="AK5" s="101"/>
      <c r="AL5" s="101"/>
      <c r="AM5" s="101"/>
      <c r="AN5" s="101"/>
      <c r="AO5" s="101"/>
      <c r="AP5" s="101"/>
      <c r="AQ5" s="101"/>
      <c r="AR5" s="101"/>
      <c r="AS5" s="110"/>
      <c r="AT5" s="110"/>
      <c r="AU5" s="110"/>
      <c r="BB5" s="157"/>
      <c r="BI5" s="112"/>
      <c r="BJ5" s="108"/>
      <c r="BK5" s="105"/>
      <c r="BL5" s="112"/>
      <c r="BM5" s="112"/>
      <c r="BN5" s="110"/>
      <c r="BP5" s="113"/>
      <c r="BQ5" s="137" t="s">
        <v>134</v>
      </c>
    </row>
    <row r="6" spans="1:71" x14ac:dyDescent="0.2">
      <c r="B6" s="276" t="s">
        <v>634</v>
      </c>
      <c r="C6" s="158"/>
      <c r="D6" s="201">
        <f>L7</f>
        <v>13155069.497589912</v>
      </c>
      <c r="E6" s="168"/>
      <c r="F6" s="169"/>
      <c r="G6" s="169"/>
      <c r="H6" s="198">
        <f>(H1106-3000)/1.18</f>
        <v>50847.457627118645</v>
      </c>
      <c r="I6" s="198"/>
      <c r="J6" s="198"/>
      <c r="K6" s="274"/>
      <c r="L6" s="176"/>
      <c r="M6" s="157"/>
      <c r="N6" s="169"/>
      <c r="O6" s="108"/>
      <c r="AS6" s="202"/>
      <c r="AT6" s="202"/>
      <c r="AU6" s="277">
        <v>1048112.7735172157</v>
      </c>
      <c r="AX6" s="278">
        <v>2198778.9038662859</v>
      </c>
      <c r="BA6" s="278">
        <v>2361095.3593728822</v>
      </c>
      <c r="BB6" s="157"/>
      <c r="BE6" s="109">
        <v>1840117.8933898308</v>
      </c>
      <c r="BI6" s="112"/>
      <c r="BJ6" s="108"/>
      <c r="BK6" s="110"/>
      <c r="BN6" s="127"/>
      <c r="BQ6" s="114"/>
    </row>
    <row r="7" spans="1:71" x14ac:dyDescent="0.2">
      <c r="A7" s="158"/>
      <c r="B7" s="158">
        <f t="shared" ref="B7:E7" si="0">SUBTOTAL(3,B11:B3497)</f>
        <v>1243</v>
      </c>
      <c r="C7" s="158">
        <f t="shared" si="0"/>
        <v>1237</v>
      </c>
      <c r="D7" s="158">
        <f t="shared" si="0"/>
        <v>1244</v>
      </c>
      <c r="E7" s="158">
        <f t="shared" si="0"/>
        <v>1244</v>
      </c>
      <c r="F7" s="157">
        <f>SUBTOTAL(9,F11:F3497)</f>
        <v>213523955.81833416</v>
      </c>
      <c r="G7" s="169"/>
      <c r="H7" s="157">
        <f t="shared" ref="H7:N7" si="1">SUBTOTAL(9,H11:H3497)</f>
        <v>226111581.14922574</v>
      </c>
      <c r="I7" s="157">
        <f t="shared" si="1"/>
        <v>90222849.516932204</v>
      </c>
      <c r="J7" s="157">
        <f t="shared" si="1"/>
        <v>212956511.65163592</v>
      </c>
      <c r="K7" s="157">
        <f t="shared" si="1"/>
        <v>691206.24469840794</v>
      </c>
      <c r="L7" s="157">
        <f t="shared" si="1"/>
        <v>13155069.497589912</v>
      </c>
      <c r="M7" s="157">
        <f t="shared" si="1"/>
        <v>1247112.4980000001</v>
      </c>
      <c r="N7" s="157">
        <f t="shared" si="1"/>
        <v>39145851.148918837</v>
      </c>
      <c r="O7" s="157"/>
      <c r="P7" s="157">
        <f>SUBTOTAL(9,P11:P3497)</f>
        <v>261</v>
      </c>
      <c r="Q7" s="158">
        <f t="shared" ref="Q7" si="2">SUBTOTAL(3,Q11:Q3497)</f>
        <v>1212</v>
      </c>
      <c r="R7" s="157">
        <f t="shared" ref="R7:AQ7" si="3">SUBTOTAL(9,R11:R3497)</f>
        <v>58983622.28183312</v>
      </c>
      <c r="S7" s="157">
        <f t="shared" si="3"/>
        <v>16786678.661238167</v>
      </c>
      <c r="T7" s="334">
        <f t="shared" si="3"/>
        <v>16289114.98</v>
      </c>
      <c r="U7" s="335">
        <f t="shared" si="3"/>
        <v>57356.244999999995</v>
      </c>
      <c r="V7" s="334">
        <f t="shared" si="3"/>
        <v>12456955.387999998</v>
      </c>
      <c r="W7" s="335">
        <f t="shared" si="3"/>
        <v>2484780.2380000013</v>
      </c>
      <c r="X7" s="334">
        <f t="shared" si="3"/>
        <v>8376742.8650000021</v>
      </c>
      <c r="Y7" s="335">
        <f t="shared" si="3"/>
        <v>1589027.0160000008</v>
      </c>
      <c r="Z7" s="334">
        <f t="shared" si="3"/>
        <v>4593171.5599999996</v>
      </c>
      <c r="AA7" s="335">
        <f t="shared" si="3"/>
        <v>2366985.4899999993</v>
      </c>
      <c r="AB7" s="336">
        <f t="shared" si="3"/>
        <v>5424124.7099999953</v>
      </c>
      <c r="AC7" s="335">
        <f t="shared" si="3"/>
        <v>701245.01999999967</v>
      </c>
      <c r="AD7" s="336">
        <f t="shared" si="3"/>
        <v>2162082.38</v>
      </c>
      <c r="AE7" s="335">
        <f t="shared" si="3"/>
        <v>5252955.6210000012</v>
      </c>
      <c r="AF7" s="336">
        <f t="shared" si="3"/>
        <v>2132556.8088331083</v>
      </c>
      <c r="AG7" s="335">
        <f t="shared" si="3"/>
        <v>245910.70542372865</v>
      </c>
      <c r="AH7" s="336">
        <f t="shared" si="3"/>
        <v>2265675.4399999995</v>
      </c>
      <c r="AI7" s="335">
        <f t="shared" si="3"/>
        <v>695185.34050847439</v>
      </c>
      <c r="AJ7" s="336">
        <f t="shared" si="3"/>
        <v>1655511.7999999998</v>
      </c>
      <c r="AK7" s="335">
        <f t="shared" si="3"/>
        <v>3141064.3053059834</v>
      </c>
      <c r="AL7" s="336">
        <f t="shared" si="3"/>
        <v>1653105.87</v>
      </c>
      <c r="AM7" s="335">
        <f t="shared" si="3"/>
        <v>184.26</v>
      </c>
      <c r="AN7" s="325">
        <f t="shared" si="3"/>
        <v>1974580.4800000002</v>
      </c>
      <c r="AO7" s="317">
        <f t="shared" si="3"/>
        <v>251984.41999999998</v>
      </c>
      <c r="AP7" s="157">
        <f t="shared" si="3"/>
        <v>0</v>
      </c>
      <c r="AQ7" s="157">
        <f t="shared" si="3"/>
        <v>0</v>
      </c>
      <c r="AR7" s="158">
        <f t="shared" ref="AR7" si="4">SUBTOTAL(3,AR11:AR3497)</f>
        <v>17</v>
      </c>
      <c r="AS7" s="157">
        <f t="shared" ref="AS7:BG7" si="5">SUBTOTAL(9,AS11:AS3497)</f>
        <v>27481390.937999997</v>
      </c>
      <c r="AT7" s="157">
        <f t="shared" si="5"/>
        <v>1994631.3685286737</v>
      </c>
      <c r="AU7" s="157">
        <f t="shared" si="5"/>
        <v>1048112.7735172157</v>
      </c>
      <c r="AV7" s="157">
        <f t="shared" si="5"/>
        <v>33780260.649999999</v>
      </c>
      <c r="AW7" s="157">
        <f t="shared" si="5"/>
        <v>2845141.8929600012</v>
      </c>
      <c r="AX7" s="157">
        <f t="shared" si="5"/>
        <v>2198778.9038662859</v>
      </c>
      <c r="AY7" s="157">
        <f t="shared" si="5"/>
        <v>32062780.579999994</v>
      </c>
      <c r="AZ7" s="157">
        <f t="shared" si="5"/>
        <v>1935256.3331096796</v>
      </c>
      <c r="BA7" s="157">
        <f t="shared" si="5"/>
        <v>2361095.3593728822</v>
      </c>
      <c r="BB7" s="157">
        <f t="shared" si="5"/>
        <v>2277372.2069754722</v>
      </c>
      <c r="BC7" s="157">
        <f t="shared" ref="BC7:BD7" si="6">SUBTOTAL(9,BC11:BC3497)</f>
        <v>31234118.239999965</v>
      </c>
      <c r="BD7" s="157">
        <f t="shared" si="6"/>
        <v>1771686.2599999986</v>
      </c>
      <c r="BE7" s="157">
        <f>SUBTOTAL(9,BE11:BE3497)</f>
        <v>1840117.8933898308</v>
      </c>
      <c r="BF7" s="157"/>
      <c r="BG7" s="157">
        <f t="shared" si="5"/>
        <v>30448206.015658103</v>
      </c>
      <c r="BH7" s="157"/>
      <c r="BI7" s="113"/>
      <c r="BJ7" s="158">
        <f t="shared" ref="BJ7:BQ7" si="7">SUBTOTAL(3,BJ11:BJ3497)</f>
        <v>856</v>
      </c>
      <c r="BK7" s="158">
        <f t="shared" si="7"/>
        <v>1240</v>
      </c>
      <c r="BL7" s="158">
        <f t="shared" si="7"/>
        <v>1244</v>
      </c>
      <c r="BM7" s="158">
        <f t="shared" si="7"/>
        <v>1244</v>
      </c>
      <c r="BN7" s="158">
        <f t="shared" si="7"/>
        <v>1244</v>
      </c>
      <c r="BO7" s="158">
        <f t="shared" si="7"/>
        <v>28</v>
      </c>
      <c r="BP7" s="158">
        <f t="shared" si="7"/>
        <v>115</v>
      </c>
      <c r="BQ7" s="158">
        <f t="shared" si="7"/>
        <v>1045</v>
      </c>
    </row>
    <row r="8" spans="1:71" ht="6.75" customHeight="1" thickBot="1" x14ac:dyDescent="0.25">
      <c r="J8" s="128"/>
      <c r="M8" s="129"/>
      <c r="N8" s="129"/>
      <c r="O8" s="129"/>
    </row>
    <row r="9" spans="1:71" s="130" customFormat="1" ht="42" customHeight="1" thickBot="1" x14ac:dyDescent="0.3">
      <c r="A9" s="187" t="s">
        <v>5</v>
      </c>
      <c r="B9" s="188" t="s">
        <v>0</v>
      </c>
      <c r="C9" s="189" t="s">
        <v>22</v>
      </c>
      <c r="D9" s="190" t="s">
        <v>1</v>
      </c>
      <c r="E9" s="190" t="s">
        <v>2</v>
      </c>
      <c r="F9" s="191" t="s">
        <v>61</v>
      </c>
      <c r="G9" s="191" t="s">
        <v>1705</v>
      </c>
      <c r="H9" s="280" t="s">
        <v>3990</v>
      </c>
      <c r="I9" s="192" t="s">
        <v>1991</v>
      </c>
      <c r="J9" s="281" t="s">
        <v>53</v>
      </c>
      <c r="K9" s="192" t="s">
        <v>64</v>
      </c>
      <c r="L9" s="327" t="s">
        <v>62</v>
      </c>
      <c r="M9" s="193" t="s">
        <v>23</v>
      </c>
      <c r="N9" s="194" t="s">
        <v>135</v>
      </c>
      <c r="O9" s="195">
        <v>1</v>
      </c>
      <c r="P9" s="194" t="s">
        <v>48</v>
      </c>
      <c r="Q9" s="187" t="s">
        <v>143</v>
      </c>
      <c r="R9" s="280" t="s">
        <v>3790</v>
      </c>
      <c r="S9" s="281" t="s">
        <v>3791</v>
      </c>
      <c r="T9" s="286" t="s">
        <v>3748</v>
      </c>
      <c r="U9" s="281" t="s">
        <v>3747</v>
      </c>
      <c r="V9" s="279" t="s">
        <v>3749</v>
      </c>
      <c r="W9" s="281" t="s">
        <v>3750</v>
      </c>
      <c r="X9" s="279" t="s">
        <v>3751</v>
      </c>
      <c r="Y9" s="281" t="s">
        <v>3752</v>
      </c>
      <c r="Z9" s="279" t="s">
        <v>3753</v>
      </c>
      <c r="AA9" s="281" t="s">
        <v>3754</v>
      </c>
      <c r="AB9" s="321" t="s">
        <v>3755</v>
      </c>
      <c r="AC9" s="281" t="s">
        <v>3756</v>
      </c>
      <c r="AD9" s="279" t="s">
        <v>3757</v>
      </c>
      <c r="AE9" s="281" t="s">
        <v>3758</v>
      </c>
      <c r="AF9" s="279" t="s">
        <v>3759</v>
      </c>
      <c r="AG9" s="281" t="s">
        <v>3760</v>
      </c>
      <c r="AH9" s="279" t="s">
        <v>3761</v>
      </c>
      <c r="AI9" s="281" t="s">
        <v>3762</v>
      </c>
      <c r="AJ9" s="279" t="s">
        <v>3763</v>
      </c>
      <c r="AK9" s="281" t="s">
        <v>3764</v>
      </c>
      <c r="AL9" s="279" t="s">
        <v>3765</v>
      </c>
      <c r="AM9" s="281" t="s">
        <v>3766</v>
      </c>
      <c r="AN9" s="279" t="s">
        <v>3767</v>
      </c>
      <c r="AO9" s="281" t="s">
        <v>3768</v>
      </c>
      <c r="AP9" s="279" t="s">
        <v>3769</v>
      </c>
      <c r="AQ9" s="281" t="s">
        <v>3770</v>
      </c>
      <c r="AR9" s="282" t="s">
        <v>3771</v>
      </c>
      <c r="AS9" s="279" t="s">
        <v>1667</v>
      </c>
      <c r="AT9" s="151" t="s">
        <v>1668</v>
      </c>
      <c r="AU9" s="151" t="s">
        <v>1669</v>
      </c>
      <c r="AV9" s="279" t="s">
        <v>1670</v>
      </c>
      <c r="AW9" s="151" t="s">
        <v>1671</v>
      </c>
      <c r="AX9" s="151" t="s">
        <v>1672</v>
      </c>
      <c r="AY9" s="279" t="s">
        <v>2023</v>
      </c>
      <c r="AZ9" s="151" t="s">
        <v>2024</v>
      </c>
      <c r="BA9" s="151" t="s">
        <v>3382</v>
      </c>
      <c r="BB9" s="151" t="s">
        <v>3383</v>
      </c>
      <c r="BC9" s="279" t="s">
        <v>3800</v>
      </c>
      <c r="BD9" s="151" t="s">
        <v>3801</v>
      </c>
      <c r="BE9" s="151" t="s">
        <v>3989</v>
      </c>
      <c r="BF9" s="151" t="s">
        <v>4129</v>
      </c>
      <c r="BG9" s="266" t="s">
        <v>3639</v>
      </c>
      <c r="BH9" s="266" t="s">
        <v>3640</v>
      </c>
      <c r="BI9" s="187" t="s">
        <v>12</v>
      </c>
      <c r="BJ9" s="189" t="s">
        <v>89</v>
      </c>
      <c r="BK9" s="189" t="s">
        <v>596</v>
      </c>
      <c r="BL9" s="197" t="s">
        <v>107</v>
      </c>
      <c r="BM9" s="197" t="s">
        <v>46</v>
      </c>
      <c r="BN9" s="189" t="s">
        <v>13</v>
      </c>
      <c r="BO9" s="187" t="s">
        <v>150</v>
      </c>
      <c r="BP9" s="187" t="s">
        <v>678</v>
      </c>
      <c r="BQ9" s="187" t="s">
        <v>79</v>
      </c>
    </row>
    <row r="10" spans="1:71" x14ac:dyDescent="0.2">
      <c r="A10" s="306">
        <v>1</v>
      </c>
      <c r="B10" s="306">
        <v>2</v>
      </c>
      <c r="C10" s="306">
        <v>3</v>
      </c>
      <c r="D10" s="306">
        <v>4</v>
      </c>
      <c r="E10" s="306">
        <v>5</v>
      </c>
      <c r="F10" s="306">
        <v>6</v>
      </c>
      <c r="G10" s="306">
        <v>7</v>
      </c>
      <c r="H10" s="306">
        <v>8</v>
      </c>
      <c r="I10" s="306">
        <v>9</v>
      </c>
      <c r="J10" s="306">
        <v>10</v>
      </c>
      <c r="K10" s="306">
        <v>11</v>
      </c>
      <c r="L10" s="306">
        <v>12</v>
      </c>
      <c r="M10" s="306">
        <v>13</v>
      </c>
      <c r="N10" s="306">
        <v>14</v>
      </c>
      <c r="O10" s="306">
        <v>15</v>
      </c>
      <c r="P10" s="306">
        <v>16</v>
      </c>
      <c r="Q10" s="306">
        <v>17</v>
      </c>
      <c r="R10" s="306">
        <v>19</v>
      </c>
      <c r="S10" s="306">
        <v>20</v>
      </c>
      <c r="T10" s="306">
        <v>22</v>
      </c>
      <c r="U10" s="306">
        <v>23</v>
      </c>
      <c r="V10" s="306">
        <v>25</v>
      </c>
      <c r="W10" s="306">
        <v>26</v>
      </c>
      <c r="X10" s="306">
        <v>28</v>
      </c>
      <c r="Y10" s="306">
        <v>29</v>
      </c>
      <c r="Z10" s="306">
        <v>31</v>
      </c>
      <c r="AA10" s="306">
        <v>32</v>
      </c>
      <c r="AB10" s="306">
        <v>34</v>
      </c>
      <c r="AC10" s="306">
        <v>35</v>
      </c>
      <c r="AD10" s="306">
        <v>37</v>
      </c>
      <c r="AE10" s="306">
        <v>38</v>
      </c>
      <c r="AF10" s="306">
        <v>40</v>
      </c>
      <c r="AG10" s="306">
        <v>41</v>
      </c>
      <c r="AH10" s="306">
        <v>43</v>
      </c>
      <c r="AI10" s="306">
        <v>44</v>
      </c>
      <c r="AJ10" s="306">
        <v>46</v>
      </c>
      <c r="AK10" s="306">
        <v>47</v>
      </c>
      <c r="AL10" s="306">
        <v>49</v>
      </c>
      <c r="AM10" s="306">
        <v>50</v>
      </c>
      <c r="AN10" s="306">
        <v>52</v>
      </c>
      <c r="AO10" s="306">
        <v>53</v>
      </c>
      <c r="AP10" s="306">
        <v>55</v>
      </c>
      <c r="AQ10" s="306">
        <v>56</v>
      </c>
      <c r="AR10" s="306">
        <v>57</v>
      </c>
      <c r="AS10" s="306">
        <v>58</v>
      </c>
      <c r="AT10" s="306">
        <v>59</v>
      </c>
      <c r="AU10" s="306">
        <v>60</v>
      </c>
      <c r="AV10" s="306">
        <v>61</v>
      </c>
      <c r="AW10" s="306">
        <v>62</v>
      </c>
      <c r="AX10" s="306">
        <v>63</v>
      </c>
      <c r="AY10" s="306">
        <v>64</v>
      </c>
      <c r="AZ10" s="306">
        <v>65</v>
      </c>
      <c r="BA10" s="306">
        <v>66</v>
      </c>
      <c r="BB10" s="306">
        <v>67</v>
      </c>
      <c r="BC10" s="306">
        <v>68</v>
      </c>
      <c r="BD10" s="306">
        <v>69</v>
      </c>
      <c r="BE10" s="306"/>
      <c r="BF10" s="306"/>
      <c r="BG10" s="306">
        <v>70</v>
      </c>
      <c r="BH10" s="306">
        <v>71</v>
      </c>
      <c r="BI10" s="306">
        <v>72</v>
      </c>
      <c r="BJ10" s="306">
        <v>73</v>
      </c>
      <c r="BK10" s="306">
        <v>74</v>
      </c>
      <c r="BL10" s="306">
        <v>75</v>
      </c>
      <c r="BM10" s="306">
        <v>76</v>
      </c>
      <c r="BN10" s="306">
        <v>77</v>
      </c>
      <c r="BO10" s="306">
        <v>78</v>
      </c>
      <c r="BP10" s="306">
        <v>79</v>
      </c>
      <c r="BQ10" s="306">
        <v>80</v>
      </c>
      <c r="BR10" s="306">
        <v>81</v>
      </c>
    </row>
    <row r="11" spans="1:71" s="138" customFormat="1" ht="12.75" customHeight="1" x14ac:dyDescent="0.25">
      <c r="A11" s="2">
        <v>700</v>
      </c>
      <c r="B11" s="2" t="s">
        <v>54</v>
      </c>
      <c r="C11" s="2" t="s">
        <v>50</v>
      </c>
      <c r="D11" s="2" t="s">
        <v>3576</v>
      </c>
      <c r="E11" s="2" t="s">
        <v>116</v>
      </c>
      <c r="F11" s="132">
        <v>26113.5</v>
      </c>
      <c r="G11" s="132">
        <v>2</v>
      </c>
      <c r="H11" s="132">
        <f>14922*1.75</f>
        <v>26113.5</v>
      </c>
      <c r="I11" s="132"/>
      <c r="J11" s="132">
        <f>3983.415+22130.085</f>
        <v>26113.5</v>
      </c>
      <c r="K11" s="132">
        <f t="shared" ref="K11:K42" si="8">F11-J11</f>
        <v>0</v>
      </c>
      <c r="L11" s="132">
        <f t="shared" ref="L11:L74" si="9">H11-J11</f>
        <v>0</v>
      </c>
      <c r="M11" s="133"/>
      <c r="N11" s="133">
        <f>IF(OR(BK11="принят",BK11="Завершено"),H11-J11,F11-J11)</f>
        <v>0</v>
      </c>
      <c r="O11" s="134">
        <v>0</v>
      </c>
      <c r="P11" s="133"/>
      <c r="Q11" s="2"/>
      <c r="R11" s="156">
        <f t="shared" ref="R11:R74" si="10">T11+V11+X11+Z11+AB11+AD11+AF11+AH11+AJ11+AL11+AN11+AP11</f>
        <v>0</v>
      </c>
      <c r="S11" s="156">
        <f t="shared" ref="S11:S74" si="11">U11+W11+Y11+AA11+AC11+AE11+AG11+AI11+AK11+AM11+AO11+AQ11</f>
        <v>0</v>
      </c>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53">
        <v>0</v>
      </c>
      <c r="AT11" s="153">
        <v>0</v>
      </c>
      <c r="AU11" s="153">
        <v>0</v>
      </c>
      <c r="AV11" s="135"/>
      <c r="AW11" s="135"/>
      <c r="AX11" s="135"/>
      <c r="AY11" s="135"/>
      <c r="AZ11" s="135"/>
      <c r="BA11" s="135"/>
      <c r="BB11" s="135"/>
      <c r="BC11" s="135"/>
      <c r="BD11" s="135"/>
      <c r="BE11" s="135"/>
      <c r="BF11" s="135"/>
      <c r="BG11" s="135"/>
      <c r="BH11" s="135"/>
      <c r="BI11" s="2" t="s">
        <v>112</v>
      </c>
      <c r="BJ11" s="136">
        <v>45625</v>
      </c>
      <c r="BK11" s="2" t="s">
        <v>145</v>
      </c>
      <c r="BL11" s="136" t="s">
        <v>18</v>
      </c>
      <c r="BM11" s="136">
        <v>45538</v>
      </c>
      <c r="BN11" s="2" t="s">
        <v>3577</v>
      </c>
      <c r="BO11" s="2"/>
      <c r="BP11" s="136"/>
      <c r="BQ11" s="137"/>
    </row>
    <row r="12" spans="1:71" s="138" customFormat="1" ht="12.75" customHeight="1" x14ac:dyDescent="0.25">
      <c r="A12" s="2">
        <v>905</v>
      </c>
      <c r="B12" s="2" t="s">
        <v>44</v>
      </c>
      <c r="C12" s="2" t="s">
        <v>47</v>
      </c>
      <c r="D12" s="2" t="s">
        <v>3911</v>
      </c>
      <c r="E12" s="2" t="s">
        <v>123</v>
      </c>
      <c r="F12" s="132">
        <v>0</v>
      </c>
      <c r="G12" s="132">
        <v>2</v>
      </c>
      <c r="H12" s="132">
        <f>R12</f>
        <v>11102</v>
      </c>
      <c r="I12" s="132"/>
      <c r="J12" s="132">
        <f>S12</f>
        <v>11102</v>
      </c>
      <c r="K12" s="132">
        <f t="shared" si="8"/>
        <v>-11102</v>
      </c>
      <c r="L12" s="132">
        <f t="shared" si="9"/>
        <v>0</v>
      </c>
      <c r="M12" s="133"/>
      <c r="N12" s="133">
        <f>IF(OR(BK12="принят",BK12="Завершено"),H12-J12,F12-J12)</f>
        <v>-11102</v>
      </c>
      <c r="O12" s="134">
        <v>2</v>
      </c>
      <c r="P12" s="133">
        <v>0</v>
      </c>
      <c r="Q12" s="2"/>
      <c r="R12" s="156">
        <f t="shared" si="10"/>
        <v>11102</v>
      </c>
      <c r="S12" s="156">
        <f t="shared" si="11"/>
        <v>11102</v>
      </c>
      <c r="T12" s="133"/>
      <c r="U12" s="133"/>
      <c r="V12" s="133"/>
      <c r="W12" s="133"/>
      <c r="X12" s="133"/>
      <c r="Y12" s="133"/>
      <c r="Z12" s="133"/>
      <c r="AA12" s="133"/>
      <c r="AB12" s="133">
        <f>6344*1.75</f>
        <v>11102</v>
      </c>
      <c r="AC12" s="133"/>
      <c r="AD12" s="133"/>
      <c r="AE12" s="133">
        <f>1693.53+9408.47</f>
        <v>11102</v>
      </c>
      <c r="AF12" s="133"/>
      <c r="AG12" s="133"/>
      <c r="AH12" s="133"/>
      <c r="AI12" s="133"/>
      <c r="AJ12" s="133"/>
      <c r="AK12" s="133"/>
      <c r="AL12" s="133"/>
      <c r="AM12" s="133"/>
      <c r="AN12" s="133"/>
      <c r="AO12" s="133"/>
      <c r="AP12" s="133"/>
      <c r="AQ12" s="133"/>
      <c r="AR12" s="133"/>
      <c r="AS12" s="153">
        <v>0</v>
      </c>
      <c r="AT12" s="153">
        <v>0</v>
      </c>
      <c r="AU12" s="153">
        <v>0</v>
      </c>
      <c r="AV12" s="135"/>
      <c r="AW12" s="135"/>
      <c r="AX12" s="135"/>
      <c r="AY12" s="135"/>
      <c r="AZ12" s="135"/>
      <c r="BA12" s="135"/>
      <c r="BB12" s="135"/>
      <c r="BC12" s="135"/>
      <c r="BD12" s="135"/>
      <c r="BE12" s="135"/>
      <c r="BF12" s="135"/>
      <c r="BG12" s="135"/>
      <c r="BH12" s="135"/>
      <c r="BI12" s="2" t="s">
        <v>112</v>
      </c>
      <c r="BJ12" s="136">
        <v>45805</v>
      </c>
      <c r="BK12" s="2" t="s">
        <v>145</v>
      </c>
      <c r="BL12" s="136" t="s">
        <v>113</v>
      </c>
      <c r="BM12" s="136">
        <v>45509</v>
      </c>
      <c r="BN12" s="2" t="s">
        <v>3558</v>
      </c>
      <c r="BO12" s="2"/>
      <c r="BP12" s="136" t="s">
        <v>3560</v>
      </c>
      <c r="BQ12" s="137" t="s">
        <v>134</v>
      </c>
    </row>
    <row r="13" spans="1:71" s="138" customFormat="1" ht="12.75" customHeight="1" x14ac:dyDescent="0.25">
      <c r="A13" s="2">
        <v>980</v>
      </c>
      <c r="B13" s="2" t="s">
        <v>44</v>
      </c>
      <c r="C13" s="2" t="s">
        <v>47</v>
      </c>
      <c r="D13" s="2" t="s">
        <v>3912</v>
      </c>
      <c r="E13" s="2" t="s">
        <v>115</v>
      </c>
      <c r="F13" s="132">
        <v>1200000</v>
      </c>
      <c r="G13" s="132">
        <v>2</v>
      </c>
      <c r="H13" s="132">
        <f>R13</f>
        <v>738389</v>
      </c>
      <c r="I13" s="132"/>
      <c r="J13" s="132">
        <f>S13+AV13+AY13+BC13</f>
        <v>690000</v>
      </c>
      <c r="K13" s="132">
        <f t="shared" si="8"/>
        <v>510000</v>
      </c>
      <c r="L13" s="132">
        <f t="shared" si="9"/>
        <v>48389</v>
      </c>
      <c r="M13" s="133"/>
      <c r="N13" s="133">
        <f>IF(OR(BK13="принят",BK13="Завершено"),H13-J13,F13-J13)</f>
        <v>48389</v>
      </c>
      <c r="O13" s="134">
        <v>1</v>
      </c>
      <c r="P13" s="133"/>
      <c r="Q13" s="2"/>
      <c r="R13" s="156">
        <f t="shared" si="10"/>
        <v>738389</v>
      </c>
      <c r="S13" s="156">
        <f t="shared" si="11"/>
        <v>105254.22</v>
      </c>
      <c r="T13" s="133"/>
      <c r="U13" s="133"/>
      <c r="V13" s="133">
        <v>90000</v>
      </c>
      <c r="W13" s="133"/>
      <c r="X13" s="133">
        <v>200000</v>
      </c>
      <c r="Y13" s="133">
        <v>13728.81</v>
      </c>
      <c r="Z13" s="133">
        <v>200000</v>
      </c>
      <c r="AA13" s="133">
        <v>30508.47</v>
      </c>
      <c r="AB13" s="133">
        <v>200000</v>
      </c>
      <c r="AC13" s="133">
        <v>30508.47</v>
      </c>
      <c r="AD13" s="133"/>
      <c r="AE13" s="133">
        <v>30508.47</v>
      </c>
      <c r="AF13" s="133"/>
      <c r="AG13" s="133"/>
      <c r="AH13" s="133"/>
      <c r="AI13" s="133"/>
      <c r="AJ13" s="133">
        <v>48389</v>
      </c>
      <c r="AK13" s="133"/>
      <c r="AL13" s="133"/>
      <c r="AM13" s="133"/>
      <c r="AN13" s="133"/>
      <c r="AO13" s="133"/>
      <c r="AP13" s="133"/>
      <c r="AQ13" s="133"/>
      <c r="AR13" s="133"/>
      <c r="AS13" s="153">
        <v>0</v>
      </c>
      <c r="AT13" s="153">
        <v>0</v>
      </c>
      <c r="AU13" s="153">
        <v>0</v>
      </c>
      <c r="AV13" s="135"/>
      <c r="AW13" s="135"/>
      <c r="AX13" s="135"/>
      <c r="AY13" s="135"/>
      <c r="AZ13" s="135"/>
      <c r="BA13" s="135"/>
      <c r="BB13" s="135"/>
      <c r="BC13" s="135">
        <f>76271.19+169491.53+169491.53+169491.53</f>
        <v>584745.78</v>
      </c>
      <c r="BD13" s="135">
        <f>1467.44+24615.74+21592.76+21736.71</f>
        <v>69412.649999999994</v>
      </c>
      <c r="BE13" s="135"/>
      <c r="BF13" s="135"/>
      <c r="BG13" s="135"/>
      <c r="BH13" s="135"/>
      <c r="BI13" s="2" t="s">
        <v>11</v>
      </c>
      <c r="BJ13" s="136">
        <v>45910</v>
      </c>
      <c r="BK13" s="2" t="s">
        <v>109</v>
      </c>
      <c r="BL13" s="136" t="s">
        <v>113</v>
      </c>
      <c r="BM13" s="136">
        <v>45509</v>
      </c>
      <c r="BN13" s="2" t="s">
        <v>3559</v>
      </c>
      <c r="BO13" s="2"/>
      <c r="BP13" s="136" t="s">
        <v>3560</v>
      </c>
      <c r="BQ13" s="137" t="s">
        <v>119</v>
      </c>
    </row>
    <row r="14" spans="1:71" ht="12.75" customHeight="1" x14ac:dyDescent="0.2">
      <c r="A14" s="2">
        <v>1374</v>
      </c>
      <c r="B14" s="2" t="s">
        <v>28</v>
      </c>
      <c r="C14" s="2" t="s">
        <v>56</v>
      </c>
      <c r="D14" s="2" t="s">
        <v>670</v>
      </c>
      <c r="E14" s="2" t="s">
        <v>87</v>
      </c>
      <c r="F14" s="132">
        <v>69496</v>
      </c>
      <c r="G14" s="132"/>
      <c r="H14" s="132">
        <v>87450.58</v>
      </c>
      <c r="I14" s="132"/>
      <c r="J14" s="132">
        <f>87450.58</f>
        <v>87450.58</v>
      </c>
      <c r="K14" s="132">
        <f t="shared" si="8"/>
        <v>-17954.580000000002</v>
      </c>
      <c r="L14" s="132">
        <f t="shared" si="9"/>
        <v>0</v>
      </c>
      <c r="M14" s="133">
        <v>0</v>
      </c>
      <c r="N14" s="133">
        <f>IF(OR(BK14="принят",BK14="Завершено"),H14-J14,F14-J14)</f>
        <v>0</v>
      </c>
      <c r="O14" s="134">
        <v>0</v>
      </c>
      <c r="P14" s="133"/>
      <c r="Q14" s="2"/>
      <c r="R14" s="156">
        <f t="shared" si="10"/>
        <v>0</v>
      </c>
      <c r="S14" s="156">
        <f t="shared" si="11"/>
        <v>0</v>
      </c>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53">
        <v>0</v>
      </c>
      <c r="AT14" s="153">
        <v>0</v>
      </c>
      <c r="AU14" s="156">
        <v>0</v>
      </c>
      <c r="AV14" s="142"/>
      <c r="AW14" s="142"/>
      <c r="AX14" s="142"/>
      <c r="AY14" s="142"/>
      <c r="AZ14" s="142"/>
      <c r="BA14" s="142"/>
      <c r="BB14" s="142"/>
      <c r="BC14" s="142"/>
      <c r="BD14" s="142"/>
      <c r="BE14" s="142"/>
      <c r="BF14" s="142"/>
      <c r="BG14" s="142"/>
      <c r="BH14" s="142"/>
      <c r="BI14" s="2" t="s">
        <v>118</v>
      </c>
      <c r="BJ14" s="136">
        <v>44925</v>
      </c>
      <c r="BK14" s="2" t="s">
        <v>109</v>
      </c>
      <c r="BL14" s="136" t="s">
        <v>113</v>
      </c>
      <c r="BM14" s="136">
        <v>44811</v>
      </c>
      <c r="BN14" s="2" t="s">
        <v>671</v>
      </c>
      <c r="BO14" s="2"/>
      <c r="BP14" s="136"/>
      <c r="BQ14" s="137" t="s">
        <v>134</v>
      </c>
      <c r="BR14" s="138"/>
    </row>
    <row r="15" spans="1:71" ht="12.75" customHeight="1" x14ac:dyDescent="0.2">
      <c r="A15" s="2">
        <v>1487</v>
      </c>
      <c r="B15" s="2" t="s">
        <v>39</v>
      </c>
      <c r="C15" s="2" t="s">
        <v>94</v>
      </c>
      <c r="D15" s="2" t="s">
        <v>154</v>
      </c>
      <c r="E15" s="2" t="s">
        <v>90</v>
      </c>
      <c r="F15" s="132">
        <v>65177</v>
      </c>
      <c r="G15" s="132"/>
      <c r="H15" s="132">
        <v>45857</v>
      </c>
      <c r="I15" s="132"/>
      <c r="J15" s="132">
        <v>45857</v>
      </c>
      <c r="K15" s="132">
        <f t="shared" si="8"/>
        <v>19320</v>
      </c>
      <c r="L15" s="132">
        <f t="shared" si="9"/>
        <v>0</v>
      </c>
      <c r="M15" s="133">
        <f>865+147</f>
        <v>1012</v>
      </c>
      <c r="N15" s="133">
        <f t="shared" ref="N15:N46" si="12">IF(OR(BK15="принят",BK15="Завершено",BK15="ПриПро"),H15-J15,F15-J15)</f>
        <v>0</v>
      </c>
      <c r="O15" s="134">
        <v>0</v>
      </c>
      <c r="P15" s="133"/>
      <c r="Q15" s="2" t="s">
        <v>3734</v>
      </c>
      <c r="R15" s="156">
        <f t="shared" si="10"/>
        <v>0</v>
      </c>
      <c r="S15" s="156">
        <f t="shared" si="11"/>
        <v>0</v>
      </c>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53">
        <v>0</v>
      </c>
      <c r="AT15" s="153">
        <v>0</v>
      </c>
      <c r="AU15" s="156">
        <f>IF(H15&lt;50000,0,IF(AT15&gt;0,(H15/1.18-AT15-H15/100*0.8)*0.1,(H15/1.18-H15/1.18/100*5.4-H15/100*0.8)*0.1))</f>
        <v>0</v>
      </c>
      <c r="AV15" s="142"/>
      <c r="AW15" s="142"/>
      <c r="AX15" s="142"/>
      <c r="AY15" s="142"/>
      <c r="AZ15" s="142"/>
      <c r="BA15" s="142"/>
      <c r="BB15" s="142"/>
      <c r="BC15" s="142"/>
      <c r="BD15" s="142"/>
      <c r="BE15" s="142"/>
      <c r="BF15" s="142"/>
      <c r="BG15" s="142"/>
      <c r="BH15" s="142"/>
      <c r="BI15" s="2" t="s">
        <v>11</v>
      </c>
      <c r="BJ15" s="136">
        <v>44592</v>
      </c>
      <c r="BK15" s="2" t="s">
        <v>109</v>
      </c>
      <c r="BL15" s="136" t="s">
        <v>18</v>
      </c>
      <c r="BM15" s="136">
        <v>44477</v>
      </c>
      <c r="BN15" s="2" t="s">
        <v>155</v>
      </c>
      <c r="BO15" s="2">
        <v>120</v>
      </c>
      <c r="BP15" s="136"/>
      <c r="BQ15" s="137" t="s">
        <v>119</v>
      </c>
      <c r="BR15" s="138"/>
    </row>
    <row r="16" spans="1:71" ht="12.75" customHeight="1" x14ac:dyDescent="0.2">
      <c r="A16" s="2">
        <v>1494</v>
      </c>
      <c r="B16" s="2" t="s">
        <v>100</v>
      </c>
      <c r="C16" s="2" t="s">
        <v>99</v>
      </c>
      <c r="D16" s="2" t="s">
        <v>156</v>
      </c>
      <c r="E16" s="2" t="s">
        <v>90</v>
      </c>
      <c r="F16" s="132">
        <v>6286</v>
      </c>
      <c r="G16" s="132"/>
      <c r="H16" s="132">
        <v>2939</v>
      </c>
      <c r="I16" s="132"/>
      <c r="J16" s="132">
        <v>2939</v>
      </c>
      <c r="K16" s="132">
        <f t="shared" si="8"/>
        <v>3347</v>
      </c>
      <c r="L16" s="132">
        <f t="shared" si="9"/>
        <v>0</v>
      </c>
      <c r="M16" s="133">
        <v>226</v>
      </c>
      <c r="N16" s="133">
        <f t="shared" si="12"/>
        <v>0</v>
      </c>
      <c r="O16" s="134">
        <v>0</v>
      </c>
      <c r="P16" s="133"/>
      <c r="Q16" s="2" t="s">
        <v>152</v>
      </c>
      <c r="R16" s="156">
        <f t="shared" si="10"/>
        <v>0</v>
      </c>
      <c r="S16" s="156">
        <f t="shared" si="11"/>
        <v>0</v>
      </c>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53">
        <v>0</v>
      </c>
      <c r="AT16" s="153">
        <v>0</v>
      </c>
      <c r="AU16" s="156">
        <f>IF(H16&lt;50000,0,IF(AT16&gt;0,(H16/1.18-AT16-H16/100*0.8)*0.1,(H16/1.18-H16/1.18/100*5.4-H16/100*0.8)*0.1))</f>
        <v>0</v>
      </c>
      <c r="AV16" s="142"/>
      <c r="AW16" s="142"/>
      <c r="AX16" s="142"/>
      <c r="AY16" s="142"/>
      <c r="AZ16" s="142"/>
      <c r="BA16" s="142"/>
      <c r="BB16" s="142"/>
      <c r="BC16" s="142"/>
      <c r="BD16" s="142"/>
      <c r="BE16" s="142"/>
      <c r="BF16" s="142"/>
      <c r="BG16" s="142"/>
      <c r="BH16" s="142"/>
      <c r="BI16" s="2" t="s">
        <v>11</v>
      </c>
      <c r="BJ16" s="136">
        <v>44627</v>
      </c>
      <c r="BK16" s="2" t="s">
        <v>8</v>
      </c>
      <c r="BL16" s="136" t="s">
        <v>113</v>
      </c>
      <c r="BM16" s="136">
        <v>44488</v>
      </c>
      <c r="BN16" s="2" t="s">
        <v>197</v>
      </c>
      <c r="BO16" s="2">
        <v>144</v>
      </c>
      <c r="BP16" s="136"/>
      <c r="BQ16" s="137" t="s">
        <v>119</v>
      </c>
      <c r="BR16" s="138"/>
    </row>
    <row r="17" spans="1:70" ht="12.75" customHeight="1" x14ac:dyDescent="0.2">
      <c r="A17" s="2">
        <v>1496</v>
      </c>
      <c r="B17" s="2" t="s">
        <v>31</v>
      </c>
      <c r="C17" s="2" t="s">
        <v>37</v>
      </c>
      <c r="D17" s="2" t="s">
        <v>151</v>
      </c>
      <c r="E17" s="2" t="s">
        <v>141</v>
      </c>
      <c r="F17" s="132">
        <f>1197386+53648</f>
        <v>1251034</v>
      </c>
      <c r="G17" s="132"/>
      <c r="H17" s="132">
        <f>405600+228800+416000+200634</f>
        <v>1251034</v>
      </c>
      <c r="I17" s="132"/>
      <c r="J17" s="132">
        <f>150000+150000+61871.19+43000+160000+69528.81+200000+200000+31000+185634+S17</f>
        <v>1251034</v>
      </c>
      <c r="K17" s="132">
        <f t="shared" si="8"/>
        <v>0</v>
      </c>
      <c r="L17" s="132">
        <f t="shared" si="9"/>
        <v>0</v>
      </c>
      <c r="M17" s="133">
        <v>11377</v>
      </c>
      <c r="N17" s="133">
        <f t="shared" si="12"/>
        <v>0</v>
      </c>
      <c r="O17" s="134">
        <v>0</v>
      </c>
      <c r="P17" s="133">
        <v>0</v>
      </c>
      <c r="Q17" s="2" t="s">
        <v>3735</v>
      </c>
      <c r="R17" s="156">
        <f t="shared" si="10"/>
        <v>0</v>
      </c>
      <c r="S17" s="156">
        <f t="shared" si="11"/>
        <v>0</v>
      </c>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53">
        <v>0</v>
      </c>
      <c r="AT17" s="153">
        <v>0</v>
      </c>
      <c r="AU17" s="153">
        <v>0</v>
      </c>
      <c r="AV17" s="135"/>
      <c r="AW17" s="135"/>
      <c r="AX17" s="135"/>
      <c r="AY17" s="135"/>
      <c r="AZ17" s="135"/>
      <c r="BA17" s="135"/>
      <c r="BB17" s="135"/>
      <c r="BC17" s="135"/>
      <c r="BD17" s="135"/>
      <c r="BE17" s="135"/>
      <c r="BF17" s="135"/>
      <c r="BG17" s="135"/>
      <c r="BH17" s="135"/>
      <c r="BI17" s="2" t="s">
        <v>10</v>
      </c>
      <c r="BJ17" s="136">
        <v>44620</v>
      </c>
      <c r="BK17" s="2" t="s">
        <v>109</v>
      </c>
      <c r="BL17" s="136" t="s">
        <v>113</v>
      </c>
      <c r="BM17" s="136">
        <v>44620</v>
      </c>
      <c r="BN17" s="2" t="s">
        <v>172</v>
      </c>
      <c r="BO17" s="2">
        <v>1511</v>
      </c>
      <c r="BP17" s="136"/>
      <c r="BQ17" s="137" t="s">
        <v>119</v>
      </c>
      <c r="BR17" s="138"/>
    </row>
    <row r="18" spans="1:70" ht="12.75" customHeight="1" x14ac:dyDescent="0.2">
      <c r="A18" s="2">
        <v>1619</v>
      </c>
      <c r="B18" s="2" t="s">
        <v>28</v>
      </c>
      <c r="C18" s="2" t="s">
        <v>92</v>
      </c>
      <c r="D18" s="2" t="s">
        <v>447</v>
      </c>
      <c r="E18" s="2" t="s">
        <v>87</v>
      </c>
      <c r="F18" s="132">
        <v>3286000</v>
      </c>
      <c r="G18" s="132"/>
      <c r="H18" s="132">
        <f>975000+950000+875000+460000+263977.93</f>
        <v>3523977.93</v>
      </c>
      <c r="I18" s="132"/>
      <c r="J18" s="132">
        <f>148728.81+144915.25+133474.58+70169.49+40267.819+AS18+223710.121</f>
        <v>3523977.9299999997</v>
      </c>
      <c r="K18" s="132">
        <f t="shared" si="8"/>
        <v>-237977.9299999997</v>
      </c>
      <c r="L18" s="132">
        <f t="shared" si="9"/>
        <v>0</v>
      </c>
      <c r="M18" s="133">
        <v>14407</v>
      </c>
      <c r="N18" s="133">
        <f t="shared" si="12"/>
        <v>4.6566128730773926E-10</v>
      </c>
      <c r="O18" s="134">
        <v>0</v>
      </c>
      <c r="P18" s="133"/>
      <c r="Q18" s="2" t="s">
        <v>448</v>
      </c>
      <c r="R18" s="156">
        <f t="shared" si="10"/>
        <v>0</v>
      </c>
      <c r="S18" s="156">
        <f t="shared" si="11"/>
        <v>0</v>
      </c>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55">
        <v>2762711.86</v>
      </c>
      <c r="AT18" s="156">
        <v>247979.81</v>
      </c>
      <c r="AU18" s="156">
        <f>IF(H18&lt;50000,0,IF(AT18&gt;0,(H18/1.18-AT18-147869.7-H18/100*0.8)*0.1,(H18/1.18-H18/1.18/100*5.4-147869.7-H18/100*0.8)*0.1))</f>
        <v>256238.06411362716</v>
      </c>
      <c r="AV18" s="142"/>
      <c r="AW18" s="142"/>
      <c r="AX18" s="142"/>
      <c r="AY18" s="142"/>
      <c r="AZ18" s="142"/>
      <c r="BA18" s="142"/>
      <c r="BB18" s="142"/>
      <c r="BC18" s="142"/>
      <c r="BD18" s="142"/>
      <c r="BE18" s="142"/>
      <c r="BF18" s="142"/>
      <c r="BG18" s="142"/>
      <c r="BH18" s="142"/>
      <c r="BI18" s="2" t="s">
        <v>11</v>
      </c>
      <c r="BJ18" s="136">
        <v>44925</v>
      </c>
      <c r="BK18" s="2" t="s">
        <v>109</v>
      </c>
      <c r="BL18" s="136" t="s">
        <v>18</v>
      </c>
      <c r="BM18" s="136">
        <v>44641</v>
      </c>
      <c r="BN18" s="2" t="s">
        <v>1556</v>
      </c>
      <c r="BO18" s="2"/>
      <c r="BP18" s="136" t="s">
        <v>674</v>
      </c>
      <c r="BQ18" s="137"/>
      <c r="BR18" s="138"/>
    </row>
    <row r="19" spans="1:70" ht="12.75" customHeight="1" x14ac:dyDescent="0.2">
      <c r="A19" s="2">
        <v>1610</v>
      </c>
      <c r="B19" s="2" t="s">
        <v>28</v>
      </c>
      <c r="C19" s="2" t="s">
        <v>91</v>
      </c>
      <c r="D19" s="2" t="s">
        <v>413</v>
      </c>
      <c r="E19" s="2" t="s">
        <v>87</v>
      </c>
      <c r="F19" s="132">
        <v>1203300</v>
      </c>
      <c r="G19" s="132"/>
      <c r="H19" s="132">
        <f>910000+540000+426237.45</f>
        <v>1876237.45</v>
      </c>
      <c r="I19" s="132"/>
      <c r="J19" s="132">
        <f>138813.56+82372.88+65019.27+AS19+361218.18</f>
        <v>1876237.45</v>
      </c>
      <c r="K19" s="132">
        <f t="shared" si="8"/>
        <v>-672937.45</v>
      </c>
      <c r="L19" s="132">
        <f t="shared" si="9"/>
        <v>0</v>
      </c>
      <c r="M19" s="133">
        <v>10540</v>
      </c>
      <c r="N19" s="133">
        <f t="shared" si="12"/>
        <v>0</v>
      </c>
      <c r="O19" s="134">
        <v>0</v>
      </c>
      <c r="P19" s="133"/>
      <c r="Q19" s="2" t="s">
        <v>414</v>
      </c>
      <c r="R19" s="156">
        <f t="shared" si="10"/>
        <v>0</v>
      </c>
      <c r="S19" s="156">
        <f t="shared" si="11"/>
        <v>0</v>
      </c>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55">
        <v>1228813.56</v>
      </c>
      <c r="AT19" s="156">
        <v>110836.44</v>
      </c>
      <c r="AU19" s="156">
        <f>IF(H19&lt;50000,0,IF(AT19&gt;0,(H19/1.18-AT19-H19/100*0.8)*0.1,(H19/1.18-H19/1.18/100*5.4-H19/100*0.8)*0.1))</f>
        <v>146418.53976881359</v>
      </c>
      <c r="AV19" s="142"/>
      <c r="AW19" s="142"/>
      <c r="AX19" s="142"/>
      <c r="AY19" s="142"/>
      <c r="AZ19" s="142"/>
      <c r="BA19" s="142"/>
      <c r="BB19" s="142"/>
      <c r="BC19" s="142"/>
      <c r="BD19" s="142"/>
      <c r="BE19" s="142"/>
      <c r="BF19" s="142"/>
      <c r="BG19" s="142"/>
      <c r="BH19" s="142"/>
      <c r="BI19" s="2" t="s">
        <v>11</v>
      </c>
      <c r="BJ19" s="136">
        <v>44925</v>
      </c>
      <c r="BK19" s="2" t="s">
        <v>109</v>
      </c>
      <c r="BL19" s="136" t="s">
        <v>18</v>
      </c>
      <c r="BM19" s="136">
        <v>44641</v>
      </c>
      <c r="BN19" s="2" t="s">
        <v>1547</v>
      </c>
      <c r="BO19" s="2"/>
      <c r="BP19" s="136"/>
      <c r="BQ19" s="137"/>
      <c r="BR19" s="138"/>
    </row>
    <row r="20" spans="1:70" ht="12.75" customHeight="1" x14ac:dyDescent="0.2">
      <c r="A20" s="2">
        <v>1620</v>
      </c>
      <c r="B20" s="2" t="s">
        <v>28</v>
      </c>
      <c r="C20" s="2" t="s">
        <v>92</v>
      </c>
      <c r="D20" s="2" t="s">
        <v>449</v>
      </c>
      <c r="E20" s="2" t="s">
        <v>87</v>
      </c>
      <c r="F20" s="132">
        <v>1185000</v>
      </c>
      <c r="G20" s="132"/>
      <c r="H20" s="132">
        <f>642000+691360.32</f>
        <v>1333360.3199999998</v>
      </c>
      <c r="I20" s="132"/>
      <c r="J20" s="132">
        <f>97932.2+105461.74+AS20+585898.58</f>
        <v>1333360.3199999998</v>
      </c>
      <c r="K20" s="132">
        <f t="shared" si="8"/>
        <v>-148360.31999999983</v>
      </c>
      <c r="L20" s="132">
        <f t="shared" si="9"/>
        <v>0</v>
      </c>
      <c r="M20" s="133">
        <v>5393</v>
      </c>
      <c r="N20" s="133">
        <f t="shared" si="12"/>
        <v>0</v>
      </c>
      <c r="O20" s="134">
        <v>0</v>
      </c>
      <c r="P20" s="133"/>
      <c r="Q20" s="2" t="s">
        <v>450</v>
      </c>
      <c r="R20" s="156">
        <f t="shared" si="10"/>
        <v>0</v>
      </c>
      <c r="S20" s="156">
        <f t="shared" si="11"/>
        <v>0</v>
      </c>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55">
        <v>544067.80000000005</v>
      </c>
      <c r="AT20" s="156">
        <v>32964.550000000003</v>
      </c>
      <c r="AU20" s="156">
        <f>IF(H20&lt;50000,0,IF(AT20&gt;0,(H20/1.18-AT20-58834.37-H20/100*0.8)*0.1,(H20/1.18-H20/1.18/100*5.4-58834.37-H20/100*0.8)*0.1))</f>
        <v>102750.05703213561</v>
      </c>
      <c r="AV20" s="142"/>
      <c r="AW20" s="142"/>
      <c r="AX20" s="142"/>
      <c r="AY20" s="142"/>
      <c r="AZ20" s="142"/>
      <c r="BA20" s="142"/>
      <c r="BB20" s="142"/>
      <c r="BC20" s="142"/>
      <c r="BD20" s="142"/>
      <c r="BE20" s="142"/>
      <c r="BF20" s="142"/>
      <c r="BG20" s="142"/>
      <c r="BH20" s="142"/>
      <c r="BI20" s="2" t="s">
        <v>11</v>
      </c>
      <c r="BJ20" s="136">
        <v>44925</v>
      </c>
      <c r="BK20" s="2" t="s">
        <v>109</v>
      </c>
      <c r="BL20" s="136" t="s">
        <v>18</v>
      </c>
      <c r="BM20" s="136">
        <v>44641</v>
      </c>
      <c r="BN20" s="2" t="s">
        <v>1557</v>
      </c>
      <c r="BO20" s="2"/>
      <c r="BP20" s="136"/>
      <c r="BQ20" s="137"/>
      <c r="BR20" s="138"/>
    </row>
    <row r="21" spans="1:70" ht="12.75" customHeight="1" x14ac:dyDescent="0.2">
      <c r="A21" s="2">
        <v>1505</v>
      </c>
      <c r="B21" s="2" t="s">
        <v>31</v>
      </c>
      <c r="C21" s="2" t="s">
        <v>38</v>
      </c>
      <c r="D21" s="2" t="s">
        <v>636</v>
      </c>
      <c r="E21" s="2" t="s">
        <v>71</v>
      </c>
      <c r="F21" s="132">
        <v>5313</v>
      </c>
      <c r="G21" s="132"/>
      <c r="H21" s="132">
        <v>3751</v>
      </c>
      <c r="I21" s="132"/>
      <c r="J21" s="132">
        <f>572.186+3178.814</f>
        <v>3751</v>
      </c>
      <c r="K21" s="132">
        <f t="shared" si="8"/>
        <v>1562</v>
      </c>
      <c r="L21" s="132">
        <f t="shared" si="9"/>
        <v>0</v>
      </c>
      <c r="M21" s="133">
        <f>30-17</f>
        <v>13</v>
      </c>
      <c r="N21" s="133">
        <f t="shared" si="12"/>
        <v>0</v>
      </c>
      <c r="O21" s="134">
        <v>0</v>
      </c>
      <c r="P21" s="133"/>
      <c r="Q21" s="2" t="s">
        <v>480</v>
      </c>
      <c r="R21" s="156">
        <f t="shared" si="10"/>
        <v>0</v>
      </c>
      <c r="S21" s="156">
        <f t="shared" si="11"/>
        <v>0</v>
      </c>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53">
        <v>0</v>
      </c>
      <c r="AT21" s="153">
        <v>0</v>
      </c>
      <c r="AU21" s="156">
        <f>IF(H21&lt;50000,0,IF(AT21&gt;0,(H21/1.18-AT21-H21/100*0.8)*0.1,(H21/1.18-H21/1.18/100*5.4-H21/100*0.8)*0.1))</f>
        <v>0</v>
      </c>
      <c r="AV21" s="142"/>
      <c r="AW21" s="142"/>
      <c r="AX21" s="142"/>
      <c r="AY21" s="142"/>
      <c r="AZ21" s="142"/>
      <c r="BA21" s="142"/>
      <c r="BB21" s="142"/>
      <c r="BC21" s="142"/>
      <c r="BD21" s="142"/>
      <c r="BE21" s="135">
        <v>0</v>
      </c>
      <c r="BF21" s="135"/>
      <c r="BG21" s="142"/>
      <c r="BH21" s="142"/>
      <c r="BI21" s="2" t="s">
        <v>11</v>
      </c>
      <c r="BJ21" s="136">
        <v>44651</v>
      </c>
      <c r="BK21" s="2" t="s">
        <v>109</v>
      </c>
      <c r="BL21" s="136" t="s">
        <v>113</v>
      </c>
      <c r="BM21" s="136">
        <v>44511</v>
      </c>
      <c r="BN21" s="2" t="s">
        <v>165</v>
      </c>
      <c r="BO21" s="2">
        <v>1516</v>
      </c>
      <c r="BP21" s="136"/>
      <c r="BQ21" s="137" t="s">
        <v>119</v>
      </c>
      <c r="BR21" s="138"/>
    </row>
    <row r="22" spans="1:70" ht="12.75" customHeight="1" x14ac:dyDescent="0.2">
      <c r="A22" s="2">
        <v>1497</v>
      </c>
      <c r="B22" s="2" t="s">
        <v>54</v>
      </c>
      <c r="C22" s="2" t="s">
        <v>4</v>
      </c>
      <c r="D22" s="2" t="s">
        <v>160</v>
      </c>
      <c r="E22" s="2" t="s">
        <v>71</v>
      </c>
      <c r="F22" s="132">
        <v>658219</v>
      </c>
      <c r="G22" s="132"/>
      <c r="H22" s="132">
        <f>488220+65204+64429+38553</f>
        <v>656406</v>
      </c>
      <c r="I22" s="132"/>
      <c r="J22" s="132">
        <f>74474.24+183744.76+200000+9946.37+9828.15+50412.48+88000+20000+20000</f>
        <v>656406</v>
      </c>
      <c r="K22" s="132">
        <f t="shared" si="8"/>
        <v>1813</v>
      </c>
      <c r="L22" s="132">
        <f t="shared" si="9"/>
        <v>0</v>
      </c>
      <c r="M22" s="133">
        <v>13346</v>
      </c>
      <c r="N22" s="133">
        <f t="shared" si="12"/>
        <v>0</v>
      </c>
      <c r="O22" s="134">
        <v>0</v>
      </c>
      <c r="P22" s="133"/>
      <c r="Q22" s="2" t="s">
        <v>158</v>
      </c>
      <c r="R22" s="156">
        <f t="shared" si="10"/>
        <v>0</v>
      </c>
      <c r="S22" s="156">
        <f t="shared" si="11"/>
        <v>0</v>
      </c>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53">
        <v>0</v>
      </c>
      <c r="AT22" s="153">
        <v>0</v>
      </c>
      <c r="AU22" s="156">
        <f>IF(H22&lt;50000,0,IF(AT22&gt;0,(H22/1.18-AT22-H22/100*0.8)*0.1,(H22/1.18-H22/1.18/100*5.4-H22/100*0.8)*0.1))</f>
        <v>52098.610454237292</v>
      </c>
      <c r="AV22" s="142"/>
      <c r="AW22" s="142"/>
      <c r="AX22" s="142"/>
      <c r="AY22" s="142"/>
      <c r="AZ22" s="142"/>
      <c r="BA22" s="142"/>
      <c r="BB22" s="142"/>
      <c r="BC22" s="142"/>
      <c r="BD22" s="142"/>
      <c r="BE22" s="135">
        <v>0</v>
      </c>
      <c r="BF22" s="135"/>
      <c r="BG22" s="142"/>
      <c r="BH22" s="142"/>
      <c r="BI22" s="2" t="s">
        <v>11</v>
      </c>
      <c r="BJ22" s="136">
        <v>44712</v>
      </c>
      <c r="BK22" s="2" t="s">
        <v>109</v>
      </c>
      <c r="BL22" s="136" t="s">
        <v>113</v>
      </c>
      <c r="BM22" s="136">
        <v>44423</v>
      </c>
      <c r="BN22" s="2" t="s">
        <v>159</v>
      </c>
      <c r="BO22" s="2">
        <v>1505</v>
      </c>
      <c r="BP22" s="136"/>
      <c r="BQ22" s="137" t="s">
        <v>119</v>
      </c>
      <c r="BR22" s="138"/>
    </row>
    <row r="23" spans="1:70" ht="12.75" customHeight="1" x14ac:dyDescent="0.2">
      <c r="A23" s="2">
        <v>1616</v>
      </c>
      <c r="B23" s="2" t="s">
        <v>28</v>
      </c>
      <c r="C23" s="2" t="s">
        <v>93</v>
      </c>
      <c r="D23" s="2" t="s">
        <v>441</v>
      </c>
      <c r="E23" s="2" t="s">
        <v>87</v>
      </c>
      <c r="F23" s="132">
        <v>610000</v>
      </c>
      <c r="G23" s="132"/>
      <c r="H23" s="132">
        <f>420000+130000+47280.69+7904.75+N("Project")</f>
        <v>605185.43999999994</v>
      </c>
      <c r="I23" s="132"/>
      <c r="J23" s="132">
        <f>64067.8+19830.51+7212.308+1205.809+AS23+46767.323</f>
        <v>605185.43999999994</v>
      </c>
      <c r="K23" s="132">
        <f t="shared" si="8"/>
        <v>4814.5600000000559</v>
      </c>
      <c r="L23" s="132">
        <f t="shared" si="9"/>
        <v>0</v>
      </c>
      <c r="M23" s="133">
        <v>4354</v>
      </c>
      <c r="N23" s="133">
        <f t="shared" si="12"/>
        <v>0</v>
      </c>
      <c r="O23" s="134">
        <v>0</v>
      </c>
      <c r="P23" s="133"/>
      <c r="Q23" s="2" t="s">
        <v>442</v>
      </c>
      <c r="R23" s="156">
        <f t="shared" si="10"/>
        <v>0</v>
      </c>
      <c r="S23" s="156">
        <f t="shared" si="11"/>
        <v>0</v>
      </c>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55">
        <v>466101.69</v>
      </c>
      <c r="AT23" s="156">
        <v>43787.44</v>
      </c>
      <c r="AU23" s="156">
        <f>IF(H23&lt;50000,0,IF(AT23&gt;0,(H23/1.18-AT23-H23/100*0.8)*0.1,(H23/1.18-H23/1.18/100*5.4-H23/100*0.8)*0.1))</f>
        <v>46424.009342915255</v>
      </c>
      <c r="AV23" s="142"/>
      <c r="AW23" s="142"/>
      <c r="AX23" s="142"/>
      <c r="AY23" s="142"/>
      <c r="AZ23" s="142"/>
      <c r="BA23" s="142"/>
      <c r="BB23" s="142"/>
      <c r="BC23" s="142"/>
      <c r="BD23" s="142"/>
      <c r="BE23" s="142"/>
      <c r="BF23" s="142"/>
      <c r="BG23" s="142"/>
      <c r="BH23" s="142"/>
      <c r="BI23" s="2" t="s">
        <v>11</v>
      </c>
      <c r="BJ23" s="136">
        <v>44925</v>
      </c>
      <c r="BK23" s="2" t="s">
        <v>8</v>
      </c>
      <c r="BL23" s="136" t="s">
        <v>18</v>
      </c>
      <c r="BM23" s="136">
        <v>44641</v>
      </c>
      <c r="BN23" s="2" t="s">
        <v>1553</v>
      </c>
      <c r="BO23" s="2"/>
      <c r="BP23" s="136"/>
      <c r="BQ23" s="137"/>
      <c r="BR23" s="138"/>
    </row>
    <row r="24" spans="1:70" ht="12.75" customHeight="1" x14ac:dyDescent="0.2">
      <c r="A24" s="2">
        <v>1509</v>
      </c>
      <c r="B24" s="2" t="s">
        <v>54</v>
      </c>
      <c r="C24" s="2" t="s">
        <v>96</v>
      </c>
      <c r="D24" s="2" t="s">
        <v>203</v>
      </c>
      <c r="E24" s="2" t="s">
        <v>71</v>
      </c>
      <c r="F24" s="132">
        <v>22886</v>
      </c>
      <c r="G24" s="132"/>
      <c r="H24" s="132">
        <v>22751</v>
      </c>
      <c r="I24" s="132"/>
      <c r="J24" s="132">
        <f>3470.49+19280.51</f>
        <v>22751</v>
      </c>
      <c r="K24" s="132">
        <f t="shared" si="8"/>
        <v>135</v>
      </c>
      <c r="L24" s="132">
        <f t="shared" si="9"/>
        <v>0</v>
      </c>
      <c r="M24" s="133">
        <v>448.5</v>
      </c>
      <c r="N24" s="133">
        <f t="shared" si="12"/>
        <v>0</v>
      </c>
      <c r="O24" s="134">
        <v>0</v>
      </c>
      <c r="P24" s="133"/>
      <c r="Q24" s="2" t="s">
        <v>3737</v>
      </c>
      <c r="R24" s="156">
        <f t="shared" si="10"/>
        <v>0</v>
      </c>
      <c r="S24" s="156">
        <f t="shared" si="11"/>
        <v>0</v>
      </c>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53">
        <v>0</v>
      </c>
      <c r="AT24" s="153">
        <v>0</v>
      </c>
      <c r="AU24" s="156">
        <f>IF(H24&lt;50000,0,IF(AT24&gt;0,(H24/1.18-AT24-H24/100*0.8)*0.1,(H24/1.18-H24/1.18/100*5.4-H24/100*0.8)*0.1))</f>
        <v>0</v>
      </c>
      <c r="AV24" s="142"/>
      <c r="AW24" s="142"/>
      <c r="AX24" s="142"/>
      <c r="AY24" s="142"/>
      <c r="AZ24" s="142"/>
      <c r="BA24" s="142"/>
      <c r="BB24" s="142"/>
      <c r="BC24" s="142"/>
      <c r="BD24" s="142"/>
      <c r="BE24" s="135">
        <v>0</v>
      </c>
      <c r="BF24" s="135"/>
      <c r="BG24" s="142"/>
      <c r="BH24" s="142"/>
      <c r="BI24" s="2" t="s">
        <v>11</v>
      </c>
      <c r="BJ24" s="136">
        <v>44651</v>
      </c>
      <c r="BK24" s="2" t="s">
        <v>109</v>
      </c>
      <c r="BL24" s="136" t="s">
        <v>18</v>
      </c>
      <c r="BM24" s="136">
        <v>44533</v>
      </c>
      <c r="BN24" s="2" t="s">
        <v>169</v>
      </c>
      <c r="BO24" s="2">
        <v>155</v>
      </c>
      <c r="BP24" s="136"/>
      <c r="BQ24" s="137" t="s">
        <v>119</v>
      </c>
      <c r="BR24" s="138"/>
    </row>
    <row r="25" spans="1:70" ht="12.75" customHeight="1" x14ac:dyDescent="0.2">
      <c r="A25" s="2">
        <v>1513</v>
      </c>
      <c r="B25" s="2" t="s">
        <v>100</v>
      </c>
      <c r="C25" s="2" t="s">
        <v>99</v>
      </c>
      <c r="D25" s="2" t="s">
        <v>210</v>
      </c>
      <c r="E25" s="2" t="s">
        <v>105</v>
      </c>
      <c r="F25" s="132">
        <f>63700.88+2991.16</f>
        <v>66692.039999999994</v>
      </c>
      <c r="G25" s="132"/>
      <c r="H25" s="132">
        <f>63700.88+2991.16</f>
        <v>66692.039999999994</v>
      </c>
      <c r="I25" s="132"/>
      <c r="J25" s="132">
        <f>56518.68+10173.36+S25</f>
        <v>66692.040000000008</v>
      </c>
      <c r="K25" s="132">
        <f t="shared" si="8"/>
        <v>0</v>
      </c>
      <c r="L25" s="132">
        <f t="shared" si="9"/>
        <v>0</v>
      </c>
      <c r="M25" s="133">
        <v>1604</v>
      </c>
      <c r="N25" s="133">
        <f t="shared" si="12"/>
        <v>-1.4551915228366852E-11</v>
      </c>
      <c r="O25" s="134">
        <v>0</v>
      </c>
      <c r="P25" s="133"/>
      <c r="Q25" s="2" t="s">
        <v>211</v>
      </c>
      <c r="R25" s="156">
        <f t="shared" si="10"/>
        <v>0</v>
      </c>
      <c r="S25" s="156">
        <f t="shared" si="11"/>
        <v>0</v>
      </c>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53">
        <v>0</v>
      </c>
      <c r="AT25" s="153">
        <v>0</v>
      </c>
      <c r="AU25" s="153">
        <v>0</v>
      </c>
      <c r="AV25" s="135"/>
      <c r="AW25" s="135"/>
      <c r="AX25" s="135"/>
      <c r="AY25" s="135"/>
      <c r="AZ25" s="135"/>
      <c r="BA25" s="135"/>
      <c r="BB25" s="135"/>
      <c r="BC25" s="135"/>
      <c r="BD25" s="135"/>
      <c r="BE25" s="135"/>
      <c r="BF25" s="135"/>
      <c r="BG25" s="135"/>
      <c r="BH25" s="135"/>
      <c r="BI25" s="2" t="s">
        <v>10</v>
      </c>
      <c r="BJ25" s="136">
        <v>44655</v>
      </c>
      <c r="BK25" s="2" t="s">
        <v>109</v>
      </c>
      <c r="BL25" s="136" t="s">
        <v>113</v>
      </c>
      <c r="BM25" s="136">
        <v>44508</v>
      </c>
      <c r="BN25" s="2" t="s">
        <v>170</v>
      </c>
      <c r="BO25" s="2" t="s">
        <v>207</v>
      </c>
      <c r="BP25" s="136"/>
      <c r="BQ25" s="137" t="s">
        <v>134</v>
      </c>
      <c r="BR25" s="138"/>
    </row>
    <row r="26" spans="1:70" ht="12.75" customHeight="1" x14ac:dyDescent="0.2">
      <c r="A26" s="2">
        <v>1514</v>
      </c>
      <c r="B26" s="2" t="s">
        <v>19</v>
      </c>
      <c r="C26" s="2" t="s">
        <v>24</v>
      </c>
      <c r="D26" s="2" t="s">
        <v>471</v>
      </c>
      <c r="E26" s="2" t="s">
        <v>123</v>
      </c>
      <c r="F26" s="132">
        <v>1426.25</v>
      </c>
      <c r="G26" s="132"/>
      <c r="H26" s="132">
        <v>1426.25</v>
      </c>
      <c r="I26" s="132"/>
      <c r="J26" s="132">
        <v>1426.25</v>
      </c>
      <c r="K26" s="132">
        <f t="shared" si="8"/>
        <v>0</v>
      </c>
      <c r="L26" s="132">
        <f t="shared" si="9"/>
        <v>0</v>
      </c>
      <c r="M26" s="133"/>
      <c r="N26" s="133">
        <f t="shared" si="12"/>
        <v>0</v>
      </c>
      <c r="O26" s="134">
        <v>0</v>
      </c>
      <c r="P26" s="133"/>
      <c r="Q26" s="2" t="s">
        <v>152</v>
      </c>
      <c r="R26" s="156">
        <f t="shared" si="10"/>
        <v>0</v>
      </c>
      <c r="S26" s="156">
        <f t="shared" si="11"/>
        <v>0</v>
      </c>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53">
        <v>0</v>
      </c>
      <c r="AT26" s="153">
        <v>0</v>
      </c>
      <c r="AU26" s="153">
        <v>0</v>
      </c>
      <c r="AV26" s="135"/>
      <c r="AW26" s="135"/>
      <c r="AX26" s="135"/>
      <c r="AY26" s="135"/>
      <c r="AZ26" s="135"/>
      <c r="BA26" s="135"/>
      <c r="BB26" s="135"/>
      <c r="BC26" s="135"/>
      <c r="BD26" s="135"/>
      <c r="BE26" s="135"/>
      <c r="BF26" s="135"/>
      <c r="BG26" s="135"/>
      <c r="BH26" s="135"/>
      <c r="BI26" s="2" t="s">
        <v>112</v>
      </c>
      <c r="BJ26" s="136">
        <v>44621</v>
      </c>
      <c r="BK26" s="2" t="s">
        <v>145</v>
      </c>
      <c r="BL26" s="136" t="s">
        <v>113</v>
      </c>
      <c r="BM26" s="136">
        <v>44607</v>
      </c>
      <c r="BN26" s="2" t="s">
        <v>175</v>
      </c>
      <c r="BO26" s="2"/>
      <c r="BP26" s="136"/>
      <c r="BQ26" s="137"/>
      <c r="BR26" s="138"/>
    </row>
    <row r="27" spans="1:70" ht="12.75" customHeight="1" x14ac:dyDescent="0.2">
      <c r="A27" s="2">
        <v>1515</v>
      </c>
      <c r="B27" s="2" t="s">
        <v>19</v>
      </c>
      <c r="C27" s="2" t="s">
        <v>24</v>
      </c>
      <c r="D27" s="2" t="s">
        <v>471</v>
      </c>
      <c r="E27" s="2" t="s">
        <v>115</v>
      </c>
      <c r="F27" s="132">
        <v>47083</v>
      </c>
      <c r="G27" s="132"/>
      <c r="H27" s="132">
        <v>42187</v>
      </c>
      <c r="I27" s="132"/>
      <c r="J27" s="132">
        <f>6435.30508474576+35751.6949152542</f>
        <v>42186.999999999956</v>
      </c>
      <c r="K27" s="132">
        <f t="shared" si="8"/>
        <v>4896.0000000000437</v>
      </c>
      <c r="L27" s="132">
        <f t="shared" si="9"/>
        <v>0</v>
      </c>
      <c r="M27" s="133">
        <v>813.8</v>
      </c>
      <c r="N27" s="133">
        <f t="shared" si="12"/>
        <v>4.3655745685100555E-11</v>
      </c>
      <c r="O27" s="134">
        <v>0</v>
      </c>
      <c r="P27" s="133"/>
      <c r="Q27" s="2" t="s">
        <v>152</v>
      </c>
      <c r="R27" s="156">
        <f t="shared" si="10"/>
        <v>0</v>
      </c>
      <c r="S27" s="156">
        <f t="shared" si="11"/>
        <v>0</v>
      </c>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53">
        <v>0</v>
      </c>
      <c r="AT27" s="153">
        <v>0</v>
      </c>
      <c r="AU27" s="153">
        <v>0</v>
      </c>
      <c r="AV27" s="135"/>
      <c r="AW27" s="135"/>
      <c r="AX27" s="135"/>
      <c r="AY27" s="135"/>
      <c r="AZ27" s="135"/>
      <c r="BA27" s="135"/>
      <c r="BB27" s="135"/>
      <c r="BC27" s="135"/>
      <c r="BD27" s="135"/>
      <c r="BE27" s="135"/>
      <c r="BF27" s="135"/>
      <c r="BG27" s="135"/>
      <c r="BH27" s="135"/>
      <c r="BI27" s="2" t="s">
        <v>11</v>
      </c>
      <c r="BJ27" s="136">
        <v>44681</v>
      </c>
      <c r="BK27" s="2" t="s">
        <v>8</v>
      </c>
      <c r="BL27" s="136" t="s">
        <v>113</v>
      </c>
      <c r="BM27" s="136">
        <v>44621</v>
      </c>
      <c r="BN27" s="2" t="s">
        <v>176</v>
      </c>
      <c r="BO27" s="2" t="s">
        <v>177</v>
      </c>
      <c r="BP27" s="136"/>
      <c r="BQ27" s="137" t="s">
        <v>119</v>
      </c>
      <c r="BR27" s="138"/>
    </row>
    <row r="28" spans="1:70" ht="12.75" customHeight="1" x14ac:dyDescent="0.2">
      <c r="A28" s="2">
        <v>1516</v>
      </c>
      <c r="B28" s="2" t="s">
        <v>28</v>
      </c>
      <c r="C28" s="2" t="s">
        <v>30</v>
      </c>
      <c r="D28" s="2" t="s">
        <v>178</v>
      </c>
      <c r="E28" s="2" t="s">
        <v>117</v>
      </c>
      <c r="F28" s="132">
        <v>549.5</v>
      </c>
      <c r="G28" s="132"/>
      <c r="H28" s="132">
        <v>549.5</v>
      </c>
      <c r="I28" s="132"/>
      <c r="J28" s="132">
        <v>549.5</v>
      </c>
      <c r="K28" s="132">
        <f t="shared" si="8"/>
        <v>0</v>
      </c>
      <c r="L28" s="132">
        <f t="shared" si="9"/>
        <v>0</v>
      </c>
      <c r="M28" s="133"/>
      <c r="N28" s="133">
        <f t="shared" si="12"/>
        <v>0</v>
      </c>
      <c r="O28" s="134">
        <v>0</v>
      </c>
      <c r="P28" s="133"/>
      <c r="Q28" s="2" t="s">
        <v>152</v>
      </c>
      <c r="R28" s="156">
        <f t="shared" si="10"/>
        <v>0</v>
      </c>
      <c r="S28" s="156">
        <f t="shared" si="11"/>
        <v>0</v>
      </c>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53">
        <v>0</v>
      </c>
      <c r="AT28" s="153">
        <v>0</v>
      </c>
      <c r="AU28" s="153">
        <v>0</v>
      </c>
      <c r="AV28" s="135"/>
      <c r="AW28" s="135"/>
      <c r="AX28" s="135"/>
      <c r="AY28" s="135"/>
      <c r="AZ28" s="135"/>
      <c r="BA28" s="135"/>
      <c r="BB28" s="135"/>
      <c r="BC28" s="135"/>
      <c r="BD28" s="135"/>
      <c r="BE28" s="135"/>
      <c r="BF28" s="135"/>
      <c r="BG28" s="135"/>
      <c r="BH28" s="135"/>
      <c r="BI28" s="2" t="s">
        <v>112</v>
      </c>
      <c r="BJ28" s="136">
        <v>44620</v>
      </c>
      <c r="BK28" s="2" t="s">
        <v>145</v>
      </c>
      <c r="BL28" s="136" t="s">
        <v>113</v>
      </c>
      <c r="BM28" s="136">
        <v>44602</v>
      </c>
      <c r="BN28" s="2" t="s">
        <v>179</v>
      </c>
      <c r="BO28" s="2"/>
      <c r="BP28" s="136"/>
      <c r="BQ28" s="137"/>
      <c r="BR28" s="138"/>
    </row>
    <row r="29" spans="1:70" ht="12.75" customHeight="1" x14ac:dyDescent="0.2">
      <c r="A29" s="2">
        <v>1517</v>
      </c>
      <c r="B29" s="2" t="s">
        <v>28</v>
      </c>
      <c r="C29" s="2" t="s">
        <v>30</v>
      </c>
      <c r="D29" s="2" t="s">
        <v>178</v>
      </c>
      <c r="E29" s="2" t="s">
        <v>87</v>
      </c>
      <c r="F29" s="132">
        <v>12812</v>
      </c>
      <c r="G29" s="132"/>
      <c r="H29" s="132">
        <v>12801</v>
      </c>
      <c r="I29" s="132"/>
      <c r="J29" s="132">
        <f>1952.69+10848.31</f>
        <v>12801</v>
      </c>
      <c r="K29" s="132">
        <f t="shared" si="8"/>
        <v>11</v>
      </c>
      <c r="L29" s="132">
        <f t="shared" si="9"/>
        <v>0</v>
      </c>
      <c r="M29" s="133">
        <f>314+5</f>
        <v>319</v>
      </c>
      <c r="N29" s="133">
        <f t="shared" si="12"/>
        <v>0</v>
      </c>
      <c r="O29" s="134">
        <v>0</v>
      </c>
      <c r="P29" s="133"/>
      <c r="Q29" s="2" t="s">
        <v>152</v>
      </c>
      <c r="R29" s="156">
        <f t="shared" si="10"/>
        <v>0</v>
      </c>
      <c r="S29" s="156">
        <f t="shared" si="11"/>
        <v>0</v>
      </c>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56">
        <v>0</v>
      </c>
      <c r="AT29" s="156">
        <v>0</v>
      </c>
      <c r="AU29" s="156">
        <f>IF(H29&lt;50000,0,IF(AT29&gt;0,(H29/1.18-AT29-H29/100*0.8)*0.1,(H29/1.18-H29/1.18/100*5.4-H29/100*0.8)*0.1))</f>
        <v>0</v>
      </c>
      <c r="AV29" s="142"/>
      <c r="AW29" s="142"/>
      <c r="AX29" s="142"/>
      <c r="AY29" s="142"/>
      <c r="AZ29" s="142"/>
      <c r="BA29" s="142"/>
      <c r="BB29" s="142"/>
      <c r="BC29" s="142"/>
      <c r="BD29" s="142"/>
      <c r="BE29" s="142"/>
      <c r="BF29" s="142"/>
      <c r="BG29" s="142"/>
      <c r="BH29" s="142"/>
      <c r="BI29" s="2" t="s">
        <v>11</v>
      </c>
      <c r="BJ29" s="136">
        <v>44651</v>
      </c>
      <c r="BK29" s="2" t="s">
        <v>109</v>
      </c>
      <c r="BL29" s="136" t="s">
        <v>113</v>
      </c>
      <c r="BM29" s="136">
        <v>44624</v>
      </c>
      <c r="BN29" s="2" t="s">
        <v>180</v>
      </c>
      <c r="BO29" s="2" t="s">
        <v>181</v>
      </c>
      <c r="BP29" s="136"/>
      <c r="BQ29" s="137" t="s">
        <v>119</v>
      </c>
      <c r="BR29" s="138"/>
    </row>
    <row r="30" spans="1:70" ht="12.75" customHeight="1" x14ac:dyDescent="0.2">
      <c r="A30" s="2">
        <v>1518</v>
      </c>
      <c r="B30" s="2" t="s">
        <v>28</v>
      </c>
      <c r="C30" s="2" t="s">
        <v>88</v>
      </c>
      <c r="D30" s="2" t="s">
        <v>184</v>
      </c>
      <c r="E30" s="2" t="s">
        <v>117</v>
      </c>
      <c r="F30" s="132">
        <v>3024</v>
      </c>
      <c r="G30" s="132"/>
      <c r="H30" s="132">
        <v>3024</v>
      </c>
      <c r="I30" s="132"/>
      <c r="J30" s="132">
        <f>461.288+2562.712</f>
        <v>3024</v>
      </c>
      <c r="K30" s="132">
        <f t="shared" si="8"/>
        <v>0</v>
      </c>
      <c r="L30" s="132">
        <f t="shared" si="9"/>
        <v>0</v>
      </c>
      <c r="M30" s="133"/>
      <c r="N30" s="133">
        <f t="shared" si="12"/>
        <v>0</v>
      </c>
      <c r="O30" s="134">
        <v>0</v>
      </c>
      <c r="P30" s="133"/>
      <c r="Q30" s="2" t="s">
        <v>152</v>
      </c>
      <c r="R30" s="156">
        <f t="shared" si="10"/>
        <v>0</v>
      </c>
      <c r="S30" s="156">
        <f t="shared" si="11"/>
        <v>0</v>
      </c>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53">
        <v>0</v>
      </c>
      <c r="AT30" s="153">
        <v>0</v>
      </c>
      <c r="AU30" s="153">
        <v>0</v>
      </c>
      <c r="AV30" s="135"/>
      <c r="AW30" s="135"/>
      <c r="AX30" s="135"/>
      <c r="AY30" s="135"/>
      <c r="AZ30" s="135"/>
      <c r="BA30" s="135"/>
      <c r="BB30" s="135"/>
      <c r="BC30" s="135"/>
      <c r="BD30" s="135"/>
      <c r="BE30" s="135"/>
      <c r="BF30" s="135"/>
      <c r="BG30" s="135"/>
      <c r="BH30" s="135"/>
      <c r="BI30" s="2" t="s">
        <v>112</v>
      </c>
      <c r="BJ30" s="136">
        <v>44627</v>
      </c>
      <c r="BK30" s="2" t="s">
        <v>145</v>
      </c>
      <c r="BL30" s="136" t="s">
        <v>18</v>
      </c>
      <c r="BM30" s="136">
        <v>44620</v>
      </c>
      <c r="BN30" s="2" t="s">
        <v>182</v>
      </c>
      <c r="BO30" s="2"/>
      <c r="BP30" s="136"/>
      <c r="BQ30" s="137"/>
      <c r="BR30" s="138"/>
    </row>
    <row r="31" spans="1:70" ht="12.75" customHeight="1" x14ac:dyDescent="0.2">
      <c r="A31" s="2">
        <v>1519</v>
      </c>
      <c r="B31" s="144" t="s">
        <v>28</v>
      </c>
      <c r="C31" s="144" t="s">
        <v>88</v>
      </c>
      <c r="D31" s="144" t="s">
        <v>184</v>
      </c>
      <c r="E31" s="144" t="s">
        <v>87</v>
      </c>
      <c r="F31" s="132">
        <v>306010</v>
      </c>
      <c r="G31" s="132" t="s">
        <v>3661</v>
      </c>
      <c r="H31" s="132"/>
      <c r="I31" s="132"/>
      <c r="J31" s="132"/>
      <c r="K31" s="132">
        <f t="shared" si="8"/>
        <v>306010</v>
      </c>
      <c r="L31" s="132">
        <f t="shared" si="9"/>
        <v>0</v>
      </c>
      <c r="M31" s="133">
        <v>1728</v>
      </c>
      <c r="N31" s="133">
        <f t="shared" si="12"/>
        <v>306010</v>
      </c>
      <c r="O31" s="134" t="s">
        <v>1634</v>
      </c>
      <c r="P31" s="133"/>
      <c r="Q31" s="2" t="s">
        <v>152</v>
      </c>
      <c r="R31" s="156">
        <f t="shared" si="10"/>
        <v>0</v>
      </c>
      <c r="S31" s="156">
        <f t="shared" si="11"/>
        <v>0</v>
      </c>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53">
        <v>0</v>
      </c>
      <c r="AT31" s="153">
        <v>0</v>
      </c>
      <c r="AU31" s="153">
        <v>0</v>
      </c>
      <c r="AV31" s="135"/>
      <c r="AW31" s="135"/>
      <c r="AX31" s="135"/>
      <c r="AY31" s="135"/>
      <c r="AZ31" s="135"/>
      <c r="BA31" s="135"/>
      <c r="BB31" s="135"/>
      <c r="BC31" s="135"/>
      <c r="BD31" s="135"/>
      <c r="BE31" s="135"/>
      <c r="BF31" s="135"/>
      <c r="BG31" s="135"/>
      <c r="BH31" s="135"/>
      <c r="BI31" s="2" t="s">
        <v>11</v>
      </c>
      <c r="BJ31" s="136"/>
      <c r="BK31" s="2">
        <v>0</v>
      </c>
      <c r="BL31" s="136" t="s">
        <v>18</v>
      </c>
      <c r="BM31" s="136">
        <v>44631</v>
      </c>
      <c r="BN31" s="2" t="s">
        <v>183</v>
      </c>
      <c r="BO31" s="2" t="s">
        <v>177</v>
      </c>
      <c r="BP31" s="136" t="s">
        <v>687</v>
      </c>
      <c r="BQ31" s="137" t="s">
        <v>119</v>
      </c>
      <c r="BR31" s="138"/>
    </row>
    <row r="32" spans="1:70" ht="12.75" customHeight="1" x14ac:dyDescent="0.2">
      <c r="A32" s="2">
        <v>1520</v>
      </c>
      <c r="B32" s="2" t="s">
        <v>54</v>
      </c>
      <c r="C32" s="2" t="s">
        <v>96</v>
      </c>
      <c r="D32" s="2" t="s">
        <v>185</v>
      </c>
      <c r="E32" s="2" t="s">
        <v>110</v>
      </c>
      <c r="F32" s="132">
        <f>213.5+2380</f>
        <v>2593.5</v>
      </c>
      <c r="G32" s="132"/>
      <c r="H32" s="132">
        <f>213.5+2380</f>
        <v>2593.5</v>
      </c>
      <c r="I32" s="132"/>
      <c r="J32" s="132">
        <f>395.618+2197.882</f>
        <v>2593.5</v>
      </c>
      <c r="K32" s="132">
        <f t="shared" si="8"/>
        <v>0</v>
      </c>
      <c r="L32" s="132">
        <f t="shared" si="9"/>
        <v>0</v>
      </c>
      <c r="M32" s="133"/>
      <c r="N32" s="133">
        <f t="shared" si="12"/>
        <v>0</v>
      </c>
      <c r="O32" s="134">
        <v>0</v>
      </c>
      <c r="P32" s="133"/>
      <c r="Q32" s="2" t="s">
        <v>144</v>
      </c>
      <c r="R32" s="156">
        <f t="shared" si="10"/>
        <v>0</v>
      </c>
      <c r="S32" s="156">
        <f t="shared" si="11"/>
        <v>0</v>
      </c>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53">
        <v>0</v>
      </c>
      <c r="AT32" s="153">
        <v>0</v>
      </c>
      <c r="AU32" s="153">
        <v>0</v>
      </c>
      <c r="AV32" s="135"/>
      <c r="AW32" s="135"/>
      <c r="AX32" s="135"/>
      <c r="AY32" s="135"/>
      <c r="AZ32" s="135"/>
      <c r="BA32" s="135"/>
      <c r="BB32" s="135"/>
      <c r="BC32" s="135"/>
      <c r="BD32" s="135"/>
      <c r="BE32" s="135"/>
      <c r="BF32" s="135"/>
      <c r="BG32" s="135"/>
      <c r="BH32" s="135"/>
      <c r="BI32" s="2" t="s">
        <v>112</v>
      </c>
      <c r="BJ32" s="136">
        <v>44641</v>
      </c>
      <c r="BK32" s="2" t="s">
        <v>145</v>
      </c>
      <c r="BL32" s="136" t="s">
        <v>18</v>
      </c>
      <c r="BM32" s="136">
        <v>44620</v>
      </c>
      <c r="BN32" s="2" t="s">
        <v>186</v>
      </c>
      <c r="BO32" s="2"/>
      <c r="BP32" s="136"/>
      <c r="BQ32" s="137"/>
      <c r="BR32" s="138"/>
    </row>
    <row r="33" spans="1:70" ht="12.75" customHeight="1" x14ac:dyDescent="0.2">
      <c r="A33" s="2">
        <v>1584</v>
      </c>
      <c r="B33" s="2" t="s">
        <v>54</v>
      </c>
      <c r="C33" s="2" t="s">
        <v>96</v>
      </c>
      <c r="D33" s="2" t="s">
        <v>348</v>
      </c>
      <c r="E33" s="2" t="s">
        <v>71</v>
      </c>
      <c r="F33" s="132">
        <v>3380000</v>
      </c>
      <c r="G33" s="132" t="s">
        <v>3673</v>
      </c>
      <c r="H33" s="132">
        <f>70450+44500+42000+33500+27172.25+37500+42500+41000+0+38800+16800+15300+43000+41500+49500+5908+64662.5+54000+47700+49300+31400+75000+58000+82600+18000+35900+43300+29800+50400+43200+8600+16200+4300+6400+5800+90000+18000+40000+25000+18000+15000+32000+15000+60000+18000+12000+35000+8000+20000+35000+10000+20000+10000+35000+35000+30000+35000+25000+30000+30000+17389.75+30000+20000+10000+50000+30000+35000+45000+60000+15000+10000+50000+11520.25+8000+15000+10996+6105.83+17891.88+16542.76+29844.78+28190.84+28551+29642+9509+6980+7596+1543+5442+737+2462+2906+559+259+23666+2859+7222+819+1386+3040+1106+201+4403+3641+9026+30000+28000+30000+50000+5000+3000+60000+50000+7540.75+35155+39940+3403+42395+56899+50569+64033+3242+28732+20983+673+12056+1008+4868+4817+40000+20000+15000+3000+3430+2568+17203+16484+28646+60450+60362+180725+125958+48697+60980+62487+46690+88896+112289+86109+43055+54798+47438+3679+73988+21012.25</f>
        <v>4601287.84</v>
      </c>
      <c r="I33" s="132"/>
      <c r="J33" s="132">
        <f>10746.61+70000+5720.34+6483.05+6254.28+5918.64+2562.71+2333.9+6559.32+6330.51+7550.85+901.22+110526.48 +N("ოქტ დღგ 19 შუალედურის")+109584.88+N("ნოემბ 26 მიღების ჯამური დღგ")+3050.847+1525.42+7627.118+4576.27+5338.98+6864.406+9152.54+2288.14+1525.42+7627.118+1757.326+1220.338+2288.1355+1677.3559+931.397+2729.269+2523.47+4552.59+4300.297+4521.66+4355.237+53597.59+N("იანვრის 29 მიღების დღგ")+69302.1+N("Feb 20 მიღების დღგ")+AS33+AV33+687352.34+179635.92+N("მარტის 17 ჩაბარების დღგ")+272000+2501.91+3123.31+655.51+1181.99+1107.83</f>
        <v>4601287.8344000001</v>
      </c>
      <c r="K33" s="132">
        <f t="shared" si="8"/>
        <v>-1221287.8344000001</v>
      </c>
      <c r="L33" s="132">
        <f t="shared" si="9"/>
        <v>5.59999980032444E-3</v>
      </c>
      <c r="M33" s="133"/>
      <c r="N33" s="133">
        <f t="shared" si="12"/>
        <v>-1221287.8344000001</v>
      </c>
      <c r="O33" s="134">
        <v>1</v>
      </c>
      <c r="P33" s="133"/>
      <c r="Q33" s="2" t="s">
        <v>347</v>
      </c>
      <c r="R33" s="156">
        <f t="shared" si="10"/>
        <v>0</v>
      </c>
      <c r="S33" s="156">
        <f t="shared" si="11"/>
        <v>0</v>
      </c>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53">
        <f>2113185.44+N("68 ფაქტორინგი")</f>
        <v>2113185.44</v>
      </c>
      <c r="AT33" s="153">
        <f>13852+N("მხოლოდ 2022-ში დასრულებული 8 ობიექტის (ჯამური თანხით 540 365 ლარი) ფაქტორინგი")</f>
        <v>13852</v>
      </c>
      <c r="AU33" s="156">
        <f>(540365/1.18-AT33-(540365/100*0.8))*0.1</f>
        <v>43976.152067796618</v>
      </c>
      <c r="AV33" s="142">
        <f>785737.77+N("შესაძლოა იყო ფაქტორინგი ათვისებული 2023-შიც")</f>
        <v>785737.77</v>
      </c>
      <c r="AW33" s="142"/>
      <c r="AX33" s="142"/>
      <c r="AY33" s="142"/>
      <c r="AZ33" s="142"/>
      <c r="BA33" s="142"/>
      <c r="BB33" s="142"/>
      <c r="BC33" s="142"/>
      <c r="BD33" s="142"/>
      <c r="BE33" s="142"/>
      <c r="BF33" s="142"/>
      <c r="BG33" s="142"/>
      <c r="BH33" s="142"/>
      <c r="BI33" s="2" t="s">
        <v>3476</v>
      </c>
      <c r="BJ33" s="136"/>
      <c r="BK33" s="142">
        <f>82996+68805.83+67191.88+64142.76+72344.78+61690.84+63551+59642</f>
        <v>540365.09</v>
      </c>
      <c r="BL33" s="136" t="s">
        <v>18</v>
      </c>
      <c r="BM33" s="136">
        <v>44677</v>
      </c>
      <c r="BN33" s="2" t="s">
        <v>1571</v>
      </c>
      <c r="BO33" s="2"/>
      <c r="BP33" s="136" t="s">
        <v>682</v>
      </c>
      <c r="BQ33" s="137"/>
      <c r="BR33" s="138"/>
    </row>
    <row r="34" spans="1:70" ht="12.75" customHeight="1" x14ac:dyDescent="0.2">
      <c r="A34" s="2">
        <v>1626</v>
      </c>
      <c r="B34" s="2" t="s">
        <v>28</v>
      </c>
      <c r="C34" s="2" t="s">
        <v>88</v>
      </c>
      <c r="D34" s="2" t="s">
        <v>461</v>
      </c>
      <c r="E34" s="2" t="s">
        <v>87</v>
      </c>
      <c r="F34" s="132">
        <v>700000</v>
      </c>
      <c r="G34" s="132"/>
      <c r="H34" s="132">
        <f>430000+94696.55</f>
        <v>524696.55000000005</v>
      </c>
      <c r="I34" s="132"/>
      <c r="J34" s="132">
        <f>65593.22+14445.236+80251.314+AS34</f>
        <v>524696.55000000005</v>
      </c>
      <c r="K34" s="132">
        <f t="shared" si="8"/>
        <v>175303.44999999995</v>
      </c>
      <c r="L34" s="132">
        <f t="shared" si="9"/>
        <v>0</v>
      </c>
      <c r="M34" s="133">
        <v>1307</v>
      </c>
      <c r="N34" s="133">
        <f t="shared" si="12"/>
        <v>0</v>
      </c>
      <c r="O34" s="134">
        <v>0</v>
      </c>
      <c r="P34" s="133"/>
      <c r="Q34" s="2" t="s">
        <v>462</v>
      </c>
      <c r="R34" s="156">
        <f t="shared" si="10"/>
        <v>0</v>
      </c>
      <c r="S34" s="156">
        <f t="shared" si="11"/>
        <v>0</v>
      </c>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56">
        <v>364406.78</v>
      </c>
      <c r="AT34" s="156">
        <v>26571.75</v>
      </c>
      <c r="AU34" s="156">
        <f>IF(H34&lt;50000,0,IF(AT34&gt;0,(H34/1.18-AT34-H34/100*0.8)*0.1,(H34/1.18-H34/1.18/100*5.4-H34/100*0.8)*0.1))</f>
        <v>41388.877082033905</v>
      </c>
      <c r="AV34" s="142"/>
      <c r="AW34" s="142"/>
      <c r="AX34" s="142"/>
      <c r="AY34" s="142"/>
      <c r="AZ34" s="142"/>
      <c r="BA34" s="142"/>
      <c r="BB34" s="142"/>
      <c r="BC34" s="142"/>
      <c r="BD34" s="142"/>
      <c r="BE34" s="142"/>
      <c r="BF34" s="142"/>
      <c r="BG34" s="142"/>
      <c r="BH34" s="142"/>
      <c r="BI34" s="2" t="s">
        <v>11</v>
      </c>
      <c r="BJ34" s="136">
        <v>44925</v>
      </c>
      <c r="BK34" s="2" t="s">
        <v>109</v>
      </c>
      <c r="BL34" s="136" t="s">
        <v>18</v>
      </c>
      <c r="BM34" s="136">
        <v>44641</v>
      </c>
      <c r="BN34" s="2" t="s">
        <v>1563</v>
      </c>
      <c r="BO34" s="2"/>
      <c r="BP34" s="136"/>
      <c r="BQ34" s="137"/>
      <c r="BR34" s="138"/>
    </row>
    <row r="35" spans="1:70" ht="12.75" customHeight="1" x14ac:dyDescent="0.2">
      <c r="A35" s="2">
        <v>1625</v>
      </c>
      <c r="B35" s="2" t="s">
        <v>28</v>
      </c>
      <c r="C35" s="2" t="s">
        <v>88</v>
      </c>
      <c r="D35" s="2" t="s">
        <v>459</v>
      </c>
      <c r="E35" s="2" t="s">
        <v>87</v>
      </c>
      <c r="F35" s="132">
        <v>253000</v>
      </c>
      <c r="G35" s="132"/>
      <c r="H35" s="132">
        <f>200000+200000+119999.52</f>
        <v>519999.52</v>
      </c>
      <c r="I35" s="132"/>
      <c r="J35" s="132">
        <f>30508.47+30508.47+18305.01+101694.52+AS35</f>
        <v>519999.52</v>
      </c>
      <c r="K35" s="132">
        <f t="shared" si="8"/>
        <v>-266999.52</v>
      </c>
      <c r="L35" s="132">
        <f t="shared" si="9"/>
        <v>0</v>
      </c>
      <c r="M35" s="133">
        <v>2126</v>
      </c>
      <c r="N35" s="133">
        <f t="shared" si="12"/>
        <v>0</v>
      </c>
      <c r="O35" s="134">
        <v>0</v>
      </c>
      <c r="P35" s="133"/>
      <c r="Q35" s="2" t="s">
        <v>460</v>
      </c>
      <c r="R35" s="156">
        <f t="shared" si="10"/>
        <v>0</v>
      </c>
      <c r="S35" s="156">
        <f t="shared" si="11"/>
        <v>0</v>
      </c>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56">
        <v>338983.05</v>
      </c>
      <c r="AT35" s="156">
        <v>29384.719999999998</v>
      </c>
      <c r="AU35" s="156">
        <f>IF(H35&lt;50000,0,IF(AT35&gt;0,(H35/1.18-AT35-H35/100*0.8)*0.1,(H35/1.18-H35/1.18/100*5.4-H35/100*0.8)*0.1))</f>
        <v>40713.284316203404</v>
      </c>
      <c r="AV35" s="142"/>
      <c r="AW35" s="142"/>
      <c r="AX35" s="142"/>
      <c r="AY35" s="142"/>
      <c r="AZ35" s="142"/>
      <c r="BA35" s="142"/>
      <c r="BB35" s="142"/>
      <c r="BC35" s="142"/>
      <c r="BD35" s="142"/>
      <c r="BE35" s="142"/>
      <c r="BF35" s="142"/>
      <c r="BG35" s="142"/>
      <c r="BH35" s="142"/>
      <c r="BI35" s="2" t="s">
        <v>11</v>
      </c>
      <c r="BJ35" s="136">
        <v>44925</v>
      </c>
      <c r="BK35" s="2" t="s">
        <v>109</v>
      </c>
      <c r="BL35" s="136" t="s">
        <v>18</v>
      </c>
      <c r="BM35" s="136">
        <v>44641</v>
      </c>
      <c r="BN35" s="2" t="s">
        <v>1562</v>
      </c>
      <c r="BO35" s="2"/>
      <c r="BP35" s="136"/>
      <c r="BQ35" s="137"/>
      <c r="BR35" s="138"/>
    </row>
    <row r="36" spans="1:70" ht="12.75" customHeight="1" x14ac:dyDescent="0.2">
      <c r="A36" s="2">
        <v>1524</v>
      </c>
      <c r="B36" s="2" t="s">
        <v>39</v>
      </c>
      <c r="C36" s="2" t="s">
        <v>74</v>
      </c>
      <c r="D36" s="2" t="s">
        <v>196</v>
      </c>
      <c r="E36" s="2" t="s">
        <v>90</v>
      </c>
      <c r="F36" s="132">
        <f>45318+2304</f>
        <v>47622</v>
      </c>
      <c r="G36" s="132"/>
      <c r="H36" s="132">
        <v>47622</v>
      </c>
      <c r="I36" s="132"/>
      <c r="J36" s="132">
        <f>7264.37+34879.66+5477.96999999999</f>
        <v>47622</v>
      </c>
      <c r="K36" s="132">
        <f t="shared" si="8"/>
        <v>0</v>
      </c>
      <c r="L36" s="132">
        <f t="shared" si="9"/>
        <v>0</v>
      </c>
      <c r="M36" s="133">
        <v>1143</v>
      </c>
      <c r="N36" s="133">
        <f t="shared" si="12"/>
        <v>0</v>
      </c>
      <c r="O36" s="134">
        <v>0</v>
      </c>
      <c r="P36" s="133"/>
      <c r="Q36" s="2" t="s">
        <v>193</v>
      </c>
      <c r="R36" s="156">
        <f t="shared" si="10"/>
        <v>0</v>
      </c>
      <c r="S36" s="156">
        <f t="shared" si="11"/>
        <v>0</v>
      </c>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53">
        <v>0</v>
      </c>
      <c r="AT36" s="153">
        <v>0</v>
      </c>
      <c r="AU36" s="156">
        <f>IF(H36&lt;50000,0,IF(AT36&gt;0,(H36/1.18-AT36-H36/100*0.8)*0.1,(H36/1.18-H36/1.18/100*5.4-H36/100*0.8)*0.1))</f>
        <v>0</v>
      </c>
      <c r="AV36" s="142"/>
      <c r="AW36" s="142"/>
      <c r="AX36" s="142"/>
      <c r="AY36" s="142"/>
      <c r="AZ36" s="142"/>
      <c r="BA36" s="142"/>
      <c r="BB36" s="142"/>
      <c r="BC36" s="142"/>
      <c r="BD36" s="142"/>
      <c r="BE36" s="142"/>
      <c r="BF36" s="142"/>
      <c r="BG36" s="142"/>
      <c r="BH36" s="142"/>
      <c r="BI36" s="2" t="s">
        <v>11</v>
      </c>
      <c r="BJ36" s="136">
        <v>44651</v>
      </c>
      <c r="BK36" s="2" t="s">
        <v>109</v>
      </c>
      <c r="BL36" s="136" t="s">
        <v>18</v>
      </c>
      <c r="BM36" s="136">
        <v>44571</v>
      </c>
      <c r="BN36" s="2" t="s">
        <v>505</v>
      </c>
      <c r="BO36" s="2">
        <v>133</v>
      </c>
      <c r="BP36" s="136"/>
      <c r="BQ36" s="137" t="s">
        <v>119</v>
      </c>
      <c r="BR36" s="138"/>
    </row>
    <row r="37" spans="1:70" ht="12.75" customHeight="1" x14ac:dyDescent="0.2">
      <c r="A37" s="2">
        <v>1525</v>
      </c>
      <c r="B37" s="2" t="s">
        <v>28</v>
      </c>
      <c r="C37" s="2" t="s">
        <v>88</v>
      </c>
      <c r="D37" s="2" t="s">
        <v>198</v>
      </c>
      <c r="E37" s="2" t="s">
        <v>117</v>
      </c>
      <c r="F37" s="132">
        <v>633.5</v>
      </c>
      <c r="G37" s="132"/>
      <c r="H37" s="132">
        <v>633.5</v>
      </c>
      <c r="I37" s="132"/>
      <c r="J37" s="132">
        <v>633.5</v>
      </c>
      <c r="K37" s="132">
        <f t="shared" si="8"/>
        <v>0</v>
      </c>
      <c r="L37" s="132">
        <f t="shared" si="9"/>
        <v>0</v>
      </c>
      <c r="M37" s="133"/>
      <c r="N37" s="133">
        <f t="shared" si="12"/>
        <v>0</v>
      </c>
      <c r="O37" s="134">
        <v>0</v>
      </c>
      <c r="P37" s="133"/>
      <c r="Q37" s="2" t="s">
        <v>152</v>
      </c>
      <c r="R37" s="156">
        <f t="shared" si="10"/>
        <v>0</v>
      </c>
      <c r="S37" s="156">
        <f t="shared" si="11"/>
        <v>0</v>
      </c>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53">
        <v>0</v>
      </c>
      <c r="AT37" s="153">
        <v>0</v>
      </c>
      <c r="AU37" s="153">
        <v>0</v>
      </c>
      <c r="AV37" s="135"/>
      <c r="AW37" s="135"/>
      <c r="AX37" s="135"/>
      <c r="AY37" s="135"/>
      <c r="AZ37" s="135"/>
      <c r="BA37" s="135"/>
      <c r="BB37" s="135"/>
      <c r="BC37" s="135"/>
      <c r="BD37" s="135"/>
      <c r="BE37" s="135"/>
      <c r="BF37" s="135"/>
      <c r="BG37" s="135"/>
      <c r="BH37" s="135"/>
      <c r="BI37" s="2" t="s">
        <v>112</v>
      </c>
      <c r="BJ37" s="136">
        <v>44649</v>
      </c>
      <c r="BK37" s="2" t="s">
        <v>145</v>
      </c>
      <c r="BL37" s="136" t="s">
        <v>18</v>
      </c>
      <c r="BM37" s="136">
        <v>44645</v>
      </c>
      <c r="BN37" s="2" t="s">
        <v>199</v>
      </c>
      <c r="BO37" s="2"/>
      <c r="BP37" s="136"/>
      <c r="BQ37" s="137"/>
      <c r="BR37" s="138"/>
    </row>
    <row r="38" spans="1:70" ht="12.75" customHeight="1" x14ac:dyDescent="0.2">
      <c r="A38" s="2">
        <v>1526</v>
      </c>
      <c r="B38" s="2" t="s">
        <v>28</v>
      </c>
      <c r="C38" s="2" t="s">
        <v>88</v>
      </c>
      <c r="D38" s="2" t="s">
        <v>198</v>
      </c>
      <c r="E38" s="2" t="s">
        <v>87</v>
      </c>
      <c r="F38" s="132">
        <v>29668</v>
      </c>
      <c r="G38" s="132"/>
      <c r="H38" s="132">
        <v>29579</v>
      </c>
      <c r="I38" s="132"/>
      <c r="J38" s="132">
        <v>29579</v>
      </c>
      <c r="K38" s="132">
        <f t="shared" si="8"/>
        <v>89</v>
      </c>
      <c r="L38" s="132">
        <f t="shared" si="9"/>
        <v>0</v>
      </c>
      <c r="M38" s="133">
        <v>362</v>
      </c>
      <c r="N38" s="133">
        <f t="shared" si="12"/>
        <v>0</v>
      </c>
      <c r="O38" s="134">
        <v>0</v>
      </c>
      <c r="P38" s="133"/>
      <c r="Q38" s="2" t="s">
        <v>152</v>
      </c>
      <c r="R38" s="156">
        <f t="shared" si="10"/>
        <v>0</v>
      </c>
      <c r="S38" s="156">
        <f t="shared" si="11"/>
        <v>0</v>
      </c>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56">
        <v>0</v>
      </c>
      <c r="AT38" s="156">
        <v>0</v>
      </c>
      <c r="AU38" s="156">
        <f>IF(H38&lt;50000,0,IF(AT38&gt;0,(H38/1.18-AT38-H38/100*0.8)*0.1,(H38/1.18-H38/1.18/100*5.4-H38/100*0.8)*0.1))</f>
        <v>0</v>
      </c>
      <c r="AV38" s="142"/>
      <c r="AW38" s="142"/>
      <c r="AX38" s="142"/>
      <c r="AY38" s="142"/>
      <c r="AZ38" s="142"/>
      <c r="BA38" s="142"/>
      <c r="BB38" s="142"/>
      <c r="BC38" s="142"/>
      <c r="BD38" s="142"/>
      <c r="BE38" s="142"/>
      <c r="BF38" s="142"/>
      <c r="BG38" s="142"/>
      <c r="BH38" s="142"/>
      <c r="BI38" s="2" t="s">
        <v>11</v>
      </c>
      <c r="BJ38" s="136">
        <v>44681</v>
      </c>
      <c r="BK38" s="2" t="s">
        <v>109</v>
      </c>
      <c r="BL38" s="136" t="s">
        <v>18</v>
      </c>
      <c r="BM38" s="136">
        <v>44650</v>
      </c>
      <c r="BN38" s="2" t="s">
        <v>200</v>
      </c>
      <c r="BO38" s="2" t="s">
        <v>201</v>
      </c>
      <c r="BP38" s="136"/>
      <c r="BQ38" s="137" t="s">
        <v>119</v>
      </c>
      <c r="BR38" s="138"/>
    </row>
    <row r="39" spans="1:70" ht="12.75" customHeight="1" x14ac:dyDescent="0.2">
      <c r="A39" s="2">
        <v>1527</v>
      </c>
      <c r="B39" s="2" t="s">
        <v>39</v>
      </c>
      <c r="C39" s="2" t="s">
        <v>94</v>
      </c>
      <c r="D39" s="2" t="s">
        <v>204</v>
      </c>
      <c r="E39" s="2" t="s">
        <v>90</v>
      </c>
      <c r="F39" s="132">
        <v>29862</v>
      </c>
      <c r="G39" s="132"/>
      <c r="H39" s="132">
        <v>29442</v>
      </c>
      <c r="I39" s="132"/>
      <c r="J39" s="132">
        <v>29442</v>
      </c>
      <c r="K39" s="132">
        <f t="shared" si="8"/>
        <v>420</v>
      </c>
      <c r="L39" s="132">
        <f t="shared" si="9"/>
        <v>0</v>
      </c>
      <c r="M39" s="133">
        <v>768</v>
      </c>
      <c r="N39" s="133">
        <f t="shared" si="12"/>
        <v>0</v>
      </c>
      <c r="O39" s="134">
        <v>0</v>
      </c>
      <c r="P39" s="133"/>
      <c r="Q39" s="2" t="s">
        <v>205</v>
      </c>
      <c r="R39" s="156">
        <f t="shared" si="10"/>
        <v>0</v>
      </c>
      <c r="S39" s="156">
        <f t="shared" si="11"/>
        <v>0</v>
      </c>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53">
        <v>0</v>
      </c>
      <c r="AT39" s="153">
        <v>0</v>
      </c>
      <c r="AU39" s="156">
        <f>IF(H39&lt;50000,0,IF(AT39&gt;0,(H39/1.18-AT39-H39/100*0.8)*0.1,(H39/1.18-H39/1.18/100*5.4-H39/100*0.8)*0.1))</f>
        <v>0</v>
      </c>
      <c r="AV39" s="142"/>
      <c r="AW39" s="142"/>
      <c r="AX39" s="142"/>
      <c r="AY39" s="142"/>
      <c r="AZ39" s="142"/>
      <c r="BA39" s="142"/>
      <c r="BB39" s="142"/>
      <c r="BC39" s="142"/>
      <c r="BD39" s="142"/>
      <c r="BE39" s="142"/>
      <c r="BF39" s="142"/>
      <c r="BG39" s="142"/>
      <c r="BH39" s="142"/>
      <c r="BI39" s="2" t="s">
        <v>11</v>
      </c>
      <c r="BJ39" s="136">
        <v>44712</v>
      </c>
      <c r="BK39" s="2" t="s">
        <v>8</v>
      </c>
      <c r="BL39" s="136" t="s">
        <v>18</v>
      </c>
      <c r="BM39" s="136">
        <v>44658</v>
      </c>
      <c r="BN39" s="2" t="s">
        <v>208</v>
      </c>
      <c r="BO39" s="2"/>
      <c r="BP39" s="136"/>
      <c r="BQ39" s="137" t="s">
        <v>119</v>
      </c>
      <c r="BR39" s="138"/>
    </row>
    <row r="40" spans="1:70" ht="12.75" customHeight="1" x14ac:dyDescent="0.2">
      <c r="A40" s="2">
        <v>1528</v>
      </c>
      <c r="B40" s="2" t="s">
        <v>100</v>
      </c>
      <c r="C40" s="2" t="s">
        <v>99</v>
      </c>
      <c r="D40" s="2" t="s">
        <v>673</v>
      </c>
      <c r="E40" s="2" t="s">
        <v>105</v>
      </c>
      <c r="F40" s="132">
        <v>600000</v>
      </c>
      <c r="G40" s="132"/>
      <c r="H40" s="132">
        <f>132163.32+166596.97+204135+400000+250000+30130.71+(13157*1.75)+N("23024,75")</f>
        <v>1206050.75</v>
      </c>
      <c r="I40" s="132">
        <f>132163.32+166596.97+204135+400000+250000+30130.71</f>
        <v>1183026</v>
      </c>
      <c r="J40" s="132">
        <f>112002.81+20160.51+166596.97+31139.237+172995.763+61016.949+338983.051+AY40+42731.8+23024.75+S40</f>
        <v>1206050.75</v>
      </c>
      <c r="K40" s="132">
        <f t="shared" si="8"/>
        <v>-606050.75</v>
      </c>
      <c r="L40" s="132">
        <f t="shared" si="9"/>
        <v>0</v>
      </c>
      <c r="M40" s="133">
        <v>7400</v>
      </c>
      <c r="N40" s="133">
        <f t="shared" si="12"/>
        <v>0</v>
      </c>
      <c r="O40" s="134">
        <v>0</v>
      </c>
      <c r="P40" s="133"/>
      <c r="Q40" s="2" t="s">
        <v>211</v>
      </c>
      <c r="R40" s="156">
        <f t="shared" si="10"/>
        <v>0</v>
      </c>
      <c r="S40" s="156">
        <f t="shared" si="11"/>
        <v>0</v>
      </c>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53">
        <v>0</v>
      </c>
      <c r="AT40" s="153">
        <v>0</v>
      </c>
      <c r="AU40" s="153">
        <v>0</v>
      </c>
      <c r="AV40" s="135"/>
      <c r="AW40" s="135"/>
      <c r="AX40" s="135"/>
      <c r="AY40" s="135">
        <f>211864.41+25534.5</f>
        <v>237398.91</v>
      </c>
      <c r="AZ40" s="135">
        <f>13843.74+N("მეორე ფაქტორინგი აიღო საბოლოო ჩაბარების შემდეგ")</f>
        <v>13843.74</v>
      </c>
      <c r="BA40" s="135">
        <v>0</v>
      </c>
      <c r="BB40" s="135">
        <v>0</v>
      </c>
      <c r="BC40" s="135"/>
      <c r="BD40" s="135"/>
      <c r="BE40" s="135"/>
      <c r="BF40" s="135"/>
      <c r="BG40" s="135"/>
      <c r="BH40" s="135"/>
      <c r="BI40" s="2" t="s">
        <v>11</v>
      </c>
      <c r="BJ40" s="136">
        <v>45593</v>
      </c>
      <c r="BK40" s="2" t="s">
        <v>109</v>
      </c>
      <c r="BL40" s="136" t="s">
        <v>113</v>
      </c>
      <c r="BM40" s="136">
        <v>44683</v>
      </c>
      <c r="BN40" s="2" t="s">
        <v>219</v>
      </c>
      <c r="BO40" s="2"/>
      <c r="BP40" s="136"/>
      <c r="BQ40" s="137" t="s">
        <v>134</v>
      </c>
      <c r="BR40" s="138"/>
    </row>
    <row r="41" spans="1:70" ht="12.75" customHeight="1" x14ac:dyDescent="0.2">
      <c r="A41" s="2">
        <v>1529</v>
      </c>
      <c r="B41" s="2" t="s">
        <v>28</v>
      </c>
      <c r="C41" s="2" t="s">
        <v>56</v>
      </c>
      <c r="D41" s="2" t="s">
        <v>534</v>
      </c>
      <c r="E41" s="2" t="s">
        <v>105</v>
      </c>
      <c r="F41" s="132">
        <v>3154968.256969959</v>
      </c>
      <c r="G41" s="132"/>
      <c r="H41" s="132">
        <f>1560000+500000+1000000+70262.5+N("ეს პროექტია")+180000+24730+N("რეგულატორები (301023)")-0+N("ეს პროექტია გამოკლებული")+2215.49</f>
        <v>3337207.99</v>
      </c>
      <c r="I41" s="132">
        <f>H41-70262.5</f>
        <v>3266945.49</v>
      </c>
      <c r="J41" s="132">
        <f>237966.1+76271.19+1000000+AS41+70262.5+27457.627+AV41+3772.37+337.956+22835.169</f>
        <v>3337207.99</v>
      </c>
      <c r="K41" s="132">
        <f t="shared" si="8"/>
        <v>-182239.73303004121</v>
      </c>
      <c r="L41" s="132">
        <f t="shared" si="9"/>
        <v>0</v>
      </c>
      <c r="M41" s="133">
        <v>34332.589999999997</v>
      </c>
      <c r="N41" s="133">
        <f t="shared" si="12"/>
        <v>0</v>
      </c>
      <c r="O41" s="134">
        <v>0</v>
      </c>
      <c r="P41" s="133"/>
      <c r="Q41" s="2" t="s">
        <v>213</v>
      </c>
      <c r="R41" s="156">
        <f t="shared" si="10"/>
        <v>0</v>
      </c>
      <c r="S41" s="156">
        <f t="shared" si="11"/>
        <v>0</v>
      </c>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53">
        <f>1322033.898+423728.81</f>
        <v>1745762.7080000001</v>
      </c>
      <c r="AT41" s="153">
        <f>(1322.03+131478.99)+(423.73+38832.13)</f>
        <v>172056.88</v>
      </c>
      <c r="AU41" s="153">
        <v>0</v>
      </c>
      <c r="AV41" s="135">
        <f>152542.37</f>
        <v>152542.37</v>
      </c>
      <c r="AW41" s="135">
        <v>18980.03</v>
      </c>
      <c r="AX41" s="135"/>
      <c r="AY41" s="135"/>
      <c r="AZ41" s="135"/>
      <c r="BA41" s="135"/>
      <c r="BB41" s="135"/>
      <c r="BC41" s="135"/>
      <c r="BD41" s="135"/>
      <c r="BE41" s="135"/>
      <c r="BF41" s="135"/>
      <c r="BG41" s="135">
        <v>2419436.3004820701</v>
      </c>
      <c r="BH41" s="136">
        <v>44925</v>
      </c>
      <c r="BI41" s="2" t="s">
        <v>11</v>
      </c>
      <c r="BJ41" s="136">
        <v>45259</v>
      </c>
      <c r="BK41" s="2" t="s">
        <v>109</v>
      </c>
      <c r="BL41" s="136" t="s">
        <v>18</v>
      </c>
      <c r="BM41" s="136">
        <v>44648</v>
      </c>
      <c r="BN41" s="2" t="s">
        <v>1542</v>
      </c>
      <c r="BO41" s="135"/>
      <c r="BP41" s="136" t="s">
        <v>3597</v>
      </c>
      <c r="BQ41" s="137" t="s">
        <v>134</v>
      </c>
      <c r="BR41" s="138"/>
    </row>
    <row r="42" spans="1:70" ht="12.75" customHeight="1" x14ac:dyDescent="0.2">
      <c r="A42" s="2">
        <v>1530</v>
      </c>
      <c r="B42" s="2" t="s">
        <v>28</v>
      </c>
      <c r="C42" s="2" t="s">
        <v>91</v>
      </c>
      <c r="D42" s="2" t="s">
        <v>533</v>
      </c>
      <c r="E42" s="2" t="s">
        <v>105</v>
      </c>
      <c r="F42" s="132">
        <v>1871293.003025719</v>
      </c>
      <c r="G42" s="132"/>
      <c r="H42" s="132">
        <f>1130000+500000+550000+41674.5+N("ეს პროექტია")+17228+N("რეგულატორები (301023)")-0+N("ეს პროექტია")+68105.32+N("ბოლო ჩაბარება")</f>
        <v>2307007.8199999998</v>
      </c>
      <c r="I42" s="132">
        <f>H42-41674.5</f>
        <v>2265333.3199999998</v>
      </c>
      <c r="J42" s="132">
        <f>172372.88+76271.19+550000+AS42+AV42+41674.5+2628+10388.95+72316.369</f>
        <v>2307007.8190000001</v>
      </c>
      <c r="K42" s="132">
        <f t="shared" si="8"/>
        <v>-435714.81597428117</v>
      </c>
      <c r="L42" s="132">
        <f t="shared" si="9"/>
        <v>9.9999969825148582E-4</v>
      </c>
      <c r="M42" s="133">
        <v>23814</v>
      </c>
      <c r="N42" s="133">
        <f t="shared" si="12"/>
        <v>9.9999969825148582E-4</v>
      </c>
      <c r="O42" s="134">
        <v>0</v>
      </c>
      <c r="P42" s="133"/>
      <c r="Q42" s="2" t="s">
        <v>213</v>
      </c>
      <c r="R42" s="156">
        <f t="shared" si="10"/>
        <v>0</v>
      </c>
      <c r="S42" s="156">
        <f t="shared" si="11"/>
        <v>0</v>
      </c>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53">
        <f>957627.12+423728.81</f>
        <v>1381355.93</v>
      </c>
      <c r="AT42" s="153">
        <f>(957.63+95237.98)+(423.73+38832.13)</f>
        <v>135451.47</v>
      </c>
      <c r="AU42" s="153">
        <v>0</v>
      </c>
      <c r="AV42" s="135">
        <v>0</v>
      </c>
      <c r="AW42" s="135">
        <v>0</v>
      </c>
      <c r="AX42" s="135"/>
      <c r="AY42" s="135"/>
      <c r="AZ42" s="135"/>
      <c r="BA42" s="135"/>
      <c r="BB42" s="135"/>
      <c r="BC42" s="135"/>
      <c r="BD42" s="135"/>
      <c r="BE42" s="135"/>
      <c r="BF42" s="135"/>
      <c r="BG42" s="135">
        <v>1557235.7342740099</v>
      </c>
      <c r="BH42" s="136">
        <v>44925</v>
      </c>
      <c r="BI42" s="2" t="s">
        <v>11</v>
      </c>
      <c r="BJ42" s="136">
        <v>45259</v>
      </c>
      <c r="BK42" s="2" t="s">
        <v>109</v>
      </c>
      <c r="BL42" s="136" t="s">
        <v>18</v>
      </c>
      <c r="BM42" s="136">
        <v>44648</v>
      </c>
      <c r="BN42" s="2" t="s">
        <v>1543</v>
      </c>
      <c r="BO42" s="2"/>
      <c r="BP42" s="136" t="s">
        <v>3597</v>
      </c>
      <c r="BQ42" s="137" t="s">
        <v>134</v>
      </c>
      <c r="BR42" s="138"/>
    </row>
    <row r="43" spans="1:70" ht="12.75" customHeight="1" x14ac:dyDescent="0.2">
      <c r="A43" s="2">
        <v>1531</v>
      </c>
      <c r="B43" s="2" t="s">
        <v>28</v>
      </c>
      <c r="C43" s="2" t="s">
        <v>91</v>
      </c>
      <c r="D43" s="2" t="s">
        <v>532</v>
      </c>
      <c r="E43" s="2" t="s">
        <v>105</v>
      </c>
      <c r="F43" s="132">
        <v>1180500.32688567</v>
      </c>
      <c r="G43" s="132">
        <v>2</v>
      </c>
      <c r="H43" s="132">
        <f>260000+600000+550000+26290.25+N("ეს პროექტია")+5126+N("რეგულატორები (301023)")+83898.7</f>
        <v>1525314.95</v>
      </c>
      <c r="I43" s="132">
        <f>H43-26290.25</f>
        <v>1499024.7</v>
      </c>
      <c r="J43" s="132">
        <f>39661.02+91525.42+AS43+110188.56+781.93+88242.77</f>
        <v>1525314.95</v>
      </c>
      <c r="K43" s="132">
        <f t="shared" ref="K43:K74" si="13">F43-J43</f>
        <v>-344814.62311433</v>
      </c>
      <c r="L43" s="132">
        <f t="shared" si="9"/>
        <v>0</v>
      </c>
      <c r="M43" s="133">
        <v>14170</v>
      </c>
      <c r="N43" s="133">
        <f t="shared" si="12"/>
        <v>0</v>
      </c>
      <c r="O43" s="134">
        <v>0</v>
      </c>
      <c r="P43" s="133"/>
      <c r="Q43" s="2" t="s">
        <v>213</v>
      </c>
      <c r="R43" s="156">
        <f t="shared" si="10"/>
        <v>0</v>
      </c>
      <c r="S43" s="156">
        <f t="shared" si="11"/>
        <v>0</v>
      </c>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53">
        <f>220338.98+508474.58+466101.69</f>
        <v>1194915.25</v>
      </c>
      <c r="AT43" s="153">
        <f>220.34+21913.16+508.47+46598.56+466.1+27391.46</f>
        <v>97098.09</v>
      </c>
      <c r="AU43" s="153">
        <v>0</v>
      </c>
      <c r="AV43" s="135">
        <v>0</v>
      </c>
      <c r="AW43" s="135">
        <v>0</v>
      </c>
      <c r="AX43" s="135"/>
      <c r="AY43" s="135"/>
      <c r="AZ43" s="135"/>
      <c r="BA43" s="135">
        <v>0</v>
      </c>
      <c r="BB43" s="135">
        <v>0</v>
      </c>
      <c r="BC43" s="135"/>
      <c r="BD43" s="135"/>
      <c r="BE43" s="135"/>
      <c r="BF43" s="135"/>
      <c r="BG43" s="135">
        <v>1075564.9636097399</v>
      </c>
      <c r="BH43" s="136">
        <v>44925</v>
      </c>
      <c r="BI43" s="2" t="s">
        <v>11</v>
      </c>
      <c r="BJ43" s="136">
        <v>45351</v>
      </c>
      <c r="BK43" s="2" t="s">
        <v>109</v>
      </c>
      <c r="BL43" s="136" t="s">
        <v>18</v>
      </c>
      <c r="BM43" s="136">
        <v>44648</v>
      </c>
      <c r="BN43" s="2" t="s">
        <v>1544</v>
      </c>
      <c r="BO43" s="2"/>
      <c r="BP43" s="136" t="s">
        <v>3597</v>
      </c>
      <c r="BQ43" s="137" t="s">
        <v>134</v>
      </c>
      <c r="BR43" s="138"/>
    </row>
    <row r="44" spans="1:70" ht="12.75" customHeight="1" x14ac:dyDescent="0.2">
      <c r="A44" s="2">
        <v>1532</v>
      </c>
      <c r="B44" s="2" t="s">
        <v>28</v>
      </c>
      <c r="C44" s="2" t="s">
        <v>91</v>
      </c>
      <c r="D44" s="2" t="s">
        <v>3588</v>
      </c>
      <c r="E44" s="2" t="s">
        <v>105</v>
      </c>
      <c r="F44" s="132">
        <v>1493011.13032202</v>
      </c>
      <c r="G44" s="132">
        <v>2</v>
      </c>
      <c r="H44" s="132">
        <f>747000+600000+400000+36296.75+N("ეს გორას პროექტია")+120000+2992.5+N("ეს ზედა გორას პროექტია")+N("ეს ბოლო 2 ჩაბარება ზედაგორაა")+147024+N("ეს საბოლოო შესრულება გორასა და ზედაგორასია ერთად!")</f>
        <v>2053313.25</v>
      </c>
      <c r="I44" s="132">
        <f>H44-36296.75-2992.5</f>
        <v>2014024</v>
      </c>
      <c r="J44" s="132">
        <f>113949.15+91525.42+AS44+97313.71+50000+72992.5+N("ეს ბოლო 2 გადახდა ზედაგორაა")+147024</f>
        <v>2053313.26</v>
      </c>
      <c r="K44" s="132">
        <f t="shared" si="13"/>
        <v>-560302.12967797997</v>
      </c>
      <c r="L44" s="132">
        <f t="shared" si="9"/>
        <v>-1.0000000009313226E-2</v>
      </c>
      <c r="M44" s="133">
        <v>22089</v>
      </c>
      <c r="N44" s="133">
        <f t="shared" si="12"/>
        <v>-1.0000000009313226E-2</v>
      </c>
      <c r="O44" s="134">
        <v>0</v>
      </c>
      <c r="P44" s="133"/>
      <c r="Q44" s="2" t="s">
        <v>213</v>
      </c>
      <c r="R44" s="156">
        <f t="shared" si="10"/>
        <v>0</v>
      </c>
      <c r="S44" s="156">
        <f t="shared" si="11"/>
        <v>0</v>
      </c>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53">
        <f>633050.85+508474.58+338983.05</f>
        <v>1480508.48</v>
      </c>
      <c r="AT44" s="153">
        <f>62958.21+633.05+46598.56+508.47+19921.06+338.98</f>
        <v>130958.33</v>
      </c>
      <c r="AU44" s="153">
        <v>0</v>
      </c>
      <c r="AV44" s="135"/>
      <c r="AW44" s="135"/>
      <c r="AX44" s="135"/>
      <c r="AY44" s="135"/>
      <c r="AZ44" s="135"/>
      <c r="BA44" s="135">
        <v>0</v>
      </c>
      <c r="BB44" s="135">
        <v>0</v>
      </c>
      <c r="BC44" s="135"/>
      <c r="BD44" s="135"/>
      <c r="BE44" s="135"/>
      <c r="BF44" s="135"/>
      <c r="BG44" s="135">
        <v>1030156.76303532</v>
      </c>
      <c r="BH44" s="136">
        <v>44925</v>
      </c>
      <c r="BI44" s="2" t="s">
        <v>11</v>
      </c>
      <c r="BJ44" s="136">
        <v>45576</v>
      </c>
      <c r="BK44" s="2" t="s">
        <v>109</v>
      </c>
      <c r="BL44" s="136" t="s">
        <v>18</v>
      </c>
      <c r="BM44" s="136">
        <v>44648</v>
      </c>
      <c r="BN44" s="2" t="s">
        <v>3589</v>
      </c>
      <c r="BO44" s="2"/>
      <c r="BP44" s="136" t="s">
        <v>3597</v>
      </c>
      <c r="BQ44" s="137" t="s">
        <v>134</v>
      </c>
      <c r="BR44" s="138"/>
    </row>
    <row r="45" spans="1:70" ht="12.75" customHeight="1" x14ac:dyDescent="0.2">
      <c r="A45" s="2">
        <v>1533</v>
      </c>
      <c r="B45" s="2" t="s">
        <v>28</v>
      </c>
      <c r="C45" s="2" t="s">
        <v>91</v>
      </c>
      <c r="D45" s="2" t="s">
        <v>530</v>
      </c>
      <c r="E45" s="2" t="s">
        <v>105</v>
      </c>
      <c r="F45" s="132">
        <v>134371.00172898205</v>
      </c>
      <c r="G45" s="132" t="s">
        <v>3644</v>
      </c>
      <c r="H45" s="132">
        <v>0</v>
      </c>
      <c r="I45" s="132">
        <v>0</v>
      </c>
      <c r="J45" s="132">
        <v>0</v>
      </c>
      <c r="K45" s="132">
        <f t="shared" si="13"/>
        <v>134371.00172898205</v>
      </c>
      <c r="L45" s="132">
        <f t="shared" si="9"/>
        <v>0</v>
      </c>
      <c r="M45" s="133">
        <v>1710</v>
      </c>
      <c r="N45" s="133">
        <f t="shared" si="12"/>
        <v>134371.00172898205</v>
      </c>
      <c r="O45" s="134" t="s">
        <v>1705</v>
      </c>
      <c r="P45" s="133"/>
      <c r="Q45" s="2" t="s">
        <v>213</v>
      </c>
      <c r="R45" s="156">
        <f t="shared" si="10"/>
        <v>0</v>
      </c>
      <c r="S45" s="156">
        <f t="shared" si="11"/>
        <v>0</v>
      </c>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53">
        <v>0</v>
      </c>
      <c r="AT45" s="153">
        <v>0</v>
      </c>
      <c r="AU45" s="153">
        <v>0</v>
      </c>
      <c r="AV45" s="135"/>
      <c r="AW45" s="135"/>
      <c r="AX45" s="135"/>
      <c r="AY45" s="135"/>
      <c r="AZ45" s="135"/>
      <c r="BA45" s="135"/>
      <c r="BB45" s="135"/>
      <c r="BC45" s="135"/>
      <c r="BD45" s="135"/>
      <c r="BE45" s="135"/>
      <c r="BF45" s="135"/>
      <c r="BG45" s="135"/>
      <c r="BH45" s="135"/>
      <c r="BI45" s="2" t="s">
        <v>11</v>
      </c>
      <c r="BJ45" s="136"/>
      <c r="BK45" s="2">
        <v>0</v>
      </c>
      <c r="BL45" s="136" t="s">
        <v>18</v>
      </c>
      <c r="BM45" s="136">
        <v>44648</v>
      </c>
      <c r="BN45" s="2" t="s">
        <v>1545</v>
      </c>
      <c r="BO45" s="2"/>
      <c r="BP45" s="136" t="s">
        <v>3597</v>
      </c>
      <c r="BQ45" s="137" t="s">
        <v>134</v>
      </c>
      <c r="BR45" s="138"/>
    </row>
    <row r="46" spans="1:70" ht="12.75" customHeight="1" x14ac:dyDescent="0.2">
      <c r="A46" s="2">
        <v>1534</v>
      </c>
      <c r="B46" s="2" t="s">
        <v>28</v>
      </c>
      <c r="C46" s="2" t="s">
        <v>91</v>
      </c>
      <c r="D46" s="2" t="s">
        <v>529</v>
      </c>
      <c r="E46" s="2" t="s">
        <v>105</v>
      </c>
      <c r="F46" s="132">
        <v>891956.28106764646</v>
      </c>
      <c r="G46" s="132">
        <v>2</v>
      </c>
      <c r="H46" s="132">
        <f>300000+400000+330000+19864.25+N("ეს პროექტია")+5302</f>
        <v>1055166.25</v>
      </c>
      <c r="I46" s="132">
        <f>H46-19864.25</f>
        <v>1035302</v>
      </c>
      <c r="J46" s="132">
        <f>45762.71+73000+61016.95+AS46+276864.25+5302+N("გადაირიცხა პირდაპირ")</f>
        <v>1055166.25</v>
      </c>
      <c r="K46" s="132">
        <f t="shared" si="13"/>
        <v>-163209.96893235354</v>
      </c>
      <c r="L46" s="132">
        <f t="shared" si="9"/>
        <v>0</v>
      </c>
      <c r="M46" s="133">
        <v>9970.2000000000007</v>
      </c>
      <c r="N46" s="133">
        <f t="shared" si="12"/>
        <v>0</v>
      </c>
      <c r="O46" s="134">
        <v>0</v>
      </c>
      <c r="P46" s="133"/>
      <c r="Q46" s="2" t="s">
        <v>213</v>
      </c>
      <c r="R46" s="156">
        <f t="shared" si="10"/>
        <v>0</v>
      </c>
      <c r="S46" s="156">
        <f t="shared" si="11"/>
        <v>0</v>
      </c>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53">
        <f>254237.29+338983.05</f>
        <v>593220.34</v>
      </c>
      <c r="AT46" s="153">
        <f>254.24+25284.42+338.98+31065.71</f>
        <v>56943.35</v>
      </c>
      <c r="AU46" s="153">
        <v>0</v>
      </c>
      <c r="AV46" s="135"/>
      <c r="AW46" s="135"/>
      <c r="AX46" s="135"/>
      <c r="AY46" s="135"/>
      <c r="AZ46" s="135"/>
      <c r="BA46" s="135">
        <v>0</v>
      </c>
      <c r="BB46" s="135">
        <v>0</v>
      </c>
      <c r="BC46" s="135"/>
      <c r="BD46" s="135"/>
      <c r="BE46" s="135"/>
      <c r="BF46" s="135"/>
      <c r="BG46" s="135">
        <v>448527.73758930201</v>
      </c>
      <c r="BH46" s="136">
        <v>44925</v>
      </c>
      <c r="BI46" s="2" t="s">
        <v>11</v>
      </c>
      <c r="BJ46" s="136">
        <v>45434</v>
      </c>
      <c r="BK46" s="2" t="s">
        <v>109</v>
      </c>
      <c r="BL46" s="136" t="s">
        <v>18</v>
      </c>
      <c r="BM46" s="136">
        <v>44648</v>
      </c>
      <c r="BN46" s="2" t="s">
        <v>1546</v>
      </c>
      <c r="BO46" s="2"/>
      <c r="BP46" s="136" t="s">
        <v>3597</v>
      </c>
      <c r="BQ46" s="137" t="s">
        <v>134</v>
      </c>
      <c r="BR46" s="138"/>
    </row>
    <row r="47" spans="1:70" ht="12.75" customHeight="1" x14ac:dyDescent="0.2">
      <c r="A47" s="2">
        <v>1535</v>
      </c>
      <c r="B47" s="2" t="s">
        <v>137</v>
      </c>
      <c r="C47" s="2" t="s">
        <v>93</v>
      </c>
      <c r="D47" s="2" t="s">
        <v>527</v>
      </c>
      <c r="E47" s="2" t="s">
        <v>105</v>
      </c>
      <c r="F47" s="132">
        <v>1540000</v>
      </c>
      <c r="G47" s="132"/>
      <c r="H47" s="132">
        <f>1800000+1500000+12519.5+N("ეს პროექტია")+390373.72</f>
        <v>3702893.2199999997</v>
      </c>
      <c r="I47" s="132"/>
      <c r="J47" s="132">
        <f>274576.27+AS47+241333.06+59548.54+AV47</f>
        <v>3702893.23</v>
      </c>
      <c r="K47" s="132">
        <f t="shared" si="13"/>
        <v>-2162893.23</v>
      </c>
      <c r="L47" s="132">
        <f t="shared" si="9"/>
        <v>-1.0000000242143869E-2</v>
      </c>
      <c r="M47" s="133">
        <v>7200</v>
      </c>
      <c r="N47" s="133">
        <f t="shared" ref="N47:N78" si="14">IF(OR(BK47="принят",BK47="Завершено",BK47="ПриПро"),H47-J47,F47-J47)</f>
        <v>-1.0000000242143869E-2</v>
      </c>
      <c r="O47" s="134">
        <v>0</v>
      </c>
      <c r="P47" s="133"/>
      <c r="Q47" s="2" t="s">
        <v>220</v>
      </c>
      <c r="R47" s="156">
        <f t="shared" si="10"/>
        <v>0</v>
      </c>
      <c r="S47" s="156">
        <f t="shared" si="11"/>
        <v>0</v>
      </c>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53">
        <f>1525423.73+1271186.44</f>
        <v>2796610.17</v>
      </c>
      <c r="AT47" s="153">
        <v>217296.26</v>
      </c>
      <c r="AU47" s="153">
        <v>0</v>
      </c>
      <c r="AV47" s="135">
        <f>330825.19</f>
        <v>330825.19</v>
      </c>
      <c r="AW47" s="135">
        <f>0+N("არ ასახულა ფორმა2-ში")</f>
        <v>0</v>
      </c>
      <c r="AX47" s="135"/>
      <c r="AY47" s="135"/>
      <c r="AZ47" s="135"/>
      <c r="BA47" s="135"/>
      <c r="BB47" s="135"/>
      <c r="BC47" s="135"/>
      <c r="BD47" s="135"/>
      <c r="BE47" s="135"/>
      <c r="BF47" s="135"/>
      <c r="BG47" s="135">
        <v>2678697.9300000002</v>
      </c>
      <c r="BH47" s="136">
        <v>44925</v>
      </c>
      <c r="BI47" s="2" t="s">
        <v>11</v>
      </c>
      <c r="BJ47" s="136">
        <v>45040</v>
      </c>
      <c r="BK47" s="2" t="s">
        <v>109</v>
      </c>
      <c r="BL47" s="136" t="s">
        <v>18</v>
      </c>
      <c r="BM47" s="136">
        <v>44648</v>
      </c>
      <c r="BN47" s="2" t="s">
        <v>1540</v>
      </c>
      <c r="BO47" s="2"/>
      <c r="BP47" s="136"/>
      <c r="BQ47" s="137" t="s">
        <v>134</v>
      </c>
      <c r="BR47" s="138"/>
    </row>
    <row r="48" spans="1:70" ht="12.75" customHeight="1" x14ac:dyDescent="0.2">
      <c r="A48" s="2">
        <v>1536</v>
      </c>
      <c r="B48" s="2" t="s">
        <v>137</v>
      </c>
      <c r="C48" s="2" t="s">
        <v>136</v>
      </c>
      <c r="D48" s="2" t="s">
        <v>587</v>
      </c>
      <c r="E48" s="2" t="s">
        <v>506</v>
      </c>
      <c r="F48" s="132">
        <f>55000+30000</f>
        <v>85000</v>
      </c>
      <c r="G48" s="132"/>
      <c r="H48" s="132">
        <v>62482</v>
      </c>
      <c r="I48" s="132"/>
      <c r="J48" s="132">
        <v>62482</v>
      </c>
      <c r="K48" s="132">
        <f t="shared" si="13"/>
        <v>22518</v>
      </c>
      <c r="L48" s="132">
        <f t="shared" si="9"/>
        <v>0</v>
      </c>
      <c r="M48" s="133"/>
      <c r="N48" s="133">
        <f t="shared" si="14"/>
        <v>0</v>
      </c>
      <c r="O48" s="134">
        <v>0</v>
      </c>
      <c r="P48" s="133"/>
      <c r="Q48" s="2" t="s">
        <v>585</v>
      </c>
      <c r="R48" s="156">
        <f t="shared" si="10"/>
        <v>0</v>
      </c>
      <c r="S48" s="156">
        <f t="shared" si="11"/>
        <v>0</v>
      </c>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53">
        <v>0</v>
      </c>
      <c r="AT48" s="153">
        <v>0</v>
      </c>
      <c r="AU48" s="153">
        <v>0</v>
      </c>
      <c r="AV48" s="135"/>
      <c r="AW48" s="135"/>
      <c r="AX48" s="135"/>
      <c r="AY48" s="135"/>
      <c r="AZ48" s="135"/>
      <c r="BA48" s="135"/>
      <c r="BB48" s="135"/>
      <c r="BC48" s="135"/>
      <c r="BD48" s="135"/>
      <c r="BE48" s="135"/>
      <c r="BF48" s="135"/>
      <c r="BG48" s="135"/>
      <c r="BH48" s="135"/>
      <c r="BI48" s="2" t="s">
        <v>112</v>
      </c>
      <c r="BJ48" s="136">
        <v>44922</v>
      </c>
      <c r="BK48" s="2" t="s">
        <v>145</v>
      </c>
      <c r="BL48" s="136" t="s">
        <v>18</v>
      </c>
      <c r="BM48" s="136">
        <v>44648</v>
      </c>
      <c r="BN48" s="2" t="s">
        <v>1541</v>
      </c>
      <c r="BO48" s="2"/>
      <c r="BP48" s="136"/>
      <c r="BQ48" s="137"/>
      <c r="BR48" s="138"/>
    </row>
    <row r="49" spans="1:70" ht="12.75" customHeight="1" x14ac:dyDescent="0.3">
      <c r="A49" s="2">
        <v>1538</v>
      </c>
      <c r="B49" s="2" t="s">
        <v>108</v>
      </c>
      <c r="C49" s="2" t="s">
        <v>40</v>
      </c>
      <c r="D49" s="2" t="s">
        <v>549</v>
      </c>
      <c r="E49" s="2" t="s">
        <v>90</v>
      </c>
      <c r="F49" s="132">
        <v>432000</v>
      </c>
      <c r="G49" s="132"/>
      <c r="H49" s="132">
        <f>720000+75672.53</f>
        <v>795672.53</v>
      </c>
      <c r="I49" s="132"/>
      <c r="J49" s="132">
        <f>109830.51+AS49+11695.81+AV49</f>
        <v>795672.48</v>
      </c>
      <c r="K49" s="132">
        <f t="shared" si="13"/>
        <v>-363672.48</v>
      </c>
      <c r="L49" s="132">
        <f t="shared" si="9"/>
        <v>5.0000000046566129E-2</v>
      </c>
      <c r="M49" s="133">
        <v>6709</v>
      </c>
      <c r="N49" s="133">
        <f t="shared" si="14"/>
        <v>5.0000000046566129E-2</v>
      </c>
      <c r="O49" s="134">
        <v>0</v>
      </c>
      <c r="P49" s="133"/>
      <c r="Q49" s="143" t="s">
        <v>234</v>
      </c>
      <c r="R49" s="156">
        <f t="shared" si="10"/>
        <v>0</v>
      </c>
      <c r="S49" s="156">
        <f t="shared" si="11"/>
        <v>0</v>
      </c>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53">
        <v>610169.43999999994</v>
      </c>
      <c r="AT49" s="153">
        <v>31202.23</v>
      </c>
      <c r="AU49" s="153">
        <v>0</v>
      </c>
      <c r="AV49" s="135">
        <v>63976.72</v>
      </c>
      <c r="AW49" s="135">
        <v>8123.29</v>
      </c>
      <c r="AX49" s="142">
        <f>(H49/1.18-AT49-AW49)*0.1</f>
        <v>63497.323423728812</v>
      </c>
      <c r="AY49" s="142"/>
      <c r="AZ49" s="142"/>
      <c r="BA49" s="142"/>
      <c r="BB49" s="142"/>
      <c r="BC49" s="142"/>
      <c r="BD49" s="142"/>
      <c r="BE49" s="142"/>
      <c r="BF49" s="142"/>
      <c r="BG49" s="135"/>
      <c r="BH49" s="135"/>
      <c r="BI49" s="2" t="s">
        <v>11</v>
      </c>
      <c r="BJ49" s="136">
        <v>45069</v>
      </c>
      <c r="BK49" s="2" t="s">
        <v>109</v>
      </c>
      <c r="BL49" s="136" t="s">
        <v>113</v>
      </c>
      <c r="BM49" s="136">
        <v>44656</v>
      </c>
      <c r="BN49" s="2" t="s">
        <v>1500</v>
      </c>
      <c r="BO49" s="2"/>
      <c r="BP49" s="136"/>
      <c r="BQ49" s="137" t="s">
        <v>119</v>
      </c>
      <c r="BR49" s="138"/>
    </row>
    <row r="50" spans="1:70" ht="12.75" customHeight="1" x14ac:dyDescent="0.3">
      <c r="A50" s="2">
        <v>1539</v>
      </c>
      <c r="B50" s="2" t="s">
        <v>108</v>
      </c>
      <c r="C50" s="2" t="s">
        <v>40</v>
      </c>
      <c r="D50" s="2" t="s">
        <v>643</v>
      </c>
      <c r="E50" s="2" t="s">
        <v>90</v>
      </c>
      <c r="F50" s="132">
        <v>70000</v>
      </c>
      <c r="G50" s="132"/>
      <c r="H50" s="132">
        <v>60010.52</v>
      </c>
      <c r="I50" s="132"/>
      <c r="J50" s="132">
        <f>9154.147+50856.373</f>
        <v>60010.520000000004</v>
      </c>
      <c r="K50" s="132">
        <f t="shared" si="13"/>
        <v>9989.4799999999959</v>
      </c>
      <c r="L50" s="132">
        <f t="shared" si="9"/>
        <v>0</v>
      </c>
      <c r="M50" s="133">
        <v>950</v>
      </c>
      <c r="N50" s="133">
        <f t="shared" si="14"/>
        <v>-7.2759576141834259E-12</v>
      </c>
      <c r="O50" s="134">
        <v>0</v>
      </c>
      <c r="P50" s="133"/>
      <c r="Q50" s="143" t="s">
        <v>236</v>
      </c>
      <c r="R50" s="156">
        <f t="shared" si="10"/>
        <v>0</v>
      </c>
      <c r="S50" s="156">
        <f t="shared" si="11"/>
        <v>0</v>
      </c>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53">
        <v>0</v>
      </c>
      <c r="AT50" s="153">
        <v>0</v>
      </c>
      <c r="AU50" s="153">
        <v>0</v>
      </c>
      <c r="AV50" s="135">
        <v>0</v>
      </c>
      <c r="AW50" s="135">
        <v>0</v>
      </c>
      <c r="AX50" s="142">
        <f>(H50/1.18-AT50-AW50)*0.1</f>
        <v>5085.6372881355937</v>
      </c>
      <c r="AY50" s="142"/>
      <c r="AZ50" s="142"/>
      <c r="BA50" s="142"/>
      <c r="BB50" s="142"/>
      <c r="BC50" s="142"/>
      <c r="BD50" s="142"/>
      <c r="BE50" s="142"/>
      <c r="BF50" s="142"/>
      <c r="BG50" s="135"/>
      <c r="BH50" s="135"/>
      <c r="BI50" s="2" t="s">
        <v>11</v>
      </c>
      <c r="BJ50" s="136">
        <v>44985</v>
      </c>
      <c r="BK50" s="2" t="s">
        <v>109</v>
      </c>
      <c r="BL50" s="136" t="s">
        <v>113</v>
      </c>
      <c r="BM50" s="136">
        <v>44656</v>
      </c>
      <c r="BN50" s="2" t="s">
        <v>1501</v>
      </c>
      <c r="BO50" s="2"/>
      <c r="BP50" s="136"/>
      <c r="BQ50" s="137" t="s">
        <v>119</v>
      </c>
      <c r="BR50" s="138"/>
    </row>
    <row r="51" spans="1:70" ht="12.75" customHeight="1" x14ac:dyDescent="0.3">
      <c r="A51" s="2">
        <v>1540</v>
      </c>
      <c r="B51" s="2" t="s">
        <v>108</v>
      </c>
      <c r="C51" s="2" t="s">
        <v>40</v>
      </c>
      <c r="D51" s="2" t="s">
        <v>1990</v>
      </c>
      <c r="E51" s="2" t="s">
        <v>90</v>
      </c>
      <c r="F51" s="132">
        <v>35000</v>
      </c>
      <c r="G51" s="132"/>
      <c r="H51" s="132">
        <v>29747.43</v>
      </c>
      <c r="I51" s="132"/>
      <c r="J51" s="132">
        <f>4537.74+25209.69</f>
        <v>29747.43</v>
      </c>
      <c r="K51" s="132">
        <f t="shared" si="13"/>
        <v>5252.57</v>
      </c>
      <c r="L51" s="132">
        <f t="shared" si="9"/>
        <v>0</v>
      </c>
      <c r="M51" s="133">
        <v>510.5</v>
      </c>
      <c r="N51" s="133">
        <f t="shared" si="14"/>
        <v>0</v>
      </c>
      <c r="O51" s="134">
        <v>0</v>
      </c>
      <c r="P51" s="133"/>
      <c r="Q51" s="143" t="s">
        <v>235</v>
      </c>
      <c r="R51" s="156">
        <f t="shared" si="10"/>
        <v>0</v>
      </c>
      <c r="S51" s="156">
        <f t="shared" si="11"/>
        <v>0</v>
      </c>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53">
        <v>0</v>
      </c>
      <c r="AT51" s="153">
        <v>0</v>
      </c>
      <c r="AU51" s="153">
        <v>0</v>
      </c>
      <c r="AV51" s="135">
        <v>0</v>
      </c>
      <c r="AW51" s="135">
        <v>0</v>
      </c>
      <c r="AX51" s="142">
        <f>(H51/1.18-AT51-AW51)*0.1</f>
        <v>2520.968644067797</v>
      </c>
      <c r="AY51" s="142"/>
      <c r="AZ51" s="142"/>
      <c r="BA51" s="142"/>
      <c r="BB51" s="142"/>
      <c r="BC51" s="142"/>
      <c r="BD51" s="142"/>
      <c r="BE51" s="142"/>
      <c r="BF51" s="142"/>
      <c r="BG51" s="135"/>
      <c r="BH51" s="135"/>
      <c r="BI51" s="2" t="s">
        <v>11</v>
      </c>
      <c r="BJ51" s="136">
        <v>44985</v>
      </c>
      <c r="BK51" s="2" t="s">
        <v>109</v>
      </c>
      <c r="BL51" s="136" t="s">
        <v>113</v>
      </c>
      <c r="BM51" s="136">
        <v>44656</v>
      </c>
      <c r="BN51" s="2" t="s">
        <v>1502</v>
      </c>
      <c r="BO51" s="2"/>
      <c r="BP51" s="136"/>
      <c r="BQ51" s="137" t="s">
        <v>119</v>
      </c>
      <c r="BR51" s="138"/>
    </row>
    <row r="52" spans="1:70" ht="12.75" customHeight="1" x14ac:dyDescent="0.3">
      <c r="A52" s="2">
        <v>1541</v>
      </c>
      <c r="B52" s="2" t="s">
        <v>108</v>
      </c>
      <c r="C52" s="2" t="s">
        <v>40</v>
      </c>
      <c r="D52" s="2" t="s">
        <v>644</v>
      </c>
      <c r="E52" s="2" t="s">
        <v>90</v>
      </c>
      <c r="F52" s="132">
        <v>30000</v>
      </c>
      <c r="G52" s="132"/>
      <c r="H52" s="132">
        <v>49694.01</v>
      </c>
      <c r="I52" s="132"/>
      <c r="J52" s="132">
        <f>7580.44+42113.57</f>
        <v>49694.01</v>
      </c>
      <c r="K52" s="132">
        <f t="shared" si="13"/>
        <v>-19694.010000000002</v>
      </c>
      <c r="L52" s="132">
        <f t="shared" si="9"/>
        <v>0</v>
      </c>
      <c r="M52" s="133">
        <v>600</v>
      </c>
      <c r="N52" s="133">
        <f t="shared" si="14"/>
        <v>0</v>
      </c>
      <c r="O52" s="134">
        <v>0</v>
      </c>
      <c r="P52" s="133"/>
      <c r="Q52" s="143" t="s">
        <v>237</v>
      </c>
      <c r="R52" s="156">
        <f t="shared" si="10"/>
        <v>0</v>
      </c>
      <c r="S52" s="156">
        <f t="shared" si="11"/>
        <v>0</v>
      </c>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53">
        <v>0</v>
      </c>
      <c r="AT52" s="153">
        <v>0</v>
      </c>
      <c r="AU52" s="153">
        <v>0</v>
      </c>
      <c r="AV52" s="135">
        <v>0</v>
      </c>
      <c r="AW52" s="135">
        <v>0</v>
      </c>
      <c r="AX52" s="142">
        <f>(H52/1.18-AT52-AW52)*0.1</f>
        <v>4211.3567796610178</v>
      </c>
      <c r="AY52" s="142"/>
      <c r="AZ52" s="142"/>
      <c r="BA52" s="142"/>
      <c r="BB52" s="142"/>
      <c r="BC52" s="142"/>
      <c r="BD52" s="142"/>
      <c r="BE52" s="142"/>
      <c r="BF52" s="142"/>
      <c r="BG52" s="135"/>
      <c r="BH52" s="135"/>
      <c r="BI52" s="2" t="s">
        <v>11</v>
      </c>
      <c r="BJ52" s="136">
        <v>44985</v>
      </c>
      <c r="BK52" s="2" t="s">
        <v>8</v>
      </c>
      <c r="BL52" s="136" t="s">
        <v>113</v>
      </c>
      <c r="BM52" s="136">
        <v>44656</v>
      </c>
      <c r="BN52" s="2" t="s">
        <v>1503</v>
      </c>
      <c r="BO52" s="2"/>
      <c r="BP52" s="136"/>
      <c r="BQ52" s="137" t="s">
        <v>119</v>
      </c>
      <c r="BR52" s="138"/>
    </row>
    <row r="53" spans="1:70" ht="12.75" customHeight="1" x14ac:dyDescent="0.3">
      <c r="A53" s="2">
        <v>1542</v>
      </c>
      <c r="B53" s="2" t="s">
        <v>108</v>
      </c>
      <c r="C53" s="2" t="s">
        <v>40</v>
      </c>
      <c r="D53" s="2" t="s">
        <v>239</v>
      </c>
      <c r="E53" s="2" t="s">
        <v>90</v>
      </c>
      <c r="F53" s="132">
        <v>30000</v>
      </c>
      <c r="G53" s="132">
        <v>2</v>
      </c>
      <c r="H53" s="132">
        <f>1429*1.75+84081</f>
        <v>86581.75</v>
      </c>
      <c r="I53" s="132">
        <f>H53-2500.75</f>
        <v>84081</v>
      </c>
      <c r="J53" s="132">
        <f>381.47+12825.915+AS53+AV53+73374.365</f>
        <v>86581.75</v>
      </c>
      <c r="K53" s="132">
        <f t="shared" si="13"/>
        <v>-56581.75</v>
      </c>
      <c r="L53" s="132">
        <f t="shared" si="9"/>
        <v>0</v>
      </c>
      <c r="M53" s="133">
        <v>1428</v>
      </c>
      <c r="N53" s="133">
        <f t="shared" si="14"/>
        <v>0</v>
      </c>
      <c r="O53" s="134">
        <v>0</v>
      </c>
      <c r="P53" s="133"/>
      <c r="Q53" s="143" t="s">
        <v>238</v>
      </c>
      <c r="R53" s="156">
        <f t="shared" si="10"/>
        <v>0</v>
      </c>
      <c r="S53" s="156">
        <f t="shared" si="11"/>
        <v>0</v>
      </c>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53">
        <v>0</v>
      </c>
      <c r="AT53" s="153">
        <v>0</v>
      </c>
      <c r="AU53" s="153">
        <v>0</v>
      </c>
      <c r="AV53" s="135">
        <v>0</v>
      </c>
      <c r="AW53" s="135">
        <v>0</v>
      </c>
      <c r="AX53" s="135"/>
      <c r="AY53" s="135"/>
      <c r="AZ53" s="135"/>
      <c r="BA53" s="135">
        <f>IF(BK53="Принят",(I53/1.18-AW53-AZ53)*0.1,I53/1.18*0.8*0.1)</f>
        <v>7125.5084745762715</v>
      </c>
      <c r="BB53" s="135">
        <f>(I53/1.18-AT53-AW53-AZ53)*0.1-BA53</f>
        <v>0</v>
      </c>
      <c r="BC53" s="135"/>
      <c r="BD53" s="135"/>
      <c r="BE53" s="135">
        <f>(I53/1.18-AT53-AW53-AZ53-BD53)*0.1-AU53-AX53-BA53-BB53</f>
        <v>0</v>
      </c>
      <c r="BF53" s="135"/>
      <c r="BG53" s="135"/>
      <c r="BH53" s="135"/>
      <c r="BI53" s="2" t="s">
        <v>11</v>
      </c>
      <c r="BJ53" s="136">
        <v>45322</v>
      </c>
      <c r="BK53" s="2" t="s">
        <v>8</v>
      </c>
      <c r="BL53" s="136" t="s">
        <v>113</v>
      </c>
      <c r="BM53" s="136">
        <v>44656</v>
      </c>
      <c r="BN53" s="2" t="s">
        <v>1504</v>
      </c>
      <c r="BO53" s="2"/>
      <c r="BP53" s="136" t="s">
        <v>616</v>
      </c>
      <c r="BQ53" s="137" t="s">
        <v>119</v>
      </c>
      <c r="BR53" s="138"/>
    </row>
    <row r="54" spans="1:70" ht="12.75" customHeight="1" x14ac:dyDescent="0.3">
      <c r="A54" s="2">
        <v>1543</v>
      </c>
      <c r="B54" s="2" t="s">
        <v>39</v>
      </c>
      <c r="C54" s="2" t="s">
        <v>41</v>
      </c>
      <c r="D54" s="2" t="s">
        <v>645</v>
      </c>
      <c r="E54" s="2" t="s">
        <v>90</v>
      </c>
      <c r="F54" s="132">
        <v>33000</v>
      </c>
      <c r="G54" s="132"/>
      <c r="H54" s="132">
        <f>1181.25+44626.64</f>
        <v>45807.89</v>
      </c>
      <c r="I54" s="132"/>
      <c r="J54" s="132">
        <f>180.19+6807.45+38820.25</f>
        <v>45807.89</v>
      </c>
      <c r="K54" s="132">
        <f t="shared" si="13"/>
        <v>-12807.89</v>
      </c>
      <c r="L54" s="132">
        <f t="shared" si="9"/>
        <v>0</v>
      </c>
      <c r="M54" s="133">
        <v>690</v>
      </c>
      <c r="N54" s="133">
        <f t="shared" si="14"/>
        <v>0</v>
      </c>
      <c r="O54" s="134">
        <v>0</v>
      </c>
      <c r="P54" s="133"/>
      <c r="Q54" s="143" t="s">
        <v>240</v>
      </c>
      <c r="R54" s="156">
        <f t="shared" si="10"/>
        <v>0</v>
      </c>
      <c r="S54" s="156">
        <f t="shared" si="11"/>
        <v>0</v>
      </c>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53">
        <v>0</v>
      </c>
      <c r="AT54" s="153">
        <v>0</v>
      </c>
      <c r="AU54" s="153">
        <v>0</v>
      </c>
      <c r="AV54" s="135">
        <v>0</v>
      </c>
      <c r="AW54" s="135">
        <v>0</v>
      </c>
      <c r="AX54" s="142">
        <f>((H54-1181.25)/1.18-AT54-AW54)*0.1</f>
        <v>3781.9186440677968</v>
      </c>
      <c r="AY54" s="142"/>
      <c r="AZ54" s="142"/>
      <c r="BA54" s="142"/>
      <c r="BB54" s="142"/>
      <c r="BC54" s="142"/>
      <c r="BD54" s="142"/>
      <c r="BE54" s="142"/>
      <c r="BF54" s="142"/>
      <c r="BG54" s="135"/>
      <c r="BH54" s="135"/>
      <c r="BI54" s="2" t="s">
        <v>11</v>
      </c>
      <c r="BJ54" s="136">
        <v>44985</v>
      </c>
      <c r="BK54" s="2" t="s">
        <v>109</v>
      </c>
      <c r="BL54" s="136" t="s">
        <v>113</v>
      </c>
      <c r="BM54" s="136">
        <v>44656</v>
      </c>
      <c r="BN54" s="2" t="s">
        <v>1505</v>
      </c>
      <c r="BO54" s="2"/>
      <c r="BP54" s="136"/>
      <c r="BQ54" s="137" t="s">
        <v>119</v>
      </c>
      <c r="BR54" s="138"/>
    </row>
    <row r="55" spans="1:70" ht="12.75" customHeight="1" x14ac:dyDescent="0.2">
      <c r="A55" s="2">
        <v>1544</v>
      </c>
      <c r="B55" s="2" t="s">
        <v>39</v>
      </c>
      <c r="C55" s="2" t="s">
        <v>42</v>
      </c>
      <c r="D55" s="2" t="s">
        <v>242</v>
      </c>
      <c r="E55" s="2" t="s">
        <v>90</v>
      </c>
      <c r="F55" s="132">
        <v>70000</v>
      </c>
      <c r="G55" s="132"/>
      <c r="H55" s="132">
        <v>108334.6</v>
      </c>
      <c r="I55" s="132"/>
      <c r="J55" s="132">
        <f>16525.62+AS55+AV55</f>
        <v>108334.59999999999</v>
      </c>
      <c r="K55" s="132">
        <f t="shared" si="13"/>
        <v>-38334.599999999991</v>
      </c>
      <c r="L55" s="132">
        <f t="shared" si="9"/>
        <v>0</v>
      </c>
      <c r="M55" s="133">
        <v>1580</v>
      </c>
      <c r="N55" s="133">
        <f t="shared" si="14"/>
        <v>1.4551915228366852E-11</v>
      </c>
      <c r="O55" s="134">
        <v>0</v>
      </c>
      <c r="P55" s="133"/>
      <c r="Q55" s="2" t="s">
        <v>243</v>
      </c>
      <c r="R55" s="156">
        <f t="shared" si="10"/>
        <v>0</v>
      </c>
      <c r="S55" s="156">
        <f t="shared" si="11"/>
        <v>0</v>
      </c>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53">
        <v>0</v>
      </c>
      <c r="AT55" s="153">
        <v>0</v>
      </c>
      <c r="AU55" s="153">
        <v>0</v>
      </c>
      <c r="AV55" s="135">
        <v>91808.98</v>
      </c>
      <c r="AW55" s="135">
        <v>11657.23</v>
      </c>
      <c r="AX55" s="142">
        <f>(H55/1.18-AT55-AW55)*0.1</f>
        <v>8015.1753050847474</v>
      </c>
      <c r="AY55" s="142"/>
      <c r="AZ55" s="142"/>
      <c r="BA55" s="142"/>
      <c r="BB55" s="142"/>
      <c r="BC55" s="142"/>
      <c r="BD55" s="142"/>
      <c r="BE55" s="142"/>
      <c r="BF55" s="142"/>
      <c r="BG55" s="135"/>
      <c r="BH55" s="135"/>
      <c r="BI55" s="2" t="s">
        <v>11</v>
      </c>
      <c r="BJ55" s="136">
        <v>45069</v>
      </c>
      <c r="BK55" s="2" t="s">
        <v>109</v>
      </c>
      <c r="BL55" s="136" t="s">
        <v>113</v>
      </c>
      <c r="BM55" s="136">
        <v>44656</v>
      </c>
      <c r="BN55" s="2" t="s">
        <v>1506</v>
      </c>
      <c r="BO55" s="2"/>
      <c r="BP55" s="136" t="s">
        <v>691</v>
      </c>
      <c r="BQ55" s="137" t="s">
        <v>119</v>
      </c>
      <c r="BR55" s="138"/>
    </row>
    <row r="56" spans="1:70" ht="12.75" customHeight="1" x14ac:dyDescent="0.3">
      <c r="A56" s="2">
        <v>1545</v>
      </c>
      <c r="B56" s="2" t="s">
        <v>39</v>
      </c>
      <c r="C56" s="2" t="s">
        <v>42</v>
      </c>
      <c r="D56" s="2" t="s">
        <v>1680</v>
      </c>
      <c r="E56" s="2" t="s">
        <v>90</v>
      </c>
      <c r="F56" s="132">
        <v>30000</v>
      </c>
      <c r="G56" s="132">
        <v>2</v>
      </c>
      <c r="H56" s="132">
        <f>1782+73801.39</f>
        <v>75583.39</v>
      </c>
      <c r="I56" s="132">
        <f>H56-1782</f>
        <v>73801.39</v>
      </c>
      <c r="J56" s="132">
        <f>271.83+1510.17+11257.84+62543.55</f>
        <v>75583.39</v>
      </c>
      <c r="K56" s="132">
        <f t="shared" si="13"/>
        <v>-45583.39</v>
      </c>
      <c r="L56" s="132">
        <f t="shared" si="9"/>
        <v>0</v>
      </c>
      <c r="M56" s="133">
        <v>2080.4</v>
      </c>
      <c r="N56" s="133">
        <f t="shared" si="14"/>
        <v>0</v>
      </c>
      <c r="O56" s="134">
        <v>0</v>
      </c>
      <c r="P56" s="133"/>
      <c r="Q56" s="143" t="s">
        <v>244</v>
      </c>
      <c r="R56" s="156">
        <f t="shared" si="10"/>
        <v>0</v>
      </c>
      <c r="S56" s="156">
        <f t="shared" si="11"/>
        <v>0</v>
      </c>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53">
        <v>0</v>
      </c>
      <c r="AT56" s="153">
        <v>0</v>
      </c>
      <c r="AU56" s="153">
        <v>0</v>
      </c>
      <c r="AV56" s="135"/>
      <c r="AW56" s="135"/>
      <c r="AX56" s="135"/>
      <c r="AY56" s="135"/>
      <c r="AZ56" s="135"/>
      <c r="BA56" s="135">
        <f>IF(BK56="Принят",(I56/1.18-AW56-AZ56)*0.1,I56/1.18*0.8*0.1)</f>
        <v>6254.3550847457627</v>
      </c>
      <c r="BB56" s="135">
        <f>(I56/1.18-AT56-AW56-AZ56)*0.1-BA56</f>
        <v>0</v>
      </c>
      <c r="BC56" s="135"/>
      <c r="BD56" s="135"/>
      <c r="BE56" s="135">
        <f>(I56/1.18-AT56-AW56-AZ56-BD56)*0.1-AU56-AX56-BA56-BB56</f>
        <v>0</v>
      </c>
      <c r="BF56" s="135"/>
      <c r="BG56" s="135"/>
      <c r="BH56" s="135"/>
      <c r="BI56" s="2" t="s">
        <v>11</v>
      </c>
      <c r="BJ56" s="136">
        <v>45351</v>
      </c>
      <c r="BK56" s="2" t="s">
        <v>109</v>
      </c>
      <c r="BL56" s="136" t="s">
        <v>113</v>
      </c>
      <c r="BM56" s="136">
        <v>44656</v>
      </c>
      <c r="BN56" s="2" t="s">
        <v>1507</v>
      </c>
      <c r="BO56" s="2"/>
      <c r="BP56" s="136" t="s">
        <v>616</v>
      </c>
      <c r="BQ56" s="137" t="s">
        <v>119</v>
      </c>
      <c r="BR56" s="138"/>
    </row>
    <row r="57" spans="1:70" ht="12.75" customHeight="1" x14ac:dyDescent="0.3">
      <c r="A57" s="2">
        <v>1546</v>
      </c>
      <c r="B57" s="2" t="s">
        <v>39</v>
      </c>
      <c r="C57" s="2" t="s">
        <v>42</v>
      </c>
      <c r="D57" s="2" t="s">
        <v>246</v>
      </c>
      <c r="E57" s="2" t="s">
        <v>90</v>
      </c>
      <c r="F57" s="132">
        <v>25000</v>
      </c>
      <c r="G57" s="132"/>
      <c r="H57" s="132">
        <v>29184.28</v>
      </c>
      <c r="I57" s="132"/>
      <c r="J57" s="132">
        <f>4451.839+24732.441</f>
        <v>29184.28</v>
      </c>
      <c r="K57" s="132">
        <f t="shared" si="13"/>
        <v>-4184.2799999999988</v>
      </c>
      <c r="L57" s="132">
        <f t="shared" si="9"/>
        <v>0</v>
      </c>
      <c r="M57" s="133">
        <v>513.5</v>
      </c>
      <c r="N57" s="133">
        <f t="shared" si="14"/>
        <v>0</v>
      </c>
      <c r="O57" s="134">
        <v>0</v>
      </c>
      <c r="P57" s="133"/>
      <c r="Q57" s="143" t="s">
        <v>245</v>
      </c>
      <c r="R57" s="156">
        <f t="shared" si="10"/>
        <v>0</v>
      </c>
      <c r="S57" s="156">
        <f t="shared" si="11"/>
        <v>0</v>
      </c>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53">
        <v>0</v>
      </c>
      <c r="AT57" s="153">
        <v>0</v>
      </c>
      <c r="AU57" s="153">
        <v>0</v>
      </c>
      <c r="AV57" s="135">
        <v>0</v>
      </c>
      <c r="AW57" s="135">
        <v>0</v>
      </c>
      <c r="AX57" s="142">
        <f>(H57/1.18-AT57-AW57)*0.1</f>
        <v>2473.2440677966101</v>
      </c>
      <c r="AY57" s="142"/>
      <c r="AZ57" s="142"/>
      <c r="BA57" s="142"/>
      <c r="BB57" s="142"/>
      <c r="BC57" s="142"/>
      <c r="BD57" s="142"/>
      <c r="BE57" s="142"/>
      <c r="BF57" s="142"/>
      <c r="BG57" s="135"/>
      <c r="BH57" s="135"/>
      <c r="BI57" s="2" t="s">
        <v>11</v>
      </c>
      <c r="BJ57" s="136">
        <v>44985</v>
      </c>
      <c r="BK57" s="2" t="s">
        <v>109</v>
      </c>
      <c r="BL57" s="136" t="s">
        <v>113</v>
      </c>
      <c r="BM57" s="136">
        <v>44656</v>
      </c>
      <c r="BN57" s="2" t="s">
        <v>1508</v>
      </c>
      <c r="BO57" s="2"/>
      <c r="BP57" s="136"/>
      <c r="BQ57" s="137" t="s">
        <v>119</v>
      </c>
      <c r="BR57" s="138"/>
    </row>
    <row r="58" spans="1:70" ht="12.75" customHeight="1" x14ac:dyDescent="0.3">
      <c r="A58" s="2">
        <v>1547</v>
      </c>
      <c r="B58" s="2" t="s">
        <v>39</v>
      </c>
      <c r="C58" s="2" t="s">
        <v>41</v>
      </c>
      <c r="D58" s="2" t="s">
        <v>711</v>
      </c>
      <c r="E58" s="2" t="s">
        <v>90</v>
      </c>
      <c r="F58" s="132">
        <v>40000</v>
      </c>
      <c r="G58" s="132"/>
      <c r="H58" s="132">
        <f>1664.25+70734.34</f>
        <v>72398.59</v>
      </c>
      <c r="I58" s="132"/>
      <c r="J58" s="132">
        <f>253.868+10789.98+61354.742</f>
        <v>72398.59</v>
      </c>
      <c r="K58" s="132">
        <f t="shared" si="13"/>
        <v>-32398.589999999997</v>
      </c>
      <c r="L58" s="132">
        <f t="shared" si="9"/>
        <v>0</v>
      </c>
      <c r="M58" s="133">
        <v>849.3</v>
      </c>
      <c r="N58" s="133">
        <f t="shared" si="14"/>
        <v>0</v>
      </c>
      <c r="O58" s="134">
        <v>0</v>
      </c>
      <c r="P58" s="133"/>
      <c r="Q58" s="143" t="s">
        <v>248</v>
      </c>
      <c r="R58" s="156">
        <f t="shared" si="10"/>
        <v>0</v>
      </c>
      <c r="S58" s="156">
        <f t="shared" si="11"/>
        <v>0</v>
      </c>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53">
        <v>0</v>
      </c>
      <c r="AT58" s="153">
        <v>0</v>
      </c>
      <c r="AU58" s="153">
        <v>0</v>
      </c>
      <c r="AV58" s="135">
        <v>0</v>
      </c>
      <c r="AW58" s="135">
        <v>0</v>
      </c>
      <c r="AX58" s="142">
        <f>((H58-1664.25)/1.18-AT58-AW58)*0.1</f>
        <v>5994.4355932203398</v>
      </c>
      <c r="AY58" s="142"/>
      <c r="AZ58" s="142"/>
      <c r="BA58" s="142"/>
      <c r="BB58" s="142"/>
      <c r="BC58" s="142"/>
      <c r="BD58" s="142"/>
      <c r="BE58" s="142"/>
      <c r="BF58" s="142"/>
      <c r="BG58" s="135"/>
      <c r="BH58" s="135"/>
      <c r="BI58" s="2" t="s">
        <v>11</v>
      </c>
      <c r="BJ58" s="136">
        <v>44985</v>
      </c>
      <c r="BK58" s="2" t="s">
        <v>109</v>
      </c>
      <c r="BL58" s="136" t="s">
        <v>113</v>
      </c>
      <c r="BM58" s="136">
        <v>44656</v>
      </c>
      <c r="BN58" s="2" t="s">
        <v>1509</v>
      </c>
      <c r="BO58" s="2"/>
      <c r="BP58" s="136"/>
      <c r="BQ58" s="137" t="s">
        <v>119</v>
      </c>
      <c r="BR58" s="138"/>
    </row>
    <row r="59" spans="1:70" ht="12.75" customHeight="1" x14ac:dyDescent="0.3">
      <c r="A59" s="2">
        <v>1548</v>
      </c>
      <c r="B59" s="2" t="s">
        <v>39</v>
      </c>
      <c r="C59" s="2" t="s">
        <v>42</v>
      </c>
      <c r="D59" s="2" t="s">
        <v>250</v>
      </c>
      <c r="E59" s="2" t="s">
        <v>90</v>
      </c>
      <c r="F59" s="132">
        <v>5000</v>
      </c>
      <c r="G59" s="132"/>
      <c r="H59" s="132">
        <v>5388.94</v>
      </c>
      <c r="I59" s="132"/>
      <c r="J59" s="132">
        <f>822.041+4566.899</f>
        <v>5388.9400000000005</v>
      </c>
      <c r="K59" s="132">
        <f t="shared" si="13"/>
        <v>-388.94000000000051</v>
      </c>
      <c r="L59" s="132">
        <f t="shared" si="9"/>
        <v>0</v>
      </c>
      <c r="M59" s="133">
        <v>69.900000000000006</v>
      </c>
      <c r="N59" s="133">
        <f t="shared" si="14"/>
        <v>-9.0949470177292824E-13</v>
      </c>
      <c r="O59" s="134">
        <v>0</v>
      </c>
      <c r="P59" s="133"/>
      <c r="Q59" s="143" t="s">
        <v>249</v>
      </c>
      <c r="R59" s="156">
        <f t="shared" si="10"/>
        <v>0</v>
      </c>
      <c r="S59" s="156">
        <f t="shared" si="11"/>
        <v>0</v>
      </c>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53">
        <v>0</v>
      </c>
      <c r="AT59" s="153">
        <v>0</v>
      </c>
      <c r="AU59" s="153">
        <v>0</v>
      </c>
      <c r="AV59" s="135">
        <v>0</v>
      </c>
      <c r="AW59" s="135">
        <v>0</v>
      </c>
      <c r="AX59" s="142">
        <f>(H59/1.18-AT59-AW59)*0.1</f>
        <v>456.68983050847459</v>
      </c>
      <c r="AY59" s="142"/>
      <c r="AZ59" s="142"/>
      <c r="BA59" s="142"/>
      <c r="BB59" s="142"/>
      <c r="BC59" s="142"/>
      <c r="BD59" s="142"/>
      <c r="BE59" s="142"/>
      <c r="BF59" s="142"/>
      <c r="BG59" s="135"/>
      <c r="BH59" s="135"/>
      <c r="BI59" s="2" t="s">
        <v>11</v>
      </c>
      <c r="BJ59" s="136">
        <v>44985</v>
      </c>
      <c r="BK59" s="2" t="s">
        <v>109</v>
      </c>
      <c r="BL59" s="136" t="s">
        <v>113</v>
      </c>
      <c r="BM59" s="136">
        <v>44656</v>
      </c>
      <c r="BN59" s="2" t="s">
        <v>1510</v>
      </c>
      <c r="BO59" s="2"/>
      <c r="BP59" s="136"/>
      <c r="BQ59" s="137" t="s">
        <v>119</v>
      </c>
      <c r="BR59" s="138"/>
    </row>
    <row r="60" spans="1:70" ht="12.75" customHeight="1" x14ac:dyDescent="0.3">
      <c r="A60" s="2">
        <v>1549</v>
      </c>
      <c r="B60" s="2" t="s">
        <v>100</v>
      </c>
      <c r="C60" s="2" t="s">
        <v>1681</v>
      </c>
      <c r="D60" s="2" t="s">
        <v>255</v>
      </c>
      <c r="E60" s="2" t="s">
        <v>90</v>
      </c>
      <c r="F60" s="132">
        <v>350000</v>
      </c>
      <c r="G60" s="132"/>
      <c r="H60" s="132">
        <f>19355+N("Project")+488913.92+130000+7938+5670+N("080823")+160000+N("310823")+6399+N("290923")+1072+13114.59+N("პროექტი გადაერთებები")+29552.87</f>
        <v>862015.37999999989</v>
      </c>
      <c r="I60" s="132">
        <f>H60-19355-13114.59</f>
        <v>829545.78999999992</v>
      </c>
      <c r="J60" s="132">
        <f>74580.089+2952.457+430736.374+19830.51+1210.88+AS60+AV60+864.915+24406.779+976.12+163.53+2000.53+53725.4059</f>
        <v>862015.37990000017</v>
      </c>
      <c r="K60" s="132">
        <f t="shared" si="13"/>
        <v>-512015.37990000017</v>
      </c>
      <c r="L60" s="132">
        <f t="shared" si="9"/>
        <v>9.9999713711440563E-5</v>
      </c>
      <c r="M60" s="133">
        <v>18554.75</v>
      </c>
      <c r="N60" s="133">
        <f t="shared" si="14"/>
        <v>9.9999713711440563E-5</v>
      </c>
      <c r="O60" s="134">
        <v>0</v>
      </c>
      <c r="P60" s="133"/>
      <c r="Q60" s="143" t="s">
        <v>254</v>
      </c>
      <c r="R60" s="156">
        <f t="shared" si="10"/>
        <v>0</v>
      </c>
      <c r="S60" s="156">
        <f t="shared" si="11"/>
        <v>0</v>
      </c>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53">
        <v>0</v>
      </c>
      <c r="AT60" s="153">
        <v>0</v>
      </c>
      <c r="AU60" s="156">
        <v>0</v>
      </c>
      <c r="AV60" s="142">
        <f>110169.49+4805.08+135593.22</f>
        <v>250567.79</v>
      </c>
      <c r="AW60" s="142">
        <f>13848.15+530.01+13143.26</f>
        <v>27521.42</v>
      </c>
      <c r="AX60" s="142">
        <f>((H60-19355+N("გარე ქს.")-13114.59+N("შიდა ქს."))/1.18-AT60-AW60)*0.1</f>
        <v>67548.348677966089</v>
      </c>
      <c r="AY60" s="142"/>
      <c r="AZ60" s="142"/>
      <c r="BA60" s="142"/>
      <c r="BB60" s="142"/>
      <c r="BC60" s="142"/>
      <c r="BD60" s="142"/>
      <c r="BE60" s="142"/>
      <c r="BF60" s="142"/>
      <c r="BG60" s="135">
        <f>488913.92</f>
        <v>488913.91999999998</v>
      </c>
      <c r="BH60" s="136">
        <v>44925</v>
      </c>
      <c r="BI60" s="2" t="s">
        <v>11</v>
      </c>
      <c r="BJ60" s="136">
        <v>45287</v>
      </c>
      <c r="BK60" s="2" t="s">
        <v>109</v>
      </c>
      <c r="BL60" s="136" t="s">
        <v>18</v>
      </c>
      <c r="BM60" s="136">
        <v>44676</v>
      </c>
      <c r="BN60" s="2" t="s">
        <v>1511</v>
      </c>
      <c r="BO60" s="2"/>
      <c r="BP60" s="136"/>
      <c r="BQ60" s="137" t="s">
        <v>119</v>
      </c>
      <c r="BR60" s="138"/>
    </row>
    <row r="61" spans="1:70" ht="12.75" customHeight="1" x14ac:dyDescent="0.3">
      <c r="A61" s="2">
        <v>1550</v>
      </c>
      <c r="B61" s="2" t="s">
        <v>39</v>
      </c>
      <c r="C61" s="2" t="s">
        <v>94</v>
      </c>
      <c r="D61" s="2" t="s">
        <v>257</v>
      </c>
      <c r="E61" s="2" t="s">
        <v>90</v>
      </c>
      <c r="F61" s="132">
        <v>2200000</v>
      </c>
      <c r="G61" s="132"/>
      <c r="H61" s="132">
        <f>1128400+542500+564200+25371.5+N("პროექტი")+645026.17+81278.8</f>
        <v>2986776.4699999997</v>
      </c>
      <c r="I61" s="132">
        <f>H61-25371.5</f>
        <v>2961404.9699999997</v>
      </c>
      <c r="J61" s="132">
        <f>172128.81+82754.24+86064.406+98393.82+3870.228+AS61+568133.626+AV61+12398.46+68880.33</f>
        <v>2986776.4600000004</v>
      </c>
      <c r="K61" s="132">
        <f t="shared" si="13"/>
        <v>-786776.46000000043</v>
      </c>
      <c r="L61" s="132">
        <f t="shared" si="9"/>
        <v>9.9999993108212948E-3</v>
      </c>
      <c r="M61" s="133">
        <v>15217</v>
      </c>
      <c r="N61" s="133">
        <f t="shared" si="14"/>
        <v>9.9999993108212948E-3</v>
      </c>
      <c r="O61" s="134">
        <v>0</v>
      </c>
      <c r="P61" s="133"/>
      <c r="Q61" s="143" t="s">
        <v>256</v>
      </c>
      <c r="R61" s="156">
        <f t="shared" si="10"/>
        <v>0</v>
      </c>
      <c r="S61" s="156">
        <f t="shared" si="11"/>
        <v>0</v>
      </c>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53">
        <f>856271.19+100000+459745.76+478135.59</f>
        <v>1894152.54</v>
      </c>
      <c r="AT61" s="153">
        <f>56103.36+6305.48+26533+21699.5</f>
        <v>110641.34</v>
      </c>
      <c r="AU61" s="156">
        <v>0</v>
      </c>
      <c r="AV61" s="135">
        <v>0</v>
      </c>
      <c r="AW61" s="142">
        <v>0</v>
      </c>
      <c r="AX61" s="142">
        <f>((H61-25371.5)/1.18-AT61-AW61)*0.1</f>
        <v>239902.38888135596</v>
      </c>
      <c r="AY61" s="142"/>
      <c r="AZ61" s="142"/>
      <c r="BA61" s="142"/>
      <c r="BB61" s="142"/>
      <c r="BC61" s="142"/>
      <c r="BD61" s="142"/>
      <c r="BE61" s="142"/>
      <c r="BF61" s="142"/>
      <c r="BG61" s="135">
        <f>1128400+542500+564200+645026.17</f>
        <v>2880126.17</v>
      </c>
      <c r="BH61" s="136">
        <v>44925</v>
      </c>
      <c r="BI61" s="2" t="s">
        <v>11</v>
      </c>
      <c r="BJ61" s="136">
        <v>45169</v>
      </c>
      <c r="BK61" s="2" t="s">
        <v>109</v>
      </c>
      <c r="BL61" s="136" t="s">
        <v>18</v>
      </c>
      <c r="BM61" s="136">
        <v>44676</v>
      </c>
      <c r="BN61" s="2" t="s">
        <v>1512</v>
      </c>
      <c r="BO61" s="2"/>
      <c r="BP61" s="136"/>
      <c r="BQ61" s="137" t="s">
        <v>119</v>
      </c>
      <c r="BR61" s="138"/>
    </row>
    <row r="62" spans="1:70" ht="12.75" customHeight="1" x14ac:dyDescent="0.2">
      <c r="A62" s="2">
        <v>1551</v>
      </c>
      <c r="B62" s="2" t="s">
        <v>39</v>
      </c>
      <c r="C62" s="2" t="s">
        <v>94</v>
      </c>
      <c r="D62" s="2" t="s">
        <v>259</v>
      </c>
      <c r="E62" s="2" t="s">
        <v>90</v>
      </c>
      <c r="F62" s="132">
        <v>250000</v>
      </c>
      <c r="G62" s="132">
        <v>2</v>
      </c>
      <c r="H62" s="132"/>
      <c r="I62" s="132"/>
      <c r="J62" s="132"/>
      <c r="K62" s="132">
        <f t="shared" si="13"/>
        <v>250000</v>
      </c>
      <c r="L62" s="132">
        <f t="shared" si="9"/>
        <v>0</v>
      </c>
      <c r="M62" s="133"/>
      <c r="N62" s="133">
        <f t="shared" si="14"/>
        <v>250000</v>
      </c>
      <c r="O62" s="134">
        <v>1</v>
      </c>
      <c r="P62" s="133"/>
      <c r="Q62" s="2" t="s">
        <v>260</v>
      </c>
      <c r="R62" s="156">
        <f t="shared" si="10"/>
        <v>0</v>
      </c>
      <c r="S62" s="156">
        <f t="shared" si="11"/>
        <v>0</v>
      </c>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53">
        <v>0</v>
      </c>
      <c r="AT62" s="153">
        <v>0</v>
      </c>
      <c r="AU62" s="153">
        <v>0</v>
      </c>
      <c r="AV62" s="135"/>
      <c r="AW62" s="135"/>
      <c r="AX62" s="135"/>
      <c r="AY62" s="135"/>
      <c r="AZ62" s="135"/>
      <c r="BA62" s="135"/>
      <c r="BB62" s="135"/>
      <c r="BC62" s="135"/>
      <c r="BD62" s="135"/>
      <c r="BE62" s="135"/>
      <c r="BF62" s="135"/>
      <c r="BG62" s="135"/>
      <c r="BH62" s="135"/>
      <c r="BI62" s="2" t="s">
        <v>11</v>
      </c>
      <c r="BJ62" s="136"/>
      <c r="BK62" s="2">
        <v>0</v>
      </c>
      <c r="BL62" s="136" t="s">
        <v>18</v>
      </c>
      <c r="BM62" s="136">
        <v>44676</v>
      </c>
      <c r="BN62" s="2" t="s">
        <v>1513</v>
      </c>
      <c r="BO62" s="2"/>
      <c r="BP62" s="136" t="s">
        <v>685</v>
      </c>
      <c r="BQ62" s="137"/>
      <c r="BR62" s="138"/>
    </row>
    <row r="63" spans="1:70" ht="12.75" customHeight="1" x14ac:dyDescent="0.2">
      <c r="A63" s="2">
        <v>1552</v>
      </c>
      <c r="B63" s="2" t="s">
        <v>39</v>
      </c>
      <c r="C63" s="2" t="s">
        <v>94</v>
      </c>
      <c r="D63" s="2" t="s">
        <v>331</v>
      </c>
      <c r="E63" s="2" t="s">
        <v>90</v>
      </c>
      <c r="F63" s="132">
        <v>240000</v>
      </c>
      <c r="G63" s="132">
        <v>2</v>
      </c>
      <c r="H63" s="132">
        <f>804+N("რეგულატორების ჩამოწერა")</f>
        <v>804</v>
      </c>
      <c r="I63" s="132"/>
      <c r="J63" s="132">
        <f>804</f>
        <v>804</v>
      </c>
      <c r="K63" s="132">
        <f t="shared" si="13"/>
        <v>239196</v>
      </c>
      <c r="L63" s="132">
        <f t="shared" si="9"/>
        <v>0</v>
      </c>
      <c r="M63" s="133"/>
      <c r="N63" s="133">
        <f t="shared" si="14"/>
        <v>239196</v>
      </c>
      <c r="O63" s="134">
        <v>1</v>
      </c>
      <c r="P63" s="133"/>
      <c r="Q63" s="2" t="s">
        <v>332</v>
      </c>
      <c r="R63" s="156">
        <f t="shared" si="10"/>
        <v>0</v>
      </c>
      <c r="S63" s="156">
        <f t="shared" si="11"/>
        <v>0</v>
      </c>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53">
        <v>0</v>
      </c>
      <c r="AT63" s="153">
        <v>0</v>
      </c>
      <c r="AU63" s="153">
        <v>0</v>
      </c>
      <c r="AV63" s="135"/>
      <c r="AW63" s="135"/>
      <c r="AX63" s="135"/>
      <c r="AY63" s="135"/>
      <c r="AZ63" s="135"/>
      <c r="BA63" s="135"/>
      <c r="BB63" s="135"/>
      <c r="BC63" s="135"/>
      <c r="BD63" s="135"/>
      <c r="BE63" s="135"/>
      <c r="BF63" s="135"/>
      <c r="BG63" s="135"/>
      <c r="BH63" s="135"/>
      <c r="BI63" s="2" t="s">
        <v>11</v>
      </c>
      <c r="BJ63" s="136"/>
      <c r="BK63" s="2">
        <v>0</v>
      </c>
      <c r="BL63" s="136" t="s">
        <v>18</v>
      </c>
      <c r="BM63" s="136">
        <v>44676</v>
      </c>
      <c r="BN63" s="2" t="s">
        <v>1514</v>
      </c>
      <c r="BO63" s="2"/>
      <c r="BP63" s="136"/>
      <c r="BQ63" s="137"/>
      <c r="BR63" s="138"/>
    </row>
    <row r="64" spans="1:70" ht="12.75" customHeight="1" x14ac:dyDescent="0.2">
      <c r="A64" s="2">
        <v>1553</v>
      </c>
      <c r="B64" s="2" t="s">
        <v>39</v>
      </c>
      <c r="C64" s="2" t="s">
        <v>94</v>
      </c>
      <c r="D64" s="2" t="s">
        <v>261</v>
      </c>
      <c r="E64" s="2" t="s">
        <v>90</v>
      </c>
      <c r="F64" s="132">
        <v>200000</v>
      </c>
      <c r="G64" s="132"/>
      <c r="H64" s="132">
        <f>320000+52000+609.3</f>
        <v>372609.3</v>
      </c>
      <c r="I64" s="132"/>
      <c r="J64" s="132">
        <f>48813.56+AS64+AV64+7932.203+44677.097</f>
        <v>372609.3</v>
      </c>
      <c r="K64" s="132">
        <f t="shared" si="13"/>
        <v>-172609.3</v>
      </c>
      <c r="L64" s="132">
        <f t="shared" si="9"/>
        <v>0</v>
      </c>
      <c r="M64" s="133">
        <v>2130</v>
      </c>
      <c r="N64" s="133">
        <f t="shared" si="14"/>
        <v>0</v>
      </c>
      <c r="O64" s="134">
        <v>0</v>
      </c>
      <c r="P64" s="133"/>
      <c r="Q64" s="2" t="s">
        <v>262</v>
      </c>
      <c r="R64" s="156">
        <f t="shared" si="10"/>
        <v>0</v>
      </c>
      <c r="S64" s="156">
        <f t="shared" si="11"/>
        <v>0</v>
      </c>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53">
        <v>0</v>
      </c>
      <c r="AT64" s="153">
        <v>0</v>
      </c>
      <c r="AU64" s="153">
        <v>0</v>
      </c>
      <c r="AV64" s="135">
        <f>271186.44</f>
        <v>271186.44</v>
      </c>
      <c r="AW64" s="135">
        <v>32014.86</v>
      </c>
      <c r="AX64" s="142">
        <f>(H64/1.18-AT64-AW64)*0.1</f>
        <v>28375.573322033903</v>
      </c>
      <c r="AY64" s="142"/>
      <c r="AZ64" s="142"/>
      <c r="BA64" s="142"/>
      <c r="BB64" s="142"/>
      <c r="BC64" s="142"/>
      <c r="BD64" s="142"/>
      <c r="BE64" s="142"/>
      <c r="BF64" s="142"/>
      <c r="BG64" s="135"/>
      <c r="BH64" s="135"/>
      <c r="BI64" s="2" t="s">
        <v>11</v>
      </c>
      <c r="BJ64" s="136">
        <v>45289</v>
      </c>
      <c r="BK64" s="2" t="s">
        <v>8</v>
      </c>
      <c r="BL64" s="136" t="s">
        <v>18</v>
      </c>
      <c r="BM64" s="136">
        <v>44676</v>
      </c>
      <c r="BN64" s="2" t="s">
        <v>1515</v>
      </c>
      <c r="BO64" s="2"/>
      <c r="BP64" s="136"/>
      <c r="BQ64" s="137" t="s">
        <v>119</v>
      </c>
      <c r="BR64" s="138"/>
    </row>
    <row r="65" spans="1:70" ht="12.75" customHeight="1" x14ac:dyDescent="0.2">
      <c r="A65" s="2">
        <v>1554</v>
      </c>
      <c r="B65" s="2" t="s">
        <v>39</v>
      </c>
      <c r="C65" s="2" t="s">
        <v>94</v>
      </c>
      <c r="D65" s="2" t="s">
        <v>270</v>
      </c>
      <c r="E65" s="2" t="s">
        <v>90</v>
      </c>
      <c r="F65" s="132">
        <v>130000</v>
      </c>
      <c r="G65" s="132"/>
      <c r="H65" s="132">
        <f>3741.5+N("პროექტი")+205000+722.14-0+N("პროექტი")</f>
        <v>209463.64</v>
      </c>
      <c r="I65" s="132">
        <f>H65-3741.5</f>
        <v>205722.14</v>
      </c>
      <c r="J65" s="132">
        <f>570.737+3170.763+31271.186+AS65+AV65+722.14</f>
        <v>209463.636</v>
      </c>
      <c r="K65" s="132">
        <f t="shared" si="13"/>
        <v>-79463.635999999999</v>
      </c>
      <c r="L65" s="132">
        <f t="shared" si="9"/>
        <v>4.0000000153668225E-3</v>
      </c>
      <c r="M65" s="133">
        <v>2246.4</v>
      </c>
      <c r="N65" s="133">
        <f t="shared" si="14"/>
        <v>4.0000000153668225E-3</v>
      </c>
      <c r="O65" s="134">
        <v>0</v>
      </c>
      <c r="P65" s="133"/>
      <c r="Q65" s="2" t="s">
        <v>271</v>
      </c>
      <c r="R65" s="156">
        <f t="shared" si="10"/>
        <v>0</v>
      </c>
      <c r="S65" s="156">
        <f t="shared" si="11"/>
        <v>0</v>
      </c>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53">
        <v>0</v>
      </c>
      <c r="AT65" s="153">
        <v>0</v>
      </c>
      <c r="AU65" s="153">
        <v>0</v>
      </c>
      <c r="AV65" s="135">
        <f>173728.81</f>
        <v>173728.81</v>
      </c>
      <c r="AW65" s="135">
        <v>20509.52</v>
      </c>
      <c r="AX65" s="142">
        <f>((H65-3741.5)/1.18-AT65-AW65)*0.1</f>
        <v>15383.127661016953</v>
      </c>
      <c r="AY65" s="142"/>
      <c r="AZ65" s="142"/>
      <c r="BA65" s="142"/>
      <c r="BB65" s="142"/>
      <c r="BC65" s="142"/>
      <c r="BD65" s="142"/>
      <c r="BE65" s="142"/>
      <c r="BF65" s="142"/>
      <c r="BG65" s="135"/>
      <c r="BH65" s="135"/>
      <c r="BI65" s="2" t="s">
        <v>11</v>
      </c>
      <c r="BJ65" s="136">
        <v>45260</v>
      </c>
      <c r="BK65" s="2" t="s">
        <v>8</v>
      </c>
      <c r="BL65" s="136" t="s">
        <v>18</v>
      </c>
      <c r="BM65" s="136">
        <v>44676</v>
      </c>
      <c r="BN65" s="2" t="s">
        <v>1516</v>
      </c>
      <c r="BO65" s="2"/>
      <c r="BP65" s="136"/>
      <c r="BQ65" s="137" t="s">
        <v>119</v>
      </c>
      <c r="BR65" s="138"/>
    </row>
    <row r="66" spans="1:70" ht="12.75" customHeight="1" x14ac:dyDescent="0.2">
      <c r="A66" s="2">
        <v>1555</v>
      </c>
      <c r="B66" s="2" t="s">
        <v>39</v>
      </c>
      <c r="C66" s="2" t="s">
        <v>94</v>
      </c>
      <c r="D66" s="2" t="s">
        <v>272</v>
      </c>
      <c r="E66" s="2" t="s">
        <v>90</v>
      </c>
      <c r="F66" s="132">
        <v>90000</v>
      </c>
      <c r="G66" s="132"/>
      <c r="H66" s="132">
        <f>182370+5575.5+N("პროექტი")+43620.58</f>
        <v>231566.08000000002</v>
      </c>
      <c r="I66" s="132">
        <f>H66-5575.5</f>
        <v>225990.58000000002</v>
      </c>
      <c r="J66" s="132">
        <f>27819.15+850.5+AS66+4725+6653.99+AV66</f>
        <v>231566.07999999999</v>
      </c>
      <c r="K66" s="132">
        <f t="shared" si="13"/>
        <v>-141566.07999999999</v>
      </c>
      <c r="L66" s="132">
        <f t="shared" si="9"/>
        <v>0</v>
      </c>
      <c r="M66" s="133">
        <v>3062</v>
      </c>
      <c r="N66" s="133">
        <f t="shared" si="14"/>
        <v>2.9103830456733704E-11</v>
      </c>
      <c r="O66" s="134">
        <v>0</v>
      </c>
      <c r="P66" s="133"/>
      <c r="Q66" s="2" t="s">
        <v>273</v>
      </c>
      <c r="R66" s="156">
        <f t="shared" si="10"/>
        <v>0</v>
      </c>
      <c r="S66" s="156">
        <f t="shared" si="11"/>
        <v>0</v>
      </c>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53">
        <v>154550.85</v>
      </c>
      <c r="AT66" s="153">
        <v>5743.79</v>
      </c>
      <c r="AU66" s="153">
        <v>0</v>
      </c>
      <c r="AV66" s="135">
        <v>36966.589999999997</v>
      </c>
      <c r="AW66" s="135">
        <v>4646.6499999999996</v>
      </c>
      <c r="AX66" s="142">
        <f>((H66-5575.5)/1.18-AT66-AW66)*0.1</f>
        <v>18112.700067796613</v>
      </c>
      <c r="AY66" s="142"/>
      <c r="AZ66" s="142"/>
      <c r="BA66" s="142"/>
      <c r="BB66" s="142"/>
      <c r="BC66" s="142"/>
      <c r="BD66" s="142"/>
      <c r="BE66" s="142"/>
      <c r="BF66" s="142"/>
      <c r="BG66" s="135"/>
      <c r="BH66" s="135"/>
      <c r="BI66" s="2" t="s">
        <v>11</v>
      </c>
      <c r="BJ66" s="136">
        <v>45069</v>
      </c>
      <c r="BK66" s="2" t="s">
        <v>109</v>
      </c>
      <c r="BL66" s="136" t="s">
        <v>18</v>
      </c>
      <c r="BM66" s="136">
        <v>44676</v>
      </c>
      <c r="BN66" s="2" t="s">
        <v>1517</v>
      </c>
      <c r="BO66" s="2"/>
      <c r="BP66" s="136"/>
      <c r="BQ66" s="137" t="s">
        <v>119</v>
      </c>
      <c r="BR66" s="138"/>
    </row>
    <row r="67" spans="1:70" ht="12.75" customHeight="1" x14ac:dyDescent="0.2">
      <c r="A67" s="2">
        <v>1556</v>
      </c>
      <c r="B67" s="2" t="s">
        <v>39</v>
      </c>
      <c r="C67" s="2" t="s">
        <v>94</v>
      </c>
      <c r="D67" s="2" t="s">
        <v>274</v>
      </c>
      <c r="E67" s="2" t="s">
        <v>90</v>
      </c>
      <c r="F67" s="132">
        <v>90000</v>
      </c>
      <c r="G67" s="132"/>
      <c r="H67" s="132">
        <f>2546.25+N("პროექტი")+191383.97</f>
        <v>193930.22</v>
      </c>
      <c r="I67" s="132">
        <f>H67-2546.25</f>
        <v>191383.97</v>
      </c>
      <c r="J67" s="132">
        <f>388.41+29194.165+AS67+AV67</f>
        <v>193930.22500000001</v>
      </c>
      <c r="K67" s="132">
        <f t="shared" si="13"/>
        <v>-103930.22500000001</v>
      </c>
      <c r="L67" s="132">
        <f t="shared" si="9"/>
        <v>-5.0000000046566129E-3</v>
      </c>
      <c r="M67" s="133">
        <v>1416.5</v>
      </c>
      <c r="N67" s="133">
        <f t="shared" si="14"/>
        <v>-5.0000000046566129E-3</v>
      </c>
      <c r="O67" s="134">
        <v>0</v>
      </c>
      <c r="P67" s="133"/>
      <c r="Q67" s="2" t="s">
        <v>275</v>
      </c>
      <c r="R67" s="156">
        <f t="shared" si="10"/>
        <v>0</v>
      </c>
      <c r="S67" s="156">
        <f t="shared" si="11"/>
        <v>0</v>
      </c>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53">
        <v>0</v>
      </c>
      <c r="AT67" s="153">
        <v>0</v>
      </c>
      <c r="AU67" s="153">
        <v>0</v>
      </c>
      <c r="AV67" s="135">
        <v>164347.65</v>
      </c>
      <c r="AW67" s="135">
        <v>20387.04</v>
      </c>
      <c r="AX67" s="142">
        <f>((H67-2546.25)/1.18-AT67-AW67)*0.1</f>
        <v>14180.276508474577</v>
      </c>
      <c r="AY67" s="142"/>
      <c r="AZ67" s="142"/>
      <c r="BA67" s="142"/>
      <c r="BB67" s="142"/>
      <c r="BC67" s="142"/>
      <c r="BD67" s="142"/>
      <c r="BE67" s="142"/>
      <c r="BF67" s="142"/>
      <c r="BG67" s="135"/>
      <c r="BH67" s="135"/>
      <c r="BI67" s="2" t="s">
        <v>11</v>
      </c>
      <c r="BJ67" s="136">
        <v>45076</v>
      </c>
      <c r="BK67" s="2" t="s">
        <v>109</v>
      </c>
      <c r="BL67" s="136" t="s">
        <v>18</v>
      </c>
      <c r="BM67" s="136">
        <v>44676</v>
      </c>
      <c r="BN67" s="2" t="s">
        <v>1518</v>
      </c>
      <c r="BO67" s="2"/>
      <c r="BP67" s="136" t="s">
        <v>685</v>
      </c>
      <c r="BQ67" s="137" t="s">
        <v>119</v>
      </c>
      <c r="BR67" s="138"/>
    </row>
    <row r="68" spans="1:70" ht="12.75" customHeight="1" x14ac:dyDescent="0.2">
      <c r="A68" s="2">
        <v>1557</v>
      </c>
      <c r="B68" s="2" t="s">
        <v>39</v>
      </c>
      <c r="C68" s="2" t="s">
        <v>94</v>
      </c>
      <c r="D68" s="2" t="s">
        <v>276</v>
      </c>
      <c r="E68" s="2" t="s">
        <v>90</v>
      </c>
      <c r="F68" s="132">
        <v>460000</v>
      </c>
      <c r="G68" s="132"/>
      <c r="H68" s="132">
        <f>378000+619763.31</f>
        <v>997763.31</v>
      </c>
      <c r="I68" s="132"/>
      <c r="J68" s="132">
        <f>57661.02+AS68+94540.17+AV68</f>
        <v>997763.33000000007</v>
      </c>
      <c r="K68" s="132">
        <f t="shared" si="13"/>
        <v>-537763.33000000007</v>
      </c>
      <c r="L68" s="132">
        <f t="shared" si="9"/>
        <v>-2.0000000018626451E-2</v>
      </c>
      <c r="M68" s="133">
        <v>6028</v>
      </c>
      <c r="N68" s="133">
        <f t="shared" si="14"/>
        <v>-2.0000000018626451E-2</v>
      </c>
      <c r="O68" s="134">
        <v>0</v>
      </c>
      <c r="P68" s="133"/>
      <c r="Q68" s="2" t="s">
        <v>277</v>
      </c>
      <c r="R68" s="156">
        <f t="shared" si="10"/>
        <v>0</v>
      </c>
      <c r="S68" s="156">
        <f t="shared" si="11"/>
        <v>0</v>
      </c>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53">
        <v>320339</v>
      </c>
      <c r="AT68" s="153">
        <v>16381.17</v>
      </c>
      <c r="AU68" s="153">
        <v>0</v>
      </c>
      <c r="AV68" s="135">
        <v>525223.14</v>
      </c>
      <c r="AW68" s="135">
        <v>65573.75</v>
      </c>
      <c r="AX68" s="142">
        <f>(H68/1.18-AT68-AW68)*0.1</f>
        <v>76360.720711864415</v>
      </c>
      <c r="AY68" s="142"/>
      <c r="AZ68" s="142"/>
      <c r="BA68" s="142"/>
      <c r="BB68" s="142"/>
      <c r="BC68" s="142"/>
      <c r="BD68" s="142"/>
      <c r="BE68" s="142"/>
      <c r="BF68" s="142"/>
      <c r="BG68" s="135"/>
      <c r="BH68" s="135"/>
      <c r="BI68" s="2" t="s">
        <v>11</v>
      </c>
      <c r="BJ68" s="136">
        <v>45044</v>
      </c>
      <c r="BK68" s="2" t="s">
        <v>109</v>
      </c>
      <c r="BL68" s="136" t="s">
        <v>18</v>
      </c>
      <c r="BM68" s="136">
        <v>44676</v>
      </c>
      <c r="BN68" s="2" t="s">
        <v>1519</v>
      </c>
      <c r="BO68" s="2"/>
      <c r="BP68" s="136"/>
      <c r="BQ68" s="137" t="s">
        <v>119</v>
      </c>
      <c r="BR68" s="138"/>
    </row>
    <row r="69" spans="1:70" ht="12.75" customHeight="1" x14ac:dyDescent="0.2">
      <c r="A69" s="2">
        <v>1558</v>
      </c>
      <c r="B69" s="2" t="s">
        <v>39</v>
      </c>
      <c r="C69" s="2" t="s">
        <v>94</v>
      </c>
      <c r="D69" s="2" t="s">
        <v>278</v>
      </c>
      <c r="E69" s="2" t="s">
        <v>90</v>
      </c>
      <c r="F69" s="132">
        <v>50000</v>
      </c>
      <c r="G69" s="132"/>
      <c r="H69" s="132">
        <f>2682.75+143371.09</f>
        <v>146053.84</v>
      </c>
      <c r="I69" s="132">
        <f>H69-2682.75</f>
        <v>143371.09</v>
      </c>
      <c r="J69" s="132">
        <f>409.23+2273.52+21870.17+AS69+AV69</f>
        <v>146053.84</v>
      </c>
      <c r="K69" s="132">
        <f t="shared" si="13"/>
        <v>-96053.84</v>
      </c>
      <c r="L69" s="132">
        <f t="shared" si="9"/>
        <v>0</v>
      </c>
      <c r="M69" s="133">
        <v>1056</v>
      </c>
      <c r="N69" s="133">
        <f t="shared" si="14"/>
        <v>0</v>
      </c>
      <c r="O69" s="134">
        <v>0</v>
      </c>
      <c r="P69" s="133"/>
      <c r="Q69" s="2" t="s">
        <v>279</v>
      </c>
      <c r="R69" s="156">
        <f t="shared" si="10"/>
        <v>0</v>
      </c>
      <c r="S69" s="156">
        <f t="shared" si="11"/>
        <v>0</v>
      </c>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53">
        <v>0</v>
      </c>
      <c r="AT69" s="153">
        <v>0</v>
      </c>
      <c r="AU69" s="153">
        <v>0</v>
      </c>
      <c r="AV69" s="135">
        <v>121500.92</v>
      </c>
      <c r="AW69" s="135">
        <v>15272.9</v>
      </c>
      <c r="AX69" s="142">
        <f>((H69-2682.75)/1.18-AT69-AW69)*0.1</f>
        <v>10622.802372881357</v>
      </c>
      <c r="AY69" s="142"/>
      <c r="AZ69" s="142"/>
      <c r="BA69" s="142"/>
      <c r="BB69" s="142"/>
      <c r="BC69" s="142"/>
      <c r="BD69" s="142"/>
      <c r="BE69" s="142"/>
      <c r="BF69" s="142"/>
      <c r="BG69" s="135"/>
      <c r="BH69" s="135"/>
      <c r="BI69" s="2" t="s">
        <v>11</v>
      </c>
      <c r="BJ69" s="136">
        <v>45076</v>
      </c>
      <c r="BK69" s="2" t="s">
        <v>109</v>
      </c>
      <c r="BL69" s="136" t="s">
        <v>18</v>
      </c>
      <c r="BM69" s="136">
        <v>44676</v>
      </c>
      <c r="BN69" s="2" t="s">
        <v>1520</v>
      </c>
      <c r="BO69" s="2"/>
      <c r="BP69" s="136" t="s">
        <v>688</v>
      </c>
      <c r="BQ69" s="137" t="s">
        <v>119</v>
      </c>
      <c r="BR69" s="138"/>
    </row>
    <row r="70" spans="1:70" ht="12.75" customHeight="1" x14ac:dyDescent="0.2">
      <c r="A70" s="2">
        <v>1559</v>
      </c>
      <c r="B70" s="2" t="s">
        <v>39</v>
      </c>
      <c r="C70" s="2" t="s">
        <v>94</v>
      </c>
      <c r="D70" s="2" t="s">
        <v>280</v>
      </c>
      <c r="E70" s="2" t="s">
        <v>90</v>
      </c>
      <c r="F70" s="132">
        <v>145000</v>
      </c>
      <c r="G70" s="132"/>
      <c r="H70" s="132">
        <f>167601+6041+N("პროექტი გარე ქსელი")+85000+N("080823")+2103.5+N("პროექტი გადართვები")+4341.6+N("რეგულატორების ჩამოწერა")-0+N("პროექტი გარე ქსელი")-0+N("პროექტი გადართვები")+7428.27</f>
        <v>272515.37</v>
      </c>
      <c r="I70" s="132">
        <f>H70-6041-2103.5</f>
        <v>264370.87</v>
      </c>
      <c r="J70" s="132">
        <f>25566.25+921.508+AS70+5119.492+AV70+12966.1+320.873+662.277+1133.125+11757.095</f>
        <v>272515.37</v>
      </c>
      <c r="K70" s="132">
        <f t="shared" si="13"/>
        <v>-127515.37</v>
      </c>
      <c r="L70" s="132">
        <f t="shared" si="9"/>
        <v>0</v>
      </c>
      <c r="M70" s="133">
        <v>4580.3999999999996</v>
      </c>
      <c r="N70" s="133">
        <f t="shared" si="14"/>
        <v>0</v>
      </c>
      <c r="O70" s="134">
        <v>0</v>
      </c>
      <c r="P70" s="133"/>
      <c r="Q70" s="2" t="s">
        <v>281</v>
      </c>
      <c r="R70" s="156">
        <f t="shared" si="10"/>
        <v>0</v>
      </c>
      <c r="S70" s="156">
        <f t="shared" si="11"/>
        <v>0</v>
      </c>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53">
        <f>142034.75+N("2022")</f>
        <v>142034.75</v>
      </c>
      <c r="AT70" s="153">
        <f>5136.6+142.03</f>
        <v>5278.63</v>
      </c>
      <c r="AU70" s="153">
        <v>0</v>
      </c>
      <c r="AV70" s="135">
        <f>72033.9</f>
        <v>72033.899999999994</v>
      </c>
      <c r="AW70" s="135">
        <f>7945.44</f>
        <v>7945.44</v>
      </c>
      <c r="AX70" s="142">
        <f>((H70-6041-2103.5)/1.18-AT70-AW70)*0.1</f>
        <v>21081.904016949153</v>
      </c>
      <c r="AY70" s="142"/>
      <c r="AZ70" s="142"/>
      <c r="BA70" s="142"/>
      <c r="BB70" s="142"/>
      <c r="BC70" s="142"/>
      <c r="BD70" s="142"/>
      <c r="BE70" s="142"/>
      <c r="BF70" s="142"/>
      <c r="BG70" s="135"/>
      <c r="BH70" s="135"/>
      <c r="BI70" s="2" t="s">
        <v>11</v>
      </c>
      <c r="BJ70" s="136">
        <v>45260</v>
      </c>
      <c r="BK70" s="2" t="s">
        <v>109</v>
      </c>
      <c r="BL70" s="136" t="s">
        <v>18</v>
      </c>
      <c r="BM70" s="136">
        <v>44676</v>
      </c>
      <c r="BN70" s="2" t="s">
        <v>1521</v>
      </c>
      <c r="BO70" s="2"/>
      <c r="BP70" s="136"/>
      <c r="BQ70" s="137" t="s">
        <v>119</v>
      </c>
      <c r="BR70" s="138"/>
    </row>
    <row r="71" spans="1:70" ht="12.75" customHeight="1" x14ac:dyDescent="0.2">
      <c r="A71" s="2">
        <v>1596</v>
      </c>
      <c r="B71" s="2" t="s">
        <v>31</v>
      </c>
      <c r="C71" s="2" t="s">
        <v>32</v>
      </c>
      <c r="D71" s="2" t="s">
        <v>517</v>
      </c>
      <c r="E71" s="2" t="s">
        <v>71</v>
      </c>
      <c r="F71" s="132">
        <v>365000</v>
      </c>
      <c r="G71" s="132"/>
      <c r="H71" s="132">
        <f>250000+95000+100000+30474</f>
        <v>475474</v>
      </c>
      <c r="I71" s="132"/>
      <c r="J71" s="132">
        <f>38135.59+14491.525+200000+15254.24+AS71-10559+N("გადავიდა წერილით 1.1.11-ზე")-14030+N("გადავიდა წერილით 1.1.3-ზე")-14113+N("გადავიდა წერილით 1.1.7-ზე")-10521+N("გადავიდა წერილით 1.1.8-ზე")-5321+N("გადავიდა წერილით 1.1.9-ზე")-30236.24+N("გადავიდა წერილით 1.1.4-ზე")</f>
        <v>475473.995</v>
      </c>
      <c r="K71" s="132">
        <f t="shared" si="13"/>
        <v>-110473.995</v>
      </c>
      <c r="L71" s="132">
        <f t="shared" si="9"/>
        <v>5.0000000046566129E-3</v>
      </c>
      <c r="M71" s="133">
        <v>7694</v>
      </c>
      <c r="N71" s="133">
        <f t="shared" si="14"/>
        <v>5.0000000046566129E-3</v>
      </c>
      <c r="O71" s="134">
        <v>0</v>
      </c>
      <c r="P71" s="133"/>
      <c r="Q71" s="2" t="s">
        <v>377</v>
      </c>
      <c r="R71" s="156">
        <f t="shared" si="10"/>
        <v>0</v>
      </c>
      <c r="S71" s="156">
        <f t="shared" si="11"/>
        <v>0</v>
      </c>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54">
        <f>211864.41+80508.47</f>
        <v>292372.88</v>
      </c>
      <c r="AT71" s="153">
        <v>13268.92</v>
      </c>
      <c r="AU71" s="156">
        <f>IF(H71&lt;50000,0,IF(AT71&gt;0,(H71/1.18-AT71-H71/100*0.8)*0.1,(H71/1.18-H71/1.18/100*5.4-H71/100*0.8)*0.1))</f>
        <v>38587.135579661022</v>
      </c>
      <c r="AV71" s="146">
        <v>0</v>
      </c>
      <c r="AW71" s="146">
        <v>0</v>
      </c>
      <c r="AX71" s="142"/>
      <c r="AY71" s="142"/>
      <c r="AZ71" s="142"/>
      <c r="BA71" s="142"/>
      <c r="BB71" s="142"/>
      <c r="BC71" s="142"/>
      <c r="BD71" s="142"/>
      <c r="BE71" s="135">
        <v>0</v>
      </c>
      <c r="BF71" s="135"/>
      <c r="BG71" s="142"/>
      <c r="BH71" s="142"/>
      <c r="BI71" s="2" t="s">
        <v>11</v>
      </c>
      <c r="BJ71" s="136">
        <v>44925</v>
      </c>
      <c r="BK71" s="2" t="s">
        <v>109</v>
      </c>
      <c r="BL71" s="136" t="s">
        <v>113</v>
      </c>
      <c r="BM71" s="136">
        <v>44680</v>
      </c>
      <c r="BN71" s="2" t="s">
        <v>1588</v>
      </c>
      <c r="BO71" s="2"/>
      <c r="BP71" s="136"/>
      <c r="BQ71" s="137" t="s">
        <v>119</v>
      </c>
      <c r="BR71" s="138"/>
    </row>
    <row r="72" spans="1:70" ht="12.75" customHeight="1" x14ac:dyDescent="0.2">
      <c r="A72" s="2">
        <v>1627</v>
      </c>
      <c r="B72" s="2" t="s">
        <v>28</v>
      </c>
      <c r="C72" s="131" t="s">
        <v>88</v>
      </c>
      <c r="D72" s="2" t="s">
        <v>463</v>
      </c>
      <c r="E72" s="2" t="s">
        <v>87</v>
      </c>
      <c r="F72" s="132">
        <v>420000</v>
      </c>
      <c r="G72" s="132"/>
      <c r="H72" s="132">
        <f>270000+111332.28+14121.39</f>
        <v>395453.67000000004</v>
      </c>
      <c r="I72" s="132"/>
      <c r="J72" s="132">
        <f>41186.44+0+16982.89+2154.11+11967.28+AS72</f>
        <v>395453.67000000004</v>
      </c>
      <c r="K72" s="132">
        <f t="shared" si="13"/>
        <v>24546.329999999958</v>
      </c>
      <c r="L72" s="132">
        <f t="shared" si="9"/>
        <v>0</v>
      </c>
      <c r="M72" s="133">
        <v>1684</v>
      </c>
      <c r="N72" s="133">
        <f t="shared" si="14"/>
        <v>0</v>
      </c>
      <c r="O72" s="134">
        <v>0</v>
      </c>
      <c r="P72" s="133"/>
      <c r="Q72" s="2" t="s">
        <v>464</v>
      </c>
      <c r="R72" s="156">
        <f t="shared" si="10"/>
        <v>0</v>
      </c>
      <c r="S72" s="156">
        <f t="shared" si="11"/>
        <v>0</v>
      </c>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56">
        <v>323162.95</v>
      </c>
      <c r="AT72" s="156">
        <v>30911.43</v>
      </c>
      <c r="AU72" s="156">
        <f>IF(H72&lt;50000,0,IF(AT72&gt;0,(H72/1.18-AT72-H72/100*0.8)*0.1,(H72/1.18-H72/1.18/100*5.4-H72/100*0.8)*0.1))</f>
        <v>30105.516945355939</v>
      </c>
      <c r="AV72" s="142"/>
      <c r="AW72" s="142"/>
      <c r="AX72" s="142"/>
      <c r="AY72" s="142"/>
      <c r="AZ72" s="142"/>
      <c r="BA72" s="142"/>
      <c r="BB72" s="142"/>
      <c r="BC72" s="142"/>
      <c r="BD72" s="142"/>
      <c r="BE72" s="142"/>
      <c r="BF72" s="142"/>
      <c r="BG72" s="142"/>
      <c r="BH72" s="142"/>
      <c r="BI72" s="2" t="s">
        <v>11</v>
      </c>
      <c r="BJ72" s="136">
        <v>44925</v>
      </c>
      <c r="BK72" s="2" t="s">
        <v>109</v>
      </c>
      <c r="BL72" s="136" t="s">
        <v>18</v>
      </c>
      <c r="BM72" s="136">
        <v>44641</v>
      </c>
      <c r="BN72" s="2" t="s">
        <v>1564</v>
      </c>
      <c r="BO72" s="2"/>
      <c r="BP72" s="136"/>
      <c r="BQ72" s="137"/>
      <c r="BR72" s="138"/>
    </row>
    <row r="73" spans="1:70" ht="12.75" customHeight="1" x14ac:dyDescent="0.2">
      <c r="A73" s="2">
        <v>1617</v>
      </c>
      <c r="B73" s="2" t="s">
        <v>28</v>
      </c>
      <c r="C73" s="2" t="s">
        <v>93</v>
      </c>
      <c r="D73" s="2" t="s">
        <v>443</v>
      </c>
      <c r="E73" s="2" t="s">
        <v>87</v>
      </c>
      <c r="F73" s="132">
        <v>226000</v>
      </c>
      <c r="G73" s="132"/>
      <c r="H73" s="132">
        <f>120000+150000+77820.83</f>
        <v>347820.83</v>
      </c>
      <c r="I73" s="132"/>
      <c r="J73" s="132">
        <f>18305.08+22881.36+11870.97+AS73+65949.86</f>
        <v>347820.82999999996</v>
      </c>
      <c r="K73" s="132">
        <f t="shared" si="13"/>
        <v>-121820.82999999996</v>
      </c>
      <c r="L73" s="132">
        <f t="shared" si="9"/>
        <v>0</v>
      </c>
      <c r="M73" s="133">
        <v>1658</v>
      </c>
      <c r="N73" s="133">
        <f t="shared" si="14"/>
        <v>5.8207660913467407E-11</v>
      </c>
      <c r="O73" s="134">
        <v>0</v>
      </c>
      <c r="P73" s="133"/>
      <c r="Q73" s="2" t="s">
        <v>444</v>
      </c>
      <c r="R73" s="156">
        <f t="shared" si="10"/>
        <v>0</v>
      </c>
      <c r="S73" s="156">
        <f t="shared" si="11"/>
        <v>0</v>
      </c>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55">
        <v>228813.56</v>
      </c>
      <c r="AT73" s="156">
        <v>19484.670000000002</v>
      </c>
      <c r="AU73" s="156">
        <f>IF(H73&lt;50000,0,IF(AT73&gt;0,(H73/1.18-AT73-H73/100*0.8)*0.1,(H73/1.18-H73/1.18/100*5.4-H73/100*0.8)*0.1))</f>
        <v>27249.617861423736</v>
      </c>
      <c r="AV73" s="142"/>
      <c r="AW73" s="142"/>
      <c r="AX73" s="142"/>
      <c r="AY73" s="142"/>
      <c r="AZ73" s="142"/>
      <c r="BA73" s="142"/>
      <c r="BB73" s="142"/>
      <c r="BC73" s="142"/>
      <c r="BD73" s="142"/>
      <c r="BE73" s="142"/>
      <c r="BF73" s="142"/>
      <c r="BG73" s="142"/>
      <c r="BH73" s="142"/>
      <c r="BI73" s="2" t="s">
        <v>11</v>
      </c>
      <c r="BJ73" s="136">
        <v>44925</v>
      </c>
      <c r="BK73" s="2" t="s">
        <v>109</v>
      </c>
      <c r="BL73" s="136" t="s">
        <v>18</v>
      </c>
      <c r="BM73" s="136">
        <v>44641</v>
      </c>
      <c r="BN73" s="2" t="s">
        <v>1554</v>
      </c>
      <c r="BO73" s="2"/>
      <c r="BP73" s="136"/>
      <c r="BQ73" s="137"/>
      <c r="BR73" s="138"/>
    </row>
    <row r="74" spans="1:70" ht="12.75" customHeight="1" x14ac:dyDescent="0.2">
      <c r="A74" s="2">
        <v>1606</v>
      </c>
      <c r="B74" s="2" t="s">
        <v>44</v>
      </c>
      <c r="C74" s="2" t="s">
        <v>47</v>
      </c>
      <c r="D74" s="2" t="s">
        <v>404</v>
      </c>
      <c r="E74" s="2" t="s">
        <v>87</v>
      </c>
      <c r="F74" s="132">
        <v>210000</v>
      </c>
      <c r="G74" s="132"/>
      <c r="H74" s="132">
        <f>220000+111198.46</f>
        <v>331198.46000000002</v>
      </c>
      <c r="I74" s="132"/>
      <c r="J74" s="132">
        <f>33559.32+16962.4769+AS74+94235.6631</f>
        <v>331198.46000000002</v>
      </c>
      <c r="K74" s="132">
        <f t="shared" si="13"/>
        <v>-121198.46000000002</v>
      </c>
      <c r="L74" s="132">
        <f t="shared" si="9"/>
        <v>0</v>
      </c>
      <c r="M74" s="133">
        <v>246</v>
      </c>
      <c r="N74" s="133">
        <f t="shared" si="14"/>
        <v>0</v>
      </c>
      <c r="O74" s="134">
        <v>0</v>
      </c>
      <c r="P74" s="133"/>
      <c r="Q74" s="2" t="s">
        <v>403</v>
      </c>
      <c r="R74" s="156">
        <f t="shared" si="10"/>
        <v>0</v>
      </c>
      <c r="S74" s="156">
        <f t="shared" si="11"/>
        <v>0</v>
      </c>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55">
        <v>186441</v>
      </c>
      <c r="AT74" s="156">
        <v>13594.85</v>
      </c>
      <c r="AU74" s="156">
        <f>IF(H74&lt;50000,0,IF(AT74&gt;0,(H74/1.18-AT74-H74/100*0.8)*0.1,(H74/1.18-H74/1.18/100*5.4-H74/100*0.8)*0.1))</f>
        <v>26443.222333694921</v>
      </c>
      <c r="AV74" s="142"/>
      <c r="AW74" s="142"/>
      <c r="AX74" s="142"/>
      <c r="AY74" s="142"/>
      <c r="AZ74" s="142"/>
      <c r="BA74" s="142"/>
      <c r="BB74" s="142"/>
      <c r="BC74" s="142"/>
      <c r="BD74" s="142"/>
      <c r="BE74" s="142"/>
      <c r="BF74" s="142"/>
      <c r="BG74" s="142"/>
      <c r="BH74" s="142"/>
      <c r="BI74" s="2" t="s">
        <v>11</v>
      </c>
      <c r="BJ74" s="136">
        <v>44925</v>
      </c>
      <c r="BK74" s="2" t="s">
        <v>109</v>
      </c>
      <c r="BL74" s="136" t="s">
        <v>113</v>
      </c>
      <c r="BM74" s="136">
        <v>44683</v>
      </c>
      <c r="BN74" s="2" t="s">
        <v>1688</v>
      </c>
      <c r="BO74" s="2"/>
      <c r="BP74" s="136"/>
      <c r="BQ74" s="137"/>
      <c r="BR74" s="138"/>
    </row>
    <row r="75" spans="1:70" ht="12.75" customHeight="1" x14ac:dyDescent="0.2">
      <c r="A75" s="2">
        <v>1564</v>
      </c>
      <c r="B75" s="2" t="s">
        <v>108</v>
      </c>
      <c r="C75" s="2" t="s">
        <v>40</v>
      </c>
      <c r="D75" s="331" t="s">
        <v>4034</v>
      </c>
      <c r="E75" s="331" t="s">
        <v>90</v>
      </c>
      <c r="F75" s="132">
        <v>3287000</v>
      </c>
      <c r="G75" s="132">
        <v>2</v>
      </c>
      <c r="H75" s="132">
        <f>661030.75+124000+16133.6+60.02+R75</f>
        <v>864766.84</v>
      </c>
      <c r="I75" s="132">
        <f>H75-AF75</f>
        <v>853684.09</v>
      </c>
      <c r="J75" s="332">
        <f>97937.656+100835.199+AS75+1564754.866+18915.25+45762.711+30508.475+45762.71+15254.24+2461.057+2853.518+3483.09+61016.95+30508.47+S75+AV75+AY75+BC75</f>
        <v>2325875.5969999996</v>
      </c>
      <c r="K75" s="132">
        <f t="shared" ref="K75:K100" si="15">F75-J75</f>
        <v>961124.4030000004</v>
      </c>
      <c r="L75" s="132">
        <f t="shared" ref="L75:L138" si="16">H75-J75</f>
        <v>-1461108.7569999998</v>
      </c>
      <c r="M75" s="133">
        <f>19683-6333</f>
        <v>13350</v>
      </c>
      <c r="N75" s="133">
        <f t="shared" si="14"/>
        <v>-1461108.7569999998</v>
      </c>
      <c r="O75" s="134">
        <v>1</v>
      </c>
      <c r="P75" s="133"/>
      <c r="Q75" s="2" t="s">
        <v>293</v>
      </c>
      <c r="R75" s="156">
        <f>T75+V75+X75+Z75+AB75+AD75+AF75+AH75+AJ75+AL75+AN75+AP75</f>
        <v>63542.47</v>
      </c>
      <c r="S75" s="156">
        <f t="shared" ref="S75:S138" si="17">U75+W75+Y75+AA75+AC75+AE75+AG75+AI75+AK75+AM75+AO75+AQ75</f>
        <v>200736.655</v>
      </c>
      <c r="T75" s="133"/>
      <c r="U75" s="133">
        <f>9.16+N("ფრეზეთი")+155.645+N("წილკანი")+8899.24+N("წეროვანი")</f>
        <v>9064.0450000000001</v>
      </c>
      <c r="V75" s="133"/>
      <c r="W75" s="133"/>
      <c r="X75" s="133"/>
      <c r="Y75" s="133">
        <v>68644.070000000007</v>
      </c>
      <c r="Z75" s="133"/>
      <c r="AA75" s="133"/>
      <c r="AB75" s="133"/>
      <c r="AC75" s="133"/>
      <c r="AD75" s="133"/>
      <c r="AE75" s="133">
        <v>45762.71</v>
      </c>
      <c r="AF75" s="261">
        <f>6333*1.75</f>
        <v>11082.75</v>
      </c>
      <c r="AG75" s="133"/>
      <c r="AH75" s="133">
        <v>52459.72</v>
      </c>
      <c r="AI75" s="133">
        <v>1690.59</v>
      </c>
      <c r="AJ75" s="133"/>
      <c r="AK75" s="133">
        <v>75575.239999999991</v>
      </c>
      <c r="AL75" s="133"/>
      <c r="AM75" s="133"/>
      <c r="AN75" s="133"/>
      <c r="AO75" s="133"/>
      <c r="AP75" s="133"/>
      <c r="AQ75" s="133"/>
      <c r="AR75" s="133"/>
      <c r="AS75" s="153">
        <v>0</v>
      </c>
      <c r="AT75" s="135">
        <v>0</v>
      </c>
      <c r="AU75" s="156">
        <v>0</v>
      </c>
      <c r="AV75" s="135">
        <v>105084.75</v>
      </c>
      <c r="AW75" s="135"/>
      <c r="AX75" s="142"/>
      <c r="AY75" s="135">
        <v>0</v>
      </c>
      <c r="AZ75" s="135"/>
      <c r="BA75" s="135">
        <f>6199595.34/1.18*0.8*0.1</f>
        <v>420311.54847457627</v>
      </c>
      <c r="BB75" s="142"/>
      <c r="BC75" s="135">
        <v>0</v>
      </c>
      <c r="BD75" s="135"/>
      <c r="BE75" s="142"/>
      <c r="BF75" s="142"/>
      <c r="BG75" s="135">
        <v>661030.75</v>
      </c>
      <c r="BH75" s="136">
        <v>44925</v>
      </c>
      <c r="BI75" s="2" t="s">
        <v>11</v>
      </c>
      <c r="BJ75" s="136">
        <v>45894</v>
      </c>
      <c r="BK75" s="2" t="s">
        <v>109</v>
      </c>
      <c r="BL75" s="136" t="s">
        <v>18</v>
      </c>
      <c r="BM75" s="136">
        <v>44676</v>
      </c>
      <c r="BN75" s="2" t="s">
        <v>1526</v>
      </c>
      <c r="BO75" s="2"/>
      <c r="BP75" s="136"/>
      <c r="BQ75" s="137" t="s">
        <v>119</v>
      </c>
      <c r="BR75" s="138"/>
    </row>
    <row r="76" spans="1:70" ht="12.75" customHeight="1" x14ac:dyDescent="0.2">
      <c r="A76" s="2">
        <v>1565</v>
      </c>
      <c r="B76" s="2" t="s">
        <v>39</v>
      </c>
      <c r="C76" s="2" t="s">
        <v>74</v>
      </c>
      <c r="D76" s="2" t="s">
        <v>302</v>
      </c>
      <c r="E76" s="2" t="s">
        <v>90</v>
      </c>
      <c r="F76" s="132">
        <v>300000</v>
      </c>
      <c r="G76" s="132">
        <v>2</v>
      </c>
      <c r="H76" s="132"/>
      <c r="I76" s="132"/>
      <c r="J76" s="132"/>
      <c r="K76" s="132">
        <f t="shared" si="15"/>
        <v>300000</v>
      </c>
      <c r="L76" s="132">
        <f t="shared" si="16"/>
        <v>0</v>
      </c>
      <c r="M76" s="133"/>
      <c r="N76" s="133">
        <f t="shared" si="14"/>
        <v>300000</v>
      </c>
      <c r="O76" s="134">
        <v>1</v>
      </c>
      <c r="P76" s="133"/>
      <c r="Q76" s="2" t="s">
        <v>303</v>
      </c>
      <c r="R76" s="156">
        <f t="shared" ref="R76:R138" si="18">T76+V76+X76+Z76+AB76+AD76+AF76+AH76+AJ76+AL76+AN76+AP76</f>
        <v>0</v>
      </c>
      <c r="S76" s="156">
        <f t="shared" si="17"/>
        <v>0</v>
      </c>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53">
        <v>0</v>
      </c>
      <c r="AT76" s="153">
        <v>0</v>
      </c>
      <c r="AU76" s="153">
        <v>0</v>
      </c>
      <c r="AV76" s="135"/>
      <c r="AW76" s="135"/>
      <c r="AX76" s="135"/>
      <c r="AY76" s="135"/>
      <c r="AZ76" s="135"/>
      <c r="BA76" s="135"/>
      <c r="BB76" s="135"/>
      <c r="BC76" s="135"/>
      <c r="BD76" s="135"/>
      <c r="BE76" s="135"/>
      <c r="BF76" s="135"/>
      <c r="BG76" s="135"/>
      <c r="BH76" s="135"/>
      <c r="BI76" s="2" t="s">
        <v>11</v>
      </c>
      <c r="BJ76" s="136"/>
      <c r="BK76" s="2">
        <v>0</v>
      </c>
      <c r="BL76" s="136" t="s">
        <v>18</v>
      </c>
      <c r="BM76" s="136">
        <v>44676</v>
      </c>
      <c r="BN76" s="2" t="s">
        <v>1527</v>
      </c>
      <c r="BO76" s="2"/>
      <c r="BP76" s="136" t="s">
        <v>690</v>
      </c>
      <c r="BQ76" s="137"/>
      <c r="BR76" s="138"/>
    </row>
    <row r="77" spans="1:70" ht="12.75" customHeight="1" x14ac:dyDescent="0.2">
      <c r="A77" s="2">
        <v>1566</v>
      </c>
      <c r="B77" s="2" t="s">
        <v>39</v>
      </c>
      <c r="C77" s="2" t="s">
        <v>74</v>
      </c>
      <c r="D77" s="2" t="s">
        <v>304</v>
      </c>
      <c r="E77" s="2" t="s">
        <v>90</v>
      </c>
      <c r="F77" s="132">
        <v>1200000</v>
      </c>
      <c r="G77" s="132">
        <v>2</v>
      </c>
      <c r="H77" s="132">
        <f>1377+162+81+12800+1053+3726+1863+234+243+81</f>
        <v>21620</v>
      </c>
      <c r="I77" s="132"/>
      <c r="J77" s="132">
        <f>210.05+24.71+12.36+1372.88+1952.54+10847.46+160.627+568.37+284.19+243+81+S77+AW77</f>
        <v>19483.187000000002</v>
      </c>
      <c r="K77" s="132">
        <f t="shared" si="15"/>
        <v>1180516.8130000001</v>
      </c>
      <c r="L77" s="132">
        <f t="shared" si="16"/>
        <v>2136.8129999999983</v>
      </c>
      <c r="M77" s="133"/>
      <c r="N77" s="133">
        <f t="shared" si="14"/>
        <v>1180516.8130000001</v>
      </c>
      <c r="O77" s="134">
        <v>1</v>
      </c>
      <c r="P77" s="133"/>
      <c r="Q77" s="2" t="s">
        <v>305</v>
      </c>
      <c r="R77" s="156">
        <f t="shared" si="18"/>
        <v>0</v>
      </c>
      <c r="S77" s="156">
        <f t="shared" si="17"/>
        <v>0</v>
      </c>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290">
        <v>0</v>
      </c>
      <c r="AT77" s="290">
        <v>0</v>
      </c>
      <c r="AU77" s="290">
        <v>0</v>
      </c>
      <c r="AV77" s="283"/>
      <c r="AW77" s="283">
        <v>3726</v>
      </c>
      <c r="AX77" s="283"/>
      <c r="AY77" s="283"/>
      <c r="AZ77" s="283"/>
      <c r="BA77" s="283"/>
      <c r="BB77" s="283"/>
      <c r="BC77" s="283"/>
      <c r="BD77" s="283"/>
      <c r="BE77" s="283"/>
      <c r="BF77" s="283"/>
      <c r="BG77" s="283"/>
      <c r="BH77" s="283"/>
      <c r="BI77" s="2" t="s">
        <v>11</v>
      </c>
      <c r="BJ77" s="136"/>
      <c r="BK77" s="2">
        <v>45</v>
      </c>
      <c r="BL77" s="136" t="s">
        <v>18</v>
      </c>
      <c r="BM77" s="136">
        <v>44676</v>
      </c>
      <c r="BN77" s="2" t="s">
        <v>1528</v>
      </c>
      <c r="BO77" s="2"/>
      <c r="BP77" s="136"/>
      <c r="BQ77" s="137" t="s">
        <v>119</v>
      </c>
      <c r="BR77" s="138"/>
    </row>
    <row r="78" spans="1:70" ht="12.75" customHeight="1" x14ac:dyDescent="0.2">
      <c r="A78" s="2">
        <v>1567</v>
      </c>
      <c r="B78" s="2" t="s">
        <v>39</v>
      </c>
      <c r="C78" s="2" t="s">
        <v>74</v>
      </c>
      <c r="D78" s="2" t="s">
        <v>306</v>
      </c>
      <c r="E78" s="2" t="s">
        <v>90</v>
      </c>
      <c r="F78" s="132">
        <v>18000</v>
      </c>
      <c r="G78" s="132"/>
      <c r="H78" s="132">
        <v>20844.45</v>
      </c>
      <c r="I78" s="132"/>
      <c r="J78" s="132">
        <f>3179.66+17664.79</f>
        <v>20844.45</v>
      </c>
      <c r="K78" s="132">
        <f t="shared" si="15"/>
        <v>-2844.4500000000007</v>
      </c>
      <c r="L78" s="132">
        <f t="shared" si="16"/>
        <v>0</v>
      </c>
      <c r="M78" s="133">
        <v>103</v>
      </c>
      <c r="N78" s="133">
        <f t="shared" si="14"/>
        <v>0</v>
      </c>
      <c r="O78" s="134">
        <v>0</v>
      </c>
      <c r="P78" s="133"/>
      <c r="Q78" s="2" t="s">
        <v>307</v>
      </c>
      <c r="R78" s="156">
        <f t="shared" si="18"/>
        <v>0</v>
      </c>
      <c r="S78" s="156">
        <f t="shared" si="17"/>
        <v>0</v>
      </c>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53">
        <v>0</v>
      </c>
      <c r="AT78" s="153">
        <v>0</v>
      </c>
      <c r="AU78" s="156">
        <f>IF(H78&lt;50000,0,IF(AT78&gt;0,(H78/1.18-AT78-H78/100*0.8)*0.1,(H78/1.18-H78/1.18/100*5.4-H78/100*0.8)*0.1))</f>
        <v>0</v>
      </c>
      <c r="AV78" s="142"/>
      <c r="AW78" s="142"/>
      <c r="AX78" s="142"/>
      <c r="AY78" s="142"/>
      <c r="AZ78" s="142"/>
      <c r="BA78" s="142"/>
      <c r="BB78" s="142"/>
      <c r="BC78" s="142"/>
      <c r="BD78" s="142"/>
      <c r="BE78" s="142"/>
      <c r="BF78" s="142"/>
      <c r="BG78" s="142"/>
      <c r="BH78" s="142"/>
      <c r="BI78" s="2" t="s">
        <v>11</v>
      </c>
      <c r="BJ78" s="136">
        <v>44925</v>
      </c>
      <c r="BK78" s="2" t="s">
        <v>109</v>
      </c>
      <c r="BL78" s="136" t="s">
        <v>18</v>
      </c>
      <c r="BM78" s="136">
        <v>44676</v>
      </c>
      <c r="BN78" s="2" t="s">
        <v>1529</v>
      </c>
      <c r="BO78" s="2"/>
      <c r="BP78" s="136"/>
      <c r="BQ78" s="137"/>
      <c r="BR78" s="138"/>
    </row>
    <row r="79" spans="1:70" ht="12.75" customHeight="1" x14ac:dyDescent="0.2">
      <c r="A79" s="2">
        <v>1568</v>
      </c>
      <c r="B79" s="2" t="s">
        <v>39</v>
      </c>
      <c r="C79" s="2" t="s">
        <v>74</v>
      </c>
      <c r="D79" s="2" t="s">
        <v>308</v>
      </c>
      <c r="E79" s="2" t="s">
        <v>90</v>
      </c>
      <c r="F79" s="132">
        <v>9000</v>
      </c>
      <c r="G79" s="132"/>
      <c r="H79" s="132">
        <v>19192.849999999999</v>
      </c>
      <c r="I79" s="132"/>
      <c r="J79" s="132">
        <f>2927.72+16265.13</f>
        <v>19192.849999999999</v>
      </c>
      <c r="K79" s="132">
        <f t="shared" si="15"/>
        <v>-10192.849999999999</v>
      </c>
      <c r="L79" s="132">
        <f t="shared" si="16"/>
        <v>0</v>
      </c>
      <c r="M79" s="133">
        <v>0</v>
      </c>
      <c r="N79" s="133">
        <f t="shared" ref="N79:N110" si="19">IF(OR(BK79="принят",BK79="Завершено",BK79="ПриПро"),H79-J79,F79-J79)</f>
        <v>0</v>
      </c>
      <c r="O79" s="134">
        <v>0</v>
      </c>
      <c r="P79" s="133"/>
      <c r="Q79" s="2" t="s">
        <v>309</v>
      </c>
      <c r="R79" s="156">
        <f t="shared" si="18"/>
        <v>0</v>
      </c>
      <c r="S79" s="156">
        <f t="shared" si="17"/>
        <v>0</v>
      </c>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53">
        <v>0</v>
      </c>
      <c r="AT79" s="153">
        <v>0</v>
      </c>
      <c r="AU79" s="153">
        <v>0</v>
      </c>
      <c r="AV79" s="135">
        <v>0</v>
      </c>
      <c r="AW79" s="135">
        <v>0</v>
      </c>
      <c r="AX79" s="142">
        <f>(H79/1.18-AT79-AW79)*0.1</f>
        <v>1626.5127118644068</v>
      </c>
      <c r="AY79" s="142"/>
      <c r="AZ79" s="142"/>
      <c r="BA79" s="142"/>
      <c r="BB79" s="142"/>
      <c r="BC79" s="142"/>
      <c r="BD79" s="142"/>
      <c r="BE79" s="142"/>
      <c r="BF79" s="142"/>
      <c r="BG79" s="135"/>
      <c r="BH79" s="135"/>
      <c r="BI79" s="2" t="s">
        <v>11</v>
      </c>
      <c r="BJ79" s="136">
        <v>44985</v>
      </c>
      <c r="BK79" s="2" t="s">
        <v>109</v>
      </c>
      <c r="BL79" s="136" t="s">
        <v>18</v>
      </c>
      <c r="BM79" s="136">
        <v>44676</v>
      </c>
      <c r="BN79" s="2" t="s">
        <v>1530</v>
      </c>
      <c r="BO79" s="2"/>
      <c r="BP79" s="136"/>
      <c r="BQ79" s="137" t="s">
        <v>119</v>
      </c>
      <c r="BR79" s="138"/>
    </row>
    <row r="80" spans="1:70" ht="12.75" customHeight="1" x14ac:dyDescent="0.2">
      <c r="A80" s="2">
        <v>1569</v>
      </c>
      <c r="B80" s="2" t="s">
        <v>39</v>
      </c>
      <c r="C80" s="2" t="s">
        <v>74</v>
      </c>
      <c r="D80" s="2" t="s">
        <v>310</v>
      </c>
      <c r="E80" s="2" t="s">
        <v>90</v>
      </c>
      <c r="F80" s="132">
        <v>23000</v>
      </c>
      <c r="G80" s="132">
        <v>2</v>
      </c>
      <c r="H80" s="132">
        <v>63711.67</v>
      </c>
      <c r="I80" s="132">
        <v>63711.67</v>
      </c>
      <c r="J80" s="132">
        <f>9718.729+53992.941</f>
        <v>63711.67</v>
      </c>
      <c r="K80" s="132">
        <f t="shared" si="15"/>
        <v>-40711.67</v>
      </c>
      <c r="L80" s="132">
        <f t="shared" si="16"/>
        <v>0</v>
      </c>
      <c r="M80" s="133">
        <v>535</v>
      </c>
      <c r="N80" s="133">
        <f t="shared" si="19"/>
        <v>0</v>
      </c>
      <c r="O80" s="134">
        <v>0</v>
      </c>
      <c r="P80" s="133"/>
      <c r="Q80" s="2" t="s">
        <v>311</v>
      </c>
      <c r="R80" s="156">
        <f t="shared" si="18"/>
        <v>0</v>
      </c>
      <c r="S80" s="156">
        <f t="shared" si="17"/>
        <v>0</v>
      </c>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53">
        <v>0</v>
      </c>
      <c r="AT80" s="153">
        <v>0</v>
      </c>
      <c r="AU80" s="153">
        <v>0</v>
      </c>
      <c r="AV80" s="135"/>
      <c r="AW80" s="135"/>
      <c r="AX80" s="135"/>
      <c r="AY80" s="135"/>
      <c r="AZ80" s="135"/>
      <c r="BA80" s="135">
        <v>0</v>
      </c>
      <c r="BB80" s="140">
        <f>(H80/1.18-AT80-AW80-AZ80)*0.1-BA80</f>
        <v>5399.2940677966108</v>
      </c>
      <c r="BC80" s="135"/>
      <c r="BD80" s="135"/>
      <c r="BE80" s="135">
        <f>(H80/1.18-AT80-AW80-AZ80-BD80)*0.1-AU80-AX80-BA80-BB80</f>
        <v>0</v>
      </c>
      <c r="BF80" s="135"/>
      <c r="BG80" s="135"/>
      <c r="BH80" s="135"/>
      <c r="BI80" s="2" t="s">
        <v>11</v>
      </c>
      <c r="BJ80" s="136">
        <v>45621</v>
      </c>
      <c r="BK80" s="2" t="s">
        <v>109</v>
      </c>
      <c r="BL80" s="136" t="s">
        <v>18</v>
      </c>
      <c r="BM80" s="136">
        <v>44676</v>
      </c>
      <c r="BN80" s="2" t="s">
        <v>1531</v>
      </c>
      <c r="BO80" s="2"/>
      <c r="BP80" s="136"/>
      <c r="BQ80" s="137" t="s">
        <v>119</v>
      </c>
      <c r="BR80" s="138"/>
    </row>
    <row r="81" spans="1:70" ht="12.75" customHeight="1" x14ac:dyDescent="0.2">
      <c r="A81" s="2">
        <v>1570</v>
      </c>
      <c r="B81" s="2" t="s">
        <v>100</v>
      </c>
      <c r="C81" s="2" t="s">
        <v>95</v>
      </c>
      <c r="D81" s="2" t="s">
        <v>312</v>
      </c>
      <c r="E81" s="2" t="s">
        <v>90</v>
      </c>
      <c r="F81" s="132">
        <v>50000</v>
      </c>
      <c r="G81" s="132">
        <v>2</v>
      </c>
      <c r="H81" s="132"/>
      <c r="I81" s="132"/>
      <c r="J81" s="132"/>
      <c r="K81" s="132">
        <f t="shared" si="15"/>
        <v>50000</v>
      </c>
      <c r="L81" s="132">
        <f t="shared" si="16"/>
        <v>0</v>
      </c>
      <c r="M81" s="133"/>
      <c r="N81" s="133">
        <f t="shared" si="19"/>
        <v>50000</v>
      </c>
      <c r="O81" s="134">
        <v>1</v>
      </c>
      <c r="P81" s="133"/>
      <c r="Q81" s="2" t="s">
        <v>313</v>
      </c>
      <c r="R81" s="156">
        <f t="shared" si="18"/>
        <v>0</v>
      </c>
      <c r="S81" s="156">
        <f t="shared" si="17"/>
        <v>0</v>
      </c>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53">
        <v>0</v>
      </c>
      <c r="AT81" s="153">
        <v>0</v>
      </c>
      <c r="AU81" s="153">
        <v>0</v>
      </c>
      <c r="AV81" s="135"/>
      <c r="AW81" s="135"/>
      <c r="AX81" s="135"/>
      <c r="AY81" s="135"/>
      <c r="AZ81" s="135"/>
      <c r="BA81" s="135"/>
      <c r="BB81" s="135"/>
      <c r="BC81" s="135"/>
      <c r="BD81" s="135"/>
      <c r="BE81" s="135"/>
      <c r="BF81" s="135"/>
      <c r="BG81" s="135"/>
      <c r="BH81" s="135"/>
      <c r="BI81" s="2" t="s">
        <v>11</v>
      </c>
      <c r="BJ81" s="136"/>
      <c r="BK81" s="2">
        <v>0</v>
      </c>
      <c r="BL81" s="136" t="s">
        <v>18</v>
      </c>
      <c r="BM81" s="136">
        <v>44676</v>
      </c>
      <c r="BN81" s="2" t="s">
        <v>1532</v>
      </c>
      <c r="BO81" s="2"/>
      <c r="BP81" s="136" t="s">
        <v>3650</v>
      </c>
      <c r="BQ81" s="137"/>
      <c r="BR81" s="138"/>
    </row>
    <row r="82" spans="1:70" ht="12.75" customHeight="1" x14ac:dyDescent="0.2">
      <c r="A82" s="2">
        <v>1571</v>
      </c>
      <c r="B82" s="2" t="s">
        <v>100</v>
      </c>
      <c r="C82" s="2" t="s">
        <v>132</v>
      </c>
      <c r="D82" s="2" t="s">
        <v>314</v>
      </c>
      <c r="E82" s="2" t="s">
        <v>90</v>
      </c>
      <c r="F82" s="132">
        <v>18000</v>
      </c>
      <c r="G82" s="132"/>
      <c r="H82" s="132">
        <v>41721.870000000003</v>
      </c>
      <c r="I82" s="132"/>
      <c r="J82" s="132">
        <f>6364.35+35357.52</f>
        <v>41721.869999999995</v>
      </c>
      <c r="K82" s="132">
        <f t="shared" si="15"/>
        <v>-23721.869999999995</v>
      </c>
      <c r="L82" s="132">
        <f t="shared" si="16"/>
        <v>0</v>
      </c>
      <c r="M82" s="133">
        <v>150.94999999999999</v>
      </c>
      <c r="N82" s="133">
        <f t="shared" si="19"/>
        <v>7.2759576141834259E-12</v>
      </c>
      <c r="O82" s="134">
        <v>0</v>
      </c>
      <c r="P82" s="133"/>
      <c r="Q82" s="2" t="s">
        <v>315</v>
      </c>
      <c r="R82" s="156">
        <f t="shared" si="18"/>
        <v>0</v>
      </c>
      <c r="S82" s="156">
        <f t="shared" si="17"/>
        <v>0</v>
      </c>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53">
        <v>0</v>
      </c>
      <c r="AT82" s="153">
        <v>0</v>
      </c>
      <c r="AU82" s="156">
        <f>IF(H82&lt;50000,0,IF(AT82&gt;0,(H82/1.18-AT82-H82/100*0.8)*0.1,(H82/1.18-H82/1.18/100*5.4-H82/100*0.8)*0.1))</f>
        <v>0</v>
      </c>
      <c r="AV82" s="142"/>
      <c r="AW82" s="142"/>
      <c r="AX82" s="142"/>
      <c r="AY82" s="142"/>
      <c r="AZ82" s="142"/>
      <c r="BA82" s="142"/>
      <c r="BB82" s="142"/>
      <c r="BC82" s="142"/>
      <c r="BD82" s="142"/>
      <c r="BE82" s="142"/>
      <c r="BF82" s="142"/>
      <c r="BG82" s="142"/>
      <c r="BH82" s="142"/>
      <c r="BI82" s="2" t="s">
        <v>11</v>
      </c>
      <c r="BJ82" s="136">
        <v>44925</v>
      </c>
      <c r="BK82" s="2" t="s">
        <v>109</v>
      </c>
      <c r="BL82" s="136" t="s">
        <v>18</v>
      </c>
      <c r="BM82" s="136">
        <v>44676</v>
      </c>
      <c r="BN82" s="2" t="s">
        <v>1533</v>
      </c>
      <c r="BO82" s="2"/>
      <c r="BP82" s="136"/>
      <c r="BQ82" s="137"/>
      <c r="BR82" s="138"/>
    </row>
    <row r="83" spans="1:70" ht="12.75" customHeight="1" x14ac:dyDescent="0.2">
      <c r="A83" s="2">
        <v>1572</v>
      </c>
      <c r="B83" s="2" t="s">
        <v>100</v>
      </c>
      <c r="C83" s="2" t="s">
        <v>95</v>
      </c>
      <c r="D83" s="2" t="s">
        <v>316</v>
      </c>
      <c r="E83" s="2" t="s">
        <v>90</v>
      </c>
      <c r="F83" s="132">
        <v>105000</v>
      </c>
      <c r="G83" s="132" t="s">
        <v>3653</v>
      </c>
      <c r="H83" s="132">
        <f>6874+N("9 პროექტი")+29848.81+N("2023-ში")+26708.12+N("2023-ში")+27667+N("2023-ში")+29222.91+N("2023-ში")+25660.88+N("2023-ში")+22779.16+N("2023-ში")+16983.31+N("2023-ში")+5359.61+N("2023-ში")+28417.62+N("2023-ში")+4980.5+N("5 პროექტი")+666.75+N("1 პროექტი")</f>
        <v>225168.66999999998</v>
      </c>
      <c r="I83" s="132">
        <f>H83-(6874+4980.5+666.75)</f>
        <v>212647.41999999998</v>
      </c>
      <c r="J83" s="132">
        <f>1048.576+4553.21+4074.12+4220.39+4457.73+3914.37+123713.324+11217.92+N("მარტის 4 მიღების დღგ")+759.737+101.707</f>
        <v>158061.084</v>
      </c>
      <c r="K83" s="132">
        <f t="shared" si="15"/>
        <v>-53061.084000000003</v>
      </c>
      <c r="L83" s="132">
        <f t="shared" si="16"/>
        <v>67107.585999999981</v>
      </c>
      <c r="M83" s="133">
        <f>659.3+522.8+546.2+495+458.3+269+227.6+137.4+582.1</f>
        <v>3897.7000000000003</v>
      </c>
      <c r="N83" s="133">
        <f t="shared" si="19"/>
        <v>-53061.084000000003</v>
      </c>
      <c r="O83" s="291" t="s">
        <v>3834</v>
      </c>
      <c r="P83" s="133"/>
      <c r="Q83" s="2" t="s">
        <v>317</v>
      </c>
      <c r="R83" s="156">
        <f t="shared" si="18"/>
        <v>0</v>
      </c>
      <c r="S83" s="156">
        <f t="shared" si="17"/>
        <v>0</v>
      </c>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53">
        <v>0</v>
      </c>
      <c r="AT83" s="153">
        <v>0</v>
      </c>
      <c r="AU83" s="153">
        <v>0</v>
      </c>
      <c r="AV83" s="135">
        <v>0</v>
      </c>
      <c r="AW83" s="135">
        <v>0</v>
      </c>
      <c r="AX83" s="142"/>
      <c r="AY83" s="142"/>
      <c r="AZ83" s="142"/>
      <c r="BA83" s="142"/>
      <c r="BB83" s="142"/>
      <c r="BC83" s="142"/>
      <c r="BD83" s="142"/>
      <c r="BE83" s="142"/>
      <c r="BF83" s="142"/>
      <c r="BG83" s="135">
        <v>212647.42</v>
      </c>
      <c r="BH83" s="136"/>
      <c r="BI83" s="2" t="s">
        <v>11</v>
      </c>
      <c r="BJ83" s="136"/>
      <c r="BK83" s="2">
        <v>65</v>
      </c>
      <c r="BL83" s="136" t="s">
        <v>18</v>
      </c>
      <c r="BM83" s="136">
        <v>44676</v>
      </c>
      <c r="BN83" s="2" t="s">
        <v>1534</v>
      </c>
      <c r="BO83" s="2"/>
      <c r="BP83" s="136"/>
      <c r="BQ83" s="137" t="s">
        <v>119</v>
      </c>
      <c r="BR83" s="138"/>
    </row>
    <row r="84" spans="1:70" ht="12.75" customHeight="1" x14ac:dyDescent="0.2">
      <c r="A84" s="2">
        <v>1573</v>
      </c>
      <c r="B84" s="2" t="s">
        <v>100</v>
      </c>
      <c r="C84" s="2" t="s">
        <v>95</v>
      </c>
      <c r="D84" s="2" t="s">
        <v>318</v>
      </c>
      <c r="E84" s="2" t="s">
        <v>90</v>
      </c>
      <c r="F84" s="132">
        <v>80000</v>
      </c>
      <c r="G84" s="132"/>
      <c r="H84" s="132">
        <f>4050+6561+1863+2025+38238.01</f>
        <v>52737.01</v>
      </c>
      <c r="I84" s="132"/>
      <c r="J84" s="132">
        <f>617.8+1000.83+284.19+308.9+AS84+3294.91+5832.916+32405.094</f>
        <v>52737.01</v>
      </c>
      <c r="K84" s="132">
        <f t="shared" si="15"/>
        <v>27262.989999999998</v>
      </c>
      <c r="L84" s="132">
        <f t="shared" si="16"/>
        <v>0</v>
      </c>
      <c r="M84" s="133">
        <v>23.7</v>
      </c>
      <c r="N84" s="133">
        <f t="shared" si="19"/>
        <v>0</v>
      </c>
      <c r="O84" s="134">
        <v>0</v>
      </c>
      <c r="P84" s="133"/>
      <c r="Q84" s="2" t="s">
        <v>319</v>
      </c>
      <c r="R84" s="156">
        <f t="shared" si="18"/>
        <v>0</v>
      </c>
      <c r="S84" s="156">
        <f t="shared" si="17"/>
        <v>0</v>
      </c>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53">
        <v>8992.3700000000008</v>
      </c>
      <c r="AT84" s="153">
        <v>652.01</v>
      </c>
      <c r="AU84" s="153">
        <v>0</v>
      </c>
      <c r="AV84" s="135">
        <v>0</v>
      </c>
      <c r="AW84" s="135">
        <v>0</v>
      </c>
      <c r="AX84" s="142">
        <f>(H84/1.18-AT84-AW84)*0.1</f>
        <v>4404.0371355932211</v>
      </c>
      <c r="AY84" s="142"/>
      <c r="AZ84" s="142"/>
      <c r="BA84" s="142"/>
      <c r="BB84" s="142"/>
      <c r="BC84" s="142"/>
      <c r="BD84" s="142"/>
      <c r="BE84" s="142"/>
      <c r="BF84" s="142"/>
      <c r="BG84" s="135"/>
      <c r="BH84" s="135"/>
      <c r="BI84" s="2" t="s">
        <v>11</v>
      </c>
      <c r="BJ84" s="136">
        <v>45015</v>
      </c>
      <c r="BK84" s="2" t="s">
        <v>109</v>
      </c>
      <c r="BL84" s="136" t="s">
        <v>18</v>
      </c>
      <c r="BM84" s="136">
        <v>44676</v>
      </c>
      <c r="BN84" s="2" t="s">
        <v>1535</v>
      </c>
      <c r="BO84" s="2"/>
      <c r="BP84" s="136"/>
      <c r="BQ84" s="137" t="s">
        <v>119</v>
      </c>
      <c r="BR84" s="138"/>
    </row>
    <row r="85" spans="1:70" ht="12.75" customHeight="1" x14ac:dyDescent="0.2">
      <c r="A85" s="2">
        <v>1574</v>
      </c>
      <c r="B85" s="2" t="s">
        <v>100</v>
      </c>
      <c r="C85" s="2" t="s">
        <v>132</v>
      </c>
      <c r="D85" s="2" t="s">
        <v>320</v>
      </c>
      <c r="E85" s="2" t="s">
        <v>90</v>
      </c>
      <c r="F85" s="132">
        <v>140000</v>
      </c>
      <c r="G85" s="132"/>
      <c r="H85" s="132">
        <f>1548.75+143959.13</f>
        <v>145507.88</v>
      </c>
      <c r="I85" s="132">
        <f>H85-1548.75</f>
        <v>143959.13</v>
      </c>
      <c r="J85" s="132">
        <f>236.25+21959.87+123311.76</f>
        <v>145507.88</v>
      </c>
      <c r="K85" s="132">
        <f t="shared" si="15"/>
        <v>-5507.8800000000047</v>
      </c>
      <c r="L85" s="132">
        <f t="shared" si="16"/>
        <v>0</v>
      </c>
      <c r="M85" s="133">
        <v>858</v>
      </c>
      <c r="N85" s="133">
        <f t="shared" si="19"/>
        <v>0</v>
      </c>
      <c r="O85" s="134">
        <v>0</v>
      </c>
      <c r="P85" s="133"/>
      <c r="Q85" s="2" t="s">
        <v>321</v>
      </c>
      <c r="R85" s="156">
        <f t="shared" si="18"/>
        <v>0</v>
      </c>
      <c r="S85" s="156">
        <f t="shared" si="17"/>
        <v>0</v>
      </c>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53">
        <v>0</v>
      </c>
      <c r="AT85" s="153">
        <v>0</v>
      </c>
      <c r="AU85" s="153">
        <v>0</v>
      </c>
      <c r="AV85" s="135">
        <v>0</v>
      </c>
      <c r="AW85" s="135">
        <v>0</v>
      </c>
      <c r="AX85" s="142">
        <f>((H85-1548.75)/1.18-AT85-AW85)*0.1</f>
        <v>12199.926271186443</v>
      </c>
      <c r="AY85" s="142"/>
      <c r="AZ85" s="142"/>
      <c r="BA85" s="142"/>
      <c r="BB85" s="142"/>
      <c r="BC85" s="142"/>
      <c r="BD85" s="142"/>
      <c r="BE85" s="142"/>
      <c r="BF85" s="142"/>
      <c r="BG85" s="135"/>
      <c r="BH85" s="135"/>
      <c r="BI85" s="2" t="s">
        <v>11</v>
      </c>
      <c r="BJ85" s="136">
        <v>44985</v>
      </c>
      <c r="BK85" s="2" t="s">
        <v>109</v>
      </c>
      <c r="BL85" s="136" t="s">
        <v>18</v>
      </c>
      <c r="BM85" s="136">
        <v>44676</v>
      </c>
      <c r="BN85" s="2" t="s">
        <v>1536</v>
      </c>
      <c r="BO85" s="2"/>
      <c r="BP85" s="136"/>
      <c r="BQ85" s="137" t="s">
        <v>119</v>
      </c>
      <c r="BR85" s="138"/>
    </row>
    <row r="86" spans="1:70" ht="12.75" customHeight="1" x14ac:dyDescent="0.2">
      <c r="A86" s="2">
        <v>1575</v>
      </c>
      <c r="B86" s="2" t="s">
        <v>100</v>
      </c>
      <c r="C86" s="2" t="s">
        <v>132</v>
      </c>
      <c r="D86" s="2" t="s">
        <v>627</v>
      </c>
      <c r="E86" s="2" t="s">
        <v>90</v>
      </c>
      <c r="F86" s="132">
        <v>70000</v>
      </c>
      <c r="G86" s="132"/>
      <c r="H86" s="132">
        <v>59440.47</v>
      </c>
      <c r="I86" s="132"/>
      <c r="J86" s="132">
        <f>9067.19+50373.28</f>
        <v>59440.47</v>
      </c>
      <c r="K86" s="132">
        <f t="shared" si="15"/>
        <v>10559.529999999999</v>
      </c>
      <c r="L86" s="132">
        <f t="shared" si="16"/>
        <v>0</v>
      </c>
      <c r="M86" s="133">
        <v>0</v>
      </c>
      <c r="N86" s="133">
        <f t="shared" si="19"/>
        <v>0</v>
      </c>
      <c r="O86" s="134">
        <v>0</v>
      </c>
      <c r="P86" s="133"/>
      <c r="Q86" s="2" t="s">
        <v>323</v>
      </c>
      <c r="R86" s="156">
        <f t="shared" si="18"/>
        <v>0</v>
      </c>
      <c r="S86" s="156">
        <f t="shared" si="17"/>
        <v>0</v>
      </c>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53">
        <v>0</v>
      </c>
      <c r="AT86" s="153">
        <v>0</v>
      </c>
      <c r="AU86" s="153">
        <v>0</v>
      </c>
      <c r="AV86" s="135">
        <v>0</v>
      </c>
      <c r="AW86" s="135">
        <v>0</v>
      </c>
      <c r="AX86" s="142">
        <f>(H86/1.18-AT86-AW86)*0.1</f>
        <v>5037.3279661016959</v>
      </c>
      <c r="AY86" s="142"/>
      <c r="AZ86" s="142"/>
      <c r="BA86" s="142"/>
      <c r="BB86" s="142"/>
      <c r="BC86" s="142"/>
      <c r="BD86" s="142"/>
      <c r="BE86" s="142"/>
      <c r="BF86" s="142"/>
      <c r="BG86" s="135"/>
      <c r="BH86" s="135"/>
      <c r="BI86" s="2" t="s">
        <v>11</v>
      </c>
      <c r="BJ86" s="136">
        <v>44985</v>
      </c>
      <c r="BK86" s="2" t="s">
        <v>109</v>
      </c>
      <c r="BL86" s="136" t="s">
        <v>18</v>
      </c>
      <c r="BM86" s="136">
        <v>44676</v>
      </c>
      <c r="BN86" s="2" t="s">
        <v>1537</v>
      </c>
      <c r="BO86" s="2"/>
      <c r="BP86" s="136"/>
      <c r="BQ86" s="137" t="s">
        <v>119</v>
      </c>
      <c r="BR86" s="138"/>
    </row>
    <row r="87" spans="1:70" ht="12.75" customHeight="1" x14ac:dyDescent="0.2">
      <c r="A87" s="2">
        <v>1561</v>
      </c>
      <c r="B87" s="2" t="s">
        <v>39</v>
      </c>
      <c r="C87" s="2" t="s">
        <v>94</v>
      </c>
      <c r="D87" s="2" t="s">
        <v>284</v>
      </c>
      <c r="E87" s="2" t="s">
        <v>90</v>
      </c>
      <c r="F87" s="132">
        <v>240000</v>
      </c>
      <c r="G87" s="132"/>
      <c r="H87" s="132">
        <f>305067+17015.1</f>
        <v>322082.09999999998</v>
      </c>
      <c r="I87" s="132"/>
      <c r="J87" s="132">
        <f>46535.64+2595.52+AS87+14419.59</f>
        <v>322082.10000000003</v>
      </c>
      <c r="K87" s="132">
        <f t="shared" si="15"/>
        <v>-82082.100000000035</v>
      </c>
      <c r="L87" s="132">
        <f t="shared" si="16"/>
        <v>0</v>
      </c>
      <c r="M87" s="133">
        <v>3326</v>
      </c>
      <c r="N87" s="133">
        <f t="shared" si="19"/>
        <v>-5.8207660913467407E-11</v>
      </c>
      <c r="O87" s="134">
        <v>0</v>
      </c>
      <c r="P87" s="133"/>
      <c r="Q87" s="2" t="s">
        <v>285</v>
      </c>
      <c r="R87" s="156">
        <f t="shared" si="18"/>
        <v>0</v>
      </c>
      <c r="S87" s="156">
        <f t="shared" si="17"/>
        <v>0</v>
      </c>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53">
        <v>258531.35</v>
      </c>
      <c r="AT87" s="153">
        <v>9608.16</v>
      </c>
      <c r="AU87" s="156">
        <f>IF(H87&lt;50000,0,IF(AT87&gt;0,(H87/1.18-AT87-H87/100*0.8)*0.1,(H87/1.18-H87/1.18/100*5.4-H87/100*0.8)*0.1))</f>
        <v>26076.611540338985</v>
      </c>
      <c r="AV87" s="142"/>
      <c r="AW87" s="142"/>
      <c r="AX87" s="142"/>
      <c r="AY87" s="142"/>
      <c r="AZ87" s="142"/>
      <c r="BA87" s="142"/>
      <c r="BB87" s="142"/>
      <c r="BC87" s="142"/>
      <c r="BD87" s="142"/>
      <c r="BE87" s="142"/>
      <c r="BF87" s="142"/>
      <c r="BG87" s="142"/>
      <c r="BH87" s="142"/>
      <c r="BI87" s="2" t="s">
        <v>11</v>
      </c>
      <c r="BJ87" s="136">
        <v>44925</v>
      </c>
      <c r="BK87" s="2" t="s">
        <v>109</v>
      </c>
      <c r="BL87" s="136" t="s">
        <v>18</v>
      </c>
      <c r="BM87" s="136">
        <v>44676</v>
      </c>
      <c r="BN87" s="2" t="s">
        <v>1523</v>
      </c>
      <c r="BO87" s="2"/>
      <c r="BP87" s="136"/>
      <c r="BQ87" s="137"/>
      <c r="BR87" s="138"/>
    </row>
    <row r="88" spans="1:70" ht="12.75" customHeight="1" x14ac:dyDescent="0.2">
      <c r="A88" s="2">
        <v>1506</v>
      </c>
      <c r="B88" s="2" t="s">
        <v>31</v>
      </c>
      <c r="C88" s="2" t="s">
        <v>32</v>
      </c>
      <c r="D88" s="2" t="s">
        <v>166</v>
      </c>
      <c r="E88" s="2" t="s">
        <v>71</v>
      </c>
      <c r="F88" s="132">
        <v>300457</v>
      </c>
      <c r="G88" s="132"/>
      <c r="H88" s="132">
        <v>300386</v>
      </c>
      <c r="I88" s="132"/>
      <c r="J88" s="132">
        <f>45821.59+200000+54564.41</f>
        <v>300386</v>
      </c>
      <c r="K88" s="132">
        <f t="shared" si="15"/>
        <v>71</v>
      </c>
      <c r="L88" s="132">
        <f t="shared" si="16"/>
        <v>0</v>
      </c>
      <c r="M88" s="133">
        <f>3574+57</f>
        <v>3631</v>
      </c>
      <c r="N88" s="133">
        <f t="shared" si="19"/>
        <v>0</v>
      </c>
      <c r="O88" s="134">
        <v>0</v>
      </c>
      <c r="P88" s="133"/>
      <c r="Q88" s="2" t="s">
        <v>152</v>
      </c>
      <c r="R88" s="156">
        <f t="shared" si="18"/>
        <v>0</v>
      </c>
      <c r="S88" s="156">
        <f t="shared" si="17"/>
        <v>0</v>
      </c>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53">
        <v>0</v>
      </c>
      <c r="AT88" s="153">
        <v>0</v>
      </c>
      <c r="AU88" s="156">
        <f>IF(H88&lt;50000,0,IF(AT88&gt;0,(H88/1.18-AT88-H88/100*0.8)*0.1,(H88/1.18-H88/1.18/100*5.4-H88/100*0.8)*0.1))</f>
        <v>23841.484081355935</v>
      </c>
      <c r="AV88" s="142"/>
      <c r="AW88" s="142"/>
      <c r="AX88" s="142"/>
      <c r="AY88" s="142"/>
      <c r="AZ88" s="142"/>
      <c r="BA88" s="142"/>
      <c r="BB88" s="142"/>
      <c r="BC88" s="142"/>
      <c r="BD88" s="142"/>
      <c r="BE88" s="135">
        <v>0</v>
      </c>
      <c r="BF88" s="135"/>
      <c r="BG88" s="142"/>
      <c r="BH88" s="142"/>
      <c r="BI88" s="2" t="s">
        <v>11</v>
      </c>
      <c r="BJ88" s="136">
        <v>44620</v>
      </c>
      <c r="BK88" s="2" t="s">
        <v>109</v>
      </c>
      <c r="BL88" s="136" t="s">
        <v>113</v>
      </c>
      <c r="BM88" s="136">
        <v>44495</v>
      </c>
      <c r="BN88" s="2" t="s">
        <v>167</v>
      </c>
      <c r="BO88" s="2">
        <v>1475</v>
      </c>
      <c r="BP88" s="136"/>
      <c r="BQ88" s="137" t="s">
        <v>119</v>
      </c>
      <c r="BR88" s="138"/>
    </row>
    <row r="89" spans="1:70" ht="12.75" customHeight="1" x14ac:dyDescent="0.2">
      <c r="A89" s="2">
        <v>1578</v>
      </c>
      <c r="B89" s="2" t="s">
        <v>54</v>
      </c>
      <c r="C89" s="2" t="s">
        <v>50</v>
      </c>
      <c r="D89" s="2" t="s">
        <v>335</v>
      </c>
      <c r="E89" s="2" t="s">
        <v>71</v>
      </c>
      <c r="F89" s="132">
        <v>430000</v>
      </c>
      <c r="G89" s="132">
        <v>2</v>
      </c>
      <c r="H89" s="132"/>
      <c r="I89" s="132"/>
      <c r="J89" s="132"/>
      <c r="K89" s="132">
        <f t="shared" si="15"/>
        <v>430000</v>
      </c>
      <c r="L89" s="132">
        <f t="shared" si="16"/>
        <v>0</v>
      </c>
      <c r="M89" s="133"/>
      <c r="N89" s="133">
        <f t="shared" si="19"/>
        <v>430000</v>
      </c>
      <c r="O89" s="134">
        <v>1</v>
      </c>
      <c r="P89" s="133"/>
      <c r="Q89" s="2" t="s">
        <v>336</v>
      </c>
      <c r="R89" s="156">
        <f t="shared" si="18"/>
        <v>0</v>
      </c>
      <c r="S89" s="156">
        <f t="shared" si="17"/>
        <v>0</v>
      </c>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53">
        <v>0</v>
      </c>
      <c r="AT89" s="153">
        <v>0</v>
      </c>
      <c r="AU89" s="153">
        <v>0</v>
      </c>
      <c r="AV89" s="135"/>
      <c r="AW89" s="135"/>
      <c r="AX89" s="135"/>
      <c r="AY89" s="135"/>
      <c r="AZ89" s="135"/>
      <c r="BA89" s="135"/>
      <c r="BB89" s="135"/>
      <c r="BC89" s="135"/>
      <c r="BD89" s="135"/>
      <c r="BE89" s="135"/>
      <c r="BF89" s="135"/>
      <c r="BG89" s="135"/>
      <c r="BH89" s="135"/>
      <c r="BI89" s="2" t="s">
        <v>11</v>
      </c>
      <c r="BJ89" s="136"/>
      <c r="BK89" s="2">
        <v>0</v>
      </c>
      <c r="BL89" s="136" t="s">
        <v>18</v>
      </c>
      <c r="BM89" s="136">
        <v>44677</v>
      </c>
      <c r="BN89" s="2" t="s">
        <v>1565</v>
      </c>
      <c r="BO89" s="2"/>
      <c r="BP89" s="136"/>
      <c r="BQ89" s="137"/>
      <c r="BR89" s="138"/>
    </row>
    <row r="90" spans="1:70" ht="12.75" customHeight="1" x14ac:dyDescent="0.2">
      <c r="A90" s="2">
        <v>1579</v>
      </c>
      <c r="B90" s="2" t="s">
        <v>54</v>
      </c>
      <c r="C90" s="2" t="s">
        <v>50</v>
      </c>
      <c r="D90" s="2" t="s">
        <v>337</v>
      </c>
      <c r="E90" s="2" t="s">
        <v>71</v>
      </c>
      <c r="F90" s="132">
        <v>670000</v>
      </c>
      <c r="G90" s="132">
        <v>2</v>
      </c>
      <c r="H90" s="132"/>
      <c r="I90" s="132"/>
      <c r="J90" s="132"/>
      <c r="K90" s="132">
        <f t="shared" si="15"/>
        <v>670000</v>
      </c>
      <c r="L90" s="132">
        <f t="shared" si="16"/>
        <v>0</v>
      </c>
      <c r="M90" s="133"/>
      <c r="N90" s="133">
        <f t="shared" si="19"/>
        <v>670000</v>
      </c>
      <c r="O90" s="134">
        <v>0</v>
      </c>
      <c r="P90" s="133"/>
      <c r="Q90" s="2" t="s">
        <v>338</v>
      </c>
      <c r="R90" s="156">
        <f t="shared" si="18"/>
        <v>0</v>
      </c>
      <c r="S90" s="156">
        <f t="shared" si="17"/>
        <v>0</v>
      </c>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53">
        <v>0</v>
      </c>
      <c r="AT90" s="153">
        <v>0</v>
      </c>
      <c r="AU90" s="153">
        <v>0</v>
      </c>
      <c r="AV90" s="135"/>
      <c r="AW90" s="135"/>
      <c r="AX90" s="135"/>
      <c r="AY90" s="135"/>
      <c r="AZ90" s="135"/>
      <c r="BA90" s="135"/>
      <c r="BB90" s="135"/>
      <c r="BC90" s="135"/>
      <c r="BD90" s="135"/>
      <c r="BE90" s="135"/>
      <c r="BF90" s="135"/>
      <c r="BG90" s="135"/>
      <c r="BH90" s="135"/>
      <c r="BI90" s="2" t="s">
        <v>11</v>
      </c>
      <c r="BJ90" s="136"/>
      <c r="BK90" s="2">
        <v>0</v>
      </c>
      <c r="BL90" s="136" t="s">
        <v>18</v>
      </c>
      <c r="BM90" s="136">
        <v>44677</v>
      </c>
      <c r="BN90" s="2" t="s">
        <v>1566</v>
      </c>
      <c r="BO90" s="2"/>
      <c r="BP90" s="136" t="s">
        <v>3655</v>
      </c>
      <c r="BQ90" s="137"/>
      <c r="BR90" s="138"/>
    </row>
    <row r="91" spans="1:70" ht="12.75" customHeight="1" x14ac:dyDescent="0.2">
      <c r="A91" s="2">
        <v>1580</v>
      </c>
      <c r="B91" s="2" t="s">
        <v>54</v>
      </c>
      <c r="C91" s="2" t="s">
        <v>50</v>
      </c>
      <c r="D91" s="2" t="s">
        <v>340</v>
      </c>
      <c r="E91" s="2" t="s">
        <v>71</v>
      </c>
      <c r="F91" s="132">
        <v>130000</v>
      </c>
      <c r="G91" s="132">
        <v>2</v>
      </c>
      <c r="H91" s="132">
        <f>120000+18000+15000+4283+2000+R91</f>
        <v>159900.56</v>
      </c>
      <c r="I91" s="132"/>
      <c r="J91" s="132">
        <f>18305.08+2745.76+2288.14+653.3389+AS91+305.084+S91+AV91+AY91+BC91</f>
        <v>159900.56</v>
      </c>
      <c r="K91" s="132">
        <f t="shared" si="15"/>
        <v>-29900.559999999998</v>
      </c>
      <c r="L91" s="132">
        <f t="shared" si="16"/>
        <v>0</v>
      </c>
      <c r="M91" s="133">
        <v>2009.8</v>
      </c>
      <c r="N91" s="133">
        <f t="shared" si="19"/>
        <v>0</v>
      </c>
      <c r="O91" s="134">
        <v>1</v>
      </c>
      <c r="P91" s="133"/>
      <c r="Q91" s="2" t="s">
        <v>339</v>
      </c>
      <c r="R91" s="156">
        <f t="shared" si="18"/>
        <v>617.55999999999995</v>
      </c>
      <c r="S91" s="156">
        <f t="shared" si="17"/>
        <v>617.47709999997755</v>
      </c>
      <c r="T91" s="133"/>
      <c r="U91" s="133"/>
      <c r="V91" s="133"/>
      <c r="W91" s="133"/>
      <c r="X91" s="133"/>
      <c r="Y91" s="133"/>
      <c r="Z91" s="133"/>
      <c r="AA91" s="133"/>
      <c r="AB91" s="133"/>
      <c r="AC91" s="133"/>
      <c r="AD91" s="133">
        <v>617.55999999999995</v>
      </c>
      <c r="AE91" s="133"/>
      <c r="AF91" s="133"/>
      <c r="AG91" s="133">
        <f>94.2</f>
        <v>94.2</v>
      </c>
      <c r="AH91" s="133"/>
      <c r="AI91" s="133"/>
      <c r="AJ91" s="133"/>
      <c r="AK91" s="133">
        <v>523.27709999997751</v>
      </c>
      <c r="AL91" s="133"/>
      <c r="AM91" s="133"/>
      <c r="AN91" s="133"/>
      <c r="AO91" s="133"/>
      <c r="AP91" s="133"/>
      <c r="AQ91" s="133"/>
      <c r="AR91" s="133"/>
      <c r="AS91" s="153">
        <f>116949.16+12711.86</f>
        <v>129661.02</v>
      </c>
      <c r="AT91" s="153">
        <f>4513.58+677.04+491.06</f>
        <v>5681.68</v>
      </c>
      <c r="AU91" s="156">
        <v>0</v>
      </c>
      <c r="AV91" s="142">
        <f>3629.66</f>
        <v>3629.66</v>
      </c>
      <c r="AW91" s="142"/>
      <c r="AX91" s="142"/>
      <c r="AY91" s="142">
        <v>1695</v>
      </c>
      <c r="AZ91" s="142">
        <v>75.680000000000007</v>
      </c>
      <c r="BA91" s="142"/>
      <c r="BB91" s="142"/>
      <c r="BC91" s="142">
        <v>0</v>
      </c>
      <c r="BD91" s="142">
        <v>0</v>
      </c>
      <c r="BE91" s="142"/>
      <c r="BF91" s="142"/>
      <c r="BG91" s="142"/>
      <c r="BH91" s="142"/>
      <c r="BI91" s="2" t="s">
        <v>11</v>
      </c>
      <c r="BJ91" s="136">
        <v>45827</v>
      </c>
      <c r="BK91" s="135" t="s">
        <v>109</v>
      </c>
      <c r="BL91" s="136" t="s">
        <v>18</v>
      </c>
      <c r="BM91" s="136">
        <v>44677</v>
      </c>
      <c r="BN91" s="2" t="s">
        <v>1567</v>
      </c>
      <c r="BO91" s="2"/>
      <c r="BP91" s="136"/>
      <c r="BQ91" s="137" t="s">
        <v>119</v>
      </c>
      <c r="BR91" s="138"/>
    </row>
    <row r="92" spans="1:70" ht="12.75" customHeight="1" x14ac:dyDescent="0.2">
      <c r="A92" s="2">
        <v>1581</v>
      </c>
      <c r="B92" s="2" t="s">
        <v>54</v>
      </c>
      <c r="C92" s="2" t="s">
        <v>50</v>
      </c>
      <c r="D92" s="2" t="s">
        <v>341</v>
      </c>
      <c r="E92" s="2" t="s">
        <v>71</v>
      </c>
      <c r="F92" s="132">
        <v>40000</v>
      </c>
      <c r="G92" s="132">
        <v>2</v>
      </c>
      <c r="H92" s="132">
        <f>60000+8210</f>
        <v>68210</v>
      </c>
      <c r="I92" s="132">
        <f>60000+8210</f>
        <v>68210</v>
      </c>
      <c r="J92" s="132">
        <f>9152.54+AS92+AV92+1252.37+6957.63</f>
        <v>68210</v>
      </c>
      <c r="K92" s="132">
        <f t="shared" si="15"/>
        <v>-28210</v>
      </c>
      <c r="L92" s="132">
        <f t="shared" si="16"/>
        <v>0</v>
      </c>
      <c r="M92" s="133">
        <v>308</v>
      </c>
      <c r="N92" s="133">
        <f t="shared" si="19"/>
        <v>0</v>
      </c>
      <c r="O92" s="134">
        <v>0</v>
      </c>
      <c r="P92" s="133"/>
      <c r="Q92" s="2" t="s">
        <v>342</v>
      </c>
      <c r="R92" s="156">
        <f t="shared" si="18"/>
        <v>0</v>
      </c>
      <c r="S92" s="156">
        <f t="shared" si="17"/>
        <v>0</v>
      </c>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53">
        <v>0</v>
      </c>
      <c r="AT92" s="153">
        <v>0</v>
      </c>
      <c r="AU92" s="153">
        <v>0</v>
      </c>
      <c r="AV92" s="272">
        <v>50847.46</v>
      </c>
      <c r="AW92" s="135">
        <v>2545.16</v>
      </c>
      <c r="AX92" s="135"/>
      <c r="AY92" s="135"/>
      <c r="AZ92" s="135"/>
      <c r="BA92" s="135">
        <f>IF(BK92="Принят",(H92/1.18-AW92)*0.1,H92/1.18*0.8*0.1)</f>
        <v>5525.9924745762728</v>
      </c>
      <c r="BB92" s="135">
        <f>(H92/1.18-AT92-AW92-AZ92)*0.1-AU92-AX92-BA92</f>
        <v>0</v>
      </c>
      <c r="BC92" s="135"/>
      <c r="BD92" s="135"/>
      <c r="BE92" s="135">
        <f>(H92/1.18-AT92-AW92-AZ92-BD92)*0.1-AU92-AX92-BA92-BB92</f>
        <v>0</v>
      </c>
      <c r="BF92" s="135"/>
      <c r="BG92" s="135"/>
      <c r="BH92" s="135"/>
      <c r="BI92" s="2" t="s">
        <v>11</v>
      </c>
      <c r="BJ92" s="136">
        <v>45321</v>
      </c>
      <c r="BK92" s="2" t="s">
        <v>109</v>
      </c>
      <c r="BL92" s="136" t="s">
        <v>18</v>
      </c>
      <c r="BM92" s="136">
        <v>44677</v>
      </c>
      <c r="BN92" s="2" t="s">
        <v>1568</v>
      </c>
      <c r="BO92" s="2"/>
      <c r="BP92" s="136" t="s">
        <v>675</v>
      </c>
      <c r="BQ92" s="137" t="s">
        <v>119</v>
      </c>
      <c r="BR92" s="138"/>
    </row>
    <row r="93" spans="1:70" ht="12.75" customHeight="1" x14ac:dyDescent="0.2">
      <c r="A93" s="2">
        <v>1582</v>
      </c>
      <c r="B93" s="2" t="s">
        <v>54</v>
      </c>
      <c r="C93" s="2" t="s">
        <v>50</v>
      </c>
      <c r="D93" s="2" t="s">
        <v>343</v>
      </c>
      <c r="E93" s="2" t="s">
        <v>71</v>
      </c>
      <c r="F93" s="132">
        <v>30000</v>
      </c>
      <c r="G93" s="132">
        <v>2</v>
      </c>
      <c r="H93" s="132"/>
      <c r="I93" s="132"/>
      <c r="J93" s="132"/>
      <c r="K93" s="132">
        <f t="shared" si="15"/>
        <v>30000</v>
      </c>
      <c r="L93" s="132">
        <f t="shared" si="16"/>
        <v>0</v>
      </c>
      <c r="M93" s="133"/>
      <c r="N93" s="133">
        <f t="shared" si="19"/>
        <v>30000</v>
      </c>
      <c r="O93" s="134" t="s">
        <v>1705</v>
      </c>
      <c r="P93" s="133"/>
      <c r="Q93" s="2" t="s">
        <v>344</v>
      </c>
      <c r="R93" s="156">
        <f t="shared" si="18"/>
        <v>0</v>
      </c>
      <c r="S93" s="156">
        <f t="shared" si="17"/>
        <v>0</v>
      </c>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53">
        <v>0</v>
      </c>
      <c r="AT93" s="153">
        <v>0</v>
      </c>
      <c r="AU93" s="153">
        <v>0</v>
      </c>
      <c r="AV93" s="135"/>
      <c r="AW93" s="135"/>
      <c r="AX93" s="135"/>
      <c r="AY93" s="135"/>
      <c r="AZ93" s="135"/>
      <c r="BA93" s="135"/>
      <c r="BB93" s="135"/>
      <c r="BC93" s="135"/>
      <c r="BD93" s="135"/>
      <c r="BE93" s="135"/>
      <c r="BF93" s="135"/>
      <c r="BG93" s="135"/>
      <c r="BH93" s="135"/>
      <c r="BI93" s="2" t="s">
        <v>11</v>
      </c>
      <c r="BJ93" s="136"/>
      <c r="BK93" s="2">
        <v>0</v>
      </c>
      <c r="BL93" s="136" t="s">
        <v>18</v>
      </c>
      <c r="BM93" s="136">
        <v>44677</v>
      </c>
      <c r="BN93" s="2" t="s">
        <v>1569</v>
      </c>
      <c r="BO93" s="2"/>
      <c r="BP93" s="136" t="s">
        <v>676</v>
      </c>
      <c r="BQ93" s="137"/>
      <c r="BR93" s="138"/>
    </row>
    <row r="94" spans="1:70" ht="12.75" customHeight="1" x14ac:dyDescent="0.2">
      <c r="A94" s="2">
        <v>1583</v>
      </c>
      <c r="B94" s="2" t="s">
        <v>54</v>
      </c>
      <c r="C94" s="2" t="s">
        <v>50</v>
      </c>
      <c r="D94" s="2" t="s">
        <v>345</v>
      </c>
      <c r="E94" s="2" t="s">
        <v>71</v>
      </c>
      <c r="F94" s="132">
        <v>29000</v>
      </c>
      <c r="G94" s="132">
        <v>2</v>
      </c>
      <c r="H94" s="132"/>
      <c r="I94" s="132"/>
      <c r="J94" s="132"/>
      <c r="K94" s="132">
        <f t="shared" si="15"/>
        <v>29000</v>
      </c>
      <c r="L94" s="132">
        <f t="shared" si="16"/>
        <v>0</v>
      </c>
      <c r="M94" s="133"/>
      <c r="N94" s="133">
        <f t="shared" si="19"/>
        <v>29000</v>
      </c>
      <c r="O94" s="134" t="s">
        <v>1705</v>
      </c>
      <c r="P94" s="133"/>
      <c r="Q94" s="2" t="s">
        <v>346</v>
      </c>
      <c r="R94" s="156">
        <f t="shared" si="18"/>
        <v>0</v>
      </c>
      <c r="S94" s="156">
        <f t="shared" si="17"/>
        <v>0</v>
      </c>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53">
        <v>0</v>
      </c>
      <c r="AT94" s="153">
        <v>0</v>
      </c>
      <c r="AU94" s="153">
        <v>0</v>
      </c>
      <c r="AV94" s="135"/>
      <c r="AW94" s="135"/>
      <c r="AX94" s="135"/>
      <c r="AY94" s="135"/>
      <c r="AZ94" s="135"/>
      <c r="BA94" s="135"/>
      <c r="BB94" s="135"/>
      <c r="BC94" s="135"/>
      <c r="BD94" s="135"/>
      <c r="BE94" s="135"/>
      <c r="BF94" s="135"/>
      <c r="BG94" s="135"/>
      <c r="BH94" s="135"/>
      <c r="BI94" s="2" t="s">
        <v>11</v>
      </c>
      <c r="BJ94" s="136"/>
      <c r="BK94" s="2">
        <v>0</v>
      </c>
      <c r="BL94" s="136" t="s">
        <v>18</v>
      </c>
      <c r="BM94" s="136">
        <v>44677</v>
      </c>
      <c r="BN94" s="2" t="s">
        <v>1570</v>
      </c>
      <c r="BO94" s="2"/>
      <c r="BP94" s="136" t="s">
        <v>677</v>
      </c>
      <c r="BQ94" s="137"/>
      <c r="BR94" s="138"/>
    </row>
    <row r="95" spans="1:70" ht="12.75" customHeight="1" x14ac:dyDescent="0.2">
      <c r="A95" s="2">
        <v>1609</v>
      </c>
      <c r="B95" s="2" t="s">
        <v>28</v>
      </c>
      <c r="C95" s="2" t="s">
        <v>30</v>
      </c>
      <c r="D95" s="2" t="s">
        <v>409</v>
      </c>
      <c r="E95" s="2" t="s">
        <v>87</v>
      </c>
      <c r="F95" s="132">
        <v>100000</v>
      </c>
      <c r="G95" s="132"/>
      <c r="H95" s="132">
        <f>85000+120000+48393.342867701</f>
        <v>253393.34286770099</v>
      </c>
      <c r="I95" s="132"/>
      <c r="J95" s="132">
        <f>12966.1+18305.08+7382.035+AS95+41011.1278677009</f>
        <v>253393.34286770091</v>
      </c>
      <c r="K95" s="132">
        <f t="shared" si="15"/>
        <v>-153393.34286770091</v>
      </c>
      <c r="L95" s="132">
        <f t="shared" si="16"/>
        <v>0</v>
      </c>
      <c r="M95" s="133">
        <v>1007</v>
      </c>
      <c r="N95" s="133">
        <f t="shared" si="19"/>
        <v>8.7311491370201111E-11</v>
      </c>
      <c r="O95" s="134">
        <v>0</v>
      </c>
      <c r="P95" s="133"/>
      <c r="Q95" s="2" t="s">
        <v>408</v>
      </c>
      <c r="R95" s="156">
        <f t="shared" si="18"/>
        <v>0</v>
      </c>
      <c r="S95" s="156">
        <f t="shared" si="17"/>
        <v>0</v>
      </c>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55">
        <f>101695+72034</f>
        <v>173729</v>
      </c>
      <c r="AT95" s="156">
        <v>14059.27</v>
      </c>
      <c r="AU95" s="156">
        <f>IF(H95&lt;50000,0,IF(AT95&gt;0,(H95/1.18-AT95-H95/100*0.8)*0.1,(H95/1.18-H95/1.18/100*5.4-H95/100*0.8)*0.1))</f>
        <v>19865.37043313813</v>
      </c>
      <c r="AV95" s="142"/>
      <c r="AW95" s="142"/>
      <c r="AX95" s="142"/>
      <c r="AY95" s="142"/>
      <c r="AZ95" s="142"/>
      <c r="BA95" s="142"/>
      <c r="BB95" s="142"/>
      <c r="BC95" s="142"/>
      <c r="BD95" s="142"/>
      <c r="BE95" s="142"/>
      <c r="BF95" s="142"/>
      <c r="BG95" s="142"/>
      <c r="BH95" s="142"/>
      <c r="BI95" s="2" t="s">
        <v>11</v>
      </c>
      <c r="BJ95" s="136">
        <v>44925</v>
      </c>
      <c r="BK95" s="2" t="s">
        <v>109</v>
      </c>
      <c r="BL95" s="136" t="s">
        <v>113</v>
      </c>
      <c r="BM95" s="136">
        <v>44683</v>
      </c>
      <c r="BN95" s="2" t="s">
        <v>1691</v>
      </c>
      <c r="BO95" s="2"/>
      <c r="BP95" s="136"/>
      <c r="BQ95" s="137"/>
      <c r="BR95" s="138"/>
    </row>
    <row r="96" spans="1:70" ht="12.75" customHeight="1" x14ac:dyDescent="0.2">
      <c r="A96" s="2">
        <v>1585</v>
      </c>
      <c r="B96" s="2" t="s">
        <v>54</v>
      </c>
      <c r="C96" s="2" t="s">
        <v>96</v>
      </c>
      <c r="D96" s="2" t="s">
        <v>349</v>
      </c>
      <c r="E96" s="2" t="s">
        <v>71</v>
      </c>
      <c r="F96" s="132">
        <v>1400000</v>
      </c>
      <c r="G96" s="132" t="s">
        <v>3656</v>
      </c>
      <c r="H96" s="132"/>
      <c r="I96" s="132"/>
      <c r="J96" s="132"/>
      <c r="K96" s="132">
        <f t="shared" si="15"/>
        <v>1400000</v>
      </c>
      <c r="L96" s="132">
        <f t="shared" si="16"/>
        <v>0</v>
      </c>
      <c r="M96" s="133"/>
      <c r="N96" s="133">
        <f t="shared" si="19"/>
        <v>1400000</v>
      </c>
      <c r="O96" s="134" t="s">
        <v>1705</v>
      </c>
      <c r="P96" s="133"/>
      <c r="Q96" s="2" t="s">
        <v>350</v>
      </c>
      <c r="R96" s="156">
        <f t="shared" si="18"/>
        <v>0</v>
      </c>
      <c r="S96" s="156">
        <f t="shared" si="17"/>
        <v>0</v>
      </c>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53">
        <v>0</v>
      </c>
      <c r="AT96" s="153">
        <v>0</v>
      </c>
      <c r="AU96" s="153">
        <v>0</v>
      </c>
      <c r="AV96" s="135"/>
      <c r="AW96" s="135"/>
      <c r="AX96" s="135"/>
      <c r="AY96" s="135"/>
      <c r="AZ96" s="135"/>
      <c r="BA96" s="135"/>
      <c r="BB96" s="135"/>
      <c r="BC96" s="135"/>
      <c r="BD96" s="135"/>
      <c r="BE96" s="135"/>
      <c r="BF96" s="135"/>
      <c r="BG96" s="135"/>
      <c r="BH96" s="135"/>
      <c r="BI96" s="2" t="s">
        <v>11</v>
      </c>
      <c r="BJ96" s="136"/>
      <c r="BK96" s="2">
        <v>0</v>
      </c>
      <c r="BL96" s="136" t="s">
        <v>18</v>
      </c>
      <c r="BM96" s="136">
        <v>44677</v>
      </c>
      <c r="BN96" s="2" t="s">
        <v>1572</v>
      </c>
      <c r="BO96" s="2"/>
      <c r="BP96" s="136" t="s">
        <v>683</v>
      </c>
      <c r="BQ96" s="137"/>
      <c r="BR96" s="138"/>
    </row>
    <row r="97" spans="1:70" ht="12.75" customHeight="1" x14ac:dyDescent="0.2">
      <c r="A97" s="2">
        <v>1586</v>
      </c>
      <c r="B97" s="2" t="s">
        <v>54</v>
      </c>
      <c r="C97" s="2" t="s">
        <v>96</v>
      </c>
      <c r="D97" s="2" t="s">
        <v>351</v>
      </c>
      <c r="E97" s="2" t="s">
        <v>71</v>
      </c>
      <c r="F97" s="132">
        <v>78000</v>
      </c>
      <c r="G97" s="132">
        <v>2</v>
      </c>
      <c r="H97" s="132"/>
      <c r="I97" s="132"/>
      <c r="J97" s="132"/>
      <c r="K97" s="132">
        <f t="shared" si="15"/>
        <v>78000</v>
      </c>
      <c r="L97" s="132">
        <f t="shared" si="16"/>
        <v>0</v>
      </c>
      <c r="M97" s="133"/>
      <c r="N97" s="133">
        <f t="shared" si="19"/>
        <v>78000</v>
      </c>
      <c r="O97" s="134">
        <v>1</v>
      </c>
      <c r="P97" s="133"/>
      <c r="Q97" s="2" t="s">
        <v>354</v>
      </c>
      <c r="R97" s="156">
        <f t="shared" si="18"/>
        <v>0</v>
      </c>
      <c r="S97" s="156">
        <f t="shared" si="17"/>
        <v>0</v>
      </c>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53">
        <v>0</v>
      </c>
      <c r="AT97" s="153">
        <v>0</v>
      </c>
      <c r="AU97" s="153">
        <v>0</v>
      </c>
      <c r="AV97" s="135"/>
      <c r="AW97" s="135"/>
      <c r="AX97" s="135"/>
      <c r="AY97" s="135"/>
      <c r="AZ97" s="135"/>
      <c r="BA97" s="135"/>
      <c r="BB97" s="135"/>
      <c r="BC97" s="135"/>
      <c r="BD97" s="135"/>
      <c r="BE97" s="135"/>
      <c r="BF97" s="135"/>
      <c r="BG97" s="135"/>
      <c r="BH97" s="135"/>
      <c r="BI97" s="2" t="s">
        <v>11</v>
      </c>
      <c r="BJ97" s="136"/>
      <c r="BK97" s="2">
        <v>0</v>
      </c>
      <c r="BL97" s="136" t="s">
        <v>18</v>
      </c>
      <c r="BM97" s="136">
        <v>44677</v>
      </c>
      <c r="BN97" s="2" t="s">
        <v>1573</v>
      </c>
      <c r="BO97" s="2"/>
      <c r="BP97" s="136" t="s">
        <v>684</v>
      </c>
      <c r="BQ97" s="137"/>
      <c r="BR97" s="138"/>
    </row>
    <row r="98" spans="1:70" ht="12.75" customHeight="1" x14ac:dyDescent="0.2">
      <c r="A98" s="2">
        <v>1587</v>
      </c>
      <c r="B98" s="2" t="s">
        <v>54</v>
      </c>
      <c r="C98" s="2" t="s">
        <v>96</v>
      </c>
      <c r="D98" s="2" t="s">
        <v>352</v>
      </c>
      <c r="E98" s="2" t="s">
        <v>71</v>
      </c>
      <c r="F98" s="132">
        <v>65000</v>
      </c>
      <c r="G98" s="132">
        <v>2</v>
      </c>
      <c r="H98" s="132">
        <f>308*1.75+20000+5000</f>
        <v>25539</v>
      </c>
      <c r="I98" s="132">
        <f>H98-539</f>
        <v>25000</v>
      </c>
      <c r="J98" s="132">
        <f>539+3050.847+762.71+S98+AY98+BC98</f>
        <v>25538.707000000002</v>
      </c>
      <c r="K98" s="132">
        <f t="shared" si="15"/>
        <v>39461.292999999998</v>
      </c>
      <c r="L98" s="132">
        <f t="shared" si="16"/>
        <v>0.29299999999784632</v>
      </c>
      <c r="M98" s="133"/>
      <c r="N98" s="133">
        <f t="shared" si="19"/>
        <v>39461.292999999998</v>
      </c>
      <c r="O98" s="134">
        <v>1</v>
      </c>
      <c r="P98" s="133"/>
      <c r="Q98" s="2" t="s">
        <v>353</v>
      </c>
      <c r="R98" s="156">
        <f t="shared" si="18"/>
        <v>0</v>
      </c>
      <c r="S98" s="156">
        <f t="shared" si="17"/>
        <v>0</v>
      </c>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53">
        <v>0</v>
      </c>
      <c r="AT98" s="153">
        <v>0</v>
      </c>
      <c r="AU98" s="153">
        <v>0</v>
      </c>
      <c r="AV98" s="135"/>
      <c r="AW98" s="135"/>
      <c r="AX98" s="135"/>
      <c r="AY98" s="135">
        <f>16949.15+4237</f>
        <v>21186.15</v>
      </c>
      <c r="AZ98" s="135"/>
      <c r="BA98" s="135"/>
      <c r="BB98" s="135"/>
      <c r="BC98" s="135"/>
      <c r="BD98" s="135"/>
      <c r="BE98" s="135"/>
      <c r="BF98" s="135"/>
      <c r="BG98" s="135"/>
      <c r="BH98" s="135"/>
      <c r="BI98" s="2" t="s">
        <v>11</v>
      </c>
      <c r="BJ98" s="136"/>
      <c r="BK98" s="2">
        <v>30</v>
      </c>
      <c r="BL98" s="136" t="s">
        <v>18</v>
      </c>
      <c r="BM98" s="136">
        <v>44677</v>
      </c>
      <c r="BN98" s="2" t="s">
        <v>1574</v>
      </c>
      <c r="BO98" s="2"/>
      <c r="BP98" s="136"/>
      <c r="BQ98" s="137"/>
      <c r="BR98" s="138"/>
    </row>
    <row r="99" spans="1:70" ht="12.75" customHeight="1" x14ac:dyDescent="0.2">
      <c r="A99" s="2">
        <v>1588</v>
      </c>
      <c r="B99" s="2" t="s">
        <v>54</v>
      </c>
      <c r="C99" s="2" t="s">
        <v>96</v>
      </c>
      <c r="D99" s="2" t="s">
        <v>355</v>
      </c>
      <c r="E99" s="2" t="s">
        <v>71</v>
      </c>
      <c r="F99" s="132">
        <v>65000</v>
      </c>
      <c r="G99" s="132">
        <v>2</v>
      </c>
      <c r="H99" s="132"/>
      <c r="I99" s="132"/>
      <c r="J99" s="132"/>
      <c r="K99" s="132">
        <f t="shared" si="15"/>
        <v>65000</v>
      </c>
      <c r="L99" s="132">
        <f t="shared" si="16"/>
        <v>0</v>
      </c>
      <c r="M99" s="133"/>
      <c r="N99" s="133">
        <f t="shared" si="19"/>
        <v>65000</v>
      </c>
      <c r="O99" s="134">
        <v>1</v>
      </c>
      <c r="P99" s="133"/>
      <c r="Q99" s="2" t="s">
        <v>356</v>
      </c>
      <c r="R99" s="156">
        <f t="shared" si="18"/>
        <v>0</v>
      </c>
      <c r="S99" s="156">
        <f t="shared" si="17"/>
        <v>0</v>
      </c>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53">
        <v>0</v>
      </c>
      <c r="AT99" s="153">
        <v>0</v>
      </c>
      <c r="AU99" s="153">
        <v>0</v>
      </c>
      <c r="AV99" s="135"/>
      <c r="AW99" s="135"/>
      <c r="AX99" s="135"/>
      <c r="AY99" s="135"/>
      <c r="AZ99" s="135"/>
      <c r="BA99" s="135"/>
      <c r="BB99" s="135"/>
      <c r="BC99" s="135"/>
      <c r="BD99" s="135"/>
      <c r="BE99" s="135"/>
      <c r="BF99" s="135"/>
      <c r="BG99" s="135"/>
      <c r="BH99" s="135"/>
      <c r="BI99" s="2" t="s">
        <v>11</v>
      </c>
      <c r="BJ99" s="136"/>
      <c r="BK99" s="2">
        <v>0</v>
      </c>
      <c r="BL99" s="136" t="s">
        <v>18</v>
      </c>
      <c r="BM99" s="136">
        <v>44677</v>
      </c>
      <c r="BN99" s="2" t="s">
        <v>1575</v>
      </c>
      <c r="BO99" s="2"/>
      <c r="BP99" s="136" t="s">
        <v>684</v>
      </c>
      <c r="BQ99" s="137"/>
      <c r="BR99" s="138"/>
    </row>
    <row r="100" spans="1:70" ht="12.75" customHeight="1" x14ac:dyDescent="0.2">
      <c r="A100" s="2">
        <v>1589</v>
      </c>
      <c r="B100" s="2" t="s">
        <v>54</v>
      </c>
      <c r="C100" s="2" t="s">
        <v>96</v>
      </c>
      <c r="D100" s="2" t="s">
        <v>357</v>
      </c>
      <c r="E100" s="2" t="s">
        <v>71</v>
      </c>
      <c r="F100" s="132">
        <v>33000</v>
      </c>
      <c r="G100" s="132">
        <v>2</v>
      </c>
      <c r="H100" s="132"/>
      <c r="I100" s="132"/>
      <c r="J100" s="132"/>
      <c r="K100" s="132">
        <f t="shared" si="15"/>
        <v>33000</v>
      </c>
      <c r="L100" s="132">
        <f t="shared" si="16"/>
        <v>0</v>
      </c>
      <c r="M100" s="133"/>
      <c r="N100" s="133">
        <f t="shared" si="19"/>
        <v>33000</v>
      </c>
      <c r="O100" s="134">
        <v>1</v>
      </c>
      <c r="P100" s="133"/>
      <c r="Q100" s="2" t="s">
        <v>358</v>
      </c>
      <c r="R100" s="156">
        <f t="shared" si="18"/>
        <v>0</v>
      </c>
      <c r="S100" s="156">
        <f t="shared" si="17"/>
        <v>0</v>
      </c>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53">
        <v>0</v>
      </c>
      <c r="AT100" s="153">
        <v>0</v>
      </c>
      <c r="AU100" s="153">
        <v>0</v>
      </c>
      <c r="AV100" s="135"/>
      <c r="AW100" s="135"/>
      <c r="AX100" s="135"/>
      <c r="AY100" s="135"/>
      <c r="AZ100" s="135"/>
      <c r="BA100" s="135"/>
      <c r="BB100" s="135"/>
      <c r="BC100" s="135"/>
      <c r="BD100" s="135"/>
      <c r="BE100" s="135"/>
      <c r="BF100" s="135"/>
      <c r="BG100" s="135"/>
      <c r="BH100" s="135"/>
      <c r="BI100" s="2" t="s">
        <v>11</v>
      </c>
      <c r="BJ100" s="136"/>
      <c r="BK100" s="2">
        <v>0</v>
      </c>
      <c r="BL100" s="136" t="s">
        <v>18</v>
      </c>
      <c r="BM100" s="136">
        <v>44677</v>
      </c>
      <c r="BN100" s="2" t="s">
        <v>1576</v>
      </c>
      <c r="BO100" s="2"/>
      <c r="BP100" s="136" t="s">
        <v>684</v>
      </c>
      <c r="BQ100" s="137"/>
      <c r="BR100" s="138"/>
    </row>
    <row r="101" spans="1:70" ht="12.75" customHeight="1" x14ac:dyDescent="0.2">
      <c r="A101" s="2">
        <v>1590</v>
      </c>
      <c r="B101" s="2" t="s">
        <v>54</v>
      </c>
      <c r="C101" s="2" t="s">
        <v>16</v>
      </c>
      <c r="D101" s="2" t="s">
        <v>360</v>
      </c>
      <c r="E101" s="2" t="s">
        <v>141</v>
      </c>
      <c r="F101" s="132">
        <v>104630</v>
      </c>
      <c r="G101" s="132"/>
      <c r="H101" s="132">
        <v>104630.23</v>
      </c>
      <c r="I101" s="132"/>
      <c r="J101" s="132">
        <f>15960.543559322+88669.686440678+S101</f>
        <v>104630.23</v>
      </c>
      <c r="K101" s="132">
        <v>-0.22999999999592499</v>
      </c>
      <c r="L101" s="132">
        <f t="shared" si="16"/>
        <v>0</v>
      </c>
      <c r="M101" s="133">
        <f>3325-163</f>
        <v>3162</v>
      </c>
      <c r="N101" s="133">
        <f t="shared" si="19"/>
        <v>0</v>
      </c>
      <c r="O101" s="134">
        <v>0</v>
      </c>
      <c r="P101" s="133">
        <v>55</v>
      </c>
      <c r="Q101" s="2" t="s">
        <v>361</v>
      </c>
      <c r="R101" s="156">
        <f t="shared" si="18"/>
        <v>0</v>
      </c>
      <c r="S101" s="156">
        <f t="shared" si="17"/>
        <v>0</v>
      </c>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53">
        <v>0</v>
      </c>
      <c r="AT101" s="153">
        <v>0</v>
      </c>
      <c r="AU101" s="153">
        <v>0</v>
      </c>
      <c r="AV101" s="135"/>
      <c r="AW101" s="135"/>
      <c r="AX101" s="135"/>
      <c r="AY101" s="135"/>
      <c r="AZ101" s="135"/>
      <c r="BA101" s="135"/>
      <c r="BB101" s="135"/>
      <c r="BC101" s="135"/>
      <c r="BD101" s="135"/>
      <c r="BE101" s="135"/>
      <c r="BF101" s="135"/>
      <c r="BG101" s="135"/>
      <c r="BH101" s="135"/>
      <c r="BI101" s="2" t="s">
        <v>10</v>
      </c>
      <c r="BJ101" s="136">
        <v>44740</v>
      </c>
      <c r="BK101" s="2" t="s">
        <v>109</v>
      </c>
      <c r="BL101" s="136" t="s">
        <v>113</v>
      </c>
      <c r="BM101" s="136">
        <v>44694</v>
      </c>
      <c r="BN101" s="2" t="s">
        <v>359</v>
      </c>
      <c r="BO101" s="2"/>
      <c r="BP101" s="136"/>
      <c r="BQ101" s="137"/>
      <c r="BR101" s="138"/>
    </row>
    <row r="102" spans="1:70" ht="12.75" customHeight="1" x14ac:dyDescent="0.2">
      <c r="A102" s="2">
        <v>1591</v>
      </c>
      <c r="B102" s="2" t="s">
        <v>54</v>
      </c>
      <c r="C102" s="2" t="s">
        <v>16</v>
      </c>
      <c r="D102" s="2" t="s">
        <v>363</v>
      </c>
      <c r="E102" s="2" t="s">
        <v>141</v>
      </c>
      <c r="F102" s="132">
        <v>421818</v>
      </c>
      <c r="G102" s="132"/>
      <c r="H102" s="132">
        <f>142645+150622+127276.75</f>
        <v>420543.75</v>
      </c>
      <c r="I102" s="132"/>
      <c r="J102" s="132">
        <f>100000+21759.41+20885.59+150622+127276.75+S102</f>
        <v>420543.75</v>
      </c>
      <c r="K102" s="132">
        <f t="shared" ref="K102:K133" si="20">F102-J102</f>
        <v>1274.25</v>
      </c>
      <c r="L102" s="132">
        <f t="shared" si="16"/>
        <v>0</v>
      </c>
      <c r="M102" s="133">
        <v>6884</v>
      </c>
      <c r="N102" s="133">
        <f t="shared" si="19"/>
        <v>0</v>
      </c>
      <c r="O102" s="134">
        <v>0</v>
      </c>
      <c r="P102" s="133">
        <v>98</v>
      </c>
      <c r="Q102" s="2" t="s">
        <v>364</v>
      </c>
      <c r="R102" s="156">
        <f t="shared" si="18"/>
        <v>0</v>
      </c>
      <c r="S102" s="156">
        <f t="shared" si="17"/>
        <v>0</v>
      </c>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53">
        <v>0</v>
      </c>
      <c r="AT102" s="153">
        <v>0</v>
      </c>
      <c r="AU102" s="153">
        <v>0</v>
      </c>
      <c r="AV102" s="135"/>
      <c r="AW102" s="135"/>
      <c r="AX102" s="135"/>
      <c r="AY102" s="135"/>
      <c r="AZ102" s="135"/>
      <c r="BA102" s="135"/>
      <c r="BB102" s="135"/>
      <c r="BC102" s="135"/>
      <c r="BD102" s="135"/>
      <c r="BE102" s="135"/>
      <c r="BF102" s="135"/>
      <c r="BG102" s="135"/>
      <c r="BH102" s="135"/>
      <c r="BI102" s="2" t="s">
        <v>10</v>
      </c>
      <c r="BJ102" s="136">
        <v>44809</v>
      </c>
      <c r="BK102" s="2" t="s">
        <v>109</v>
      </c>
      <c r="BL102" s="136" t="s">
        <v>113</v>
      </c>
      <c r="BM102" s="136">
        <v>44694</v>
      </c>
      <c r="BN102" s="2" t="s">
        <v>362</v>
      </c>
      <c r="BO102" s="2"/>
      <c r="BP102" s="136"/>
      <c r="BQ102" s="137"/>
      <c r="BR102" s="138"/>
    </row>
    <row r="103" spans="1:70" ht="12.75" customHeight="1" x14ac:dyDescent="0.2">
      <c r="A103" s="2">
        <v>1592</v>
      </c>
      <c r="B103" s="2" t="s">
        <v>54</v>
      </c>
      <c r="C103" s="2" t="s">
        <v>16</v>
      </c>
      <c r="D103" s="2" t="s">
        <v>365</v>
      </c>
      <c r="E103" s="2" t="s">
        <v>71</v>
      </c>
      <c r="F103" s="132">
        <v>190000</v>
      </c>
      <c r="G103" s="132">
        <v>2</v>
      </c>
      <c r="H103" s="132">
        <f>4716.25+150000+50000+5000+R103</f>
        <v>211371.77</v>
      </c>
      <c r="I103" s="132">
        <f>H103-4716.25</f>
        <v>206655.52</v>
      </c>
      <c r="J103" s="132">
        <f>719.4279+3996.82+22881.36+7627.118+762.712+S103+AY103</f>
        <v>211371.76790000001</v>
      </c>
      <c r="K103" s="132">
        <f t="shared" si="20"/>
        <v>-21371.767900000006</v>
      </c>
      <c r="L103" s="132">
        <f t="shared" si="16"/>
        <v>2.0999999833293259E-3</v>
      </c>
      <c r="M103" s="133">
        <v>2540.3000000000002</v>
      </c>
      <c r="N103" s="133">
        <f t="shared" si="19"/>
        <v>2.0999999833293259E-3</v>
      </c>
      <c r="O103" s="134">
        <v>1</v>
      </c>
      <c r="P103" s="133"/>
      <c r="Q103" s="2" t="s">
        <v>366</v>
      </c>
      <c r="R103" s="156">
        <f t="shared" si="18"/>
        <v>1655.52</v>
      </c>
      <c r="S103" s="156">
        <f t="shared" si="17"/>
        <v>1655.52</v>
      </c>
      <c r="T103" s="133">
        <v>1655.52</v>
      </c>
      <c r="U103" s="133"/>
      <c r="V103" s="133"/>
      <c r="W103" s="133">
        <f>252.54</f>
        <v>252.54</v>
      </c>
      <c r="X103" s="133"/>
      <c r="Y103" s="133"/>
      <c r="Z103" s="133"/>
      <c r="AA103" s="133"/>
      <c r="AB103" s="133"/>
      <c r="AC103" s="133"/>
      <c r="AD103" s="133"/>
      <c r="AE103" s="133">
        <v>1402.98</v>
      </c>
      <c r="AF103" s="133"/>
      <c r="AG103" s="133"/>
      <c r="AH103" s="133"/>
      <c r="AI103" s="133"/>
      <c r="AJ103" s="133"/>
      <c r="AK103" s="133"/>
      <c r="AL103" s="133"/>
      <c r="AM103" s="133"/>
      <c r="AN103" s="133"/>
      <c r="AO103" s="133"/>
      <c r="AP103" s="133"/>
      <c r="AQ103" s="133"/>
      <c r="AR103" s="133"/>
      <c r="AS103" s="153">
        <v>0</v>
      </c>
      <c r="AT103" s="153">
        <v>0</v>
      </c>
      <c r="AU103" s="153">
        <v>0</v>
      </c>
      <c r="AV103" s="135"/>
      <c r="AW103" s="135"/>
      <c r="AX103" s="135"/>
      <c r="AY103" s="135">
        <f>127118.64+42372.88+4237.29</f>
        <v>173728.81</v>
      </c>
      <c r="AZ103" s="135">
        <f>15140.11+2799.51+244.57</f>
        <v>18184.190000000002</v>
      </c>
      <c r="BA103" s="135">
        <f>150000/1.18*0.8*0.1</f>
        <v>10169.491525423731</v>
      </c>
      <c r="BB103" s="140">
        <f>(I103/1.18-AT103-AW103-AZ103)*0.1-AU103-AX103-BA103</f>
        <v>5525.2691355932184</v>
      </c>
      <c r="BC103" s="135"/>
      <c r="BD103" s="135"/>
      <c r="BE103" s="135">
        <f>(I103/1.18-AT103-AW103-AZ103-BD103)*0.1-AU103-AX103-BA103-BB103</f>
        <v>0</v>
      </c>
      <c r="BF103" s="135"/>
      <c r="BG103" s="135"/>
      <c r="BH103" s="135"/>
      <c r="BI103" s="2" t="s">
        <v>11</v>
      </c>
      <c r="BJ103" s="136">
        <v>45674</v>
      </c>
      <c r="BK103" s="2" t="s">
        <v>8</v>
      </c>
      <c r="BL103" s="136" t="s">
        <v>113</v>
      </c>
      <c r="BM103" s="136">
        <v>44680</v>
      </c>
      <c r="BN103" s="2" t="s">
        <v>1584</v>
      </c>
      <c r="BO103" s="2"/>
      <c r="BP103" s="136"/>
      <c r="BQ103" s="137" t="s">
        <v>119</v>
      </c>
      <c r="BR103" s="138"/>
    </row>
    <row r="104" spans="1:70" ht="12.75" customHeight="1" x14ac:dyDescent="0.2">
      <c r="A104" s="2">
        <v>1593</v>
      </c>
      <c r="B104" s="2" t="s">
        <v>54</v>
      </c>
      <c r="C104" s="2" t="s">
        <v>4</v>
      </c>
      <c r="D104" s="2" t="s">
        <v>368</v>
      </c>
      <c r="E104" s="2" t="s">
        <v>71</v>
      </c>
      <c r="F104" s="132">
        <v>335000</v>
      </c>
      <c r="G104" s="132">
        <v>2</v>
      </c>
      <c r="H104" s="132"/>
      <c r="I104" s="132"/>
      <c r="J104" s="132"/>
      <c r="K104" s="132">
        <f t="shared" si="20"/>
        <v>335000</v>
      </c>
      <c r="L104" s="132">
        <f t="shared" si="16"/>
        <v>0</v>
      </c>
      <c r="M104" s="133"/>
      <c r="N104" s="133">
        <f t="shared" si="19"/>
        <v>335000</v>
      </c>
      <c r="O104" s="134">
        <v>1</v>
      </c>
      <c r="P104" s="133"/>
      <c r="Q104" s="2" t="s">
        <v>369</v>
      </c>
      <c r="R104" s="156">
        <f t="shared" si="18"/>
        <v>0</v>
      </c>
      <c r="S104" s="156">
        <f t="shared" si="17"/>
        <v>0</v>
      </c>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53">
        <v>0</v>
      </c>
      <c r="AT104" s="153">
        <v>0</v>
      </c>
      <c r="AU104" s="153">
        <v>0</v>
      </c>
      <c r="AV104" s="135"/>
      <c r="AW104" s="135"/>
      <c r="AX104" s="135"/>
      <c r="AY104" s="135"/>
      <c r="AZ104" s="135"/>
      <c r="BA104" s="135"/>
      <c r="BB104" s="135"/>
      <c r="BC104" s="135"/>
      <c r="BD104" s="135"/>
      <c r="BE104" s="135"/>
      <c r="BF104" s="135"/>
      <c r="BG104" s="135"/>
      <c r="BH104" s="135"/>
      <c r="BI104" s="2" t="s">
        <v>11</v>
      </c>
      <c r="BJ104" s="136"/>
      <c r="BK104" s="2">
        <v>0</v>
      </c>
      <c r="BL104" s="136" t="s">
        <v>113</v>
      </c>
      <c r="BM104" s="136">
        <v>44680</v>
      </c>
      <c r="BN104" s="2" t="s">
        <v>1585</v>
      </c>
      <c r="BO104" s="2"/>
      <c r="BP104" s="136" t="s">
        <v>679</v>
      </c>
      <c r="BQ104" s="137"/>
      <c r="BR104" s="138"/>
    </row>
    <row r="105" spans="1:70" ht="12.75" customHeight="1" x14ac:dyDescent="0.2">
      <c r="A105" s="2">
        <v>1624</v>
      </c>
      <c r="B105" s="2"/>
      <c r="C105" s="2"/>
      <c r="D105" s="2" t="s">
        <v>457</v>
      </c>
      <c r="E105" s="2" t="s">
        <v>87</v>
      </c>
      <c r="F105" s="132">
        <v>1457000</v>
      </c>
      <c r="G105" s="132"/>
      <c r="H105" s="132">
        <f>5188.75+180131.71</f>
        <v>185320.46</v>
      </c>
      <c r="I105" s="132"/>
      <c r="J105" s="132">
        <f>26931.73+158388.73</f>
        <v>185320.46000000002</v>
      </c>
      <c r="K105" s="132">
        <f t="shared" si="20"/>
        <v>1271679.54</v>
      </c>
      <c r="L105" s="132">
        <f t="shared" si="16"/>
        <v>0</v>
      </c>
      <c r="M105" s="133">
        <v>0</v>
      </c>
      <c r="N105" s="133">
        <f t="shared" si="19"/>
        <v>-2.9103830456733704E-11</v>
      </c>
      <c r="O105" s="134">
        <v>0</v>
      </c>
      <c r="P105" s="133"/>
      <c r="Q105" s="2" t="s">
        <v>458</v>
      </c>
      <c r="R105" s="156">
        <f t="shared" si="18"/>
        <v>0</v>
      </c>
      <c r="S105" s="156">
        <f t="shared" si="17"/>
        <v>0</v>
      </c>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56">
        <v>0</v>
      </c>
      <c r="AT105" s="156">
        <v>0</v>
      </c>
      <c r="AU105" s="156">
        <f>IF(H105&lt;50000,0,IF(AT105&gt;0,(H105/1.18-AT105-H105/100*0.8)*0.1,(H105/1.18-H105/1.18/100*5.4-H105/100*0.8)*0.1))</f>
        <v>14708.79067945763</v>
      </c>
      <c r="AV105" s="142"/>
      <c r="AW105" s="142"/>
      <c r="AX105" s="142"/>
      <c r="AY105" s="142"/>
      <c r="AZ105" s="142"/>
      <c r="BA105" s="142"/>
      <c r="BB105" s="142"/>
      <c r="BC105" s="142"/>
      <c r="BD105" s="142"/>
      <c r="BE105" s="142"/>
      <c r="BF105" s="142"/>
      <c r="BG105" s="142"/>
      <c r="BH105" s="142"/>
      <c r="BI105" s="2" t="s">
        <v>11</v>
      </c>
      <c r="BJ105" s="136">
        <v>44925</v>
      </c>
      <c r="BK105" s="2" t="s">
        <v>109</v>
      </c>
      <c r="BL105" s="136" t="s">
        <v>18</v>
      </c>
      <c r="BM105" s="136">
        <v>44641</v>
      </c>
      <c r="BN105" s="2" t="s">
        <v>1561</v>
      </c>
      <c r="BO105" s="2"/>
      <c r="BP105" s="136"/>
      <c r="BQ105" s="137"/>
      <c r="BR105" s="138"/>
    </row>
    <row r="106" spans="1:70" ht="12.75" customHeight="1" x14ac:dyDescent="0.2">
      <c r="A106" s="2">
        <v>1595</v>
      </c>
      <c r="B106" s="2" t="s">
        <v>31</v>
      </c>
      <c r="C106" s="2" t="s">
        <v>32</v>
      </c>
      <c r="D106" s="2" t="s">
        <v>373</v>
      </c>
      <c r="E106" s="2" t="s">
        <v>71</v>
      </c>
      <c r="F106" s="132">
        <v>880000</v>
      </c>
      <c r="G106" s="132"/>
      <c r="H106" s="132">
        <f>305700+130000+639767+29617+N("29617 პროექტირებაა")</f>
        <v>1105084</v>
      </c>
      <c r="I106" s="132">
        <f>H106-29617</f>
        <v>1075467</v>
      </c>
      <c r="J106" s="132">
        <f>46632.2+19830.51+97591.58+4517.847+AS106+4648.576+N("გადმოვიდა ჩუმლაყის (1.1.5) ერთ-ერთი გადახდილი დღგ")+30236.24+N("გადმოვიდა წერილით 1.1.5-დან")+384.83+N("ეს გადმოვიდა 1.1.7-დან მარინას ბრძანებით!")+532004.93</f>
        <v>1105084.003</v>
      </c>
      <c r="K106" s="132">
        <f t="shared" si="20"/>
        <v>-225084.00300000003</v>
      </c>
      <c r="L106" s="132">
        <f t="shared" si="16"/>
        <v>-3.0000000260770321E-3</v>
      </c>
      <c r="M106" s="133">
        <v>16687</v>
      </c>
      <c r="N106" s="133">
        <f t="shared" si="19"/>
        <v>-3.0000000260770321E-3</v>
      </c>
      <c r="O106" s="134">
        <v>0</v>
      </c>
      <c r="P106" s="133"/>
      <c r="Q106" s="2" t="s">
        <v>374</v>
      </c>
      <c r="R106" s="156">
        <f t="shared" si="18"/>
        <v>0</v>
      </c>
      <c r="S106" s="156">
        <f t="shared" si="17"/>
        <v>0</v>
      </c>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54">
        <f>259067.8+110169.49</f>
        <v>369237.29</v>
      </c>
      <c r="AT106" s="154">
        <f>11757.42+4366.03</f>
        <v>16123.45</v>
      </c>
      <c r="AU106" s="153">
        <v>0</v>
      </c>
      <c r="AV106" s="140">
        <v>0</v>
      </c>
      <c r="AW106" s="140">
        <v>0</v>
      </c>
      <c r="AX106" s="135">
        <f>(I106/1.18-AT106-AW106)*0.1</f>
        <v>89528.926186440687</v>
      </c>
      <c r="AY106" s="135"/>
      <c r="AZ106" s="135"/>
      <c r="BA106" s="135"/>
      <c r="BB106" s="135"/>
      <c r="BC106" s="135"/>
      <c r="BD106" s="135"/>
      <c r="BE106" s="135">
        <f>(I106/1.18-AT106-AW106-AZ106-BD106)*0.1-AU106-AX106-BA106-BB106</f>
        <v>0</v>
      </c>
      <c r="BF106" s="135"/>
      <c r="BG106" s="135"/>
      <c r="BH106" s="135"/>
      <c r="BI106" s="2" t="s">
        <v>10</v>
      </c>
      <c r="BJ106" s="136">
        <v>44978</v>
      </c>
      <c r="BK106" s="2" t="s">
        <v>109</v>
      </c>
      <c r="BL106" s="136" t="s">
        <v>113</v>
      </c>
      <c r="BM106" s="136">
        <v>44680</v>
      </c>
      <c r="BN106" s="2" t="s">
        <v>1587</v>
      </c>
      <c r="BO106" s="2"/>
      <c r="BP106" s="136" t="s">
        <v>696</v>
      </c>
      <c r="BQ106" s="137" t="s">
        <v>119</v>
      </c>
      <c r="BR106" s="138"/>
    </row>
    <row r="107" spans="1:70" ht="12.75" customHeight="1" x14ac:dyDescent="0.2">
      <c r="A107" s="2">
        <v>1594</v>
      </c>
      <c r="B107" s="2" t="s">
        <v>54</v>
      </c>
      <c r="C107" s="2" t="s">
        <v>4</v>
      </c>
      <c r="D107" s="2" t="s">
        <v>370</v>
      </c>
      <c r="E107" s="2" t="s">
        <v>71</v>
      </c>
      <c r="F107" s="132">
        <v>98000</v>
      </c>
      <c r="G107" s="132"/>
      <c r="H107" s="132">
        <f>92000+50000+14030</f>
        <v>156030</v>
      </c>
      <c r="I107" s="132">
        <v>156030</v>
      </c>
      <c r="J107" s="132">
        <f>14033.9+7627.19+AS107+14030+N("გადმოვიდა წერილით 1.1.5-დან")</f>
        <v>156030.07</v>
      </c>
      <c r="K107" s="132">
        <f t="shared" si="20"/>
        <v>-58030.070000000007</v>
      </c>
      <c r="L107" s="132">
        <f t="shared" si="16"/>
        <v>-7.0000000006984919E-2</v>
      </c>
      <c r="M107" s="133">
        <v>1702</v>
      </c>
      <c r="N107" s="133">
        <f t="shared" si="19"/>
        <v>-7.0000000006984919E-2</v>
      </c>
      <c r="O107" s="134">
        <v>0</v>
      </c>
      <c r="P107" s="133"/>
      <c r="Q107" s="2" t="s">
        <v>371</v>
      </c>
      <c r="R107" s="156">
        <f t="shared" si="18"/>
        <v>0</v>
      </c>
      <c r="S107" s="156">
        <f t="shared" si="17"/>
        <v>0</v>
      </c>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53">
        <f>77966.1+42372.88</f>
        <v>120338.98000000001</v>
      </c>
      <c r="AT107" s="153">
        <v>5461.41</v>
      </c>
      <c r="AU107" s="156">
        <f>IF(H107&lt;50000,0,IF(AT107&gt;0,(H107/1.18-AT107-H107/100*0.8)*0.1,(H107/1.18-H107/1.18/100*5.4-H107/100*0.8)*0.1))</f>
        <v>12551.916355932204</v>
      </c>
      <c r="AV107" s="142"/>
      <c r="AW107" s="142"/>
      <c r="AX107" s="142"/>
      <c r="AY107" s="142"/>
      <c r="AZ107" s="142"/>
      <c r="BA107" s="142"/>
      <c r="BB107" s="142"/>
      <c r="BC107" s="142"/>
      <c r="BD107" s="142"/>
      <c r="BE107" s="135">
        <v>0</v>
      </c>
      <c r="BF107" s="135"/>
      <c r="BG107" s="142"/>
      <c r="BH107" s="142"/>
      <c r="BI107" s="2" t="s">
        <v>11</v>
      </c>
      <c r="BJ107" s="136">
        <v>44925</v>
      </c>
      <c r="BK107" s="2" t="s">
        <v>109</v>
      </c>
      <c r="BL107" s="136" t="s">
        <v>113</v>
      </c>
      <c r="BM107" s="136">
        <v>44680</v>
      </c>
      <c r="BN107" s="2" t="s">
        <v>1586</v>
      </c>
      <c r="BO107" s="2"/>
      <c r="BP107" s="136"/>
      <c r="BQ107" s="137" t="s">
        <v>119</v>
      </c>
      <c r="BR107" s="138"/>
    </row>
    <row r="108" spans="1:70" ht="12.75" customHeight="1" x14ac:dyDescent="0.2">
      <c r="A108" s="2">
        <v>1597</v>
      </c>
      <c r="B108" s="2" t="s">
        <v>31</v>
      </c>
      <c r="C108" s="2" t="s">
        <v>32</v>
      </c>
      <c r="D108" s="2" t="s">
        <v>379</v>
      </c>
      <c r="E108" s="2" t="s">
        <v>71</v>
      </c>
      <c r="F108" s="132">
        <v>77000</v>
      </c>
      <c r="G108" s="132"/>
      <c r="H108" s="132">
        <f>35000+49923</f>
        <v>84923</v>
      </c>
      <c r="I108" s="132">
        <f>H108</f>
        <v>84923</v>
      </c>
      <c r="J108" s="132">
        <f>5338.98+7615.37+AS108+42307.63</f>
        <v>84923</v>
      </c>
      <c r="K108" s="132">
        <f t="shared" si="20"/>
        <v>-7923</v>
      </c>
      <c r="L108" s="132">
        <f t="shared" si="16"/>
        <v>0</v>
      </c>
      <c r="M108" s="133">
        <v>1246</v>
      </c>
      <c r="N108" s="133">
        <f t="shared" si="19"/>
        <v>0</v>
      </c>
      <c r="O108" s="134">
        <v>0</v>
      </c>
      <c r="P108" s="133"/>
      <c r="Q108" s="2" t="s">
        <v>378</v>
      </c>
      <c r="R108" s="156">
        <f t="shared" si="18"/>
        <v>0</v>
      </c>
      <c r="S108" s="156">
        <f t="shared" si="17"/>
        <v>0</v>
      </c>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54">
        <v>29661.02</v>
      </c>
      <c r="AT108" s="153">
        <v>0</v>
      </c>
      <c r="AU108" s="153">
        <v>0</v>
      </c>
      <c r="AV108" s="140">
        <v>0</v>
      </c>
      <c r="AW108" s="140">
        <v>0</v>
      </c>
      <c r="AX108" s="135">
        <f>(I108/1.18-AT108-AW108)*0.1</f>
        <v>7196.8644067796622</v>
      </c>
      <c r="AY108" s="135"/>
      <c r="AZ108" s="135"/>
      <c r="BA108" s="135"/>
      <c r="BB108" s="135"/>
      <c r="BC108" s="135"/>
      <c r="BD108" s="135"/>
      <c r="BE108" s="135">
        <f>(H108/1.18-AT108-AW108-AZ108-BD108)*0.1-AU108-AX108-BA108-BB108</f>
        <v>0</v>
      </c>
      <c r="BF108" s="135"/>
      <c r="BG108" s="135"/>
      <c r="BH108" s="135"/>
      <c r="BI108" s="2" t="s">
        <v>11</v>
      </c>
      <c r="BJ108" s="136">
        <v>44978</v>
      </c>
      <c r="BK108" s="2" t="s">
        <v>109</v>
      </c>
      <c r="BL108" s="136" t="s">
        <v>113</v>
      </c>
      <c r="BM108" s="136">
        <v>44680</v>
      </c>
      <c r="BN108" s="2" t="s">
        <v>1589</v>
      </c>
      <c r="BO108" s="2"/>
      <c r="BP108" s="136"/>
      <c r="BQ108" s="137" t="s">
        <v>119</v>
      </c>
      <c r="BR108" s="138"/>
    </row>
    <row r="109" spans="1:70" ht="12.75" customHeight="1" x14ac:dyDescent="0.2">
      <c r="A109" s="2">
        <v>1598</v>
      </c>
      <c r="B109" s="2" t="s">
        <v>31</v>
      </c>
      <c r="C109" s="2" t="s">
        <v>33</v>
      </c>
      <c r="D109" s="2" t="s">
        <v>548</v>
      </c>
      <c r="E109" s="2" t="s">
        <v>71</v>
      </c>
      <c r="F109" s="132">
        <v>76000</v>
      </c>
      <c r="G109" s="132"/>
      <c r="H109" s="132">
        <f>18400+31800+2940+N("პროექტი")+9000+22000+13000+8153+5960+1768</f>
        <v>113021</v>
      </c>
      <c r="I109" s="132">
        <f>H109-2940</f>
        <v>110081</v>
      </c>
      <c r="J109" s="132">
        <f>2806.78+4850.85+448.47+1372.88+3355.93+1983.05+1243.677+909.1525+269.694+14113+N("გადმოვიდა წერილით 1.1.5-დან")+AS109-384.83+N("ეს გადავიდა 1.1.4-ზე მარინას ბრძანებით!")-269.69+N("გადავიდა 1.1.11-ზე")</f>
        <v>113021.00349999999</v>
      </c>
      <c r="K109" s="132">
        <f t="shared" si="20"/>
        <v>-37021.003499999992</v>
      </c>
      <c r="L109" s="132">
        <f t="shared" si="16"/>
        <v>-3.4999999916180968E-3</v>
      </c>
      <c r="M109" s="133">
        <f>1013+653</f>
        <v>1666</v>
      </c>
      <c r="N109" s="133">
        <f t="shared" si="19"/>
        <v>-3.4999999916180968E-3</v>
      </c>
      <c r="O109" s="134">
        <v>0</v>
      </c>
      <c r="P109" s="133"/>
      <c r="Q109" s="2" t="s">
        <v>523</v>
      </c>
      <c r="R109" s="156">
        <f t="shared" si="18"/>
        <v>0</v>
      </c>
      <c r="S109" s="156">
        <f t="shared" si="17"/>
        <v>0</v>
      </c>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54">
        <f>2491.53+15593.22+26949.15+18644.07+7627.12+11016.95</f>
        <v>82322.039999999994</v>
      </c>
      <c r="AT109" s="153">
        <v>0</v>
      </c>
      <c r="AU109" s="153">
        <v>0</v>
      </c>
      <c r="AV109" s="135"/>
      <c r="AW109" s="135"/>
      <c r="AX109" s="135">
        <f>(I109/1.18-AT109-AW109)*0.1</f>
        <v>9328.8983050847473</v>
      </c>
      <c r="AY109" s="135"/>
      <c r="AZ109" s="135"/>
      <c r="BA109" s="135"/>
      <c r="BB109" s="135"/>
      <c r="BC109" s="135"/>
      <c r="BD109" s="135"/>
      <c r="BE109" s="135">
        <f>(I109/1.18-AT109-AW109-AZ109-BD109)*0.1-AU109-AX109-BA109-BB109</f>
        <v>0</v>
      </c>
      <c r="BF109" s="135"/>
      <c r="BG109" s="135"/>
      <c r="BH109" s="135"/>
      <c r="BI109" s="2" t="s">
        <v>11</v>
      </c>
      <c r="BJ109" s="136">
        <v>44978</v>
      </c>
      <c r="BK109" s="2" t="s">
        <v>109</v>
      </c>
      <c r="BL109" s="136" t="s">
        <v>113</v>
      </c>
      <c r="BM109" s="136">
        <v>44680</v>
      </c>
      <c r="BN109" s="2" t="s">
        <v>1590</v>
      </c>
      <c r="BO109" s="2"/>
      <c r="BP109" s="136"/>
      <c r="BQ109" s="137" t="s">
        <v>119</v>
      </c>
      <c r="BR109" s="138"/>
    </row>
    <row r="110" spans="1:70" ht="12.75" customHeight="1" x14ac:dyDescent="0.2">
      <c r="A110" s="2">
        <v>1599</v>
      </c>
      <c r="B110" s="2" t="s">
        <v>31</v>
      </c>
      <c r="C110" s="2" t="s">
        <v>35</v>
      </c>
      <c r="D110" s="2" t="s">
        <v>383</v>
      </c>
      <c r="E110" s="2" t="s">
        <v>71</v>
      </c>
      <c r="F110" s="132">
        <v>140000</v>
      </c>
      <c r="G110" s="132"/>
      <c r="H110" s="132">
        <f>3081.75+73100</f>
        <v>76181.75</v>
      </c>
      <c r="I110" s="132">
        <f>H110</f>
        <v>76181.75</v>
      </c>
      <c r="J110" s="132">
        <f>470.097+11150.847+10521+N("გადმოვიდა წერილით 1.1.5-დან")+54039.81</f>
        <v>76181.754000000001</v>
      </c>
      <c r="K110" s="132">
        <f t="shared" si="20"/>
        <v>63818.245999999999</v>
      </c>
      <c r="L110" s="132">
        <f t="shared" si="16"/>
        <v>-4.0000000008149073E-3</v>
      </c>
      <c r="M110" s="133">
        <v>1663</v>
      </c>
      <c r="N110" s="133">
        <f t="shared" si="19"/>
        <v>-4.0000000008149073E-3</v>
      </c>
      <c r="O110" s="134">
        <v>0</v>
      </c>
      <c r="P110" s="133"/>
      <c r="Q110" s="2" t="s">
        <v>384</v>
      </c>
      <c r="R110" s="156">
        <f t="shared" si="18"/>
        <v>0</v>
      </c>
      <c r="S110" s="156">
        <f t="shared" si="17"/>
        <v>0</v>
      </c>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53">
        <v>0</v>
      </c>
      <c r="AT110" s="153">
        <v>0</v>
      </c>
      <c r="AU110" s="153">
        <v>0</v>
      </c>
      <c r="AV110" s="135">
        <v>0</v>
      </c>
      <c r="AW110" s="135">
        <v>0</v>
      </c>
      <c r="AX110" s="135">
        <f>(I110/1.18-AT110-AW110)*0.1</f>
        <v>6456.0805084745771</v>
      </c>
      <c r="AY110" s="135"/>
      <c r="AZ110" s="135"/>
      <c r="BA110" s="135"/>
      <c r="BB110" s="135"/>
      <c r="BC110" s="135"/>
      <c r="BD110" s="135"/>
      <c r="BE110" s="135">
        <f>(I110/1.18-AT110-AW110-AZ110-BD110)*0.1-AU110-AX110-BA110-BB110</f>
        <v>0</v>
      </c>
      <c r="BF110" s="135"/>
      <c r="BG110" s="135"/>
      <c r="BH110" s="135"/>
      <c r="BI110" s="2" t="s">
        <v>11</v>
      </c>
      <c r="BJ110" s="136">
        <v>44978</v>
      </c>
      <c r="BK110" s="2" t="s">
        <v>109</v>
      </c>
      <c r="BL110" s="136" t="s">
        <v>113</v>
      </c>
      <c r="BM110" s="136">
        <v>44680</v>
      </c>
      <c r="BN110" s="2" t="s">
        <v>1591</v>
      </c>
      <c r="BO110" s="2"/>
      <c r="BP110" s="136" t="s">
        <v>695</v>
      </c>
      <c r="BQ110" s="137" t="s">
        <v>119</v>
      </c>
      <c r="BR110" s="138"/>
    </row>
    <row r="111" spans="1:70" ht="12.75" customHeight="1" x14ac:dyDescent="0.2">
      <c r="A111" s="2">
        <v>1522</v>
      </c>
      <c r="B111" s="2" t="s">
        <v>39</v>
      </c>
      <c r="C111" s="2" t="s">
        <v>74</v>
      </c>
      <c r="D111" s="2" t="s">
        <v>195</v>
      </c>
      <c r="E111" s="2" t="s">
        <v>90</v>
      </c>
      <c r="F111" s="132">
        <v>189119</v>
      </c>
      <c r="G111" s="132"/>
      <c r="H111" s="132">
        <v>135842</v>
      </c>
      <c r="I111" s="132"/>
      <c r="J111" s="132">
        <f>20721.66+150000-34879.66</f>
        <v>135842</v>
      </c>
      <c r="K111" s="132">
        <f t="shared" si="20"/>
        <v>53277</v>
      </c>
      <c r="L111" s="132">
        <f t="shared" si="16"/>
        <v>0</v>
      </c>
      <c r="M111" s="133">
        <f>2870-349</f>
        <v>2521</v>
      </c>
      <c r="N111" s="133">
        <f t="shared" ref="N111:N142" si="21">IF(OR(BK111="принят",BK111="Завершено",BK111="ПриПро"),H111-J111,F111-J111)</f>
        <v>0</v>
      </c>
      <c r="O111" s="134">
        <v>0</v>
      </c>
      <c r="P111" s="133"/>
      <c r="Q111" s="2" t="s">
        <v>152</v>
      </c>
      <c r="R111" s="156">
        <f t="shared" si="18"/>
        <v>0</v>
      </c>
      <c r="S111" s="156">
        <f t="shared" si="17"/>
        <v>0</v>
      </c>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53">
        <v>0</v>
      </c>
      <c r="AT111" s="153">
        <v>0</v>
      </c>
      <c r="AU111" s="156">
        <f>IF(H111&lt;50000,0,IF(AT111&gt;0,(H111/1.18-AT111-H111/100*0.8)*0.1,(H111/1.18-H111/1.18/100*5.4-H111/100*0.8)*0.1))</f>
        <v>10781.710467796611</v>
      </c>
      <c r="AV111" s="142"/>
      <c r="AW111" s="142"/>
      <c r="AX111" s="142"/>
      <c r="AY111" s="142"/>
      <c r="AZ111" s="142"/>
      <c r="BA111" s="142"/>
      <c r="BB111" s="142"/>
      <c r="BC111" s="142"/>
      <c r="BD111" s="142"/>
      <c r="BE111" s="142"/>
      <c r="BF111" s="142"/>
      <c r="BG111" s="142"/>
      <c r="BH111" s="142"/>
      <c r="BI111" s="2" t="s">
        <v>11</v>
      </c>
      <c r="BJ111" s="136">
        <v>44651</v>
      </c>
      <c r="BK111" s="2" t="s">
        <v>109</v>
      </c>
      <c r="BL111" s="136" t="s">
        <v>18</v>
      </c>
      <c r="BM111" s="136">
        <v>44630</v>
      </c>
      <c r="BN111" s="2" t="s">
        <v>190</v>
      </c>
      <c r="BO111" s="2" t="s">
        <v>181</v>
      </c>
      <c r="BP111" s="136"/>
      <c r="BQ111" s="137" t="s">
        <v>119</v>
      </c>
      <c r="BR111" s="138"/>
    </row>
    <row r="112" spans="1:70" ht="12.75" customHeight="1" x14ac:dyDescent="0.2">
      <c r="A112" s="2">
        <v>1601</v>
      </c>
      <c r="B112" s="2" t="s">
        <v>31</v>
      </c>
      <c r="C112" s="2" t="s">
        <v>35</v>
      </c>
      <c r="D112" s="2" t="s">
        <v>390</v>
      </c>
      <c r="E112" s="2" t="s">
        <v>71</v>
      </c>
      <c r="F112" s="132">
        <v>150000</v>
      </c>
      <c r="G112" s="132"/>
      <c r="H112" s="132">
        <f>2723+N("პროექტი")+113668</f>
        <v>116391</v>
      </c>
      <c r="I112" s="132">
        <f>H112-2723</f>
        <v>113668</v>
      </c>
      <c r="J112" s="132">
        <f>415.37+17339.19+98636.44</f>
        <v>116391</v>
      </c>
      <c r="K112" s="132">
        <f t="shared" si="20"/>
        <v>33609</v>
      </c>
      <c r="L112" s="132">
        <f t="shared" si="16"/>
        <v>0</v>
      </c>
      <c r="M112" s="133">
        <v>1468</v>
      </c>
      <c r="N112" s="133">
        <f t="shared" si="21"/>
        <v>0</v>
      </c>
      <c r="O112" s="134">
        <v>0</v>
      </c>
      <c r="P112" s="133"/>
      <c r="Q112" s="2" t="s">
        <v>389</v>
      </c>
      <c r="R112" s="156">
        <f t="shared" si="18"/>
        <v>0</v>
      </c>
      <c r="S112" s="156">
        <f t="shared" si="17"/>
        <v>0</v>
      </c>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54">
        <v>0</v>
      </c>
      <c r="AT112" s="154">
        <v>0</v>
      </c>
      <c r="AU112" s="153">
        <v>0</v>
      </c>
      <c r="AV112" s="140">
        <v>0</v>
      </c>
      <c r="AW112" s="140">
        <v>0</v>
      </c>
      <c r="AX112" s="135">
        <f>(I112/1.18-AT112-AW112)*0.1</f>
        <v>9632.8813559322043</v>
      </c>
      <c r="AY112" s="135"/>
      <c r="AZ112" s="135"/>
      <c r="BA112" s="135"/>
      <c r="BB112" s="135"/>
      <c r="BC112" s="135"/>
      <c r="BD112" s="135"/>
      <c r="BE112" s="135">
        <f>(I112/1.18-AT112-AW112-AZ112-BD112)*0.1-AU112-AX112-BA112-BB112</f>
        <v>0</v>
      </c>
      <c r="BF112" s="135"/>
      <c r="BG112" s="135"/>
      <c r="BH112" s="135"/>
      <c r="BI112" s="2" t="s">
        <v>11</v>
      </c>
      <c r="BJ112" s="136">
        <v>44978</v>
      </c>
      <c r="BK112" s="2" t="s">
        <v>109</v>
      </c>
      <c r="BL112" s="136" t="s">
        <v>113</v>
      </c>
      <c r="BM112" s="136">
        <v>44680</v>
      </c>
      <c r="BN112" s="2" t="s">
        <v>1580</v>
      </c>
      <c r="BO112" s="2"/>
      <c r="BP112" s="136" t="s">
        <v>695</v>
      </c>
      <c r="BQ112" s="137" t="s">
        <v>119</v>
      </c>
      <c r="BR112" s="138"/>
    </row>
    <row r="113" spans="1:70" ht="12.75" customHeight="1" x14ac:dyDescent="0.2">
      <c r="A113" s="2">
        <v>1602</v>
      </c>
      <c r="B113" s="2" t="s">
        <v>31</v>
      </c>
      <c r="C113" s="2" t="s">
        <v>35</v>
      </c>
      <c r="D113" s="2" t="s">
        <v>392</v>
      </c>
      <c r="E113" s="2" t="s">
        <v>71</v>
      </c>
      <c r="F113" s="132">
        <v>60000</v>
      </c>
      <c r="G113" s="132"/>
      <c r="H113" s="132">
        <f>15000+10559+3710</f>
        <v>29269</v>
      </c>
      <c r="I113" s="132">
        <f>H113</f>
        <v>29269</v>
      </c>
      <c r="J113" s="132">
        <f>2288.14+1610.69+AS113+10559+N("გადმოვიდა წერილით 1.1.5-დან")+269.69+N("გადმოვიდა 1.1.7-დან")+1829.62</f>
        <v>29269</v>
      </c>
      <c r="K113" s="132">
        <f t="shared" si="20"/>
        <v>30731</v>
      </c>
      <c r="L113" s="132">
        <f t="shared" si="16"/>
        <v>0</v>
      </c>
      <c r="M113" s="133">
        <v>588</v>
      </c>
      <c r="N113" s="133">
        <f t="shared" si="21"/>
        <v>0</v>
      </c>
      <c r="O113" s="134">
        <v>0</v>
      </c>
      <c r="P113" s="133"/>
      <c r="Q113" s="2" t="s">
        <v>393</v>
      </c>
      <c r="R113" s="156">
        <f t="shared" si="18"/>
        <v>0</v>
      </c>
      <c r="S113" s="156">
        <f t="shared" si="17"/>
        <v>0</v>
      </c>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53">
        <v>12711.86</v>
      </c>
      <c r="AT113" s="153">
        <v>503.77</v>
      </c>
      <c r="AU113" s="153">
        <v>0</v>
      </c>
      <c r="AV113" s="135"/>
      <c r="AW113" s="135"/>
      <c r="AX113" s="135">
        <f>(I113/1.18-AT113-AW113)*0.1</f>
        <v>2430.0467288135596</v>
      </c>
      <c r="AY113" s="135"/>
      <c r="AZ113" s="135"/>
      <c r="BA113" s="135"/>
      <c r="BB113" s="135"/>
      <c r="BC113" s="135"/>
      <c r="BD113" s="135"/>
      <c r="BE113" s="135">
        <f>(I113/1.18-AT113-AW113-AZ113-BD113)*0.1-AU113-AX113-BA113-BB113</f>
        <v>0</v>
      </c>
      <c r="BF113" s="135"/>
      <c r="BG113" s="135"/>
      <c r="BH113" s="135"/>
      <c r="BI113" s="2" t="s">
        <v>11</v>
      </c>
      <c r="BJ113" s="136">
        <v>45015</v>
      </c>
      <c r="BK113" s="2" t="s">
        <v>8</v>
      </c>
      <c r="BL113" s="136" t="s">
        <v>113</v>
      </c>
      <c r="BM113" s="136">
        <v>44680</v>
      </c>
      <c r="BN113" s="2" t="s">
        <v>1581</v>
      </c>
      <c r="BO113" s="2"/>
      <c r="BP113" s="136" t="s">
        <v>692</v>
      </c>
      <c r="BQ113" s="137" t="s">
        <v>119</v>
      </c>
      <c r="BR113" s="138"/>
    </row>
    <row r="114" spans="1:70" ht="12.75" customHeight="1" x14ac:dyDescent="0.2">
      <c r="A114" s="2">
        <v>1603</v>
      </c>
      <c r="B114" s="2" t="s">
        <v>31</v>
      </c>
      <c r="C114" s="2" t="s">
        <v>35</v>
      </c>
      <c r="D114" s="2" t="s">
        <v>396</v>
      </c>
      <c r="E114" s="2" t="s">
        <v>71</v>
      </c>
      <c r="F114" s="132">
        <v>84000</v>
      </c>
      <c r="G114" s="132"/>
      <c r="H114" s="132">
        <f>3664.5+N("პროექტი")+160000+28334</f>
        <v>191998.5</v>
      </c>
      <c r="I114" s="132">
        <f>H114-3664.5</f>
        <v>188334</v>
      </c>
      <c r="J114" s="132">
        <f>559+AS114+24406.78+4322.14+24011.86</f>
        <v>191998.51</v>
      </c>
      <c r="K114" s="132">
        <f t="shared" si="20"/>
        <v>-107998.51000000001</v>
      </c>
      <c r="L114" s="132">
        <f t="shared" si="16"/>
        <v>-1.0000000009313226E-2</v>
      </c>
      <c r="M114" s="133">
        <v>2014</v>
      </c>
      <c r="N114" s="133">
        <f t="shared" si="21"/>
        <v>-1.0000000009313226E-2</v>
      </c>
      <c r="O114" s="134">
        <v>0</v>
      </c>
      <c r="P114" s="133"/>
      <c r="Q114" s="2" t="s">
        <v>395</v>
      </c>
      <c r="R114" s="156">
        <f t="shared" si="18"/>
        <v>0</v>
      </c>
      <c r="S114" s="156">
        <f t="shared" si="17"/>
        <v>0</v>
      </c>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53">
        <f>3105.51+N("project")+135593.22</f>
        <v>138698.73000000001</v>
      </c>
      <c r="AT114" s="153">
        <f>140.94+N("Project")+16813.56</f>
        <v>16954.5</v>
      </c>
      <c r="AU114" s="153">
        <v>0</v>
      </c>
      <c r="AV114" s="135"/>
      <c r="AW114" s="135"/>
      <c r="AX114" s="135">
        <f>(I114/1.18-AT114-AW114)*0.1</f>
        <v>14265.058474576274</v>
      </c>
      <c r="AY114" s="135"/>
      <c r="AZ114" s="135"/>
      <c r="BA114" s="135"/>
      <c r="BB114" s="135"/>
      <c r="BC114" s="135"/>
      <c r="BD114" s="135"/>
      <c r="BE114" s="135">
        <f>(I114/1.18-AT114-AW114-AZ114-BD114)*0.1-AU114-AX114-BA114-BB114</f>
        <v>0</v>
      </c>
      <c r="BF114" s="135"/>
      <c r="BG114" s="135"/>
      <c r="BH114" s="135"/>
      <c r="BI114" s="2" t="s">
        <v>11</v>
      </c>
      <c r="BJ114" s="136">
        <v>45135</v>
      </c>
      <c r="BK114" s="2" t="s">
        <v>8</v>
      </c>
      <c r="BL114" s="136" t="s">
        <v>113</v>
      </c>
      <c r="BM114" s="136">
        <v>44680</v>
      </c>
      <c r="BN114" s="2" t="s">
        <v>1582</v>
      </c>
      <c r="BO114" s="2"/>
      <c r="BP114" s="136" t="s">
        <v>681</v>
      </c>
      <c r="BQ114" s="137" t="s">
        <v>119</v>
      </c>
      <c r="BR114" s="138"/>
    </row>
    <row r="115" spans="1:70" ht="12.75" customHeight="1" x14ac:dyDescent="0.2">
      <c r="A115" s="2">
        <v>1604</v>
      </c>
      <c r="B115" s="2" t="s">
        <v>31</v>
      </c>
      <c r="C115" s="2" t="s">
        <v>35</v>
      </c>
      <c r="D115" s="2" t="s">
        <v>398</v>
      </c>
      <c r="E115" s="2" t="s">
        <v>71</v>
      </c>
      <c r="F115" s="132">
        <v>45000</v>
      </c>
      <c r="G115" s="132"/>
      <c r="H115" s="132">
        <f>20000+23706</f>
        <v>43706</v>
      </c>
      <c r="I115" s="132">
        <f>H115</f>
        <v>43706</v>
      </c>
      <c r="J115" s="132">
        <f>3050.85+3616.169+AS115+20089.831</f>
        <v>43706</v>
      </c>
      <c r="K115" s="132">
        <f t="shared" si="20"/>
        <v>1294</v>
      </c>
      <c r="L115" s="132">
        <f t="shared" si="16"/>
        <v>0</v>
      </c>
      <c r="M115" s="133">
        <v>994</v>
      </c>
      <c r="N115" s="133">
        <f t="shared" si="21"/>
        <v>0</v>
      </c>
      <c r="O115" s="134">
        <v>0</v>
      </c>
      <c r="P115" s="133"/>
      <c r="Q115" s="2" t="s">
        <v>399</v>
      </c>
      <c r="R115" s="156">
        <f t="shared" si="18"/>
        <v>0</v>
      </c>
      <c r="S115" s="156">
        <f t="shared" si="17"/>
        <v>0</v>
      </c>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54">
        <v>16949.150000000001</v>
      </c>
      <c r="AT115" s="153">
        <v>0</v>
      </c>
      <c r="AU115" s="153">
        <v>0</v>
      </c>
      <c r="AV115" s="140">
        <v>0</v>
      </c>
      <c r="AW115" s="140">
        <v>0</v>
      </c>
      <c r="AX115" s="135">
        <f>(I115/1.18-AT115-AW115)*0.1</f>
        <v>3703.8983050847464</v>
      </c>
      <c r="AY115" s="135"/>
      <c r="AZ115" s="135"/>
      <c r="BA115" s="135"/>
      <c r="BB115" s="135"/>
      <c r="BC115" s="135"/>
      <c r="BD115" s="135"/>
      <c r="BE115" s="135">
        <f>(I115/1.18-AT115-AW115-AZ115-BD115)*0.1-AU115-AX115-BA115-BB115</f>
        <v>0</v>
      </c>
      <c r="BF115" s="135"/>
      <c r="BG115" s="135"/>
      <c r="BH115" s="135"/>
      <c r="BI115" s="2" t="s">
        <v>11</v>
      </c>
      <c r="BJ115" s="136">
        <v>44985</v>
      </c>
      <c r="BK115" s="2" t="s">
        <v>8</v>
      </c>
      <c r="BL115" s="136" t="s">
        <v>113</v>
      </c>
      <c r="BM115" s="136">
        <v>44680</v>
      </c>
      <c r="BN115" s="2" t="s">
        <v>1583</v>
      </c>
      <c r="BO115" s="2"/>
      <c r="BP115" s="136"/>
      <c r="BQ115" s="137" t="s">
        <v>119</v>
      </c>
      <c r="BR115" s="138"/>
    </row>
    <row r="116" spans="1:70" ht="12.75" customHeight="1" x14ac:dyDescent="0.2">
      <c r="A116" s="2">
        <v>1605</v>
      </c>
      <c r="B116" s="2" t="s">
        <v>44</v>
      </c>
      <c r="C116" s="2" t="s">
        <v>47</v>
      </c>
      <c r="D116" s="2" t="s">
        <v>401</v>
      </c>
      <c r="E116" s="2" t="s">
        <v>87</v>
      </c>
      <c r="F116" s="132">
        <v>700000</v>
      </c>
      <c r="G116" s="132" t="s">
        <v>3659</v>
      </c>
      <c r="H116" s="132"/>
      <c r="I116" s="132"/>
      <c r="J116" s="132"/>
      <c r="K116" s="132">
        <f t="shared" si="20"/>
        <v>700000</v>
      </c>
      <c r="L116" s="132">
        <f t="shared" si="16"/>
        <v>0</v>
      </c>
      <c r="M116" s="133"/>
      <c r="N116" s="133">
        <f t="shared" si="21"/>
        <v>700000</v>
      </c>
      <c r="O116" s="134" t="s">
        <v>1705</v>
      </c>
      <c r="P116" s="133"/>
      <c r="Q116" s="2" t="s">
        <v>402</v>
      </c>
      <c r="R116" s="156">
        <f t="shared" si="18"/>
        <v>0</v>
      </c>
      <c r="S116" s="156">
        <f t="shared" si="17"/>
        <v>0</v>
      </c>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53">
        <v>0</v>
      </c>
      <c r="AT116" s="153">
        <v>0</v>
      </c>
      <c r="AU116" s="153">
        <v>0</v>
      </c>
      <c r="AV116" s="135"/>
      <c r="AW116" s="135"/>
      <c r="AX116" s="135"/>
      <c r="AY116" s="135"/>
      <c r="AZ116" s="135"/>
      <c r="BA116" s="135"/>
      <c r="BB116" s="135"/>
      <c r="BC116" s="135"/>
      <c r="BD116" s="135"/>
      <c r="BE116" s="135"/>
      <c r="BF116" s="135"/>
      <c r="BG116" s="135"/>
      <c r="BH116" s="135"/>
      <c r="BI116" s="2" t="s">
        <v>11</v>
      </c>
      <c r="BJ116" s="136"/>
      <c r="BK116" s="2">
        <v>0</v>
      </c>
      <c r="BL116" s="136" t="s">
        <v>113</v>
      </c>
      <c r="BM116" s="136">
        <v>44683</v>
      </c>
      <c r="BN116" s="2" t="s">
        <v>1692</v>
      </c>
      <c r="BO116" s="2"/>
      <c r="BP116" s="136"/>
      <c r="BQ116" s="137"/>
      <c r="BR116" s="138"/>
    </row>
    <row r="117" spans="1:70" ht="12.75" customHeight="1" x14ac:dyDescent="0.2">
      <c r="A117" s="2">
        <v>1507</v>
      </c>
      <c r="B117" s="2" t="s">
        <v>54</v>
      </c>
      <c r="C117" s="2" t="s">
        <v>17</v>
      </c>
      <c r="D117" s="2" t="s">
        <v>168</v>
      </c>
      <c r="E117" s="2" t="s">
        <v>71</v>
      </c>
      <c r="F117" s="132">
        <f>102465+22487</f>
        <v>124952</v>
      </c>
      <c r="G117" s="132"/>
      <c r="H117" s="132">
        <v>124952</v>
      </c>
      <c r="I117" s="132"/>
      <c r="J117" s="132">
        <f>19060.47+105891.53</f>
        <v>124952</v>
      </c>
      <c r="K117" s="132">
        <f t="shared" si="20"/>
        <v>0</v>
      </c>
      <c r="L117" s="132">
        <f t="shared" si="16"/>
        <v>0</v>
      </c>
      <c r="M117" s="133">
        <f>3315+756</f>
        <v>4071</v>
      </c>
      <c r="N117" s="133">
        <f t="shared" si="21"/>
        <v>0</v>
      </c>
      <c r="O117" s="134">
        <v>0</v>
      </c>
      <c r="P117" s="133"/>
      <c r="Q117" s="2" t="s">
        <v>152</v>
      </c>
      <c r="R117" s="156">
        <f t="shared" si="18"/>
        <v>0</v>
      </c>
      <c r="S117" s="156">
        <f t="shared" si="17"/>
        <v>0</v>
      </c>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53">
        <v>0</v>
      </c>
      <c r="AT117" s="153">
        <v>0</v>
      </c>
      <c r="AU117" s="156">
        <f>IF(H117&lt;50000,0,IF(AT117&gt;0,(H117/1.18-AT117-H117/100*0.8)*0.1,(H117/1.18-H117/1.18/100*5.4-H117/100*0.8)*0.1))</f>
        <v>9917.3767050847473</v>
      </c>
      <c r="AV117" s="142"/>
      <c r="AW117" s="142"/>
      <c r="AX117" s="142"/>
      <c r="AY117" s="142"/>
      <c r="AZ117" s="142"/>
      <c r="BA117" s="142"/>
      <c r="BB117" s="142"/>
      <c r="BC117" s="142"/>
      <c r="BD117" s="142"/>
      <c r="BE117" s="135">
        <v>0</v>
      </c>
      <c r="BF117" s="135"/>
      <c r="BG117" s="142"/>
      <c r="BH117" s="142"/>
      <c r="BI117" s="2" t="s">
        <v>11</v>
      </c>
      <c r="BJ117" s="136">
        <v>44620</v>
      </c>
      <c r="BK117" s="2" t="s">
        <v>109</v>
      </c>
      <c r="BL117" s="136" t="s">
        <v>113</v>
      </c>
      <c r="BM117" s="136">
        <v>44620</v>
      </c>
      <c r="BN117" s="2" t="s">
        <v>173</v>
      </c>
      <c r="BO117" s="2">
        <v>1494</v>
      </c>
      <c r="BP117" s="136"/>
      <c r="BQ117" s="137" t="s">
        <v>119</v>
      </c>
      <c r="BR117" s="138"/>
    </row>
    <row r="118" spans="1:70" ht="12.75" customHeight="1" x14ac:dyDescent="0.2">
      <c r="A118" s="2">
        <v>1607</v>
      </c>
      <c r="B118" s="2" t="s">
        <v>44</v>
      </c>
      <c r="C118" s="131" t="s">
        <v>52</v>
      </c>
      <c r="D118" s="2" t="s">
        <v>406</v>
      </c>
      <c r="E118" s="2" t="s">
        <v>87</v>
      </c>
      <c r="F118" s="132">
        <v>90000</v>
      </c>
      <c r="G118" s="132">
        <v>2</v>
      </c>
      <c r="H118" s="132">
        <f>1000.3*1.75+104211.69</f>
        <v>105962.215</v>
      </c>
      <c r="I118" s="132">
        <f>H118-(1750.525)</f>
        <v>104211.69</v>
      </c>
      <c r="J118" s="132">
        <f>267.03+105695.185</f>
        <v>105962.215</v>
      </c>
      <c r="K118" s="132">
        <f t="shared" si="20"/>
        <v>-15962.214999999997</v>
      </c>
      <c r="L118" s="132">
        <f t="shared" si="16"/>
        <v>0</v>
      </c>
      <c r="M118" s="133">
        <v>1007.5</v>
      </c>
      <c r="N118" s="133">
        <f t="shared" si="21"/>
        <v>0</v>
      </c>
      <c r="O118" s="134">
        <v>0</v>
      </c>
      <c r="P118" s="133"/>
      <c r="Q118" s="2" t="s">
        <v>405</v>
      </c>
      <c r="R118" s="156">
        <f t="shared" si="18"/>
        <v>0</v>
      </c>
      <c r="S118" s="156">
        <f t="shared" si="17"/>
        <v>0</v>
      </c>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53">
        <v>0</v>
      </c>
      <c r="AT118" s="153">
        <v>0</v>
      </c>
      <c r="AU118" s="153">
        <v>0</v>
      </c>
      <c r="AV118" s="135">
        <v>0</v>
      </c>
      <c r="AW118" s="135">
        <v>0</v>
      </c>
      <c r="AX118" s="135">
        <v>0</v>
      </c>
      <c r="AY118" s="135">
        <v>0</v>
      </c>
      <c r="AZ118" s="135">
        <v>0</v>
      </c>
      <c r="BA118" s="135">
        <v>0</v>
      </c>
      <c r="BB118" s="140">
        <f>(I118/1.18-AT118-AW118-AZ118)*0.1-AU118-AX118-BA118</f>
        <v>8831.4991525423738</v>
      </c>
      <c r="BC118" s="135"/>
      <c r="BD118" s="135"/>
      <c r="BE118" s="135">
        <f>(I118/1.18-AT118-AW118-AZ118-BD118)*0.1-AU118-AX118-BA118-BB118</f>
        <v>0</v>
      </c>
      <c r="BF118" s="135"/>
      <c r="BG118" s="135"/>
      <c r="BH118" s="135"/>
      <c r="BI118" s="2" t="s">
        <v>11</v>
      </c>
      <c r="BJ118" s="136">
        <v>45488</v>
      </c>
      <c r="BK118" s="2" t="s">
        <v>109</v>
      </c>
      <c r="BL118" s="136" t="s">
        <v>113</v>
      </c>
      <c r="BM118" s="136">
        <v>44683</v>
      </c>
      <c r="BN118" s="2" t="s">
        <v>1689</v>
      </c>
      <c r="BO118" s="2"/>
      <c r="BP118" s="136"/>
      <c r="BQ118" s="137" t="s">
        <v>119</v>
      </c>
      <c r="BR118" s="138"/>
    </row>
    <row r="119" spans="1:70" ht="12.75" customHeight="1" x14ac:dyDescent="0.2">
      <c r="A119" s="2">
        <v>1608</v>
      </c>
      <c r="B119" s="2" t="s">
        <v>28</v>
      </c>
      <c r="C119" s="2" t="s">
        <v>57</v>
      </c>
      <c r="D119" s="2" t="s">
        <v>507</v>
      </c>
      <c r="E119" s="2" t="s">
        <v>87</v>
      </c>
      <c r="F119" s="132">
        <v>2490000</v>
      </c>
      <c r="G119" s="132"/>
      <c r="H119" s="132">
        <f>1150000+1350000+1000000+25264.75+769175</f>
        <v>4294439.75</v>
      </c>
      <c r="I119" s="132"/>
      <c r="J119" s="132">
        <f>175423.73+205932.2+145014.27+152542.37+3853.9449+117331.78+AS119+1520711.6551</f>
        <v>4294439.75</v>
      </c>
      <c r="K119" s="132">
        <f t="shared" si="20"/>
        <v>-1804439.75</v>
      </c>
      <c r="L119" s="132">
        <f t="shared" si="16"/>
        <v>0</v>
      </c>
      <c r="M119" s="133">
        <v>13757</v>
      </c>
      <c r="N119" s="133">
        <f t="shared" si="21"/>
        <v>0</v>
      </c>
      <c r="O119" s="134">
        <v>0</v>
      </c>
      <c r="P119" s="133"/>
      <c r="Q119" s="2" t="s">
        <v>407</v>
      </c>
      <c r="R119" s="156">
        <f t="shared" si="18"/>
        <v>0</v>
      </c>
      <c r="S119" s="156">
        <f t="shared" si="17"/>
        <v>0</v>
      </c>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54">
        <f>974576+999053.8</f>
        <v>1973629.8</v>
      </c>
      <c r="AT119" s="153">
        <v>131595.68</v>
      </c>
      <c r="AU119" s="153">
        <v>0</v>
      </c>
      <c r="AV119" s="135">
        <v>0</v>
      </c>
      <c r="AW119" s="135">
        <v>0</v>
      </c>
      <c r="AX119" s="135">
        <f>((H119-25264.75+N("პროექტირება"))/1.18-AT119-AW119-(108687*1.1*1.08*1.015)+N("2022-ში გასტუმრებული „დამატებითი“ ვალდებულების ნაწილი"))*0.1</f>
        <v>335529.22769142379</v>
      </c>
      <c r="AY119" s="135"/>
      <c r="AZ119" s="135"/>
      <c r="BA119" s="135"/>
      <c r="BB119" s="135"/>
      <c r="BC119" s="135"/>
      <c r="BD119" s="135"/>
      <c r="BE119" s="135"/>
      <c r="BF119" s="135"/>
      <c r="BG119" s="135"/>
      <c r="BH119" s="135"/>
      <c r="BI119" s="2" t="s">
        <v>11</v>
      </c>
      <c r="BJ119" s="136">
        <v>44985</v>
      </c>
      <c r="BK119" s="2" t="s">
        <v>109</v>
      </c>
      <c r="BL119" s="136" t="s">
        <v>113</v>
      </c>
      <c r="BM119" s="136">
        <v>44683</v>
      </c>
      <c r="BN119" s="2" t="s">
        <v>1690</v>
      </c>
      <c r="BO119" s="2"/>
      <c r="BP119" s="136"/>
      <c r="BQ119" s="137" t="s">
        <v>119</v>
      </c>
      <c r="BR119" s="138"/>
    </row>
    <row r="120" spans="1:70" ht="12.75" customHeight="1" x14ac:dyDescent="0.2">
      <c r="A120" s="2">
        <v>1576</v>
      </c>
      <c r="B120" s="2" t="s">
        <v>100</v>
      </c>
      <c r="C120" s="2" t="s">
        <v>132</v>
      </c>
      <c r="D120" s="2" t="s">
        <v>325</v>
      </c>
      <c r="E120" s="2" t="s">
        <v>90</v>
      </c>
      <c r="F120" s="132">
        <v>135000</v>
      </c>
      <c r="G120" s="132"/>
      <c r="H120" s="132">
        <f>4795+N("Project")+123694.44</f>
        <v>128489.44</v>
      </c>
      <c r="I120" s="132">
        <f>H120/1.18</f>
        <v>108889.3559322034</v>
      </c>
      <c r="J120" s="132">
        <f>731.44+18868.64+108889.36</f>
        <v>128489.44</v>
      </c>
      <c r="K120" s="132">
        <f t="shared" si="20"/>
        <v>6510.5599999999977</v>
      </c>
      <c r="L120" s="132">
        <f t="shared" si="16"/>
        <v>0</v>
      </c>
      <c r="M120" s="133">
        <v>2456</v>
      </c>
      <c r="N120" s="133">
        <f t="shared" si="21"/>
        <v>0</v>
      </c>
      <c r="O120" s="134">
        <v>0</v>
      </c>
      <c r="P120" s="133"/>
      <c r="Q120" s="2" t="s">
        <v>326</v>
      </c>
      <c r="R120" s="156">
        <f t="shared" si="18"/>
        <v>0</v>
      </c>
      <c r="S120" s="156">
        <f t="shared" si="17"/>
        <v>0</v>
      </c>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53">
        <v>0</v>
      </c>
      <c r="AT120" s="153">
        <v>0</v>
      </c>
      <c r="AU120" s="156">
        <f>IF(H120&lt;50000,0,IF(AT120&gt;0,(H120/1.18-AT120-H120/100*0.8)*0.1,(H120/1.18-H120/1.18/100*5.4-H120/100*0.8)*0.1))</f>
        <v>10198.141519186443</v>
      </c>
      <c r="AV120" s="142"/>
      <c r="AW120" s="142"/>
      <c r="AX120" s="142"/>
      <c r="AY120" s="142"/>
      <c r="AZ120" s="142"/>
      <c r="BA120" s="142"/>
      <c r="BB120" s="142"/>
      <c r="BC120" s="142"/>
      <c r="BD120" s="142"/>
      <c r="BE120" s="142"/>
      <c r="BF120" s="142"/>
      <c r="BG120" s="142"/>
      <c r="BH120" s="142"/>
      <c r="BI120" s="2" t="s">
        <v>11</v>
      </c>
      <c r="BJ120" s="136">
        <v>44925</v>
      </c>
      <c r="BK120" s="2" t="s">
        <v>109</v>
      </c>
      <c r="BL120" s="136" t="s">
        <v>18</v>
      </c>
      <c r="BM120" s="136">
        <v>44676</v>
      </c>
      <c r="BN120" s="2" t="s">
        <v>1538</v>
      </c>
      <c r="BO120" s="2"/>
      <c r="BP120" s="136"/>
      <c r="BQ120" s="137"/>
      <c r="BR120" s="138"/>
    </row>
    <row r="121" spans="1:70" ht="12.75" customHeight="1" x14ac:dyDescent="0.2">
      <c r="A121" s="2">
        <v>1562</v>
      </c>
      <c r="B121" s="2" t="s">
        <v>39</v>
      </c>
      <c r="C121" s="2" t="s">
        <v>94</v>
      </c>
      <c r="D121" s="2" t="s">
        <v>286</v>
      </c>
      <c r="E121" s="2" t="s">
        <v>90</v>
      </c>
      <c r="F121" s="132">
        <v>60000</v>
      </c>
      <c r="G121" s="132"/>
      <c r="H121" s="132">
        <f>109502+5734.67+2535.75</f>
        <v>117772.42</v>
      </c>
      <c r="I121" s="132"/>
      <c r="J121" s="132">
        <f>16703.69+874.78+386.809+AS121+7008.831</f>
        <v>117772.42</v>
      </c>
      <c r="K121" s="132">
        <f t="shared" si="20"/>
        <v>-57772.42</v>
      </c>
      <c r="L121" s="132">
        <f t="shared" si="16"/>
        <v>0</v>
      </c>
      <c r="M121" s="133">
        <v>1260.5</v>
      </c>
      <c r="N121" s="133">
        <f t="shared" si="21"/>
        <v>0</v>
      </c>
      <c r="O121" s="134">
        <v>0</v>
      </c>
      <c r="P121" s="133"/>
      <c r="Q121" s="2" t="s">
        <v>287</v>
      </c>
      <c r="R121" s="156">
        <f t="shared" si="18"/>
        <v>0</v>
      </c>
      <c r="S121" s="156">
        <f t="shared" si="17"/>
        <v>0</v>
      </c>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53">
        <v>92798.31</v>
      </c>
      <c r="AT121" s="153">
        <v>3448.79</v>
      </c>
      <c r="AU121" s="156">
        <f>IF(H121&lt;50000,0,IF(AT121&gt;0,(H121/1.18-AT121-H121/100*0.8)*0.1,(H121/1.18-H121/1.18/100*5.4-H121/100*0.8)*0.1))</f>
        <v>9541.6166233220356</v>
      </c>
      <c r="AV121" s="142"/>
      <c r="AW121" s="142"/>
      <c r="AX121" s="142"/>
      <c r="AY121" s="142"/>
      <c r="AZ121" s="142"/>
      <c r="BA121" s="142"/>
      <c r="BB121" s="142"/>
      <c r="BC121" s="142"/>
      <c r="BD121" s="142"/>
      <c r="BE121" s="142"/>
      <c r="BF121" s="142"/>
      <c r="BG121" s="142"/>
      <c r="BH121" s="142"/>
      <c r="BI121" s="2" t="s">
        <v>11</v>
      </c>
      <c r="BJ121" s="136">
        <v>44925</v>
      </c>
      <c r="BK121" s="2" t="s">
        <v>109</v>
      </c>
      <c r="BL121" s="136" t="s">
        <v>18</v>
      </c>
      <c r="BM121" s="136">
        <v>44676</v>
      </c>
      <c r="BN121" s="2" t="s">
        <v>1524</v>
      </c>
      <c r="BO121" s="2"/>
      <c r="BP121" s="136" t="s">
        <v>689</v>
      </c>
      <c r="BQ121" s="137"/>
      <c r="BR121" s="138"/>
    </row>
    <row r="122" spans="1:70" ht="12.75" customHeight="1" x14ac:dyDescent="0.2">
      <c r="A122" s="2">
        <v>1611</v>
      </c>
      <c r="B122" s="2" t="s">
        <v>28</v>
      </c>
      <c r="C122" s="2" t="s">
        <v>91</v>
      </c>
      <c r="D122" s="2" t="s">
        <v>416</v>
      </c>
      <c r="E122" s="2" t="s">
        <v>87</v>
      </c>
      <c r="F122" s="132">
        <v>26000</v>
      </c>
      <c r="G122" s="132"/>
      <c r="H122" s="132">
        <v>5273.67</v>
      </c>
      <c r="I122" s="132"/>
      <c r="J122" s="132">
        <f>804.458+4469.212</f>
        <v>5273.67</v>
      </c>
      <c r="K122" s="132">
        <f t="shared" si="20"/>
        <v>20726.330000000002</v>
      </c>
      <c r="L122" s="132">
        <f t="shared" si="16"/>
        <v>0</v>
      </c>
      <c r="M122" s="133">
        <v>17</v>
      </c>
      <c r="N122" s="133">
        <f t="shared" si="21"/>
        <v>0</v>
      </c>
      <c r="O122" s="134">
        <v>0</v>
      </c>
      <c r="P122" s="133"/>
      <c r="Q122" s="2" t="s">
        <v>417</v>
      </c>
      <c r="R122" s="156">
        <f t="shared" si="18"/>
        <v>0</v>
      </c>
      <c r="S122" s="156">
        <f t="shared" si="17"/>
        <v>0</v>
      </c>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56">
        <v>0</v>
      </c>
      <c r="AT122" s="156">
        <v>0</v>
      </c>
      <c r="AU122" s="156">
        <f>IF(H122&lt;50000,0,IF(AT122&gt;0,(H122/1.18-AT122-H122/100*0.8)*0.1,(H122/1.18-H122/1.18/100*5.4-H122/100*0.8)*0.1))</f>
        <v>0</v>
      </c>
      <c r="AV122" s="142"/>
      <c r="AW122" s="142"/>
      <c r="AX122" s="142"/>
      <c r="AY122" s="142"/>
      <c r="AZ122" s="142"/>
      <c r="BA122" s="142"/>
      <c r="BB122" s="142"/>
      <c r="BC122" s="142"/>
      <c r="BD122" s="142"/>
      <c r="BE122" s="142"/>
      <c r="BF122" s="142"/>
      <c r="BG122" s="142"/>
      <c r="BH122" s="142"/>
      <c r="BI122" s="2" t="s">
        <v>11</v>
      </c>
      <c r="BJ122" s="136">
        <v>44925</v>
      </c>
      <c r="BK122" s="2" t="s">
        <v>8</v>
      </c>
      <c r="BL122" s="136" t="s">
        <v>18</v>
      </c>
      <c r="BM122" s="136">
        <v>44641</v>
      </c>
      <c r="BN122" s="2" t="s">
        <v>1548</v>
      </c>
      <c r="BO122" s="2"/>
      <c r="BP122" s="136"/>
      <c r="BQ122" s="137"/>
      <c r="BR122" s="138"/>
    </row>
    <row r="123" spans="1:70" ht="12.75" customHeight="1" x14ac:dyDescent="0.2">
      <c r="A123" s="2">
        <v>1612</v>
      </c>
      <c r="B123" s="2" t="s">
        <v>28</v>
      </c>
      <c r="C123" s="131" t="s">
        <v>91</v>
      </c>
      <c r="D123" s="131" t="s">
        <v>434</v>
      </c>
      <c r="E123" s="2" t="s">
        <v>87</v>
      </c>
      <c r="F123" s="132">
        <v>25000</v>
      </c>
      <c r="G123" s="132" t="s">
        <v>3660</v>
      </c>
      <c r="H123" s="132"/>
      <c r="I123" s="132"/>
      <c r="J123" s="132"/>
      <c r="K123" s="132">
        <f t="shared" si="20"/>
        <v>25000</v>
      </c>
      <c r="L123" s="132">
        <f t="shared" si="16"/>
        <v>0</v>
      </c>
      <c r="M123" s="133"/>
      <c r="N123" s="133">
        <f t="shared" si="21"/>
        <v>25000</v>
      </c>
      <c r="O123" s="134" t="s">
        <v>1705</v>
      </c>
      <c r="P123" s="133"/>
      <c r="Q123" s="2" t="s">
        <v>419</v>
      </c>
      <c r="R123" s="156">
        <f t="shared" si="18"/>
        <v>0</v>
      </c>
      <c r="S123" s="156">
        <f t="shared" si="17"/>
        <v>0</v>
      </c>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53">
        <v>0</v>
      </c>
      <c r="AT123" s="153">
        <v>0</v>
      </c>
      <c r="AU123" s="153">
        <v>0</v>
      </c>
      <c r="AV123" s="135"/>
      <c r="AW123" s="135"/>
      <c r="AX123" s="135"/>
      <c r="AY123" s="135"/>
      <c r="AZ123" s="135"/>
      <c r="BA123" s="135"/>
      <c r="BB123" s="135"/>
      <c r="BC123" s="135"/>
      <c r="BD123" s="135"/>
      <c r="BE123" s="135"/>
      <c r="BF123" s="135"/>
      <c r="BG123" s="135"/>
      <c r="BH123" s="135"/>
      <c r="BI123" s="2" t="s">
        <v>11</v>
      </c>
      <c r="BJ123" s="136"/>
      <c r="BK123" s="2">
        <v>0</v>
      </c>
      <c r="BL123" s="136" t="s">
        <v>18</v>
      </c>
      <c r="BM123" s="136">
        <v>44641</v>
      </c>
      <c r="BN123" s="2" t="s">
        <v>1549</v>
      </c>
      <c r="BO123" s="2"/>
      <c r="BP123" s="136" t="s">
        <v>686</v>
      </c>
      <c r="BQ123" s="137"/>
      <c r="BR123" s="138"/>
    </row>
    <row r="124" spans="1:70" ht="12.75" customHeight="1" x14ac:dyDescent="0.2">
      <c r="A124" s="2">
        <v>1613</v>
      </c>
      <c r="B124" s="2" t="s">
        <v>28</v>
      </c>
      <c r="C124" s="2" t="s">
        <v>91</v>
      </c>
      <c r="D124" s="2" t="s">
        <v>435</v>
      </c>
      <c r="E124" s="2" t="s">
        <v>87</v>
      </c>
      <c r="F124" s="132">
        <v>22000</v>
      </c>
      <c r="G124" s="132"/>
      <c r="H124" s="132">
        <v>4154.16</v>
      </c>
      <c r="I124" s="132"/>
      <c r="J124" s="132">
        <f>633.685+3520.475</f>
        <v>4154.16</v>
      </c>
      <c r="K124" s="132">
        <f t="shared" si="20"/>
        <v>17845.84</v>
      </c>
      <c r="L124" s="132">
        <f t="shared" si="16"/>
        <v>0</v>
      </c>
      <c r="M124" s="133">
        <v>10</v>
      </c>
      <c r="N124" s="133">
        <f t="shared" si="21"/>
        <v>0</v>
      </c>
      <c r="O124" s="134">
        <v>0</v>
      </c>
      <c r="P124" s="133"/>
      <c r="Q124" s="2" t="s">
        <v>436</v>
      </c>
      <c r="R124" s="156">
        <f t="shared" si="18"/>
        <v>0</v>
      </c>
      <c r="S124" s="156">
        <f t="shared" si="17"/>
        <v>0</v>
      </c>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56">
        <v>0</v>
      </c>
      <c r="AT124" s="156">
        <v>0</v>
      </c>
      <c r="AU124" s="156">
        <f t="shared" ref="AU124:AU131" si="22">IF(H124&lt;50000,0,IF(AT124&gt;0,(H124/1.18-AT124-H124/100*0.8)*0.1,(H124/1.18-H124/1.18/100*5.4-H124/100*0.8)*0.1))</f>
        <v>0</v>
      </c>
      <c r="AV124" s="142"/>
      <c r="AW124" s="142"/>
      <c r="AX124" s="142"/>
      <c r="AY124" s="142"/>
      <c r="AZ124" s="142"/>
      <c r="BA124" s="142"/>
      <c r="BB124" s="142"/>
      <c r="BC124" s="142"/>
      <c r="BD124" s="142"/>
      <c r="BE124" s="142"/>
      <c r="BF124" s="142"/>
      <c r="BG124" s="142"/>
      <c r="BH124" s="142"/>
      <c r="BI124" s="2" t="s">
        <v>11</v>
      </c>
      <c r="BJ124" s="136">
        <v>44925</v>
      </c>
      <c r="BK124" s="2" t="s">
        <v>8</v>
      </c>
      <c r="BL124" s="136" t="s">
        <v>18</v>
      </c>
      <c r="BM124" s="136">
        <v>44641</v>
      </c>
      <c r="BN124" s="2" t="s">
        <v>1550</v>
      </c>
      <c r="BO124" s="2"/>
      <c r="BP124" s="136"/>
      <c r="BQ124" s="137"/>
      <c r="BR124" s="138"/>
    </row>
    <row r="125" spans="1:70" ht="12.75" customHeight="1" x14ac:dyDescent="0.2">
      <c r="A125" s="2">
        <v>1614</v>
      </c>
      <c r="B125" s="2" t="s">
        <v>28</v>
      </c>
      <c r="C125" s="2" t="s">
        <v>91</v>
      </c>
      <c r="D125" s="2" t="s">
        <v>437</v>
      </c>
      <c r="E125" s="2" t="s">
        <v>87</v>
      </c>
      <c r="F125" s="132">
        <v>22000</v>
      </c>
      <c r="G125" s="132"/>
      <c r="H125" s="132">
        <v>4499.84</v>
      </c>
      <c r="I125" s="132"/>
      <c r="J125" s="132">
        <f>686.416+3813.424</f>
        <v>4499.84</v>
      </c>
      <c r="K125" s="132">
        <f t="shared" si="20"/>
        <v>17500.16</v>
      </c>
      <c r="L125" s="132">
        <f t="shared" si="16"/>
        <v>0</v>
      </c>
      <c r="M125" s="133">
        <v>4</v>
      </c>
      <c r="N125" s="133">
        <f t="shared" si="21"/>
        <v>0</v>
      </c>
      <c r="O125" s="134">
        <v>0</v>
      </c>
      <c r="P125" s="133"/>
      <c r="Q125" s="2" t="s">
        <v>438</v>
      </c>
      <c r="R125" s="156">
        <f t="shared" si="18"/>
        <v>0</v>
      </c>
      <c r="S125" s="156">
        <f t="shared" si="17"/>
        <v>0</v>
      </c>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56">
        <v>0</v>
      </c>
      <c r="AT125" s="156">
        <v>0</v>
      </c>
      <c r="AU125" s="156">
        <f t="shared" si="22"/>
        <v>0</v>
      </c>
      <c r="AV125" s="142"/>
      <c r="AW125" s="142"/>
      <c r="AX125" s="142"/>
      <c r="AY125" s="142"/>
      <c r="AZ125" s="142"/>
      <c r="BA125" s="142"/>
      <c r="BB125" s="142"/>
      <c r="BC125" s="142"/>
      <c r="BD125" s="142"/>
      <c r="BE125" s="142"/>
      <c r="BF125" s="142"/>
      <c r="BG125" s="142"/>
      <c r="BH125" s="142"/>
      <c r="BI125" s="2" t="s">
        <v>11</v>
      </c>
      <c r="BJ125" s="136">
        <v>44925</v>
      </c>
      <c r="BK125" s="2" t="s">
        <v>8</v>
      </c>
      <c r="BL125" s="136" t="s">
        <v>18</v>
      </c>
      <c r="BM125" s="136">
        <v>44641</v>
      </c>
      <c r="BN125" s="2" t="s">
        <v>1551</v>
      </c>
      <c r="BO125" s="2"/>
      <c r="BP125" s="136"/>
      <c r="BQ125" s="137"/>
      <c r="BR125" s="138"/>
    </row>
    <row r="126" spans="1:70" ht="12.75" customHeight="1" x14ac:dyDescent="0.2">
      <c r="A126" s="2">
        <v>1615</v>
      </c>
      <c r="B126" s="2" t="s">
        <v>28</v>
      </c>
      <c r="C126" s="131" t="s">
        <v>91</v>
      </c>
      <c r="D126" s="131" t="s">
        <v>439</v>
      </c>
      <c r="E126" s="2" t="s">
        <v>87</v>
      </c>
      <c r="F126" s="132">
        <v>20000</v>
      </c>
      <c r="G126" s="132"/>
      <c r="H126" s="132">
        <v>3187.99</v>
      </c>
      <c r="I126" s="132"/>
      <c r="J126" s="132">
        <f>486.3+2701.69</f>
        <v>3187.9900000000002</v>
      </c>
      <c r="K126" s="132">
        <f t="shared" si="20"/>
        <v>16812.009999999998</v>
      </c>
      <c r="L126" s="132">
        <f t="shared" si="16"/>
        <v>0</v>
      </c>
      <c r="M126" s="133">
        <v>5</v>
      </c>
      <c r="N126" s="133">
        <f t="shared" si="21"/>
        <v>-4.5474735088646412E-13</v>
      </c>
      <c r="O126" s="134">
        <v>0</v>
      </c>
      <c r="P126" s="133"/>
      <c r="Q126" s="2" t="s">
        <v>440</v>
      </c>
      <c r="R126" s="156">
        <f t="shared" si="18"/>
        <v>0</v>
      </c>
      <c r="S126" s="156">
        <f t="shared" si="17"/>
        <v>0</v>
      </c>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56">
        <v>0</v>
      </c>
      <c r="AT126" s="156">
        <v>0</v>
      </c>
      <c r="AU126" s="156">
        <f t="shared" si="22"/>
        <v>0</v>
      </c>
      <c r="AV126" s="142"/>
      <c r="AW126" s="142"/>
      <c r="AX126" s="142"/>
      <c r="AY126" s="142"/>
      <c r="AZ126" s="142"/>
      <c r="BA126" s="142"/>
      <c r="BB126" s="142"/>
      <c r="BC126" s="142"/>
      <c r="BD126" s="142"/>
      <c r="BE126" s="142"/>
      <c r="BF126" s="142"/>
      <c r="BG126" s="142"/>
      <c r="BH126" s="142"/>
      <c r="BI126" s="2" t="s">
        <v>11</v>
      </c>
      <c r="BJ126" s="136">
        <v>44925</v>
      </c>
      <c r="BK126" s="2" t="s">
        <v>8</v>
      </c>
      <c r="BL126" s="136" t="s">
        <v>18</v>
      </c>
      <c r="BM126" s="136">
        <v>44641</v>
      </c>
      <c r="BN126" s="2" t="s">
        <v>1552</v>
      </c>
      <c r="BO126" s="2"/>
      <c r="BP126" s="136"/>
      <c r="BQ126" s="137"/>
      <c r="BR126" s="138"/>
    </row>
    <row r="127" spans="1:70" ht="12.75" customHeight="1" x14ac:dyDescent="0.2">
      <c r="A127" s="2">
        <v>1523</v>
      </c>
      <c r="B127" s="2" t="s">
        <v>39</v>
      </c>
      <c r="C127" s="2" t="s">
        <v>74</v>
      </c>
      <c r="D127" s="2" t="s">
        <v>194</v>
      </c>
      <c r="E127" s="2" t="s">
        <v>90</v>
      </c>
      <c r="F127" s="132">
        <v>118668</v>
      </c>
      <c r="G127" s="132"/>
      <c r="H127" s="132">
        <v>110443</v>
      </c>
      <c r="I127" s="132"/>
      <c r="J127" s="132">
        <f>16847.237+90000+3595.76300000001</f>
        <v>110443</v>
      </c>
      <c r="K127" s="132">
        <f t="shared" si="20"/>
        <v>8225</v>
      </c>
      <c r="L127" s="132">
        <f t="shared" si="16"/>
        <v>0</v>
      </c>
      <c r="M127" s="133">
        <v>2742</v>
      </c>
      <c r="N127" s="133">
        <f t="shared" si="21"/>
        <v>0</v>
      </c>
      <c r="O127" s="134">
        <v>0</v>
      </c>
      <c r="P127" s="133"/>
      <c r="Q127" s="2" t="s">
        <v>189</v>
      </c>
      <c r="R127" s="156">
        <f t="shared" si="18"/>
        <v>0</v>
      </c>
      <c r="S127" s="156">
        <f t="shared" si="17"/>
        <v>0</v>
      </c>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33"/>
      <c r="AQ127" s="133"/>
      <c r="AR127" s="133"/>
      <c r="AS127" s="153">
        <v>0</v>
      </c>
      <c r="AT127" s="153">
        <v>0</v>
      </c>
      <c r="AU127" s="156">
        <f t="shared" si="22"/>
        <v>8765.8047525423735</v>
      </c>
      <c r="AV127" s="142"/>
      <c r="AW127" s="142"/>
      <c r="AX127" s="142"/>
      <c r="AY127" s="142"/>
      <c r="AZ127" s="142"/>
      <c r="BA127" s="142"/>
      <c r="BB127" s="142"/>
      <c r="BC127" s="142"/>
      <c r="BD127" s="142"/>
      <c r="BE127" s="142"/>
      <c r="BF127" s="142"/>
      <c r="BG127" s="142"/>
      <c r="BH127" s="142"/>
      <c r="BI127" s="2" t="s">
        <v>11</v>
      </c>
      <c r="BJ127" s="136">
        <v>44651</v>
      </c>
      <c r="BK127" s="2" t="s">
        <v>109</v>
      </c>
      <c r="BL127" s="136" t="s">
        <v>18</v>
      </c>
      <c r="BM127" s="136">
        <v>44571</v>
      </c>
      <c r="BN127" s="2" t="s">
        <v>192</v>
      </c>
      <c r="BO127" s="2">
        <v>140</v>
      </c>
      <c r="BP127" s="136"/>
      <c r="BQ127" s="137" t="s">
        <v>119</v>
      </c>
      <c r="BR127" s="138"/>
    </row>
    <row r="128" spans="1:70" ht="12.75" customHeight="1" x14ac:dyDescent="0.2">
      <c r="A128" s="2">
        <v>1504</v>
      </c>
      <c r="B128" s="2" t="s">
        <v>108</v>
      </c>
      <c r="C128" s="2" t="s">
        <v>76</v>
      </c>
      <c r="D128" s="2" t="s">
        <v>153</v>
      </c>
      <c r="E128" s="2" t="s">
        <v>71</v>
      </c>
      <c r="F128" s="132">
        <f>96453+13625</f>
        <v>110078</v>
      </c>
      <c r="G128" s="132"/>
      <c r="H128" s="132">
        <v>110078</v>
      </c>
      <c r="I128" s="132"/>
      <c r="J128" s="132">
        <f>16791.5593220339+93286.4406779661</f>
        <v>110078</v>
      </c>
      <c r="K128" s="132">
        <f t="shared" si="20"/>
        <v>0</v>
      </c>
      <c r="L128" s="132">
        <f t="shared" si="16"/>
        <v>0</v>
      </c>
      <c r="M128" s="133">
        <f>3957+522</f>
        <v>4479</v>
      </c>
      <c r="N128" s="133">
        <f t="shared" si="21"/>
        <v>0</v>
      </c>
      <c r="O128" s="134">
        <v>0</v>
      </c>
      <c r="P128" s="133">
        <v>32</v>
      </c>
      <c r="Q128" s="2" t="s">
        <v>152</v>
      </c>
      <c r="R128" s="156">
        <f t="shared" si="18"/>
        <v>0</v>
      </c>
      <c r="S128" s="156">
        <f t="shared" si="17"/>
        <v>0</v>
      </c>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53">
        <v>0</v>
      </c>
      <c r="AT128" s="153">
        <v>0</v>
      </c>
      <c r="AU128" s="156">
        <f t="shared" si="22"/>
        <v>8736.8348881355942</v>
      </c>
      <c r="AV128" s="142"/>
      <c r="AW128" s="142"/>
      <c r="AX128" s="142"/>
      <c r="AY128" s="142"/>
      <c r="AZ128" s="142"/>
      <c r="BA128" s="142"/>
      <c r="BB128" s="142"/>
      <c r="BC128" s="142"/>
      <c r="BD128" s="142"/>
      <c r="BE128" s="135">
        <v>0</v>
      </c>
      <c r="BF128" s="135"/>
      <c r="BG128" s="142"/>
      <c r="BH128" s="142"/>
      <c r="BI128" s="2" t="s">
        <v>10</v>
      </c>
      <c r="BJ128" s="136">
        <v>44680</v>
      </c>
      <c r="BK128" s="2" t="s">
        <v>109</v>
      </c>
      <c r="BL128" s="136" t="s">
        <v>113</v>
      </c>
      <c r="BM128" s="136">
        <v>44680</v>
      </c>
      <c r="BN128" s="2" t="s">
        <v>209</v>
      </c>
      <c r="BO128" s="2">
        <v>1515</v>
      </c>
      <c r="BP128" s="136"/>
      <c r="BQ128" s="137" t="s">
        <v>119</v>
      </c>
      <c r="BR128" s="138"/>
    </row>
    <row r="129" spans="1:70" ht="12.75" customHeight="1" x14ac:dyDescent="0.2">
      <c r="A129" s="2">
        <v>1633</v>
      </c>
      <c r="B129" s="2" t="s">
        <v>54</v>
      </c>
      <c r="C129" s="2" t="s">
        <v>96</v>
      </c>
      <c r="D129" s="2" t="s">
        <v>485</v>
      </c>
      <c r="E129" s="2" t="s">
        <v>71</v>
      </c>
      <c r="F129" s="132">
        <v>85000</v>
      </c>
      <c r="G129" s="132"/>
      <c r="H129" s="132">
        <f>70000+11300+1540</f>
        <v>82840</v>
      </c>
      <c r="I129" s="132"/>
      <c r="J129" s="132">
        <f>10677.97+1723.728+234.915+70203.387</f>
        <v>82840</v>
      </c>
      <c r="K129" s="132">
        <f t="shared" si="20"/>
        <v>2160</v>
      </c>
      <c r="L129" s="132">
        <f t="shared" si="16"/>
        <v>0</v>
      </c>
      <c r="M129" s="133">
        <v>776</v>
      </c>
      <c r="N129" s="133">
        <f t="shared" si="21"/>
        <v>0</v>
      </c>
      <c r="O129" s="134">
        <v>0</v>
      </c>
      <c r="P129" s="133"/>
      <c r="Q129" s="2" t="s">
        <v>479</v>
      </c>
      <c r="R129" s="156">
        <f t="shared" si="18"/>
        <v>0</v>
      </c>
      <c r="S129" s="156">
        <f t="shared" si="17"/>
        <v>0</v>
      </c>
      <c r="T129" s="133"/>
      <c r="U129" s="133"/>
      <c r="V129" s="133"/>
      <c r="W129" s="133"/>
      <c r="X129" s="133"/>
      <c r="Y129" s="133"/>
      <c r="Z129" s="133"/>
      <c r="AA129" s="133"/>
      <c r="AB129" s="133"/>
      <c r="AC129" s="133"/>
      <c r="AD129" s="133"/>
      <c r="AE129" s="133"/>
      <c r="AF129" s="133"/>
      <c r="AG129" s="133"/>
      <c r="AH129" s="133"/>
      <c r="AI129" s="133"/>
      <c r="AJ129" s="133"/>
      <c r="AK129" s="133"/>
      <c r="AL129" s="133"/>
      <c r="AM129" s="133"/>
      <c r="AN129" s="133"/>
      <c r="AO129" s="133"/>
      <c r="AP129" s="133"/>
      <c r="AQ129" s="133"/>
      <c r="AR129" s="133"/>
      <c r="AS129" s="153">
        <v>0</v>
      </c>
      <c r="AT129" s="153">
        <v>0</v>
      </c>
      <c r="AU129" s="156">
        <f t="shared" si="22"/>
        <v>6574.9686779661024</v>
      </c>
      <c r="AV129" s="142"/>
      <c r="AW129" s="142"/>
      <c r="AX129" s="142"/>
      <c r="AY129" s="142"/>
      <c r="AZ129" s="142"/>
      <c r="BA129" s="142"/>
      <c r="BB129" s="142"/>
      <c r="BC129" s="142"/>
      <c r="BD129" s="142"/>
      <c r="BE129" s="135">
        <v>0</v>
      </c>
      <c r="BF129" s="135"/>
      <c r="BG129" s="142"/>
      <c r="BH129" s="142"/>
      <c r="BI129" s="2" t="s">
        <v>11</v>
      </c>
      <c r="BJ129" s="136">
        <v>44925</v>
      </c>
      <c r="BK129" s="2" t="s">
        <v>109</v>
      </c>
      <c r="BL129" s="136" t="s">
        <v>18</v>
      </c>
      <c r="BM129" s="136">
        <v>44752</v>
      </c>
      <c r="BN129" s="2" t="s">
        <v>488</v>
      </c>
      <c r="BO129" s="2"/>
      <c r="BP129" s="136"/>
      <c r="BQ129" s="137" t="s">
        <v>119</v>
      </c>
      <c r="BR129" s="138"/>
    </row>
    <row r="130" spans="1:70" ht="12.75" customHeight="1" x14ac:dyDescent="0.2">
      <c r="A130" s="2">
        <v>1618</v>
      </c>
      <c r="B130" s="2" t="s">
        <v>28</v>
      </c>
      <c r="C130" s="131" t="s">
        <v>93</v>
      </c>
      <c r="D130" s="131" t="s">
        <v>445</v>
      </c>
      <c r="E130" s="2" t="s">
        <v>87</v>
      </c>
      <c r="F130" s="132">
        <v>126000</v>
      </c>
      <c r="G130" s="132"/>
      <c r="H130" s="132">
        <v>73926.681524850006</v>
      </c>
      <c r="I130" s="132"/>
      <c r="J130" s="132">
        <f>11276.95+62649.73152485</f>
        <v>73926.681524850006</v>
      </c>
      <c r="K130" s="132">
        <f t="shared" si="20"/>
        <v>52073.318475149994</v>
      </c>
      <c r="L130" s="132">
        <f t="shared" si="16"/>
        <v>0</v>
      </c>
      <c r="M130" s="133">
        <v>0</v>
      </c>
      <c r="N130" s="133">
        <f t="shared" si="21"/>
        <v>0</v>
      </c>
      <c r="O130" s="134">
        <v>0</v>
      </c>
      <c r="P130" s="133"/>
      <c r="Q130" s="2" t="s">
        <v>446</v>
      </c>
      <c r="R130" s="156">
        <f t="shared" si="18"/>
        <v>0</v>
      </c>
      <c r="S130" s="156">
        <f t="shared" si="17"/>
        <v>0</v>
      </c>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56">
        <v>0</v>
      </c>
      <c r="AT130" s="156">
        <v>0</v>
      </c>
      <c r="AU130" s="156">
        <f t="shared" si="22"/>
        <v>5867.5231227892818</v>
      </c>
      <c r="AV130" s="142"/>
      <c r="AW130" s="142"/>
      <c r="AX130" s="142"/>
      <c r="AY130" s="142"/>
      <c r="AZ130" s="142"/>
      <c r="BA130" s="142"/>
      <c r="BB130" s="142"/>
      <c r="BC130" s="142"/>
      <c r="BD130" s="142"/>
      <c r="BE130" s="142"/>
      <c r="BF130" s="142"/>
      <c r="BG130" s="142"/>
      <c r="BH130" s="142"/>
      <c r="BI130" s="2" t="s">
        <v>11</v>
      </c>
      <c r="BJ130" s="136">
        <v>44925</v>
      </c>
      <c r="BK130" s="2" t="s">
        <v>109</v>
      </c>
      <c r="BL130" s="136" t="s">
        <v>18</v>
      </c>
      <c r="BM130" s="136">
        <v>44641</v>
      </c>
      <c r="BN130" s="2" t="s">
        <v>1555</v>
      </c>
      <c r="BO130" s="2"/>
      <c r="BP130" s="136"/>
      <c r="BQ130" s="137"/>
      <c r="BR130" s="138"/>
    </row>
    <row r="131" spans="1:70" ht="12.75" customHeight="1" x14ac:dyDescent="0.2">
      <c r="A131" s="2">
        <v>1501</v>
      </c>
      <c r="B131" s="2" t="s">
        <v>54</v>
      </c>
      <c r="C131" s="2" t="s">
        <v>4</v>
      </c>
      <c r="D131" s="2" t="s">
        <v>161</v>
      </c>
      <c r="E131" s="233" t="s">
        <v>71</v>
      </c>
      <c r="F131" s="132">
        <v>74153</v>
      </c>
      <c r="G131" s="132"/>
      <c r="H131" s="132">
        <v>71076</v>
      </c>
      <c r="I131" s="132"/>
      <c r="J131" s="132">
        <f>10842.1+60233.9</f>
        <v>71076</v>
      </c>
      <c r="K131" s="132">
        <f t="shared" si="20"/>
        <v>3077</v>
      </c>
      <c r="L131" s="132">
        <f t="shared" si="16"/>
        <v>0</v>
      </c>
      <c r="M131" s="133">
        <f>1682-161</f>
        <v>1521</v>
      </c>
      <c r="N131" s="133">
        <f t="shared" si="21"/>
        <v>0</v>
      </c>
      <c r="O131" s="134">
        <v>0</v>
      </c>
      <c r="P131" s="133"/>
      <c r="Q131" s="2" t="s">
        <v>3736</v>
      </c>
      <c r="R131" s="156">
        <f t="shared" si="18"/>
        <v>0</v>
      </c>
      <c r="S131" s="156">
        <f t="shared" si="17"/>
        <v>0</v>
      </c>
      <c r="T131" s="133"/>
      <c r="U131" s="133"/>
      <c r="V131" s="133"/>
      <c r="W131" s="133"/>
      <c r="X131" s="133"/>
      <c r="Y131" s="133"/>
      <c r="Z131" s="133"/>
      <c r="AA131" s="133"/>
      <c r="AB131" s="133"/>
      <c r="AC131" s="133"/>
      <c r="AD131" s="133"/>
      <c r="AE131" s="133"/>
      <c r="AF131" s="133"/>
      <c r="AG131" s="133"/>
      <c r="AH131" s="133"/>
      <c r="AI131" s="133"/>
      <c r="AJ131" s="133"/>
      <c r="AK131" s="133"/>
      <c r="AL131" s="133"/>
      <c r="AM131" s="133"/>
      <c r="AN131" s="133"/>
      <c r="AO131" s="133"/>
      <c r="AP131" s="133"/>
      <c r="AQ131" s="133"/>
      <c r="AR131" s="133"/>
      <c r="AS131" s="153">
        <v>0</v>
      </c>
      <c r="AT131" s="153">
        <v>0</v>
      </c>
      <c r="AU131" s="156">
        <f t="shared" si="22"/>
        <v>5641.2659796610169</v>
      </c>
      <c r="AV131" s="142"/>
      <c r="AW131" s="142"/>
      <c r="AX131" s="142"/>
      <c r="AY131" s="142"/>
      <c r="AZ131" s="142"/>
      <c r="BA131" s="142"/>
      <c r="BB131" s="142"/>
      <c r="BC131" s="142"/>
      <c r="BD131" s="142"/>
      <c r="BE131" s="135">
        <v>0</v>
      </c>
      <c r="BF131" s="135"/>
      <c r="BG131" s="142"/>
      <c r="BH131" s="142"/>
      <c r="BI131" s="2" t="s">
        <v>11</v>
      </c>
      <c r="BJ131" s="136">
        <v>44651</v>
      </c>
      <c r="BK131" s="2" t="s">
        <v>109</v>
      </c>
      <c r="BL131" s="136" t="s">
        <v>113</v>
      </c>
      <c r="BM131" s="136">
        <v>44524</v>
      </c>
      <c r="BN131" s="2" t="s">
        <v>162</v>
      </c>
      <c r="BO131" s="2">
        <v>1479</v>
      </c>
      <c r="BP131" s="136"/>
      <c r="BQ131" s="137" t="s">
        <v>119</v>
      </c>
      <c r="BR131" s="138"/>
    </row>
    <row r="132" spans="1:70" ht="12.75" customHeight="1" x14ac:dyDescent="0.2">
      <c r="A132" s="2">
        <v>1621</v>
      </c>
      <c r="B132" s="2" t="s">
        <v>28</v>
      </c>
      <c r="C132" s="2" t="s">
        <v>92</v>
      </c>
      <c r="D132" s="2" t="s">
        <v>451</v>
      </c>
      <c r="E132" s="2" t="s">
        <v>87</v>
      </c>
      <c r="F132" s="132">
        <v>840000</v>
      </c>
      <c r="G132" s="132"/>
      <c r="H132" s="132">
        <f>700000+432273.85</f>
        <v>1132273.8500000001</v>
      </c>
      <c r="I132" s="132"/>
      <c r="J132" s="132">
        <f>106779.66+AS132+65940.08+366333.77</f>
        <v>1132273.8500000001</v>
      </c>
      <c r="K132" s="132">
        <f t="shared" si="20"/>
        <v>-292273.85000000009</v>
      </c>
      <c r="L132" s="132">
        <f t="shared" si="16"/>
        <v>0</v>
      </c>
      <c r="M132" s="133"/>
      <c r="N132" s="133">
        <f t="shared" si="21"/>
        <v>0</v>
      </c>
      <c r="O132" s="134">
        <v>0</v>
      </c>
      <c r="P132" s="133"/>
      <c r="Q132" s="2" t="s">
        <v>452</v>
      </c>
      <c r="R132" s="156">
        <f t="shared" si="18"/>
        <v>0</v>
      </c>
      <c r="S132" s="156">
        <f t="shared" si="17"/>
        <v>0</v>
      </c>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53">
        <v>593220.34</v>
      </c>
      <c r="AT132" s="153">
        <v>30579.289528674246</v>
      </c>
      <c r="AU132" s="153">
        <v>0</v>
      </c>
      <c r="AV132" s="135">
        <v>0</v>
      </c>
      <c r="AW132" s="135">
        <v>0</v>
      </c>
      <c r="AX132" s="135">
        <f>(H132/1.18-AT132-AW132)*0.1</f>
        <v>92897.482064081749</v>
      </c>
      <c r="AY132" s="135"/>
      <c r="AZ132" s="135"/>
      <c r="BA132" s="135"/>
      <c r="BB132" s="135"/>
      <c r="BC132" s="135"/>
      <c r="BD132" s="135"/>
      <c r="BE132" s="135"/>
      <c r="BF132" s="135"/>
      <c r="BG132" s="135"/>
      <c r="BH132" s="135"/>
      <c r="BI132" s="2" t="s">
        <v>11</v>
      </c>
      <c r="BJ132" s="136">
        <v>45046</v>
      </c>
      <c r="BK132" s="2" t="s">
        <v>109</v>
      </c>
      <c r="BL132" s="136" t="s">
        <v>18</v>
      </c>
      <c r="BM132" s="136">
        <v>44641</v>
      </c>
      <c r="BN132" s="2" t="s">
        <v>1558</v>
      </c>
      <c r="BO132" s="2"/>
      <c r="BP132" s="136"/>
      <c r="BQ132" s="137" t="s">
        <v>119</v>
      </c>
      <c r="BR132" s="138"/>
    </row>
    <row r="133" spans="1:70" ht="12.75" customHeight="1" x14ac:dyDescent="0.2">
      <c r="A133" s="2">
        <v>1622</v>
      </c>
      <c r="B133" s="2" t="s">
        <v>28</v>
      </c>
      <c r="C133" s="2" t="s">
        <v>92</v>
      </c>
      <c r="D133" s="2" t="s">
        <v>453</v>
      </c>
      <c r="E133" s="2" t="s">
        <v>87</v>
      </c>
      <c r="F133" s="132">
        <v>225700</v>
      </c>
      <c r="G133" s="132"/>
      <c r="H133" s="132">
        <f>100000+127410.19</f>
        <v>227410.19</v>
      </c>
      <c r="I133" s="132"/>
      <c r="J133" s="132">
        <f>15254.24+AS133+19435.45+107974.74</f>
        <v>227410.19</v>
      </c>
      <c r="K133" s="132">
        <f t="shared" si="20"/>
        <v>-1710.1900000000023</v>
      </c>
      <c r="L133" s="132">
        <f t="shared" si="16"/>
        <v>0</v>
      </c>
      <c r="M133" s="133">
        <v>2180</v>
      </c>
      <c r="N133" s="133">
        <f t="shared" si="21"/>
        <v>0</v>
      </c>
      <c r="O133" s="134">
        <v>0</v>
      </c>
      <c r="P133" s="133"/>
      <c r="Q133" s="2" t="s">
        <v>454</v>
      </c>
      <c r="R133" s="156">
        <f t="shared" si="18"/>
        <v>0</v>
      </c>
      <c r="S133" s="156">
        <f t="shared" si="17"/>
        <v>0</v>
      </c>
      <c r="T133" s="133"/>
      <c r="U133" s="133"/>
      <c r="V133" s="133"/>
      <c r="W133" s="133"/>
      <c r="X133" s="133"/>
      <c r="Y133" s="133"/>
      <c r="Z133" s="133"/>
      <c r="AA133" s="133"/>
      <c r="AB133" s="133"/>
      <c r="AC133" s="133"/>
      <c r="AD133" s="133"/>
      <c r="AE133" s="133"/>
      <c r="AF133" s="133"/>
      <c r="AG133" s="133"/>
      <c r="AH133" s="133"/>
      <c r="AI133" s="133"/>
      <c r="AJ133" s="133"/>
      <c r="AK133" s="133"/>
      <c r="AL133" s="133"/>
      <c r="AM133" s="133"/>
      <c r="AN133" s="133"/>
      <c r="AO133" s="133"/>
      <c r="AP133" s="133"/>
      <c r="AQ133" s="133"/>
      <c r="AR133" s="133"/>
      <c r="AS133" s="153">
        <v>84745.76</v>
      </c>
      <c r="AT133" s="153">
        <v>4368.4690000000001</v>
      </c>
      <c r="AU133" s="153">
        <v>0</v>
      </c>
      <c r="AV133" s="135">
        <v>0</v>
      </c>
      <c r="AW133" s="135">
        <v>0</v>
      </c>
      <c r="AX133" s="135">
        <f>(H133/1.18-AT133-AW133)*0.1</f>
        <v>18835.203099999999</v>
      </c>
      <c r="AY133" s="135"/>
      <c r="AZ133" s="135"/>
      <c r="BA133" s="135"/>
      <c r="BB133" s="135"/>
      <c r="BC133" s="135"/>
      <c r="BD133" s="135"/>
      <c r="BE133" s="135"/>
      <c r="BF133" s="135"/>
      <c r="BG133" s="135"/>
      <c r="BH133" s="135"/>
      <c r="BI133" s="2" t="s">
        <v>11</v>
      </c>
      <c r="BJ133" s="136">
        <v>45077</v>
      </c>
      <c r="BK133" s="2" t="s">
        <v>109</v>
      </c>
      <c r="BL133" s="136" t="s">
        <v>18</v>
      </c>
      <c r="BM133" s="136">
        <v>44641</v>
      </c>
      <c r="BN133" s="2" t="s">
        <v>1559</v>
      </c>
      <c r="BO133" s="2"/>
      <c r="BP133" s="136"/>
      <c r="BQ133" s="137" t="s">
        <v>119</v>
      </c>
      <c r="BR133" s="138"/>
    </row>
    <row r="134" spans="1:70" ht="12.75" customHeight="1" x14ac:dyDescent="0.2">
      <c r="A134" s="2">
        <v>1623</v>
      </c>
      <c r="B134" s="2" t="s">
        <v>137</v>
      </c>
      <c r="C134" s="131" t="s">
        <v>136</v>
      </c>
      <c r="D134" s="131" t="s">
        <v>456</v>
      </c>
      <c r="E134" s="2" t="s">
        <v>87</v>
      </c>
      <c r="F134" s="132">
        <v>53000</v>
      </c>
      <c r="G134" s="132" t="s">
        <v>3661</v>
      </c>
      <c r="H134" s="132"/>
      <c r="I134" s="132"/>
      <c r="J134" s="132"/>
      <c r="K134" s="132">
        <f t="shared" ref="K134:K165" si="23">F134-J134</f>
        <v>53000</v>
      </c>
      <c r="L134" s="132">
        <f t="shared" si="16"/>
        <v>0</v>
      </c>
      <c r="M134" s="133"/>
      <c r="N134" s="133">
        <f t="shared" si="21"/>
        <v>53000</v>
      </c>
      <c r="O134" s="134" t="s">
        <v>1705</v>
      </c>
      <c r="P134" s="133"/>
      <c r="Q134" s="2" t="s">
        <v>455</v>
      </c>
      <c r="R134" s="156">
        <f t="shared" si="18"/>
        <v>0</v>
      </c>
      <c r="S134" s="156">
        <f t="shared" si="17"/>
        <v>0</v>
      </c>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53">
        <v>0</v>
      </c>
      <c r="AT134" s="153">
        <v>0</v>
      </c>
      <c r="AU134" s="153">
        <v>0</v>
      </c>
      <c r="AV134" s="135"/>
      <c r="AW134" s="135"/>
      <c r="AX134" s="135"/>
      <c r="AY134" s="135"/>
      <c r="AZ134" s="135"/>
      <c r="BA134" s="135"/>
      <c r="BB134" s="135"/>
      <c r="BC134" s="135"/>
      <c r="BD134" s="135"/>
      <c r="BE134" s="135"/>
      <c r="BF134" s="135"/>
      <c r="BG134" s="135"/>
      <c r="BH134" s="135"/>
      <c r="BI134" s="2" t="s">
        <v>11</v>
      </c>
      <c r="BJ134" s="136"/>
      <c r="BK134" s="2">
        <v>0</v>
      </c>
      <c r="BL134" s="136" t="s">
        <v>18</v>
      </c>
      <c r="BM134" s="136">
        <v>44641</v>
      </c>
      <c r="BN134" s="2" t="s">
        <v>1560</v>
      </c>
      <c r="BO134" s="2"/>
      <c r="BP134" s="136" t="s">
        <v>687</v>
      </c>
      <c r="BQ134" s="137"/>
      <c r="BR134" s="138"/>
    </row>
    <row r="135" spans="1:70" ht="12.75" customHeight="1" x14ac:dyDescent="0.2">
      <c r="A135" s="2">
        <v>1600</v>
      </c>
      <c r="B135" s="2" t="s">
        <v>31</v>
      </c>
      <c r="C135" s="2" t="s">
        <v>35</v>
      </c>
      <c r="D135" s="2" t="s">
        <v>386</v>
      </c>
      <c r="E135" s="2" t="s">
        <v>71</v>
      </c>
      <c r="F135" s="132">
        <v>150000</v>
      </c>
      <c r="G135" s="132"/>
      <c r="H135" s="132">
        <f>45000+12000+5321</f>
        <v>62321</v>
      </c>
      <c r="I135" s="132"/>
      <c r="J135" s="132">
        <f>6864.41+1830.51+AS135+5321+N("გადმოვიდა წერილით 1.1.5-დან")</f>
        <v>62320.999999999993</v>
      </c>
      <c r="K135" s="132">
        <f t="shared" si="23"/>
        <v>87679</v>
      </c>
      <c r="L135" s="132">
        <f t="shared" si="16"/>
        <v>0</v>
      </c>
      <c r="M135" s="133">
        <v>1228</v>
      </c>
      <c r="N135" s="133">
        <f t="shared" si="21"/>
        <v>7.2759576141834259E-12</v>
      </c>
      <c r="O135" s="134">
        <v>0</v>
      </c>
      <c r="P135" s="133"/>
      <c r="Q135" s="2" t="s">
        <v>387</v>
      </c>
      <c r="R135" s="156">
        <f t="shared" si="18"/>
        <v>0</v>
      </c>
      <c r="S135" s="156">
        <f t="shared" si="17"/>
        <v>0</v>
      </c>
      <c r="T135" s="133"/>
      <c r="U135" s="133"/>
      <c r="V135" s="133"/>
      <c r="W135" s="133"/>
      <c r="X135" s="133"/>
      <c r="Y135" s="133"/>
      <c r="Z135" s="133"/>
      <c r="AA135" s="133"/>
      <c r="AB135" s="133"/>
      <c r="AC135" s="133"/>
      <c r="AD135" s="133"/>
      <c r="AE135" s="133"/>
      <c r="AF135" s="133"/>
      <c r="AG135" s="133"/>
      <c r="AH135" s="133"/>
      <c r="AI135" s="133"/>
      <c r="AJ135" s="133"/>
      <c r="AK135" s="133"/>
      <c r="AL135" s="133"/>
      <c r="AM135" s="133"/>
      <c r="AN135" s="133"/>
      <c r="AO135" s="133"/>
      <c r="AP135" s="133"/>
      <c r="AQ135" s="133"/>
      <c r="AR135" s="133"/>
      <c r="AS135" s="153">
        <f>38135.59+10169.49</f>
        <v>48305.079999999994</v>
      </c>
      <c r="AT135" s="153">
        <v>2133.75</v>
      </c>
      <c r="AU135" s="156">
        <f>IF(H135&lt;50000,0,IF(AT135&gt;0,(H135/1.18-AT135-H135/100*0.8)*0.1,(H135/1.18-H135/1.18/100*5.4-H135/100*0.8)*0.1))</f>
        <v>5018.2088779661026</v>
      </c>
      <c r="AV135" s="142"/>
      <c r="AW135" s="142"/>
      <c r="AX135" s="142"/>
      <c r="AY135" s="142"/>
      <c r="AZ135" s="142"/>
      <c r="BA135" s="142"/>
      <c r="BB135" s="142"/>
      <c r="BC135" s="142"/>
      <c r="BD135" s="142"/>
      <c r="BE135" s="135">
        <v>0</v>
      </c>
      <c r="BF135" s="135"/>
      <c r="BG135" s="142"/>
      <c r="BH135" s="142"/>
      <c r="BI135" s="2" t="s">
        <v>11</v>
      </c>
      <c r="BJ135" s="136">
        <v>44925</v>
      </c>
      <c r="BK135" s="2" t="s">
        <v>109</v>
      </c>
      <c r="BL135" s="136" t="s">
        <v>113</v>
      </c>
      <c r="BM135" s="136">
        <v>44680</v>
      </c>
      <c r="BN135" s="2" t="s">
        <v>1579</v>
      </c>
      <c r="BO135" s="2"/>
      <c r="BP135" s="136"/>
      <c r="BQ135" s="137" t="s">
        <v>119</v>
      </c>
      <c r="BR135" s="138"/>
    </row>
    <row r="136" spans="1:70" ht="12.75" customHeight="1" x14ac:dyDescent="0.2">
      <c r="A136" s="2">
        <v>1577</v>
      </c>
      <c r="B136" s="2" t="s">
        <v>100</v>
      </c>
      <c r="C136" s="2" t="s">
        <v>132</v>
      </c>
      <c r="D136" s="2" t="s">
        <v>330</v>
      </c>
      <c r="E136" s="2" t="s">
        <v>90</v>
      </c>
      <c r="F136" s="132">
        <v>50000</v>
      </c>
      <c r="G136" s="132"/>
      <c r="H136" s="132">
        <v>62290.37</v>
      </c>
      <c r="I136" s="132"/>
      <c r="J136" s="132">
        <f>9501.92+52788.45</f>
        <v>62290.369999999995</v>
      </c>
      <c r="K136" s="132">
        <f t="shared" si="23"/>
        <v>-12290.369999999995</v>
      </c>
      <c r="L136" s="132">
        <f t="shared" si="16"/>
        <v>0</v>
      </c>
      <c r="M136" s="133">
        <v>376</v>
      </c>
      <c r="N136" s="133">
        <f t="shared" si="21"/>
        <v>7.2759576141834259E-12</v>
      </c>
      <c r="O136" s="134">
        <v>0</v>
      </c>
      <c r="P136" s="133"/>
      <c r="Q136" s="2" t="s">
        <v>329</v>
      </c>
      <c r="R136" s="156">
        <f t="shared" si="18"/>
        <v>0</v>
      </c>
      <c r="S136" s="156">
        <f t="shared" si="17"/>
        <v>0</v>
      </c>
      <c r="T136" s="133"/>
      <c r="U136" s="133"/>
      <c r="V136" s="133"/>
      <c r="W136" s="133"/>
      <c r="X136" s="133"/>
      <c r="Y136" s="133"/>
      <c r="Z136" s="133"/>
      <c r="AA136" s="133"/>
      <c r="AB136" s="133"/>
      <c r="AC136" s="133"/>
      <c r="AD136" s="133"/>
      <c r="AE136" s="133"/>
      <c r="AF136" s="133"/>
      <c r="AG136" s="133"/>
      <c r="AH136" s="133"/>
      <c r="AI136" s="133"/>
      <c r="AJ136" s="133"/>
      <c r="AK136" s="133"/>
      <c r="AL136" s="133"/>
      <c r="AM136" s="133"/>
      <c r="AN136" s="133"/>
      <c r="AO136" s="133"/>
      <c r="AP136" s="133"/>
      <c r="AQ136" s="133"/>
      <c r="AR136" s="133"/>
      <c r="AS136" s="153">
        <v>0</v>
      </c>
      <c r="AT136" s="153">
        <v>0</v>
      </c>
      <c r="AU136" s="156">
        <f>IF(H136&lt;50000,0,IF(AT136&gt;0,(H136/1.18-AT136-H136/100*0.8)*0.1,(H136/1.18-H136/1.18/100*5.4-H136/100*0.8)*0.1))</f>
        <v>4943.9549938305099</v>
      </c>
      <c r="AV136" s="142"/>
      <c r="AW136" s="142"/>
      <c r="AX136" s="142"/>
      <c r="AY136" s="142"/>
      <c r="AZ136" s="142"/>
      <c r="BA136" s="142"/>
      <c r="BB136" s="142"/>
      <c r="BC136" s="142"/>
      <c r="BD136" s="142"/>
      <c r="BE136" s="142"/>
      <c r="BF136" s="142"/>
      <c r="BG136" s="142"/>
      <c r="BH136" s="142"/>
      <c r="BI136" s="2" t="s">
        <v>11</v>
      </c>
      <c r="BJ136" s="136">
        <v>44925</v>
      </c>
      <c r="BK136" s="2" t="s">
        <v>109</v>
      </c>
      <c r="BL136" s="136" t="s">
        <v>18</v>
      </c>
      <c r="BM136" s="136">
        <v>44676</v>
      </c>
      <c r="BN136" s="2" t="s">
        <v>1539</v>
      </c>
      <c r="BO136" s="2"/>
      <c r="BP136" s="136"/>
      <c r="BQ136" s="137"/>
      <c r="BR136" s="138"/>
    </row>
    <row r="137" spans="1:70" ht="12.75" customHeight="1" x14ac:dyDescent="0.2">
      <c r="A137" s="2">
        <v>1560</v>
      </c>
      <c r="B137" s="2" t="s">
        <v>39</v>
      </c>
      <c r="C137" s="2" t="s">
        <v>94</v>
      </c>
      <c r="D137" s="2" t="s">
        <v>283</v>
      </c>
      <c r="E137" s="2" t="s">
        <v>90</v>
      </c>
      <c r="F137" s="132">
        <v>30000</v>
      </c>
      <c r="G137" s="132"/>
      <c r="H137" s="132">
        <v>55782.94</v>
      </c>
      <c r="I137" s="132"/>
      <c r="J137" s="132">
        <f>8509.26+47273.68</f>
        <v>55782.94</v>
      </c>
      <c r="K137" s="132">
        <f t="shared" si="23"/>
        <v>-25782.940000000002</v>
      </c>
      <c r="L137" s="132">
        <f t="shared" si="16"/>
        <v>0</v>
      </c>
      <c r="M137" s="133">
        <v>1119</v>
      </c>
      <c r="N137" s="133">
        <f t="shared" si="21"/>
        <v>0</v>
      </c>
      <c r="O137" s="134">
        <v>0</v>
      </c>
      <c r="P137" s="133"/>
      <c r="Q137" s="2" t="s">
        <v>282</v>
      </c>
      <c r="R137" s="156">
        <f t="shared" si="18"/>
        <v>0</v>
      </c>
      <c r="S137" s="156">
        <f t="shared" si="17"/>
        <v>0</v>
      </c>
      <c r="T137" s="133"/>
      <c r="U137" s="133"/>
      <c r="V137" s="133"/>
      <c r="W137" s="133"/>
      <c r="X137" s="133"/>
      <c r="Y137" s="133"/>
      <c r="Z137" s="133"/>
      <c r="AA137" s="133"/>
      <c r="AB137" s="133"/>
      <c r="AC137" s="133"/>
      <c r="AD137" s="133"/>
      <c r="AE137" s="133"/>
      <c r="AF137" s="133"/>
      <c r="AG137" s="133"/>
      <c r="AH137" s="133"/>
      <c r="AI137" s="133"/>
      <c r="AJ137" s="133"/>
      <c r="AK137" s="133"/>
      <c r="AL137" s="133"/>
      <c r="AM137" s="133"/>
      <c r="AN137" s="133"/>
      <c r="AO137" s="133"/>
      <c r="AP137" s="133"/>
      <c r="AQ137" s="133"/>
      <c r="AR137" s="133"/>
      <c r="AS137" s="153">
        <v>0</v>
      </c>
      <c r="AT137" s="153">
        <v>0</v>
      </c>
      <c r="AU137" s="156">
        <f>IF(H137&lt;50000,0,IF(AT137&gt;0,(H137/1.18-AT137-H137/100*0.8)*0.1,(H137/1.18-H137/1.18/100*5.4-H137/100*0.8)*0.1))</f>
        <v>4427.4635835932204</v>
      </c>
      <c r="AV137" s="142"/>
      <c r="AW137" s="142"/>
      <c r="AX137" s="142"/>
      <c r="AY137" s="142"/>
      <c r="AZ137" s="142"/>
      <c r="BA137" s="142"/>
      <c r="BB137" s="142"/>
      <c r="BC137" s="142"/>
      <c r="BD137" s="142"/>
      <c r="BE137" s="142"/>
      <c r="BF137" s="142"/>
      <c r="BG137" s="142"/>
      <c r="BH137" s="142"/>
      <c r="BI137" s="2" t="s">
        <v>11</v>
      </c>
      <c r="BJ137" s="136">
        <v>44925</v>
      </c>
      <c r="BK137" s="2" t="s">
        <v>109</v>
      </c>
      <c r="BL137" s="136" t="s">
        <v>18</v>
      </c>
      <c r="BM137" s="136">
        <v>44676</v>
      </c>
      <c r="BN137" s="2" t="s">
        <v>1522</v>
      </c>
      <c r="BO137" s="2"/>
      <c r="BP137" s="136"/>
      <c r="BQ137" s="137"/>
      <c r="BR137" s="138"/>
    </row>
    <row r="138" spans="1:70" ht="12.75" customHeight="1" x14ac:dyDescent="0.2">
      <c r="A138" s="2">
        <v>1521</v>
      </c>
      <c r="B138" s="2" t="s">
        <v>54</v>
      </c>
      <c r="C138" s="2" t="s">
        <v>96</v>
      </c>
      <c r="D138" s="2" t="s">
        <v>476</v>
      </c>
      <c r="E138" s="2" t="s">
        <v>71</v>
      </c>
      <c r="F138" s="132">
        <v>64967</v>
      </c>
      <c r="G138" s="132"/>
      <c r="H138" s="132">
        <f>18624+34224</f>
        <v>52848</v>
      </c>
      <c r="I138" s="132"/>
      <c r="J138" s="132">
        <f>18624+5220.61+29003.39</f>
        <v>52848</v>
      </c>
      <c r="K138" s="132">
        <f t="shared" si="23"/>
        <v>12119</v>
      </c>
      <c r="L138" s="132">
        <f t="shared" si="16"/>
        <v>0</v>
      </c>
      <c r="M138" s="133">
        <v>1027</v>
      </c>
      <c r="N138" s="133">
        <f t="shared" si="21"/>
        <v>0</v>
      </c>
      <c r="O138" s="134">
        <v>0</v>
      </c>
      <c r="P138" s="133"/>
      <c r="Q138" s="2" t="s">
        <v>347</v>
      </c>
      <c r="R138" s="156">
        <f t="shared" si="18"/>
        <v>0</v>
      </c>
      <c r="S138" s="156">
        <f t="shared" si="17"/>
        <v>0</v>
      </c>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53">
        <v>0</v>
      </c>
      <c r="AT138" s="153">
        <v>0</v>
      </c>
      <c r="AU138" s="156">
        <f>IF(H138&lt;50000,0,IF(AT138&gt;0,(H138/1.18-AT138-H138/100*0.8)*0.1,(H138/1.18-H138/1.18/100*5.4-H138/100*0.8)*0.1))</f>
        <v>4194.5188881355934</v>
      </c>
      <c r="AV138" s="142"/>
      <c r="AW138" s="142"/>
      <c r="AX138" s="142"/>
      <c r="AY138" s="142"/>
      <c r="AZ138" s="142"/>
      <c r="BA138" s="142"/>
      <c r="BB138" s="142"/>
      <c r="BC138" s="142"/>
      <c r="BD138" s="142"/>
      <c r="BE138" s="135">
        <v>0</v>
      </c>
      <c r="BF138" s="135"/>
      <c r="BG138" s="142"/>
      <c r="BH138" s="142"/>
      <c r="BI138" s="2" t="s">
        <v>11</v>
      </c>
      <c r="BJ138" s="136">
        <v>44742</v>
      </c>
      <c r="BK138" s="2" t="s">
        <v>109</v>
      </c>
      <c r="BL138" s="136" t="s">
        <v>18</v>
      </c>
      <c r="BM138" s="136">
        <v>44642</v>
      </c>
      <c r="BN138" s="2" t="s">
        <v>187</v>
      </c>
      <c r="BO138" s="2" t="s">
        <v>188</v>
      </c>
      <c r="BP138" s="136"/>
      <c r="BQ138" s="137" t="s">
        <v>119</v>
      </c>
      <c r="BR138" s="138"/>
    </row>
    <row r="139" spans="1:70" ht="12.75" customHeight="1" x14ac:dyDescent="0.2">
      <c r="A139" s="2">
        <v>1628</v>
      </c>
      <c r="B139" s="2" t="s">
        <v>39</v>
      </c>
      <c r="C139" s="131" t="s">
        <v>94</v>
      </c>
      <c r="D139" s="131" t="s">
        <v>2058</v>
      </c>
      <c r="E139" s="2" t="s">
        <v>141</v>
      </c>
      <c r="F139" s="132">
        <v>801612</v>
      </c>
      <c r="G139" s="132"/>
      <c r="H139" s="132">
        <f>367500+291620+188255.33</f>
        <v>847375.33</v>
      </c>
      <c r="I139" s="132"/>
      <c r="J139" s="132">
        <f>200000+56059.32+100000+44484.41+150000+108000+28716.9147+160114.6853</f>
        <v>847375.33</v>
      </c>
      <c r="K139" s="132">
        <f t="shared" si="23"/>
        <v>-45763.329999999958</v>
      </c>
      <c r="L139" s="132">
        <f t="shared" ref="L139:L202" si="24">H139-J139</f>
        <v>0</v>
      </c>
      <c r="M139" s="133">
        <v>5512</v>
      </c>
      <c r="N139" s="133">
        <f t="shared" si="21"/>
        <v>0</v>
      </c>
      <c r="O139" s="134">
        <v>0</v>
      </c>
      <c r="P139" s="133"/>
      <c r="Q139" s="2" t="s">
        <v>473</v>
      </c>
      <c r="R139" s="156">
        <f t="shared" ref="R139:R202" si="25">T139+V139+X139+Z139+AB139+AD139+AF139+AH139+AJ139+AL139+AN139+AP139</f>
        <v>0</v>
      </c>
      <c r="S139" s="156">
        <f t="shared" ref="S139:S202" si="26">U139+W139+Y139+AA139+AC139+AE139+AG139+AI139+AK139+AM139+AO139+AQ139</f>
        <v>0</v>
      </c>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53">
        <v>0</v>
      </c>
      <c r="AT139" s="153">
        <v>0</v>
      </c>
      <c r="AU139" s="153">
        <v>0</v>
      </c>
      <c r="AV139" s="135"/>
      <c r="AW139" s="135"/>
      <c r="AX139" s="135"/>
      <c r="AY139" s="135"/>
      <c r="AZ139" s="135"/>
      <c r="BA139" s="135"/>
      <c r="BB139" s="135"/>
      <c r="BC139" s="135"/>
      <c r="BD139" s="135"/>
      <c r="BE139" s="135"/>
      <c r="BF139" s="135"/>
      <c r="BG139" s="135"/>
      <c r="BH139" s="135"/>
      <c r="BI139" s="2" t="s">
        <v>11</v>
      </c>
      <c r="BJ139" s="136">
        <v>45000</v>
      </c>
      <c r="BK139" s="2" t="s">
        <v>109</v>
      </c>
      <c r="BL139" s="136" t="s">
        <v>18</v>
      </c>
      <c r="BM139" s="136">
        <v>44725</v>
      </c>
      <c r="BN139" s="2" t="s">
        <v>1636</v>
      </c>
      <c r="BO139" s="2" t="s">
        <v>475</v>
      </c>
      <c r="BP139" s="136"/>
      <c r="BQ139" s="137"/>
      <c r="BR139" s="138"/>
    </row>
    <row r="140" spans="1:70" ht="12.75" customHeight="1" x14ac:dyDescent="0.2">
      <c r="A140" s="2">
        <v>1629</v>
      </c>
      <c r="B140" s="2" t="s">
        <v>39</v>
      </c>
      <c r="C140" s="2" t="s">
        <v>94</v>
      </c>
      <c r="D140" s="2" t="s">
        <v>493</v>
      </c>
      <c r="E140" s="2" t="s">
        <v>90</v>
      </c>
      <c r="F140" s="132">
        <v>160000</v>
      </c>
      <c r="G140" s="132">
        <v>2</v>
      </c>
      <c r="H140" s="132"/>
      <c r="I140" s="132"/>
      <c r="J140" s="132"/>
      <c r="K140" s="132">
        <f t="shared" si="23"/>
        <v>160000</v>
      </c>
      <c r="L140" s="132">
        <f t="shared" si="24"/>
        <v>0</v>
      </c>
      <c r="M140" s="133"/>
      <c r="N140" s="133">
        <f t="shared" si="21"/>
        <v>160000</v>
      </c>
      <c r="O140" s="134">
        <v>1</v>
      </c>
      <c r="P140" s="133"/>
      <c r="Q140" s="2" t="s">
        <v>477</v>
      </c>
      <c r="R140" s="156">
        <f t="shared" si="25"/>
        <v>0</v>
      </c>
      <c r="S140" s="156">
        <f t="shared" si="26"/>
        <v>0</v>
      </c>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53">
        <v>0</v>
      </c>
      <c r="AT140" s="153">
        <v>0</v>
      </c>
      <c r="AU140" s="153">
        <v>0</v>
      </c>
      <c r="AV140" s="135"/>
      <c r="AW140" s="135"/>
      <c r="AX140" s="135"/>
      <c r="AY140" s="135"/>
      <c r="AZ140" s="135"/>
      <c r="BA140" s="135"/>
      <c r="BB140" s="135"/>
      <c r="BC140" s="135"/>
      <c r="BD140" s="135"/>
      <c r="BE140" s="135"/>
      <c r="BF140" s="135"/>
      <c r="BG140" s="135"/>
      <c r="BH140" s="135"/>
      <c r="BI140" s="2" t="s">
        <v>11</v>
      </c>
      <c r="BJ140" s="136"/>
      <c r="BK140" s="2">
        <v>0</v>
      </c>
      <c r="BL140" s="136" t="s">
        <v>18</v>
      </c>
      <c r="BM140" s="136">
        <v>44720</v>
      </c>
      <c r="BN140" s="2" t="s">
        <v>492</v>
      </c>
      <c r="BO140" s="2"/>
      <c r="BP140" s="136" t="s">
        <v>3651</v>
      </c>
      <c r="BQ140" s="137"/>
      <c r="BR140" s="138"/>
    </row>
    <row r="141" spans="1:70" ht="12.75" customHeight="1" x14ac:dyDescent="0.2">
      <c r="A141" s="2">
        <v>1630</v>
      </c>
      <c r="B141" s="2" t="s">
        <v>100</v>
      </c>
      <c r="C141" s="2" t="s">
        <v>99</v>
      </c>
      <c r="D141" s="2" t="s">
        <v>705</v>
      </c>
      <c r="E141" s="2" t="s">
        <v>90</v>
      </c>
      <c r="F141" s="132">
        <v>46000</v>
      </c>
      <c r="G141" s="132"/>
      <c r="H141" s="132">
        <f>294+42188.67</f>
        <v>42482.67</v>
      </c>
      <c r="I141" s="132"/>
      <c r="J141" s="132">
        <f>44.847+6435.559+36002.264</f>
        <v>42482.670000000006</v>
      </c>
      <c r="K141" s="132">
        <f t="shared" si="23"/>
        <v>3517.3299999999945</v>
      </c>
      <c r="L141" s="132">
        <f t="shared" si="24"/>
        <v>0</v>
      </c>
      <c r="M141" s="133">
        <v>210</v>
      </c>
      <c r="N141" s="133">
        <f t="shared" si="21"/>
        <v>-7.2759576141834259E-12</v>
      </c>
      <c r="O141" s="134">
        <v>0</v>
      </c>
      <c r="P141" s="133"/>
      <c r="Q141" s="2" t="s">
        <v>706</v>
      </c>
      <c r="R141" s="156">
        <f t="shared" si="25"/>
        <v>0</v>
      </c>
      <c r="S141" s="156">
        <f t="shared" si="26"/>
        <v>0</v>
      </c>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53">
        <v>0</v>
      </c>
      <c r="AT141" s="153">
        <v>0</v>
      </c>
      <c r="AU141" s="153">
        <v>0</v>
      </c>
      <c r="AV141" s="135">
        <v>0</v>
      </c>
      <c r="AW141" s="135">
        <v>0</v>
      </c>
      <c r="AX141" s="142">
        <f>((H141-294)/1.18-AT141-AW141)*0.1</f>
        <v>3575.3110169491529</v>
      </c>
      <c r="AY141" s="142"/>
      <c r="AZ141" s="142"/>
      <c r="BA141" s="142"/>
      <c r="BB141" s="142"/>
      <c r="BC141" s="142"/>
      <c r="BD141" s="142"/>
      <c r="BE141" s="142"/>
      <c r="BF141" s="142"/>
      <c r="BG141" s="135"/>
      <c r="BH141" s="135"/>
      <c r="BI141" s="2" t="s">
        <v>11</v>
      </c>
      <c r="BJ141" s="136">
        <v>44985</v>
      </c>
      <c r="BK141" s="2" t="s">
        <v>8</v>
      </c>
      <c r="BL141" s="136" t="s">
        <v>113</v>
      </c>
      <c r="BM141" s="136">
        <v>44697</v>
      </c>
      <c r="BN141" s="2" t="s">
        <v>478</v>
      </c>
      <c r="BO141" s="2"/>
      <c r="BP141" s="136"/>
      <c r="BQ141" s="137" t="s">
        <v>119</v>
      </c>
      <c r="BR141" s="138"/>
    </row>
    <row r="142" spans="1:70" ht="12.75" customHeight="1" x14ac:dyDescent="0.2">
      <c r="A142" s="2">
        <v>1631</v>
      </c>
      <c r="B142" s="2" t="s">
        <v>108</v>
      </c>
      <c r="C142" s="2" t="s">
        <v>40</v>
      </c>
      <c r="D142" s="2" t="s">
        <v>709</v>
      </c>
      <c r="E142" s="2" t="s">
        <v>90</v>
      </c>
      <c r="F142" s="132">
        <v>16000</v>
      </c>
      <c r="G142" s="132"/>
      <c r="H142" s="132">
        <f>434+9978</f>
        <v>10412</v>
      </c>
      <c r="I142" s="132"/>
      <c r="J142" s="132">
        <f>66.203+1522.067+8823.73</f>
        <v>10412</v>
      </c>
      <c r="K142" s="132">
        <f t="shared" si="23"/>
        <v>5588</v>
      </c>
      <c r="L142" s="132">
        <f t="shared" si="24"/>
        <v>0</v>
      </c>
      <c r="M142" s="133">
        <v>248</v>
      </c>
      <c r="N142" s="133">
        <f t="shared" si="21"/>
        <v>0</v>
      </c>
      <c r="O142" s="134">
        <v>0</v>
      </c>
      <c r="P142" s="133"/>
      <c r="Q142" s="2" t="s">
        <v>710</v>
      </c>
      <c r="R142" s="156">
        <f t="shared" si="25"/>
        <v>0</v>
      </c>
      <c r="S142" s="156">
        <f t="shared" si="26"/>
        <v>0</v>
      </c>
      <c r="T142" s="133"/>
      <c r="U142" s="133"/>
      <c r="V142" s="133"/>
      <c r="W142" s="133"/>
      <c r="X142" s="133"/>
      <c r="Y142" s="133"/>
      <c r="Z142" s="133"/>
      <c r="AA142" s="133"/>
      <c r="AB142" s="133"/>
      <c r="AC142" s="133"/>
      <c r="AD142" s="133"/>
      <c r="AE142" s="133"/>
      <c r="AF142" s="133"/>
      <c r="AG142" s="133"/>
      <c r="AH142" s="133"/>
      <c r="AI142" s="133"/>
      <c r="AJ142" s="133"/>
      <c r="AK142" s="133"/>
      <c r="AL142" s="133"/>
      <c r="AM142" s="133"/>
      <c r="AN142" s="133"/>
      <c r="AO142" s="133"/>
      <c r="AP142" s="133"/>
      <c r="AQ142" s="133"/>
      <c r="AR142" s="133"/>
      <c r="AS142" s="153">
        <v>0</v>
      </c>
      <c r="AT142" s="153">
        <v>0</v>
      </c>
      <c r="AU142" s="153">
        <v>0</v>
      </c>
      <c r="AV142" s="135">
        <v>0</v>
      </c>
      <c r="AW142" s="135">
        <v>0</v>
      </c>
      <c r="AX142" s="142">
        <f>((H142-434)/1.18-AT142-AW142)*0.1</f>
        <v>845.5932203389832</v>
      </c>
      <c r="AY142" s="142"/>
      <c r="AZ142" s="142"/>
      <c r="BA142" s="142"/>
      <c r="BB142" s="142"/>
      <c r="BC142" s="142"/>
      <c r="BD142" s="142"/>
      <c r="BE142" s="142"/>
      <c r="BF142" s="142"/>
      <c r="BG142" s="135"/>
      <c r="BH142" s="135"/>
      <c r="BI142" s="2" t="s">
        <v>11</v>
      </c>
      <c r="BJ142" s="136">
        <v>44985</v>
      </c>
      <c r="BK142" s="2" t="s">
        <v>8</v>
      </c>
      <c r="BL142" s="136" t="s">
        <v>113</v>
      </c>
      <c r="BM142" s="136">
        <v>44753</v>
      </c>
      <c r="BN142" s="2" t="s">
        <v>482</v>
      </c>
      <c r="BO142" s="2"/>
      <c r="BP142" s="136"/>
      <c r="BQ142" s="137" t="s">
        <v>119</v>
      </c>
      <c r="BR142" s="138"/>
    </row>
    <row r="143" spans="1:70" ht="12.75" customHeight="1" x14ac:dyDescent="0.2">
      <c r="A143" s="2">
        <v>1632</v>
      </c>
      <c r="B143" s="2" t="s">
        <v>108</v>
      </c>
      <c r="C143" s="2" t="s">
        <v>40</v>
      </c>
      <c r="D143" s="2" t="s">
        <v>486</v>
      </c>
      <c r="E143" s="2" t="s">
        <v>90</v>
      </c>
      <c r="F143" s="132">
        <v>25000</v>
      </c>
      <c r="G143" s="132">
        <v>2</v>
      </c>
      <c r="H143" s="132">
        <f>R143</f>
        <v>1000000</v>
      </c>
      <c r="I143" s="132"/>
      <c r="J143" s="132">
        <f>S143+BC143</f>
        <v>700000</v>
      </c>
      <c r="K143" s="132">
        <f t="shared" si="23"/>
        <v>-675000</v>
      </c>
      <c r="L143" s="132">
        <f t="shared" si="24"/>
        <v>300000</v>
      </c>
      <c r="M143" s="133"/>
      <c r="N143" s="133">
        <f t="shared" ref="N143:N167" si="27">IF(OR(BK143="принят",BK143="Завершено",BK143="ПриПро"),H143-J143,F143-J143)</f>
        <v>-675000</v>
      </c>
      <c r="O143" s="134">
        <v>1</v>
      </c>
      <c r="P143" s="133"/>
      <c r="Q143" s="2" t="s">
        <v>483</v>
      </c>
      <c r="R143" s="156">
        <f t="shared" si="25"/>
        <v>1000000</v>
      </c>
      <c r="S143" s="156">
        <f t="shared" si="26"/>
        <v>106779.66</v>
      </c>
      <c r="T143" s="133"/>
      <c r="U143" s="133"/>
      <c r="V143" s="133"/>
      <c r="W143" s="133"/>
      <c r="X143" s="133"/>
      <c r="Y143" s="133"/>
      <c r="Z143" s="133">
        <v>700000</v>
      </c>
      <c r="AA143" s="133"/>
      <c r="AB143" s="133"/>
      <c r="AC143" s="133">
        <v>106779.66</v>
      </c>
      <c r="AD143" s="133"/>
      <c r="AE143" s="133"/>
      <c r="AF143" s="133"/>
      <c r="AG143" s="133"/>
      <c r="AH143" s="133"/>
      <c r="AI143" s="133"/>
      <c r="AJ143" s="133"/>
      <c r="AK143" s="133"/>
      <c r="AL143" s="133"/>
      <c r="AM143" s="133"/>
      <c r="AN143" s="133">
        <v>300000</v>
      </c>
      <c r="AO143" s="133"/>
      <c r="AP143" s="133"/>
      <c r="AQ143" s="133"/>
      <c r="AR143" s="133"/>
      <c r="AS143" s="153">
        <v>0</v>
      </c>
      <c r="AT143" s="153">
        <v>0</v>
      </c>
      <c r="AU143" s="153">
        <v>0</v>
      </c>
      <c r="AV143" s="135"/>
      <c r="AW143" s="135"/>
      <c r="AX143" s="135"/>
      <c r="AY143" s="135"/>
      <c r="AZ143" s="135"/>
      <c r="BA143" s="135"/>
      <c r="BB143" s="135"/>
      <c r="BC143" s="135">
        <v>593220.34</v>
      </c>
      <c r="BD143" s="135"/>
      <c r="BE143" s="135"/>
      <c r="BF143" s="135"/>
      <c r="BG143" s="135"/>
      <c r="BH143" s="135"/>
      <c r="BI143" s="2" t="s">
        <v>11</v>
      </c>
      <c r="BJ143" s="136"/>
      <c r="BK143" s="2">
        <v>70</v>
      </c>
      <c r="BL143" s="136" t="s">
        <v>113</v>
      </c>
      <c r="BM143" s="136">
        <v>44720</v>
      </c>
      <c r="BN143" s="2" t="s">
        <v>484</v>
      </c>
      <c r="BO143" s="2"/>
      <c r="BP143" s="136"/>
      <c r="BQ143" s="137" t="s">
        <v>119</v>
      </c>
      <c r="BR143" s="138"/>
    </row>
    <row r="144" spans="1:70" ht="12.75" customHeight="1" x14ac:dyDescent="0.2">
      <c r="A144" s="2">
        <v>1563</v>
      </c>
      <c r="B144" s="2" t="s">
        <v>39</v>
      </c>
      <c r="C144" s="2" t="s">
        <v>94</v>
      </c>
      <c r="D144" s="2" t="s">
        <v>289</v>
      </c>
      <c r="E144" s="2" t="s">
        <v>90</v>
      </c>
      <c r="F144" s="132">
        <v>80000</v>
      </c>
      <c r="G144" s="132"/>
      <c r="H144" s="132">
        <f>670.25+50560.07</f>
        <v>51230.32</v>
      </c>
      <c r="I144" s="132"/>
      <c r="J144" s="132">
        <f>102.24+7712.553+43415.527</f>
        <v>51230.32</v>
      </c>
      <c r="K144" s="132">
        <f t="shared" si="23"/>
        <v>28769.68</v>
      </c>
      <c r="L144" s="132">
        <f t="shared" si="24"/>
        <v>0</v>
      </c>
      <c r="M144" s="133">
        <v>364</v>
      </c>
      <c r="N144" s="133">
        <f t="shared" si="27"/>
        <v>0</v>
      </c>
      <c r="O144" s="134">
        <v>0</v>
      </c>
      <c r="P144" s="133"/>
      <c r="Q144" s="2" t="s">
        <v>290</v>
      </c>
      <c r="R144" s="156">
        <f t="shared" si="25"/>
        <v>0</v>
      </c>
      <c r="S144" s="156">
        <f t="shared" si="26"/>
        <v>0</v>
      </c>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53">
        <v>0</v>
      </c>
      <c r="AT144" s="153">
        <v>0</v>
      </c>
      <c r="AU144" s="156">
        <f>IF(H144&lt;50000,0,IF(AT144&gt;0,(H144/1.18-AT144-H144/100*0.8)*0.1,(H144/1.18-H144/1.18/100*5.4-H144/100*0.8)*0.1))</f>
        <v>4066.1244490847466</v>
      </c>
      <c r="AV144" s="142"/>
      <c r="AW144" s="142"/>
      <c r="AX144" s="142"/>
      <c r="AY144" s="142"/>
      <c r="AZ144" s="142"/>
      <c r="BA144" s="142"/>
      <c r="BB144" s="142"/>
      <c r="BC144" s="142"/>
      <c r="BD144" s="142"/>
      <c r="BE144" s="142"/>
      <c r="BF144" s="142"/>
      <c r="BG144" s="142"/>
      <c r="BH144" s="142"/>
      <c r="BI144" s="2" t="s">
        <v>11</v>
      </c>
      <c r="BJ144" s="136">
        <v>44925</v>
      </c>
      <c r="BK144" s="2" t="s">
        <v>109</v>
      </c>
      <c r="BL144" s="136" t="s">
        <v>18</v>
      </c>
      <c r="BM144" s="136">
        <v>44676</v>
      </c>
      <c r="BN144" s="2" t="s">
        <v>1525</v>
      </c>
      <c r="BO144" s="2"/>
      <c r="BP144" s="136" t="s">
        <v>689</v>
      </c>
      <c r="BQ144" s="137"/>
      <c r="BR144" s="138"/>
    </row>
    <row r="145" spans="1:70" ht="12.75" customHeight="1" x14ac:dyDescent="0.2">
      <c r="A145" s="2">
        <v>1634</v>
      </c>
      <c r="B145" s="2" t="s">
        <v>137</v>
      </c>
      <c r="C145" s="131" t="s">
        <v>136</v>
      </c>
      <c r="D145" s="131" t="s">
        <v>491</v>
      </c>
      <c r="E145" s="2" t="s">
        <v>87</v>
      </c>
      <c r="F145" s="132">
        <v>10000</v>
      </c>
      <c r="G145" s="132"/>
      <c r="H145" s="132">
        <v>9653.7000000000007</v>
      </c>
      <c r="I145" s="132"/>
      <c r="J145" s="132">
        <f>1472.598+8181.102</f>
        <v>9653.7000000000007</v>
      </c>
      <c r="K145" s="132">
        <f t="shared" si="23"/>
        <v>346.29999999999927</v>
      </c>
      <c r="L145" s="132">
        <f t="shared" si="24"/>
        <v>0</v>
      </c>
      <c r="M145" s="133">
        <v>106</v>
      </c>
      <c r="N145" s="133">
        <f t="shared" si="27"/>
        <v>0</v>
      </c>
      <c r="O145" s="134">
        <v>0</v>
      </c>
      <c r="P145" s="133"/>
      <c r="Q145" s="2" t="s">
        <v>489</v>
      </c>
      <c r="R145" s="156">
        <f t="shared" si="25"/>
        <v>0</v>
      </c>
      <c r="S145" s="156">
        <f t="shared" si="26"/>
        <v>0</v>
      </c>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56">
        <v>0</v>
      </c>
      <c r="AT145" s="156">
        <v>0</v>
      </c>
      <c r="AU145" s="156">
        <f>IF(H145&lt;50000,0,IF(AT145&gt;0,(H145/1.18-AT145-H145/100*0.8)*0.1,(H145/1.18-H145/1.18/100*5.4-H145/100*0.8)*0.1))</f>
        <v>0</v>
      </c>
      <c r="AV145" s="142"/>
      <c r="AW145" s="142"/>
      <c r="AX145" s="142"/>
      <c r="AY145" s="142"/>
      <c r="AZ145" s="142"/>
      <c r="BA145" s="142"/>
      <c r="BB145" s="142"/>
      <c r="BC145" s="142"/>
      <c r="BD145" s="142"/>
      <c r="BE145" s="142"/>
      <c r="BF145" s="142"/>
      <c r="BG145" s="142"/>
      <c r="BH145" s="142"/>
      <c r="BI145" s="2" t="s">
        <v>11</v>
      </c>
      <c r="BJ145" s="136">
        <v>44925</v>
      </c>
      <c r="BK145" s="2" t="s">
        <v>8</v>
      </c>
      <c r="BL145" s="136" t="s">
        <v>18</v>
      </c>
      <c r="BM145" s="136">
        <v>44756</v>
      </c>
      <c r="BN145" s="2" t="s">
        <v>490</v>
      </c>
      <c r="BO145" s="2"/>
      <c r="BP145" s="136"/>
      <c r="BQ145" s="137" t="s">
        <v>119</v>
      </c>
      <c r="BR145" s="138"/>
    </row>
    <row r="146" spans="1:70" ht="12.75" customHeight="1" x14ac:dyDescent="0.2">
      <c r="A146" s="2">
        <v>1635</v>
      </c>
      <c r="B146" s="2" t="s">
        <v>54</v>
      </c>
      <c r="C146" s="2" t="s">
        <v>16</v>
      </c>
      <c r="D146" s="2" t="s">
        <v>494</v>
      </c>
      <c r="E146" s="2" t="s">
        <v>71</v>
      </c>
      <c r="F146" s="132">
        <v>3929</v>
      </c>
      <c r="G146" s="132"/>
      <c r="H146" s="132">
        <v>3416</v>
      </c>
      <c r="I146" s="132"/>
      <c r="J146" s="132">
        <v>3416</v>
      </c>
      <c r="K146" s="132">
        <f t="shared" si="23"/>
        <v>513</v>
      </c>
      <c r="L146" s="132">
        <f t="shared" si="24"/>
        <v>0</v>
      </c>
      <c r="M146" s="133">
        <v>101</v>
      </c>
      <c r="N146" s="133">
        <f t="shared" si="27"/>
        <v>0</v>
      </c>
      <c r="O146" s="134">
        <v>0</v>
      </c>
      <c r="P146" s="133"/>
      <c r="Q146" s="2" t="s">
        <v>149</v>
      </c>
      <c r="R146" s="156">
        <f t="shared" si="25"/>
        <v>0</v>
      </c>
      <c r="S146" s="156">
        <f t="shared" si="26"/>
        <v>0</v>
      </c>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53">
        <v>0</v>
      </c>
      <c r="AT146" s="153">
        <v>0</v>
      </c>
      <c r="AU146" s="156">
        <f>IF(H146&lt;50000,0,IF(AT146&gt;0,(H146/1.18-AT146-H146/100*0.8)*0.1,(H146/1.18-H146/1.18/100*5.4-H146/100*0.8)*0.1))</f>
        <v>0</v>
      </c>
      <c r="AV146" s="142"/>
      <c r="AW146" s="142"/>
      <c r="AX146" s="142"/>
      <c r="AY146" s="142"/>
      <c r="AZ146" s="142"/>
      <c r="BA146" s="142"/>
      <c r="BB146" s="142"/>
      <c r="BC146" s="142"/>
      <c r="BD146" s="142"/>
      <c r="BE146" s="135">
        <v>0</v>
      </c>
      <c r="BF146" s="135"/>
      <c r="BG146" s="142"/>
      <c r="BH146" s="142"/>
      <c r="BI146" s="2" t="s">
        <v>149</v>
      </c>
      <c r="BJ146" s="136">
        <v>44792</v>
      </c>
      <c r="BK146" s="2" t="s">
        <v>8</v>
      </c>
      <c r="BL146" s="136" t="s">
        <v>113</v>
      </c>
      <c r="BM146" s="136">
        <v>44756</v>
      </c>
      <c r="BN146" s="2" t="s">
        <v>495</v>
      </c>
      <c r="BO146" s="2"/>
      <c r="BP146" s="136"/>
      <c r="BQ146" s="137" t="s">
        <v>119</v>
      </c>
      <c r="BR146" s="138"/>
    </row>
    <row r="147" spans="1:70" ht="12.75" customHeight="1" x14ac:dyDescent="0.2">
      <c r="A147" s="2">
        <v>1636</v>
      </c>
      <c r="B147" s="2" t="s">
        <v>108</v>
      </c>
      <c r="C147" s="2" t="s">
        <v>40</v>
      </c>
      <c r="D147" s="2" t="s">
        <v>499</v>
      </c>
      <c r="E147" s="2" t="s">
        <v>90</v>
      </c>
      <c r="F147" s="132">
        <v>7000</v>
      </c>
      <c r="G147" s="132"/>
      <c r="H147" s="132">
        <f>645.75+15261.87</f>
        <v>15907.62</v>
      </c>
      <c r="I147" s="132"/>
      <c r="J147" s="132">
        <f>98.504+2328.08+13481.036</f>
        <v>15907.619999999999</v>
      </c>
      <c r="K147" s="132">
        <f t="shared" si="23"/>
        <v>-8907.619999999999</v>
      </c>
      <c r="L147" s="132">
        <f t="shared" si="24"/>
        <v>0</v>
      </c>
      <c r="M147" s="133">
        <v>317</v>
      </c>
      <c r="N147" s="133">
        <f t="shared" si="27"/>
        <v>1.8189894035458565E-12</v>
      </c>
      <c r="O147" s="134">
        <v>0</v>
      </c>
      <c r="P147" s="133"/>
      <c r="Q147" s="2" t="s">
        <v>496</v>
      </c>
      <c r="R147" s="156">
        <f t="shared" si="25"/>
        <v>0</v>
      </c>
      <c r="S147" s="156">
        <f t="shared" si="26"/>
        <v>0</v>
      </c>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53">
        <v>0</v>
      </c>
      <c r="AT147" s="153">
        <v>0</v>
      </c>
      <c r="AU147" s="153">
        <v>0</v>
      </c>
      <c r="AV147" s="135">
        <v>0</v>
      </c>
      <c r="AW147" s="135">
        <v>0</v>
      </c>
      <c r="AX147" s="142">
        <f>((H147-645.75)/1.18-AT147-AW147)*0.1</f>
        <v>1293.3788135593222</v>
      </c>
      <c r="AY147" s="142"/>
      <c r="AZ147" s="142"/>
      <c r="BA147" s="142"/>
      <c r="BB147" s="142"/>
      <c r="BC147" s="142"/>
      <c r="BD147" s="142"/>
      <c r="BE147" s="142"/>
      <c r="BF147" s="142"/>
      <c r="BG147" s="135"/>
      <c r="BH147" s="135"/>
      <c r="BI147" s="2" t="s">
        <v>11</v>
      </c>
      <c r="BJ147" s="136">
        <v>44985</v>
      </c>
      <c r="BK147" s="2" t="s">
        <v>8</v>
      </c>
      <c r="BL147" s="136" t="s">
        <v>113</v>
      </c>
      <c r="BM147" s="136">
        <v>44762</v>
      </c>
      <c r="BN147" s="2" t="s">
        <v>502</v>
      </c>
      <c r="BO147" s="2"/>
      <c r="BP147" s="136"/>
      <c r="BQ147" s="137" t="s">
        <v>119</v>
      </c>
      <c r="BR147" s="138"/>
    </row>
    <row r="148" spans="1:70" ht="12.75" customHeight="1" x14ac:dyDescent="0.2">
      <c r="A148" s="2">
        <v>1637</v>
      </c>
      <c r="B148" s="2" t="s">
        <v>108</v>
      </c>
      <c r="C148" s="2" t="s">
        <v>60</v>
      </c>
      <c r="D148" s="2" t="s">
        <v>500</v>
      </c>
      <c r="E148" s="2" t="s">
        <v>90</v>
      </c>
      <c r="F148" s="132">
        <v>13000</v>
      </c>
      <c r="G148" s="132"/>
      <c r="H148" s="132">
        <f>217+8154.72</f>
        <v>8371.7200000000012</v>
      </c>
      <c r="I148" s="132"/>
      <c r="J148" s="132">
        <f>33.101+1243.94+7094.679</f>
        <v>8371.7200000000012</v>
      </c>
      <c r="K148" s="132">
        <f t="shared" si="23"/>
        <v>4628.2799999999988</v>
      </c>
      <c r="L148" s="132">
        <f t="shared" si="24"/>
        <v>0</v>
      </c>
      <c r="M148" s="133">
        <v>121.5</v>
      </c>
      <c r="N148" s="133">
        <f t="shared" si="27"/>
        <v>0</v>
      </c>
      <c r="O148" s="134">
        <v>0</v>
      </c>
      <c r="P148" s="133"/>
      <c r="Q148" s="2" t="s">
        <v>497</v>
      </c>
      <c r="R148" s="156">
        <f t="shared" si="25"/>
        <v>0</v>
      </c>
      <c r="S148" s="156">
        <f t="shared" si="26"/>
        <v>0</v>
      </c>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53">
        <v>0</v>
      </c>
      <c r="AT148" s="153">
        <v>0</v>
      </c>
      <c r="AU148" s="153">
        <v>0</v>
      </c>
      <c r="AV148" s="135">
        <v>0</v>
      </c>
      <c r="AW148" s="135">
        <v>0</v>
      </c>
      <c r="AX148" s="142">
        <f>((H148-217)/1.18-AT148-AW148)*0.1</f>
        <v>691.0779661016951</v>
      </c>
      <c r="AY148" s="142"/>
      <c r="AZ148" s="142"/>
      <c r="BA148" s="142"/>
      <c r="BB148" s="142"/>
      <c r="BC148" s="142"/>
      <c r="BD148" s="142"/>
      <c r="BE148" s="142"/>
      <c r="BF148" s="142"/>
      <c r="BG148" s="135"/>
      <c r="BH148" s="135"/>
      <c r="BI148" s="2" t="s">
        <v>11</v>
      </c>
      <c r="BJ148" s="136">
        <v>44985</v>
      </c>
      <c r="BK148" s="2" t="s">
        <v>8</v>
      </c>
      <c r="BL148" s="136" t="s">
        <v>113</v>
      </c>
      <c r="BM148" s="136">
        <v>44762</v>
      </c>
      <c r="BN148" s="2" t="s">
        <v>503</v>
      </c>
      <c r="BO148" s="2"/>
      <c r="BP148" s="136"/>
      <c r="BQ148" s="137" t="s">
        <v>119</v>
      </c>
      <c r="BR148" s="138"/>
    </row>
    <row r="149" spans="1:70" ht="12.75" customHeight="1" x14ac:dyDescent="0.2">
      <c r="A149" s="2">
        <v>1638</v>
      </c>
      <c r="B149" s="2" t="s">
        <v>108</v>
      </c>
      <c r="C149" s="2" t="s">
        <v>43</v>
      </c>
      <c r="D149" s="2" t="s">
        <v>707</v>
      </c>
      <c r="E149" s="2" t="s">
        <v>90</v>
      </c>
      <c r="F149" s="132">
        <v>25000</v>
      </c>
      <c r="G149" s="132"/>
      <c r="H149" s="132">
        <f>346.5+16147.62</f>
        <v>16494.120000000003</v>
      </c>
      <c r="I149" s="132"/>
      <c r="J149" s="132">
        <f>52.8559+2463.19+13978.0741</f>
        <v>16494.12</v>
      </c>
      <c r="K149" s="132">
        <f t="shared" si="23"/>
        <v>8505.880000000001</v>
      </c>
      <c r="L149" s="132">
        <f t="shared" si="24"/>
        <v>0</v>
      </c>
      <c r="M149" s="133">
        <v>192</v>
      </c>
      <c r="N149" s="133">
        <f t="shared" si="27"/>
        <v>3.637978807091713E-12</v>
      </c>
      <c r="O149" s="134">
        <v>0</v>
      </c>
      <c r="P149" s="133"/>
      <c r="Q149" s="2" t="s">
        <v>708</v>
      </c>
      <c r="R149" s="156">
        <f t="shared" si="25"/>
        <v>0</v>
      </c>
      <c r="S149" s="156">
        <f t="shared" si="26"/>
        <v>0</v>
      </c>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53">
        <v>0</v>
      </c>
      <c r="AT149" s="153">
        <v>0</v>
      </c>
      <c r="AU149" s="153">
        <v>0</v>
      </c>
      <c r="AV149" s="135">
        <v>0</v>
      </c>
      <c r="AW149" s="135">
        <v>0</v>
      </c>
      <c r="AX149" s="142">
        <f>((H149-346.5)/1.18-AT149-AW149)*0.1</f>
        <v>1368.4423728813563</v>
      </c>
      <c r="AY149" s="142"/>
      <c r="AZ149" s="142"/>
      <c r="BA149" s="142"/>
      <c r="BB149" s="142"/>
      <c r="BC149" s="142"/>
      <c r="BD149" s="142"/>
      <c r="BE149" s="142"/>
      <c r="BF149" s="142"/>
      <c r="BG149" s="135"/>
      <c r="BH149" s="135"/>
      <c r="BI149" s="2" t="s">
        <v>11</v>
      </c>
      <c r="BJ149" s="136">
        <v>44985</v>
      </c>
      <c r="BK149" s="2" t="s">
        <v>8</v>
      </c>
      <c r="BL149" s="136" t="s">
        <v>113</v>
      </c>
      <c r="BM149" s="136">
        <v>44762</v>
      </c>
      <c r="BN149" s="2" t="s">
        <v>504</v>
      </c>
      <c r="BO149" s="2"/>
      <c r="BP149" s="136"/>
      <c r="BQ149" s="137" t="s">
        <v>119</v>
      </c>
      <c r="BR149" s="138"/>
    </row>
    <row r="150" spans="1:70" ht="12.75" customHeight="1" x14ac:dyDescent="0.2">
      <c r="A150" s="2">
        <v>1639</v>
      </c>
      <c r="B150" s="2" t="s">
        <v>55</v>
      </c>
      <c r="C150" s="2" t="s">
        <v>26</v>
      </c>
      <c r="D150" s="2" t="s">
        <v>733</v>
      </c>
      <c r="E150" s="2" t="s">
        <v>115</v>
      </c>
      <c r="F150" s="132">
        <v>650000</v>
      </c>
      <c r="G150" s="132"/>
      <c r="H150" s="132">
        <f>996230+N("ამ თანხით მიღებულია ექსპლუატაციაში 2023-ის თებერვალში")+493060</f>
        <v>1489290</v>
      </c>
      <c r="I150" s="132"/>
      <c r="J150" s="132">
        <f>151967.29+844262.71+75212.54+417847.46</f>
        <v>1489290</v>
      </c>
      <c r="K150" s="132">
        <f t="shared" si="23"/>
        <v>-839290</v>
      </c>
      <c r="L150" s="132">
        <f t="shared" si="24"/>
        <v>0</v>
      </c>
      <c r="M150" s="133">
        <v>12928</v>
      </c>
      <c r="N150" s="133">
        <f t="shared" si="27"/>
        <v>0</v>
      </c>
      <c r="O150" s="134">
        <v>0</v>
      </c>
      <c r="P150" s="133"/>
      <c r="Q150" s="2" t="s">
        <v>524</v>
      </c>
      <c r="R150" s="156">
        <f t="shared" si="25"/>
        <v>0</v>
      </c>
      <c r="S150" s="156">
        <f t="shared" si="26"/>
        <v>0</v>
      </c>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53">
        <v>0</v>
      </c>
      <c r="AT150" s="153">
        <v>0</v>
      </c>
      <c r="AU150" s="153">
        <v>0</v>
      </c>
      <c r="AV150" s="135">
        <v>0</v>
      </c>
      <c r="AW150" s="135">
        <v>0</v>
      </c>
      <c r="AX150" s="135">
        <f>(H150/1.18-AT150-AW150)*0.1</f>
        <v>126211.01694915256</v>
      </c>
      <c r="AY150" s="135"/>
      <c r="AZ150" s="135"/>
      <c r="BA150" s="135"/>
      <c r="BB150" s="135"/>
      <c r="BC150" s="135"/>
      <c r="BD150" s="135"/>
      <c r="BE150" s="135"/>
      <c r="BF150" s="135"/>
      <c r="BG150" s="135"/>
      <c r="BH150" s="135"/>
      <c r="BI150" s="2" t="s">
        <v>11</v>
      </c>
      <c r="BJ150" s="136">
        <v>45077</v>
      </c>
      <c r="BK150" s="2" t="s">
        <v>109</v>
      </c>
      <c r="BL150" s="136" t="s">
        <v>113</v>
      </c>
      <c r="BM150" s="136">
        <v>44662</v>
      </c>
      <c r="BN150" s="2" t="s">
        <v>1635</v>
      </c>
      <c r="BO150" s="2"/>
      <c r="BP150" s="136"/>
      <c r="BQ150" s="137" t="s">
        <v>119</v>
      </c>
      <c r="BR150" s="138"/>
    </row>
    <row r="151" spans="1:70" ht="12.75" customHeight="1" x14ac:dyDescent="0.2">
      <c r="A151" s="2">
        <v>1640</v>
      </c>
      <c r="B151" s="2" t="s">
        <v>28</v>
      </c>
      <c r="C151" s="2" t="s">
        <v>56</v>
      </c>
      <c r="D151" s="2" t="s">
        <v>565</v>
      </c>
      <c r="E151" s="2" t="s">
        <v>117</v>
      </c>
      <c r="F151" s="132">
        <v>9282</v>
      </c>
      <c r="G151" s="132"/>
      <c r="H151" s="132">
        <v>9282</v>
      </c>
      <c r="I151" s="132"/>
      <c r="J151" s="132">
        <f>1415.9+7866.1</f>
        <v>9282</v>
      </c>
      <c r="K151" s="132">
        <f t="shared" si="23"/>
        <v>0</v>
      </c>
      <c r="L151" s="132">
        <f t="shared" si="24"/>
        <v>0</v>
      </c>
      <c r="M151" s="133"/>
      <c r="N151" s="133">
        <f t="shared" si="27"/>
        <v>0</v>
      </c>
      <c r="O151" s="134">
        <v>0</v>
      </c>
      <c r="P151" s="133"/>
      <c r="Q151" s="2" t="s">
        <v>564</v>
      </c>
      <c r="R151" s="156">
        <f t="shared" si="25"/>
        <v>0</v>
      </c>
      <c r="S151" s="156">
        <f t="shared" si="26"/>
        <v>0</v>
      </c>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53">
        <v>0</v>
      </c>
      <c r="AT151" s="153">
        <v>0</v>
      </c>
      <c r="AU151" s="153">
        <v>0</v>
      </c>
      <c r="AV151" s="135"/>
      <c r="AW151" s="135"/>
      <c r="AX151" s="135"/>
      <c r="AY151" s="135"/>
      <c r="AZ151" s="135"/>
      <c r="BA151" s="135"/>
      <c r="BB151" s="135"/>
      <c r="BC151" s="135"/>
      <c r="BD151" s="135"/>
      <c r="BE151" s="135"/>
      <c r="BF151" s="135"/>
      <c r="BG151" s="135"/>
      <c r="BH151" s="135"/>
      <c r="BI151" s="2" t="s">
        <v>112</v>
      </c>
      <c r="BJ151" s="136">
        <v>44879</v>
      </c>
      <c r="BK151" s="2" t="s">
        <v>145</v>
      </c>
      <c r="BL151" s="136" t="s">
        <v>113</v>
      </c>
      <c r="BM151" s="136">
        <v>44847</v>
      </c>
      <c r="BN151" s="2" t="s">
        <v>563</v>
      </c>
      <c r="BO151" s="2"/>
      <c r="BP151" s="136"/>
      <c r="BQ151" s="137"/>
      <c r="BR151" s="138"/>
    </row>
    <row r="152" spans="1:70" ht="12.75" customHeight="1" x14ac:dyDescent="0.2">
      <c r="A152" s="2">
        <v>1641</v>
      </c>
      <c r="B152" s="2" t="s">
        <v>28</v>
      </c>
      <c r="C152" s="2" t="s">
        <v>56</v>
      </c>
      <c r="D152" s="2" t="s">
        <v>566</v>
      </c>
      <c r="E152" s="2" t="s">
        <v>87</v>
      </c>
      <c r="F152" s="132">
        <v>61800</v>
      </c>
      <c r="G152" s="132"/>
      <c r="H152" s="132">
        <v>48342.67</v>
      </c>
      <c r="I152" s="132"/>
      <c r="J152" s="132">
        <f>7374.305+40968.365</f>
        <v>48342.67</v>
      </c>
      <c r="K152" s="132">
        <f t="shared" si="23"/>
        <v>13457.330000000002</v>
      </c>
      <c r="L152" s="132">
        <f t="shared" si="24"/>
        <v>0</v>
      </c>
      <c r="M152" s="133">
        <v>220</v>
      </c>
      <c r="N152" s="133">
        <f t="shared" si="27"/>
        <v>0</v>
      </c>
      <c r="O152" s="134">
        <v>0</v>
      </c>
      <c r="P152" s="133"/>
      <c r="Q152" s="2" t="s">
        <v>3738</v>
      </c>
      <c r="R152" s="156">
        <f t="shared" si="25"/>
        <v>0</v>
      </c>
      <c r="S152" s="156">
        <f t="shared" si="26"/>
        <v>0</v>
      </c>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56">
        <v>0</v>
      </c>
      <c r="AT152" s="156">
        <v>0</v>
      </c>
      <c r="AU152" s="156">
        <f>IF(H152&lt;50000,0,IF(AT152&gt;0,(H152/1.18-AT152-H152/100*0.8)*0.1,(H152/1.18-H152/1.18/100*5.4-H152/100*0.8)*0.1))</f>
        <v>0</v>
      </c>
      <c r="AV152" s="142"/>
      <c r="AW152" s="142"/>
      <c r="AX152" s="142"/>
      <c r="AY152" s="142"/>
      <c r="AZ152" s="142"/>
      <c r="BA152" s="142"/>
      <c r="BB152" s="142"/>
      <c r="BC152" s="142"/>
      <c r="BD152" s="142"/>
      <c r="BE152" s="142"/>
      <c r="BF152" s="142"/>
      <c r="BG152" s="142"/>
      <c r="BH152" s="142"/>
      <c r="BI152" s="2" t="s">
        <v>11</v>
      </c>
      <c r="BJ152" s="136">
        <v>44925</v>
      </c>
      <c r="BK152" s="2" t="s">
        <v>109</v>
      </c>
      <c r="BL152" s="136" t="s">
        <v>113</v>
      </c>
      <c r="BM152" s="136">
        <v>44881</v>
      </c>
      <c r="BN152" s="2" t="s">
        <v>567</v>
      </c>
      <c r="BO152" s="2"/>
      <c r="BP152" s="136"/>
      <c r="BQ152" s="137"/>
      <c r="BR152" s="138"/>
    </row>
    <row r="153" spans="1:70" ht="12.75" customHeight="1" x14ac:dyDescent="0.2">
      <c r="A153" s="2">
        <v>1642</v>
      </c>
      <c r="B153" s="2" t="s">
        <v>54</v>
      </c>
      <c r="C153" s="2" t="s">
        <v>97</v>
      </c>
      <c r="D153" s="2" t="s">
        <v>575</v>
      </c>
      <c r="E153" s="2" t="s">
        <v>71</v>
      </c>
      <c r="F153" s="132">
        <v>42000</v>
      </c>
      <c r="G153" s="132"/>
      <c r="H153" s="132">
        <f>70+29006</f>
        <v>29076</v>
      </c>
      <c r="I153" s="132"/>
      <c r="J153" s="132">
        <f>4435.322+24640.678</f>
        <v>29076</v>
      </c>
      <c r="K153" s="132">
        <f t="shared" si="23"/>
        <v>12924</v>
      </c>
      <c r="L153" s="132">
        <f t="shared" si="24"/>
        <v>0</v>
      </c>
      <c r="M153" s="133">
        <v>41</v>
      </c>
      <c r="N153" s="133">
        <f t="shared" si="27"/>
        <v>0</v>
      </c>
      <c r="O153" s="134">
        <v>0</v>
      </c>
      <c r="P153" s="133"/>
      <c r="Q153" s="2" t="s">
        <v>3739</v>
      </c>
      <c r="R153" s="156">
        <f t="shared" si="25"/>
        <v>0</v>
      </c>
      <c r="S153" s="156">
        <f t="shared" si="26"/>
        <v>0</v>
      </c>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53">
        <v>0</v>
      </c>
      <c r="AT153" s="153">
        <v>0</v>
      </c>
      <c r="AU153" s="153">
        <v>0</v>
      </c>
      <c r="AV153" s="135"/>
      <c r="AW153" s="135"/>
      <c r="AX153" s="135">
        <f>((H153-70)/1.18-AT153-AW153)*0.1</f>
        <v>2458.1355932203392</v>
      </c>
      <c r="AY153" s="135"/>
      <c r="AZ153" s="135"/>
      <c r="BA153" s="135"/>
      <c r="BB153" s="135"/>
      <c r="BC153" s="135"/>
      <c r="BD153" s="135"/>
      <c r="BE153" s="135">
        <v>0</v>
      </c>
      <c r="BF153" s="135"/>
      <c r="BG153" s="135"/>
      <c r="BH153" s="135"/>
      <c r="BI153" s="2" t="s">
        <v>11</v>
      </c>
      <c r="BJ153" s="136">
        <v>45015</v>
      </c>
      <c r="BK153" s="2" t="s">
        <v>109</v>
      </c>
      <c r="BL153" s="136" t="s">
        <v>18</v>
      </c>
      <c r="BM153" s="136">
        <v>44867</v>
      </c>
      <c r="BN153" s="2" t="s">
        <v>568</v>
      </c>
      <c r="BO153" s="2"/>
      <c r="BP153" s="136" t="s">
        <v>694</v>
      </c>
      <c r="BQ153" s="137" t="s">
        <v>119</v>
      </c>
      <c r="BR153" s="138"/>
    </row>
    <row r="154" spans="1:70" ht="12.75" customHeight="1" x14ac:dyDescent="0.2">
      <c r="A154" s="2">
        <v>1643</v>
      </c>
      <c r="B154" s="2" t="s">
        <v>39</v>
      </c>
      <c r="C154" s="2" t="s">
        <v>94</v>
      </c>
      <c r="D154" s="2" t="s">
        <v>574</v>
      </c>
      <c r="E154" s="2" t="s">
        <v>90</v>
      </c>
      <c r="F154" s="132">
        <v>81000</v>
      </c>
      <c r="G154" s="132"/>
      <c r="H154" s="132">
        <f>2558.5+70672.08</f>
        <v>73230.58</v>
      </c>
      <c r="I154" s="132">
        <f>H154-2558.5</f>
        <v>70672.08</v>
      </c>
      <c r="J154" s="132">
        <f>390.279+10780.49+62059.811</f>
        <v>73230.58</v>
      </c>
      <c r="K154" s="132">
        <f t="shared" si="23"/>
        <v>7769.4199999999983</v>
      </c>
      <c r="L154" s="132">
        <f t="shared" si="24"/>
        <v>0</v>
      </c>
      <c r="M154" s="133">
        <v>1055.3</v>
      </c>
      <c r="N154" s="133">
        <f t="shared" si="27"/>
        <v>0</v>
      </c>
      <c r="O154" s="134">
        <v>0</v>
      </c>
      <c r="P154" s="133"/>
      <c r="Q154" s="2" t="s">
        <v>3740</v>
      </c>
      <c r="R154" s="156">
        <f t="shared" si="25"/>
        <v>0</v>
      </c>
      <c r="S154" s="156">
        <f t="shared" si="26"/>
        <v>0</v>
      </c>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53">
        <v>0</v>
      </c>
      <c r="AT154" s="153">
        <v>0</v>
      </c>
      <c r="AU154" s="153">
        <v>0</v>
      </c>
      <c r="AV154" s="135">
        <v>0</v>
      </c>
      <c r="AW154" s="135">
        <v>0</v>
      </c>
      <c r="AX154" s="142">
        <f>((H154-2558.5)/1.18-AT154-AW154)*0.1</f>
        <v>5989.1593220338991</v>
      </c>
      <c r="AY154" s="142"/>
      <c r="AZ154" s="142"/>
      <c r="BA154" s="142"/>
      <c r="BB154" s="142"/>
      <c r="BC154" s="142"/>
      <c r="BD154" s="142"/>
      <c r="BE154" s="142"/>
      <c r="BF154" s="142"/>
      <c r="BG154" s="135"/>
      <c r="BH154" s="135"/>
      <c r="BI154" s="2" t="s">
        <v>11</v>
      </c>
      <c r="BJ154" s="136">
        <v>44985</v>
      </c>
      <c r="BK154" s="2" t="s">
        <v>8</v>
      </c>
      <c r="BL154" s="136" t="s">
        <v>18</v>
      </c>
      <c r="BM154" s="136">
        <v>44872</v>
      </c>
      <c r="BN154" s="2" t="s">
        <v>569</v>
      </c>
      <c r="BO154" s="2"/>
      <c r="BP154" s="136"/>
      <c r="BQ154" s="137" t="s">
        <v>119</v>
      </c>
      <c r="BR154" s="138"/>
    </row>
    <row r="155" spans="1:70" ht="12.75" customHeight="1" x14ac:dyDescent="0.2">
      <c r="A155" s="2">
        <v>1644</v>
      </c>
      <c r="B155" s="2" t="s">
        <v>39</v>
      </c>
      <c r="C155" s="2" t="s">
        <v>74</v>
      </c>
      <c r="D155" s="2" t="s">
        <v>573</v>
      </c>
      <c r="E155" s="2" t="s">
        <v>90</v>
      </c>
      <c r="F155" s="132">
        <v>37000</v>
      </c>
      <c r="G155" s="132"/>
      <c r="H155" s="132">
        <f>46690.54+1835.75</f>
        <v>48526.29</v>
      </c>
      <c r="I155" s="132"/>
      <c r="J155" s="132">
        <f>280.029+7122.285+41123.976</f>
        <v>48526.29</v>
      </c>
      <c r="K155" s="132">
        <f t="shared" si="23"/>
        <v>-11526.29</v>
      </c>
      <c r="L155" s="132">
        <f t="shared" si="24"/>
        <v>0</v>
      </c>
      <c r="M155" s="133">
        <v>832.8</v>
      </c>
      <c r="N155" s="133">
        <f t="shared" si="27"/>
        <v>0</v>
      </c>
      <c r="O155" s="134">
        <v>0</v>
      </c>
      <c r="P155" s="133"/>
      <c r="Q155" s="2" t="s">
        <v>3741</v>
      </c>
      <c r="R155" s="156">
        <f t="shared" si="25"/>
        <v>0</v>
      </c>
      <c r="S155" s="156">
        <f t="shared" si="26"/>
        <v>0</v>
      </c>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53">
        <v>0</v>
      </c>
      <c r="AT155" s="153">
        <v>0</v>
      </c>
      <c r="AU155" s="156">
        <f>IF(H155&lt;50000,0,IF(AT155&gt;0,(H155/1.18-AT155-H155/100*0.8)*0.1,(H155/1.18-H155/1.18/100*5.4-H155/100*0.8)*0.1))</f>
        <v>0</v>
      </c>
      <c r="AV155" s="142"/>
      <c r="AW155" s="142"/>
      <c r="AX155" s="142"/>
      <c r="AY155" s="142"/>
      <c r="AZ155" s="142"/>
      <c r="BA155" s="142"/>
      <c r="BB155" s="142"/>
      <c r="BC155" s="142"/>
      <c r="BD155" s="142"/>
      <c r="BE155" s="142"/>
      <c r="BF155" s="142"/>
      <c r="BG155" s="142"/>
      <c r="BH155" s="142"/>
      <c r="BI155" s="2" t="s">
        <v>11</v>
      </c>
      <c r="BJ155" s="136">
        <v>44925</v>
      </c>
      <c r="BK155" s="2" t="s">
        <v>109</v>
      </c>
      <c r="BL155" s="136" t="s">
        <v>18</v>
      </c>
      <c r="BM155" s="136">
        <v>44886</v>
      </c>
      <c r="BN155" s="2" t="s">
        <v>570</v>
      </c>
      <c r="BO155" s="2"/>
      <c r="BP155" s="136"/>
      <c r="BQ155" s="137"/>
      <c r="BR155" s="138"/>
    </row>
    <row r="156" spans="1:70" ht="12.75" customHeight="1" x14ac:dyDescent="0.2">
      <c r="A156" s="2">
        <v>1645</v>
      </c>
      <c r="B156" s="2" t="s">
        <v>39</v>
      </c>
      <c r="C156" s="2" t="s">
        <v>74</v>
      </c>
      <c r="D156" s="2" t="s">
        <v>572</v>
      </c>
      <c r="E156" s="2" t="s">
        <v>90</v>
      </c>
      <c r="F156" s="132">
        <v>27000</v>
      </c>
      <c r="G156" s="132"/>
      <c r="H156" s="132">
        <f>24010.1</f>
        <v>24010.1</v>
      </c>
      <c r="I156" s="132"/>
      <c r="J156" s="132">
        <f>3662.557+20347.543</f>
        <v>24010.100000000002</v>
      </c>
      <c r="K156" s="132">
        <f t="shared" si="23"/>
        <v>2989.8999999999978</v>
      </c>
      <c r="L156" s="132">
        <f t="shared" si="24"/>
        <v>0</v>
      </c>
      <c r="M156" s="133">
        <v>433</v>
      </c>
      <c r="N156" s="133">
        <f t="shared" si="27"/>
        <v>-3.637978807091713E-12</v>
      </c>
      <c r="O156" s="134">
        <v>0</v>
      </c>
      <c r="P156" s="133"/>
      <c r="Q156" s="2" t="s">
        <v>3742</v>
      </c>
      <c r="R156" s="156">
        <f t="shared" si="25"/>
        <v>0</v>
      </c>
      <c r="S156" s="156">
        <f t="shared" si="26"/>
        <v>0</v>
      </c>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53">
        <v>0</v>
      </c>
      <c r="AT156" s="153">
        <v>0</v>
      </c>
      <c r="AU156" s="156">
        <f>IF(H156&lt;50000,0,IF(AT156&gt;0,(H156/1.18-AT156-H156/100*0.8)*0.1,(H156/1.18-H156/1.18/100*5.4-H156/100*0.8)*0.1))</f>
        <v>0</v>
      </c>
      <c r="AV156" s="142"/>
      <c r="AW156" s="142"/>
      <c r="AX156" s="142"/>
      <c r="AY156" s="142"/>
      <c r="AZ156" s="142"/>
      <c r="BA156" s="142"/>
      <c r="BB156" s="142"/>
      <c r="BC156" s="142"/>
      <c r="BD156" s="142"/>
      <c r="BE156" s="142"/>
      <c r="BF156" s="142"/>
      <c r="BG156" s="142"/>
      <c r="BH156" s="142"/>
      <c r="BI156" s="2" t="s">
        <v>11</v>
      </c>
      <c r="BJ156" s="136">
        <v>44925</v>
      </c>
      <c r="BK156" s="2" t="s">
        <v>109</v>
      </c>
      <c r="BL156" s="136" t="s">
        <v>18</v>
      </c>
      <c r="BM156" s="136">
        <v>44872</v>
      </c>
      <c r="BN156" s="2" t="s">
        <v>571</v>
      </c>
      <c r="BO156" s="2"/>
      <c r="BP156" s="136"/>
      <c r="BQ156" s="137"/>
      <c r="BR156" s="138"/>
    </row>
    <row r="157" spans="1:70" ht="12.75" customHeight="1" x14ac:dyDescent="0.2">
      <c r="A157" s="2">
        <v>1646</v>
      </c>
      <c r="B157" s="2" t="s">
        <v>108</v>
      </c>
      <c r="C157" s="2" t="s">
        <v>40</v>
      </c>
      <c r="D157" s="2" t="s">
        <v>640</v>
      </c>
      <c r="E157" s="2" t="s">
        <v>90</v>
      </c>
      <c r="F157" s="132">
        <v>12000</v>
      </c>
      <c r="G157" s="132"/>
      <c r="H157" s="132">
        <f>7985.85</f>
        <v>7985.85</v>
      </c>
      <c r="I157" s="132"/>
      <c r="J157" s="132">
        <f>1218.18+6767.67</f>
        <v>7985.85</v>
      </c>
      <c r="K157" s="132">
        <f t="shared" si="23"/>
        <v>4014.1499999999996</v>
      </c>
      <c r="L157" s="132">
        <f t="shared" si="24"/>
        <v>0</v>
      </c>
      <c r="M157" s="133">
        <v>142.19999999999999</v>
      </c>
      <c r="N157" s="133">
        <f t="shared" si="27"/>
        <v>0</v>
      </c>
      <c r="O157" s="134">
        <v>0</v>
      </c>
      <c r="P157" s="133"/>
      <c r="Q157" s="2" t="s">
        <v>498</v>
      </c>
      <c r="R157" s="156">
        <f t="shared" si="25"/>
        <v>0</v>
      </c>
      <c r="S157" s="156">
        <f t="shared" si="26"/>
        <v>0</v>
      </c>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53">
        <v>0</v>
      </c>
      <c r="AT157" s="153">
        <v>0</v>
      </c>
      <c r="AU157" s="153">
        <v>0</v>
      </c>
      <c r="AV157" s="135">
        <v>0</v>
      </c>
      <c r="AW157" s="135">
        <v>0</v>
      </c>
      <c r="AX157" s="142">
        <f>(H157/1.18-AT157-AW157)*0.1</f>
        <v>676.76694915254257</v>
      </c>
      <c r="AY157" s="142"/>
      <c r="AZ157" s="142"/>
      <c r="BA157" s="142"/>
      <c r="BB157" s="142"/>
      <c r="BC157" s="142"/>
      <c r="BD157" s="142"/>
      <c r="BE157" s="142"/>
      <c r="BF157" s="142"/>
      <c r="BG157" s="135"/>
      <c r="BH157" s="135"/>
      <c r="BI157" s="2" t="s">
        <v>11</v>
      </c>
      <c r="BJ157" s="136">
        <v>44985</v>
      </c>
      <c r="BK157" s="2" t="s">
        <v>8</v>
      </c>
      <c r="BL157" s="136" t="s">
        <v>113</v>
      </c>
      <c r="BM157" s="136">
        <v>44875</v>
      </c>
      <c r="BN157" s="2" t="s">
        <v>576</v>
      </c>
      <c r="BO157" s="2"/>
      <c r="BP157" s="136"/>
      <c r="BQ157" s="137" t="s">
        <v>119</v>
      </c>
      <c r="BR157" s="138"/>
    </row>
    <row r="158" spans="1:70" ht="12.75" customHeight="1" x14ac:dyDescent="0.2">
      <c r="A158" s="2">
        <v>1647</v>
      </c>
      <c r="B158" s="2" t="s">
        <v>108</v>
      </c>
      <c r="C158" s="2" t="s">
        <v>40</v>
      </c>
      <c r="D158" s="2" t="s">
        <v>641</v>
      </c>
      <c r="E158" s="2" t="s">
        <v>90</v>
      </c>
      <c r="F158" s="132">
        <v>120000</v>
      </c>
      <c r="G158" s="132"/>
      <c r="H158" s="132">
        <f>1018.5+121694.84</f>
        <v>122713.34</v>
      </c>
      <c r="I158" s="132"/>
      <c r="J158" s="132">
        <f>155.364+18563.619+103994.357</f>
        <v>122713.34</v>
      </c>
      <c r="K158" s="132">
        <f t="shared" si="23"/>
        <v>-2713.3399999999965</v>
      </c>
      <c r="L158" s="132">
        <f t="shared" si="24"/>
        <v>0</v>
      </c>
      <c r="M158" s="133">
        <v>612</v>
      </c>
      <c r="N158" s="133">
        <f t="shared" si="27"/>
        <v>0</v>
      </c>
      <c r="O158" s="134">
        <v>0</v>
      </c>
      <c r="P158" s="133"/>
      <c r="Q158" s="2" t="s">
        <v>3743</v>
      </c>
      <c r="R158" s="156">
        <f t="shared" si="25"/>
        <v>0</v>
      </c>
      <c r="S158" s="156">
        <f t="shared" si="26"/>
        <v>0</v>
      </c>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53">
        <v>0</v>
      </c>
      <c r="AT158" s="153">
        <v>0</v>
      </c>
      <c r="AU158" s="153">
        <v>0</v>
      </c>
      <c r="AV158" s="135">
        <v>0</v>
      </c>
      <c r="AW158" s="135">
        <v>0</v>
      </c>
      <c r="AX158" s="142">
        <f>((H158-1018.5)/1.18-AT158-AW158)*0.1</f>
        <v>10313.122033898306</v>
      </c>
      <c r="AY158" s="142"/>
      <c r="AZ158" s="142"/>
      <c r="BA158" s="142"/>
      <c r="BB158" s="142"/>
      <c r="BC158" s="142"/>
      <c r="BD158" s="142"/>
      <c r="BE158" s="142"/>
      <c r="BF158" s="142"/>
      <c r="BG158" s="135"/>
      <c r="BH158" s="135"/>
      <c r="BI158" s="2" t="s">
        <v>11</v>
      </c>
      <c r="BJ158" s="136">
        <v>44985</v>
      </c>
      <c r="BK158" s="2" t="s">
        <v>8</v>
      </c>
      <c r="BL158" s="136" t="s">
        <v>113</v>
      </c>
      <c r="BM158" s="136">
        <v>44876</v>
      </c>
      <c r="BN158" s="2" t="s">
        <v>578</v>
      </c>
      <c r="BO158" s="2"/>
      <c r="BP158" s="136"/>
      <c r="BQ158" s="137" t="s">
        <v>119</v>
      </c>
      <c r="BR158" s="138"/>
    </row>
    <row r="159" spans="1:70" ht="12.75" customHeight="1" x14ac:dyDescent="0.2">
      <c r="A159" s="2">
        <v>1648</v>
      </c>
      <c r="B159" s="2" t="s">
        <v>108</v>
      </c>
      <c r="C159" s="2" t="s">
        <v>40</v>
      </c>
      <c r="D159" s="2" t="s">
        <v>642</v>
      </c>
      <c r="E159" s="2" t="s">
        <v>90</v>
      </c>
      <c r="F159" s="132">
        <v>22000</v>
      </c>
      <c r="G159" s="132"/>
      <c r="H159" s="132">
        <f>318.5+12162.35</f>
        <v>12480.85</v>
      </c>
      <c r="I159" s="132"/>
      <c r="J159" s="132">
        <f>48.5847+1855.27+10576.9953</f>
        <v>12480.85</v>
      </c>
      <c r="K159" s="132">
        <f t="shared" si="23"/>
        <v>9519.15</v>
      </c>
      <c r="L159" s="132">
        <f t="shared" si="24"/>
        <v>0</v>
      </c>
      <c r="M159" s="133">
        <v>233</v>
      </c>
      <c r="N159" s="133">
        <f t="shared" si="27"/>
        <v>0</v>
      </c>
      <c r="O159" s="134">
        <v>0</v>
      </c>
      <c r="P159" s="133"/>
      <c r="Q159" s="2" t="s">
        <v>3744</v>
      </c>
      <c r="R159" s="156">
        <f t="shared" si="25"/>
        <v>0</v>
      </c>
      <c r="S159" s="156">
        <f t="shared" si="26"/>
        <v>0</v>
      </c>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53">
        <v>0</v>
      </c>
      <c r="AT159" s="153">
        <v>0</v>
      </c>
      <c r="AU159" s="153">
        <v>0</v>
      </c>
      <c r="AV159" s="135">
        <v>0</v>
      </c>
      <c r="AW159" s="135">
        <v>0</v>
      </c>
      <c r="AX159" s="142">
        <f>((H159-318.5)/1.18-AT159-AW159)*0.1</f>
        <v>1030.707627118644</v>
      </c>
      <c r="AY159" s="142"/>
      <c r="AZ159" s="142"/>
      <c r="BA159" s="142"/>
      <c r="BB159" s="142"/>
      <c r="BC159" s="142"/>
      <c r="BD159" s="142"/>
      <c r="BE159" s="142"/>
      <c r="BF159" s="142"/>
      <c r="BG159" s="135"/>
      <c r="BH159" s="135"/>
      <c r="BI159" s="2" t="s">
        <v>11</v>
      </c>
      <c r="BJ159" s="136">
        <v>44985</v>
      </c>
      <c r="BK159" s="2" t="s">
        <v>8</v>
      </c>
      <c r="BL159" s="136" t="s">
        <v>113</v>
      </c>
      <c r="BM159" s="136">
        <v>44883</v>
      </c>
      <c r="BN159" s="2" t="s">
        <v>580</v>
      </c>
      <c r="BO159" s="2"/>
      <c r="BP159" s="136"/>
      <c r="BQ159" s="137" t="s">
        <v>119</v>
      </c>
      <c r="BR159" s="138"/>
    </row>
    <row r="160" spans="1:70" ht="12.75" customHeight="1" x14ac:dyDescent="0.2">
      <c r="A160" s="2">
        <v>1649</v>
      </c>
      <c r="B160" s="2" t="s">
        <v>39</v>
      </c>
      <c r="C160" s="2" t="s">
        <v>42</v>
      </c>
      <c r="D160" s="2" t="s">
        <v>581</v>
      </c>
      <c r="E160" s="2" t="s">
        <v>90</v>
      </c>
      <c r="F160" s="132">
        <v>6000</v>
      </c>
      <c r="G160" s="132">
        <v>2</v>
      </c>
      <c r="H160" s="132"/>
      <c r="I160" s="132"/>
      <c r="J160" s="132"/>
      <c r="K160" s="132">
        <f t="shared" si="23"/>
        <v>6000</v>
      </c>
      <c r="L160" s="132">
        <f t="shared" si="24"/>
        <v>0</v>
      </c>
      <c r="M160" s="133">
        <v>110</v>
      </c>
      <c r="N160" s="133">
        <f t="shared" si="27"/>
        <v>6000</v>
      </c>
      <c r="O160" s="134">
        <v>1</v>
      </c>
      <c r="P160" s="133"/>
      <c r="Q160" s="2" t="s">
        <v>498</v>
      </c>
      <c r="R160" s="156">
        <f t="shared" si="25"/>
        <v>0</v>
      </c>
      <c r="S160" s="156">
        <f t="shared" si="26"/>
        <v>0</v>
      </c>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53">
        <v>0</v>
      </c>
      <c r="AT160" s="153">
        <v>0</v>
      </c>
      <c r="AU160" s="153">
        <v>0</v>
      </c>
      <c r="AV160" s="135"/>
      <c r="AW160" s="135"/>
      <c r="AX160" s="135"/>
      <c r="AY160" s="135"/>
      <c r="AZ160" s="135"/>
      <c r="BA160" s="135"/>
      <c r="BB160" s="135"/>
      <c r="BC160" s="135"/>
      <c r="BD160" s="135"/>
      <c r="BE160" s="135"/>
      <c r="BF160" s="135"/>
      <c r="BG160" s="135"/>
      <c r="BH160" s="135"/>
      <c r="BI160" s="2" t="s">
        <v>11</v>
      </c>
      <c r="BJ160" s="136"/>
      <c r="BK160" s="2">
        <v>0</v>
      </c>
      <c r="BL160" s="136" t="s">
        <v>113</v>
      </c>
      <c r="BM160" s="136">
        <v>44907</v>
      </c>
      <c r="BN160" s="2" t="s">
        <v>582</v>
      </c>
      <c r="BO160" s="2"/>
      <c r="BP160" s="136"/>
      <c r="BQ160" s="137"/>
      <c r="BR160" s="138"/>
    </row>
    <row r="161" spans="1:70" ht="12.75" customHeight="1" x14ac:dyDescent="0.2">
      <c r="A161" s="2">
        <v>1650</v>
      </c>
      <c r="B161" s="2" t="s">
        <v>54</v>
      </c>
      <c r="C161" s="2" t="s">
        <v>17</v>
      </c>
      <c r="D161" s="2" t="s">
        <v>583</v>
      </c>
      <c r="E161" s="2" t="s">
        <v>71</v>
      </c>
      <c r="F161" s="132">
        <v>75000</v>
      </c>
      <c r="G161" s="132"/>
      <c r="H161" s="132">
        <f>1060.5+N("პროექტის თანხა")+49552</f>
        <v>50612.5</v>
      </c>
      <c r="I161" s="132">
        <f>H161-1060.5</f>
        <v>49552</v>
      </c>
      <c r="J161" s="132">
        <f>161.77+898.73+49552</f>
        <v>50612.5</v>
      </c>
      <c r="K161" s="132">
        <f t="shared" si="23"/>
        <v>24387.5</v>
      </c>
      <c r="L161" s="132">
        <f t="shared" si="24"/>
        <v>0</v>
      </c>
      <c r="M161" s="133">
        <v>600</v>
      </c>
      <c r="N161" s="133">
        <f t="shared" si="27"/>
        <v>0</v>
      </c>
      <c r="O161" s="134">
        <v>0</v>
      </c>
      <c r="P161" s="133"/>
      <c r="Q161" s="2" t="s">
        <v>3745</v>
      </c>
      <c r="R161" s="156">
        <f t="shared" si="25"/>
        <v>0</v>
      </c>
      <c r="S161" s="156">
        <f t="shared" si="26"/>
        <v>0</v>
      </c>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53">
        <v>0</v>
      </c>
      <c r="AT161" s="153">
        <v>0</v>
      </c>
      <c r="AU161" s="153">
        <v>0</v>
      </c>
      <c r="AV161" s="135"/>
      <c r="AW161" s="135"/>
      <c r="AX161" s="135">
        <f>(I161/1.18-AT161-AW161)*0.1</f>
        <v>4199.3220338983056</v>
      </c>
      <c r="AY161" s="135"/>
      <c r="AZ161" s="135"/>
      <c r="BA161" s="135"/>
      <c r="BB161" s="135"/>
      <c r="BC161" s="135"/>
      <c r="BD161" s="135"/>
      <c r="BE161" s="135">
        <v>0</v>
      </c>
      <c r="BF161" s="135"/>
      <c r="BG161" s="135"/>
      <c r="BH161" s="135"/>
      <c r="BI161" s="2" t="s">
        <v>11</v>
      </c>
      <c r="BJ161" s="136">
        <v>45015</v>
      </c>
      <c r="BK161" s="2" t="s">
        <v>8</v>
      </c>
      <c r="BL161" s="136" t="s">
        <v>113</v>
      </c>
      <c r="BM161" s="136">
        <v>44887</v>
      </c>
      <c r="BN161" s="2" t="s">
        <v>1578</v>
      </c>
      <c r="BO161" s="2"/>
      <c r="BP161" s="136" t="s">
        <v>693</v>
      </c>
      <c r="BQ161" s="137" t="s">
        <v>119</v>
      </c>
      <c r="BR161" s="138"/>
    </row>
    <row r="162" spans="1:70" ht="12.75" customHeight="1" x14ac:dyDescent="0.2">
      <c r="A162" s="2">
        <v>1651</v>
      </c>
      <c r="B162" s="2" t="s">
        <v>44</v>
      </c>
      <c r="C162" s="2" t="s">
        <v>47</v>
      </c>
      <c r="D162" s="2" t="s">
        <v>589</v>
      </c>
      <c r="E162" s="2" t="s">
        <v>117</v>
      </c>
      <c r="F162" s="132">
        <v>5200</v>
      </c>
      <c r="G162" s="132"/>
      <c r="H162" s="132">
        <v>5200</v>
      </c>
      <c r="I162" s="132"/>
      <c r="J162" s="132">
        <f>793.22+4406.78</f>
        <v>5200</v>
      </c>
      <c r="K162" s="132">
        <f t="shared" si="23"/>
        <v>0</v>
      </c>
      <c r="L162" s="132">
        <f t="shared" si="24"/>
        <v>0</v>
      </c>
      <c r="M162" s="133"/>
      <c r="N162" s="133">
        <f t="shared" si="27"/>
        <v>0</v>
      </c>
      <c r="O162" s="134">
        <v>0</v>
      </c>
      <c r="P162" s="133"/>
      <c r="Q162" s="2" t="s">
        <v>590</v>
      </c>
      <c r="R162" s="156">
        <f t="shared" si="25"/>
        <v>0</v>
      </c>
      <c r="S162" s="156">
        <f t="shared" si="26"/>
        <v>0</v>
      </c>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53">
        <v>0</v>
      </c>
      <c r="AT162" s="153">
        <v>0</v>
      </c>
      <c r="AU162" s="153">
        <v>0</v>
      </c>
      <c r="AV162" s="135"/>
      <c r="AW162" s="135"/>
      <c r="AX162" s="135"/>
      <c r="AY162" s="135"/>
      <c r="AZ162" s="135"/>
      <c r="BA162" s="135"/>
      <c r="BB162" s="135"/>
      <c r="BC162" s="135"/>
      <c r="BD162" s="135"/>
      <c r="BE162" s="135"/>
      <c r="BF162" s="135"/>
      <c r="BG162" s="135"/>
      <c r="BH162" s="135"/>
      <c r="BI162" s="2" t="s">
        <v>112</v>
      </c>
      <c r="BJ162" s="136">
        <v>44897</v>
      </c>
      <c r="BK162" s="2" t="s">
        <v>145</v>
      </c>
      <c r="BL162" s="136" t="s">
        <v>113</v>
      </c>
      <c r="BM162" s="136">
        <v>44868</v>
      </c>
      <c r="BN162" s="2" t="s">
        <v>588</v>
      </c>
      <c r="BO162" s="2"/>
      <c r="BP162" s="136"/>
      <c r="BQ162" s="137"/>
      <c r="BR162" s="138"/>
    </row>
    <row r="163" spans="1:70" ht="12.75" customHeight="1" x14ac:dyDescent="0.2">
      <c r="A163" s="2">
        <v>1652</v>
      </c>
      <c r="B163" s="2" t="s">
        <v>44</v>
      </c>
      <c r="C163" s="2" t="s">
        <v>47</v>
      </c>
      <c r="D163" s="2" t="s">
        <v>1652</v>
      </c>
      <c r="E163" s="2" t="s">
        <v>115</v>
      </c>
      <c r="F163" s="132">
        <v>140000</v>
      </c>
      <c r="G163" s="132"/>
      <c r="H163" s="132">
        <f>123747</f>
        <v>123747</v>
      </c>
      <c r="I163" s="132"/>
      <c r="J163" s="132">
        <f>18876.661+104870.34</f>
        <v>123747.00099999999</v>
      </c>
      <c r="K163" s="132">
        <f t="shared" si="23"/>
        <v>16252.999000000011</v>
      </c>
      <c r="L163" s="132">
        <f t="shared" si="24"/>
        <v>-9.9999998928979039E-4</v>
      </c>
      <c r="M163" s="133">
        <v>0</v>
      </c>
      <c r="N163" s="133">
        <f t="shared" si="27"/>
        <v>-9.9999998928979039E-4</v>
      </c>
      <c r="O163" s="134">
        <v>0</v>
      </c>
      <c r="P163" s="133"/>
      <c r="Q163" s="2" t="s">
        <v>590</v>
      </c>
      <c r="R163" s="156">
        <f t="shared" si="25"/>
        <v>0</v>
      </c>
      <c r="S163" s="156">
        <f t="shared" si="26"/>
        <v>0</v>
      </c>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53">
        <v>0</v>
      </c>
      <c r="AT163" s="153">
        <v>0</v>
      </c>
      <c r="AU163" s="153">
        <v>0</v>
      </c>
      <c r="AV163" s="135">
        <v>0</v>
      </c>
      <c r="AW163" s="135">
        <v>0</v>
      </c>
      <c r="AX163" s="135">
        <f>(H163/1.18-AT163-AW163)*0.1</f>
        <v>10487.033898305086</v>
      </c>
      <c r="AY163" s="135"/>
      <c r="AZ163" s="135"/>
      <c r="BA163" s="135"/>
      <c r="BB163" s="135"/>
      <c r="BC163" s="135"/>
      <c r="BD163" s="135"/>
      <c r="BE163" s="135"/>
      <c r="BF163" s="135"/>
      <c r="BG163" s="135"/>
      <c r="BH163" s="135"/>
      <c r="BI163" s="2" t="s">
        <v>11</v>
      </c>
      <c r="BJ163" s="136">
        <v>45119</v>
      </c>
      <c r="BK163" s="2" t="s">
        <v>109</v>
      </c>
      <c r="BL163" s="136" t="s">
        <v>113</v>
      </c>
      <c r="BM163" s="136">
        <v>44903</v>
      </c>
      <c r="BN163" s="2" t="s">
        <v>1637</v>
      </c>
      <c r="BO163" s="2"/>
      <c r="BP163" s="136"/>
      <c r="BQ163" s="137" t="s">
        <v>119</v>
      </c>
      <c r="BR163" s="138"/>
    </row>
    <row r="164" spans="1:70" ht="12.75" customHeight="1" x14ac:dyDescent="0.2">
      <c r="A164" s="2">
        <v>1653</v>
      </c>
      <c r="B164" s="2" t="s">
        <v>31</v>
      </c>
      <c r="C164" s="2" t="s">
        <v>34</v>
      </c>
      <c r="D164" s="2" t="s">
        <v>593</v>
      </c>
      <c r="E164" s="2" t="s">
        <v>71</v>
      </c>
      <c r="F164" s="132">
        <v>55000</v>
      </c>
      <c r="G164" s="132"/>
      <c r="H164" s="132">
        <f>404.25+67163</f>
        <v>67567.25</v>
      </c>
      <c r="I164" s="132">
        <f>H164-404.25</f>
        <v>67163</v>
      </c>
      <c r="J164" s="132">
        <f>10245.2+61.665+57260.385</f>
        <v>67567.25</v>
      </c>
      <c r="K164" s="132">
        <f t="shared" si="23"/>
        <v>-12567.25</v>
      </c>
      <c r="L164" s="132">
        <f t="shared" si="24"/>
        <v>0</v>
      </c>
      <c r="M164" s="133">
        <v>216</v>
      </c>
      <c r="N164" s="133">
        <f t="shared" si="27"/>
        <v>0</v>
      </c>
      <c r="O164" s="134">
        <v>0</v>
      </c>
      <c r="P164" s="133"/>
      <c r="Q164" s="2" t="s">
        <v>592</v>
      </c>
      <c r="R164" s="156">
        <f t="shared" si="25"/>
        <v>0</v>
      </c>
      <c r="S164" s="156">
        <f t="shared" si="26"/>
        <v>0</v>
      </c>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53">
        <v>0</v>
      </c>
      <c r="AT164" s="153">
        <v>0</v>
      </c>
      <c r="AU164" s="153">
        <v>0</v>
      </c>
      <c r="AV164" s="135"/>
      <c r="AW164" s="135"/>
      <c r="AX164" s="135">
        <f>(I164/1.18-AT164-AW164)*0.1</f>
        <v>5691.7796610169498</v>
      </c>
      <c r="AY164" s="135"/>
      <c r="AZ164" s="135"/>
      <c r="BA164" s="135"/>
      <c r="BB164" s="135"/>
      <c r="BC164" s="135"/>
      <c r="BD164" s="135"/>
      <c r="BE164" s="135">
        <v>0</v>
      </c>
      <c r="BF164" s="135"/>
      <c r="BG164" s="135"/>
      <c r="BH164" s="135"/>
      <c r="BI164" s="2" t="s">
        <v>11</v>
      </c>
      <c r="BJ164" s="136">
        <v>44985</v>
      </c>
      <c r="BK164" s="2" t="s">
        <v>109</v>
      </c>
      <c r="BL164" s="136" t="s">
        <v>113</v>
      </c>
      <c r="BM164" s="136">
        <v>44932</v>
      </c>
      <c r="BN164" s="2" t="s">
        <v>591</v>
      </c>
      <c r="BO164" s="2"/>
      <c r="BP164" s="136"/>
      <c r="BQ164" s="137" t="s">
        <v>119</v>
      </c>
      <c r="BR164" s="138"/>
    </row>
    <row r="165" spans="1:70" ht="12.75" customHeight="1" x14ac:dyDescent="0.2">
      <c r="A165" s="2">
        <v>1654</v>
      </c>
      <c r="B165" s="2" t="s">
        <v>54</v>
      </c>
      <c r="C165" s="2" t="s">
        <v>4</v>
      </c>
      <c r="D165" s="2" t="s">
        <v>1719</v>
      </c>
      <c r="E165" s="2" t="s">
        <v>71</v>
      </c>
      <c r="F165" s="132">
        <v>228000</v>
      </c>
      <c r="G165" s="132"/>
      <c r="H165" s="132">
        <f>9327.5+N("პროექტის თანხა")+222214</f>
        <v>231541.5</v>
      </c>
      <c r="I165" s="132">
        <f>H165-9327.5</f>
        <v>222214</v>
      </c>
      <c r="J165" s="132">
        <f>1422.838+7904.662+32474.21+189739.79</f>
        <v>231541.5</v>
      </c>
      <c r="K165" s="132">
        <f t="shared" si="23"/>
        <v>-3541.5</v>
      </c>
      <c r="L165" s="132">
        <f t="shared" si="24"/>
        <v>0</v>
      </c>
      <c r="M165" s="133">
        <f>5330+55</f>
        <v>5385</v>
      </c>
      <c r="N165" s="133">
        <f t="shared" si="27"/>
        <v>0</v>
      </c>
      <c r="O165" s="134">
        <v>0</v>
      </c>
      <c r="P165" s="133">
        <v>35</v>
      </c>
      <c r="Q165" s="2" t="s">
        <v>1720</v>
      </c>
      <c r="R165" s="156">
        <f t="shared" si="25"/>
        <v>0</v>
      </c>
      <c r="S165" s="156">
        <f t="shared" si="26"/>
        <v>0</v>
      </c>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53">
        <v>0</v>
      </c>
      <c r="AT165" s="153">
        <v>0</v>
      </c>
      <c r="AU165" s="153">
        <v>0</v>
      </c>
      <c r="AV165" s="135"/>
      <c r="AW165" s="135"/>
      <c r="AX165" s="135">
        <f>(I165/1.18-AT165-AW165)*0.1</f>
        <v>18831.69491525424</v>
      </c>
      <c r="AY165" s="135"/>
      <c r="AZ165" s="135"/>
      <c r="BA165" s="135"/>
      <c r="BB165" s="135"/>
      <c r="BC165" s="135"/>
      <c r="BD165" s="135"/>
      <c r="BE165" s="135">
        <v>0</v>
      </c>
      <c r="BF165" s="135"/>
      <c r="BG165" s="135"/>
      <c r="BH165" s="135"/>
      <c r="BI165" s="2" t="s">
        <v>10</v>
      </c>
      <c r="BJ165" s="136">
        <v>45043</v>
      </c>
      <c r="BK165" s="2" t="s">
        <v>109</v>
      </c>
      <c r="BL165" s="136" t="s">
        <v>113</v>
      </c>
      <c r="BM165" s="136">
        <v>44931</v>
      </c>
      <c r="BN165" s="2" t="s">
        <v>595</v>
      </c>
      <c r="BO165" s="2"/>
      <c r="BP165" s="136"/>
      <c r="BQ165" s="137" t="s">
        <v>119</v>
      </c>
      <c r="BR165" s="138"/>
    </row>
    <row r="166" spans="1:70" ht="12.75" customHeight="1" x14ac:dyDescent="0.2">
      <c r="A166" s="2">
        <v>1655</v>
      </c>
      <c r="B166" s="2" t="s">
        <v>28</v>
      </c>
      <c r="C166" s="2" t="s">
        <v>91</v>
      </c>
      <c r="D166" s="2" t="s">
        <v>605</v>
      </c>
      <c r="E166" s="2" t="s">
        <v>87</v>
      </c>
      <c r="F166" s="132">
        <v>289307</v>
      </c>
      <c r="G166" s="132"/>
      <c r="H166" s="132">
        <v>469259.54</v>
      </c>
      <c r="I166" s="132"/>
      <c r="J166" s="132">
        <f>469259.54</f>
        <v>469259.54</v>
      </c>
      <c r="K166" s="132">
        <f t="shared" ref="K166:K197" si="28">F166-J166</f>
        <v>-179952.53999999998</v>
      </c>
      <c r="L166" s="132">
        <f t="shared" si="24"/>
        <v>0</v>
      </c>
      <c r="M166" s="133">
        <v>0</v>
      </c>
      <c r="N166" s="133">
        <f t="shared" si="27"/>
        <v>0</v>
      </c>
      <c r="O166" s="134">
        <v>0</v>
      </c>
      <c r="P166" s="133"/>
      <c r="Q166" s="2" t="s">
        <v>607</v>
      </c>
      <c r="R166" s="156">
        <f t="shared" si="25"/>
        <v>0</v>
      </c>
      <c r="S166" s="156">
        <f t="shared" si="26"/>
        <v>0</v>
      </c>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53">
        <v>0</v>
      </c>
      <c r="AT166" s="153">
        <v>0</v>
      </c>
      <c r="AU166" s="156">
        <v>0</v>
      </c>
      <c r="AV166" s="142"/>
      <c r="AW166" s="142"/>
      <c r="AX166" s="142"/>
      <c r="AY166" s="142"/>
      <c r="AZ166" s="142"/>
      <c r="BA166" s="142"/>
      <c r="BB166" s="142"/>
      <c r="BC166" s="142"/>
      <c r="BD166" s="142"/>
      <c r="BE166" s="142"/>
      <c r="BF166" s="142"/>
      <c r="BG166" s="142"/>
      <c r="BH166" s="142"/>
      <c r="BI166" s="2" t="s">
        <v>118</v>
      </c>
      <c r="BJ166" s="136">
        <v>44925</v>
      </c>
      <c r="BK166" s="2" t="s">
        <v>109</v>
      </c>
      <c r="BL166" s="136" t="s">
        <v>18</v>
      </c>
      <c r="BM166" s="136">
        <v>44810</v>
      </c>
      <c r="BN166" s="2" t="s">
        <v>606</v>
      </c>
      <c r="BO166" s="2"/>
      <c r="BP166" s="136"/>
      <c r="BQ166" s="137"/>
      <c r="BR166" s="138"/>
    </row>
    <row r="167" spans="1:70" ht="12.75" customHeight="1" x14ac:dyDescent="0.2">
      <c r="A167" s="2">
        <v>1656</v>
      </c>
      <c r="B167" s="2" t="s">
        <v>31</v>
      </c>
      <c r="C167" s="2" t="s">
        <v>35</v>
      </c>
      <c r="D167" s="2" t="s">
        <v>1721</v>
      </c>
      <c r="E167" s="2" t="s">
        <v>71</v>
      </c>
      <c r="F167" s="132">
        <v>194000</v>
      </c>
      <c r="G167" s="132"/>
      <c r="H167" s="132">
        <f>4655+N("პროექტის თანხა")+346762</f>
        <v>351417</v>
      </c>
      <c r="I167" s="132">
        <f>H167-4655</f>
        <v>346762</v>
      </c>
      <c r="J167" s="132">
        <f>710.0847+3944.9153+52895.898+293866.1</f>
        <v>351416.99799999996</v>
      </c>
      <c r="K167" s="132">
        <f t="shared" si="28"/>
        <v>-157416.99799999996</v>
      </c>
      <c r="L167" s="132">
        <f t="shared" si="24"/>
        <v>2.0000000367872417E-3</v>
      </c>
      <c r="M167" s="133">
        <v>2470</v>
      </c>
      <c r="N167" s="133">
        <f t="shared" si="27"/>
        <v>2.0000000367872417E-3</v>
      </c>
      <c r="O167" s="134">
        <v>0</v>
      </c>
      <c r="P167" s="133"/>
      <c r="Q167" s="2" t="s">
        <v>1722</v>
      </c>
      <c r="R167" s="156">
        <f t="shared" si="25"/>
        <v>0</v>
      </c>
      <c r="S167" s="156">
        <f t="shared" si="26"/>
        <v>0</v>
      </c>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53">
        <v>0</v>
      </c>
      <c r="AT167" s="153">
        <v>0</v>
      </c>
      <c r="AU167" s="153">
        <v>0</v>
      </c>
      <c r="AV167" s="135"/>
      <c r="AW167" s="135"/>
      <c r="AX167" s="135">
        <f>(I167/1.18-AT167-AW167)*0.1</f>
        <v>29386.610169491527</v>
      </c>
      <c r="AY167" s="135"/>
      <c r="AZ167" s="135"/>
      <c r="BA167" s="135"/>
      <c r="BB167" s="135"/>
      <c r="BC167" s="135"/>
      <c r="BD167" s="135"/>
      <c r="BE167" s="135">
        <v>0</v>
      </c>
      <c r="BF167" s="135"/>
      <c r="BG167" s="135"/>
      <c r="BH167" s="135"/>
      <c r="BI167" s="2" t="s">
        <v>11</v>
      </c>
      <c r="BJ167" s="136">
        <v>45043</v>
      </c>
      <c r="BK167" s="2" t="s">
        <v>109</v>
      </c>
      <c r="BL167" s="136" t="s">
        <v>113</v>
      </c>
      <c r="BM167" s="136">
        <v>44875</v>
      </c>
      <c r="BN167" s="2" t="s">
        <v>1577</v>
      </c>
      <c r="BO167" s="2"/>
      <c r="BP167" s="136" t="s">
        <v>680</v>
      </c>
      <c r="BQ167" s="137" t="s">
        <v>119</v>
      </c>
      <c r="BR167" s="138"/>
    </row>
    <row r="168" spans="1:70" ht="12.75" customHeight="1" x14ac:dyDescent="0.2">
      <c r="A168" s="2">
        <v>1657</v>
      </c>
      <c r="B168" s="2" t="s">
        <v>137</v>
      </c>
      <c r="C168" s="2"/>
      <c r="D168" s="2" t="s">
        <v>1611</v>
      </c>
      <c r="E168" s="2" t="s">
        <v>701</v>
      </c>
      <c r="F168" s="132">
        <f>11500000+4500000</f>
        <v>16000000</v>
      </c>
      <c r="G168" s="132">
        <v>2</v>
      </c>
      <c r="H168" s="132">
        <f>4050000+N("შუალ. მუხ-ხოტ (1)")+5000000+N("შუალ. მუხ-ხოტ (1)")+2300000+N("შუალ. მუხ-ხოტ (1)")+R168</f>
        <v>11611643</v>
      </c>
      <c r="I168" s="132">
        <f>4050000+N("შუალ. მუხ-ხოტ (1)")+5000000+N("შუალ. მუხ-ხოტ (1)")+2300000+N("შუალ. მუხ-ხოტ (1)")+R168</f>
        <v>11611643</v>
      </c>
      <c r="J168" s="132">
        <f>4050000+N("მუხ-ხოტ")+AV168+350847.46+N("მუხ-ხოტ")+239155.42+N("მუხ-ხოტ")+S168+BC168</f>
        <v>11611643.000000002</v>
      </c>
      <c r="K168" s="132">
        <f t="shared" si="28"/>
        <v>4388356.9999999981</v>
      </c>
      <c r="L168" s="132">
        <f t="shared" si="24"/>
        <v>0</v>
      </c>
      <c r="M168" s="133">
        <v>20350</v>
      </c>
      <c r="N168" s="133">
        <f>IF(OR(BK168="принят",BK168="Завершено",BK168="ПриПро",K168&lt;0),H168-J168,F168-J168)</f>
        <v>-1.862645149230957E-9</v>
      </c>
      <c r="O168" s="134">
        <v>1</v>
      </c>
      <c r="P168" s="133"/>
      <c r="Q168" s="2" t="s">
        <v>3379</v>
      </c>
      <c r="R168" s="156">
        <f t="shared" si="25"/>
        <v>261643</v>
      </c>
      <c r="S168" s="156">
        <f t="shared" si="26"/>
        <v>58253.17</v>
      </c>
      <c r="T168" s="133">
        <v>240000</v>
      </c>
      <c r="U168" s="133"/>
      <c r="V168" s="133"/>
      <c r="W168" s="133">
        <f>36610.17</f>
        <v>36610.17</v>
      </c>
      <c r="X168" s="133"/>
      <c r="Y168" s="133"/>
      <c r="Z168" s="133">
        <v>21643</v>
      </c>
      <c r="AA168" s="133"/>
      <c r="AB168" s="133"/>
      <c r="AC168" s="133">
        <v>3301.47</v>
      </c>
      <c r="AD168" s="133"/>
      <c r="AE168" s="133">
        <v>18341.53</v>
      </c>
      <c r="AF168" s="133"/>
      <c r="AG168" s="133"/>
      <c r="AH168" s="133"/>
      <c r="AI168" s="133"/>
      <c r="AJ168" s="133"/>
      <c r="AK168" s="133"/>
      <c r="AL168" s="133"/>
      <c r="AM168" s="133"/>
      <c r="AN168" s="133"/>
      <c r="AO168" s="133"/>
      <c r="AP168" s="133"/>
      <c r="AQ168" s="133"/>
      <c r="AR168" s="133" t="s">
        <v>718</v>
      </c>
      <c r="AS168" s="153">
        <v>0</v>
      </c>
      <c r="AT168" s="153">
        <v>0</v>
      </c>
      <c r="AU168" s="153">
        <v>0</v>
      </c>
      <c r="AV168" s="135">
        <f>3432203.39+N("მუხ-ხოტ")+1328641.19+N("მუხ-ხოტ")+1949152.54+N("მუხ-ხოტ")</f>
        <v>6709997.1200000001</v>
      </c>
      <c r="AW168" s="135">
        <f>460573.49+135448.6+169816.58</f>
        <v>765838.66999999993</v>
      </c>
      <c r="AX168" s="135"/>
      <c r="AY168" s="135">
        <v>0</v>
      </c>
      <c r="AZ168" s="135"/>
      <c r="BA168" s="135">
        <v>0</v>
      </c>
      <c r="BB168" s="140">
        <f>(5800000/1.18-AT168-AW168-AZ168)*0.1-BA168</f>
        <v>414941.55672881362</v>
      </c>
      <c r="BC168" s="135">
        <f>203389.83</f>
        <v>203389.83</v>
      </c>
      <c r="BD168" s="135">
        <v>4134.66</v>
      </c>
      <c r="BE168" s="135">
        <f>(H168/1.18-AT168-AW168-AZ168-BD168)*0.1-AU168-AX168-BA168-BB168</f>
        <v>492098.65264406783</v>
      </c>
      <c r="BF168" s="135"/>
      <c r="BG168" s="135">
        <v>11328541</v>
      </c>
      <c r="BH168" s="136">
        <v>45635</v>
      </c>
      <c r="BI168" s="2" t="s">
        <v>10</v>
      </c>
      <c r="BJ168" s="136">
        <v>45777</v>
      </c>
      <c r="BK168" s="2" t="s">
        <v>109</v>
      </c>
      <c r="BL168" s="136" t="s">
        <v>18</v>
      </c>
      <c r="BM168" s="136">
        <v>44931</v>
      </c>
      <c r="BN168" s="2" t="s">
        <v>703</v>
      </c>
      <c r="BO168" s="2"/>
      <c r="BP168" s="136"/>
      <c r="BQ168" s="137" t="s">
        <v>119</v>
      </c>
      <c r="BR168" s="138"/>
    </row>
    <row r="169" spans="1:70" ht="12.75" customHeight="1" x14ac:dyDescent="0.2">
      <c r="A169" s="2">
        <v>1658</v>
      </c>
      <c r="B169" s="2" t="s">
        <v>137</v>
      </c>
      <c r="C169" s="2"/>
      <c r="D169" s="2" t="s">
        <v>3377</v>
      </c>
      <c r="E169" s="2" t="s">
        <v>701</v>
      </c>
      <c r="F169" s="132">
        <v>4500000</v>
      </c>
      <c r="G169" s="132">
        <v>2</v>
      </c>
      <c r="H169" s="132">
        <f>3020000+N("შუალ. ხოტ-ამბრ (2)")+2100000+N("შუალ. ხოტ-ამბრ (2)")+1200000+N("შუალ. გაერთიანებული (1) და (2) პუნქტები")+1340506</f>
        <v>7660506</v>
      </c>
      <c r="I169" s="132">
        <f>H169</f>
        <v>7660506</v>
      </c>
      <c r="J169" s="132">
        <f>3020000+N("ხოტ-ამბრ")+81183.57+N("ხოტ-ამბრ")+AV169+1100000++N("გადაირიცხა პირდაპირ")+400000+N("გადაირიცხა პირდაპირ")+350000+N("გადაირიცხა პირდაპირ")+690506</f>
        <v>7660506</v>
      </c>
      <c r="K169" s="132">
        <f t="shared" si="28"/>
        <v>-3160506</v>
      </c>
      <c r="L169" s="132">
        <f t="shared" si="24"/>
        <v>0</v>
      </c>
      <c r="M169" s="133">
        <v>15006.2</v>
      </c>
      <c r="N169" s="133">
        <f>IF(OR(BK169="принят",BK169="Завершено",BK169="ПриПро",K169&lt;0),H169-J169,F169-J169)</f>
        <v>0</v>
      </c>
      <c r="O169" s="134">
        <v>0</v>
      </c>
      <c r="P169" s="133"/>
      <c r="Q169" s="2" t="s">
        <v>3378</v>
      </c>
      <c r="R169" s="156">
        <f t="shared" si="25"/>
        <v>0</v>
      </c>
      <c r="S169" s="156">
        <f t="shared" si="26"/>
        <v>0</v>
      </c>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53">
        <v>0</v>
      </c>
      <c r="AT169" s="153">
        <v>0</v>
      </c>
      <c r="AU169" s="153">
        <v>0</v>
      </c>
      <c r="AV169" s="135">
        <f>1567796.61+N("ხოტ-ამბრ")+451019.82+N("ხოტ-ამბრ")</f>
        <v>2018816.4300000002</v>
      </c>
      <c r="AW169" s="135">
        <f>210385.42+45979.31</f>
        <v>256364.73</v>
      </c>
      <c r="AX169" s="135"/>
      <c r="AY169" s="135"/>
      <c r="AZ169" s="135"/>
      <c r="BA169" s="135">
        <f>IF(BK169="Принят",(H169/1.18-AW169)*0.1,H169/1.18*0.8*0.1)</f>
        <v>623558.95072881354</v>
      </c>
      <c r="BB169" s="135">
        <f>(H169/1.18-AT169-AW169-AZ169)*0.1-BA169</f>
        <v>0</v>
      </c>
      <c r="BC169" s="135"/>
      <c r="BD169" s="135"/>
      <c r="BE169" s="135">
        <f>(H169/1.18-AT169-AW169-AZ169-BD169)*0.1-AU169-AX169-BA169-BB169</f>
        <v>0</v>
      </c>
      <c r="BF169" s="135"/>
      <c r="BG169" s="135"/>
      <c r="BH169" s="135"/>
      <c r="BI169" s="2" t="s">
        <v>10</v>
      </c>
      <c r="BJ169" s="136">
        <v>45471</v>
      </c>
      <c r="BK169" s="2" t="s">
        <v>109</v>
      </c>
      <c r="BL169" s="136" t="s">
        <v>18</v>
      </c>
      <c r="BM169" s="136">
        <v>44931</v>
      </c>
      <c r="BN169" s="2" t="s">
        <v>704</v>
      </c>
      <c r="BO169" s="2"/>
      <c r="BP169" s="136"/>
      <c r="BQ169" s="137" t="s">
        <v>119</v>
      </c>
      <c r="BR169" s="138"/>
    </row>
    <row r="170" spans="1:70" ht="12.75" customHeight="1" x14ac:dyDescent="0.2">
      <c r="A170" s="2">
        <v>1659</v>
      </c>
      <c r="B170" s="2" t="s">
        <v>39</v>
      </c>
      <c r="C170" s="2" t="s">
        <v>94</v>
      </c>
      <c r="D170" s="2" t="s">
        <v>714</v>
      </c>
      <c r="E170" s="2" t="s">
        <v>90</v>
      </c>
      <c r="F170" s="132">
        <v>459568.35</v>
      </c>
      <c r="G170" s="132"/>
      <c r="H170" s="132">
        <f>430000+564342</f>
        <v>994342</v>
      </c>
      <c r="I170" s="132"/>
      <c r="J170" s="132">
        <f>65593.22+128000+800748.78</f>
        <v>994342</v>
      </c>
      <c r="K170" s="132">
        <f t="shared" si="28"/>
        <v>-534773.65</v>
      </c>
      <c r="L170" s="132">
        <f t="shared" si="24"/>
        <v>0</v>
      </c>
      <c r="M170" s="133">
        <v>0</v>
      </c>
      <c r="N170" s="133">
        <f t="shared" ref="N170:N233" si="29">IF(OR(BK170="принят",BK170="Завершено",BK170="ПриПро"),H170-J170,F170-J170)</f>
        <v>0</v>
      </c>
      <c r="O170" s="134">
        <v>0</v>
      </c>
      <c r="P170" s="133"/>
      <c r="Q170" s="2"/>
      <c r="R170" s="156">
        <f t="shared" si="25"/>
        <v>0</v>
      </c>
      <c r="S170" s="156">
        <f t="shared" si="26"/>
        <v>0</v>
      </c>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53">
        <v>0</v>
      </c>
      <c r="AT170" s="153">
        <v>0</v>
      </c>
      <c r="AU170" s="153">
        <v>0</v>
      </c>
      <c r="AV170" s="135">
        <v>0</v>
      </c>
      <c r="AW170" s="135">
        <v>0</v>
      </c>
      <c r="AX170" s="142">
        <v>0</v>
      </c>
      <c r="AY170" s="142"/>
      <c r="AZ170" s="142"/>
      <c r="BA170" s="142"/>
      <c r="BB170" s="142"/>
      <c r="BC170" s="142"/>
      <c r="BD170" s="142"/>
      <c r="BE170" s="142"/>
      <c r="BF170" s="142"/>
      <c r="BG170" s="135"/>
      <c r="BH170" s="135"/>
      <c r="BI170" s="2" t="s">
        <v>118</v>
      </c>
      <c r="BJ170" s="136">
        <v>45289</v>
      </c>
      <c r="BK170" s="2" t="s">
        <v>109</v>
      </c>
      <c r="BL170" s="136" t="s">
        <v>18</v>
      </c>
      <c r="BM170" s="136">
        <v>44861</v>
      </c>
      <c r="BN170" s="2" t="s">
        <v>713</v>
      </c>
      <c r="BO170" s="2"/>
      <c r="BP170" s="136"/>
      <c r="BQ170" s="137" t="s">
        <v>134</v>
      </c>
      <c r="BR170" s="138"/>
    </row>
    <row r="171" spans="1:70" ht="12.75" customHeight="1" x14ac:dyDescent="0.2">
      <c r="A171" s="2">
        <v>1660</v>
      </c>
      <c r="B171" s="2" t="s">
        <v>54</v>
      </c>
      <c r="C171" s="2" t="s">
        <v>96</v>
      </c>
      <c r="D171" s="2" t="s">
        <v>928</v>
      </c>
      <c r="E171" s="2" t="s">
        <v>110</v>
      </c>
      <c r="F171" s="132">
        <v>1732</v>
      </c>
      <c r="G171" s="132"/>
      <c r="H171" s="132">
        <v>1732</v>
      </c>
      <c r="I171" s="132"/>
      <c r="J171" s="132">
        <f>264.2+1467.8</f>
        <v>1732</v>
      </c>
      <c r="K171" s="132">
        <f t="shared" si="28"/>
        <v>0</v>
      </c>
      <c r="L171" s="132">
        <f t="shared" si="24"/>
        <v>0</v>
      </c>
      <c r="M171" s="133"/>
      <c r="N171" s="133">
        <f t="shared" si="29"/>
        <v>0</v>
      </c>
      <c r="O171" s="134">
        <v>0</v>
      </c>
      <c r="P171" s="133"/>
      <c r="Q171" s="2" t="s">
        <v>719</v>
      </c>
      <c r="R171" s="156">
        <f t="shared" si="25"/>
        <v>0</v>
      </c>
      <c r="S171" s="156">
        <f t="shared" si="26"/>
        <v>0</v>
      </c>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53">
        <v>0</v>
      </c>
      <c r="AT171" s="153">
        <v>0</v>
      </c>
      <c r="AU171" s="153">
        <v>0</v>
      </c>
      <c r="AV171" s="135"/>
      <c r="AW171" s="135"/>
      <c r="AX171" s="135"/>
      <c r="AY171" s="135"/>
      <c r="AZ171" s="135"/>
      <c r="BA171" s="135"/>
      <c r="BB171" s="135"/>
      <c r="BC171" s="135"/>
      <c r="BD171" s="135"/>
      <c r="BE171" s="135"/>
      <c r="BF171" s="135"/>
      <c r="BG171" s="135"/>
      <c r="BH171" s="135"/>
      <c r="BI171" s="2" t="s">
        <v>112</v>
      </c>
      <c r="BJ171" s="136">
        <v>45047</v>
      </c>
      <c r="BK171" s="2" t="s">
        <v>145</v>
      </c>
      <c r="BL171" s="136" t="s">
        <v>18</v>
      </c>
      <c r="BM171" s="136">
        <v>44935</v>
      </c>
      <c r="BN171" s="2" t="s">
        <v>720</v>
      </c>
      <c r="BO171" s="2"/>
      <c r="BP171" s="136"/>
      <c r="BQ171" s="137" t="s">
        <v>134</v>
      </c>
      <c r="BR171" s="138"/>
    </row>
    <row r="172" spans="1:70" ht="12.75" customHeight="1" x14ac:dyDescent="0.2">
      <c r="A172" s="2">
        <v>1661</v>
      </c>
      <c r="B172" s="2" t="s">
        <v>54</v>
      </c>
      <c r="C172" s="2" t="s">
        <v>96</v>
      </c>
      <c r="D172" s="2" t="s">
        <v>929</v>
      </c>
      <c r="E172" s="2" t="s">
        <v>71</v>
      </c>
      <c r="F172" s="132">
        <v>90000</v>
      </c>
      <c r="G172" s="132"/>
      <c r="H172" s="132">
        <v>92486</v>
      </c>
      <c r="I172" s="132"/>
      <c r="J172" s="132">
        <f>14108.03+AS172+AV172</f>
        <v>92486</v>
      </c>
      <c r="K172" s="132">
        <f t="shared" si="28"/>
        <v>-2486</v>
      </c>
      <c r="L172" s="132">
        <f t="shared" si="24"/>
        <v>0</v>
      </c>
      <c r="M172" s="133">
        <v>918</v>
      </c>
      <c r="N172" s="133">
        <f t="shared" si="29"/>
        <v>0</v>
      </c>
      <c r="O172" s="134">
        <v>0</v>
      </c>
      <c r="P172" s="133"/>
      <c r="Q172" s="2" t="s">
        <v>719</v>
      </c>
      <c r="R172" s="156">
        <f t="shared" si="25"/>
        <v>0</v>
      </c>
      <c r="S172" s="156">
        <f t="shared" si="26"/>
        <v>0</v>
      </c>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53">
        <v>0</v>
      </c>
      <c r="AT172" s="153">
        <v>0</v>
      </c>
      <c r="AU172" s="153">
        <v>0</v>
      </c>
      <c r="AV172" s="132">
        <v>78377.97</v>
      </c>
      <c r="AW172" s="135">
        <v>8023.01</v>
      </c>
      <c r="AX172" s="135">
        <f>(H172/1.18-AT172-AW172)*0.1</f>
        <v>7035.4956101694934</v>
      </c>
      <c r="AY172" s="135"/>
      <c r="AZ172" s="135"/>
      <c r="BA172" s="135"/>
      <c r="BB172" s="135"/>
      <c r="BC172" s="135"/>
      <c r="BD172" s="135"/>
      <c r="BE172" s="135">
        <f>(H172/1.18-AT172-AW172-AZ172-BD172)*0.1-AU172-AX172-BA172-BB172</f>
        <v>0</v>
      </c>
      <c r="BF172" s="135"/>
      <c r="BG172" s="135"/>
      <c r="BH172" s="135"/>
      <c r="BI172" s="2" t="s">
        <v>11</v>
      </c>
      <c r="BJ172" s="136">
        <v>45075</v>
      </c>
      <c r="BK172" s="2" t="s">
        <v>8</v>
      </c>
      <c r="BL172" s="136" t="s">
        <v>18</v>
      </c>
      <c r="BM172" s="136">
        <v>44935</v>
      </c>
      <c r="BN172" s="2" t="s">
        <v>721</v>
      </c>
      <c r="BO172" s="2"/>
      <c r="BP172" s="136"/>
      <c r="BQ172" s="137" t="s">
        <v>119</v>
      </c>
      <c r="BR172" s="138"/>
    </row>
    <row r="173" spans="1:70" ht="12.75" customHeight="1" x14ac:dyDescent="0.2">
      <c r="A173" s="2">
        <v>1662</v>
      </c>
      <c r="B173" s="2" t="s">
        <v>54</v>
      </c>
      <c r="C173" s="2" t="s">
        <v>96</v>
      </c>
      <c r="D173" s="2" t="s">
        <v>930</v>
      </c>
      <c r="E173" s="2" t="s">
        <v>110</v>
      </c>
      <c r="F173" s="132">
        <f>1417+1400+N("შარტავას №7 (070723)")+1440.25+N("შარტავას №11 (070723)")+1610+N("შარტავას №13 (070723)")+1270.5+N("მე-17-ე მრკ. №5 კორპ. (070723)")+2408+1256.5+1130.5+1291.5+1218+1340.5+1162+1569.75+1167.25+1286.25+1195.25+N("11 კორპუსის პროექტი")+1312.5+N("მე-16-ე მრკ. №11 კორპ. (141123)")</f>
        <v>23475.75</v>
      </c>
      <c r="G173" s="132">
        <v>2</v>
      </c>
      <c r="H173" s="132">
        <f>1417+1400+N("შარტავას №7 (070723)")+1440.25+N("შარტავას №11 (070723)")+1610+N("შარტავას №13 (070723)")+1270.5+N("მე-17-ე მრკ. №5 კორპ. (070723)")+2408+1256.5+1130.5+1291.5+1218+1340.5+1162+1569.75+1167.25+1286.25+1195.25+N("11 კორპუსის პროექტი")+1312.5+N("მე-16-ე მრკ. №11 კორპ. (141123)")</f>
        <v>23475.75</v>
      </c>
      <c r="I173" s="132"/>
      <c r="J173" s="132">
        <f>216.15+2292.025+1400+1610+1440.25+1270.5+1201.35+2040.68+1064.83+1012.92+958.05+1094.49+1032.2+1136.02+984.75+1330.3+989.19+1090.04+200.21</f>
        <v>22363.954999999998</v>
      </c>
      <c r="K173" s="132">
        <f t="shared" si="28"/>
        <v>1111.7950000000019</v>
      </c>
      <c r="L173" s="132">
        <f t="shared" si="24"/>
        <v>1111.7950000000019</v>
      </c>
      <c r="M173" s="133"/>
      <c r="N173" s="133">
        <f t="shared" si="29"/>
        <v>1111.7950000000019</v>
      </c>
      <c r="O173" s="291" t="s">
        <v>3834</v>
      </c>
      <c r="P173" s="133"/>
      <c r="Q173" s="2" t="s">
        <v>715</v>
      </c>
      <c r="R173" s="156">
        <f t="shared" si="25"/>
        <v>0</v>
      </c>
      <c r="S173" s="156">
        <f t="shared" si="26"/>
        <v>0</v>
      </c>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53">
        <v>0</v>
      </c>
      <c r="AT173" s="153">
        <v>0</v>
      </c>
      <c r="AU173" s="153">
        <v>0</v>
      </c>
      <c r="AV173" s="135"/>
      <c r="AW173" s="135"/>
      <c r="AX173" s="135"/>
      <c r="AY173" s="135"/>
      <c r="AZ173" s="135"/>
      <c r="BA173" s="135"/>
      <c r="BB173" s="135"/>
      <c r="BC173" s="135"/>
      <c r="BD173" s="135"/>
      <c r="BE173" s="135"/>
      <c r="BF173" s="135"/>
      <c r="BG173" s="135"/>
      <c r="BH173" s="135"/>
      <c r="BI173" s="2" t="s">
        <v>112</v>
      </c>
      <c r="BJ173" s="136"/>
      <c r="BK173" s="2">
        <v>0</v>
      </c>
      <c r="BL173" s="136" t="s">
        <v>18</v>
      </c>
      <c r="BM173" s="136">
        <v>44935</v>
      </c>
      <c r="BN173" s="2" t="s">
        <v>716</v>
      </c>
      <c r="BO173" s="2"/>
      <c r="BP173" s="136"/>
      <c r="BQ173" s="137" t="s">
        <v>134</v>
      </c>
      <c r="BR173" s="138"/>
    </row>
    <row r="174" spans="1:70" ht="12.75" customHeight="1" x14ac:dyDescent="0.2">
      <c r="A174" s="2">
        <v>1663</v>
      </c>
      <c r="B174" s="2" t="s">
        <v>54</v>
      </c>
      <c r="C174" s="2" t="s">
        <v>96</v>
      </c>
      <c r="D174" s="2" t="s">
        <v>931</v>
      </c>
      <c r="E174" s="2" t="s">
        <v>71</v>
      </c>
      <c r="F174" s="132">
        <v>540000</v>
      </c>
      <c r="G174" s="132">
        <v>2</v>
      </c>
      <c r="H174" s="132">
        <f>49138+N("17 მკრ-19 კორპ")+47482+N("17 მკრ-21 კორპ")+46346+N("17 მკრ-22 კორპ")+25000+N("17 მკრ-5 კორპ (280723)")+50000+N("17 მკრ-30 კორპ (280723)")+70000+N("შარტავას ქ. №13 კორპ (280723)")+110000+N("მე-15-ე მიკრ №13 კორპ (300823)")+1000+N("მე-17-ე მიკრ №5 კორპ (300823)")+65000+N("მე-16-ე მიკრ №1 კორპ (I შუალ 290923)")+60000+N("მე-16-ე მიკრ №5 კორპ (I შუალ 290923)")+60000+N("მე-16-ე მიკრ №7 კორპ (I შუალ 290923)")+50000+N("მე-16-ე მიკრ №8 კორპ (290923)")+13259+N("17 მკრ-30 კორპ (საბ. 290923)")+16777+N("შარტავას ქ. №13 კორპ (საბ. 290923)")+4030+N("17 მკრ-5 კორპ (290923)")+70000+N("16 მკრ 9 კორპ (301023)")+2000+N("მე-16-ე მიკრ №8 კორპ (301023)")+21086+N("მე-15-ე მიკრ №13 კორპ (საბოლ 301023)")+60000+N("16 მკრ 4 კორპ (271123)")+60000+N("16 მკრ 6 კორპ (271123)")+12000+N("მე-16-ე მიკრ №7 კორპ (II შუალ 301123)")+15000+N("მე-16-ე მიკრ №1 კორპ (II შუალ 301123)")+10000+N("მე-16-ე მიკრ №5 კორპ (II შუალ 301123)")+50000+N("მე-16-ე მიკრ №2 კორპ (I შუალ 261223)")+50000+N("მე-16-ე მიკრ №3 კორპ (I შუალ 261223)")+50000+N("მე-16-ე მიკრ №10 კორპ (I შუალ 261223)")+30000+N("მე-16-ე მიკრ №11 კორპ (I შუალ 261223)")+3515+N("მე-16-ე მიკრ №1 კორპ (საბოლოო 181223)")+1282+N("მე-16-ე მიკრ №4 კორპ (საბოლოო 271223)")+3426+N("მე-16-ე მიკრ №5 კორპ (საბოლოო 181223)")+1009+N("მე-16-ე მიკრ №6 კორპ (საბოლოო 271223)")+4764+N("მე-16-ე მიკრ №7 კორპ (საბოლოო 181223)")+2500+N("მე-16-ე მიკრ №8 კორპ (საბოლოო 181223)")+9184+N("მე-16-ე მიკრ №9 კორპ (საბოლოო 181223)")</f>
        <v>1123798</v>
      </c>
      <c r="I174" s="132"/>
      <c r="J174" s="132">
        <f>7495.63+7243.02+7069.73+3813.56+7627.12+10677.97+AS174+AV174+16779.661+152.542+9915.25+9152.54+9152.54+7627.118+2022.56+2559.2+614.75+10677.966+305.084+3216.508+9152.54+9152.54+2288.1355+1830.508+1525.423+0.00000001+3515+11236.44+17869.49+1282+3426+1009+2500+9184+4764+4262.71+14217.8+7627.12+7627.12+7627.12+4576.27</f>
        <v>850098.00550001033</v>
      </c>
      <c r="K174" s="132">
        <f t="shared" si="28"/>
        <v>-310098.00550001033</v>
      </c>
      <c r="L174" s="132">
        <f t="shared" si="24"/>
        <v>273699.99449998967</v>
      </c>
      <c r="M174" s="133">
        <f>574+588+533+1389+715+804+813+901+678+812</f>
        <v>7807</v>
      </c>
      <c r="N174" s="133">
        <f t="shared" si="29"/>
        <v>-310098.00550001033</v>
      </c>
      <c r="O174" s="291" t="s">
        <v>3834</v>
      </c>
      <c r="P174" s="133"/>
      <c r="Q174" s="2" t="s">
        <v>715</v>
      </c>
      <c r="R174" s="156">
        <f t="shared" si="25"/>
        <v>0</v>
      </c>
      <c r="S174" s="156">
        <f t="shared" si="26"/>
        <v>0</v>
      </c>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53">
        <v>0</v>
      </c>
      <c r="AT174" s="153">
        <v>0</v>
      </c>
      <c r="AU174" s="153">
        <v>0</v>
      </c>
      <c r="AV174" s="135">
        <f>42372.88+N("17 მკრ-30 კორპ")+59322.03+N("შარტავას ქ. №13 კორპ")+21186.44+N("17 მკრ 5 კორპ")+93220.34+N("15 მკრ 13 კორპ")+55084.75+N("16 მკრ 1 კორპ")+12711.86+N("16 მკრ 1 კორპ")+50847.46+N("16 მკრ 4 კორპ")+50847.46+N("16 მკრ 5 კორპ")+8474.58+N("16 მკრ 5 კორპ")+50847.46+N("16 მკრ 6 კორპ")+50847.46+N("16 მკრ 7 კორპ")+10169.49+N("16 მკრ 7 კორპ")+42372.88+N("16 მკრ 8 კორპ")+1694.92+N("16 მკრ 8 კორპ")+59322.03+N("16 მკრ 9 კორპ")</f>
        <v>609322.04000000015</v>
      </c>
      <c r="AW174" s="135">
        <f>4602.97+N("17 მკრ-30 კორპ")+6444.16+N("შარტავას ქ. №13 კორპ")+2301.49+N("17 მკრ 5 კორპ")+8811.24+N("15 მკრ 13 კორპ")+4879.37+N("16 მკრ 1 კორპ")+778.38+N("16 მკრ 1 კორპ")+3238.91+N("16 მკრ 4 კორპ")+4504.03+N("16 მკრ 5 კორპ")+518.92+N("16 მკრ 5 კორპ")+3238.91+N("16 მკრ 6 კორპ")+4504.03+N("16 მკრ 7 კორპ")+622.71+N("16 მკრ 7 კორპ")+3753.36+N("16 მკრ 8 კორპ")+120.5+N("16 მკრ 8 კორპ")+4217.55+N("16 მკრ 9 კორპ")</f>
        <v>52536.530000000006</v>
      </c>
      <c r="AX174" s="135"/>
      <c r="AY174" s="135"/>
      <c r="AZ174" s="135"/>
      <c r="BA174" s="135"/>
      <c r="BB174" s="135"/>
      <c r="BC174" s="135"/>
      <c r="BD174" s="135"/>
      <c r="BE174" s="135"/>
      <c r="BF174" s="135"/>
      <c r="BG174" s="135"/>
      <c r="BH174" s="135"/>
      <c r="BI174" s="2" t="s">
        <v>3476</v>
      </c>
      <c r="BJ174" s="136"/>
      <c r="BK174" s="2">
        <v>55</v>
      </c>
      <c r="BL174" s="136" t="s">
        <v>18</v>
      </c>
      <c r="BM174" s="136">
        <v>44935</v>
      </c>
      <c r="BN174" s="2" t="s">
        <v>717</v>
      </c>
      <c r="BO174" s="2"/>
      <c r="BP174" s="136"/>
      <c r="BQ174" s="137"/>
      <c r="BR174" s="138"/>
    </row>
    <row r="175" spans="1:70" ht="12.75" customHeight="1" x14ac:dyDescent="0.2">
      <c r="A175" s="2">
        <v>1664</v>
      </c>
      <c r="B175" s="2" t="s">
        <v>54</v>
      </c>
      <c r="C175" s="2" t="s">
        <v>96</v>
      </c>
      <c r="D175" s="2" t="s">
        <v>932</v>
      </c>
      <c r="E175" s="2" t="s">
        <v>110</v>
      </c>
      <c r="F175" s="132">
        <f>1517.25+N("მე-18-ე მრკ. №12 კორპ. (070723)")+1064+N("მე-18-ე მრკ. №12ბ კორპ. (070723)")+3290+N("მე-12-ე მრკ. №19 კორპ. (031023)")</f>
        <v>5871.25</v>
      </c>
      <c r="G175" s="132">
        <v>2</v>
      </c>
      <c r="H175" s="132">
        <f>1517.25+N("მე-18-ე მრკ. №12 კორპ. (070723)")+1064+N("მე-18-ე მრკ. №12ბ კორპ. (070723)")+3290+N("მე-12-ე მრკ. №19 კორპ. (031023)")</f>
        <v>5871.25</v>
      </c>
      <c r="I175" s="132"/>
      <c r="J175" s="132">
        <f>1517.25+1064+501.86</f>
        <v>3083.11</v>
      </c>
      <c r="K175" s="132">
        <f t="shared" si="28"/>
        <v>2788.14</v>
      </c>
      <c r="L175" s="132">
        <f t="shared" si="24"/>
        <v>2788.14</v>
      </c>
      <c r="M175" s="133"/>
      <c r="N175" s="133">
        <f t="shared" si="29"/>
        <v>2788.14</v>
      </c>
      <c r="O175" s="291" t="s">
        <v>3834</v>
      </c>
      <c r="P175" s="133"/>
      <c r="Q175" s="2" t="s">
        <v>927</v>
      </c>
      <c r="R175" s="156">
        <f t="shared" si="25"/>
        <v>0</v>
      </c>
      <c r="S175" s="156">
        <f t="shared" si="26"/>
        <v>0</v>
      </c>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53">
        <v>0</v>
      </c>
      <c r="AT175" s="153">
        <v>0</v>
      </c>
      <c r="AU175" s="153">
        <v>0</v>
      </c>
      <c r="AV175" s="135"/>
      <c r="AW175" s="135"/>
      <c r="AX175" s="135"/>
      <c r="AY175" s="135"/>
      <c r="AZ175" s="135"/>
      <c r="BA175" s="135"/>
      <c r="BB175" s="135"/>
      <c r="BC175" s="135"/>
      <c r="BD175" s="135"/>
      <c r="BE175" s="135"/>
      <c r="BF175" s="135"/>
      <c r="BG175" s="135"/>
      <c r="BH175" s="135"/>
      <c r="BI175" s="2" t="s">
        <v>112</v>
      </c>
      <c r="BJ175" s="136"/>
      <c r="BK175" s="2">
        <v>0</v>
      </c>
      <c r="BL175" s="136" t="s">
        <v>18</v>
      </c>
      <c r="BM175" s="136">
        <v>44935</v>
      </c>
      <c r="BN175" s="2" t="s">
        <v>725</v>
      </c>
      <c r="BO175" s="2"/>
      <c r="BP175" s="136"/>
      <c r="BQ175" s="137" t="s">
        <v>134</v>
      </c>
      <c r="BR175" s="138"/>
    </row>
    <row r="176" spans="1:70" ht="12.75" customHeight="1" x14ac:dyDescent="0.2">
      <c r="A176" s="2">
        <v>1665</v>
      </c>
      <c r="B176" s="2" t="s">
        <v>54</v>
      </c>
      <c r="C176" s="2" t="s">
        <v>96</v>
      </c>
      <c r="D176" s="2" t="s">
        <v>933</v>
      </c>
      <c r="E176" s="2" t="s">
        <v>71</v>
      </c>
      <c r="F176" s="132">
        <v>450000</v>
      </c>
      <c r="G176" s="132">
        <v>2</v>
      </c>
      <c r="H176" s="132">
        <f>45444+N("19 მკრ-2 კორპ")+45924+N("19 მკრ-2ა კორპ")+53000+N("19 მკრ-21 კორპ")+55000+N("19 მკრ-20 კორპ (280723)")+12797+N("მე-19-ე მკრ. 21 კორპ საბოლოო 280723")+50000+N("მე-18-ე მკრ. 12ბ კორპ")+55000+N("მე-18-ე მკრ. 12 კორპ")+11869+N("19 მკრ-20 კორპ (290923)")+10356+N("მე-18-ე მკრ. 12 კორპ საბოლოო 301023")+5195+N("მე-18-ე მკრ. 12ბ კორპ საბოლოო 301023")</f>
        <v>344585</v>
      </c>
      <c r="I176" s="132"/>
      <c r="J176" s="132">
        <f>6932.14+7005.36+8084.75+8389.83+1952.08+AS176+7627.118+8389.83+1810.53+1579.728+792.457+0.000001+8776.27+4402.54+10058.47</f>
        <v>120716.353001</v>
      </c>
      <c r="K176" s="132">
        <f t="shared" si="28"/>
        <v>329283.64699899999</v>
      </c>
      <c r="L176" s="132">
        <f t="shared" si="24"/>
        <v>223868.64699899999</v>
      </c>
      <c r="M176" s="133">
        <f>509+525+876+668</f>
        <v>2578</v>
      </c>
      <c r="N176" s="133">
        <f t="shared" si="29"/>
        <v>329283.64699899999</v>
      </c>
      <c r="O176" s="291" t="s">
        <v>3834</v>
      </c>
      <c r="P176" s="133"/>
      <c r="Q176" s="2" t="s">
        <v>927</v>
      </c>
      <c r="R176" s="156">
        <f t="shared" si="25"/>
        <v>0</v>
      </c>
      <c r="S176" s="156">
        <f t="shared" si="26"/>
        <v>0</v>
      </c>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53">
        <f>44915.25</f>
        <v>44915.25</v>
      </c>
      <c r="AT176" s="153">
        <f>5588.56</f>
        <v>5588.56</v>
      </c>
      <c r="AU176" s="153">
        <v>0</v>
      </c>
      <c r="AV176" s="135">
        <f>46610.17+N("19 მკრ-20 კორპ")+46610.17+N("18 მკრ-12 კორპ")+42372.88+N("18 მკრ-12ბ კორპ")</f>
        <v>135593.22</v>
      </c>
      <c r="AW176" s="135">
        <f>5063.27+N("19 მკრ-20 კორპ")+4405.62+N("18 მკრ-12 კორპ")+4005.11+N("18 მკრ-12ბ კორპ")</f>
        <v>13474</v>
      </c>
      <c r="AX176" s="135"/>
      <c r="AY176" s="135"/>
      <c r="AZ176" s="135"/>
      <c r="BA176" s="135"/>
      <c r="BB176" s="135"/>
      <c r="BC176" s="135"/>
      <c r="BD176" s="135"/>
      <c r="BE176" s="135"/>
      <c r="BF176" s="135"/>
      <c r="BG176" s="135"/>
      <c r="BH176" s="135"/>
      <c r="BI176" s="2" t="s">
        <v>3476</v>
      </c>
      <c r="BJ176" s="136"/>
      <c r="BK176" s="2">
        <v>35</v>
      </c>
      <c r="BL176" s="136" t="s">
        <v>18</v>
      </c>
      <c r="BM176" s="136">
        <v>44935</v>
      </c>
      <c r="BN176" s="2" t="s">
        <v>726</v>
      </c>
      <c r="BO176" s="2"/>
      <c r="BP176" s="136"/>
      <c r="BQ176" s="137"/>
      <c r="BR176" s="138"/>
    </row>
    <row r="177" spans="1:70" ht="12.75" customHeight="1" x14ac:dyDescent="0.2">
      <c r="A177" s="2">
        <v>1666</v>
      </c>
      <c r="B177" s="2" t="s">
        <v>54</v>
      </c>
      <c r="C177" s="2" t="s">
        <v>96</v>
      </c>
      <c r="D177" s="2" t="s">
        <v>934</v>
      </c>
      <c r="E177" s="2" t="s">
        <v>110</v>
      </c>
      <c r="F177" s="132">
        <f>350+267.75+N("თბილისის ქ. №26 კორპ. (070723)")+483+N("მეგობრობის ქ. №23-ში მდებარე კორპ (031023)")+2247+N("ფალიაშვილის ქ. №11 კორპ) (141123)")</f>
        <v>3347.75</v>
      </c>
      <c r="G177" s="132">
        <v>2</v>
      </c>
      <c r="H177" s="132">
        <f>350+267.75+N("თბილისის ქ. №26 კორპ. (070723)")+483+N("მეგობრობის ქ. №23 კორპ (031023)")+2247+N("ფალიაშვილის ქ. №5 კორპ) (141123)")</f>
        <v>3347.75</v>
      </c>
      <c r="I177" s="132"/>
      <c r="J177" s="132">
        <f>350+267.75+483+342.76</f>
        <v>1443.51</v>
      </c>
      <c r="K177" s="132">
        <f t="shared" si="28"/>
        <v>1904.24</v>
      </c>
      <c r="L177" s="132">
        <f t="shared" si="24"/>
        <v>1904.24</v>
      </c>
      <c r="M177" s="133"/>
      <c r="N177" s="133">
        <f t="shared" si="29"/>
        <v>1904.24</v>
      </c>
      <c r="O177" s="291" t="s">
        <v>3834</v>
      </c>
      <c r="P177" s="133"/>
      <c r="Q177" s="2" t="s">
        <v>729</v>
      </c>
      <c r="R177" s="156">
        <f t="shared" si="25"/>
        <v>0</v>
      </c>
      <c r="S177" s="156">
        <f t="shared" si="26"/>
        <v>0</v>
      </c>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53">
        <v>0</v>
      </c>
      <c r="AT177" s="153">
        <v>0</v>
      </c>
      <c r="AU177" s="153">
        <v>0</v>
      </c>
      <c r="AV177" s="135"/>
      <c r="AW177" s="135"/>
      <c r="AX177" s="135"/>
      <c r="AY177" s="135"/>
      <c r="AZ177" s="135"/>
      <c r="BA177" s="135"/>
      <c r="BB177" s="135"/>
      <c r="BC177" s="135"/>
      <c r="BD177" s="135"/>
      <c r="BE177" s="135"/>
      <c r="BF177" s="135"/>
      <c r="BG177" s="135"/>
      <c r="BH177" s="135"/>
      <c r="BI177" s="2" t="s">
        <v>112</v>
      </c>
      <c r="BJ177" s="136"/>
      <c r="BK177" s="2">
        <v>0</v>
      </c>
      <c r="BL177" s="136" t="s">
        <v>18</v>
      </c>
      <c r="BM177" s="136">
        <v>44935</v>
      </c>
      <c r="BN177" s="2" t="s">
        <v>731</v>
      </c>
      <c r="BO177" s="2"/>
      <c r="BP177" s="136"/>
      <c r="BQ177" s="137" t="s">
        <v>134</v>
      </c>
      <c r="BR177" s="138"/>
    </row>
    <row r="178" spans="1:70" ht="12.75" customHeight="1" x14ac:dyDescent="0.2">
      <c r="A178" s="2">
        <v>1667</v>
      </c>
      <c r="B178" s="2" t="s">
        <v>54</v>
      </c>
      <c r="C178" s="2" t="s">
        <v>96</v>
      </c>
      <c r="D178" s="2" t="s">
        <v>935</v>
      </c>
      <c r="E178" s="2" t="s">
        <v>71</v>
      </c>
      <c r="F178" s="132">
        <v>470000</v>
      </c>
      <c r="G178" s="132">
        <v>2</v>
      </c>
      <c r="H178" s="132">
        <f>3000+N("ვ. ფშაველას II გასასვ. სახლი 4")+50000+N("მეგობრობის ქ კორპ. №37")+10000+N("ვ. ფშაველას II გასასვ. სახლი 4")+9184+N("თბილისის ქ. №26 კორპ საბოლოო 280723")+3327+N("ვ. ფშაველას II გასასვლ. სახ. 4 (280723)")+18985+N("მეგობრობის ქ. №37 კორპ საბოლოო 280723")+50000+N("მეგობრობის ქ. №23 კორპ (261223)")</f>
        <v>144496</v>
      </c>
      <c r="I178" s="132"/>
      <c r="J178" s="132">
        <f>457.63+7627.12+1525.42+1400.95+507.51+AS178+2542.37+0.000001+7627.12</f>
        <v>72535.580000999995</v>
      </c>
      <c r="K178" s="132">
        <f t="shared" si="28"/>
        <v>397464.41999900003</v>
      </c>
      <c r="L178" s="132">
        <f t="shared" si="24"/>
        <v>71960.419999000005</v>
      </c>
      <c r="M178" s="133">
        <f>50</f>
        <v>50</v>
      </c>
      <c r="N178" s="133">
        <f t="shared" si="29"/>
        <v>397464.41999900003</v>
      </c>
      <c r="O178" s="291" t="s">
        <v>3834</v>
      </c>
      <c r="P178" s="133"/>
      <c r="Q178" s="2" t="s">
        <v>729</v>
      </c>
      <c r="R178" s="156">
        <f t="shared" si="25"/>
        <v>0</v>
      </c>
      <c r="S178" s="156">
        <f t="shared" si="26"/>
        <v>0</v>
      </c>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53">
        <f>8474.58+42372.88</f>
        <v>50847.46</v>
      </c>
      <c r="AT178" s="153">
        <f>1054.45+5272.23</f>
        <v>6326.6799999999994</v>
      </c>
      <c r="AU178" s="153">
        <v>0</v>
      </c>
      <c r="AV178" s="135"/>
      <c r="AW178" s="135"/>
      <c r="AX178" s="135"/>
      <c r="AY178" s="135"/>
      <c r="AZ178" s="135"/>
      <c r="BA178" s="135"/>
      <c r="BB178" s="135"/>
      <c r="BC178" s="135"/>
      <c r="BD178" s="135"/>
      <c r="BE178" s="135"/>
      <c r="BF178" s="135"/>
      <c r="BG178" s="135"/>
      <c r="BH178" s="135"/>
      <c r="BI178" s="2" t="s">
        <v>3476</v>
      </c>
      <c r="BJ178" s="136"/>
      <c r="BK178" s="2">
        <v>5</v>
      </c>
      <c r="BL178" s="136" t="s">
        <v>18</v>
      </c>
      <c r="BM178" s="136">
        <v>44935</v>
      </c>
      <c r="BN178" s="2" t="s">
        <v>730</v>
      </c>
      <c r="BO178" s="2"/>
      <c r="BP178" s="136"/>
      <c r="BQ178" s="137"/>
      <c r="BR178" s="138"/>
    </row>
    <row r="179" spans="1:70" ht="12.75" customHeight="1" x14ac:dyDescent="0.2">
      <c r="A179" s="2">
        <v>1668</v>
      </c>
      <c r="B179" s="2" t="s">
        <v>28</v>
      </c>
      <c r="C179" s="2" t="s">
        <v>88</v>
      </c>
      <c r="D179" s="2" t="s">
        <v>740</v>
      </c>
      <c r="E179" s="2" t="s">
        <v>117</v>
      </c>
      <c r="F179" s="132">
        <f>404*1.75</f>
        <v>707</v>
      </c>
      <c r="G179" s="132"/>
      <c r="H179" s="132">
        <f>404*1.75</f>
        <v>707</v>
      </c>
      <c r="I179" s="132"/>
      <c r="J179" s="132">
        <f>707</f>
        <v>707</v>
      </c>
      <c r="K179" s="132">
        <f t="shared" si="28"/>
        <v>0</v>
      </c>
      <c r="L179" s="132">
        <f t="shared" si="24"/>
        <v>0</v>
      </c>
      <c r="M179" s="133"/>
      <c r="N179" s="133">
        <f t="shared" si="29"/>
        <v>0</v>
      </c>
      <c r="O179" s="134">
        <v>0</v>
      </c>
      <c r="P179" s="133"/>
      <c r="Q179" s="2" t="s">
        <v>735</v>
      </c>
      <c r="R179" s="156">
        <f t="shared" si="25"/>
        <v>0</v>
      </c>
      <c r="S179" s="156">
        <f t="shared" si="26"/>
        <v>0</v>
      </c>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53">
        <v>0</v>
      </c>
      <c r="AT179" s="153">
        <v>0</v>
      </c>
      <c r="AU179" s="153">
        <v>0</v>
      </c>
      <c r="AV179" s="135"/>
      <c r="AW179" s="135"/>
      <c r="AX179" s="135"/>
      <c r="AY179" s="135"/>
      <c r="AZ179" s="135"/>
      <c r="BA179" s="135"/>
      <c r="BB179" s="135"/>
      <c r="BC179" s="135"/>
      <c r="BD179" s="135"/>
      <c r="BE179" s="135"/>
      <c r="BF179" s="135"/>
      <c r="BG179" s="135"/>
      <c r="BH179" s="135"/>
      <c r="BI179" s="2" t="s">
        <v>112</v>
      </c>
      <c r="BJ179" s="136">
        <v>45091</v>
      </c>
      <c r="BK179" s="2" t="s">
        <v>145</v>
      </c>
      <c r="BL179" s="136" t="s">
        <v>18</v>
      </c>
      <c r="BM179" s="136">
        <v>44936</v>
      </c>
      <c r="BN179" s="2" t="s">
        <v>734</v>
      </c>
      <c r="BO179" s="2"/>
      <c r="BP179" s="136"/>
      <c r="BQ179" s="137" t="s">
        <v>134</v>
      </c>
      <c r="BR179" s="138"/>
    </row>
    <row r="180" spans="1:70" ht="12.75" customHeight="1" x14ac:dyDescent="0.2">
      <c r="A180" s="2">
        <v>1669</v>
      </c>
      <c r="B180" s="2" t="s">
        <v>28</v>
      </c>
      <c r="C180" s="2" t="s">
        <v>88</v>
      </c>
      <c r="D180" s="2" t="s">
        <v>741</v>
      </c>
      <c r="E180" s="2" t="s">
        <v>87</v>
      </c>
      <c r="F180" s="132">
        <v>45000</v>
      </c>
      <c r="G180" s="132"/>
      <c r="H180" s="132">
        <v>56305.94</v>
      </c>
      <c r="I180" s="132"/>
      <c r="J180" s="132">
        <f>AS180+AV180+56305.94</f>
        <v>56305.94</v>
      </c>
      <c r="K180" s="132">
        <f t="shared" si="28"/>
        <v>-11305.940000000002</v>
      </c>
      <c r="L180" s="132">
        <f t="shared" si="24"/>
        <v>0</v>
      </c>
      <c r="M180" s="133">
        <v>344</v>
      </c>
      <c r="N180" s="133">
        <f t="shared" si="29"/>
        <v>0</v>
      </c>
      <c r="O180" s="134">
        <v>0</v>
      </c>
      <c r="P180" s="133"/>
      <c r="Q180" s="2" t="s">
        <v>735</v>
      </c>
      <c r="R180" s="156">
        <f t="shared" si="25"/>
        <v>0</v>
      </c>
      <c r="S180" s="156">
        <f t="shared" si="26"/>
        <v>0</v>
      </c>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53">
        <v>0</v>
      </c>
      <c r="AT180" s="153">
        <v>0</v>
      </c>
      <c r="AU180" s="153">
        <v>0</v>
      </c>
      <c r="AV180" s="135">
        <v>0</v>
      </c>
      <c r="AW180" s="135">
        <v>0</v>
      </c>
      <c r="AX180" s="135">
        <f>(H180/1.18-AT180-AW180)*0.1</f>
        <v>4771.6898305084751</v>
      </c>
      <c r="AY180" s="135"/>
      <c r="AZ180" s="135"/>
      <c r="BA180" s="135"/>
      <c r="BB180" s="135"/>
      <c r="BC180" s="135"/>
      <c r="BD180" s="135"/>
      <c r="BE180" s="135"/>
      <c r="BF180" s="135"/>
      <c r="BG180" s="135"/>
      <c r="BH180" s="135"/>
      <c r="BI180" s="2" t="s">
        <v>11</v>
      </c>
      <c r="BJ180" s="136">
        <v>45288</v>
      </c>
      <c r="BK180" s="2" t="s">
        <v>8</v>
      </c>
      <c r="BL180" s="136" t="s">
        <v>18</v>
      </c>
      <c r="BM180" s="136">
        <v>44936</v>
      </c>
      <c r="BN180" s="2" t="s">
        <v>736</v>
      </c>
      <c r="BO180" s="2"/>
      <c r="BP180" s="136"/>
      <c r="BQ180" s="137" t="s">
        <v>119</v>
      </c>
      <c r="BR180" s="138"/>
    </row>
    <row r="181" spans="1:70" ht="12.75" customHeight="1" x14ac:dyDescent="0.2">
      <c r="A181" s="144">
        <v>1670</v>
      </c>
      <c r="B181" s="144" t="s">
        <v>28</v>
      </c>
      <c r="C181" s="144" t="s">
        <v>103</v>
      </c>
      <c r="D181" s="144" t="s">
        <v>742</v>
      </c>
      <c r="E181" s="144" t="s">
        <v>117</v>
      </c>
      <c r="F181" s="147">
        <v>0</v>
      </c>
      <c r="G181" s="147" t="s">
        <v>3667</v>
      </c>
      <c r="H181" s="147"/>
      <c r="I181" s="147"/>
      <c r="J181" s="147"/>
      <c r="K181" s="147">
        <f t="shared" si="28"/>
        <v>0</v>
      </c>
      <c r="L181" s="147">
        <f t="shared" si="24"/>
        <v>0</v>
      </c>
      <c r="M181" s="141"/>
      <c r="N181" s="141">
        <f t="shared" si="29"/>
        <v>0</v>
      </c>
      <c r="O181" s="134">
        <v>0</v>
      </c>
      <c r="P181" s="133"/>
      <c r="Q181" s="144" t="s">
        <v>737</v>
      </c>
      <c r="R181" s="156">
        <f t="shared" si="25"/>
        <v>0</v>
      </c>
      <c r="S181" s="156">
        <f t="shared" si="26"/>
        <v>0</v>
      </c>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53">
        <v>0</v>
      </c>
      <c r="AT181" s="153">
        <v>0</v>
      </c>
      <c r="AU181" s="153">
        <v>0</v>
      </c>
      <c r="AV181" s="135"/>
      <c r="AW181" s="135"/>
      <c r="AX181" s="135"/>
      <c r="AY181" s="135"/>
      <c r="AZ181" s="135"/>
      <c r="BA181" s="135"/>
      <c r="BB181" s="135"/>
      <c r="BC181" s="135"/>
      <c r="BD181" s="135"/>
      <c r="BE181" s="135"/>
      <c r="BF181" s="135"/>
      <c r="BG181" s="135"/>
      <c r="BH181" s="135"/>
      <c r="BI181" s="144" t="s">
        <v>112</v>
      </c>
      <c r="BJ181" s="148"/>
      <c r="BK181" s="144">
        <v>0</v>
      </c>
      <c r="BL181" s="148" t="s">
        <v>18</v>
      </c>
      <c r="BM181" s="148">
        <v>44936</v>
      </c>
      <c r="BN181" s="144" t="s">
        <v>738</v>
      </c>
      <c r="BO181" s="144"/>
      <c r="BP181" s="148"/>
      <c r="BQ181" s="149"/>
      <c r="BR181" s="138"/>
    </row>
    <row r="182" spans="1:70" ht="12.75" customHeight="1" x14ac:dyDescent="0.2">
      <c r="A182" s="2">
        <v>1671</v>
      </c>
      <c r="B182" s="2" t="s">
        <v>28</v>
      </c>
      <c r="C182" s="2" t="s">
        <v>103</v>
      </c>
      <c r="D182" s="2" t="s">
        <v>743</v>
      </c>
      <c r="E182" s="2" t="s">
        <v>87</v>
      </c>
      <c r="F182" s="132">
        <v>16000</v>
      </c>
      <c r="G182" s="132"/>
      <c r="H182" s="132">
        <v>3546.04</v>
      </c>
      <c r="I182" s="132"/>
      <c r="J182" s="132">
        <f>540.92+3005.12</f>
        <v>3546.04</v>
      </c>
      <c r="K182" s="132">
        <f t="shared" si="28"/>
        <v>12453.96</v>
      </c>
      <c r="L182" s="132">
        <f t="shared" si="24"/>
        <v>0</v>
      </c>
      <c r="M182" s="133">
        <v>0</v>
      </c>
      <c r="N182" s="133">
        <f t="shared" si="29"/>
        <v>0</v>
      </c>
      <c r="O182" s="134">
        <v>0</v>
      </c>
      <c r="P182" s="133"/>
      <c r="Q182" s="2" t="s">
        <v>737</v>
      </c>
      <c r="R182" s="156">
        <f t="shared" si="25"/>
        <v>0</v>
      </c>
      <c r="S182" s="156">
        <f t="shared" si="26"/>
        <v>0</v>
      </c>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53">
        <v>0</v>
      </c>
      <c r="AT182" s="153">
        <v>0</v>
      </c>
      <c r="AU182" s="153">
        <v>0</v>
      </c>
      <c r="AV182" s="135">
        <v>0</v>
      </c>
      <c r="AW182" s="135">
        <v>0</v>
      </c>
      <c r="AX182" s="135">
        <f>(H182/1.18-AT182-AW182)*0.1</f>
        <v>300.51186440677969</v>
      </c>
      <c r="AY182" s="135"/>
      <c r="AZ182" s="135"/>
      <c r="BA182" s="135"/>
      <c r="BB182" s="135"/>
      <c r="BC182" s="135"/>
      <c r="BD182" s="135"/>
      <c r="BE182" s="135"/>
      <c r="BF182" s="135"/>
      <c r="BG182" s="135"/>
      <c r="BH182" s="135"/>
      <c r="BI182" s="2" t="s">
        <v>11</v>
      </c>
      <c r="BJ182" s="136">
        <v>45260</v>
      </c>
      <c r="BK182" s="2" t="s">
        <v>8</v>
      </c>
      <c r="BL182" s="136" t="s">
        <v>18</v>
      </c>
      <c r="BM182" s="136">
        <v>44936</v>
      </c>
      <c r="BN182" s="2" t="s">
        <v>739</v>
      </c>
      <c r="BO182" s="2"/>
      <c r="BP182" s="136"/>
      <c r="BQ182" s="137" t="s">
        <v>119</v>
      </c>
      <c r="BR182" s="138"/>
    </row>
    <row r="183" spans="1:70" ht="12.75" customHeight="1" x14ac:dyDescent="0.2">
      <c r="A183" s="2">
        <v>1672</v>
      </c>
      <c r="B183" s="2" t="s">
        <v>28</v>
      </c>
      <c r="C183" s="2" t="s">
        <v>93</v>
      </c>
      <c r="D183" s="2" t="s">
        <v>745</v>
      </c>
      <c r="E183" s="2" t="s">
        <v>117</v>
      </c>
      <c r="F183" s="132">
        <f>7549.5+N("თერჯოლა")+2910.25+N("ამბროლაური")</f>
        <v>10459.75</v>
      </c>
      <c r="G183" s="132"/>
      <c r="H183" s="132">
        <f>4314*1.75+N("თერჯოლა")+1663*1.75+N("ამბროლაური")</f>
        <v>10459.75</v>
      </c>
      <c r="I183" s="132"/>
      <c r="J183" s="132">
        <f>1151.618+443.936+8864.196</f>
        <v>10459.75</v>
      </c>
      <c r="K183" s="132">
        <f t="shared" si="28"/>
        <v>0</v>
      </c>
      <c r="L183" s="132">
        <f t="shared" si="24"/>
        <v>0</v>
      </c>
      <c r="M183" s="133"/>
      <c r="N183" s="133">
        <f t="shared" si="29"/>
        <v>0</v>
      </c>
      <c r="O183" s="134">
        <v>0</v>
      </c>
      <c r="P183" s="133"/>
      <c r="Q183" s="2" t="s">
        <v>746</v>
      </c>
      <c r="R183" s="156">
        <f t="shared" si="25"/>
        <v>0</v>
      </c>
      <c r="S183" s="156">
        <f t="shared" si="26"/>
        <v>0</v>
      </c>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53">
        <v>0</v>
      </c>
      <c r="AT183" s="153">
        <v>0</v>
      </c>
      <c r="AU183" s="153">
        <v>0</v>
      </c>
      <c r="AV183" s="135"/>
      <c r="AW183" s="135"/>
      <c r="AX183" s="135"/>
      <c r="AY183" s="135"/>
      <c r="AZ183" s="135"/>
      <c r="BA183" s="135"/>
      <c r="BB183" s="135"/>
      <c r="BC183" s="135"/>
      <c r="BD183" s="135"/>
      <c r="BE183" s="135"/>
      <c r="BF183" s="135"/>
      <c r="BG183" s="135"/>
      <c r="BH183" s="135"/>
      <c r="BI183" s="2" t="s">
        <v>112</v>
      </c>
      <c r="BJ183" s="136">
        <v>45244</v>
      </c>
      <c r="BK183" s="2" t="s">
        <v>145</v>
      </c>
      <c r="BL183" s="136" t="s">
        <v>18</v>
      </c>
      <c r="BM183" s="136">
        <v>44936</v>
      </c>
      <c r="BN183" s="2" t="s">
        <v>747</v>
      </c>
      <c r="BO183" s="2"/>
      <c r="BP183" s="136"/>
      <c r="BQ183" s="137" t="s">
        <v>134</v>
      </c>
      <c r="BR183" s="138"/>
    </row>
    <row r="184" spans="1:70" ht="12.75" customHeight="1" x14ac:dyDescent="0.2">
      <c r="A184" s="2">
        <v>1673</v>
      </c>
      <c r="B184" s="2" t="s">
        <v>28</v>
      </c>
      <c r="C184" s="2" t="s">
        <v>93</v>
      </c>
      <c r="D184" s="2" t="s">
        <v>749</v>
      </c>
      <c r="E184" s="2" t="s">
        <v>87</v>
      </c>
      <c r="F184" s="132">
        <v>240000</v>
      </c>
      <c r="G184" s="132">
        <v>2</v>
      </c>
      <c r="H184" s="132">
        <f>100000+187086.37</f>
        <v>287086.37</v>
      </c>
      <c r="I184" s="132">
        <f>100000+187086.37</f>
        <v>287086.37</v>
      </c>
      <c r="J184" s="132">
        <f>15254.24+271832.13</f>
        <v>287086.37</v>
      </c>
      <c r="K184" s="132">
        <f t="shared" si="28"/>
        <v>-47086.369999999995</v>
      </c>
      <c r="L184" s="132">
        <f t="shared" si="24"/>
        <v>0</v>
      </c>
      <c r="M184" s="133">
        <v>5839</v>
      </c>
      <c r="N184" s="133">
        <f t="shared" si="29"/>
        <v>0</v>
      </c>
      <c r="O184" s="134">
        <v>0</v>
      </c>
      <c r="P184" s="133"/>
      <c r="Q184" s="2" t="s">
        <v>746</v>
      </c>
      <c r="R184" s="156">
        <f t="shared" si="25"/>
        <v>0</v>
      </c>
      <c r="S184" s="156">
        <f t="shared" si="26"/>
        <v>0</v>
      </c>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53">
        <v>0</v>
      </c>
      <c r="AT184" s="153">
        <v>0</v>
      </c>
      <c r="AU184" s="153">
        <v>0</v>
      </c>
      <c r="AV184" s="135"/>
      <c r="AW184" s="135"/>
      <c r="AX184" s="135"/>
      <c r="AY184" s="135"/>
      <c r="AZ184" s="135"/>
      <c r="BA184" s="135">
        <f>100000/1.18*0.8*0.1</f>
        <v>6779.6610169491541</v>
      </c>
      <c r="BB184" s="140">
        <f>(H184/1.18-AT184-AW184-AZ184)*0.1-AU184-AX184-BA184</f>
        <v>17549.692372881356</v>
      </c>
      <c r="BC184" s="135"/>
      <c r="BD184" s="135"/>
      <c r="BE184" s="135">
        <f>(H184/1.18-AT184-AW184-AZ184-BD184)*0.1-AU184-AX184-BA184-BB184</f>
        <v>0</v>
      </c>
      <c r="BF184" s="135"/>
      <c r="BG184" s="135"/>
      <c r="BH184" s="135"/>
      <c r="BI184" s="2" t="s">
        <v>11</v>
      </c>
      <c r="BJ184" s="136">
        <v>45594</v>
      </c>
      <c r="BK184" s="2" t="s">
        <v>109</v>
      </c>
      <c r="BL184" s="136" t="s">
        <v>18</v>
      </c>
      <c r="BM184" s="136">
        <v>44936</v>
      </c>
      <c r="BN184" s="2" t="s">
        <v>748</v>
      </c>
      <c r="BO184" s="2"/>
      <c r="BP184" s="136"/>
      <c r="BQ184" s="137" t="s">
        <v>119</v>
      </c>
      <c r="BR184" s="138"/>
    </row>
    <row r="185" spans="1:70" ht="12.75" customHeight="1" x14ac:dyDescent="0.2">
      <c r="A185" s="2">
        <v>1674</v>
      </c>
      <c r="B185" s="2" t="s">
        <v>28</v>
      </c>
      <c r="C185" s="2" t="s">
        <v>92</v>
      </c>
      <c r="D185" s="2" t="s">
        <v>750</v>
      </c>
      <c r="E185" s="2" t="s">
        <v>117</v>
      </c>
      <c r="F185" s="132">
        <f>13*5</f>
        <v>65</v>
      </c>
      <c r="G185" s="132">
        <v>2</v>
      </c>
      <c r="H185" s="132">
        <f>13*5</f>
        <v>65</v>
      </c>
      <c r="I185" s="132"/>
      <c r="J185" s="132">
        <v>65</v>
      </c>
      <c r="K185" s="132">
        <f t="shared" si="28"/>
        <v>0</v>
      </c>
      <c r="L185" s="132">
        <f t="shared" si="24"/>
        <v>0</v>
      </c>
      <c r="M185" s="133"/>
      <c r="N185" s="133">
        <f t="shared" si="29"/>
        <v>0</v>
      </c>
      <c r="O185" s="134">
        <v>0</v>
      </c>
      <c r="P185" s="133"/>
      <c r="Q185" s="2" t="s">
        <v>744</v>
      </c>
      <c r="R185" s="156">
        <f t="shared" si="25"/>
        <v>0</v>
      </c>
      <c r="S185" s="156">
        <f t="shared" si="26"/>
        <v>0</v>
      </c>
      <c r="T185" s="133"/>
      <c r="U185" s="133"/>
      <c r="V185" s="133"/>
      <c r="W185" s="133"/>
      <c r="X185" s="133"/>
      <c r="Y185" s="133"/>
      <c r="Z185" s="133"/>
      <c r="AA185" s="133"/>
      <c r="AB185" s="133"/>
      <c r="AC185" s="133"/>
      <c r="AD185" s="133"/>
      <c r="AE185" s="133"/>
      <c r="AF185" s="133"/>
      <c r="AG185" s="133"/>
      <c r="AH185" s="133"/>
      <c r="AI185" s="133"/>
      <c r="AJ185" s="133"/>
      <c r="AK185" s="133"/>
      <c r="AL185" s="133"/>
      <c r="AM185" s="133"/>
      <c r="AN185" s="133"/>
      <c r="AO185" s="133"/>
      <c r="AP185" s="133"/>
      <c r="AQ185" s="133"/>
      <c r="AR185" s="133"/>
      <c r="AS185" s="153">
        <v>0</v>
      </c>
      <c r="AT185" s="153">
        <v>0</v>
      </c>
      <c r="AU185" s="153">
        <v>0</v>
      </c>
      <c r="AV185" s="135"/>
      <c r="AW185" s="135"/>
      <c r="AX185" s="135"/>
      <c r="AY185" s="135"/>
      <c r="AZ185" s="135"/>
      <c r="BA185" s="135"/>
      <c r="BB185" s="135"/>
      <c r="BC185" s="135"/>
      <c r="BD185" s="135"/>
      <c r="BE185" s="135"/>
      <c r="BF185" s="135"/>
      <c r="BG185" s="135"/>
      <c r="BH185" s="135"/>
      <c r="BI185" s="2" t="s">
        <v>112</v>
      </c>
      <c r="BJ185" s="136">
        <v>45427</v>
      </c>
      <c r="BK185" s="2" t="s">
        <v>145</v>
      </c>
      <c r="BL185" s="136" t="s">
        <v>18</v>
      </c>
      <c r="BM185" s="136">
        <v>44936</v>
      </c>
      <c r="BN185" s="2" t="s">
        <v>752</v>
      </c>
      <c r="BO185" s="2"/>
      <c r="BP185" s="136"/>
      <c r="BQ185" s="137"/>
      <c r="BR185" s="138"/>
    </row>
    <row r="186" spans="1:70" ht="12.75" customHeight="1" x14ac:dyDescent="0.2">
      <c r="A186" s="2">
        <v>1675</v>
      </c>
      <c r="B186" s="2" t="s">
        <v>28</v>
      </c>
      <c r="C186" s="2" t="s">
        <v>92</v>
      </c>
      <c r="D186" s="2" t="s">
        <v>751</v>
      </c>
      <c r="E186" s="2" t="s">
        <v>87</v>
      </c>
      <c r="F186" s="132">
        <v>55000</v>
      </c>
      <c r="G186" s="132">
        <v>2</v>
      </c>
      <c r="H186" s="132">
        <v>14731.1</v>
      </c>
      <c r="I186" s="132">
        <v>14731.1</v>
      </c>
      <c r="J186" s="132">
        <v>14731.1</v>
      </c>
      <c r="K186" s="132">
        <f t="shared" si="28"/>
        <v>40268.9</v>
      </c>
      <c r="L186" s="132">
        <f t="shared" si="24"/>
        <v>0</v>
      </c>
      <c r="M186" s="133">
        <v>120</v>
      </c>
      <c r="N186" s="133">
        <f t="shared" si="29"/>
        <v>0</v>
      </c>
      <c r="O186" s="134">
        <v>0</v>
      </c>
      <c r="P186" s="133"/>
      <c r="Q186" s="2" t="s">
        <v>744</v>
      </c>
      <c r="R186" s="156">
        <f t="shared" si="25"/>
        <v>0</v>
      </c>
      <c r="S186" s="156">
        <f t="shared" si="26"/>
        <v>0</v>
      </c>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53">
        <v>0</v>
      </c>
      <c r="AT186" s="153">
        <v>0</v>
      </c>
      <c r="AU186" s="153">
        <v>0</v>
      </c>
      <c r="AV186" s="135"/>
      <c r="AW186" s="135"/>
      <c r="AX186" s="135"/>
      <c r="AY186" s="135"/>
      <c r="AZ186" s="135"/>
      <c r="BA186" s="135">
        <v>0</v>
      </c>
      <c r="BB186" s="140">
        <f>(H186/1.18-AT186-AW186-AZ186)*0.1-AU186-AX186-BA186</f>
        <v>1248.398305084746</v>
      </c>
      <c r="BC186" s="135"/>
      <c r="BD186" s="135"/>
      <c r="BE186" s="135">
        <f>(H186/1.18-AT186-AW186-AZ186-BD186)*0.1-AU186-AX186-BA186-BB186</f>
        <v>0</v>
      </c>
      <c r="BF186" s="135"/>
      <c r="BG186" s="135"/>
      <c r="BH186" s="135"/>
      <c r="BI186" s="2" t="s">
        <v>11</v>
      </c>
      <c r="BJ186" s="136">
        <v>45488</v>
      </c>
      <c r="BK186" s="2" t="s">
        <v>109</v>
      </c>
      <c r="BL186" s="136" t="s">
        <v>18</v>
      </c>
      <c r="BM186" s="136">
        <v>44936</v>
      </c>
      <c r="BN186" s="2" t="s">
        <v>753</v>
      </c>
      <c r="BO186" s="2"/>
      <c r="BP186" s="136"/>
      <c r="BQ186" s="137" t="s">
        <v>119</v>
      </c>
      <c r="BR186" s="138"/>
    </row>
    <row r="187" spans="1:70" ht="12.75" customHeight="1" x14ac:dyDescent="0.2">
      <c r="A187" s="2">
        <v>1676</v>
      </c>
      <c r="B187" s="2" t="s">
        <v>28</v>
      </c>
      <c r="C187" s="2" t="s">
        <v>92</v>
      </c>
      <c r="D187" s="2" t="s">
        <v>754</v>
      </c>
      <c r="E187" s="2" t="s">
        <v>117</v>
      </c>
      <c r="F187" s="150">
        <f>1638*1.75</f>
        <v>2866.5</v>
      </c>
      <c r="G187" s="150"/>
      <c r="H187" s="150">
        <f>1638*1.75</f>
        <v>2866.5</v>
      </c>
      <c r="I187" s="150"/>
      <c r="J187" s="132">
        <f>437.263+2429.237</f>
        <v>2866.5</v>
      </c>
      <c r="K187" s="132">
        <f t="shared" si="28"/>
        <v>0</v>
      </c>
      <c r="L187" s="132">
        <f t="shared" si="24"/>
        <v>0</v>
      </c>
      <c r="M187" s="133"/>
      <c r="N187" s="133">
        <f t="shared" si="29"/>
        <v>0</v>
      </c>
      <c r="O187" s="134">
        <v>0</v>
      </c>
      <c r="P187" s="133"/>
      <c r="Q187" s="2" t="s">
        <v>756</v>
      </c>
      <c r="R187" s="156">
        <f t="shared" si="25"/>
        <v>0</v>
      </c>
      <c r="S187" s="156">
        <f t="shared" si="26"/>
        <v>0</v>
      </c>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53">
        <v>0</v>
      </c>
      <c r="AT187" s="153">
        <v>0</v>
      </c>
      <c r="AU187" s="153">
        <v>0</v>
      </c>
      <c r="AV187" s="135"/>
      <c r="AW187" s="135"/>
      <c r="AX187" s="135"/>
      <c r="AY187" s="135"/>
      <c r="AZ187" s="135"/>
      <c r="BA187" s="135"/>
      <c r="BB187" s="135"/>
      <c r="BC187" s="135"/>
      <c r="BD187" s="135"/>
      <c r="BE187" s="135"/>
      <c r="BF187" s="135"/>
      <c r="BG187" s="135"/>
      <c r="BH187" s="135"/>
      <c r="BI187" s="2" t="s">
        <v>112</v>
      </c>
      <c r="BJ187" s="136">
        <v>45169</v>
      </c>
      <c r="BK187" s="2" t="s">
        <v>145</v>
      </c>
      <c r="BL187" s="136" t="s">
        <v>18</v>
      </c>
      <c r="BM187" s="136">
        <v>44936</v>
      </c>
      <c r="BN187" s="2" t="s">
        <v>757</v>
      </c>
      <c r="BO187" s="2"/>
      <c r="BP187" s="136"/>
      <c r="BQ187" s="137" t="s">
        <v>134</v>
      </c>
      <c r="BR187" s="138"/>
    </row>
    <row r="188" spans="1:70" ht="12.75" customHeight="1" x14ac:dyDescent="0.2">
      <c r="A188" s="235">
        <v>1677</v>
      </c>
      <c r="B188" s="235" t="s">
        <v>28</v>
      </c>
      <c r="C188" s="235" t="s">
        <v>92</v>
      </c>
      <c r="D188" s="235" t="s">
        <v>755</v>
      </c>
      <c r="E188" s="235" t="s">
        <v>87</v>
      </c>
      <c r="F188" s="236">
        <v>57000</v>
      </c>
      <c r="G188" s="132" t="s">
        <v>3662</v>
      </c>
      <c r="H188" s="236"/>
      <c r="I188" s="236"/>
      <c r="J188" s="236"/>
      <c r="K188" s="236">
        <f t="shared" si="28"/>
        <v>57000</v>
      </c>
      <c r="L188" s="236">
        <f t="shared" si="24"/>
        <v>0</v>
      </c>
      <c r="M188" s="237"/>
      <c r="N188" s="237">
        <f t="shared" si="29"/>
        <v>57000</v>
      </c>
      <c r="O188" s="238" t="s">
        <v>1705</v>
      </c>
      <c r="P188" s="133"/>
      <c r="Q188" s="235" t="s">
        <v>756</v>
      </c>
      <c r="R188" s="156">
        <f t="shared" si="25"/>
        <v>0</v>
      </c>
      <c r="S188" s="156">
        <f t="shared" si="26"/>
        <v>0</v>
      </c>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53">
        <v>0</v>
      </c>
      <c r="AT188" s="153">
        <v>0</v>
      </c>
      <c r="AU188" s="153">
        <v>0</v>
      </c>
      <c r="AV188" s="135"/>
      <c r="AW188" s="135"/>
      <c r="AX188" s="135"/>
      <c r="AY188" s="135"/>
      <c r="AZ188" s="135"/>
      <c r="BA188" s="135"/>
      <c r="BB188" s="135"/>
      <c r="BC188" s="135"/>
      <c r="BD188" s="135"/>
      <c r="BE188" s="135"/>
      <c r="BF188" s="135"/>
      <c r="BG188" s="135"/>
      <c r="BH188" s="135"/>
      <c r="BI188" s="235" t="s">
        <v>11</v>
      </c>
      <c r="BJ188" s="239"/>
      <c r="BK188" s="235">
        <v>0</v>
      </c>
      <c r="BL188" s="239" t="s">
        <v>18</v>
      </c>
      <c r="BM188" s="239">
        <v>44936</v>
      </c>
      <c r="BN188" s="235" t="s">
        <v>758</v>
      </c>
      <c r="BO188" s="235"/>
      <c r="BP188" s="239"/>
      <c r="BQ188" s="240" t="s">
        <v>134</v>
      </c>
      <c r="BR188" s="138"/>
    </row>
    <row r="189" spans="1:70" ht="12.75" customHeight="1" x14ac:dyDescent="0.2">
      <c r="A189" s="2">
        <v>1678</v>
      </c>
      <c r="B189" s="2" t="s">
        <v>28</v>
      </c>
      <c r="C189" s="2" t="s">
        <v>91</v>
      </c>
      <c r="D189" s="2" t="s">
        <v>759</v>
      </c>
      <c r="E189" s="2" t="s">
        <v>87</v>
      </c>
      <c r="F189" s="132">
        <v>461805.49</v>
      </c>
      <c r="G189" s="132">
        <v>2</v>
      </c>
      <c r="H189" s="150">
        <f>180000+70000+5000+R189</f>
        <v>461805.49</v>
      </c>
      <c r="I189" s="132">
        <v>461805.49</v>
      </c>
      <c r="J189" s="132">
        <f>27457.63+762.71+S189+AY189+BC189</f>
        <v>461805.49</v>
      </c>
      <c r="K189" s="132">
        <f t="shared" si="28"/>
        <v>0</v>
      </c>
      <c r="L189" s="132">
        <f t="shared" si="24"/>
        <v>0</v>
      </c>
      <c r="M189" s="133">
        <v>8608</v>
      </c>
      <c r="N189" s="133">
        <f t="shared" si="29"/>
        <v>0</v>
      </c>
      <c r="O189" s="134">
        <v>1</v>
      </c>
      <c r="P189" s="133"/>
      <c r="Q189" s="2" t="s">
        <v>761</v>
      </c>
      <c r="R189" s="156">
        <f t="shared" si="25"/>
        <v>206805.49</v>
      </c>
      <c r="S189" s="156">
        <f t="shared" si="26"/>
        <v>50534.31</v>
      </c>
      <c r="T189" s="133">
        <v>202000</v>
      </c>
      <c r="U189" s="133"/>
      <c r="V189" s="133">
        <v>4805.49</v>
      </c>
      <c r="W189" s="133">
        <f>30813.56</f>
        <v>30813.56</v>
      </c>
      <c r="X189" s="133"/>
      <c r="Y189" s="133">
        <v>733.04</v>
      </c>
      <c r="Z189" s="133"/>
      <c r="AA189" s="133"/>
      <c r="AB189" s="133"/>
      <c r="AC189" s="133"/>
      <c r="AD189" s="133"/>
      <c r="AE189" s="133">
        <v>18987.71</v>
      </c>
      <c r="AF189" s="133"/>
      <c r="AG189" s="133"/>
      <c r="AH189" s="133"/>
      <c r="AI189" s="133"/>
      <c r="AJ189" s="133"/>
      <c r="AK189" s="133"/>
      <c r="AL189" s="133"/>
      <c r="AM189" s="133"/>
      <c r="AN189" s="133"/>
      <c r="AO189" s="133"/>
      <c r="AP189" s="133"/>
      <c r="AQ189" s="133"/>
      <c r="AR189" s="133" t="s">
        <v>718</v>
      </c>
      <c r="AS189" s="153">
        <v>0</v>
      </c>
      <c r="AT189" s="153">
        <v>0</v>
      </c>
      <c r="AU189" s="153">
        <v>0</v>
      </c>
      <c r="AV189" s="135"/>
      <c r="AW189" s="135"/>
      <c r="AX189" s="135"/>
      <c r="AY189" s="135">
        <f>152542.37+59322.03</f>
        <v>211864.4</v>
      </c>
      <c r="AZ189" s="135">
        <f>15560.37+5426.75</f>
        <v>20987.120000000003</v>
      </c>
      <c r="BA189" s="135">
        <f>180000/1.18*0.8*0.1</f>
        <v>12203.389830508475</v>
      </c>
      <c r="BB189" s="140">
        <f>(457000/1.18-AT189-AW189-AZ189)*0.1-AU189-AX189-BA189</f>
        <v>24426.711728813563</v>
      </c>
      <c r="BC189" s="135">
        <f>171186.44</f>
        <v>171186.44</v>
      </c>
      <c r="BD189" s="135">
        <v>3480.01</v>
      </c>
      <c r="BE189" s="264">
        <f>(H189/1.18-AT189-AW189-AZ189-BD189)*0.1-AU189-AX189-BA189-BB189</f>
        <v>59.243915254242893</v>
      </c>
      <c r="BF189" s="264"/>
      <c r="BG189" s="135"/>
      <c r="BH189" s="135"/>
      <c r="BI189" s="2" t="s">
        <v>11</v>
      </c>
      <c r="BJ189" s="136">
        <v>45706</v>
      </c>
      <c r="BK189" s="2" t="s">
        <v>109</v>
      </c>
      <c r="BL189" s="136" t="s">
        <v>18</v>
      </c>
      <c r="BM189" s="136">
        <v>44936</v>
      </c>
      <c r="BN189" s="2" t="s">
        <v>760</v>
      </c>
      <c r="BO189" s="2"/>
      <c r="BP189" s="136"/>
      <c r="BQ189" s="137" t="s">
        <v>119</v>
      </c>
      <c r="BR189" s="138"/>
    </row>
    <row r="190" spans="1:70" ht="12.75" customHeight="1" x14ac:dyDescent="0.2">
      <c r="A190" s="2">
        <v>1679</v>
      </c>
      <c r="B190" s="2" t="s">
        <v>28</v>
      </c>
      <c r="C190" s="2" t="s">
        <v>91</v>
      </c>
      <c r="D190" s="2" t="s">
        <v>762</v>
      </c>
      <c r="E190" s="2" t="s">
        <v>87</v>
      </c>
      <c r="F190" s="132">
        <v>471804.33999999997</v>
      </c>
      <c r="G190" s="132">
        <v>2</v>
      </c>
      <c r="H190" s="150">
        <f>270000+50000+10000+R190</f>
        <v>471804.33999999997</v>
      </c>
      <c r="I190" s="132">
        <v>471804.33999999997</v>
      </c>
      <c r="J190" s="132">
        <f>41186.44+1525.42+S190+AY190+BC190</f>
        <v>471804.33999999997</v>
      </c>
      <c r="K190" s="132">
        <f t="shared" si="28"/>
        <v>0</v>
      </c>
      <c r="L190" s="132">
        <f t="shared" si="24"/>
        <v>0</v>
      </c>
      <c r="M190" s="133">
        <v>7963</v>
      </c>
      <c r="N190" s="133">
        <f t="shared" si="29"/>
        <v>0</v>
      </c>
      <c r="O190" s="134">
        <v>1</v>
      </c>
      <c r="P190" s="133"/>
      <c r="Q190" s="2" t="s">
        <v>763</v>
      </c>
      <c r="R190" s="156">
        <f t="shared" si="25"/>
        <v>141804.34</v>
      </c>
      <c r="S190" s="156">
        <f t="shared" si="26"/>
        <v>40956.89</v>
      </c>
      <c r="T190" s="133">
        <v>138000</v>
      </c>
      <c r="U190" s="133"/>
      <c r="V190" s="133">
        <v>3804.34</v>
      </c>
      <c r="W190" s="133">
        <f>21050.85</f>
        <v>21050.85</v>
      </c>
      <c r="X190" s="133"/>
      <c r="Y190" s="133">
        <v>580.32000000000005</v>
      </c>
      <c r="Z190" s="133"/>
      <c r="AA190" s="133"/>
      <c r="AB190" s="133"/>
      <c r="AC190" s="133"/>
      <c r="AD190" s="133"/>
      <c r="AE190" s="133">
        <v>19325.72</v>
      </c>
      <c r="AF190" s="133"/>
      <c r="AG190" s="133"/>
      <c r="AH190" s="133"/>
      <c r="AI190" s="133"/>
      <c r="AJ190" s="133"/>
      <c r="AK190" s="133"/>
      <c r="AL190" s="133"/>
      <c r="AM190" s="133"/>
      <c r="AN190" s="133"/>
      <c r="AO190" s="133"/>
      <c r="AP190" s="133"/>
      <c r="AQ190" s="133"/>
      <c r="AR190" s="133" t="s">
        <v>718</v>
      </c>
      <c r="AS190" s="153">
        <v>0</v>
      </c>
      <c r="AT190" s="153">
        <v>0</v>
      </c>
      <c r="AU190" s="153">
        <v>0</v>
      </c>
      <c r="AV190" s="135"/>
      <c r="AW190" s="135"/>
      <c r="AX190" s="135"/>
      <c r="AY190" s="135">
        <f>228813.56+42372.88</f>
        <v>271186.44</v>
      </c>
      <c r="AZ190" s="135">
        <v>27216.801245273818</v>
      </c>
      <c r="BA190" s="135">
        <f>270000/1.18*0.8*0.1</f>
        <v>18305.084745762717</v>
      </c>
      <c r="BB190" s="140">
        <f>(468000/1.18-AT190-AW190-AZ190)*0.1-AU190-AX190-BA190</f>
        <v>18634.252078862446</v>
      </c>
      <c r="BC190" s="135">
        <f>116949.15</f>
        <v>116949.15</v>
      </c>
      <c r="BD190" s="135">
        <v>2377.4299999999998</v>
      </c>
      <c r="BE190" s="264">
        <f>(H190/1.18-AT190-AW190-AZ190-BD190)*0.1-AU190-AX190-BA190-BB190</f>
        <v>84.658694915255182</v>
      </c>
      <c r="BF190" s="264"/>
      <c r="BG190" s="135"/>
      <c r="BH190" s="135"/>
      <c r="BI190" s="2" t="s">
        <v>11</v>
      </c>
      <c r="BJ190" s="136">
        <v>45706</v>
      </c>
      <c r="BK190" s="2" t="s">
        <v>8</v>
      </c>
      <c r="BL190" s="136" t="s">
        <v>18</v>
      </c>
      <c r="BM190" s="136">
        <v>44936</v>
      </c>
      <c r="BN190" s="2" t="s">
        <v>766</v>
      </c>
      <c r="BO190" s="2"/>
      <c r="BP190" s="136"/>
      <c r="BQ190" s="137" t="s">
        <v>119</v>
      </c>
      <c r="BR190" s="138"/>
    </row>
    <row r="191" spans="1:70" ht="12.75" customHeight="1" x14ac:dyDescent="0.2">
      <c r="A191" s="2">
        <v>1680</v>
      </c>
      <c r="B191" s="2" t="s">
        <v>28</v>
      </c>
      <c r="C191" s="2" t="s">
        <v>91</v>
      </c>
      <c r="D191" s="2" t="s">
        <v>764</v>
      </c>
      <c r="E191" s="2" t="s">
        <v>87</v>
      </c>
      <c r="F191" s="132">
        <v>475000</v>
      </c>
      <c r="G191" s="132" t="s">
        <v>3663</v>
      </c>
      <c r="H191" s="132">
        <f>R191</f>
        <v>0</v>
      </c>
      <c r="I191" s="132"/>
      <c r="J191" s="132">
        <f>S191</f>
        <v>0</v>
      </c>
      <c r="K191" s="132">
        <f t="shared" si="28"/>
        <v>475000</v>
      </c>
      <c r="L191" s="132">
        <f t="shared" si="24"/>
        <v>0</v>
      </c>
      <c r="M191" s="133"/>
      <c r="N191" s="133">
        <f t="shared" si="29"/>
        <v>475000</v>
      </c>
      <c r="O191" s="134" t="s">
        <v>1705</v>
      </c>
      <c r="P191" s="133"/>
      <c r="Q191" s="2" t="s">
        <v>765</v>
      </c>
      <c r="R191" s="156">
        <f t="shared" si="25"/>
        <v>0</v>
      </c>
      <c r="S191" s="156">
        <f t="shared" si="26"/>
        <v>0</v>
      </c>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53">
        <v>0</v>
      </c>
      <c r="AT191" s="153">
        <v>0</v>
      </c>
      <c r="AU191" s="153">
        <v>0</v>
      </c>
      <c r="AV191" s="135"/>
      <c r="AW191" s="135"/>
      <c r="AX191" s="135"/>
      <c r="AY191" s="135"/>
      <c r="AZ191" s="135"/>
      <c r="BA191" s="135"/>
      <c r="BB191" s="135"/>
      <c r="BC191" s="135"/>
      <c r="BD191" s="135"/>
      <c r="BE191" s="135"/>
      <c r="BF191" s="135"/>
      <c r="BG191" s="135"/>
      <c r="BH191" s="135"/>
      <c r="BI191" s="2" t="s">
        <v>11</v>
      </c>
      <c r="BJ191" s="136"/>
      <c r="BK191" s="2">
        <v>0</v>
      </c>
      <c r="BL191" s="136" t="s">
        <v>18</v>
      </c>
      <c r="BM191" s="136">
        <v>44936</v>
      </c>
      <c r="BN191" s="2" t="s">
        <v>767</v>
      </c>
      <c r="BO191" s="2"/>
      <c r="BP191" s="136" t="s">
        <v>3664</v>
      </c>
      <c r="BQ191" s="137"/>
      <c r="BR191" s="138"/>
    </row>
    <row r="192" spans="1:70" ht="12.75" customHeight="1" x14ac:dyDescent="0.2">
      <c r="A192" s="2">
        <v>1681</v>
      </c>
      <c r="B192" s="2" t="s">
        <v>28</v>
      </c>
      <c r="C192" s="2" t="s">
        <v>93</v>
      </c>
      <c r="D192" s="2" t="s">
        <v>776</v>
      </c>
      <c r="E192" s="2" t="s">
        <v>117</v>
      </c>
      <c r="F192" s="132">
        <f>14902*1.75</f>
        <v>26078.5</v>
      </c>
      <c r="G192" s="132"/>
      <c r="H192" s="132">
        <f>14902*1.75</f>
        <v>26078.5</v>
      </c>
      <c r="I192" s="132"/>
      <c r="J192" s="132">
        <f>3978.076+22100.424</f>
        <v>26078.5</v>
      </c>
      <c r="K192" s="132">
        <f t="shared" si="28"/>
        <v>0</v>
      </c>
      <c r="L192" s="132">
        <f t="shared" si="24"/>
        <v>0</v>
      </c>
      <c r="M192" s="133"/>
      <c r="N192" s="133">
        <f t="shared" si="29"/>
        <v>0</v>
      </c>
      <c r="O192" s="134">
        <v>0</v>
      </c>
      <c r="P192" s="133"/>
      <c r="Q192" s="2" t="s">
        <v>769</v>
      </c>
      <c r="R192" s="156">
        <f t="shared" si="25"/>
        <v>0</v>
      </c>
      <c r="S192" s="156">
        <f t="shared" si="26"/>
        <v>0</v>
      </c>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53">
        <v>0</v>
      </c>
      <c r="AT192" s="153">
        <v>0</v>
      </c>
      <c r="AU192" s="153">
        <v>0</v>
      </c>
      <c r="AV192" s="135"/>
      <c r="AW192" s="135"/>
      <c r="AX192" s="135"/>
      <c r="AY192" s="135"/>
      <c r="AZ192" s="135"/>
      <c r="BA192" s="135"/>
      <c r="BB192" s="135"/>
      <c r="BC192" s="135"/>
      <c r="BD192" s="135"/>
      <c r="BE192" s="135"/>
      <c r="BF192" s="135"/>
      <c r="BG192" s="135"/>
      <c r="BH192" s="135"/>
      <c r="BI192" s="2" t="s">
        <v>112</v>
      </c>
      <c r="BJ192" s="136">
        <v>45091</v>
      </c>
      <c r="BK192" s="2" t="s">
        <v>145</v>
      </c>
      <c r="BL192" s="136" t="s">
        <v>18</v>
      </c>
      <c r="BM192" s="136">
        <v>44936</v>
      </c>
      <c r="BN192" s="2" t="s">
        <v>768</v>
      </c>
      <c r="BO192" s="2"/>
      <c r="BP192" s="136"/>
      <c r="BQ192" s="137" t="s">
        <v>134</v>
      </c>
      <c r="BR192" s="138"/>
    </row>
    <row r="193" spans="1:70" ht="12.75" customHeight="1" x14ac:dyDescent="0.2">
      <c r="A193" s="2">
        <v>1682</v>
      </c>
      <c r="B193" s="2" t="s">
        <v>28</v>
      </c>
      <c r="C193" s="2" t="s">
        <v>88</v>
      </c>
      <c r="D193" s="2" t="s">
        <v>777</v>
      </c>
      <c r="E193" s="2" t="s">
        <v>87</v>
      </c>
      <c r="F193" s="132">
        <v>1130000</v>
      </c>
      <c r="G193" s="132"/>
      <c r="H193" s="132">
        <f>500000+450000+284513.17</f>
        <v>1234513.17</v>
      </c>
      <c r="I193" s="132"/>
      <c r="J193" s="132">
        <f>76271.19+68644.07+AS193+AV193+284513.17</f>
        <v>1234513.17</v>
      </c>
      <c r="K193" s="132">
        <f t="shared" si="28"/>
        <v>-104513.16999999993</v>
      </c>
      <c r="L193" s="132">
        <f t="shared" si="24"/>
        <v>0</v>
      </c>
      <c r="M193" s="133">
        <v>7426</v>
      </c>
      <c r="N193" s="133">
        <f t="shared" si="29"/>
        <v>0</v>
      </c>
      <c r="O193" s="134">
        <v>0</v>
      </c>
      <c r="P193" s="133"/>
      <c r="Q193" s="2" t="s">
        <v>771</v>
      </c>
      <c r="R193" s="156">
        <f t="shared" si="25"/>
        <v>0</v>
      </c>
      <c r="S193" s="156">
        <f t="shared" si="26"/>
        <v>0</v>
      </c>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53">
        <v>0</v>
      </c>
      <c r="AT193" s="153">
        <v>0</v>
      </c>
      <c r="AU193" s="153">
        <v>0</v>
      </c>
      <c r="AV193" s="135">
        <f>423728.81+381355.93</f>
        <v>805084.74</v>
      </c>
      <c r="AW193" s="135">
        <f>48154.17+38877.41</f>
        <v>87031.58</v>
      </c>
      <c r="AX193" s="135">
        <f>(H193/1.18-AT193-AW193)*0.1</f>
        <v>95916.602169491525</v>
      </c>
      <c r="AY193" s="135"/>
      <c r="AZ193" s="135"/>
      <c r="BA193" s="135"/>
      <c r="BB193" s="135"/>
      <c r="BC193" s="135"/>
      <c r="BD193" s="135"/>
      <c r="BE193" s="135"/>
      <c r="BF193" s="135"/>
      <c r="BG193" s="135"/>
      <c r="BH193" s="135"/>
      <c r="BI193" s="2" t="s">
        <v>11</v>
      </c>
      <c r="BJ193" s="136">
        <v>45288</v>
      </c>
      <c r="BK193" s="2" t="s">
        <v>8</v>
      </c>
      <c r="BL193" s="136" t="s">
        <v>18</v>
      </c>
      <c r="BM193" s="136">
        <v>44936</v>
      </c>
      <c r="BN193" s="2" t="s">
        <v>770</v>
      </c>
      <c r="BO193" s="2"/>
      <c r="BP193" s="136"/>
      <c r="BQ193" s="137" t="s">
        <v>119</v>
      </c>
      <c r="BR193" s="138"/>
    </row>
    <row r="194" spans="1:70" ht="12.75" customHeight="1" x14ac:dyDescent="0.2">
      <c r="A194" s="2">
        <v>1683</v>
      </c>
      <c r="B194" s="2" t="s">
        <v>28</v>
      </c>
      <c r="C194" s="2" t="s">
        <v>88</v>
      </c>
      <c r="D194" s="2" t="s">
        <v>778</v>
      </c>
      <c r="E194" s="2" t="s">
        <v>117</v>
      </c>
      <c r="F194" s="132">
        <f>2185*1.75</f>
        <v>3823.75</v>
      </c>
      <c r="G194" s="132"/>
      <c r="H194" s="132">
        <f>2185*1.75</f>
        <v>3823.75</v>
      </c>
      <c r="I194" s="132"/>
      <c r="J194" s="132">
        <f>583.28+3240.47</f>
        <v>3823.75</v>
      </c>
      <c r="K194" s="132">
        <f t="shared" si="28"/>
        <v>0</v>
      </c>
      <c r="L194" s="132">
        <f t="shared" si="24"/>
        <v>0</v>
      </c>
      <c r="M194" s="133"/>
      <c r="N194" s="133">
        <f t="shared" si="29"/>
        <v>0</v>
      </c>
      <c r="O194" s="134">
        <v>0</v>
      </c>
      <c r="P194" s="133"/>
      <c r="Q194" s="2" t="s">
        <v>773</v>
      </c>
      <c r="R194" s="156">
        <f t="shared" si="25"/>
        <v>0</v>
      </c>
      <c r="S194" s="156">
        <f t="shared" si="26"/>
        <v>0</v>
      </c>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53">
        <v>0</v>
      </c>
      <c r="AT194" s="153">
        <v>0</v>
      </c>
      <c r="AU194" s="153">
        <v>0</v>
      </c>
      <c r="AV194" s="135"/>
      <c r="AW194" s="135"/>
      <c r="AX194" s="135"/>
      <c r="AY194" s="135"/>
      <c r="AZ194" s="135"/>
      <c r="BA194" s="135"/>
      <c r="BB194" s="135"/>
      <c r="BC194" s="135"/>
      <c r="BD194" s="135"/>
      <c r="BE194" s="135"/>
      <c r="BF194" s="135"/>
      <c r="BG194" s="135"/>
      <c r="BH194" s="135"/>
      <c r="BI194" s="2" t="s">
        <v>112</v>
      </c>
      <c r="BJ194" s="136">
        <v>45091</v>
      </c>
      <c r="BK194" s="2" t="s">
        <v>145</v>
      </c>
      <c r="BL194" s="136" t="s">
        <v>18</v>
      </c>
      <c r="BM194" s="136">
        <v>44936</v>
      </c>
      <c r="BN194" s="2" t="s">
        <v>772</v>
      </c>
      <c r="BO194" s="2"/>
      <c r="BP194" s="136"/>
      <c r="BQ194" s="137" t="s">
        <v>134</v>
      </c>
      <c r="BR194" s="138"/>
    </row>
    <row r="195" spans="1:70" ht="12.75" customHeight="1" x14ac:dyDescent="0.2">
      <c r="A195" s="2">
        <v>1684</v>
      </c>
      <c r="B195" s="2" t="s">
        <v>28</v>
      </c>
      <c r="C195" s="2" t="s">
        <v>88</v>
      </c>
      <c r="D195" s="2" t="s">
        <v>775</v>
      </c>
      <c r="E195" s="2" t="s">
        <v>87</v>
      </c>
      <c r="F195" s="132">
        <v>190000</v>
      </c>
      <c r="G195" s="132"/>
      <c r="H195" s="132">
        <f>150000+37721.14</f>
        <v>187721.14</v>
      </c>
      <c r="I195" s="132"/>
      <c r="J195" s="132">
        <f>22881.356+AS195+AV195+5754.07+31967.074</f>
        <v>187721.13999999998</v>
      </c>
      <c r="K195" s="132">
        <f t="shared" si="28"/>
        <v>2278.8600000000151</v>
      </c>
      <c r="L195" s="132">
        <f t="shared" si="24"/>
        <v>0</v>
      </c>
      <c r="M195" s="133">
        <v>2045</v>
      </c>
      <c r="N195" s="133">
        <f t="shared" si="29"/>
        <v>2.9103830456733704E-11</v>
      </c>
      <c r="O195" s="134">
        <v>0</v>
      </c>
      <c r="P195" s="133"/>
      <c r="Q195" s="2" t="s">
        <v>773</v>
      </c>
      <c r="R195" s="156">
        <f t="shared" si="25"/>
        <v>0</v>
      </c>
      <c r="S195" s="156">
        <f t="shared" si="26"/>
        <v>0</v>
      </c>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53">
        <v>0</v>
      </c>
      <c r="AT195" s="153">
        <v>0</v>
      </c>
      <c r="AU195" s="153">
        <v>0</v>
      </c>
      <c r="AV195" s="135">
        <v>127118.64</v>
      </c>
      <c r="AW195" s="135">
        <v>12959.14</v>
      </c>
      <c r="AX195" s="135">
        <f>(H195/1.18-AT195-AW195)*0.1</f>
        <v>14612.657186440681</v>
      </c>
      <c r="AY195" s="135"/>
      <c r="AZ195" s="135"/>
      <c r="BA195" s="135"/>
      <c r="BB195" s="135"/>
      <c r="BC195" s="135"/>
      <c r="BD195" s="135"/>
      <c r="BE195" s="135"/>
      <c r="BF195" s="135"/>
      <c r="BG195" s="135"/>
      <c r="BH195" s="135"/>
      <c r="BI195" s="2" t="s">
        <v>11</v>
      </c>
      <c r="BJ195" s="136">
        <v>45260</v>
      </c>
      <c r="BK195" s="2" t="s">
        <v>109</v>
      </c>
      <c r="BL195" s="136" t="s">
        <v>18</v>
      </c>
      <c r="BM195" s="136">
        <v>44936</v>
      </c>
      <c r="BN195" s="2" t="s">
        <v>774</v>
      </c>
      <c r="BO195" s="2"/>
      <c r="BP195" s="136"/>
      <c r="BQ195" s="137" t="s">
        <v>119</v>
      </c>
      <c r="BR195" s="138"/>
    </row>
    <row r="196" spans="1:70" ht="12.75" customHeight="1" x14ac:dyDescent="0.2">
      <c r="A196" s="2">
        <v>1685</v>
      </c>
      <c r="B196" s="2" t="s">
        <v>28</v>
      </c>
      <c r="C196" s="2" t="s">
        <v>30</v>
      </c>
      <c r="D196" s="2" t="s">
        <v>3348</v>
      </c>
      <c r="E196" s="2" t="s">
        <v>87</v>
      </c>
      <c r="F196" s="132">
        <v>82600</v>
      </c>
      <c r="G196" s="132">
        <v>2</v>
      </c>
      <c r="H196" s="132">
        <v>48392.41</v>
      </c>
      <c r="I196" s="132">
        <f>H196</f>
        <v>48392.41</v>
      </c>
      <c r="J196" s="132">
        <f>7381.89+41010.52</f>
        <v>48392.409999999996</v>
      </c>
      <c r="K196" s="132">
        <f t="shared" si="28"/>
        <v>34207.590000000004</v>
      </c>
      <c r="L196" s="132">
        <f t="shared" si="24"/>
        <v>0</v>
      </c>
      <c r="M196" s="133">
        <v>1E-3</v>
      </c>
      <c r="N196" s="133">
        <f t="shared" si="29"/>
        <v>7.2759576141834259E-12</v>
      </c>
      <c r="O196" s="134">
        <v>0</v>
      </c>
      <c r="P196" s="133"/>
      <c r="Q196" s="2" t="s">
        <v>829</v>
      </c>
      <c r="R196" s="156">
        <f t="shared" si="25"/>
        <v>0</v>
      </c>
      <c r="S196" s="156">
        <f t="shared" si="26"/>
        <v>0</v>
      </c>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53">
        <v>0</v>
      </c>
      <c r="AT196" s="153">
        <v>0</v>
      </c>
      <c r="AU196" s="153">
        <v>0</v>
      </c>
      <c r="AV196" s="135"/>
      <c r="AW196" s="135"/>
      <c r="AX196" s="135"/>
      <c r="AY196" s="135"/>
      <c r="AZ196" s="135"/>
      <c r="BA196" s="135">
        <f>IF(BK196="Принят",(H196/1.18-AW196-AZ196)*0.1,H196/1.18*0.8*0.1)</f>
        <v>4101.0516949152543</v>
      </c>
      <c r="BB196" s="135">
        <f>(H196/1.18-AT196-AW196-AZ196)*0.1-AU196-AX196-BA196</f>
        <v>0</v>
      </c>
      <c r="BC196" s="135"/>
      <c r="BD196" s="135"/>
      <c r="BE196" s="135">
        <f>(H196/1.18-AT196-AW196-AZ196-BD196)*0.1-AU196-AX196-BA196-BB196</f>
        <v>0</v>
      </c>
      <c r="BF196" s="135"/>
      <c r="BG196" s="135"/>
      <c r="BH196" s="135"/>
      <c r="BI196" s="2" t="s">
        <v>11</v>
      </c>
      <c r="BJ196" s="136">
        <v>45412</v>
      </c>
      <c r="BK196" s="2" t="s">
        <v>8</v>
      </c>
      <c r="BL196" s="136" t="s">
        <v>113</v>
      </c>
      <c r="BM196" s="136">
        <v>44936</v>
      </c>
      <c r="BN196" s="2" t="s">
        <v>779</v>
      </c>
      <c r="BO196" s="2"/>
      <c r="BP196" s="136"/>
      <c r="BQ196" s="137" t="s">
        <v>119</v>
      </c>
      <c r="BR196" s="138"/>
    </row>
    <row r="197" spans="1:70" ht="12.75" customHeight="1" x14ac:dyDescent="0.2">
      <c r="A197" s="2">
        <v>1686</v>
      </c>
      <c r="B197" s="2" t="s">
        <v>28</v>
      </c>
      <c r="C197" s="2" t="s">
        <v>57</v>
      </c>
      <c r="D197" s="2" t="s">
        <v>858</v>
      </c>
      <c r="E197" s="2" t="s">
        <v>117</v>
      </c>
      <c r="F197" s="150">
        <f>3235*1.75</f>
        <v>5661.25</v>
      </c>
      <c r="G197" s="150"/>
      <c r="H197" s="150">
        <f>3235*1.75</f>
        <v>5661.25</v>
      </c>
      <c r="I197" s="150"/>
      <c r="J197" s="150">
        <f>863.58+4797.67</f>
        <v>5661.25</v>
      </c>
      <c r="K197" s="132">
        <f t="shared" si="28"/>
        <v>0</v>
      </c>
      <c r="L197" s="132">
        <f t="shared" si="24"/>
        <v>0</v>
      </c>
      <c r="M197" s="133"/>
      <c r="N197" s="133">
        <f t="shared" si="29"/>
        <v>0</v>
      </c>
      <c r="O197" s="134">
        <v>0</v>
      </c>
      <c r="P197" s="133"/>
      <c r="Q197" s="2" t="s">
        <v>830</v>
      </c>
      <c r="R197" s="156">
        <f t="shared" si="25"/>
        <v>0</v>
      </c>
      <c r="S197" s="156">
        <f t="shared" si="26"/>
        <v>0</v>
      </c>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53">
        <v>0</v>
      </c>
      <c r="AT197" s="153">
        <v>0</v>
      </c>
      <c r="AU197" s="153">
        <v>0</v>
      </c>
      <c r="AV197" s="135"/>
      <c r="AW197" s="135"/>
      <c r="AX197" s="135"/>
      <c r="AY197" s="135"/>
      <c r="AZ197" s="135"/>
      <c r="BA197" s="135"/>
      <c r="BB197" s="135"/>
      <c r="BC197" s="135"/>
      <c r="BD197" s="135"/>
      <c r="BE197" s="135"/>
      <c r="BF197" s="135"/>
      <c r="BG197" s="135"/>
      <c r="BH197" s="135"/>
      <c r="BI197" s="2" t="s">
        <v>112</v>
      </c>
      <c r="BJ197" s="136">
        <v>45185</v>
      </c>
      <c r="BK197" s="2" t="s">
        <v>145</v>
      </c>
      <c r="BL197" s="136" t="s">
        <v>113</v>
      </c>
      <c r="BM197" s="136">
        <v>44936</v>
      </c>
      <c r="BN197" s="2" t="s">
        <v>780</v>
      </c>
      <c r="BO197" s="2"/>
      <c r="BP197" s="136"/>
      <c r="BQ197" s="137" t="s">
        <v>134</v>
      </c>
      <c r="BR197" s="138"/>
    </row>
    <row r="198" spans="1:70" ht="12.75" customHeight="1" x14ac:dyDescent="0.2">
      <c r="A198" s="2">
        <v>1687</v>
      </c>
      <c r="B198" s="2" t="s">
        <v>28</v>
      </c>
      <c r="C198" s="2" t="s">
        <v>57</v>
      </c>
      <c r="D198" s="2" t="s">
        <v>859</v>
      </c>
      <c r="E198" s="2" t="s">
        <v>87</v>
      </c>
      <c r="F198" s="132">
        <v>185000</v>
      </c>
      <c r="G198" s="132">
        <v>2</v>
      </c>
      <c r="H198" s="132">
        <v>259004.11</v>
      </c>
      <c r="I198" s="132">
        <f>H198</f>
        <v>259004.11</v>
      </c>
      <c r="J198" s="132">
        <f>39509.101+219495.009</f>
        <v>259004.11</v>
      </c>
      <c r="K198" s="132">
        <f t="shared" ref="K198:K229" si="30">F198-J198</f>
        <v>-74004.109999999986</v>
      </c>
      <c r="L198" s="132">
        <f t="shared" si="24"/>
        <v>0</v>
      </c>
      <c r="M198" s="133">
        <v>3268</v>
      </c>
      <c r="N198" s="133">
        <f t="shared" si="29"/>
        <v>0</v>
      </c>
      <c r="O198" s="134">
        <v>0</v>
      </c>
      <c r="P198" s="133"/>
      <c r="Q198" s="2" t="s">
        <v>830</v>
      </c>
      <c r="R198" s="156">
        <f t="shared" si="25"/>
        <v>0</v>
      </c>
      <c r="S198" s="156">
        <f t="shared" si="26"/>
        <v>0</v>
      </c>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53">
        <v>0</v>
      </c>
      <c r="AT198" s="153">
        <v>0</v>
      </c>
      <c r="AU198" s="153">
        <v>0</v>
      </c>
      <c r="AV198" s="135">
        <v>0</v>
      </c>
      <c r="AW198" s="135">
        <v>0</v>
      </c>
      <c r="AX198" s="135">
        <v>0</v>
      </c>
      <c r="AY198" s="135">
        <v>0</v>
      </c>
      <c r="AZ198" s="135">
        <v>0</v>
      </c>
      <c r="BA198" s="135">
        <f>IF(BK198="Принят",(H198/1.18-AW198-AZ198)*0.1,H198/1.18*0.8*0.1)</f>
        <v>21949.500847457628</v>
      </c>
      <c r="BB198" s="135">
        <f>(H198/1.18-AT198-AW198-AZ198)*0.1-AU198-AX198-BA198</f>
        <v>0</v>
      </c>
      <c r="BC198" s="135"/>
      <c r="BD198" s="135"/>
      <c r="BE198" s="135">
        <f>(H198/1.18-AT198-AW198-AZ198-BD198)*0.1-AU198-AX198-BA198-BB198</f>
        <v>0</v>
      </c>
      <c r="BF198" s="135"/>
      <c r="BG198" s="135"/>
      <c r="BH198" s="135"/>
      <c r="BI198" s="2" t="s">
        <v>11</v>
      </c>
      <c r="BJ198" s="136">
        <v>45351</v>
      </c>
      <c r="BK198" s="2" t="s">
        <v>109</v>
      </c>
      <c r="BL198" s="136" t="s">
        <v>113</v>
      </c>
      <c r="BM198" s="136">
        <v>44936</v>
      </c>
      <c r="BN198" s="2" t="s">
        <v>781</v>
      </c>
      <c r="BO198" s="2"/>
      <c r="BP198" s="136"/>
      <c r="BQ198" s="137" t="s">
        <v>119</v>
      </c>
      <c r="BR198" s="138"/>
    </row>
    <row r="199" spans="1:70" ht="12.75" customHeight="1" x14ac:dyDescent="0.2">
      <c r="A199" s="2">
        <v>1688</v>
      </c>
      <c r="B199" s="2" t="s">
        <v>28</v>
      </c>
      <c r="C199" s="2" t="s">
        <v>57</v>
      </c>
      <c r="D199" s="2" t="s">
        <v>860</v>
      </c>
      <c r="E199" s="2" t="s">
        <v>117</v>
      </c>
      <c r="F199" s="150">
        <f>714*1.75</f>
        <v>1249.5</v>
      </c>
      <c r="G199" s="150"/>
      <c r="H199" s="150">
        <f>714*1.75</f>
        <v>1249.5</v>
      </c>
      <c r="I199" s="150"/>
      <c r="J199" s="150">
        <f>190.6+1058.9</f>
        <v>1249.5</v>
      </c>
      <c r="K199" s="132">
        <f t="shared" si="30"/>
        <v>0</v>
      </c>
      <c r="L199" s="132">
        <f t="shared" si="24"/>
        <v>0</v>
      </c>
      <c r="M199" s="133"/>
      <c r="N199" s="133">
        <f t="shared" si="29"/>
        <v>0</v>
      </c>
      <c r="O199" s="134">
        <v>0</v>
      </c>
      <c r="P199" s="133"/>
      <c r="Q199" s="2" t="s">
        <v>831</v>
      </c>
      <c r="R199" s="156">
        <f t="shared" si="25"/>
        <v>0</v>
      </c>
      <c r="S199" s="156">
        <f t="shared" si="26"/>
        <v>0</v>
      </c>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53">
        <v>0</v>
      </c>
      <c r="AT199" s="153">
        <v>0</v>
      </c>
      <c r="AU199" s="153">
        <v>0</v>
      </c>
      <c r="AV199" s="135"/>
      <c r="AW199" s="135"/>
      <c r="AX199" s="135"/>
      <c r="AY199" s="135"/>
      <c r="AZ199" s="135"/>
      <c r="BA199" s="135"/>
      <c r="BB199" s="135"/>
      <c r="BC199" s="135"/>
      <c r="BD199" s="135"/>
      <c r="BE199" s="135"/>
      <c r="BF199" s="135"/>
      <c r="BG199" s="135"/>
      <c r="BH199" s="135"/>
      <c r="BI199" s="2" t="s">
        <v>112</v>
      </c>
      <c r="BJ199" s="136">
        <v>45244</v>
      </c>
      <c r="BK199" s="2" t="s">
        <v>145</v>
      </c>
      <c r="BL199" s="136" t="s">
        <v>113</v>
      </c>
      <c r="BM199" s="136">
        <v>44936</v>
      </c>
      <c r="BN199" s="2" t="s">
        <v>782</v>
      </c>
      <c r="BO199" s="2"/>
      <c r="BP199" s="136"/>
      <c r="BQ199" s="137" t="s">
        <v>134</v>
      </c>
      <c r="BR199" s="138"/>
    </row>
    <row r="200" spans="1:70" ht="12.75" customHeight="1" x14ac:dyDescent="0.2">
      <c r="A200" s="2">
        <v>1689</v>
      </c>
      <c r="B200" s="2" t="s">
        <v>28</v>
      </c>
      <c r="C200" s="2" t="s">
        <v>57</v>
      </c>
      <c r="D200" s="2" t="s">
        <v>861</v>
      </c>
      <c r="E200" s="2" t="s">
        <v>87</v>
      </c>
      <c r="F200" s="132">
        <v>35000</v>
      </c>
      <c r="G200" s="132">
        <v>2</v>
      </c>
      <c r="H200" s="132">
        <v>119014.7</v>
      </c>
      <c r="I200" s="132">
        <v>119014.7</v>
      </c>
      <c r="J200" s="132">
        <f>18154.78+100859.92</f>
        <v>119014.7</v>
      </c>
      <c r="K200" s="132">
        <f t="shared" si="30"/>
        <v>-84014.7</v>
      </c>
      <c r="L200" s="132">
        <f t="shared" si="24"/>
        <v>0</v>
      </c>
      <c r="M200" s="133">
        <v>723</v>
      </c>
      <c r="N200" s="133">
        <f t="shared" si="29"/>
        <v>0</v>
      </c>
      <c r="O200" s="134">
        <v>0</v>
      </c>
      <c r="P200" s="133"/>
      <c r="Q200" s="2" t="s">
        <v>831</v>
      </c>
      <c r="R200" s="156">
        <f t="shared" si="25"/>
        <v>0</v>
      </c>
      <c r="S200" s="156">
        <f t="shared" si="26"/>
        <v>0</v>
      </c>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53">
        <v>0</v>
      </c>
      <c r="AT200" s="153">
        <v>0</v>
      </c>
      <c r="AU200" s="153">
        <v>0</v>
      </c>
      <c r="AV200" s="135"/>
      <c r="AW200" s="135"/>
      <c r="AX200" s="135"/>
      <c r="AY200" s="135"/>
      <c r="AZ200" s="135"/>
      <c r="BA200" s="135">
        <v>0</v>
      </c>
      <c r="BB200" s="140">
        <f>(H200/1.18-AT200-AW200-AZ200)*0.1-AU200-AX200-BA200</f>
        <v>10085.991525423729</v>
      </c>
      <c r="BC200" s="135"/>
      <c r="BD200" s="135"/>
      <c r="BE200" s="135">
        <f>(H200/1.18-AT200-AW200-AZ200-BD200)*0.1-AU200-AX200-BA200-BB200</f>
        <v>0</v>
      </c>
      <c r="BF200" s="135"/>
      <c r="BG200" s="135"/>
      <c r="BH200" s="135"/>
      <c r="BI200" s="2" t="s">
        <v>11</v>
      </c>
      <c r="BJ200" s="136">
        <v>45531</v>
      </c>
      <c r="BK200" s="2" t="s">
        <v>109</v>
      </c>
      <c r="BL200" s="136" t="s">
        <v>113</v>
      </c>
      <c r="BM200" s="136">
        <v>44936</v>
      </c>
      <c r="BN200" s="2" t="s">
        <v>783</v>
      </c>
      <c r="BO200" s="2"/>
      <c r="BP200" s="136"/>
      <c r="BQ200" s="137" t="s">
        <v>119</v>
      </c>
      <c r="BR200" s="138"/>
    </row>
    <row r="201" spans="1:70" ht="12.75" customHeight="1" x14ac:dyDescent="0.2">
      <c r="A201" s="2">
        <v>1690</v>
      </c>
      <c r="B201" s="2" t="s">
        <v>28</v>
      </c>
      <c r="C201" s="2" t="s">
        <v>57</v>
      </c>
      <c r="D201" s="2" t="s">
        <v>862</v>
      </c>
      <c r="E201" s="2" t="s">
        <v>117</v>
      </c>
      <c r="F201" s="150">
        <f>754*1.75</f>
        <v>1319.5</v>
      </c>
      <c r="G201" s="150"/>
      <c r="H201" s="150">
        <f>754*1.75</f>
        <v>1319.5</v>
      </c>
      <c r="I201" s="150"/>
      <c r="J201" s="150">
        <f>201.279+1118.221</f>
        <v>1319.5</v>
      </c>
      <c r="K201" s="132">
        <f t="shared" si="30"/>
        <v>0</v>
      </c>
      <c r="L201" s="132">
        <f t="shared" si="24"/>
        <v>0</v>
      </c>
      <c r="M201" s="133"/>
      <c r="N201" s="133">
        <f t="shared" si="29"/>
        <v>0</v>
      </c>
      <c r="O201" s="134">
        <v>0</v>
      </c>
      <c r="P201" s="133"/>
      <c r="Q201" s="2" t="s">
        <v>832</v>
      </c>
      <c r="R201" s="156">
        <f t="shared" si="25"/>
        <v>0</v>
      </c>
      <c r="S201" s="156">
        <f t="shared" si="26"/>
        <v>0</v>
      </c>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53">
        <v>0</v>
      </c>
      <c r="AT201" s="153">
        <v>0</v>
      </c>
      <c r="AU201" s="153">
        <v>0</v>
      </c>
      <c r="AV201" s="135"/>
      <c r="AW201" s="135"/>
      <c r="AX201" s="135"/>
      <c r="AY201" s="135"/>
      <c r="AZ201" s="135"/>
      <c r="BA201" s="135"/>
      <c r="BB201" s="135"/>
      <c r="BC201" s="135"/>
      <c r="BD201" s="135"/>
      <c r="BE201" s="135"/>
      <c r="BF201" s="135"/>
      <c r="BG201" s="135"/>
      <c r="BH201" s="135"/>
      <c r="BI201" s="2" t="s">
        <v>112</v>
      </c>
      <c r="BJ201" s="136">
        <v>45244</v>
      </c>
      <c r="BK201" s="2" t="s">
        <v>145</v>
      </c>
      <c r="BL201" s="136" t="s">
        <v>113</v>
      </c>
      <c r="BM201" s="136">
        <v>44936</v>
      </c>
      <c r="BN201" s="2" t="s">
        <v>784</v>
      </c>
      <c r="BO201" s="2"/>
      <c r="BP201" s="136"/>
      <c r="BQ201" s="137" t="s">
        <v>134</v>
      </c>
      <c r="BR201" s="138"/>
    </row>
    <row r="202" spans="1:70" ht="12.75" customHeight="1" x14ac:dyDescent="0.2">
      <c r="A202" s="2">
        <v>1691</v>
      </c>
      <c r="B202" s="2" t="s">
        <v>28</v>
      </c>
      <c r="C202" s="2" t="s">
        <v>57</v>
      </c>
      <c r="D202" s="2" t="s">
        <v>863</v>
      </c>
      <c r="E202" s="2" t="s">
        <v>87</v>
      </c>
      <c r="F202" s="132">
        <v>33000</v>
      </c>
      <c r="G202" s="132">
        <v>2</v>
      </c>
      <c r="H202" s="132">
        <v>91665.17</v>
      </c>
      <c r="I202" s="132">
        <v>91665.17</v>
      </c>
      <c r="J202" s="132">
        <f>13982.82+77682.35</f>
        <v>91665.170000000013</v>
      </c>
      <c r="K202" s="132">
        <f t="shared" si="30"/>
        <v>-58665.170000000013</v>
      </c>
      <c r="L202" s="132">
        <f t="shared" si="24"/>
        <v>0</v>
      </c>
      <c r="M202" s="133">
        <v>714</v>
      </c>
      <c r="N202" s="133">
        <f t="shared" si="29"/>
        <v>-1.4551915228366852E-11</v>
      </c>
      <c r="O202" s="134">
        <v>0</v>
      </c>
      <c r="P202" s="133"/>
      <c r="Q202" s="2" t="s">
        <v>832</v>
      </c>
      <c r="R202" s="156">
        <f t="shared" si="25"/>
        <v>0</v>
      </c>
      <c r="S202" s="156">
        <f t="shared" si="26"/>
        <v>0</v>
      </c>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53">
        <v>0</v>
      </c>
      <c r="AT202" s="153">
        <v>0</v>
      </c>
      <c r="AU202" s="153">
        <v>0</v>
      </c>
      <c r="AV202" s="135">
        <v>0</v>
      </c>
      <c r="AW202" s="135">
        <v>0</v>
      </c>
      <c r="AX202" s="135"/>
      <c r="AY202" s="135">
        <v>0</v>
      </c>
      <c r="AZ202" s="135">
        <v>0</v>
      </c>
      <c r="BA202" s="135">
        <f>IF(BK202="Принят",(H202/1.18-AW202-AZ202)*0.1,H202/1.18*0.8*0.1)</f>
        <v>7768.2347457627129</v>
      </c>
      <c r="BB202" s="135">
        <f>(H202/1.18-AT202-AW202-AZ202)*0.1-AU202-AX202-BA202</f>
        <v>0</v>
      </c>
      <c r="BC202" s="135"/>
      <c r="BD202" s="135"/>
      <c r="BE202" s="135">
        <f>(H202/1.18-AT202-AW202-AZ202-BD202)*0.1-AU202-AX202-BA202-BB202</f>
        <v>0</v>
      </c>
      <c r="BF202" s="135"/>
      <c r="BG202" s="135"/>
      <c r="BH202" s="135"/>
      <c r="BI202" s="2" t="s">
        <v>11</v>
      </c>
      <c r="BJ202" s="136">
        <v>45382</v>
      </c>
      <c r="BK202" s="2" t="s">
        <v>8</v>
      </c>
      <c r="BL202" s="136" t="s">
        <v>113</v>
      </c>
      <c r="BM202" s="136">
        <v>44936</v>
      </c>
      <c r="BN202" s="2" t="s">
        <v>785</v>
      </c>
      <c r="BO202" s="2"/>
      <c r="BP202" s="136"/>
      <c r="BQ202" s="137" t="s">
        <v>119</v>
      </c>
      <c r="BR202" s="138"/>
    </row>
    <row r="203" spans="1:70" ht="12.75" customHeight="1" x14ac:dyDescent="0.2">
      <c r="A203" s="2">
        <v>1692</v>
      </c>
      <c r="B203" s="2" t="s">
        <v>28</v>
      </c>
      <c r="C203" s="2" t="s">
        <v>29</v>
      </c>
      <c r="D203" s="2" t="s">
        <v>864</v>
      </c>
      <c r="E203" s="2" t="s">
        <v>117</v>
      </c>
      <c r="F203" s="132">
        <f>174*1.75</f>
        <v>304.5</v>
      </c>
      <c r="G203" s="132"/>
      <c r="H203" s="132">
        <f>174*1.75</f>
        <v>304.5</v>
      </c>
      <c r="I203" s="132"/>
      <c r="J203" s="132">
        <v>304.5</v>
      </c>
      <c r="K203" s="132">
        <f t="shared" si="30"/>
        <v>0</v>
      </c>
      <c r="L203" s="132">
        <f t="shared" ref="L203:L266" si="31">H203-J203</f>
        <v>0</v>
      </c>
      <c r="M203" s="133"/>
      <c r="N203" s="133">
        <f t="shared" si="29"/>
        <v>0</v>
      </c>
      <c r="O203" s="134">
        <v>0</v>
      </c>
      <c r="P203" s="133"/>
      <c r="Q203" s="2" t="s">
        <v>833</v>
      </c>
      <c r="R203" s="156">
        <f t="shared" ref="R203:R266" si="32">T203+V203+X203+Z203+AB203+AD203+AF203+AH203+AJ203+AL203+AN203+AP203</f>
        <v>0</v>
      </c>
      <c r="S203" s="156">
        <f t="shared" ref="S203:S266" si="33">U203+W203+Y203+AA203+AC203+AE203+AG203+AI203+AK203+AM203+AO203+AQ203</f>
        <v>0</v>
      </c>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53">
        <v>0</v>
      </c>
      <c r="AT203" s="153">
        <v>0</v>
      </c>
      <c r="AU203" s="153">
        <v>0</v>
      </c>
      <c r="AV203" s="135"/>
      <c r="AW203" s="135"/>
      <c r="AX203" s="135"/>
      <c r="AY203" s="135"/>
      <c r="AZ203" s="135"/>
      <c r="BA203" s="135"/>
      <c r="BB203" s="135"/>
      <c r="BC203" s="135"/>
      <c r="BD203" s="135"/>
      <c r="BE203" s="135"/>
      <c r="BF203" s="135"/>
      <c r="BG203" s="135"/>
      <c r="BH203" s="135"/>
      <c r="BI203" s="2" t="s">
        <v>112</v>
      </c>
      <c r="BJ203" s="136">
        <v>45244</v>
      </c>
      <c r="BK203" s="2" t="s">
        <v>145</v>
      </c>
      <c r="BL203" s="136" t="s">
        <v>113</v>
      </c>
      <c r="BM203" s="136">
        <v>44936</v>
      </c>
      <c r="BN203" s="2" t="s">
        <v>786</v>
      </c>
      <c r="BO203" s="2"/>
      <c r="BP203" s="136"/>
      <c r="BQ203" s="137" t="s">
        <v>134</v>
      </c>
      <c r="BR203" s="138"/>
    </row>
    <row r="204" spans="1:70" ht="12.75" customHeight="1" x14ac:dyDescent="0.2">
      <c r="A204" s="2">
        <v>1693</v>
      </c>
      <c r="B204" s="2" t="s">
        <v>28</v>
      </c>
      <c r="C204" s="2" t="s">
        <v>29</v>
      </c>
      <c r="D204" s="2" t="s">
        <v>865</v>
      </c>
      <c r="E204" s="2" t="s">
        <v>87</v>
      </c>
      <c r="F204" s="132">
        <v>35000</v>
      </c>
      <c r="G204" s="132">
        <v>2</v>
      </c>
      <c r="H204" s="132">
        <v>43287.19</v>
      </c>
      <c r="I204" s="132">
        <f>H204</f>
        <v>43287.19</v>
      </c>
      <c r="J204" s="132">
        <f>6603.13+36684.06</f>
        <v>43287.189999999995</v>
      </c>
      <c r="K204" s="132">
        <f t="shared" si="30"/>
        <v>-8287.1899999999951</v>
      </c>
      <c r="L204" s="132">
        <f t="shared" si="31"/>
        <v>0</v>
      </c>
      <c r="M204" s="133">
        <v>193</v>
      </c>
      <c r="N204" s="133">
        <f t="shared" si="29"/>
        <v>7.2759576141834259E-12</v>
      </c>
      <c r="O204" s="134">
        <v>0</v>
      </c>
      <c r="P204" s="133"/>
      <c r="Q204" s="2" t="s">
        <v>833</v>
      </c>
      <c r="R204" s="156">
        <f t="shared" si="32"/>
        <v>0</v>
      </c>
      <c r="S204" s="156">
        <f t="shared" si="33"/>
        <v>0</v>
      </c>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53">
        <v>0</v>
      </c>
      <c r="AT204" s="153">
        <v>0</v>
      </c>
      <c r="AU204" s="153">
        <v>0</v>
      </c>
      <c r="AV204" s="135">
        <v>0</v>
      </c>
      <c r="AW204" s="135">
        <v>0</v>
      </c>
      <c r="AX204" s="135">
        <v>0</v>
      </c>
      <c r="AY204" s="135">
        <v>0</v>
      </c>
      <c r="AZ204" s="135">
        <v>0</v>
      </c>
      <c r="BA204" s="135">
        <f>IF(BK204="Принят",(H204/1.18-AW204-AZ204)*0.1,H204/1.18*0.8*0.1)</f>
        <v>3668.40593220339</v>
      </c>
      <c r="BB204" s="135">
        <f>(H204/1.18-AT204-AW204-AZ204)*0.1-AU204-AX204-BA204</f>
        <v>0</v>
      </c>
      <c r="BC204" s="135"/>
      <c r="BD204" s="135"/>
      <c r="BE204" s="135">
        <f>(H204/1.18-AT204-AW204-AZ204-BD204)*0.1-AU204-AX204-BA204-BB204</f>
        <v>0</v>
      </c>
      <c r="BF204" s="135"/>
      <c r="BG204" s="135"/>
      <c r="BH204" s="135"/>
      <c r="BI204" s="2" t="s">
        <v>11</v>
      </c>
      <c r="BJ204" s="136">
        <v>45351</v>
      </c>
      <c r="BK204" s="2" t="s">
        <v>109</v>
      </c>
      <c r="BL204" s="136" t="s">
        <v>113</v>
      </c>
      <c r="BM204" s="136">
        <v>44936</v>
      </c>
      <c r="BN204" s="2" t="s">
        <v>787</v>
      </c>
      <c r="BO204" s="2"/>
      <c r="BP204" s="136"/>
      <c r="BQ204" s="137" t="s">
        <v>119</v>
      </c>
      <c r="BR204" s="138"/>
    </row>
    <row r="205" spans="1:70" ht="12.75" customHeight="1" x14ac:dyDescent="0.2">
      <c r="A205" s="2">
        <v>1694</v>
      </c>
      <c r="B205" s="2" t="s">
        <v>28</v>
      </c>
      <c r="C205" s="2" t="s">
        <v>29</v>
      </c>
      <c r="D205" s="2" t="s">
        <v>866</v>
      </c>
      <c r="E205" s="2" t="s">
        <v>87</v>
      </c>
      <c r="F205" s="132">
        <v>159000</v>
      </c>
      <c r="G205" s="132"/>
      <c r="H205" s="132">
        <f>100000+83369.35</f>
        <v>183369.35</v>
      </c>
      <c r="I205" s="132"/>
      <c r="J205" s="132">
        <f>15254.28+12717.358+AS205+AV205+70651.952</f>
        <v>183369.34999999998</v>
      </c>
      <c r="K205" s="132">
        <f t="shared" si="30"/>
        <v>-24369.349999999977</v>
      </c>
      <c r="L205" s="132">
        <f t="shared" si="31"/>
        <v>0</v>
      </c>
      <c r="M205" s="133">
        <v>486</v>
      </c>
      <c r="N205" s="133">
        <f t="shared" si="29"/>
        <v>2.9103830456733704E-11</v>
      </c>
      <c r="O205" s="134">
        <v>0</v>
      </c>
      <c r="P205" s="133"/>
      <c r="Q205" s="2" t="s">
        <v>834</v>
      </c>
      <c r="R205" s="156">
        <f t="shared" si="32"/>
        <v>0</v>
      </c>
      <c r="S205" s="156">
        <f t="shared" si="33"/>
        <v>0</v>
      </c>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53">
        <v>0</v>
      </c>
      <c r="AT205" s="153">
        <v>0</v>
      </c>
      <c r="AU205" s="153">
        <v>0</v>
      </c>
      <c r="AV205" s="135">
        <v>84745.76</v>
      </c>
      <c r="AW205" s="135">
        <v>10508.47424</v>
      </c>
      <c r="AX205" s="135">
        <f>(H205/1.18-AT205-AW205)*0.1</f>
        <v>14488.927999728814</v>
      </c>
      <c r="AY205" s="135"/>
      <c r="AZ205" s="135"/>
      <c r="BA205" s="135"/>
      <c r="BB205" s="135"/>
      <c r="BC205" s="135"/>
      <c r="BD205" s="135"/>
      <c r="BE205" s="135"/>
      <c r="BF205" s="135"/>
      <c r="BG205" s="135"/>
      <c r="BH205" s="135"/>
      <c r="BI205" s="2" t="s">
        <v>11</v>
      </c>
      <c r="BJ205" s="136">
        <v>45199</v>
      </c>
      <c r="BK205" s="2" t="s">
        <v>109</v>
      </c>
      <c r="BL205" s="136" t="s">
        <v>113</v>
      </c>
      <c r="BM205" s="136">
        <v>44936</v>
      </c>
      <c r="BN205" s="2" t="s">
        <v>788</v>
      </c>
      <c r="BO205" s="2"/>
      <c r="BP205" s="136"/>
      <c r="BQ205" s="137" t="s">
        <v>119</v>
      </c>
      <c r="BR205" s="138"/>
    </row>
    <row r="206" spans="1:70" ht="12.75" customHeight="1" x14ac:dyDescent="0.2">
      <c r="A206" s="2">
        <v>1695</v>
      </c>
      <c r="B206" s="2" t="s">
        <v>28</v>
      </c>
      <c r="C206" s="2" t="s">
        <v>57</v>
      </c>
      <c r="D206" s="2" t="s">
        <v>867</v>
      </c>
      <c r="E206" s="2" t="s">
        <v>117</v>
      </c>
      <c r="F206" s="150">
        <f>2729*1.75</f>
        <v>4775.75</v>
      </c>
      <c r="G206" s="150"/>
      <c r="H206" s="150">
        <f>2729*1.75</f>
        <v>4775.75</v>
      </c>
      <c r="I206" s="150"/>
      <c r="J206" s="150">
        <f>728.5+4047.25</f>
        <v>4775.75</v>
      </c>
      <c r="K206" s="132">
        <f t="shared" si="30"/>
        <v>0</v>
      </c>
      <c r="L206" s="132">
        <f t="shared" si="31"/>
        <v>0</v>
      </c>
      <c r="M206" s="133"/>
      <c r="N206" s="133">
        <f t="shared" si="29"/>
        <v>0</v>
      </c>
      <c r="O206" s="134">
        <v>0</v>
      </c>
      <c r="P206" s="133"/>
      <c r="Q206" s="2" t="s">
        <v>835</v>
      </c>
      <c r="R206" s="156">
        <f t="shared" si="32"/>
        <v>0</v>
      </c>
      <c r="S206" s="156">
        <f t="shared" si="33"/>
        <v>0</v>
      </c>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53">
        <v>0</v>
      </c>
      <c r="AT206" s="153">
        <v>0</v>
      </c>
      <c r="AU206" s="153">
        <v>0</v>
      </c>
      <c r="AV206" s="135"/>
      <c r="AW206" s="135"/>
      <c r="AX206" s="135"/>
      <c r="AY206" s="135"/>
      <c r="AZ206" s="135"/>
      <c r="BA206" s="135"/>
      <c r="BB206" s="135"/>
      <c r="BC206" s="135"/>
      <c r="BD206" s="135"/>
      <c r="BE206" s="135"/>
      <c r="BF206" s="135"/>
      <c r="BG206" s="135"/>
      <c r="BH206" s="135"/>
      <c r="BI206" s="2" t="s">
        <v>112</v>
      </c>
      <c r="BJ206" s="136">
        <v>45169</v>
      </c>
      <c r="BK206" s="2" t="s">
        <v>145</v>
      </c>
      <c r="BL206" s="136" t="s">
        <v>113</v>
      </c>
      <c r="BM206" s="136">
        <v>44936</v>
      </c>
      <c r="BN206" s="2" t="s">
        <v>789</v>
      </c>
      <c r="BO206" s="2"/>
      <c r="BP206" s="136"/>
      <c r="BQ206" s="137" t="s">
        <v>134</v>
      </c>
      <c r="BR206" s="138"/>
    </row>
    <row r="207" spans="1:70" ht="12.75" customHeight="1" x14ac:dyDescent="0.2">
      <c r="A207" s="2">
        <v>1696</v>
      </c>
      <c r="B207" s="2" t="s">
        <v>28</v>
      </c>
      <c r="C207" s="2" t="s">
        <v>57</v>
      </c>
      <c r="D207" s="2" t="s">
        <v>868</v>
      </c>
      <c r="E207" s="2" t="s">
        <v>87</v>
      </c>
      <c r="F207" s="132">
        <v>114530.79999999999</v>
      </c>
      <c r="G207" s="132">
        <v>2</v>
      </c>
      <c r="H207" s="132">
        <v>229853.5</v>
      </c>
      <c r="I207" s="132">
        <v>229853.5</v>
      </c>
      <c r="J207" s="132">
        <f>35062.398+AS207+AV207+194791.102</f>
        <v>229853.5</v>
      </c>
      <c r="K207" s="132">
        <f t="shared" si="30"/>
        <v>-115322.70000000001</v>
      </c>
      <c r="L207" s="132">
        <f t="shared" si="31"/>
        <v>0</v>
      </c>
      <c r="M207" s="133">
        <v>2660</v>
      </c>
      <c r="N207" s="133">
        <f t="shared" si="29"/>
        <v>0</v>
      </c>
      <c r="O207" s="134">
        <v>0</v>
      </c>
      <c r="P207" s="133"/>
      <c r="Q207" s="2" t="s">
        <v>835</v>
      </c>
      <c r="R207" s="156">
        <f t="shared" si="32"/>
        <v>0</v>
      </c>
      <c r="S207" s="156">
        <f t="shared" si="33"/>
        <v>0</v>
      </c>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53">
        <v>0</v>
      </c>
      <c r="AT207" s="153">
        <v>0</v>
      </c>
      <c r="AU207" s="153">
        <v>0</v>
      </c>
      <c r="AV207" s="135">
        <v>0</v>
      </c>
      <c r="AW207" s="135">
        <v>0</v>
      </c>
      <c r="AX207" s="135"/>
      <c r="AY207" s="135"/>
      <c r="AZ207" s="135"/>
      <c r="BA207" s="135">
        <f>IF(BK207="Принят",(H207/1.18-AW207-AZ207)*0.1,H207/1.18*0.8*0.1)</f>
        <v>19479.110169491527</v>
      </c>
      <c r="BB207" s="135">
        <f>(H207/1.18-AT207-AW207-AZ207)*0.1-AU207-AX207-BA207</f>
        <v>0</v>
      </c>
      <c r="BC207" s="135"/>
      <c r="BD207" s="135"/>
      <c r="BE207" s="135">
        <f>(H207/1.18-AT207-AW207-AZ207-BD207)*0.1-AU207-AX207-BA207-BB207</f>
        <v>0</v>
      </c>
      <c r="BF207" s="135"/>
      <c r="BG207" s="135"/>
      <c r="BH207" s="135"/>
      <c r="BI207" s="2" t="s">
        <v>11</v>
      </c>
      <c r="BJ207" s="136">
        <v>45322</v>
      </c>
      <c r="BK207" s="2" t="s">
        <v>109</v>
      </c>
      <c r="BL207" s="136" t="s">
        <v>113</v>
      </c>
      <c r="BM207" s="136">
        <v>44936</v>
      </c>
      <c r="BN207" s="2" t="s">
        <v>790</v>
      </c>
      <c r="BO207" s="2"/>
      <c r="BP207" s="136"/>
      <c r="BQ207" s="137" t="s">
        <v>119</v>
      </c>
      <c r="BR207" s="138"/>
    </row>
    <row r="208" spans="1:70" ht="12.75" customHeight="1" x14ac:dyDescent="0.2">
      <c r="A208" s="2">
        <v>1697</v>
      </c>
      <c r="B208" s="2" t="s">
        <v>28</v>
      </c>
      <c r="C208" s="2" t="s">
        <v>30</v>
      </c>
      <c r="D208" s="2" t="s">
        <v>3357</v>
      </c>
      <c r="E208" s="2" t="s">
        <v>117</v>
      </c>
      <c r="F208" s="132">
        <v>640</v>
      </c>
      <c r="G208" s="132">
        <v>2</v>
      </c>
      <c r="H208" s="132">
        <v>640</v>
      </c>
      <c r="I208" s="132">
        <v>0</v>
      </c>
      <c r="J208" s="132">
        <v>640</v>
      </c>
      <c r="K208" s="132">
        <f t="shared" si="30"/>
        <v>0</v>
      </c>
      <c r="L208" s="132">
        <f t="shared" si="31"/>
        <v>0</v>
      </c>
      <c r="M208" s="133"/>
      <c r="N208" s="133">
        <f t="shared" si="29"/>
        <v>0</v>
      </c>
      <c r="O208" s="134">
        <v>0</v>
      </c>
      <c r="P208" s="133"/>
      <c r="Q208" s="2" t="s">
        <v>836</v>
      </c>
      <c r="R208" s="156">
        <f t="shared" si="32"/>
        <v>0</v>
      </c>
      <c r="S208" s="156">
        <f t="shared" si="33"/>
        <v>0</v>
      </c>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53">
        <v>0</v>
      </c>
      <c r="AT208" s="153">
        <v>0</v>
      </c>
      <c r="AU208" s="153">
        <v>0</v>
      </c>
      <c r="AV208" s="135"/>
      <c r="AW208" s="135"/>
      <c r="AX208" s="135"/>
      <c r="AY208" s="135"/>
      <c r="AZ208" s="135"/>
      <c r="BA208" s="135"/>
      <c r="BB208" s="135"/>
      <c r="BC208" s="135"/>
      <c r="BD208" s="135"/>
      <c r="BE208" s="135"/>
      <c r="BF208" s="135"/>
      <c r="BG208" s="135"/>
      <c r="BH208" s="135"/>
      <c r="BI208" s="2" t="s">
        <v>112</v>
      </c>
      <c r="BJ208" s="136">
        <v>45327</v>
      </c>
      <c r="BK208" s="2" t="s">
        <v>145</v>
      </c>
      <c r="BL208" s="136" t="s">
        <v>113</v>
      </c>
      <c r="BM208" s="136">
        <v>44936</v>
      </c>
      <c r="BN208" s="2" t="s">
        <v>791</v>
      </c>
      <c r="BO208" s="2"/>
      <c r="BP208" s="136"/>
      <c r="BQ208" s="137" t="s">
        <v>134</v>
      </c>
      <c r="BR208" s="138"/>
    </row>
    <row r="209" spans="1:70" ht="12.75" customHeight="1" x14ac:dyDescent="0.2">
      <c r="A209" s="2">
        <v>1698</v>
      </c>
      <c r="B209" s="2" t="s">
        <v>28</v>
      </c>
      <c r="C209" s="2" t="s">
        <v>30</v>
      </c>
      <c r="D209" s="2" t="s">
        <v>3356</v>
      </c>
      <c r="E209" s="2" t="s">
        <v>87</v>
      </c>
      <c r="F209" s="132">
        <v>23600</v>
      </c>
      <c r="G209" s="132">
        <v>2</v>
      </c>
      <c r="H209" s="132">
        <v>33559.82</v>
      </c>
      <c r="I209" s="132">
        <f>H209</f>
        <v>33559.82</v>
      </c>
      <c r="J209" s="132">
        <f>5119.294+28440.526</f>
        <v>33559.82</v>
      </c>
      <c r="K209" s="132">
        <f t="shared" si="30"/>
        <v>-9959.82</v>
      </c>
      <c r="L209" s="132">
        <f t="shared" si="31"/>
        <v>0</v>
      </c>
      <c r="M209" s="133">
        <v>1E-3</v>
      </c>
      <c r="N209" s="133">
        <f t="shared" si="29"/>
        <v>0</v>
      </c>
      <c r="O209" s="134">
        <v>0</v>
      </c>
      <c r="P209" s="133"/>
      <c r="Q209" s="2" t="s">
        <v>3355</v>
      </c>
      <c r="R209" s="156">
        <f t="shared" si="32"/>
        <v>0</v>
      </c>
      <c r="S209" s="156">
        <f t="shared" si="33"/>
        <v>0</v>
      </c>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53">
        <v>0</v>
      </c>
      <c r="AT209" s="153">
        <v>0</v>
      </c>
      <c r="AU209" s="153">
        <v>0</v>
      </c>
      <c r="AV209" s="135">
        <v>0</v>
      </c>
      <c r="AW209" s="135">
        <v>0</v>
      </c>
      <c r="AX209" s="135">
        <v>0</v>
      </c>
      <c r="AY209" s="135">
        <v>0</v>
      </c>
      <c r="AZ209" s="135">
        <v>0</v>
      </c>
      <c r="BA209" s="135">
        <f>IF(BK209="Принят",(H209/1.18-AW209-AZ209)*0.1,H209/1.18*0.8*0.1)</f>
        <v>2844.0525423728814</v>
      </c>
      <c r="BB209" s="135">
        <f>(H209/1.18-AT209-AW209-AZ209)*0.1-AU209-AX209-BA209</f>
        <v>0</v>
      </c>
      <c r="BC209" s="135"/>
      <c r="BD209" s="135"/>
      <c r="BE209" s="135">
        <f>(H209/1.18-AT209-AW209-AZ209-BD209)*0.1-AU209-AX209-BA209-BB209</f>
        <v>0</v>
      </c>
      <c r="BF209" s="135"/>
      <c r="BG209" s="135"/>
      <c r="BH209" s="135"/>
      <c r="BI209" s="2" t="s">
        <v>11</v>
      </c>
      <c r="BJ209" s="136">
        <v>45351</v>
      </c>
      <c r="BK209" s="2" t="s">
        <v>109</v>
      </c>
      <c r="BL209" s="136" t="s">
        <v>113</v>
      </c>
      <c r="BM209" s="136">
        <v>44936</v>
      </c>
      <c r="BN209" s="2" t="s">
        <v>792</v>
      </c>
      <c r="BO209" s="2"/>
      <c r="BP209" s="136"/>
      <c r="BQ209" s="137" t="s">
        <v>119</v>
      </c>
      <c r="BR209" s="138"/>
    </row>
    <row r="210" spans="1:70" ht="12.75" customHeight="1" x14ac:dyDescent="0.2">
      <c r="A210" s="2">
        <v>1699</v>
      </c>
      <c r="B210" s="2" t="s">
        <v>28</v>
      </c>
      <c r="C210" s="2" t="s">
        <v>57</v>
      </c>
      <c r="D210" s="2" t="s">
        <v>871</v>
      </c>
      <c r="E210" s="2" t="s">
        <v>117</v>
      </c>
      <c r="F210" s="150">
        <f>256*1.75</f>
        <v>448</v>
      </c>
      <c r="G210" s="150"/>
      <c r="H210" s="150">
        <f>256*1.75</f>
        <v>448</v>
      </c>
      <c r="I210" s="150"/>
      <c r="J210" s="150">
        <f>448</f>
        <v>448</v>
      </c>
      <c r="K210" s="132">
        <f t="shared" si="30"/>
        <v>0</v>
      </c>
      <c r="L210" s="132">
        <f t="shared" si="31"/>
        <v>0</v>
      </c>
      <c r="M210" s="133"/>
      <c r="N210" s="133">
        <f t="shared" si="29"/>
        <v>0</v>
      </c>
      <c r="O210" s="134">
        <v>0</v>
      </c>
      <c r="P210" s="133"/>
      <c r="Q210" s="2" t="s">
        <v>837</v>
      </c>
      <c r="R210" s="156">
        <f t="shared" si="32"/>
        <v>0</v>
      </c>
      <c r="S210" s="156">
        <f t="shared" si="33"/>
        <v>0</v>
      </c>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53">
        <v>0</v>
      </c>
      <c r="AT210" s="153">
        <v>0</v>
      </c>
      <c r="AU210" s="153">
        <v>0</v>
      </c>
      <c r="AV210" s="135"/>
      <c r="AW210" s="135"/>
      <c r="AX210" s="135"/>
      <c r="AY210" s="135"/>
      <c r="AZ210" s="135"/>
      <c r="BA210" s="135"/>
      <c r="BB210" s="135"/>
      <c r="BC210" s="135"/>
      <c r="BD210" s="135"/>
      <c r="BE210" s="135"/>
      <c r="BF210" s="135"/>
      <c r="BG210" s="135"/>
      <c r="BH210" s="135"/>
      <c r="BI210" s="2" t="s">
        <v>112</v>
      </c>
      <c r="BJ210" s="136">
        <v>45169</v>
      </c>
      <c r="BK210" s="2" t="s">
        <v>145</v>
      </c>
      <c r="BL210" s="136" t="s">
        <v>113</v>
      </c>
      <c r="BM210" s="136">
        <v>44936</v>
      </c>
      <c r="BN210" s="2" t="s">
        <v>793</v>
      </c>
      <c r="BO210" s="2"/>
      <c r="BP210" s="136"/>
      <c r="BQ210" s="137" t="s">
        <v>134</v>
      </c>
      <c r="BR210" s="138"/>
    </row>
    <row r="211" spans="1:70" ht="12.75" customHeight="1" x14ac:dyDescent="0.2">
      <c r="A211" s="2">
        <v>1700</v>
      </c>
      <c r="B211" s="2" t="s">
        <v>28</v>
      </c>
      <c r="C211" s="2" t="s">
        <v>57</v>
      </c>
      <c r="D211" s="2" t="s">
        <v>872</v>
      </c>
      <c r="E211" s="2" t="s">
        <v>87</v>
      </c>
      <c r="F211" s="132">
        <v>16461</v>
      </c>
      <c r="G211" s="132"/>
      <c r="H211" s="132">
        <v>33858.1</v>
      </c>
      <c r="I211" s="132"/>
      <c r="J211" s="132">
        <f>5164.7949+28693.305</f>
        <v>33858.099900000001</v>
      </c>
      <c r="K211" s="132">
        <f t="shared" si="30"/>
        <v>-17397.099900000001</v>
      </c>
      <c r="L211" s="132">
        <f t="shared" si="31"/>
        <v>9.9999997473787516E-5</v>
      </c>
      <c r="M211" s="133">
        <v>0</v>
      </c>
      <c r="N211" s="133">
        <f t="shared" si="29"/>
        <v>9.9999997473787516E-5</v>
      </c>
      <c r="O211" s="134">
        <v>0</v>
      </c>
      <c r="P211" s="133"/>
      <c r="Q211" s="2" t="s">
        <v>837</v>
      </c>
      <c r="R211" s="156">
        <f t="shared" si="32"/>
        <v>0</v>
      </c>
      <c r="S211" s="156">
        <f t="shared" si="33"/>
        <v>0</v>
      </c>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53">
        <v>0</v>
      </c>
      <c r="AT211" s="153">
        <v>0</v>
      </c>
      <c r="AU211" s="153">
        <v>0</v>
      </c>
      <c r="AV211" s="135">
        <v>0</v>
      </c>
      <c r="AW211" s="135">
        <v>0</v>
      </c>
      <c r="AX211" s="135">
        <f>(H211/1.18-AT211-AW211)*0.1</f>
        <v>2869.3305084745766</v>
      </c>
      <c r="AY211" s="135"/>
      <c r="AZ211" s="135"/>
      <c r="BA211" s="135"/>
      <c r="BB211" s="135"/>
      <c r="BC211" s="135"/>
      <c r="BD211" s="135"/>
      <c r="BE211" s="135"/>
      <c r="BF211" s="135"/>
      <c r="BG211" s="135"/>
      <c r="BH211" s="135"/>
      <c r="BI211" s="2" t="s">
        <v>11</v>
      </c>
      <c r="BJ211" s="136">
        <v>45260</v>
      </c>
      <c r="BK211" s="2" t="s">
        <v>8</v>
      </c>
      <c r="BL211" s="136" t="s">
        <v>113</v>
      </c>
      <c r="BM211" s="136">
        <v>44936</v>
      </c>
      <c r="BN211" s="2" t="s">
        <v>794</v>
      </c>
      <c r="BO211" s="2"/>
      <c r="BP211" s="136"/>
      <c r="BQ211" s="137" t="s">
        <v>119</v>
      </c>
      <c r="BR211" s="138"/>
    </row>
    <row r="212" spans="1:70" ht="12.75" customHeight="1" x14ac:dyDescent="0.2">
      <c r="A212" s="2">
        <v>1701</v>
      </c>
      <c r="B212" s="2" t="s">
        <v>28</v>
      </c>
      <c r="C212" s="2" t="s">
        <v>56</v>
      </c>
      <c r="D212" s="2" t="s">
        <v>873</v>
      </c>
      <c r="E212" s="2" t="s">
        <v>117</v>
      </c>
      <c r="F212" s="150">
        <f>7297*1.75</f>
        <v>12769.75</v>
      </c>
      <c r="G212" s="150"/>
      <c r="H212" s="150">
        <f>7297*1.75</f>
        <v>12769.75</v>
      </c>
      <c r="I212" s="150"/>
      <c r="J212" s="132">
        <f>1947.927+10821.823</f>
        <v>12769.75</v>
      </c>
      <c r="K212" s="132">
        <f t="shared" si="30"/>
        <v>0</v>
      </c>
      <c r="L212" s="132">
        <f t="shared" si="31"/>
        <v>0</v>
      </c>
      <c r="M212" s="133"/>
      <c r="N212" s="133">
        <f t="shared" si="29"/>
        <v>0</v>
      </c>
      <c r="O212" s="134">
        <v>0</v>
      </c>
      <c r="P212" s="133"/>
      <c r="Q212" s="2" t="s">
        <v>838</v>
      </c>
      <c r="R212" s="156">
        <f t="shared" si="32"/>
        <v>0</v>
      </c>
      <c r="S212" s="156">
        <f t="shared" si="33"/>
        <v>0</v>
      </c>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53">
        <v>0</v>
      </c>
      <c r="AT212" s="153">
        <v>0</v>
      </c>
      <c r="AU212" s="153">
        <v>0</v>
      </c>
      <c r="AV212" s="135"/>
      <c r="AW212" s="135"/>
      <c r="AX212" s="135"/>
      <c r="AY212" s="135"/>
      <c r="AZ212" s="135"/>
      <c r="BA212" s="135"/>
      <c r="BB212" s="135"/>
      <c r="BC212" s="135"/>
      <c r="BD212" s="135"/>
      <c r="BE212" s="135"/>
      <c r="BF212" s="135"/>
      <c r="BG212" s="135"/>
      <c r="BH212" s="135"/>
      <c r="BI212" s="2" t="s">
        <v>112</v>
      </c>
      <c r="BJ212" s="136">
        <v>45169</v>
      </c>
      <c r="BK212" s="2" t="s">
        <v>145</v>
      </c>
      <c r="BL212" s="136" t="s">
        <v>113</v>
      </c>
      <c r="BM212" s="136">
        <v>44936</v>
      </c>
      <c r="BN212" s="2" t="s">
        <v>795</v>
      </c>
      <c r="BO212" s="2"/>
      <c r="BP212" s="136"/>
      <c r="BQ212" s="137" t="s">
        <v>134</v>
      </c>
      <c r="BR212" s="138"/>
    </row>
    <row r="213" spans="1:70" ht="12.75" customHeight="1" x14ac:dyDescent="0.2">
      <c r="A213" s="2">
        <v>1702</v>
      </c>
      <c r="B213" s="2" t="s">
        <v>28</v>
      </c>
      <c r="C213" s="2" t="s">
        <v>56</v>
      </c>
      <c r="D213" s="2" t="s">
        <v>874</v>
      </c>
      <c r="E213" s="2" t="s">
        <v>87</v>
      </c>
      <c r="F213" s="132">
        <v>1714000</v>
      </c>
      <c r="G213" s="132">
        <v>2</v>
      </c>
      <c r="H213" s="132">
        <f>450000+670000+750000+409430.278</f>
        <v>2279430.2779999999</v>
      </c>
      <c r="I213" s="132">
        <f>450000+670000+750000+409430.278</f>
        <v>2279430.2779999999</v>
      </c>
      <c r="J213" s="132">
        <f>68644.067+102203.389+114406.78+AV213+AY213+62455.47+346974.812</f>
        <v>2279430.2779999999</v>
      </c>
      <c r="K213" s="132">
        <f t="shared" si="30"/>
        <v>-565430.27799999993</v>
      </c>
      <c r="L213" s="132">
        <f t="shared" si="31"/>
        <v>0</v>
      </c>
      <c r="M213" s="133">
        <v>7271</v>
      </c>
      <c r="N213" s="133">
        <f t="shared" si="29"/>
        <v>0</v>
      </c>
      <c r="O213" s="134">
        <v>0</v>
      </c>
      <c r="P213" s="133"/>
      <c r="Q213" s="2" t="s">
        <v>838</v>
      </c>
      <c r="R213" s="156">
        <f t="shared" si="32"/>
        <v>0</v>
      </c>
      <c r="S213" s="156">
        <f t="shared" si="33"/>
        <v>0</v>
      </c>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53">
        <v>0</v>
      </c>
      <c r="AT213" s="153">
        <v>0</v>
      </c>
      <c r="AU213" s="153">
        <v>0</v>
      </c>
      <c r="AV213" s="135">
        <f>381355.93+567796.61</f>
        <v>949152.54</v>
      </c>
      <c r="AW213" s="135">
        <f>21586.18+27108.47</f>
        <v>48694.65</v>
      </c>
      <c r="AX213" s="135"/>
      <c r="AY213" s="135">
        <v>635593.22</v>
      </c>
      <c r="AZ213" s="135">
        <v>75700.56</v>
      </c>
      <c r="BA213" s="135">
        <f>IF(BK213="Принят",(H213/1.18-AW213-AZ213)*0.1,H213/1.18*0.8*0.1)</f>
        <v>180732.53645762714</v>
      </c>
      <c r="BB213" s="135">
        <f>(H213/1.18-AT213-AW213-AZ213)*0.1-AU213-AX213-BA213</f>
        <v>0</v>
      </c>
      <c r="BC213" s="135"/>
      <c r="BD213" s="135"/>
      <c r="BE213" s="135">
        <f>(H213/1.18-AT213-AW213-AZ213-BD213)*0.1-AU213-AX213-BA213-BB213</f>
        <v>0</v>
      </c>
      <c r="BF213" s="135"/>
      <c r="BG213" s="135"/>
      <c r="BH213" s="135"/>
      <c r="BI213" s="2" t="s">
        <v>11</v>
      </c>
      <c r="BJ213" s="136">
        <v>45443</v>
      </c>
      <c r="BK213" s="2" t="s">
        <v>109</v>
      </c>
      <c r="BL213" s="136" t="s">
        <v>113</v>
      </c>
      <c r="BM213" s="136">
        <v>44936</v>
      </c>
      <c r="BN213" s="2" t="s">
        <v>796</v>
      </c>
      <c r="BO213" s="2"/>
      <c r="BP213" s="136"/>
      <c r="BQ213" s="137" t="s">
        <v>119</v>
      </c>
      <c r="BR213" s="138"/>
    </row>
    <row r="214" spans="1:70" ht="12.75" customHeight="1" x14ac:dyDescent="0.2">
      <c r="A214" s="2">
        <v>1703</v>
      </c>
      <c r="B214" s="2" t="s">
        <v>28</v>
      </c>
      <c r="C214" s="2" t="s">
        <v>57</v>
      </c>
      <c r="D214" s="2" t="s">
        <v>875</v>
      </c>
      <c r="E214" s="2" t="s">
        <v>117</v>
      </c>
      <c r="F214" s="150">
        <f>550*1.75</f>
        <v>962.5</v>
      </c>
      <c r="G214" s="150"/>
      <c r="H214" s="150">
        <f>550*1.75</f>
        <v>962.5</v>
      </c>
      <c r="I214" s="150"/>
      <c r="J214" s="150">
        <f>962.5</f>
        <v>962.5</v>
      </c>
      <c r="K214" s="132">
        <f t="shared" si="30"/>
        <v>0</v>
      </c>
      <c r="L214" s="132">
        <f t="shared" si="31"/>
        <v>0</v>
      </c>
      <c r="M214" s="133"/>
      <c r="N214" s="133">
        <f t="shared" si="29"/>
        <v>0</v>
      </c>
      <c r="O214" s="134">
        <v>0</v>
      </c>
      <c r="P214" s="133"/>
      <c r="Q214" s="2" t="s">
        <v>839</v>
      </c>
      <c r="R214" s="156">
        <f t="shared" si="32"/>
        <v>0</v>
      </c>
      <c r="S214" s="156">
        <f t="shared" si="33"/>
        <v>0</v>
      </c>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53">
        <v>0</v>
      </c>
      <c r="AT214" s="153">
        <v>0</v>
      </c>
      <c r="AU214" s="153">
        <v>0</v>
      </c>
      <c r="AV214" s="135"/>
      <c r="AW214" s="135"/>
      <c r="AX214" s="135"/>
      <c r="AY214" s="135"/>
      <c r="AZ214" s="135"/>
      <c r="BA214" s="135"/>
      <c r="BB214" s="135"/>
      <c r="BC214" s="135"/>
      <c r="BD214" s="135"/>
      <c r="BE214" s="135"/>
      <c r="BF214" s="135"/>
      <c r="BG214" s="135"/>
      <c r="BH214" s="135"/>
      <c r="BI214" s="2" t="s">
        <v>112</v>
      </c>
      <c r="BJ214" s="136">
        <v>45169</v>
      </c>
      <c r="BK214" s="2" t="s">
        <v>145</v>
      </c>
      <c r="BL214" s="136" t="s">
        <v>113</v>
      </c>
      <c r="BM214" s="136">
        <v>44936</v>
      </c>
      <c r="BN214" s="2" t="s">
        <v>797</v>
      </c>
      <c r="BO214" s="2"/>
      <c r="BP214" s="136"/>
      <c r="BQ214" s="137" t="s">
        <v>134</v>
      </c>
      <c r="BR214" s="138"/>
    </row>
    <row r="215" spans="1:70" ht="12.75" customHeight="1" x14ac:dyDescent="0.2">
      <c r="A215" s="2">
        <v>1704</v>
      </c>
      <c r="B215" s="2" t="s">
        <v>28</v>
      </c>
      <c r="C215" s="2" t="s">
        <v>57</v>
      </c>
      <c r="D215" s="2" t="s">
        <v>876</v>
      </c>
      <c r="E215" s="2" t="s">
        <v>87</v>
      </c>
      <c r="F215" s="132">
        <v>18183.8</v>
      </c>
      <c r="G215" s="132">
        <v>2</v>
      </c>
      <c r="H215" s="132">
        <v>61880.480000000003</v>
      </c>
      <c r="I215" s="132">
        <f>H215</f>
        <v>61880.480000000003</v>
      </c>
      <c r="J215" s="132">
        <f>9439.39+52441.09</f>
        <v>61880.479999999996</v>
      </c>
      <c r="K215" s="132">
        <f t="shared" si="30"/>
        <v>-43696.679999999993</v>
      </c>
      <c r="L215" s="132">
        <f t="shared" si="31"/>
        <v>0</v>
      </c>
      <c r="M215" s="133">
        <v>514</v>
      </c>
      <c r="N215" s="133">
        <f t="shared" si="29"/>
        <v>7.2759576141834259E-12</v>
      </c>
      <c r="O215" s="134">
        <v>0</v>
      </c>
      <c r="P215" s="133"/>
      <c r="Q215" s="2" t="s">
        <v>839</v>
      </c>
      <c r="R215" s="156">
        <f t="shared" si="32"/>
        <v>0</v>
      </c>
      <c r="S215" s="156">
        <f t="shared" si="33"/>
        <v>0</v>
      </c>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53">
        <v>0</v>
      </c>
      <c r="AT215" s="153">
        <v>0</v>
      </c>
      <c r="AU215" s="153">
        <v>0</v>
      </c>
      <c r="AV215" s="135">
        <v>0</v>
      </c>
      <c r="AW215" s="135">
        <v>0</v>
      </c>
      <c r="AX215" s="135">
        <v>0</v>
      </c>
      <c r="AY215" s="135">
        <v>0</v>
      </c>
      <c r="AZ215" s="135">
        <v>0</v>
      </c>
      <c r="BA215" s="135">
        <f>IF(BK215="Принят",(H215/1.18-AW215-AZ215)*0.1,H215/1.18*0.8*0.1)</f>
        <v>5244.1084745762719</v>
      </c>
      <c r="BB215" s="135">
        <f>(H215/1.18-AT215-AW215-AZ215)*0.1-AU215-AX215-BA215</f>
        <v>0</v>
      </c>
      <c r="BC215" s="135"/>
      <c r="BD215" s="135"/>
      <c r="BE215" s="135">
        <f>(H215/1.18-AT215-AW215-AZ215-BD215)*0.1-AU215-AX215-BA215-BB215</f>
        <v>0</v>
      </c>
      <c r="BF215" s="135"/>
      <c r="BG215" s="135"/>
      <c r="BH215" s="135"/>
      <c r="BI215" s="2" t="s">
        <v>11</v>
      </c>
      <c r="BJ215" s="136">
        <v>45351</v>
      </c>
      <c r="BK215" s="2" t="s">
        <v>109</v>
      </c>
      <c r="BL215" s="136" t="s">
        <v>113</v>
      </c>
      <c r="BM215" s="136">
        <v>44936</v>
      </c>
      <c r="BN215" s="2" t="s">
        <v>798</v>
      </c>
      <c r="BO215" s="2"/>
      <c r="BP215" s="136"/>
      <c r="BQ215" s="137" t="s">
        <v>119</v>
      </c>
      <c r="BR215" s="138"/>
    </row>
    <row r="216" spans="1:70" ht="12.75" customHeight="1" x14ac:dyDescent="0.2">
      <c r="A216" s="2">
        <v>1705</v>
      </c>
      <c r="B216" s="2" t="s">
        <v>28</v>
      </c>
      <c r="C216" s="2" t="s">
        <v>57</v>
      </c>
      <c r="D216" s="2" t="s">
        <v>877</v>
      </c>
      <c r="E216" s="2" t="s">
        <v>117</v>
      </c>
      <c r="F216" s="150">
        <f>719*1.75</f>
        <v>1258.25</v>
      </c>
      <c r="G216" s="150"/>
      <c r="H216" s="150">
        <f>719*1.75</f>
        <v>1258.25</v>
      </c>
      <c r="I216" s="150"/>
      <c r="J216" s="150">
        <f>191.936+1066.314</f>
        <v>1258.25</v>
      </c>
      <c r="K216" s="132">
        <f t="shared" si="30"/>
        <v>0</v>
      </c>
      <c r="L216" s="132">
        <f t="shared" si="31"/>
        <v>0</v>
      </c>
      <c r="M216" s="133"/>
      <c r="N216" s="133">
        <f t="shared" si="29"/>
        <v>0</v>
      </c>
      <c r="O216" s="134">
        <v>0</v>
      </c>
      <c r="P216" s="133"/>
      <c r="Q216" s="2" t="s">
        <v>840</v>
      </c>
      <c r="R216" s="156">
        <f t="shared" si="32"/>
        <v>0</v>
      </c>
      <c r="S216" s="156">
        <f t="shared" si="33"/>
        <v>0</v>
      </c>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53">
        <v>0</v>
      </c>
      <c r="AT216" s="153">
        <v>0</v>
      </c>
      <c r="AU216" s="153">
        <v>0</v>
      </c>
      <c r="AV216" s="135"/>
      <c r="AW216" s="135"/>
      <c r="AX216" s="135"/>
      <c r="AY216" s="135"/>
      <c r="AZ216" s="135"/>
      <c r="BA216" s="135"/>
      <c r="BB216" s="135"/>
      <c r="BC216" s="135"/>
      <c r="BD216" s="135"/>
      <c r="BE216" s="135"/>
      <c r="BF216" s="135"/>
      <c r="BG216" s="135"/>
      <c r="BH216" s="135"/>
      <c r="BI216" s="2" t="s">
        <v>112</v>
      </c>
      <c r="BJ216" s="136">
        <v>45169</v>
      </c>
      <c r="BK216" s="2" t="s">
        <v>145</v>
      </c>
      <c r="BL216" s="136" t="s">
        <v>113</v>
      </c>
      <c r="BM216" s="136">
        <v>44936</v>
      </c>
      <c r="BN216" s="2" t="s">
        <v>799</v>
      </c>
      <c r="BO216" s="2"/>
      <c r="BP216" s="136"/>
      <c r="BQ216" s="137" t="s">
        <v>134</v>
      </c>
      <c r="BR216" s="138"/>
    </row>
    <row r="217" spans="1:70" ht="12.75" customHeight="1" x14ac:dyDescent="0.2">
      <c r="A217" s="2">
        <v>1706</v>
      </c>
      <c r="B217" s="2" t="s">
        <v>28</v>
      </c>
      <c r="C217" s="2" t="s">
        <v>57</v>
      </c>
      <c r="D217" s="2" t="s">
        <v>878</v>
      </c>
      <c r="E217" s="2" t="s">
        <v>87</v>
      </c>
      <c r="F217" s="132">
        <v>27387.439999999999</v>
      </c>
      <c r="G217" s="132"/>
      <c r="H217" s="132">
        <v>30779.65</v>
      </c>
      <c r="I217" s="132"/>
      <c r="J217" s="132">
        <f>AS217+AV217+30779.65</f>
        <v>30779.65</v>
      </c>
      <c r="K217" s="132">
        <f t="shared" si="30"/>
        <v>-3392.2100000000028</v>
      </c>
      <c r="L217" s="132">
        <f t="shared" si="31"/>
        <v>0</v>
      </c>
      <c r="M217" s="133">
        <v>579</v>
      </c>
      <c r="N217" s="133">
        <f t="shared" si="29"/>
        <v>0</v>
      </c>
      <c r="O217" s="134">
        <v>0</v>
      </c>
      <c r="P217" s="133"/>
      <c r="Q217" s="2" t="s">
        <v>840</v>
      </c>
      <c r="R217" s="156">
        <f t="shared" si="32"/>
        <v>0</v>
      </c>
      <c r="S217" s="156">
        <f t="shared" si="33"/>
        <v>0</v>
      </c>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53">
        <v>0</v>
      </c>
      <c r="AT217" s="153">
        <v>0</v>
      </c>
      <c r="AU217" s="153">
        <v>0</v>
      </c>
      <c r="AV217" s="135">
        <v>0</v>
      </c>
      <c r="AW217" s="135">
        <v>0</v>
      </c>
      <c r="AX217" s="135">
        <f>(H217/1.18-AT217-AW217)*0.1</f>
        <v>2608.4449152542379</v>
      </c>
      <c r="AY217" s="135"/>
      <c r="AZ217" s="135"/>
      <c r="BA217" s="135"/>
      <c r="BB217" s="135"/>
      <c r="BC217" s="135"/>
      <c r="BD217" s="135"/>
      <c r="BE217" s="135"/>
      <c r="BF217" s="135"/>
      <c r="BG217" s="135"/>
      <c r="BH217" s="135"/>
      <c r="BI217" s="2" t="s">
        <v>11</v>
      </c>
      <c r="BJ217" s="136">
        <v>45288</v>
      </c>
      <c r="BK217" s="2" t="s">
        <v>8</v>
      </c>
      <c r="BL217" s="136" t="s">
        <v>113</v>
      </c>
      <c r="BM217" s="136">
        <v>44936</v>
      </c>
      <c r="BN217" s="2" t="s">
        <v>800</v>
      </c>
      <c r="BO217" s="2"/>
      <c r="BP217" s="136"/>
      <c r="BQ217" s="137" t="s">
        <v>119</v>
      </c>
      <c r="BR217" s="138"/>
    </row>
    <row r="218" spans="1:70" ht="12.75" customHeight="1" x14ac:dyDescent="0.2">
      <c r="A218" s="2">
        <v>1707</v>
      </c>
      <c r="B218" s="2" t="s">
        <v>28</v>
      </c>
      <c r="C218" s="2" t="s">
        <v>29</v>
      </c>
      <c r="D218" s="2" t="s">
        <v>879</v>
      </c>
      <c r="E218" s="2" t="s">
        <v>87</v>
      </c>
      <c r="F218" s="132">
        <v>493497.42</v>
      </c>
      <c r="G218" s="132"/>
      <c r="H218" s="132">
        <f>200000+140000+98179.3</f>
        <v>438179.3</v>
      </c>
      <c r="I218" s="132"/>
      <c r="J218" s="132">
        <f>30508.47+21355.93+14976.5+AT218+AV218+83202.8</f>
        <v>438179.3</v>
      </c>
      <c r="K218" s="132">
        <f t="shared" si="30"/>
        <v>55318.119999999995</v>
      </c>
      <c r="L218" s="132">
        <f t="shared" si="31"/>
        <v>0</v>
      </c>
      <c r="M218" s="133">
        <v>645</v>
      </c>
      <c r="N218" s="133">
        <f t="shared" si="29"/>
        <v>0</v>
      </c>
      <c r="O218" s="134">
        <v>0</v>
      </c>
      <c r="P218" s="133"/>
      <c r="Q218" s="2" t="s">
        <v>841</v>
      </c>
      <c r="R218" s="156">
        <f t="shared" si="32"/>
        <v>0</v>
      </c>
      <c r="S218" s="156">
        <f t="shared" si="33"/>
        <v>0</v>
      </c>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53">
        <v>0</v>
      </c>
      <c r="AT218" s="153">
        <v>0</v>
      </c>
      <c r="AU218" s="153">
        <v>0</v>
      </c>
      <c r="AV218" s="135">
        <f>169491.53+118644.07</f>
        <v>288135.59999999998</v>
      </c>
      <c r="AW218" s="135">
        <f>21016.94972+12095.19</f>
        <v>33112.139719999999</v>
      </c>
      <c r="AX218" s="135">
        <f>(H218/1.18-AT218-AW218)*0.1</f>
        <v>33822.625011050855</v>
      </c>
      <c r="AY218" s="135"/>
      <c r="AZ218" s="135"/>
      <c r="BA218" s="135"/>
      <c r="BB218" s="135"/>
      <c r="BC218" s="135"/>
      <c r="BD218" s="135"/>
      <c r="BE218" s="135"/>
      <c r="BF218" s="135"/>
      <c r="BG218" s="135"/>
      <c r="BH218" s="135"/>
      <c r="BI218" s="2" t="s">
        <v>11</v>
      </c>
      <c r="BJ218" s="136">
        <v>45199</v>
      </c>
      <c r="BK218" s="2" t="s">
        <v>109</v>
      </c>
      <c r="BL218" s="136" t="s">
        <v>113</v>
      </c>
      <c r="BM218" s="136">
        <v>44936</v>
      </c>
      <c r="BN218" s="2" t="s">
        <v>801</v>
      </c>
      <c r="BO218" s="2"/>
      <c r="BP218" s="136"/>
      <c r="BQ218" s="137" t="s">
        <v>119</v>
      </c>
      <c r="BR218" s="138"/>
    </row>
    <row r="219" spans="1:70" ht="12.75" customHeight="1" x14ac:dyDescent="0.2">
      <c r="A219" s="2">
        <v>1708</v>
      </c>
      <c r="B219" s="2" t="s">
        <v>28</v>
      </c>
      <c r="C219" s="2" t="s">
        <v>56</v>
      </c>
      <c r="D219" s="2" t="s">
        <v>880</v>
      </c>
      <c r="E219" s="2" t="s">
        <v>117</v>
      </c>
      <c r="F219" s="132">
        <f>4102*1.75</f>
        <v>7178.5</v>
      </c>
      <c r="G219" s="132"/>
      <c r="H219" s="132">
        <f>4102*1.75</f>
        <v>7178.5</v>
      </c>
      <c r="I219" s="132"/>
      <c r="J219" s="132">
        <f>1095.025+6083.475</f>
        <v>7178.5</v>
      </c>
      <c r="K219" s="132">
        <f t="shared" si="30"/>
        <v>0</v>
      </c>
      <c r="L219" s="132">
        <f t="shared" si="31"/>
        <v>0</v>
      </c>
      <c r="M219" s="133"/>
      <c r="N219" s="133">
        <f t="shared" si="29"/>
        <v>0</v>
      </c>
      <c r="O219" s="134">
        <v>0</v>
      </c>
      <c r="P219" s="133"/>
      <c r="Q219" s="2" t="s">
        <v>842</v>
      </c>
      <c r="R219" s="156">
        <f t="shared" si="32"/>
        <v>0</v>
      </c>
      <c r="S219" s="156">
        <f t="shared" si="33"/>
        <v>0</v>
      </c>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53">
        <v>0</v>
      </c>
      <c r="AT219" s="153">
        <v>0</v>
      </c>
      <c r="AU219" s="153">
        <v>0</v>
      </c>
      <c r="AV219" s="135"/>
      <c r="AW219" s="135"/>
      <c r="AX219" s="135"/>
      <c r="AY219" s="135"/>
      <c r="AZ219" s="135"/>
      <c r="BA219" s="135"/>
      <c r="BB219" s="135"/>
      <c r="BC219" s="135"/>
      <c r="BD219" s="135"/>
      <c r="BE219" s="135"/>
      <c r="BF219" s="135"/>
      <c r="BG219" s="135"/>
      <c r="BH219" s="135"/>
      <c r="BI219" s="2" t="s">
        <v>112</v>
      </c>
      <c r="BJ219" s="136">
        <v>45091</v>
      </c>
      <c r="BK219" s="2" t="s">
        <v>145</v>
      </c>
      <c r="BL219" s="136" t="s">
        <v>113</v>
      </c>
      <c r="BM219" s="136">
        <v>44936</v>
      </c>
      <c r="BN219" s="2" t="s">
        <v>802</v>
      </c>
      <c r="BO219" s="2"/>
      <c r="BP219" s="136"/>
      <c r="BQ219" s="137" t="s">
        <v>134</v>
      </c>
      <c r="BR219" s="138"/>
    </row>
    <row r="220" spans="1:70" ht="12.75" customHeight="1" x14ac:dyDescent="0.2">
      <c r="A220" s="2">
        <v>1709</v>
      </c>
      <c r="B220" s="2" t="s">
        <v>28</v>
      </c>
      <c r="C220" s="2" t="s">
        <v>56</v>
      </c>
      <c r="D220" s="2" t="s">
        <v>881</v>
      </c>
      <c r="E220" s="2" t="s">
        <v>87</v>
      </c>
      <c r="F220" s="132">
        <v>823000</v>
      </c>
      <c r="G220" s="132">
        <v>2</v>
      </c>
      <c r="H220" s="132">
        <f>550000+520000+231828.14</f>
        <v>1301828.1400000001</v>
      </c>
      <c r="I220" s="132">
        <f>H220</f>
        <v>1301828.1400000001</v>
      </c>
      <c r="J220" s="132">
        <f>83898.305+79322.033+AS220+AV220+AY220+35363.61+196464.532</f>
        <v>1301828.1400000001</v>
      </c>
      <c r="K220" s="132">
        <f t="shared" si="30"/>
        <v>-478828.14000000013</v>
      </c>
      <c r="L220" s="132">
        <f t="shared" si="31"/>
        <v>0</v>
      </c>
      <c r="M220" s="133">
        <v>4205</v>
      </c>
      <c r="N220" s="133">
        <f t="shared" si="29"/>
        <v>0</v>
      </c>
      <c r="O220" s="134">
        <v>0</v>
      </c>
      <c r="P220" s="133"/>
      <c r="Q220" s="2" t="s">
        <v>842</v>
      </c>
      <c r="R220" s="156">
        <f t="shared" si="32"/>
        <v>0</v>
      </c>
      <c r="S220" s="156">
        <f t="shared" si="33"/>
        <v>0</v>
      </c>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53">
        <v>0</v>
      </c>
      <c r="AT220" s="153">
        <v>0</v>
      </c>
      <c r="AU220" s="153">
        <v>0</v>
      </c>
      <c r="AV220" s="135">
        <f>466101.69+440677.97</f>
        <v>906779.65999999992</v>
      </c>
      <c r="AW220" s="135">
        <f>26383.11+21039.41</f>
        <v>47422.520000000004</v>
      </c>
      <c r="AX220" s="135"/>
      <c r="AY220" s="135"/>
      <c r="AZ220" s="135"/>
      <c r="BA220" s="135">
        <f>IF(BK220="Принят",(H220/1.18-AW220-AZ220)*0.1,H220/1.18*0.8*0.1)</f>
        <v>105582.16664406781</v>
      </c>
      <c r="BB220" s="135">
        <f>(H220/1.18-AT220-AW220-AZ220)*0.1-AU220-AX220-BA220</f>
        <v>0</v>
      </c>
      <c r="BC220" s="135"/>
      <c r="BD220" s="135"/>
      <c r="BE220" s="135">
        <f>(H220/1.18-AT220-AW220-AZ220-BD220)*0.1-AU220-AX220-BA220-BB220</f>
        <v>0</v>
      </c>
      <c r="BF220" s="135"/>
      <c r="BG220" s="135"/>
      <c r="BH220" s="135"/>
      <c r="BI220" s="2" t="s">
        <v>11</v>
      </c>
      <c r="BJ220" s="136">
        <v>45351</v>
      </c>
      <c r="BK220" s="2" t="s">
        <v>109</v>
      </c>
      <c r="BL220" s="136" t="s">
        <v>113</v>
      </c>
      <c r="BM220" s="136">
        <v>44936</v>
      </c>
      <c r="BN220" s="2" t="s">
        <v>803</v>
      </c>
      <c r="BO220" s="2"/>
      <c r="BP220" s="136"/>
      <c r="BQ220" s="137" t="s">
        <v>119</v>
      </c>
      <c r="BR220" s="138"/>
    </row>
    <row r="221" spans="1:70" ht="12.75" customHeight="1" x14ac:dyDescent="0.2">
      <c r="A221" s="2">
        <v>1710</v>
      </c>
      <c r="B221" s="2" t="s">
        <v>28</v>
      </c>
      <c r="C221" s="2" t="s">
        <v>29</v>
      </c>
      <c r="D221" s="2" t="s">
        <v>882</v>
      </c>
      <c r="E221" s="2" t="s">
        <v>117</v>
      </c>
      <c r="F221" s="132">
        <f>3712*1.75</f>
        <v>6496</v>
      </c>
      <c r="G221" s="132"/>
      <c r="H221" s="132">
        <f>3712*1.75</f>
        <v>6496</v>
      </c>
      <c r="I221" s="132"/>
      <c r="J221" s="132">
        <f>990.915+5505.085</f>
        <v>6496</v>
      </c>
      <c r="K221" s="132">
        <f t="shared" si="30"/>
        <v>0</v>
      </c>
      <c r="L221" s="132">
        <f t="shared" si="31"/>
        <v>0</v>
      </c>
      <c r="M221" s="133"/>
      <c r="N221" s="133">
        <f t="shared" si="29"/>
        <v>0</v>
      </c>
      <c r="O221" s="134">
        <v>0</v>
      </c>
      <c r="P221" s="133"/>
      <c r="Q221" s="2" t="s">
        <v>843</v>
      </c>
      <c r="R221" s="156">
        <f t="shared" si="32"/>
        <v>0</v>
      </c>
      <c r="S221" s="156">
        <f t="shared" si="33"/>
        <v>0</v>
      </c>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53">
        <v>0</v>
      </c>
      <c r="AT221" s="153">
        <v>0</v>
      </c>
      <c r="AU221" s="153">
        <v>0</v>
      </c>
      <c r="AV221" s="135"/>
      <c r="AW221" s="135"/>
      <c r="AX221" s="135"/>
      <c r="AY221" s="135"/>
      <c r="AZ221" s="135"/>
      <c r="BA221" s="135"/>
      <c r="BB221" s="135"/>
      <c r="BC221" s="135"/>
      <c r="BD221" s="135"/>
      <c r="BE221" s="135"/>
      <c r="BF221" s="135"/>
      <c r="BG221" s="135"/>
      <c r="BH221" s="135"/>
      <c r="BI221" s="2" t="s">
        <v>112</v>
      </c>
      <c r="BJ221" s="136">
        <v>45091</v>
      </c>
      <c r="BK221" s="2" t="s">
        <v>145</v>
      </c>
      <c r="BL221" s="136" t="s">
        <v>113</v>
      </c>
      <c r="BM221" s="136">
        <v>44936</v>
      </c>
      <c r="BN221" s="2" t="s">
        <v>804</v>
      </c>
      <c r="BO221" s="2"/>
      <c r="BP221" s="136"/>
      <c r="BQ221" s="137" t="s">
        <v>134</v>
      </c>
      <c r="BR221" s="138"/>
    </row>
    <row r="222" spans="1:70" ht="12.75" customHeight="1" x14ac:dyDescent="0.2">
      <c r="A222" s="2">
        <v>1711</v>
      </c>
      <c r="B222" s="2" t="s">
        <v>28</v>
      </c>
      <c r="C222" s="2" t="s">
        <v>30</v>
      </c>
      <c r="D222" s="2" t="s">
        <v>883</v>
      </c>
      <c r="E222" s="2" t="s">
        <v>117</v>
      </c>
      <c r="F222" s="132">
        <f>448*1.75</f>
        <v>784</v>
      </c>
      <c r="G222" s="132"/>
      <c r="H222" s="132">
        <f>448*1.75</f>
        <v>784</v>
      </c>
      <c r="I222" s="132"/>
      <c r="J222" s="132">
        <f>784</f>
        <v>784</v>
      </c>
      <c r="K222" s="132">
        <f t="shared" si="30"/>
        <v>0</v>
      </c>
      <c r="L222" s="132">
        <f t="shared" si="31"/>
        <v>0</v>
      </c>
      <c r="M222" s="133"/>
      <c r="N222" s="133">
        <f t="shared" si="29"/>
        <v>0</v>
      </c>
      <c r="O222" s="134">
        <v>0</v>
      </c>
      <c r="P222" s="133"/>
      <c r="Q222" s="2" t="s">
        <v>844</v>
      </c>
      <c r="R222" s="156">
        <f t="shared" si="32"/>
        <v>0</v>
      </c>
      <c r="S222" s="156">
        <f t="shared" si="33"/>
        <v>0</v>
      </c>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53">
        <v>0</v>
      </c>
      <c r="AT222" s="153">
        <v>0</v>
      </c>
      <c r="AU222" s="153">
        <v>0</v>
      </c>
      <c r="AV222" s="135"/>
      <c r="AW222" s="135"/>
      <c r="AX222" s="135"/>
      <c r="AY222" s="135"/>
      <c r="AZ222" s="135"/>
      <c r="BA222" s="135"/>
      <c r="BB222" s="135"/>
      <c r="BC222" s="135"/>
      <c r="BD222" s="135"/>
      <c r="BE222" s="135"/>
      <c r="BF222" s="135"/>
      <c r="BG222" s="135"/>
      <c r="BH222" s="135"/>
      <c r="BI222" s="2" t="s">
        <v>112</v>
      </c>
      <c r="BJ222" s="136">
        <v>45091</v>
      </c>
      <c r="BK222" s="2" t="s">
        <v>145</v>
      </c>
      <c r="BL222" s="136" t="s">
        <v>113</v>
      </c>
      <c r="BM222" s="136">
        <v>44936</v>
      </c>
      <c r="BN222" s="2" t="s">
        <v>805</v>
      </c>
      <c r="BO222" s="2"/>
      <c r="BP222" s="136"/>
      <c r="BQ222" s="137" t="s">
        <v>134</v>
      </c>
      <c r="BR222" s="138"/>
    </row>
    <row r="223" spans="1:70" ht="12.75" customHeight="1" x14ac:dyDescent="0.2">
      <c r="A223" s="2">
        <v>1712</v>
      </c>
      <c r="B223" s="2" t="s">
        <v>28</v>
      </c>
      <c r="C223" s="2" t="s">
        <v>30</v>
      </c>
      <c r="D223" s="2" t="s">
        <v>884</v>
      </c>
      <c r="E223" s="2" t="s">
        <v>87</v>
      </c>
      <c r="F223" s="132">
        <v>19823</v>
      </c>
      <c r="G223" s="132"/>
      <c r="H223" s="132">
        <f>17010.64</f>
        <v>17010.64</v>
      </c>
      <c r="I223" s="132"/>
      <c r="J223" s="132">
        <f>AS223+AV223+2594.84+14415.8</f>
        <v>17010.64</v>
      </c>
      <c r="K223" s="132">
        <f t="shared" si="30"/>
        <v>2812.3600000000006</v>
      </c>
      <c r="L223" s="132">
        <f t="shared" si="31"/>
        <v>0</v>
      </c>
      <c r="M223" s="133">
        <v>457</v>
      </c>
      <c r="N223" s="133">
        <f t="shared" si="29"/>
        <v>0</v>
      </c>
      <c r="O223" s="134">
        <v>0</v>
      </c>
      <c r="P223" s="133"/>
      <c r="Q223" s="2" t="s">
        <v>844</v>
      </c>
      <c r="R223" s="156">
        <f t="shared" si="32"/>
        <v>0</v>
      </c>
      <c r="S223" s="156">
        <f t="shared" si="33"/>
        <v>0</v>
      </c>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53">
        <v>0</v>
      </c>
      <c r="AT223" s="153">
        <v>0</v>
      </c>
      <c r="AU223" s="153">
        <v>0</v>
      </c>
      <c r="AV223" s="135">
        <v>0</v>
      </c>
      <c r="AW223" s="135">
        <v>0</v>
      </c>
      <c r="AX223" s="135">
        <f>(H223/1.18-AT223-AW223)*0.1</f>
        <v>1441.5796610169491</v>
      </c>
      <c r="AY223" s="135"/>
      <c r="AZ223" s="135"/>
      <c r="BA223" s="135"/>
      <c r="BB223" s="135"/>
      <c r="BC223" s="135"/>
      <c r="BD223" s="135"/>
      <c r="BE223" s="135"/>
      <c r="BF223" s="135"/>
      <c r="BG223" s="135"/>
      <c r="BH223" s="135"/>
      <c r="BI223" s="2" t="s">
        <v>11</v>
      </c>
      <c r="BJ223" s="136">
        <v>45230</v>
      </c>
      <c r="BK223" s="2" t="s">
        <v>109</v>
      </c>
      <c r="BL223" s="136" t="s">
        <v>113</v>
      </c>
      <c r="BM223" s="136">
        <v>44936</v>
      </c>
      <c r="BN223" s="2" t="s">
        <v>806</v>
      </c>
      <c r="BO223" s="2"/>
      <c r="BP223" s="136"/>
      <c r="BQ223" s="137" t="s">
        <v>119</v>
      </c>
      <c r="BR223" s="138"/>
    </row>
    <row r="224" spans="1:70" ht="12.75" customHeight="1" x14ac:dyDescent="0.2">
      <c r="A224" s="2">
        <v>1713</v>
      </c>
      <c r="B224" s="2" t="s">
        <v>28</v>
      </c>
      <c r="C224" s="2" t="s">
        <v>56</v>
      </c>
      <c r="D224" s="2" t="s">
        <v>885</v>
      </c>
      <c r="E224" s="2" t="s">
        <v>87</v>
      </c>
      <c r="F224" s="132">
        <v>1475000</v>
      </c>
      <c r="G224" s="132"/>
      <c r="H224" s="132">
        <f>500000+460000+130686.22</f>
        <v>1090686.22</v>
      </c>
      <c r="I224" s="132"/>
      <c r="J224" s="132">
        <f>76271.19+70169.49+AS224+AV224+130686.22</f>
        <v>1090686.22</v>
      </c>
      <c r="K224" s="132">
        <f t="shared" si="30"/>
        <v>384313.78</v>
      </c>
      <c r="L224" s="132">
        <f t="shared" si="31"/>
        <v>0</v>
      </c>
      <c r="M224" s="133">
        <v>4812</v>
      </c>
      <c r="N224" s="133">
        <f t="shared" si="29"/>
        <v>0</v>
      </c>
      <c r="O224" s="134">
        <v>0</v>
      </c>
      <c r="P224" s="133"/>
      <c r="Q224" s="2" t="s">
        <v>845</v>
      </c>
      <c r="R224" s="156">
        <f t="shared" si="32"/>
        <v>0</v>
      </c>
      <c r="S224" s="156">
        <f t="shared" si="33"/>
        <v>0</v>
      </c>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53">
        <v>0</v>
      </c>
      <c r="AT224" s="153">
        <v>0</v>
      </c>
      <c r="AU224" s="153">
        <v>0</v>
      </c>
      <c r="AV224" s="135">
        <f>423728.81+N("თბს")+389830.51+N("სილქი")</f>
        <v>813559.32000000007</v>
      </c>
      <c r="AW224" s="135">
        <f>52542.37+N("თბს")+24051.24+N("სილქი")</f>
        <v>76593.61</v>
      </c>
      <c r="AX224" s="135">
        <f>(H224/1.18-AT224-AW224)*0.1</f>
        <v>84771.674593220348</v>
      </c>
      <c r="AY224" s="135"/>
      <c r="AZ224" s="135"/>
      <c r="BA224" s="135"/>
      <c r="BB224" s="135"/>
      <c r="BC224" s="135"/>
      <c r="BD224" s="135"/>
      <c r="BE224" s="135"/>
      <c r="BF224" s="135"/>
      <c r="BG224" s="135"/>
      <c r="BH224" s="135"/>
      <c r="BI224" s="2" t="s">
        <v>11</v>
      </c>
      <c r="BJ224" s="136">
        <v>45288</v>
      </c>
      <c r="BK224" s="2" t="s">
        <v>8</v>
      </c>
      <c r="BL224" s="136" t="s">
        <v>113</v>
      </c>
      <c r="BM224" s="136">
        <v>44936</v>
      </c>
      <c r="BN224" s="2" t="s">
        <v>807</v>
      </c>
      <c r="BO224" s="2"/>
      <c r="BP224" s="136"/>
      <c r="BQ224" s="137" t="s">
        <v>119</v>
      </c>
      <c r="BR224" s="138"/>
    </row>
    <row r="225" spans="1:70" ht="12.75" customHeight="1" x14ac:dyDescent="0.2">
      <c r="A225" s="2">
        <v>1714</v>
      </c>
      <c r="B225" s="2" t="s">
        <v>28</v>
      </c>
      <c r="C225" s="2" t="s">
        <v>30</v>
      </c>
      <c r="D225" s="2" t="s">
        <v>886</v>
      </c>
      <c r="E225" s="2" t="s">
        <v>117</v>
      </c>
      <c r="F225" s="132">
        <f>659*1.75</f>
        <v>1153.25</v>
      </c>
      <c r="G225" s="132"/>
      <c r="H225" s="132">
        <f>659*1.75</f>
        <v>1153.25</v>
      </c>
      <c r="I225" s="132"/>
      <c r="J225" s="132">
        <f>175.919+977.331</f>
        <v>1153.25</v>
      </c>
      <c r="K225" s="132">
        <f t="shared" si="30"/>
        <v>0</v>
      </c>
      <c r="L225" s="132">
        <f t="shared" si="31"/>
        <v>0</v>
      </c>
      <c r="M225" s="133"/>
      <c r="N225" s="133">
        <f t="shared" si="29"/>
        <v>0</v>
      </c>
      <c r="O225" s="134">
        <v>0</v>
      </c>
      <c r="P225" s="133"/>
      <c r="Q225" s="2" t="s">
        <v>846</v>
      </c>
      <c r="R225" s="156">
        <f t="shared" si="32"/>
        <v>0</v>
      </c>
      <c r="S225" s="156">
        <f t="shared" si="33"/>
        <v>0</v>
      </c>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53">
        <v>0</v>
      </c>
      <c r="AT225" s="153">
        <v>0</v>
      </c>
      <c r="AU225" s="153">
        <v>0</v>
      </c>
      <c r="AV225" s="135"/>
      <c r="AW225" s="135"/>
      <c r="AX225" s="135"/>
      <c r="AY225" s="135"/>
      <c r="AZ225" s="135"/>
      <c r="BA225" s="135"/>
      <c r="BB225" s="135"/>
      <c r="BC225" s="135"/>
      <c r="BD225" s="135"/>
      <c r="BE225" s="135"/>
      <c r="BF225" s="135"/>
      <c r="BG225" s="135"/>
      <c r="BH225" s="135"/>
      <c r="BI225" s="2" t="s">
        <v>112</v>
      </c>
      <c r="BJ225" s="136">
        <v>45091</v>
      </c>
      <c r="BK225" s="2" t="s">
        <v>145</v>
      </c>
      <c r="BL225" s="136" t="s">
        <v>113</v>
      </c>
      <c r="BM225" s="136">
        <v>44936</v>
      </c>
      <c r="BN225" s="2" t="s">
        <v>808</v>
      </c>
      <c r="BO225" s="2"/>
      <c r="BP225" s="136"/>
      <c r="BQ225" s="137" t="s">
        <v>134</v>
      </c>
      <c r="BR225" s="138"/>
    </row>
    <row r="226" spans="1:70" ht="12.75" customHeight="1" x14ac:dyDescent="0.2">
      <c r="A226" s="2">
        <v>1715</v>
      </c>
      <c r="B226" s="2" t="s">
        <v>28</v>
      </c>
      <c r="C226" s="2" t="s">
        <v>30</v>
      </c>
      <c r="D226" s="2" t="s">
        <v>887</v>
      </c>
      <c r="E226" s="2" t="s">
        <v>87</v>
      </c>
      <c r="F226" s="132">
        <v>49347.6</v>
      </c>
      <c r="G226" s="132"/>
      <c r="H226" s="132">
        <f>49450.64</f>
        <v>49450.64</v>
      </c>
      <c r="I226" s="132"/>
      <c r="J226" s="132">
        <f>AS226+AV226+7543.317+41907.323</f>
        <v>49450.64</v>
      </c>
      <c r="K226" s="132">
        <f t="shared" si="30"/>
        <v>-103.04000000000087</v>
      </c>
      <c r="L226" s="132">
        <f t="shared" si="31"/>
        <v>0</v>
      </c>
      <c r="M226" s="133">
        <v>619</v>
      </c>
      <c r="N226" s="133">
        <f t="shared" si="29"/>
        <v>0</v>
      </c>
      <c r="O226" s="134">
        <v>0</v>
      </c>
      <c r="P226" s="133"/>
      <c r="Q226" s="2" t="s">
        <v>846</v>
      </c>
      <c r="R226" s="156">
        <f t="shared" si="32"/>
        <v>0</v>
      </c>
      <c r="S226" s="156">
        <f t="shared" si="33"/>
        <v>0</v>
      </c>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53">
        <v>0</v>
      </c>
      <c r="AT226" s="153">
        <v>0</v>
      </c>
      <c r="AU226" s="153">
        <v>0</v>
      </c>
      <c r="AV226" s="135">
        <v>0</v>
      </c>
      <c r="AW226" s="135">
        <v>0</v>
      </c>
      <c r="AX226" s="135">
        <f>(H226/1.18-AT226-AW226)*0.1</f>
        <v>4190.7322033898308</v>
      </c>
      <c r="AY226" s="135"/>
      <c r="AZ226" s="135"/>
      <c r="BA226" s="135"/>
      <c r="BB226" s="135"/>
      <c r="BC226" s="135"/>
      <c r="BD226" s="135"/>
      <c r="BE226" s="135"/>
      <c r="BF226" s="135"/>
      <c r="BG226" s="135"/>
      <c r="BH226" s="135"/>
      <c r="BI226" s="2" t="s">
        <v>11</v>
      </c>
      <c r="BJ226" s="136">
        <v>45230</v>
      </c>
      <c r="BK226" s="2" t="s">
        <v>109</v>
      </c>
      <c r="BL226" s="136" t="s">
        <v>113</v>
      </c>
      <c r="BM226" s="136">
        <v>44936</v>
      </c>
      <c r="BN226" s="2" t="s">
        <v>809</v>
      </c>
      <c r="BO226" s="2"/>
      <c r="BP226" s="136"/>
      <c r="BQ226" s="137" t="s">
        <v>119</v>
      </c>
      <c r="BR226" s="138"/>
    </row>
    <row r="227" spans="1:70" ht="12.75" customHeight="1" x14ac:dyDescent="0.2">
      <c r="A227" s="2">
        <v>1716</v>
      </c>
      <c r="B227" s="2" t="s">
        <v>28</v>
      </c>
      <c r="C227" s="2" t="s">
        <v>30</v>
      </c>
      <c r="D227" s="2" t="s">
        <v>888</v>
      </c>
      <c r="E227" s="2" t="s">
        <v>117</v>
      </c>
      <c r="F227" s="132">
        <f>116*1.75</f>
        <v>203</v>
      </c>
      <c r="G227" s="132"/>
      <c r="H227" s="132">
        <f>116*1.75</f>
        <v>203</v>
      </c>
      <c r="I227" s="132"/>
      <c r="J227" s="132">
        <f>203</f>
        <v>203</v>
      </c>
      <c r="K227" s="132">
        <f t="shared" si="30"/>
        <v>0</v>
      </c>
      <c r="L227" s="132">
        <f t="shared" si="31"/>
        <v>0</v>
      </c>
      <c r="M227" s="133"/>
      <c r="N227" s="133">
        <f t="shared" si="29"/>
        <v>0</v>
      </c>
      <c r="O227" s="134">
        <v>0</v>
      </c>
      <c r="P227" s="133"/>
      <c r="Q227" s="2" t="s">
        <v>847</v>
      </c>
      <c r="R227" s="156">
        <f t="shared" si="32"/>
        <v>0</v>
      </c>
      <c r="S227" s="156">
        <f t="shared" si="33"/>
        <v>0</v>
      </c>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53">
        <v>0</v>
      </c>
      <c r="AT227" s="153">
        <v>0</v>
      </c>
      <c r="AU227" s="153">
        <v>0</v>
      </c>
      <c r="AV227" s="135"/>
      <c r="AW227" s="135"/>
      <c r="AX227" s="135"/>
      <c r="AY227" s="135"/>
      <c r="AZ227" s="135"/>
      <c r="BA227" s="135"/>
      <c r="BB227" s="135"/>
      <c r="BC227" s="135"/>
      <c r="BD227" s="135"/>
      <c r="BE227" s="135"/>
      <c r="BF227" s="135"/>
      <c r="BG227" s="135"/>
      <c r="BH227" s="135"/>
      <c r="BI227" s="2" t="s">
        <v>112</v>
      </c>
      <c r="BJ227" s="136">
        <v>45091</v>
      </c>
      <c r="BK227" s="2" t="s">
        <v>145</v>
      </c>
      <c r="BL227" s="136" t="s">
        <v>113</v>
      </c>
      <c r="BM227" s="136">
        <v>44936</v>
      </c>
      <c r="BN227" s="2" t="s">
        <v>810</v>
      </c>
      <c r="BO227" s="2"/>
      <c r="BP227" s="136"/>
      <c r="BQ227" s="137" t="s">
        <v>134</v>
      </c>
      <c r="BR227" s="138"/>
    </row>
    <row r="228" spans="1:70" ht="12.75" customHeight="1" x14ac:dyDescent="0.2">
      <c r="A228" s="2">
        <v>1717</v>
      </c>
      <c r="B228" s="2" t="s">
        <v>28</v>
      </c>
      <c r="C228" s="2" t="s">
        <v>30</v>
      </c>
      <c r="D228" s="2" t="s">
        <v>889</v>
      </c>
      <c r="E228" s="2" t="s">
        <v>87</v>
      </c>
      <c r="F228" s="132">
        <v>4000</v>
      </c>
      <c r="G228" s="132">
        <v>2</v>
      </c>
      <c r="H228" s="132">
        <v>9013.67</v>
      </c>
      <c r="I228" s="132">
        <v>9013.67</v>
      </c>
      <c r="J228" s="132">
        <f>1374.966+AS228+AV228+7638.704</f>
        <v>9013.67</v>
      </c>
      <c r="K228" s="132">
        <f t="shared" si="30"/>
        <v>-5013.67</v>
      </c>
      <c r="L228" s="132">
        <f t="shared" si="31"/>
        <v>0</v>
      </c>
      <c r="M228" s="133">
        <v>107</v>
      </c>
      <c r="N228" s="133">
        <f t="shared" si="29"/>
        <v>0</v>
      </c>
      <c r="O228" s="134">
        <v>0</v>
      </c>
      <c r="P228" s="133"/>
      <c r="Q228" s="2" t="s">
        <v>847</v>
      </c>
      <c r="R228" s="156">
        <f t="shared" si="32"/>
        <v>0</v>
      </c>
      <c r="S228" s="156">
        <f t="shared" si="33"/>
        <v>0</v>
      </c>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53">
        <v>0</v>
      </c>
      <c r="AT228" s="153">
        <v>0</v>
      </c>
      <c r="AU228" s="153">
        <v>0</v>
      </c>
      <c r="AV228" s="135">
        <v>0</v>
      </c>
      <c r="AW228" s="135">
        <v>0</v>
      </c>
      <c r="AX228" s="135"/>
      <c r="AY228" s="135"/>
      <c r="AZ228" s="135"/>
      <c r="BA228" s="135">
        <f>IF(BK228="Принят",(H228/1.18-AW228-AZ228)*0.1,H228/1.18*0.8*0.1)</f>
        <v>763.87033898305094</v>
      </c>
      <c r="BB228" s="135">
        <f>(H228/1.18-AT228-AW228-AZ228)*0.1-AU228-AX228-BA228</f>
        <v>0</v>
      </c>
      <c r="BC228" s="135"/>
      <c r="BD228" s="135"/>
      <c r="BE228" s="135">
        <f>(H228/1.18-AT228-AW228-AZ228-BD228)*0.1-AU228-AX228-BA228-BB228</f>
        <v>0</v>
      </c>
      <c r="BF228" s="135"/>
      <c r="BG228" s="135"/>
      <c r="BH228" s="135"/>
      <c r="BI228" s="2" t="s">
        <v>11</v>
      </c>
      <c r="BJ228" s="136">
        <v>45322</v>
      </c>
      <c r="BK228" s="2" t="s">
        <v>109</v>
      </c>
      <c r="BL228" s="136" t="s">
        <v>113</v>
      </c>
      <c r="BM228" s="136">
        <v>44936</v>
      </c>
      <c r="BN228" s="2" t="s">
        <v>811</v>
      </c>
      <c r="BO228" s="2"/>
      <c r="BP228" s="136"/>
      <c r="BQ228" s="137" t="s">
        <v>119</v>
      </c>
      <c r="BR228" s="138"/>
    </row>
    <row r="229" spans="1:70" ht="12.75" customHeight="1" x14ac:dyDescent="0.2">
      <c r="A229" s="2">
        <v>1718</v>
      </c>
      <c r="B229" s="2" t="s">
        <v>28</v>
      </c>
      <c r="C229" s="2" t="s">
        <v>30</v>
      </c>
      <c r="D229" s="2" t="s">
        <v>890</v>
      </c>
      <c r="E229" s="2" t="s">
        <v>117</v>
      </c>
      <c r="F229" s="132">
        <f>209*1.75</f>
        <v>365.75</v>
      </c>
      <c r="G229" s="132"/>
      <c r="H229" s="132">
        <f>209*1.75</f>
        <v>365.75</v>
      </c>
      <c r="I229" s="132"/>
      <c r="J229" s="132">
        <f>365.75</f>
        <v>365.75</v>
      </c>
      <c r="K229" s="132">
        <f t="shared" si="30"/>
        <v>0</v>
      </c>
      <c r="L229" s="132">
        <f t="shared" si="31"/>
        <v>0</v>
      </c>
      <c r="M229" s="133"/>
      <c r="N229" s="133">
        <f t="shared" si="29"/>
        <v>0</v>
      </c>
      <c r="O229" s="134">
        <v>0</v>
      </c>
      <c r="P229" s="133"/>
      <c r="Q229" s="2" t="s">
        <v>848</v>
      </c>
      <c r="R229" s="156">
        <f t="shared" si="32"/>
        <v>0</v>
      </c>
      <c r="S229" s="156">
        <f t="shared" si="33"/>
        <v>0</v>
      </c>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53">
        <v>0</v>
      </c>
      <c r="AT229" s="153">
        <v>0</v>
      </c>
      <c r="AU229" s="153">
        <v>0</v>
      </c>
      <c r="AV229" s="135"/>
      <c r="AW229" s="135"/>
      <c r="AX229" s="135"/>
      <c r="AY229" s="135"/>
      <c r="AZ229" s="135"/>
      <c r="BA229" s="135"/>
      <c r="BB229" s="135"/>
      <c r="BC229" s="135"/>
      <c r="BD229" s="135"/>
      <c r="BE229" s="135"/>
      <c r="BF229" s="135"/>
      <c r="BG229" s="135"/>
      <c r="BH229" s="135"/>
      <c r="BI229" s="2" t="s">
        <v>112</v>
      </c>
      <c r="BJ229" s="136">
        <v>45091</v>
      </c>
      <c r="BK229" s="2" t="s">
        <v>145</v>
      </c>
      <c r="BL229" s="136" t="s">
        <v>113</v>
      </c>
      <c r="BM229" s="136">
        <v>44936</v>
      </c>
      <c r="BN229" s="2" t="s">
        <v>812</v>
      </c>
      <c r="BO229" s="2"/>
      <c r="BP229" s="136"/>
      <c r="BQ229" s="137" t="s">
        <v>134</v>
      </c>
      <c r="BR229" s="138"/>
    </row>
    <row r="230" spans="1:70" ht="12.75" customHeight="1" x14ac:dyDescent="0.2">
      <c r="A230" s="2">
        <v>1719</v>
      </c>
      <c r="B230" s="2" t="s">
        <v>28</v>
      </c>
      <c r="C230" s="2" t="s">
        <v>30</v>
      </c>
      <c r="D230" s="2" t="s">
        <v>891</v>
      </c>
      <c r="E230" s="2" t="s">
        <v>87</v>
      </c>
      <c r="F230" s="132">
        <v>39568.939999999995</v>
      </c>
      <c r="G230" s="132">
        <v>2</v>
      </c>
      <c r="H230" s="132">
        <v>33892.870000000003</v>
      </c>
      <c r="I230" s="132">
        <v>33892.870000000003</v>
      </c>
      <c r="J230" s="132">
        <f>5170.098+28722.772</f>
        <v>33892.870000000003</v>
      </c>
      <c r="K230" s="132">
        <f t="shared" ref="K230:K244" si="34">F230-J230</f>
        <v>5676.0699999999924</v>
      </c>
      <c r="L230" s="132">
        <f t="shared" si="31"/>
        <v>0</v>
      </c>
      <c r="M230" s="133">
        <v>223</v>
      </c>
      <c r="N230" s="133">
        <f t="shared" si="29"/>
        <v>0</v>
      </c>
      <c r="O230" s="134">
        <v>0</v>
      </c>
      <c r="P230" s="133"/>
      <c r="Q230" s="2" t="s">
        <v>848</v>
      </c>
      <c r="R230" s="156">
        <f t="shared" si="32"/>
        <v>0</v>
      </c>
      <c r="S230" s="156">
        <f t="shared" si="33"/>
        <v>0</v>
      </c>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53">
        <v>0</v>
      </c>
      <c r="AT230" s="153">
        <v>0</v>
      </c>
      <c r="AU230" s="153">
        <v>0</v>
      </c>
      <c r="AV230" s="135">
        <v>0</v>
      </c>
      <c r="AW230" s="135">
        <v>0</v>
      </c>
      <c r="AX230" s="135"/>
      <c r="AY230" s="135"/>
      <c r="AZ230" s="135"/>
      <c r="BA230" s="135">
        <f>IF(BK230="Принят",(H230/1.18-AW230-AZ230)*0.1,H230/1.18*0.8*0.1)</f>
        <v>2872.2771186440682</v>
      </c>
      <c r="BB230" s="135">
        <f>(H230/1.18-AT230-AW230-AZ230)*0.1-AU230-AX230-BA230</f>
        <v>0</v>
      </c>
      <c r="BC230" s="135"/>
      <c r="BD230" s="135"/>
      <c r="BE230" s="135">
        <f>(H230/1.18-AT230-AW230-AZ230-BD230)*0.1-AU230-AX230-BA230-BB230</f>
        <v>0</v>
      </c>
      <c r="BF230" s="135"/>
      <c r="BG230" s="135"/>
      <c r="BH230" s="135"/>
      <c r="BI230" s="2" t="s">
        <v>11</v>
      </c>
      <c r="BJ230" s="136">
        <v>45322</v>
      </c>
      <c r="BK230" s="2" t="s">
        <v>109</v>
      </c>
      <c r="BL230" s="136" t="s">
        <v>113</v>
      </c>
      <c r="BM230" s="136">
        <v>44936</v>
      </c>
      <c r="BN230" s="2" t="s">
        <v>813</v>
      </c>
      <c r="BO230" s="2"/>
      <c r="BP230" s="136"/>
      <c r="BQ230" s="137" t="s">
        <v>119</v>
      </c>
      <c r="BR230" s="138"/>
    </row>
    <row r="231" spans="1:70" ht="12.75" customHeight="1" x14ac:dyDescent="0.2">
      <c r="A231" s="2">
        <v>1720</v>
      </c>
      <c r="B231" s="2" t="s">
        <v>28</v>
      </c>
      <c r="C231" s="2" t="s">
        <v>30</v>
      </c>
      <c r="D231" s="2" t="s">
        <v>892</v>
      </c>
      <c r="E231" s="2" t="s">
        <v>117</v>
      </c>
      <c r="F231" s="132">
        <f>57*1.75</f>
        <v>99.75</v>
      </c>
      <c r="G231" s="132"/>
      <c r="H231" s="132">
        <f>57*1.75</f>
        <v>99.75</v>
      </c>
      <c r="I231" s="132"/>
      <c r="J231" s="132">
        <v>99.75</v>
      </c>
      <c r="K231" s="132">
        <f t="shared" si="34"/>
        <v>0</v>
      </c>
      <c r="L231" s="132">
        <f t="shared" si="31"/>
        <v>0</v>
      </c>
      <c r="M231" s="133"/>
      <c r="N231" s="133">
        <f t="shared" si="29"/>
        <v>0</v>
      </c>
      <c r="O231" s="134">
        <v>0</v>
      </c>
      <c r="P231" s="133"/>
      <c r="Q231" s="2" t="s">
        <v>849</v>
      </c>
      <c r="R231" s="156">
        <f t="shared" si="32"/>
        <v>0</v>
      </c>
      <c r="S231" s="156">
        <f t="shared" si="33"/>
        <v>0</v>
      </c>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53">
        <v>0</v>
      </c>
      <c r="AT231" s="153">
        <v>0</v>
      </c>
      <c r="AU231" s="153">
        <v>0</v>
      </c>
      <c r="AV231" s="135"/>
      <c r="AW231" s="135"/>
      <c r="AX231" s="135"/>
      <c r="AY231" s="135"/>
      <c r="AZ231" s="135"/>
      <c r="BA231" s="135"/>
      <c r="BB231" s="135"/>
      <c r="BC231" s="135"/>
      <c r="BD231" s="135"/>
      <c r="BE231" s="135"/>
      <c r="BF231" s="135"/>
      <c r="BG231" s="135"/>
      <c r="BH231" s="135"/>
      <c r="BI231" s="2" t="s">
        <v>112</v>
      </c>
      <c r="BJ231" s="136">
        <v>45091</v>
      </c>
      <c r="BK231" s="2" t="s">
        <v>145</v>
      </c>
      <c r="BL231" s="136" t="s">
        <v>113</v>
      </c>
      <c r="BM231" s="136">
        <v>44936</v>
      </c>
      <c r="BN231" s="2" t="s">
        <v>814</v>
      </c>
      <c r="BO231" s="2"/>
      <c r="BP231" s="136"/>
      <c r="BQ231" s="137" t="s">
        <v>134</v>
      </c>
      <c r="BR231" s="138"/>
    </row>
    <row r="232" spans="1:70" ht="12.75" customHeight="1" x14ac:dyDescent="0.2">
      <c r="A232" s="2">
        <v>1721</v>
      </c>
      <c r="B232" s="2" t="s">
        <v>28</v>
      </c>
      <c r="C232" s="2" t="s">
        <v>30</v>
      </c>
      <c r="D232" s="2" t="s">
        <v>893</v>
      </c>
      <c r="E232" s="2" t="s">
        <v>87</v>
      </c>
      <c r="F232" s="132">
        <v>28000</v>
      </c>
      <c r="G232" s="132">
        <v>2</v>
      </c>
      <c r="H232" s="132">
        <v>12849.22</v>
      </c>
      <c r="I232" s="132">
        <v>12849.22</v>
      </c>
      <c r="J232" s="132">
        <f>1960.05+AS232+AV232+10889.17</f>
        <v>12849.22</v>
      </c>
      <c r="K232" s="132">
        <f t="shared" si="34"/>
        <v>15150.78</v>
      </c>
      <c r="L232" s="132">
        <f t="shared" si="31"/>
        <v>0</v>
      </c>
      <c r="M232" s="133">
        <v>46</v>
      </c>
      <c r="N232" s="133">
        <f t="shared" si="29"/>
        <v>0</v>
      </c>
      <c r="O232" s="134">
        <v>0</v>
      </c>
      <c r="P232" s="133"/>
      <c r="Q232" s="2" t="s">
        <v>849</v>
      </c>
      <c r="R232" s="156">
        <f t="shared" si="32"/>
        <v>0</v>
      </c>
      <c r="S232" s="156">
        <f t="shared" si="33"/>
        <v>0</v>
      </c>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53">
        <v>0</v>
      </c>
      <c r="AT232" s="153">
        <v>0</v>
      </c>
      <c r="AU232" s="153">
        <v>0</v>
      </c>
      <c r="AV232" s="135">
        <v>0</v>
      </c>
      <c r="AW232" s="135">
        <v>0</v>
      </c>
      <c r="AX232" s="135"/>
      <c r="AY232" s="135"/>
      <c r="AZ232" s="135"/>
      <c r="BA232" s="135">
        <f>IF(BK232="Принят",(H232/1.18-AW232-AZ232)*0.1,H232/1.18*0.8*0.1)</f>
        <v>1088.9169491525424</v>
      </c>
      <c r="BB232" s="135">
        <f>(H232/1.18-AT232-AW232-AZ232)*0.1-AU232-AX232-BA232</f>
        <v>0</v>
      </c>
      <c r="BC232" s="135"/>
      <c r="BD232" s="135"/>
      <c r="BE232" s="135">
        <f>(H232/1.18-AT232-AW232-AZ232-BD232)*0.1-AU232-AX232-BA232-BB232</f>
        <v>0</v>
      </c>
      <c r="BF232" s="135"/>
      <c r="BG232" s="135"/>
      <c r="BH232" s="135"/>
      <c r="BI232" s="2" t="s">
        <v>11</v>
      </c>
      <c r="BJ232" s="136">
        <v>45322</v>
      </c>
      <c r="BK232" s="2" t="s">
        <v>109</v>
      </c>
      <c r="BL232" s="136" t="s">
        <v>113</v>
      </c>
      <c r="BM232" s="136">
        <v>44936</v>
      </c>
      <c r="BN232" s="2" t="s">
        <v>815</v>
      </c>
      <c r="BO232" s="2"/>
      <c r="BP232" s="136"/>
      <c r="BQ232" s="137" t="s">
        <v>119</v>
      </c>
      <c r="BR232" s="138"/>
    </row>
    <row r="233" spans="1:70" ht="12.75" customHeight="1" x14ac:dyDescent="0.2">
      <c r="A233" s="2">
        <v>1722</v>
      </c>
      <c r="B233" s="2" t="s">
        <v>28</v>
      </c>
      <c r="C233" s="2" t="s">
        <v>30</v>
      </c>
      <c r="D233" s="2" t="s">
        <v>894</v>
      </c>
      <c r="E233" s="2" t="s">
        <v>117</v>
      </c>
      <c r="F233" s="132">
        <f>183*1.75</f>
        <v>320.25</v>
      </c>
      <c r="G233" s="132"/>
      <c r="H233" s="132">
        <f>183*1.75</f>
        <v>320.25</v>
      </c>
      <c r="I233" s="132"/>
      <c r="J233" s="132">
        <v>320.25</v>
      </c>
      <c r="K233" s="132">
        <f t="shared" si="34"/>
        <v>0</v>
      </c>
      <c r="L233" s="132">
        <f t="shared" si="31"/>
        <v>0</v>
      </c>
      <c r="M233" s="133"/>
      <c r="N233" s="133">
        <f t="shared" si="29"/>
        <v>0</v>
      </c>
      <c r="O233" s="134">
        <v>0</v>
      </c>
      <c r="P233" s="133"/>
      <c r="Q233" s="2" t="s">
        <v>850</v>
      </c>
      <c r="R233" s="156">
        <f t="shared" si="32"/>
        <v>0</v>
      </c>
      <c r="S233" s="156">
        <f t="shared" si="33"/>
        <v>0</v>
      </c>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53">
        <v>0</v>
      </c>
      <c r="AT233" s="153">
        <v>0</v>
      </c>
      <c r="AU233" s="153">
        <v>0</v>
      </c>
      <c r="AV233" s="135"/>
      <c r="AW233" s="135"/>
      <c r="AX233" s="135"/>
      <c r="AY233" s="135"/>
      <c r="AZ233" s="135"/>
      <c r="BA233" s="135"/>
      <c r="BB233" s="135"/>
      <c r="BC233" s="135"/>
      <c r="BD233" s="135"/>
      <c r="BE233" s="135"/>
      <c r="BF233" s="135"/>
      <c r="BG233" s="135"/>
      <c r="BH233" s="135"/>
      <c r="BI233" s="2" t="s">
        <v>112</v>
      </c>
      <c r="BJ233" s="136">
        <v>45091</v>
      </c>
      <c r="BK233" s="2" t="s">
        <v>145</v>
      </c>
      <c r="BL233" s="136" t="s">
        <v>113</v>
      </c>
      <c r="BM233" s="136">
        <v>44936</v>
      </c>
      <c r="BN233" s="2" t="s">
        <v>816</v>
      </c>
      <c r="BO233" s="2"/>
      <c r="BP233" s="136"/>
      <c r="BQ233" s="137" t="s">
        <v>134</v>
      </c>
      <c r="BR233" s="138"/>
    </row>
    <row r="234" spans="1:70" ht="12.75" customHeight="1" x14ac:dyDescent="0.2">
      <c r="A234" s="2">
        <v>1723</v>
      </c>
      <c r="B234" s="2" t="s">
        <v>28</v>
      </c>
      <c r="C234" s="2" t="s">
        <v>30</v>
      </c>
      <c r="D234" s="2" t="s">
        <v>895</v>
      </c>
      <c r="E234" s="2" t="s">
        <v>87</v>
      </c>
      <c r="F234" s="132">
        <v>25000</v>
      </c>
      <c r="G234" s="132"/>
      <c r="H234" s="132">
        <v>11942.65</v>
      </c>
      <c r="I234" s="132"/>
      <c r="J234" s="132">
        <f>1821.76+10120.89</f>
        <v>11942.65</v>
      </c>
      <c r="K234" s="132">
        <f t="shared" si="34"/>
        <v>13057.35</v>
      </c>
      <c r="L234" s="132">
        <f t="shared" si="31"/>
        <v>0</v>
      </c>
      <c r="M234" s="133">
        <v>159</v>
      </c>
      <c r="N234" s="133">
        <f t="shared" ref="N234:N297" si="35">IF(OR(BK234="принят",BK234="Завершено",BK234="ПриПро"),H234-J234,F234-J234)</f>
        <v>0</v>
      </c>
      <c r="O234" s="134">
        <v>0</v>
      </c>
      <c r="P234" s="133"/>
      <c r="Q234" s="2" t="s">
        <v>850</v>
      </c>
      <c r="R234" s="156">
        <f t="shared" si="32"/>
        <v>0</v>
      </c>
      <c r="S234" s="156">
        <f t="shared" si="33"/>
        <v>0</v>
      </c>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53">
        <v>0</v>
      </c>
      <c r="AT234" s="153">
        <v>0</v>
      </c>
      <c r="AU234" s="153">
        <v>0</v>
      </c>
      <c r="AV234" s="135">
        <v>0</v>
      </c>
      <c r="AW234" s="135">
        <v>0</v>
      </c>
      <c r="AX234" s="135">
        <f>(H234/1.18-AT234-AW234)*0.1</f>
        <v>1012.0889830508476</v>
      </c>
      <c r="AY234" s="135"/>
      <c r="AZ234" s="135"/>
      <c r="BA234" s="135"/>
      <c r="BB234" s="135"/>
      <c r="BC234" s="135"/>
      <c r="BD234" s="135"/>
      <c r="BE234" s="135"/>
      <c r="BF234" s="135"/>
      <c r="BG234" s="135"/>
      <c r="BH234" s="135"/>
      <c r="BI234" s="2" t="s">
        <v>11</v>
      </c>
      <c r="BJ234" s="136">
        <v>45260</v>
      </c>
      <c r="BK234" s="2" t="s">
        <v>8</v>
      </c>
      <c r="BL234" s="136" t="s">
        <v>113</v>
      </c>
      <c r="BM234" s="136">
        <v>44936</v>
      </c>
      <c r="BN234" s="2" t="s">
        <v>817</v>
      </c>
      <c r="BO234" s="2"/>
      <c r="BP234" s="136"/>
      <c r="BQ234" s="137" t="s">
        <v>119</v>
      </c>
      <c r="BR234" s="138"/>
    </row>
    <row r="235" spans="1:70" ht="12.75" customHeight="1" x14ac:dyDescent="0.2">
      <c r="A235" s="2">
        <v>1724</v>
      </c>
      <c r="B235" s="2" t="s">
        <v>28</v>
      </c>
      <c r="C235" s="2" t="s">
        <v>30</v>
      </c>
      <c r="D235" s="2" t="s">
        <v>896</v>
      </c>
      <c r="E235" s="2" t="s">
        <v>117</v>
      </c>
      <c r="F235" s="132">
        <f>398*1.75</f>
        <v>696.5</v>
      </c>
      <c r="G235" s="132"/>
      <c r="H235" s="132">
        <f>398*1.75</f>
        <v>696.5</v>
      </c>
      <c r="I235" s="132"/>
      <c r="J235" s="132">
        <f>696.5</f>
        <v>696.5</v>
      </c>
      <c r="K235" s="132">
        <f t="shared" si="34"/>
        <v>0</v>
      </c>
      <c r="L235" s="132">
        <f t="shared" si="31"/>
        <v>0</v>
      </c>
      <c r="M235" s="133"/>
      <c r="N235" s="133">
        <f t="shared" si="35"/>
        <v>0</v>
      </c>
      <c r="O235" s="134">
        <v>0</v>
      </c>
      <c r="P235" s="133"/>
      <c r="Q235" s="2" t="s">
        <v>851</v>
      </c>
      <c r="R235" s="156">
        <f t="shared" si="32"/>
        <v>0</v>
      </c>
      <c r="S235" s="156">
        <f t="shared" si="33"/>
        <v>0</v>
      </c>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53">
        <v>0</v>
      </c>
      <c r="AT235" s="153">
        <v>0</v>
      </c>
      <c r="AU235" s="153">
        <v>0</v>
      </c>
      <c r="AV235" s="135"/>
      <c r="AW235" s="135"/>
      <c r="AX235" s="135"/>
      <c r="AY235" s="135"/>
      <c r="AZ235" s="135"/>
      <c r="BA235" s="135"/>
      <c r="BB235" s="135"/>
      <c r="BC235" s="135"/>
      <c r="BD235" s="135"/>
      <c r="BE235" s="135"/>
      <c r="BF235" s="135"/>
      <c r="BG235" s="135"/>
      <c r="BH235" s="135"/>
      <c r="BI235" s="2" t="s">
        <v>112</v>
      </c>
      <c r="BJ235" s="136">
        <v>45091</v>
      </c>
      <c r="BK235" s="2" t="s">
        <v>145</v>
      </c>
      <c r="BL235" s="136" t="s">
        <v>113</v>
      </c>
      <c r="BM235" s="136">
        <v>44936</v>
      </c>
      <c r="BN235" s="2" t="s">
        <v>818</v>
      </c>
      <c r="BO235" s="2"/>
      <c r="BP235" s="136"/>
      <c r="BQ235" s="137" t="s">
        <v>134</v>
      </c>
      <c r="BR235" s="138"/>
    </row>
    <row r="236" spans="1:70" ht="12.75" customHeight="1" x14ac:dyDescent="0.2">
      <c r="A236" s="2">
        <v>1725</v>
      </c>
      <c r="B236" s="2" t="s">
        <v>28</v>
      </c>
      <c r="C236" s="2" t="s">
        <v>30</v>
      </c>
      <c r="D236" s="2" t="s">
        <v>897</v>
      </c>
      <c r="E236" s="2" t="s">
        <v>87</v>
      </c>
      <c r="F236" s="132">
        <v>27000</v>
      </c>
      <c r="G236" s="132"/>
      <c r="H236" s="132">
        <v>45483.5</v>
      </c>
      <c r="I236" s="132"/>
      <c r="J236" s="132">
        <f>6938.16+38545.34</f>
        <v>45483.5</v>
      </c>
      <c r="K236" s="132">
        <f t="shared" si="34"/>
        <v>-18483.5</v>
      </c>
      <c r="L236" s="132">
        <f t="shared" si="31"/>
        <v>0</v>
      </c>
      <c r="M236" s="133">
        <v>417</v>
      </c>
      <c r="N236" s="133">
        <f t="shared" si="35"/>
        <v>0</v>
      </c>
      <c r="O236" s="134">
        <v>0</v>
      </c>
      <c r="P236" s="133"/>
      <c r="Q236" s="2" t="s">
        <v>851</v>
      </c>
      <c r="R236" s="156">
        <f t="shared" si="32"/>
        <v>0</v>
      </c>
      <c r="S236" s="156">
        <f t="shared" si="33"/>
        <v>0</v>
      </c>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53">
        <v>0</v>
      </c>
      <c r="AT236" s="153">
        <v>0</v>
      </c>
      <c r="AU236" s="153">
        <v>0</v>
      </c>
      <c r="AV236" s="135">
        <v>0</v>
      </c>
      <c r="AW236" s="135">
        <v>0</v>
      </c>
      <c r="AX236" s="135">
        <f>(H236/1.18-AT236-AW236)*0.1</f>
        <v>3854.5338983050847</v>
      </c>
      <c r="AY236" s="135"/>
      <c r="AZ236" s="135"/>
      <c r="BA236" s="135"/>
      <c r="BB236" s="135"/>
      <c r="BC236" s="135"/>
      <c r="BD236" s="135"/>
      <c r="BE236" s="135"/>
      <c r="BF236" s="135"/>
      <c r="BG236" s="135"/>
      <c r="BH236" s="135"/>
      <c r="BI236" s="2" t="s">
        <v>11</v>
      </c>
      <c r="BJ236" s="136">
        <v>45260</v>
      </c>
      <c r="BK236" s="2" t="s">
        <v>8</v>
      </c>
      <c r="BL236" s="136" t="s">
        <v>113</v>
      </c>
      <c r="BM236" s="136">
        <v>44936</v>
      </c>
      <c r="BN236" s="2" t="s">
        <v>819</v>
      </c>
      <c r="BO236" s="2"/>
      <c r="BP236" s="136"/>
      <c r="BQ236" s="137" t="s">
        <v>119</v>
      </c>
      <c r="BR236" s="138"/>
    </row>
    <row r="237" spans="1:70" ht="12.75" customHeight="1" x14ac:dyDescent="0.2">
      <c r="A237" s="2">
        <v>1726</v>
      </c>
      <c r="B237" s="2" t="s">
        <v>44</v>
      </c>
      <c r="C237" s="2" t="s">
        <v>47</v>
      </c>
      <c r="D237" s="2" t="s">
        <v>898</v>
      </c>
      <c r="E237" s="2" t="s">
        <v>117</v>
      </c>
      <c r="F237" s="132">
        <f>582.8*1.75</f>
        <v>1019.8999999999999</v>
      </c>
      <c r="G237" s="132">
        <v>2</v>
      </c>
      <c r="H237" s="132">
        <f>582.8*1.75</f>
        <v>1019.8999999999999</v>
      </c>
      <c r="I237" s="132">
        <v>0</v>
      </c>
      <c r="J237" s="132">
        <f>155.58+864.32</f>
        <v>1019.9000000000001</v>
      </c>
      <c r="K237" s="132">
        <f t="shared" si="34"/>
        <v>0</v>
      </c>
      <c r="L237" s="132">
        <f t="shared" si="31"/>
        <v>0</v>
      </c>
      <c r="M237" s="133"/>
      <c r="N237" s="133">
        <f t="shared" si="35"/>
        <v>-2.2737367544323206E-13</v>
      </c>
      <c r="O237" s="134">
        <v>0</v>
      </c>
      <c r="P237" s="133"/>
      <c r="Q237" s="2" t="s">
        <v>852</v>
      </c>
      <c r="R237" s="156">
        <f t="shared" si="32"/>
        <v>0</v>
      </c>
      <c r="S237" s="156">
        <f t="shared" si="33"/>
        <v>0</v>
      </c>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53">
        <v>0</v>
      </c>
      <c r="AT237" s="153">
        <v>0</v>
      </c>
      <c r="AU237" s="153">
        <v>0</v>
      </c>
      <c r="AV237" s="135"/>
      <c r="AW237" s="135"/>
      <c r="AX237" s="135"/>
      <c r="AY237" s="135"/>
      <c r="AZ237" s="135"/>
      <c r="BA237" s="135"/>
      <c r="BB237" s="135"/>
      <c r="BC237" s="135"/>
      <c r="BD237" s="135"/>
      <c r="BE237" s="135"/>
      <c r="BF237" s="135"/>
      <c r="BG237" s="135"/>
      <c r="BH237" s="135"/>
      <c r="BI237" s="2" t="s">
        <v>112</v>
      </c>
      <c r="BJ237" s="136">
        <v>45414</v>
      </c>
      <c r="BK237" s="2" t="s">
        <v>145</v>
      </c>
      <c r="BL237" s="136" t="s">
        <v>113</v>
      </c>
      <c r="BM237" s="136">
        <v>44936</v>
      </c>
      <c r="BN237" s="2" t="s">
        <v>820</v>
      </c>
      <c r="BO237" s="2"/>
      <c r="BP237" s="136"/>
      <c r="BQ237" s="137"/>
      <c r="BR237" s="138"/>
    </row>
    <row r="238" spans="1:70" ht="12.75" customHeight="1" x14ac:dyDescent="0.2">
      <c r="A238" s="2">
        <v>1727</v>
      </c>
      <c r="B238" s="2" t="s">
        <v>44</v>
      </c>
      <c r="C238" s="2" t="s">
        <v>47</v>
      </c>
      <c r="D238" s="2" t="s">
        <v>899</v>
      </c>
      <c r="E238" s="2" t="s">
        <v>87</v>
      </c>
      <c r="F238" s="132">
        <v>35000</v>
      </c>
      <c r="G238" s="132">
        <v>2</v>
      </c>
      <c r="H238" s="132">
        <f>23866.77</f>
        <v>23866.77</v>
      </c>
      <c r="I238" s="132">
        <f>23866.77</f>
        <v>23866.77</v>
      </c>
      <c r="J238" s="132">
        <v>23866.77</v>
      </c>
      <c r="K238" s="132">
        <f t="shared" si="34"/>
        <v>11133.23</v>
      </c>
      <c r="L238" s="132">
        <f t="shared" si="31"/>
        <v>0</v>
      </c>
      <c r="M238" s="133">
        <v>582.79999999999995</v>
      </c>
      <c r="N238" s="133">
        <f t="shared" si="35"/>
        <v>0</v>
      </c>
      <c r="O238" s="134">
        <v>0</v>
      </c>
      <c r="P238" s="133"/>
      <c r="Q238" s="2" t="s">
        <v>852</v>
      </c>
      <c r="R238" s="156">
        <f t="shared" si="32"/>
        <v>0</v>
      </c>
      <c r="S238" s="156">
        <f t="shared" si="33"/>
        <v>0</v>
      </c>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53">
        <v>0</v>
      </c>
      <c r="AT238" s="153">
        <v>0</v>
      </c>
      <c r="AU238" s="153">
        <v>0</v>
      </c>
      <c r="AV238" s="135">
        <v>0</v>
      </c>
      <c r="AW238" s="135">
        <v>0</v>
      </c>
      <c r="AX238" s="135">
        <v>0</v>
      </c>
      <c r="AY238" s="135">
        <v>0</v>
      </c>
      <c r="AZ238" s="135">
        <v>0</v>
      </c>
      <c r="BA238" s="135">
        <v>0</v>
      </c>
      <c r="BB238" s="140">
        <f>(H238/1.18-AT238-AW238-AZ238)*0.1-AU238-AX238-BA238</f>
        <v>2022.6076271186441</v>
      </c>
      <c r="BC238" s="135"/>
      <c r="BD238" s="135"/>
      <c r="BE238" s="135">
        <f>(H238/1.18-AT238-AW238-AZ238-BD238)*0.1-AU238-AX238-BA238-BB238</f>
        <v>0</v>
      </c>
      <c r="BF238" s="135"/>
      <c r="BG238" s="135"/>
      <c r="BH238" s="135"/>
      <c r="BI238" s="2" t="s">
        <v>11</v>
      </c>
      <c r="BJ238" s="136">
        <v>45488</v>
      </c>
      <c r="BK238" s="2" t="s">
        <v>8</v>
      </c>
      <c r="BL238" s="136" t="s">
        <v>113</v>
      </c>
      <c r="BM238" s="136">
        <v>44936</v>
      </c>
      <c r="BN238" s="2" t="s">
        <v>821</v>
      </c>
      <c r="BO238" s="2"/>
      <c r="BP238" s="136"/>
      <c r="BQ238" s="137" t="s">
        <v>119</v>
      </c>
      <c r="BR238" s="138"/>
    </row>
    <row r="239" spans="1:70" ht="12.75" customHeight="1" x14ac:dyDescent="0.2">
      <c r="A239" s="2">
        <v>1728</v>
      </c>
      <c r="B239" s="2" t="s">
        <v>28</v>
      </c>
      <c r="C239" s="2" t="s">
        <v>29</v>
      </c>
      <c r="D239" s="2" t="s">
        <v>900</v>
      </c>
      <c r="E239" s="2" t="s">
        <v>117</v>
      </c>
      <c r="F239" s="150">
        <f>373*1.75</f>
        <v>652.75</v>
      </c>
      <c r="G239" s="150"/>
      <c r="H239" s="150">
        <f>373*1.75</f>
        <v>652.75</v>
      </c>
      <c r="I239" s="150"/>
      <c r="J239" s="132">
        <f>652.75</f>
        <v>652.75</v>
      </c>
      <c r="K239" s="132">
        <f t="shared" si="34"/>
        <v>0</v>
      </c>
      <c r="L239" s="132">
        <f t="shared" si="31"/>
        <v>0</v>
      </c>
      <c r="M239" s="133"/>
      <c r="N239" s="133">
        <f t="shared" si="35"/>
        <v>0</v>
      </c>
      <c r="O239" s="134">
        <v>0</v>
      </c>
      <c r="P239" s="133"/>
      <c r="Q239" s="2" t="s">
        <v>853</v>
      </c>
      <c r="R239" s="156">
        <f t="shared" si="32"/>
        <v>0</v>
      </c>
      <c r="S239" s="156">
        <f t="shared" si="33"/>
        <v>0</v>
      </c>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53">
        <v>0</v>
      </c>
      <c r="AT239" s="153">
        <v>0</v>
      </c>
      <c r="AU239" s="153">
        <v>0</v>
      </c>
      <c r="AV239" s="135"/>
      <c r="AW239" s="135"/>
      <c r="AX239" s="135"/>
      <c r="AY239" s="135"/>
      <c r="AZ239" s="135"/>
      <c r="BA239" s="135"/>
      <c r="BB239" s="135"/>
      <c r="BC239" s="135"/>
      <c r="BD239" s="135"/>
      <c r="BE239" s="135"/>
      <c r="BF239" s="135"/>
      <c r="BG239" s="135"/>
      <c r="BH239" s="135"/>
      <c r="BI239" s="2" t="s">
        <v>112</v>
      </c>
      <c r="BJ239" s="136">
        <v>45185</v>
      </c>
      <c r="BK239" s="2" t="s">
        <v>145</v>
      </c>
      <c r="BL239" s="136" t="s">
        <v>113</v>
      </c>
      <c r="BM239" s="136">
        <v>44936</v>
      </c>
      <c r="BN239" s="2" t="s">
        <v>822</v>
      </c>
      <c r="BO239" s="2"/>
      <c r="BP239" s="136"/>
      <c r="BQ239" s="137" t="s">
        <v>134</v>
      </c>
      <c r="BR239" s="138"/>
    </row>
    <row r="240" spans="1:70" ht="12.75" customHeight="1" x14ac:dyDescent="0.2">
      <c r="A240" s="2">
        <v>1729</v>
      </c>
      <c r="B240" s="2" t="s">
        <v>28</v>
      </c>
      <c r="C240" s="2" t="s">
        <v>29</v>
      </c>
      <c r="D240" s="2" t="s">
        <v>901</v>
      </c>
      <c r="E240" s="2" t="s">
        <v>87</v>
      </c>
      <c r="F240" s="132">
        <v>12000</v>
      </c>
      <c r="G240" s="132"/>
      <c r="H240" s="132">
        <f>22266.13</f>
        <v>22266.13</v>
      </c>
      <c r="I240" s="132"/>
      <c r="J240" s="132">
        <f>AS240+AV240+3396.528+18869.602</f>
        <v>22266.129999999997</v>
      </c>
      <c r="K240" s="132">
        <f t="shared" si="34"/>
        <v>-10266.129999999997</v>
      </c>
      <c r="L240" s="132">
        <f t="shared" si="31"/>
        <v>0</v>
      </c>
      <c r="M240" s="133">
        <v>390</v>
      </c>
      <c r="N240" s="133">
        <f t="shared" si="35"/>
        <v>3.637978807091713E-12</v>
      </c>
      <c r="O240" s="134">
        <v>0</v>
      </c>
      <c r="P240" s="133"/>
      <c r="Q240" s="2" t="s">
        <v>853</v>
      </c>
      <c r="R240" s="156">
        <f t="shared" si="32"/>
        <v>0</v>
      </c>
      <c r="S240" s="156">
        <f t="shared" si="33"/>
        <v>0</v>
      </c>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53">
        <v>0</v>
      </c>
      <c r="AT240" s="153">
        <v>0</v>
      </c>
      <c r="AU240" s="153">
        <v>0</v>
      </c>
      <c r="AV240" s="135">
        <v>0</v>
      </c>
      <c r="AW240" s="135">
        <v>0</v>
      </c>
      <c r="AX240" s="135">
        <f>(H240/1.18-AT240-AW240)*0.1</f>
        <v>1886.9601694915254</v>
      </c>
      <c r="AY240" s="135"/>
      <c r="AZ240" s="135"/>
      <c r="BA240" s="135"/>
      <c r="BB240" s="135"/>
      <c r="BC240" s="135"/>
      <c r="BD240" s="135"/>
      <c r="BE240" s="135"/>
      <c r="BF240" s="135"/>
      <c r="BG240" s="135"/>
      <c r="BH240" s="135"/>
      <c r="BI240" s="2" t="s">
        <v>11</v>
      </c>
      <c r="BJ240" s="136">
        <v>45230</v>
      </c>
      <c r="BK240" s="2" t="s">
        <v>109</v>
      </c>
      <c r="BL240" s="136" t="s">
        <v>113</v>
      </c>
      <c r="BM240" s="136">
        <v>44936</v>
      </c>
      <c r="BN240" s="2" t="s">
        <v>823</v>
      </c>
      <c r="BO240" s="2"/>
      <c r="BP240" s="136"/>
      <c r="BQ240" s="137" t="s">
        <v>119</v>
      </c>
      <c r="BR240" s="138"/>
    </row>
    <row r="241" spans="1:70" ht="12.75" customHeight="1" x14ac:dyDescent="0.2">
      <c r="A241" s="2">
        <v>1730</v>
      </c>
      <c r="B241" s="2" t="s">
        <v>28</v>
      </c>
      <c r="C241" s="2" t="s">
        <v>29</v>
      </c>
      <c r="D241" s="2" t="s">
        <v>902</v>
      </c>
      <c r="E241" s="2" t="s">
        <v>87</v>
      </c>
      <c r="F241" s="132">
        <v>31000</v>
      </c>
      <c r="G241" s="132"/>
      <c r="H241" s="132">
        <v>12462.8</v>
      </c>
      <c r="I241" s="132"/>
      <c r="J241" s="132">
        <f>1901.105+10561.695</f>
        <v>12462.8</v>
      </c>
      <c r="K241" s="132">
        <f t="shared" si="34"/>
        <v>18537.2</v>
      </c>
      <c r="L241" s="132">
        <f t="shared" si="31"/>
        <v>0</v>
      </c>
      <c r="M241" s="133">
        <v>157</v>
      </c>
      <c r="N241" s="133">
        <f t="shared" si="35"/>
        <v>0</v>
      </c>
      <c r="O241" s="134">
        <v>0</v>
      </c>
      <c r="P241" s="133"/>
      <c r="Q241" s="2" t="s">
        <v>854</v>
      </c>
      <c r="R241" s="156">
        <f t="shared" si="32"/>
        <v>0</v>
      </c>
      <c r="S241" s="156">
        <f t="shared" si="33"/>
        <v>0</v>
      </c>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53">
        <v>0</v>
      </c>
      <c r="AT241" s="153">
        <v>0</v>
      </c>
      <c r="AU241" s="153">
        <v>0</v>
      </c>
      <c r="AV241" s="135">
        <v>0</v>
      </c>
      <c r="AW241" s="135">
        <v>0</v>
      </c>
      <c r="AX241" s="135">
        <f>(H241/1.18-AT241-AW241)*0.1</f>
        <v>1056.1694915254236</v>
      </c>
      <c r="AY241" s="135"/>
      <c r="AZ241" s="135"/>
      <c r="BA241" s="135"/>
      <c r="BB241" s="135"/>
      <c r="BC241" s="135"/>
      <c r="BD241" s="135"/>
      <c r="BE241" s="135"/>
      <c r="BF241" s="135"/>
      <c r="BG241" s="135"/>
      <c r="BH241" s="135"/>
      <c r="BI241" s="2" t="s">
        <v>11</v>
      </c>
      <c r="BJ241" s="136">
        <v>45199</v>
      </c>
      <c r="BK241" s="2" t="s">
        <v>109</v>
      </c>
      <c r="BL241" s="136" t="s">
        <v>113</v>
      </c>
      <c r="BM241" s="136">
        <v>44936</v>
      </c>
      <c r="BN241" s="2" t="s">
        <v>824</v>
      </c>
      <c r="BO241" s="2"/>
      <c r="BP241" s="136"/>
      <c r="BQ241" s="137" t="s">
        <v>119</v>
      </c>
      <c r="BR241" s="138"/>
    </row>
    <row r="242" spans="1:70" ht="12.75" customHeight="1" x14ac:dyDescent="0.2">
      <c r="A242" s="2">
        <v>1731</v>
      </c>
      <c r="B242" s="2" t="s">
        <v>28</v>
      </c>
      <c r="C242" s="2" t="s">
        <v>57</v>
      </c>
      <c r="D242" s="2" t="s">
        <v>903</v>
      </c>
      <c r="E242" s="2" t="s">
        <v>87</v>
      </c>
      <c r="F242" s="132">
        <v>83000</v>
      </c>
      <c r="G242" s="132"/>
      <c r="H242" s="132">
        <v>77024.740000000005</v>
      </c>
      <c r="I242" s="132"/>
      <c r="J242" s="132">
        <f>11749.536+65275.204</f>
        <v>77024.739999999991</v>
      </c>
      <c r="K242" s="132">
        <f t="shared" si="34"/>
        <v>5975.2600000000093</v>
      </c>
      <c r="L242" s="132">
        <f t="shared" si="31"/>
        <v>0</v>
      </c>
      <c r="M242" s="133">
        <v>0</v>
      </c>
      <c r="N242" s="133">
        <f t="shared" si="35"/>
        <v>1.4551915228366852E-11</v>
      </c>
      <c r="O242" s="134">
        <v>0</v>
      </c>
      <c r="P242" s="133"/>
      <c r="Q242" s="2" t="s">
        <v>855</v>
      </c>
      <c r="R242" s="156">
        <f t="shared" si="32"/>
        <v>0</v>
      </c>
      <c r="S242" s="156">
        <f t="shared" si="33"/>
        <v>0</v>
      </c>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53">
        <v>0</v>
      </c>
      <c r="AT242" s="153">
        <v>0</v>
      </c>
      <c r="AU242" s="153">
        <v>0</v>
      </c>
      <c r="AV242" s="135">
        <v>0</v>
      </c>
      <c r="AW242" s="135">
        <v>0</v>
      </c>
      <c r="AX242" s="135">
        <f>(H242/1.18-AT242-AW242)*0.1</f>
        <v>6527.5203389830522</v>
      </c>
      <c r="AY242" s="135"/>
      <c r="AZ242" s="135"/>
      <c r="BA242" s="135"/>
      <c r="BB242" s="135"/>
      <c r="BC242" s="135"/>
      <c r="BD242" s="135"/>
      <c r="BE242" s="135"/>
      <c r="BF242" s="135"/>
      <c r="BG242" s="135"/>
      <c r="BH242" s="135"/>
      <c r="BI242" s="2" t="s">
        <v>11</v>
      </c>
      <c r="BJ242" s="136">
        <v>45199</v>
      </c>
      <c r="BK242" s="2" t="s">
        <v>109</v>
      </c>
      <c r="BL242" s="136" t="s">
        <v>113</v>
      </c>
      <c r="BM242" s="136">
        <v>44936</v>
      </c>
      <c r="BN242" s="2" t="s">
        <v>825</v>
      </c>
      <c r="BO242" s="2"/>
      <c r="BP242" s="136"/>
      <c r="BQ242" s="137" t="s">
        <v>119</v>
      </c>
      <c r="BR242" s="138"/>
    </row>
    <row r="243" spans="1:70" ht="12.75" customHeight="1" x14ac:dyDescent="0.2">
      <c r="A243" s="2">
        <v>1732</v>
      </c>
      <c r="B243" s="2" t="s">
        <v>28</v>
      </c>
      <c r="C243" s="2" t="s">
        <v>30</v>
      </c>
      <c r="D243" s="2" t="s">
        <v>904</v>
      </c>
      <c r="E243" s="2" t="s">
        <v>117</v>
      </c>
      <c r="F243" s="132">
        <f>93*1.75</f>
        <v>162.75</v>
      </c>
      <c r="G243" s="132"/>
      <c r="H243" s="132">
        <f>93*1.75</f>
        <v>162.75</v>
      </c>
      <c r="I243" s="132"/>
      <c r="J243" s="132">
        <v>162.75</v>
      </c>
      <c r="K243" s="132">
        <f t="shared" si="34"/>
        <v>0</v>
      </c>
      <c r="L243" s="132">
        <f t="shared" si="31"/>
        <v>0</v>
      </c>
      <c r="M243" s="133"/>
      <c r="N243" s="133">
        <f t="shared" si="35"/>
        <v>0</v>
      </c>
      <c r="O243" s="134">
        <v>0</v>
      </c>
      <c r="P243" s="133"/>
      <c r="Q243" s="2" t="s">
        <v>856</v>
      </c>
      <c r="R243" s="156">
        <f t="shared" si="32"/>
        <v>0</v>
      </c>
      <c r="S243" s="156">
        <f t="shared" si="33"/>
        <v>0</v>
      </c>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53">
        <v>0</v>
      </c>
      <c r="AT243" s="153">
        <v>0</v>
      </c>
      <c r="AU243" s="153">
        <v>0</v>
      </c>
      <c r="AV243" s="135"/>
      <c r="AW243" s="135"/>
      <c r="AX243" s="135"/>
      <c r="AY243" s="135"/>
      <c r="AZ243" s="135"/>
      <c r="BA243" s="135"/>
      <c r="BB243" s="135"/>
      <c r="BC243" s="135"/>
      <c r="BD243" s="135"/>
      <c r="BE243" s="135"/>
      <c r="BF243" s="135"/>
      <c r="BG243" s="135"/>
      <c r="BH243" s="135"/>
      <c r="BI243" s="2" t="s">
        <v>112</v>
      </c>
      <c r="BJ243" s="136">
        <v>45091</v>
      </c>
      <c r="BK243" s="2" t="s">
        <v>145</v>
      </c>
      <c r="BL243" s="136" t="s">
        <v>113</v>
      </c>
      <c r="BM243" s="136">
        <v>44936</v>
      </c>
      <c r="BN243" s="2" t="s">
        <v>826</v>
      </c>
      <c r="BO243" s="2"/>
      <c r="BP243" s="136"/>
      <c r="BQ243" s="137" t="s">
        <v>134</v>
      </c>
      <c r="BR243" s="138"/>
    </row>
    <row r="244" spans="1:70" ht="12.75" customHeight="1" x14ac:dyDescent="0.2">
      <c r="A244" s="2">
        <v>1733</v>
      </c>
      <c r="B244" s="2" t="s">
        <v>28</v>
      </c>
      <c r="C244" s="2" t="s">
        <v>30</v>
      </c>
      <c r="D244" s="2" t="s">
        <v>905</v>
      </c>
      <c r="E244" s="2" t="s">
        <v>87</v>
      </c>
      <c r="F244" s="132">
        <v>6000</v>
      </c>
      <c r="G244" s="132">
        <v>2</v>
      </c>
      <c r="H244" s="132">
        <v>16529.25</v>
      </c>
      <c r="I244" s="132">
        <v>16529.25</v>
      </c>
      <c r="J244" s="132">
        <f>2521.411+14007.839</f>
        <v>16529.25</v>
      </c>
      <c r="K244" s="132">
        <f t="shared" si="34"/>
        <v>-10529.25</v>
      </c>
      <c r="L244" s="132">
        <f t="shared" si="31"/>
        <v>0</v>
      </c>
      <c r="M244" s="133">
        <v>94</v>
      </c>
      <c r="N244" s="133">
        <f t="shared" si="35"/>
        <v>0</v>
      </c>
      <c r="O244" s="134">
        <v>0</v>
      </c>
      <c r="P244" s="133"/>
      <c r="Q244" s="2" t="s">
        <v>856</v>
      </c>
      <c r="R244" s="156">
        <f t="shared" si="32"/>
        <v>0</v>
      </c>
      <c r="S244" s="156">
        <f t="shared" si="33"/>
        <v>0</v>
      </c>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53">
        <v>0</v>
      </c>
      <c r="AT244" s="153">
        <v>0</v>
      </c>
      <c r="AU244" s="153">
        <v>0</v>
      </c>
      <c r="AV244" s="135">
        <v>0</v>
      </c>
      <c r="AW244" s="135">
        <v>0</v>
      </c>
      <c r="AX244" s="135"/>
      <c r="AY244" s="135"/>
      <c r="AZ244" s="135"/>
      <c r="BA244" s="135">
        <f>IF(BK244="Принят",(H244/1.18-AW244-AZ244)*0.1,H244/1.18*0.8*0.1)</f>
        <v>1400.7838983050849</v>
      </c>
      <c r="BB244" s="135">
        <f>(H244/1.18-AT244-AW244-AZ244)*0.1-AU244-AX244-BA244</f>
        <v>0</v>
      </c>
      <c r="BC244" s="135"/>
      <c r="BD244" s="135"/>
      <c r="BE244" s="135">
        <f>(H244/1.18-AT244-AW244-AZ244-BD244)*0.1-AU244-AX244-BA244-BB244</f>
        <v>0</v>
      </c>
      <c r="BF244" s="135"/>
      <c r="BG244" s="135"/>
      <c r="BH244" s="135"/>
      <c r="BI244" s="2" t="s">
        <v>11</v>
      </c>
      <c r="BJ244" s="136">
        <v>45322</v>
      </c>
      <c r="BK244" s="2" t="s">
        <v>109</v>
      </c>
      <c r="BL244" s="136" t="s">
        <v>113</v>
      </c>
      <c r="BM244" s="136">
        <v>44936</v>
      </c>
      <c r="BN244" s="2" t="s">
        <v>827</v>
      </c>
      <c r="BO244" s="2"/>
      <c r="BP244" s="136"/>
      <c r="BQ244" s="137" t="s">
        <v>119</v>
      </c>
      <c r="BR244" s="138"/>
    </row>
    <row r="245" spans="1:70" ht="12.75" customHeight="1" x14ac:dyDescent="0.2">
      <c r="A245" s="2">
        <v>1734</v>
      </c>
      <c r="B245" s="2" t="s">
        <v>28</v>
      </c>
      <c r="C245" s="2" t="s">
        <v>30</v>
      </c>
      <c r="D245" s="2" t="s">
        <v>906</v>
      </c>
      <c r="E245" s="2" t="s">
        <v>87</v>
      </c>
      <c r="F245" s="132">
        <v>255000</v>
      </c>
      <c r="G245" s="132"/>
      <c r="H245" s="132">
        <f>150000+100000+39016.31</f>
        <v>289016.31</v>
      </c>
      <c r="I245" s="132"/>
      <c r="J245" s="132">
        <f>22881.355+15254.237+AS245+AV245+5951.64+117810.438</f>
        <v>289016.31</v>
      </c>
      <c r="K245" s="132">
        <v>89745.767999999996</v>
      </c>
      <c r="L245" s="132">
        <f t="shared" si="31"/>
        <v>0</v>
      </c>
      <c r="M245" s="133">
        <v>1427</v>
      </c>
      <c r="N245" s="133">
        <f t="shared" si="35"/>
        <v>0</v>
      </c>
      <c r="O245" s="134">
        <v>0</v>
      </c>
      <c r="P245" s="133"/>
      <c r="Q245" s="2" t="s">
        <v>857</v>
      </c>
      <c r="R245" s="156">
        <f t="shared" si="32"/>
        <v>0</v>
      </c>
      <c r="S245" s="156">
        <f t="shared" si="33"/>
        <v>0</v>
      </c>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53">
        <v>0</v>
      </c>
      <c r="AT245" s="153">
        <v>0</v>
      </c>
      <c r="AU245" s="153">
        <v>0</v>
      </c>
      <c r="AV245" s="135">
        <v>127118.64</v>
      </c>
      <c r="AW245" s="135">
        <v>7842.7899999999936</v>
      </c>
      <c r="AX245" s="135">
        <f>(H245/1.18-AT245-AW245)*0.1</f>
        <v>23708.628627118644</v>
      </c>
      <c r="AY245" s="135"/>
      <c r="AZ245" s="135"/>
      <c r="BA245" s="135"/>
      <c r="BB245" s="135"/>
      <c r="BC245" s="135"/>
      <c r="BD245" s="135"/>
      <c r="BE245" s="135"/>
      <c r="BF245" s="135"/>
      <c r="BG245" s="135"/>
      <c r="BH245" s="135"/>
      <c r="BI245" s="2" t="s">
        <v>11</v>
      </c>
      <c r="BJ245" s="136">
        <v>45260</v>
      </c>
      <c r="BK245" s="2" t="s">
        <v>8</v>
      </c>
      <c r="BL245" s="136" t="s">
        <v>113</v>
      </c>
      <c r="BM245" s="136">
        <v>44936</v>
      </c>
      <c r="BN245" s="2" t="s">
        <v>828</v>
      </c>
      <c r="BO245" s="2"/>
      <c r="BP245" s="136"/>
      <c r="BQ245" s="137" t="s">
        <v>119</v>
      </c>
      <c r="BR245" s="138"/>
    </row>
    <row r="246" spans="1:70" ht="12.75" customHeight="1" x14ac:dyDescent="0.2">
      <c r="A246" s="2">
        <v>1735</v>
      </c>
      <c r="B246" s="2" t="s">
        <v>54</v>
      </c>
      <c r="C246" s="2" t="s">
        <v>140</v>
      </c>
      <c r="D246" s="2" t="s">
        <v>907</v>
      </c>
      <c r="E246" s="2" t="s">
        <v>141</v>
      </c>
      <c r="F246" s="132">
        <v>376000</v>
      </c>
      <c r="G246" s="132"/>
      <c r="H246" s="132">
        <f>130000+200000+72262.46</f>
        <v>402262.46</v>
      </c>
      <c r="I246" s="132"/>
      <c r="J246" s="132">
        <f>19830.51+AS246+AV246+30508.474+11023.087+61239.379+S246</f>
        <v>402262.46</v>
      </c>
      <c r="K246" s="132">
        <f t="shared" ref="K246:K309" si="36">F246-J246</f>
        <v>-26262.460000000021</v>
      </c>
      <c r="L246" s="132">
        <f t="shared" si="31"/>
        <v>0</v>
      </c>
      <c r="M246" s="133">
        <v>3586</v>
      </c>
      <c r="N246" s="133">
        <f t="shared" si="35"/>
        <v>0</v>
      </c>
      <c r="O246" s="134">
        <v>0</v>
      </c>
      <c r="P246" s="133">
        <v>0</v>
      </c>
      <c r="Q246" s="2" t="s">
        <v>908</v>
      </c>
      <c r="R246" s="156">
        <f t="shared" si="32"/>
        <v>0</v>
      </c>
      <c r="S246" s="156">
        <f t="shared" si="33"/>
        <v>0</v>
      </c>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53">
        <v>0</v>
      </c>
      <c r="AT246" s="153">
        <v>0</v>
      </c>
      <c r="AU246" s="153">
        <v>0</v>
      </c>
      <c r="AV246" s="135">
        <f>110169.49+169491.52</f>
        <v>279661.01</v>
      </c>
      <c r="AW246" s="135">
        <f>11231.25+16358.25</f>
        <v>27589.5</v>
      </c>
      <c r="AX246" s="135"/>
      <c r="AY246" s="135"/>
      <c r="AZ246" s="135"/>
      <c r="BA246" s="135"/>
      <c r="BB246" s="135"/>
      <c r="BC246" s="135"/>
      <c r="BD246" s="135"/>
      <c r="BE246" s="135"/>
      <c r="BF246" s="135"/>
      <c r="BG246" s="135"/>
      <c r="BH246" s="135"/>
      <c r="BI246" s="2" t="s">
        <v>11</v>
      </c>
      <c r="BJ246" s="136">
        <v>45203</v>
      </c>
      <c r="BK246" s="2" t="s">
        <v>8</v>
      </c>
      <c r="BL246" s="136" t="s">
        <v>113</v>
      </c>
      <c r="BM246" s="136">
        <v>45106</v>
      </c>
      <c r="BN246" s="2" t="s">
        <v>910</v>
      </c>
      <c r="BO246" s="2"/>
      <c r="BP246" s="136"/>
      <c r="BQ246" s="137"/>
      <c r="BR246" s="138"/>
    </row>
    <row r="247" spans="1:70" ht="12.75" customHeight="1" x14ac:dyDescent="0.2">
      <c r="A247" s="2">
        <v>1736</v>
      </c>
      <c r="B247" s="2" t="s">
        <v>28</v>
      </c>
      <c r="C247" s="2" t="s">
        <v>29</v>
      </c>
      <c r="D247" s="2" t="s">
        <v>909</v>
      </c>
      <c r="E247" s="2" t="s">
        <v>141</v>
      </c>
      <c r="F247" s="132">
        <v>488000</v>
      </c>
      <c r="G247" s="132">
        <v>2</v>
      </c>
      <c r="H247" s="132">
        <f>200000+303018.16</f>
        <v>503018.16</v>
      </c>
      <c r="I247" s="132"/>
      <c r="J247" s="132">
        <f>30508.474+AS247+AV247+46223.109+256795.047+S247</f>
        <v>503018.16</v>
      </c>
      <c r="K247" s="132">
        <f t="shared" si="36"/>
        <v>-15018.159999999974</v>
      </c>
      <c r="L247" s="132">
        <f t="shared" si="31"/>
        <v>0</v>
      </c>
      <c r="M247" s="133">
        <v>3668</v>
      </c>
      <c r="N247" s="133">
        <f t="shared" si="35"/>
        <v>0</v>
      </c>
      <c r="O247" s="134">
        <v>0</v>
      </c>
      <c r="P247" s="133"/>
      <c r="Q247" s="2" t="s">
        <v>843</v>
      </c>
      <c r="R247" s="156">
        <f t="shared" si="32"/>
        <v>0</v>
      </c>
      <c r="S247" s="156">
        <f t="shared" si="33"/>
        <v>0</v>
      </c>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53">
        <v>0</v>
      </c>
      <c r="AT247" s="153">
        <v>0</v>
      </c>
      <c r="AU247" s="153">
        <v>0</v>
      </c>
      <c r="AV247" s="135">
        <v>169491.53</v>
      </c>
      <c r="AW247" s="135">
        <v>9612.26</v>
      </c>
      <c r="AX247" s="135"/>
      <c r="AY247" s="135"/>
      <c r="AZ247" s="135"/>
      <c r="BA247" s="135">
        <v>0</v>
      </c>
      <c r="BB247" s="135">
        <v>0</v>
      </c>
      <c r="BC247" s="135"/>
      <c r="BD247" s="135"/>
      <c r="BE247" s="135"/>
      <c r="BF247" s="135"/>
      <c r="BG247" s="135"/>
      <c r="BH247" s="135"/>
      <c r="BI247" s="2" t="s">
        <v>11</v>
      </c>
      <c r="BJ247" s="136">
        <v>45321</v>
      </c>
      <c r="BK247" s="2" t="s">
        <v>109</v>
      </c>
      <c r="BL247" s="136" t="s">
        <v>113</v>
      </c>
      <c r="BM247" s="136">
        <v>45106</v>
      </c>
      <c r="BN247" s="2" t="s">
        <v>911</v>
      </c>
      <c r="BO247" s="2"/>
      <c r="BP247" s="136"/>
      <c r="BQ247" s="137" t="s">
        <v>134</v>
      </c>
      <c r="BR247" s="138"/>
    </row>
    <row r="248" spans="1:70" ht="12.75" customHeight="1" x14ac:dyDescent="0.2">
      <c r="A248" s="2">
        <v>1737</v>
      </c>
      <c r="B248" s="2" t="s">
        <v>54</v>
      </c>
      <c r="C248" s="2" t="s">
        <v>50</v>
      </c>
      <c r="D248" s="2" t="s">
        <v>915</v>
      </c>
      <c r="E248" s="2" t="s">
        <v>141</v>
      </c>
      <c r="F248" s="132">
        <v>248000</v>
      </c>
      <c r="G248" s="132">
        <v>2</v>
      </c>
      <c r="H248" s="132">
        <f>100000+100000+38500.95</f>
        <v>238500.95</v>
      </c>
      <c r="I248" s="132"/>
      <c r="J248" s="132">
        <f>AV248+15254.237+15254.237+5873.026+32627.93</f>
        <v>238500.94999999998</v>
      </c>
      <c r="K248" s="132">
        <f t="shared" si="36"/>
        <v>9499.0500000000175</v>
      </c>
      <c r="L248" s="132">
        <f t="shared" si="31"/>
        <v>0</v>
      </c>
      <c r="M248" s="133">
        <v>5270</v>
      </c>
      <c r="N248" s="133">
        <f t="shared" si="35"/>
        <v>2.9103830456733704E-11</v>
      </c>
      <c r="O248" s="134">
        <v>0</v>
      </c>
      <c r="P248" s="133"/>
      <c r="Q248" s="2" t="s">
        <v>912</v>
      </c>
      <c r="R248" s="156">
        <f t="shared" si="32"/>
        <v>0</v>
      </c>
      <c r="S248" s="156">
        <f t="shared" si="33"/>
        <v>0</v>
      </c>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53">
        <v>0</v>
      </c>
      <c r="AT248" s="153">
        <v>0</v>
      </c>
      <c r="AU248" s="153">
        <v>0</v>
      </c>
      <c r="AV248" s="135">
        <f>84745.76+84745.76</f>
        <v>169491.52</v>
      </c>
      <c r="AW248" s="135">
        <f>7000.23+6025.08</f>
        <v>13025.31</v>
      </c>
      <c r="AX248" s="135"/>
      <c r="AY248" s="135"/>
      <c r="AZ248" s="135"/>
      <c r="BA248" s="135"/>
      <c r="BB248" s="135">
        <v>0</v>
      </c>
      <c r="BC248" s="135"/>
      <c r="BD248" s="135"/>
      <c r="BE248" s="135"/>
      <c r="BF248" s="135"/>
      <c r="BG248" s="135"/>
      <c r="BH248" s="135"/>
      <c r="BI248" s="2" t="s">
        <v>11</v>
      </c>
      <c r="BJ248" s="136">
        <v>45621</v>
      </c>
      <c r="BK248" s="2" t="s">
        <v>109</v>
      </c>
      <c r="BL248" s="136" t="s">
        <v>18</v>
      </c>
      <c r="BM248" s="136">
        <v>45106</v>
      </c>
      <c r="BN248" s="2" t="s">
        <v>919</v>
      </c>
      <c r="BO248" s="2"/>
      <c r="BP248" s="136"/>
      <c r="BQ248" s="137" t="s">
        <v>134</v>
      </c>
      <c r="BR248" s="138"/>
    </row>
    <row r="249" spans="1:70" ht="12.75" customHeight="1" x14ac:dyDescent="0.2">
      <c r="A249" s="2">
        <v>1738</v>
      </c>
      <c r="B249" s="2" t="s">
        <v>54</v>
      </c>
      <c r="C249" s="2" t="s">
        <v>50</v>
      </c>
      <c r="D249" s="2" t="s">
        <v>916</v>
      </c>
      <c r="E249" s="2" t="s">
        <v>141</v>
      </c>
      <c r="F249" s="132">
        <v>217000</v>
      </c>
      <c r="G249" s="132">
        <v>2</v>
      </c>
      <c r="H249" s="132">
        <f>100000+130000+120653.96</f>
        <v>350653.96</v>
      </c>
      <c r="I249" s="132"/>
      <c r="J249" s="132">
        <f>AV249+15254.237+AY249+19830.51+18404.84+102249.123</f>
        <v>350653.96</v>
      </c>
      <c r="K249" s="132">
        <f t="shared" si="36"/>
        <v>-133653.96000000002</v>
      </c>
      <c r="L249" s="132">
        <f t="shared" si="31"/>
        <v>0</v>
      </c>
      <c r="M249" s="133">
        <v>7251</v>
      </c>
      <c r="N249" s="133">
        <f t="shared" si="35"/>
        <v>0</v>
      </c>
      <c r="O249" s="134">
        <v>0</v>
      </c>
      <c r="P249" s="133"/>
      <c r="Q249" s="2" t="s">
        <v>913</v>
      </c>
      <c r="R249" s="156">
        <f t="shared" si="32"/>
        <v>0</v>
      </c>
      <c r="S249" s="156">
        <f t="shared" si="33"/>
        <v>0</v>
      </c>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53">
        <v>0</v>
      </c>
      <c r="AT249" s="153">
        <v>0</v>
      </c>
      <c r="AU249" s="153">
        <v>0</v>
      </c>
      <c r="AV249" s="135">
        <v>84745.76</v>
      </c>
      <c r="AW249" s="135">
        <f>6025.08</f>
        <v>6025.08</v>
      </c>
      <c r="AX249" s="135"/>
      <c r="AY249" s="135">
        <v>110169.49</v>
      </c>
      <c r="AZ249" s="135">
        <v>11517.99</v>
      </c>
      <c r="BA249" s="135"/>
      <c r="BB249" s="135">
        <v>0</v>
      </c>
      <c r="BC249" s="135"/>
      <c r="BD249" s="135"/>
      <c r="BE249" s="135"/>
      <c r="BF249" s="135"/>
      <c r="BG249" s="135"/>
      <c r="BH249" s="135"/>
      <c r="BI249" s="2" t="s">
        <v>11</v>
      </c>
      <c r="BJ249" s="136">
        <v>45621</v>
      </c>
      <c r="BK249" s="2" t="s">
        <v>109</v>
      </c>
      <c r="BL249" s="136" t="s">
        <v>18</v>
      </c>
      <c r="BM249" s="136">
        <v>45106</v>
      </c>
      <c r="BN249" s="2" t="s">
        <v>918</v>
      </c>
      <c r="BO249" s="2"/>
      <c r="BP249" s="136"/>
      <c r="BQ249" s="137" t="s">
        <v>134</v>
      </c>
      <c r="BR249" s="138"/>
    </row>
    <row r="250" spans="1:70" ht="12.75" customHeight="1" x14ac:dyDescent="0.2">
      <c r="A250" s="2">
        <v>1739</v>
      </c>
      <c r="B250" s="2" t="s">
        <v>54</v>
      </c>
      <c r="C250" s="2" t="s">
        <v>50</v>
      </c>
      <c r="D250" s="2" t="s">
        <v>917</v>
      </c>
      <c r="E250" s="2" t="s">
        <v>141</v>
      </c>
      <c r="F250" s="132">
        <v>135000</v>
      </c>
      <c r="G250" s="132">
        <v>2</v>
      </c>
      <c r="H250" s="132">
        <f>45000+4819.94</f>
        <v>49819.94</v>
      </c>
      <c r="I250" s="132"/>
      <c r="J250" s="132">
        <f>6864.41+AY250+735.245+4084.695</f>
        <v>49819.94</v>
      </c>
      <c r="K250" s="132">
        <f t="shared" si="36"/>
        <v>85180.06</v>
      </c>
      <c r="L250" s="132">
        <f t="shared" si="31"/>
        <v>0</v>
      </c>
      <c r="M250" s="133">
        <v>709</v>
      </c>
      <c r="N250" s="133">
        <f t="shared" si="35"/>
        <v>0</v>
      </c>
      <c r="O250" s="134">
        <v>0</v>
      </c>
      <c r="P250" s="133"/>
      <c r="Q250" s="2" t="s">
        <v>914</v>
      </c>
      <c r="R250" s="156">
        <f t="shared" si="32"/>
        <v>0</v>
      </c>
      <c r="S250" s="156">
        <f t="shared" si="33"/>
        <v>0</v>
      </c>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53">
        <v>0</v>
      </c>
      <c r="AT250" s="153">
        <v>0</v>
      </c>
      <c r="AU250" s="153">
        <v>0</v>
      </c>
      <c r="AV250" s="135"/>
      <c r="AW250" s="135"/>
      <c r="AX250" s="135"/>
      <c r="AY250" s="135">
        <v>38135.589999999997</v>
      </c>
      <c r="AZ250" s="135">
        <v>3987</v>
      </c>
      <c r="BA250" s="135"/>
      <c r="BB250" s="135">
        <v>0</v>
      </c>
      <c r="BC250" s="135"/>
      <c r="BD250" s="135"/>
      <c r="BE250" s="135"/>
      <c r="BF250" s="135"/>
      <c r="BG250" s="135"/>
      <c r="BH250" s="135"/>
      <c r="BI250" s="2" t="s">
        <v>11</v>
      </c>
      <c r="BJ250" s="136">
        <v>45621</v>
      </c>
      <c r="BK250" s="2" t="s">
        <v>109</v>
      </c>
      <c r="BL250" s="136" t="s">
        <v>18</v>
      </c>
      <c r="BM250" s="136">
        <v>45106</v>
      </c>
      <c r="BN250" s="2" t="s">
        <v>920</v>
      </c>
      <c r="BO250" s="2"/>
      <c r="BP250" s="136"/>
      <c r="BQ250" s="137" t="s">
        <v>134</v>
      </c>
      <c r="BR250" s="138"/>
    </row>
    <row r="251" spans="1:70" ht="12.75" customHeight="1" x14ac:dyDescent="0.2">
      <c r="A251" s="2">
        <v>1740</v>
      </c>
      <c r="B251" s="2" t="s">
        <v>19</v>
      </c>
      <c r="C251" s="2" t="s">
        <v>21</v>
      </c>
      <c r="D251" s="2" t="s">
        <v>923</v>
      </c>
      <c r="E251" s="2" t="s">
        <v>123</v>
      </c>
      <c r="F251" s="132">
        <v>0</v>
      </c>
      <c r="G251" s="132" t="s">
        <v>3647</v>
      </c>
      <c r="H251" s="132"/>
      <c r="I251" s="132"/>
      <c r="J251" s="132"/>
      <c r="K251" s="132">
        <f t="shared" si="36"/>
        <v>0</v>
      </c>
      <c r="L251" s="132">
        <f t="shared" si="31"/>
        <v>0</v>
      </c>
      <c r="M251" s="133"/>
      <c r="N251" s="133">
        <f t="shared" si="35"/>
        <v>0</v>
      </c>
      <c r="O251" s="134">
        <v>2</v>
      </c>
      <c r="P251" s="133"/>
      <c r="Q251" s="2" t="s">
        <v>921</v>
      </c>
      <c r="R251" s="156">
        <f t="shared" si="32"/>
        <v>0</v>
      </c>
      <c r="S251" s="156">
        <f t="shared" si="33"/>
        <v>0</v>
      </c>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53">
        <v>0</v>
      </c>
      <c r="AT251" s="153">
        <v>0</v>
      </c>
      <c r="AU251" s="153">
        <v>0</v>
      </c>
      <c r="AV251" s="135"/>
      <c r="AW251" s="135"/>
      <c r="AX251" s="135"/>
      <c r="AY251" s="135"/>
      <c r="AZ251" s="135"/>
      <c r="BA251" s="135"/>
      <c r="BB251" s="135"/>
      <c r="BC251" s="135"/>
      <c r="BD251" s="135"/>
      <c r="BE251" s="135"/>
      <c r="BF251" s="135"/>
      <c r="BG251" s="135"/>
      <c r="BH251" s="135"/>
      <c r="BI251" s="2" t="s">
        <v>112</v>
      </c>
      <c r="BJ251" s="136"/>
      <c r="BK251" s="2">
        <v>0</v>
      </c>
      <c r="BL251" s="136" t="s">
        <v>113</v>
      </c>
      <c r="BM251" s="136">
        <v>44937</v>
      </c>
      <c r="BN251" s="2" t="s">
        <v>1713</v>
      </c>
      <c r="BO251" s="2"/>
      <c r="BP251" s="136"/>
      <c r="BQ251" s="137"/>
      <c r="BR251" s="138"/>
    </row>
    <row r="252" spans="1:70" ht="12.75" customHeight="1" x14ac:dyDescent="0.2">
      <c r="A252" s="2">
        <v>1741</v>
      </c>
      <c r="B252" s="2" t="s">
        <v>19</v>
      </c>
      <c r="C252" s="2" t="s">
        <v>21</v>
      </c>
      <c r="D252" s="2" t="s">
        <v>924</v>
      </c>
      <c r="E252" s="2" t="s">
        <v>115</v>
      </c>
      <c r="F252" s="132">
        <v>230000</v>
      </c>
      <c r="G252" s="132">
        <v>2</v>
      </c>
      <c r="H252" s="132">
        <f>198000+150000+84000+100000+7602.44</f>
        <v>539602.43999999994</v>
      </c>
      <c r="I252" s="132">
        <f>198000+150000+84000+100000+7602.44</f>
        <v>539602.43999999994</v>
      </c>
      <c r="J252" s="132">
        <f>30203.389+22881.355+AS252+AV252+AY252+12813.56+15254.24+7602.44</f>
        <v>539602.43400000001</v>
      </c>
      <c r="K252" s="132">
        <f t="shared" si="36"/>
        <v>-309602.43400000001</v>
      </c>
      <c r="L252" s="132">
        <f t="shared" si="31"/>
        <v>5.9999999357387424E-3</v>
      </c>
      <c r="M252" s="133">
        <v>5473.44</v>
      </c>
      <c r="N252" s="133">
        <f t="shared" si="35"/>
        <v>5.9999999357387424E-3</v>
      </c>
      <c r="O252" s="134">
        <v>0</v>
      </c>
      <c r="P252" s="133"/>
      <c r="Q252" s="2" t="s">
        <v>921</v>
      </c>
      <c r="R252" s="156">
        <f t="shared" si="32"/>
        <v>0</v>
      </c>
      <c r="S252" s="156">
        <f t="shared" si="33"/>
        <v>0</v>
      </c>
      <c r="T252" s="133"/>
      <c r="U252" s="133"/>
      <c r="V252" s="133"/>
      <c r="W252" s="133"/>
      <c r="X252" s="133"/>
      <c r="Y252" s="133"/>
      <c r="Z252" s="133"/>
      <c r="AA252" s="133"/>
      <c r="AB252" s="133"/>
      <c r="AC252" s="133"/>
      <c r="AD252" s="133"/>
      <c r="AE252" s="133"/>
      <c r="AF252" s="133"/>
      <c r="AG252" s="133"/>
      <c r="AH252" s="133"/>
      <c r="AI252" s="133"/>
      <c r="AJ252" s="133"/>
      <c r="AK252" s="133"/>
      <c r="AL252" s="133"/>
      <c r="AM252" s="133"/>
      <c r="AN252" s="133"/>
      <c r="AO252" s="133"/>
      <c r="AP252" s="133"/>
      <c r="AQ252" s="133"/>
      <c r="AR252" s="133"/>
      <c r="AS252" s="153">
        <v>0</v>
      </c>
      <c r="AT252" s="153">
        <v>0</v>
      </c>
      <c r="AU252" s="153">
        <v>0</v>
      </c>
      <c r="AV252" s="135">
        <f>167796.61+N("თბს")</f>
        <v>167796.61</v>
      </c>
      <c r="AW252" s="135">
        <f>10964.24+N("თბს")</f>
        <v>10964.24</v>
      </c>
      <c r="AX252" s="135"/>
      <c r="AY252" s="135">
        <f>127118.64+N("თბს")+71186.44+84745.76+N("ორთავე სილქი")</f>
        <v>283050.84000000003</v>
      </c>
      <c r="AZ252" s="135">
        <f>4948.92+N("თბს")+8250.63+N("სილქი")+9822.17+N("სილქი")</f>
        <v>23021.72</v>
      </c>
      <c r="BA252" s="135">
        <f>532000/1.18*0.8*0.1</f>
        <v>36067.796610169498</v>
      </c>
      <c r="BB252" s="140">
        <f>(H252/1.18-AT252-AW252-AZ252)*0.1-BA252</f>
        <v>6262.6277288135534</v>
      </c>
      <c r="BC252" s="135"/>
      <c r="BD252" s="135"/>
      <c r="BE252" s="135">
        <f>(H252/1.18-AT252-AW252-AZ252-BD252)*0.1-AU252-AX252-BA252-BB252</f>
        <v>0</v>
      </c>
      <c r="BF252" s="135"/>
      <c r="BG252" s="135"/>
      <c r="BH252" s="135"/>
      <c r="BI252" s="2" t="s">
        <v>11</v>
      </c>
      <c r="BJ252" s="136">
        <v>45499</v>
      </c>
      <c r="BK252" s="2" t="s">
        <v>109</v>
      </c>
      <c r="BL252" s="136" t="s">
        <v>113</v>
      </c>
      <c r="BM252" s="136">
        <v>44937</v>
      </c>
      <c r="BN252" s="2" t="s">
        <v>1714</v>
      </c>
      <c r="BO252" s="2"/>
      <c r="BP252" s="136" t="s">
        <v>3380</v>
      </c>
      <c r="BQ252" s="137" t="s">
        <v>119</v>
      </c>
      <c r="BR252" s="138"/>
    </row>
    <row r="253" spans="1:70" ht="12.75" customHeight="1" x14ac:dyDescent="0.2">
      <c r="A253" s="2">
        <v>1742</v>
      </c>
      <c r="B253" s="2" t="s">
        <v>19</v>
      </c>
      <c r="C253" s="2" t="s">
        <v>20</v>
      </c>
      <c r="D253" s="2" t="s">
        <v>925</v>
      </c>
      <c r="E253" s="2" t="s">
        <v>115</v>
      </c>
      <c r="F253" s="132">
        <v>370000</v>
      </c>
      <c r="G253" s="132">
        <v>2</v>
      </c>
      <c r="H253" s="132">
        <f>230000+200000+200000+200000+175000+R253</f>
        <v>1805000</v>
      </c>
      <c r="I253" s="132"/>
      <c r="J253" s="132">
        <f>35084.745+AS253+AV253+AY253+30508.47+30508.47+26694.915+S253+BC253</f>
        <v>1604999.9899999998</v>
      </c>
      <c r="K253" s="132">
        <f t="shared" si="36"/>
        <v>-1234999.9899999998</v>
      </c>
      <c r="L253" s="132">
        <f t="shared" si="31"/>
        <v>200000.01000000024</v>
      </c>
      <c r="M253" s="133"/>
      <c r="N253" s="133">
        <f t="shared" si="35"/>
        <v>-1234999.9899999998</v>
      </c>
      <c r="O253" s="134">
        <v>1</v>
      </c>
      <c r="P253" s="133"/>
      <c r="Q253" s="2" t="s">
        <v>922</v>
      </c>
      <c r="R253" s="156">
        <f t="shared" si="32"/>
        <v>800000</v>
      </c>
      <c r="S253" s="156">
        <f t="shared" si="33"/>
        <v>122033.89</v>
      </c>
      <c r="T253" s="133">
        <v>200000</v>
      </c>
      <c r="U253" s="133"/>
      <c r="V253" s="133">
        <v>400000</v>
      </c>
      <c r="W253" s="133">
        <f>30508.47</f>
        <v>30508.47</v>
      </c>
      <c r="X253" s="133">
        <v>200000</v>
      </c>
      <c r="Y253" s="133">
        <v>61016.95</v>
      </c>
      <c r="Z253" s="133"/>
      <c r="AA253" s="133">
        <v>30508.47</v>
      </c>
      <c r="AB253" s="133"/>
      <c r="AC253" s="133"/>
      <c r="AD253" s="133"/>
      <c r="AE253" s="133"/>
      <c r="AF253" s="133"/>
      <c r="AG253" s="133"/>
      <c r="AH253" s="133"/>
      <c r="AI253" s="133"/>
      <c r="AJ253" s="133"/>
      <c r="AK253" s="133"/>
      <c r="AL253" s="133"/>
      <c r="AM253" s="133"/>
      <c r="AN253" s="133"/>
      <c r="AO253" s="133"/>
      <c r="AP253" s="133"/>
      <c r="AQ253" s="133"/>
      <c r="AR253" s="133"/>
      <c r="AS253" s="153">
        <v>0</v>
      </c>
      <c r="AT253" s="153">
        <v>0</v>
      </c>
      <c r="AU253" s="153">
        <v>0</v>
      </c>
      <c r="AV253" s="135">
        <f>194915.25+N("თბს")</f>
        <v>194915.25</v>
      </c>
      <c r="AW253" s="135">
        <f>16741.35+N("თბს")</f>
        <v>16741.349999999999</v>
      </c>
      <c r="AX253" s="135"/>
      <c r="AY253" s="135">
        <f>169491.53+169491.53+169491.53+148305.08</f>
        <v>656779.66999999993</v>
      </c>
      <c r="AZ253" s="135"/>
      <c r="BA253" s="135"/>
      <c r="BB253" s="135"/>
      <c r="BC253" s="135">
        <f>169491.53+338983.05</f>
        <v>508474.57999999996</v>
      </c>
      <c r="BD253" s="135"/>
      <c r="BE253" s="135"/>
      <c r="BF253" s="135"/>
      <c r="BG253" s="135"/>
      <c r="BH253" s="135"/>
      <c r="BI253" s="2" t="s">
        <v>11</v>
      </c>
      <c r="BJ253" s="136"/>
      <c r="BK253" s="2">
        <v>70</v>
      </c>
      <c r="BL253" s="136" t="s">
        <v>113</v>
      </c>
      <c r="BM253" s="136">
        <v>44937</v>
      </c>
      <c r="BN253" s="2" t="s">
        <v>1715</v>
      </c>
      <c r="BO253" s="2"/>
      <c r="BP253" s="136"/>
      <c r="BQ253" s="137" t="s">
        <v>119</v>
      </c>
      <c r="BR253" s="138"/>
    </row>
    <row r="254" spans="1:70" ht="12.75" customHeight="1" x14ac:dyDescent="0.2">
      <c r="A254" s="2">
        <v>1743</v>
      </c>
      <c r="B254" s="2" t="s">
        <v>54</v>
      </c>
      <c r="C254" s="2" t="s">
        <v>96</v>
      </c>
      <c r="D254" s="2" t="s">
        <v>938</v>
      </c>
      <c r="E254" s="2" t="s">
        <v>110</v>
      </c>
      <c r="F254" s="132">
        <f>434+N("ჩაპაევის ქ. №5 (230623)")+574+3946.25+N("თოდრიას №7 (070723)")+2049.25+N("მესხიშვ. №4 (070723)")+1744.75+N("მესხიშვ. I გასასვლ. №3 (070723)")+1739.5+N("მესხიშვ. I გასასვლ. №5 (070723)")+262.5+N("ნესტორ გიორგაძის ქ. №2 კორპ. (070723)")+1034.25+N("თოდრიას №3 (031023)")+920.5+N("თოდრიას №5 (031023)")+1274+N("ჯავახიშვილის ქ. №1 კორპ (141123)")+1610+N("რუსთაველის ქ. №28 კორპ (141123)")</f>
        <v>15589</v>
      </c>
      <c r="G254" s="132">
        <v>2</v>
      </c>
      <c r="H254" s="132">
        <f>434+N("ჩაპაევის ქ. №5 (230623)")+574+3946.25+N("თოდრიას №7 (070723)")+2049.25+N("მესხიშვ. №4 (070723)")+1744.75+N("მესხიშვ. I გასასვლ. №3 (070723)")+1739.5+N("მესხიშვ. I გასასვლ. №5 (070723)")+262.5+N("ნესტორ გიორგაძის ქ. №2 კორპ. (070723)")+1034.25+N("თოდრიას №3 (031023)")+920.5+N("თოდრიას №5 (031023)")+1274+N("ჯავახიშვილის ქ. №1 კორპ (141123)")+1610+N("რუსთაველის ქ. №28 კორპ (141123)")</f>
        <v>15589</v>
      </c>
      <c r="I254" s="132"/>
      <c r="J254" s="132">
        <f>434+574+3946.25+2049.25+1744.75+1739.5+262.5+157.766+140.415+194.338+245.59</f>
        <v>11488.359</v>
      </c>
      <c r="K254" s="132">
        <f t="shared" si="36"/>
        <v>4100.6409999999996</v>
      </c>
      <c r="L254" s="132">
        <f t="shared" si="31"/>
        <v>4100.6409999999996</v>
      </c>
      <c r="M254" s="133"/>
      <c r="N254" s="133">
        <f t="shared" si="35"/>
        <v>4100.6409999999996</v>
      </c>
      <c r="O254" s="291" t="s">
        <v>3834</v>
      </c>
      <c r="P254" s="133"/>
      <c r="Q254" s="2" t="s">
        <v>937</v>
      </c>
      <c r="R254" s="156">
        <f t="shared" si="32"/>
        <v>0</v>
      </c>
      <c r="S254" s="156">
        <f t="shared" si="33"/>
        <v>0</v>
      </c>
      <c r="T254" s="133"/>
      <c r="U254" s="133"/>
      <c r="V254" s="133"/>
      <c r="W254" s="133"/>
      <c r="X254" s="133"/>
      <c r="Y254" s="133"/>
      <c r="Z254" s="133"/>
      <c r="AA254" s="133"/>
      <c r="AB254" s="133"/>
      <c r="AC254" s="133"/>
      <c r="AD254" s="133"/>
      <c r="AE254" s="133"/>
      <c r="AF254" s="133"/>
      <c r="AG254" s="133"/>
      <c r="AH254" s="133"/>
      <c r="AI254" s="133"/>
      <c r="AJ254" s="133"/>
      <c r="AK254" s="133"/>
      <c r="AL254" s="133"/>
      <c r="AM254" s="133"/>
      <c r="AN254" s="133"/>
      <c r="AO254" s="133"/>
      <c r="AP254" s="133"/>
      <c r="AQ254" s="133"/>
      <c r="AR254" s="133"/>
      <c r="AS254" s="153">
        <v>0</v>
      </c>
      <c r="AT254" s="153">
        <v>0</v>
      </c>
      <c r="AU254" s="153">
        <v>0</v>
      </c>
      <c r="AV254" s="135">
        <v>0</v>
      </c>
      <c r="AW254" s="135">
        <v>0</v>
      </c>
      <c r="AX254" s="135"/>
      <c r="AY254" s="135"/>
      <c r="AZ254" s="135"/>
      <c r="BA254" s="135"/>
      <c r="BB254" s="135"/>
      <c r="BC254" s="135"/>
      <c r="BD254" s="135"/>
      <c r="BE254" s="135"/>
      <c r="BF254" s="135"/>
      <c r="BG254" s="135"/>
      <c r="BH254" s="135"/>
      <c r="BI254" s="2" t="s">
        <v>112</v>
      </c>
      <c r="BJ254" s="136"/>
      <c r="BK254" s="2">
        <v>30</v>
      </c>
      <c r="BL254" s="136" t="s">
        <v>18</v>
      </c>
      <c r="BM254" s="136">
        <v>44935</v>
      </c>
      <c r="BN254" s="2" t="s">
        <v>936</v>
      </c>
      <c r="BO254" s="2"/>
      <c r="BP254" s="136"/>
      <c r="BQ254" s="137" t="s">
        <v>134</v>
      </c>
      <c r="BR254" s="138"/>
    </row>
    <row r="255" spans="1:70" ht="12.75" customHeight="1" x14ac:dyDescent="0.2">
      <c r="A255" s="2">
        <v>1744</v>
      </c>
      <c r="B255" s="2" t="s">
        <v>54</v>
      </c>
      <c r="C255" s="2" t="s">
        <v>96</v>
      </c>
      <c r="D255" s="2" t="s">
        <v>939</v>
      </c>
      <c r="E255" s="2" t="s">
        <v>71</v>
      </c>
      <c r="F255" s="132">
        <v>640000</v>
      </c>
      <c r="G255" s="132">
        <v>2</v>
      </c>
      <c r="H255" s="132">
        <f>20000+N("გრანელის ქ №2")+50000+N("კლდიაშვილის ქ კორპ №4")+70000+N("თოდრიას ქ. №13 კორპ (280723)")+3621+N("გრანელის ქ. №2 კორპ საბ 280723")+13499+N("კლდიაშვილის ქ №4 კორპ საბ 280723")+75000+N("მესხიშვილის #4 კორპ")+60000+N("თოდრიას ქუჩა №7 კორპუსი (I შუალ 290923")+7046+N("ნესტორ გიორგაძის ქ. კორპ.2 (290923)")+36005+N("თოდრიას ქ. №13 კორპ (290923)")+70000+N("მესხიშვილის I გასასვლელი #3 კორპ (301023)")+70000+N("თოდრიას ქ. №3 კორპ (301023)")+15343+N("მესხიშვილის #4 კორპ (საბოლ 301023)")+9949+N("ჩაპაევის ქ. №5 (საბოლოო 301023)")+80000+N("მესხიშვ. I გასასვლ. №5 (271123)")+60000+N("თოდრიას №5 (271123)")+35000+N("თოდრიას ქუჩა №7 კორპუსი (II შუალ 301123")+5000+N("მესხიშვილის I გასასვლელი #3 კორპ (301123)")+30000+N("ჯავახიშვილის ქ. №1 კორპ (261223)")+50000+N("რუსთაველის ქ. №28 კორპ (261223)")+15769+N("მესხიშვილის I გასასვ #3 კორპ (181223)")+20922+N("მესხიშვილის I გასასვ #5 კორპ (271223)")+15124+N("თოდრიას ქ. №3 კორპ საბოლოო (181223)")+24790+N("თოდრიას №5 საბოლოო(271223)")+6776+N("თოდრიას ქუჩა №7 კორპ (საბოლოო 181223")</f>
        <v>843844</v>
      </c>
      <c r="I255" s="132"/>
      <c r="J255" s="132">
        <f>3050.85+7627.12+10677.97+552.36+2059.17+AS255+AV255+11440.68+9152.54+1074.81+5492.29+10677.966+10677.966+2340.457+1517.64+12203.39+9152.54+5338.98+762.71+0.000001+8431.36+30512.71+16000.48+25570.08+6776+13002.54+20006.29+20922+5971.19+7627.12+4576.27</f>
        <v>763195.46900100028</v>
      </c>
      <c r="K255" s="132">
        <f t="shared" si="36"/>
        <v>-123195.46900100028</v>
      </c>
      <c r="L255" s="132">
        <f t="shared" si="31"/>
        <v>80648.530998999719</v>
      </c>
      <c r="M255" s="133">
        <f>194+1166+1228+593+539+2078</f>
        <v>5798</v>
      </c>
      <c r="N255" s="133">
        <f t="shared" si="35"/>
        <v>-123195.46900100028</v>
      </c>
      <c r="O255" s="291" t="s">
        <v>3834</v>
      </c>
      <c r="P255" s="133"/>
      <c r="Q255" s="2" t="s">
        <v>937</v>
      </c>
      <c r="R255" s="156">
        <f t="shared" si="32"/>
        <v>0</v>
      </c>
      <c r="S255" s="156">
        <f t="shared" si="33"/>
        <v>0</v>
      </c>
      <c r="T255" s="133"/>
      <c r="U255" s="133"/>
      <c r="V255" s="133"/>
      <c r="W255" s="133"/>
      <c r="X255" s="133"/>
      <c r="Y255" s="133"/>
      <c r="Z255" s="133"/>
      <c r="AA255" s="133"/>
      <c r="AB255" s="133"/>
      <c r="AC255" s="133"/>
      <c r="AD255" s="133"/>
      <c r="AE255" s="133"/>
      <c r="AF255" s="133"/>
      <c r="AG255" s="133"/>
      <c r="AH255" s="133"/>
      <c r="AI255" s="133"/>
      <c r="AJ255" s="133"/>
      <c r="AK255" s="133"/>
      <c r="AL255" s="133"/>
      <c r="AM255" s="133"/>
      <c r="AN255" s="133"/>
      <c r="AO255" s="133"/>
      <c r="AP255" s="133"/>
      <c r="AQ255" s="133"/>
      <c r="AR255" s="133"/>
      <c r="AS255" s="153">
        <f>16949.15+42372.88</f>
        <v>59322.03</v>
      </c>
      <c r="AT255" s="153">
        <f>2108.89+5272.23</f>
        <v>7381.119999999999</v>
      </c>
      <c r="AU255" s="153">
        <v>0</v>
      </c>
      <c r="AV255" s="135">
        <f>59322.03+N("თოდრიას ქ. №13 კორპ")+63559.32+N("მესხიშვილის #4 კორპ")+0+N("ჩაპაევის ქ. №5")+59322.03+N("მესხიშვილის I გასასვ #3 კორპ")+67796.61+N("მესხიშვილის I გასასვ #5 კორპ")+59322.03+N("თოდრიას ქ. №3 კორპ")+50847.46+N("თოდრიას №5")+50847.46+N("თოდრიას ქუჩა №7 კორპ")+29661.02+N("თოდრიას ქუჩა №7 კორპ")</f>
        <v>440677.96000000008</v>
      </c>
      <c r="AW255" s="135">
        <f>6444.16+N("თოდრიას ქ. №13 კორპ")+6007.66+N("მესხიშვილის #4 კორპ")+0+N("ჩაპაევის ქ. №5")+3437.43+N("მესხიშვილის I გასასვ #3 კორპ")+4318.55+N("მესხიშვილის I გასასვ #5 კორპ")+4217.55+N("თოდრიას ქ. №3 კორპ")+3238.91+N("თოდრიას №5")+1816.23+N("თოდრიას ქუჩა №7 კორპ")+4504.03+N("თოდრიას ქუჩა №7 კორპ")</f>
        <v>33984.519999999997</v>
      </c>
      <c r="AX255" s="135"/>
      <c r="AY255" s="135"/>
      <c r="AZ255" s="135"/>
      <c r="BA255" s="135"/>
      <c r="BB255" s="135"/>
      <c r="BC255" s="135"/>
      <c r="BD255" s="135"/>
      <c r="BE255" s="135"/>
      <c r="BF255" s="135"/>
      <c r="BG255" s="135"/>
      <c r="BH255" s="135"/>
      <c r="BI255" s="2" t="s">
        <v>3476</v>
      </c>
      <c r="BJ255" s="136"/>
      <c r="BK255" s="2">
        <v>45</v>
      </c>
      <c r="BL255" s="136" t="s">
        <v>18</v>
      </c>
      <c r="BM255" s="136">
        <v>44935</v>
      </c>
      <c r="BN255" s="2" t="s">
        <v>943</v>
      </c>
      <c r="BO255" s="2"/>
      <c r="BP255" s="136"/>
      <c r="BQ255" s="137"/>
      <c r="BR255" s="138"/>
    </row>
    <row r="256" spans="1:70" ht="12.75" customHeight="1" x14ac:dyDescent="0.2">
      <c r="A256" s="2">
        <v>1745</v>
      </c>
      <c r="B256" s="2" t="s">
        <v>54</v>
      </c>
      <c r="C256" s="2" t="s">
        <v>96</v>
      </c>
      <c r="D256" s="2" t="s">
        <v>940</v>
      </c>
      <c r="E256" s="2" t="s">
        <v>110</v>
      </c>
      <c r="F256" s="132">
        <f>560+N("ტაშკენტის ქ. №7 (031023)")+1086.75+N("მე-14-ე მკრ. №47 კორპ (031023)")+2264.5+N("მესხიშვ. I გასასვლ. №7 (021123)")+1737.75+N("მესხიშვ. I გასასვლ. №9 (021123)")+1389.5+N("მე-15-ე მკრ. 8 კორპ(141123)")+1370.25+N("მე-15-ე მკრ. 9 კორპ(141123)")+1214.5+N("მესხიშვ. II გასასვლ. №4 (141123)")+789.25+N("მესხიშვ. II გასასვლ. №6 (141123)")+778.75+N("მესხიშვ. II გასასვლ. №8 (141123)")+759.5+N("მესხიშვ. ქ. №6 კორპ (141123)")+2096.5+N("ტაშკენტის ქ. №5 (141123)")+2051+N("შარტავას ქ. №5 კორპ (141123)")+2070.25+N("შარტავას ქ. №9 კორპ (141123)")+866.25+N("შარტავას ქ. №15 კორპ (141123)")+1550.5+N("შარტავას ქ. №17 კორპ (141123)")</f>
        <v>20585.25</v>
      </c>
      <c r="G256" s="132">
        <v>2</v>
      </c>
      <c r="H256" s="132">
        <f>560+N("ტაშკენტის ქ. №7 (031023)")+1086.75+N("მე-14-ე მკრ. №47 კორპ (031023)")+2264.5+N("მესხიშვ. I გასასვლ. №7 (021123)")+1737.75+N("მესხიშვ. I გასასვლ. №9 (021123)")+1389.5+N("მე-15-ე მკრ. 8 კორპ(141123)")+1370.25+N("მე-15-ე მკრ. 9 კორპ(141123)")+1214.5+N("მესხიშვ. II გასასვლ. №4 (141123)")+789.25+N("მესხიშვ. II გასასვლ. №6 (141123)")+778.75+N("მესხიშვ. II გასასვლ. №8 (141123)")+759.5+N("მესხიშვ. ქ. №6 კორპ (141123)")+2096.5+N("ტაშკენტის ქ. №5 (141123)")+2051+N("შარტავას ქ. №5 კორპ (141123)")+2070.25+N("შარტავას ქ. №9 კორპ (141123)")+866.25+N("შარტავას ქ. №15 კორპ (141123)")+1550.5+N("შარტავას ქ. №17 კორპ (141123)")</f>
        <v>20585.25</v>
      </c>
      <c r="I256" s="132"/>
      <c r="J256" s="132">
        <f>560+165.77+345.43+265.08+211.957+209.02+185.26+789.25+778.75+759.5+319.8+312.86+315.8+866.25+236.5169</f>
        <v>6321.2438999999995</v>
      </c>
      <c r="K256" s="132">
        <f t="shared" si="36"/>
        <v>14264.006100000001</v>
      </c>
      <c r="L256" s="132">
        <f t="shared" si="31"/>
        <v>14264.006100000001</v>
      </c>
      <c r="M256" s="133"/>
      <c r="N256" s="133">
        <f t="shared" si="35"/>
        <v>14264.006100000001</v>
      </c>
      <c r="O256" s="291" t="s">
        <v>3834</v>
      </c>
      <c r="P256" s="133"/>
      <c r="Q256" s="2" t="s">
        <v>942</v>
      </c>
      <c r="R256" s="156">
        <f t="shared" si="32"/>
        <v>0</v>
      </c>
      <c r="S256" s="156">
        <f t="shared" si="33"/>
        <v>0</v>
      </c>
      <c r="T256" s="133"/>
      <c r="U256" s="133"/>
      <c r="V256" s="133"/>
      <c r="W256" s="133"/>
      <c r="X256" s="133"/>
      <c r="Y256" s="133"/>
      <c r="Z256" s="133"/>
      <c r="AA256" s="133"/>
      <c r="AB256" s="133"/>
      <c r="AC256" s="133"/>
      <c r="AD256" s="133"/>
      <c r="AE256" s="133"/>
      <c r="AF256" s="133"/>
      <c r="AG256" s="133"/>
      <c r="AH256" s="133"/>
      <c r="AI256" s="133"/>
      <c r="AJ256" s="133"/>
      <c r="AK256" s="133"/>
      <c r="AL256" s="133"/>
      <c r="AM256" s="133"/>
      <c r="AN256" s="133"/>
      <c r="AO256" s="133"/>
      <c r="AP256" s="133"/>
      <c r="AQ256" s="133"/>
      <c r="AR256" s="133"/>
      <c r="AS256" s="153">
        <v>0</v>
      </c>
      <c r="AT256" s="153">
        <v>0</v>
      </c>
      <c r="AU256" s="153">
        <v>0</v>
      </c>
      <c r="AV256" s="135"/>
      <c r="AW256" s="135"/>
      <c r="AX256" s="135"/>
      <c r="AY256" s="135"/>
      <c r="AZ256" s="135"/>
      <c r="BA256" s="135"/>
      <c r="BB256" s="135"/>
      <c r="BC256" s="135"/>
      <c r="BD256" s="135"/>
      <c r="BE256" s="135"/>
      <c r="BF256" s="135"/>
      <c r="BG256" s="135"/>
      <c r="BH256" s="135"/>
      <c r="BI256" s="2" t="s">
        <v>112</v>
      </c>
      <c r="BJ256" s="136"/>
      <c r="BK256" s="2">
        <v>0</v>
      </c>
      <c r="BL256" s="136" t="s">
        <v>18</v>
      </c>
      <c r="BM256" s="136">
        <v>44935</v>
      </c>
      <c r="BN256" s="2" t="s">
        <v>944</v>
      </c>
      <c r="BO256" s="2"/>
      <c r="BP256" s="136"/>
      <c r="BQ256" s="137" t="s">
        <v>134</v>
      </c>
      <c r="BR256" s="138"/>
    </row>
    <row r="257" spans="1:70" ht="12.75" customHeight="1" x14ac:dyDescent="0.2">
      <c r="A257" s="2">
        <v>1746</v>
      </c>
      <c r="B257" s="2" t="s">
        <v>54</v>
      </c>
      <c r="C257" s="2" t="s">
        <v>96</v>
      </c>
      <c r="D257" s="2" t="s">
        <v>941</v>
      </c>
      <c r="E257" s="2" t="s">
        <v>71</v>
      </c>
      <c r="F257" s="132">
        <v>612000</v>
      </c>
      <c r="G257" s="132">
        <v>2</v>
      </c>
      <c r="H257" s="132">
        <f>80000+N("მესხიშვ. I გასასვლ. №9 კორპ.-(271123)")+80000+N("მესხიშვ. I გასასვლ. №7 კორპ.-(271123)")+80000+N("შარტავას ქ. №9 კორპ (261223)")+80000+N("შარტავას ქ. №5 კორპ (261223)")+35000+N("მე-15-ე მკრ. 8 კორპ(261223)")+35000+N("მე-15-ე მკრ. 9 კორპ(261223)")+35000+N("მე-14-ე მკრ. №47 კორპ (261223)")+5000+N("მესხიშვ. I გასასვლ. №7 (261223)")</f>
        <v>430000</v>
      </c>
      <c r="I257" s="132"/>
      <c r="J257" s="132">
        <f>12203.39+12203.39+0.000001+12203.39+12203.39+5338.98+5338.98+5338.98+762.71</f>
        <v>65593.210000999999</v>
      </c>
      <c r="K257" s="132">
        <f t="shared" si="36"/>
        <v>546406.78999900003</v>
      </c>
      <c r="L257" s="132">
        <f t="shared" si="31"/>
        <v>364406.78999900003</v>
      </c>
      <c r="M257" s="133"/>
      <c r="N257" s="133">
        <f t="shared" si="35"/>
        <v>546406.78999900003</v>
      </c>
      <c r="O257" s="291" t="s">
        <v>3834</v>
      </c>
      <c r="P257" s="133"/>
      <c r="Q257" s="2" t="s">
        <v>942</v>
      </c>
      <c r="R257" s="156">
        <f t="shared" si="32"/>
        <v>0</v>
      </c>
      <c r="S257" s="156">
        <f t="shared" si="33"/>
        <v>0</v>
      </c>
      <c r="T257" s="133"/>
      <c r="U257" s="133"/>
      <c r="V257" s="133"/>
      <c r="W257" s="133"/>
      <c r="X257" s="133"/>
      <c r="Y257" s="133"/>
      <c r="Z257" s="133"/>
      <c r="AA257" s="133"/>
      <c r="AB257" s="133"/>
      <c r="AC257" s="133"/>
      <c r="AD257" s="133"/>
      <c r="AE257" s="133"/>
      <c r="AF257" s="133"/>
      <c r="AG257" s="133"/>
      <c r="AH257" s="133"/>
      <c r="AI257" s="133"/>
      <c r="AJ257" s="133"/>
      <c r="AK257" s="133"/>
      <c r="AL257" s="133"/>
      <c r="AM257" s="133"/>
      <c r="AN257" s="133"/>
      <c r="AO257" s="133"/>
      <c r="AP257" s="133"/>
      <c r="AQ257" s="133"/>
      <c r="AR257" s="133"/>
      <c r="AS257" s="153">
        <v>0</v>
      </c>
      <c r="AT257" s="153">
        <v>0</v>
      </c>
      <c r="AU257" s="153">
        <v>0</v>
      </c>
      <c r="AV257" s="135"/>
      <c r="AW257" s="135"/>
      <c r="AX257" s="135"/>
      <c r="AY257" s="135"/>
      <c r="AZ257" s="135"/>
      <c r="BA257" s="135"/>
      <c r="BB257" s="135"/>
      <c r="BC257" s="135"/>
      <c r="BD257" s="135"/>
      <c r="BE257" s="135"/>
      <c r="BF257" s="135"/>
      <c r="BG257" s="135"/>
      <c r="BH257" s="135"/>
      <c r="BI257" s="2" t="s">
        <v>3476</v>
      </c>
      <c r="BJ257" s="136"/>
      <c r="BK257" s="2">
        <v>0</v>
      </c>
      <c r="BL257" s="136" t="s">
        <v>18</v>
      </c>
      <c r="BM257" s="136">
        <v>44935</v>
      </c>
      <c r="BN257" s="2" t="s">
        <v>945</v>
      </c>
      <c r="BO257" s="2"/>
      <c r="BP257" s="136"/>
      <c r="BQ257" s="137"/>
      <c r="BR257" s="138"/>
    </row>
    <row r="258" spans="1:70" ht="12.75" customHeight="1" x14ac:dyDescent="0.2">
      <c r="A258" s="2">
        <v>1747</v>
      </c>
      <c r="B258" s="2" t="s">
        <v>54</v>
      </c>
      <c r="C258" s="2" t="s">
        <v>96</v>
      </c>
      <c r="D258" s="2" t="s">
        <v>947</v>
      </c>
      <c r="E258" s="2" t="s">
        <v>110</v>
      </c>
      <c r="F258" s="132">
        <f>1737.75+N("მე-20-ე მრკ. №13 კორპ. (070723)")+1814.75+N("მე-20-ე მრკ. №14 კორპ. (070723)")+948.5+N("მე-20-ე მრკ. №15 კორპ. (051023)")+656.25+N("მე-20-ე მრკ. №11 კორპ. (031023)")+1680+N("მე-20-ე მრკ. №12 კორპ. (031023)")+1365+N("მე-7-ე მრკ. №10 კორპ. (031023)")+3724+N("მე-7ა-ე მრკ. №1 კორპ. (031023)")+3466.75+N("მე-7ა-ე მრკ. №2 კორპ. (031023)")</f>
        <v>15393</v>
      </c>
      <c r="G258" s="132">
        <v>2</v>
      </c>
      <c r="H258" s="132">
        <f>1737.75+N("მე-20-ე მრკ. №13 კორპ. (070723)")+1814.75+N("მე-20-ე მრკ. №14 კორპ. (070723)")+948.5+N("მე-20-ე მრკ. №15 კორპ. (051023)")+656.25+N("მე-20-ე მრკ. №11 კორპ. (031023)")+1680+N("მე-20-ე მრკ. №12 კორპ. (031023)")+1365+N("მე-7-ე მრკ. №10 კორპ. (031023)")+3724+N("მე-7ა-ე მრკ. №1 კორპ. (031023)")+3466.75+N("მე-7ა-ე მრკ. №2 კორპ. (031023)")+1153.25+N("მე-7ა-ე მრკ. №3 კორპ. (021123)")</f>
        <v>16546.25</v>
      </c>
      <c r="I258" s="132"/>
      <c r="J258" s="132">
        <f>1737.75+1814.75+948.5+100.105+256.27+208.22+568.067+528.826+175.919</f>
        <v>6338.4070000000002</v>
      </c>
      <c r="K258" s="132">
        <f t="shared" si="36"/>
        <v>9054.5930000000008</v>
      </c>
      <c r="L258" s="132">
        <f t="shared" si="31"/>
        <v>10207.843000000001</v>
      </c>
      <c r="M258" s="133"/>
      <c r="N258" s="133">
        <f t="shared" si="35"/>
        <v>9054.5930000000008</v>
      </c>
      <c r="O258" s="291" t="s">
        <v>3834</v>
      </c>
      <c r="P258" s="133"/>
      <c r="Q258" s="2" t="s">
        <v>946</v>
      </c>
      <c r="R258" s="156">
        <f t="shared" si="32"/>
        <v>0</v>
      </c>
      <c r="S258" s="156">
        <f t="shared" si="33"/>
        <v>0</v>
      </c>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53">
        <v>0</v>
      </c>
      <c r="AT258" s="153">
        <v>0</v>
      </c>
      <c r="AU258" s="153">
        <v>0</v>
      </c>
      <c r="AV258" s="135"/>
      <c r="AW258" s="135"/>
      <c r="AX258" s="135"/>
      <c r="AY258" s="135"/>
      <c r="AZ258" s="135"/>
      <c r="BA258" s="135"/>
      <c r="BB258" s="135"/>
      <c r="BC258" s="135"/>
      <c r="BD258" s="135"/>
      <c r="BE258" s="135"/>
      <c r="BF258" s="135"/>
      <c r="BG258" s="135"/>
      <c r="BH258" s="135"/>
      <c r="BI258" s="2" t="s">
        <v>112</v>
      </c>
      <c r="BJ258" s="136"/>
      <c r="BK258" s="2">
        <v>0</v>
      </c>
      <c r="BL258" s="136" t="s">
        <v>18</v>
      </c>
      <c r="BM258" s="136">
        <v>44935</v>
      </c>
      <c r="BN258" s="2" t="s">
        <v>949</v>
      </c>
      <c r="BO258" s="2"/>
      <c r="BP258" s="136"/>
      <c r="BQ258" s="137" t="s">
        <v>134</v>
      </c>
      <c r="BR258" s="138"/>
    </row>
    <row r="259" spans="1:70" ht="12.75" customHeight="1" x14ac:dyDescent="0.2">
      <c r="A259" s="2">
        <v>1748</v>
      </c>
      <c r="B259" s="2" t="s">
        <v>54</v>
      </c>
      <c r="C259" s="2" t="s">
        <v>96</v>
      </c>
      <c r="D259" s="2" t="s">
        <v>948</v>
      </c>
      <c r="E259" s="2" t="s">
        <v>71</v>
      </c>
      <c r="F259" s="132">
        <v>455000</v>
      </c>
      <c r="G259" s="132">
        <v>2</v>
      </c>
      <c r="H259" s="132">
        <f>50000+N("მე-8-ე მკრ. №10 კორპ-280723")+70000+N("მე-20-ე მკრ. №13 კორპ-300823")+10000+N("მე-8-ე მკრ. №10 კორპ - 300823")+5000+N("მე-20-ე მკრ. №13 კორპ - 290923")+60000+N("მე-20-ე მკრ. №14 კორპ - I შუალ 290923")+60000+N("მე-20-ე მკრ. №15 კორპ - I შუალ 290923")+13558+N("მე-8-ე მკრ. №10 კორპ (საბ 290923")+7000+N("მე-20-ე მკრ. №15 კორპ (II შუალ 301023)")+50000+N("მე-20-ე მკრ. №12 კორპ (301023)")+50000+N("მე-20-ე მკრ. №11 კორპ (301023)")+60000+N("მე-7ა-ე მკრ. №1 კორპ (301023)")+60000+N("მე-7ა-ე მკრ. №2 კორპ (301023)")+7431+N("მე-20-ე მკრ. №13 კორპ საბოლ 301023")+50000+N("მე-7-ე მკრ. №10 კორპ - 271123")+35000+N("მე-7ა-ე მრკ. №3 კორპ. (271123)")+15000+N("მე-20-ე მკრ. №14 კორპ - II შუალ 301123")+7000+N("მე-20-ე მკრ. №15 კორპ (III შუალ 301123)")+2000+N("მე-7ა-ე მრკ. №1 კორპ. (261223)")+2000+N("მე-7-ე მკრ. №10 კორპ - 261223")+812+N("მე-20-ე მკრ. №11 კორპ საბოლ (181223)")+13133+N("მე-20-ე მკრ. №12 კორპ საბოლ (181223)")+6842+N("მე-20-ე მკრ. №14 კორპ საბოლ (181223)")+358+N("მე-20-ე მკრ. №15 კორპ საბოლ (181223)")</f>
        <v>635134</v>
      </c>
      <c r="I259" s="132"/>
      <c r="J259" s="132">
        <f>7627.12+AS259+AV259+10677.966+1525.42+762.71+9152.54+9152.54+2068.17+1067.796+7627.118+7627.118+9152.54+9152.54+1133.54+7627.12+5338.98+2288.14+1067.796+0.000001+1368.14+14556.73+10534.75+6842+11489.83+358+305.08+305.08</f>
        <v>459995.19400099997</v>
      </c>
      <c r="K259" s="132">
        <f t="shared" si="36"/>
        <v>-4995.1940009999671</v>
      </c>
      <c r="L259" s="132">
        <f t="shared" si="31"/>
        <v>175138.80599900003</v>
      </c>
      <c r="M259" s="133">
        <f>1011+910+384+971+1046+603</f>
        <v>4925</v>
      </c>
      <c r="N259" s="133">
        <f t="shared" si="35"/>
        <v>-4995.1940009999671</v>
      </c>
      <c r="O259" s="291" t="s">
        <v>3834</v>
      </c>
      <c r="P259" s="133"/>
      <c r="Q259" s="2" t="s">
        <v>946</v>
      </c>
      <c r="R259" s="156">
        <f t="shared" si="32"/>
        <v>0</v>
      </c>
      <c r="S259" s="156">
        <f t="shared" si="33"/>
        <v>0</v>
      </c>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53">
        <v>0</v>
      </c>
      <c r="AT259" s="153">
        <v>0</v>
      </c>
      <c r="AU259" s="153">
        <v>0</v>
      </c>
      <c r="AV259" s="135">
        <f>42372.88+N("მე-8-ე მკრ. კორპ 10")+8474.58+N("მე-8-ე მკრ. კორპ 10")+59322.03+N("მე-20-ე მკრ. კორპ 13")+42372.88+N("მე-20-ე მკრ. კორპ 11")+42372.88+N("მე-20-ე მკრ. კორპ 12")+50847.46+N("მე-20-ე მკრ. კორპ 14 ფაქტორ I")+12711.86+N("მე-20-ე მკრ. კორპ 14 ფაქტორ II")+50847.46+N("მე-20-ე მკრ. კორპ 15 ფაქტორ I")+5932.2+N("მე-20-ე მკრ. კორპ 15 ფაქტორ II")+5932.2+N("მე-20-ე მკრ. კორპ 15 ფაქტორ III")</f>
        <v>321186.43000000005</v>
      </c>
      <c r="AW259" s="135">
        <f>4602.97+N("მე-8-ე მკრ. კორპ 10")+801.02+N("მე-8-ე მკრ. კორპ 10")+5607.15+N("მე-20-ე მკრ. კორპ 13")+3012.54+N("მე-20-ე მკრ. კორპ 11")+3012.54+N("მე-20-ე მკრ. კორპ 12")+4504.03+N("მე-20-ე მკრ. კორპ 14 ფაქტორ I")+778.38+N("მე-20-ე მკრ. კორპ 14 ფაქტორ II")+4504.03+N("მე-20-ე მკრ. კორპ 15 ფაქტორ I")+421.76+N("მე-20-ე მკრ. კორპ 15 ფაქტორ II")+363.25+N("მე-20-ე მკრ. კორპ 15 ფაქტორ III")</f>
        <v>27607.67</v>
      </c>
      <c r="AX259" s="135"/>
      <c r="AY259" s="135"/>
      <c r="AZ259" s="135"/>
      <c r="BA259" s="135"/>
      <c r="BB259" s="135"/>
      <c r="BC259" s="135"/>
      <c r="BD259" s="135"/>
      <c r="BE259" s="135"/>
      <c r="BF259" s="135"/>
      <c r="BG259" s="135"/>
      <c r="BH259" s="135"/>
      <c r="BI259" s="2" t="s">
        <v>3476</v>
      </c>
      <c r="BJ259" s="136"/>
      <c r="BK259" s="2">
        <v>45</v>
      </c>
      <c r="BL259" s="136" t="s">
        <v>18</v>
      </c>
      <c r="BM259" s="136">
        <v>44935</v>
      </c>
      <c r="BN259" s="2" t="s">
        <v>950</v>
      </c>
      <c r="BO259" s="2"/>
      <c r="BP259" s="136"/>
      <c r="BQ259" s="137"/>
      <c r="BR259" s="138"/>
    </row>
    <row r="260" spans="1:70" ht="12.75" customHeight="1" x14ac:dyDescent="0.2">
      <c r="A260" s="2">
        <v>1749</v>
      </c>
      <c r="B260" s="2" t="s">
        <v>54</v>
      </c>
      <c r="C260" s="2" t="s">
        <v>96</v>
      </c>
      <c r="D260" s="2" t="s">
        <v>954</v>
      </c>
      <c r="E260" s="2" t="s">
        <v>110</v>
      </c>
      <c r="F260" s="132">
        <v>0</v>
      </c>
      <c r="G260" s="132">
        <v>2</v>
      </c>
      <c r="H260" s="132"/>
      <c r="I260" s="132"/>
      <c r="J260" s="132"/>
      <c r="K260" s="132">
        <f t="shared" si="36"/>
        <v>0</v>
      </c>
      <c r="L260" s="132">
        <f t="shared" si="31"/>
        <v>0</v>
      </c>
      <c r="M260" s="133"/>
      <c r="N260" s="133">
        <f t="shared" si="35"/>
        <v>0</v>
      </c>
      <c r="O260" s="134">
        <v>2</v>
      </c>
      <c r="P260" s="133"/>
      <c r="Q260" s="2" t="s">
        <v>951</v>
      </c>
      <c r="R260" s="156">
        <f t="shared" si="32"/>
        <v>0</v>
      </c>
      <c r="S260" s="156">
        <f t="shared" si="33"/>
        <v>0</v>
      </c>
      <c r="T260" s="133"/>
      <c r="U260" s="133"/>
      <c r="V260" s="133"/>
      <c r="W260" s="133"/>
      <c r="X260" s="133"/>
      <c r="Y260" s="133"/>
      <c r="Z260" s="133"/>
      <c r="AA260" s="133"/>
      <c r="AB260" s="133"/>
      <c r="AC260" s="133"/>
      <c r="AD260" s="133"/>
      <c r="AE260" s="133"/>
      <c r="AF260" s="133"/>
      <c r="AG260" s="133"/>
      <c r="AH260" s="133"/>
      <c r="AI260" s="133"/>
      <c r="AJ260" s="133"/>
      <c r="AK260" s="133"/>
      <c r="AL260" s="133"/>
      <c r="AM260" s="133"/>
      <c r="AN260" s="133"/>
      <c r="AO260" s="133"/>
      <c r="AP260" s="133"/>
      <c r="AQ260" s="133"/>
      <c r="AR260" s="133"/>
      <c r="AS260" s="153">
        <v>0</v>
      </c>
      <c r="AT260" s="153">
        <v>0</v>
      </c>
      <c r="AU260" s="153">
        <v>0</v>
      </c>
      <c r="AV260" s="135"/>
      <c r="AW260" s="135"/>
      <c r="AX260" s="135"/>
      <c r="AY260" s="135"/>
      <c r="AZ260" s="135"/>
      <c r="BA260" s="135"/>
      <c r="BB260" s="135"/>
      <c r="BC260" s="135"/>
      <c r="BD260" s="135"/>
      <c r="BE260" s="135"/>
      <c r="BF260" s="135"/>
      <c r="BG260" s="135"/>
      <c r="BH260" s="135"/>
      <c r="BI260" s="2" t="s">
        <v>112</v>
      </c>
      <c r="BJ260" s="136"/>
      <c r="BK260" s="2">
        <v>0</v>
      </c>
      <c r="BL260" s="136" t="s">
        <v>18</v>
      </c>
      <c r="BM260" s="136">
        <v>44935</v>
      </c>
      <c r="BN260" s="2" t="s">
        <v>960</v>
      </c>
      <c r="BO260" s="2"/>
      <c r="BP260" s="136"/>
      <c r="BQ260" s="137"/>
      <c r="BR260" s="138"/>
    </row>
    <row r="261" spans="1:70" ht="12.75" customHeight="1" x14ac:dyDescent="0.2">
      <c r="A261" s="2">
        <v>1750</v>
      </c>
      <c r="B261" s="2" t="s">
        <v>54</v>
      </c>
      <c r="C261" s="2" t="s">
        <v>96</v>
      </c>
      <c r="D261" s="2" t="s">
        <v>955</v>
      </c>
      <c r="E261" s="2" t="s">
        <v>71</v>
      </c>
      <c r="F261" s="132">
        <v>20000</v>
      </c>
      <c r="G261" s="132">
        <v>2</v>
      </c>
      <c r="H261" s="132"/>
      <c r="I261" s="132"/>
      <c r="J261" s="132">
        <f>+AS261</f>
        <v>0</v>
      </c>
      <c r="K261" s="132">
        <f t="shared" si="36"/>
        <v>20000</v>
      </c>
      <c r="L261" s="132">
        <f t="shared" si="31"/>
        <v>0</v>
      </c>
      <c r="M261" s="133"/>
      <c r="N261" s="133">
        <f t="shared" si="35"/>
        <v>20000</v>
      </c>
      <c r="O261" s="134">
        <v>1</v>
      </c>
      <c r="P261" s="133"/>
      <c r="Q261" s="2" t="s">
        <v>951</v>
      </c>
      <c r="R261" s="156">
        <f t="shared" si="32"/>
        <v>0</v>
      </c>
      <c r="S261" s="156">
        <f t="shared" si="33"/>
        <v>0</v>
      </c>
      <c r="T261" s="133"/>
      <c r="U261" s="133"/>
      <c r="V261" s="133"/>
      <c r="W261" s="133"/>
      <c r="X261" s="133"/>
      <c r="Y261" s="133"/>
      <c r="Z261" s="133"/>
      <c r="AA261" s="133"/>
      <c r="AB261" s="133"/>
      <c r="AC261" s="133"/>
      <c r="AD261" s="133"/>
      <c r="AE261" s="133"/>
      <c r="AF261" s="133"/>
      <c r="AG261" s="133"/>
      <c r="AH261" s="133"/>
      <c r="AI261" s="133"/>
      <c r="AJ261" s="133"/>
      <c r="AK261" s="133"/>
      <c r="AL261" s="133"/>
      <c r="AM261" s="133"/>
      <c r="AN261" s="133"/>
      <c r="AO261" s="133"/>
      <c r="AP261" s="133"/>
      <c r="AQ261" s="133"/>
      <c r="AR261" s="133"/>
      <c r="AS261" s="153">
        <v>0</v>
      </c>
      <c r="AT261" s="153">
        <v>0</v>
      </c>
      <c r="AU261" s="153">
        <v>0</v>
      </c>
      <c r="AV261" s="135"/>
      <c r="AW261" s="135"/>
      <c r="AX261" s="135"/>
      <c r="AY261" s="135"/>
      <c r="AZ261" s="135"/>
      <c r="BA261" s="135"/>
      <c r="BB261" s="135"/>
      <c r="BC261" s="135"/>
      <c r="BD261" s="135"/>
      <c r="BE261" s="135"/>
      <c r="BF261" s="135"/>
      <c r="BG261" s="135"/>
      <c r="BH261" s="135"/>
      <c r="BI261" s="2" t="s">
        <v>11</v>
      </c>
      <c r="BJ261" s="136"/>
      <c r="BK261" s="2">
        <v>0</v>
      </c>
      <c r="BL261" s="136" t="s">
        <v>18</v>
      </c>
      <c r="BM261" s="136">
        <v>44935</v>
      </c>
      <c r="BN261" s="2" t="s">
        <v>961</v>
      </c>
      <c r="BO261" s="2"/>
      <c r="BP261" s="136"/>
      <c r="BQ261" s="137"/>
      <c r="BR261" s="138"/>
    </row>
    <row r="262" spans="1:70" ht="12.75" customHeight="1" x14ac:dyDescent="0.2">
      <c r="A262" s="2">
        <v>1751</v>
      </c>
      <c r="B262" s="2" t="s">
        <v>54</v>
      </c>
      <c r="C262" s="2" t="s">
        <v>97</v>
      </c>
      <c r="D262" s="2" t="s">
        <v>956</v>
      </c>
      <c r="E262" s="2" t="s">
        <v>110</v>
      </c>
      <c r="F262" s="132">
        <v>1947.75</v>
      </c>
      <c r="G262" s="132"/>
      <c r="H262" s="132">
        <f>1113*1.75</f>
        <v>1947.75</v>
      </c>
      <c r="I262" s="132"/>
      <c r="J262" s="132">
        <f>297.114+1650.64</f>
        <v>1947.7540000000001</v>
      </c>
      <c r="K262" s="132">
        <f t="shared" si="36"/>
        <v>-4.0000000001327862E-3</v>
      </c>
      <c r="L262" s="132">
        <f t="shared" si="31"/>
        <v>-4.0000000001327862E-3</v>
      </c>
      <c r="M262" s="133"/>
      <c r="N262" s="133">
        <f t="shared" si="35"/>
        <v>-4.0000000001327862E-3</v>
      </c>
      <c r="O262" s="134">
        <v>0</v>
      </c>
      <c r="P262" s="133"/>
      <c r="Q262" s="2" t="s">
        <v>952</v>
      </c>
      <c r="R262" s="156">
        <f t="shared" si="32"/>
        <v>0</v>
      </c>
      <c r="S262" s="156">
        <f t="shared" si="33"/>
        <v>0</v>
      </c>
      <c r="T262" s="133"/>
      <c r="U262" s="133"/>
      <c r="V262" s="133"/>
      <c r="W262" s="133"/>
      <c r="X262" s="133"/>
      <c r="Y262" s="133"/>
      <c r="Z262" s="133"/>
      <c r="AA262" s="133"/>
      <c r="AB262" s="133"/>
      <c r="AC262" s="133"/>
      <c r="AD262" s="133"/>
      <c r="AE262" s="133"/>
      <c r="AF262" s="133"/>
      <c r="AG262" s="133"/>
      <c r="AH262" s="133"/>
      <c r="AI262" s="133"/>
      <c r="AJ262" s="133"/>
      <c r="AK262" s="133"/>
      <c r="AL262" s="133"/>
      <c r="AM262" s="133"/>
      <c r="AN262" s="133"/>
      <c r="AO262" s="133"/>
      <c r="AP262" s="133"/>
      <c r="AQ262" s="133"/>
      <c r="AR262" s="133"/>
      <c r="AS262" s="153">
        <v>0</v>
      </c>
      <c r="AT262" s="153">
        <v>0</v>
      </c>
      <c r="AU262" s="153">
        <v>0</v>
      </c>
      <c r="AV262" s="135"/>
      <c r="AW262" s="135"/>
      <c r="AX262" s="135"/>
      <c r="AY262" s="135"/>
      <c r="AZ262" s="135"/>
      <c r="BA262" s="135"/>
      <c r="BB262" s="135"/>
      <c r="BC262" s="135"/>
      <c r="BD262" s="135"/>
      <c r="BE262" s="135"/>
      <c r="BF262" s="135"/>
      <c r="BG262" s="135"/>
      <c r="BH262" s="135"/>
      <c r="BI262" s="2" t="s">
        <v>112</v>
      </c>
      <c r="BJ262" s="136">
        <v>45233</v>
      </c>
      <c r="BK262" s="2" t="s">
        <v>145</v>
      </c>
      <c r="BL262" s="136" t="s">
        <v>18</v>
      </c>
      <c r="BM262" s="136">
        <v>44935</v>
      </c>
      <c r="BN262" s="2" t="s">
        <v>962</v>
      </c>
      <c r="BO262" s="2"/>
      <c r="BP262" s="136"/>
      <c r="BQ262" s="137" t="s">
        <v>134</v>
      </c>
      <c r="BR262" s="138"/>
    </row>
    <row r="263" spans="1:70" ht="12.75" customHeight="1" x14ac:dyDescent="0.2">
      <c r="A263" s="2">
        <v>1752</v>
      </c>
      <c r="B263" s="2" t="s">
        <v>54</v>
      </c>
      <c r="C263" s="2" t="s">
        <v>97</v>
      </c>
      <c r="D263" s="2" t="s">
        <v>957</v>
      </c>
      <c r="E263" s="2" t="s">
        <v>71</v>
      </c>
      <c r="F263" s="132">
        <v>15000</v>
      </c>
      <c r="G263" s="132"/>
      <c r="H263" s="132">
        <f>35000+6987</f>
        <v>41987</v>
      </c>
      <c r="I263" s="132"/>
      <c r="J263" s="132">
        <f>AS263+AV263+5338.98+8637.64-1650.64+N("ეს თანხა ცალკეა გატარებული ჩემთან პროექტზე")</f>
        <v>41987</v>
      </c>
      <c r="K263" s="132">
        <f t="shared" si="36"/>
        <v>-26987</v>
      </c>
      <c r="L263" s="132">
        <f t="shared" si="31"/>
        <v>0</v>
      </c>
      <c r="M263" s="133">
        <v>1126</v>
      </c>
      <c r="N263" s="133">
        <f t="shared" si="35"/>
        <v>0</v>
      </c>
      <c r="O263" s="134">
        <v>0</v>
      </c>
      <c r="P263" s="133"/>
      <c r="Q263" s="2" t="s">
        <v>952</v>
      </c>
      <c r="R263" s="156">
        <f t="shared" si="32"/>
        <v>0</v>
      </c>
      <c r="S263" s="156">
        <f t="shared" si="33"/>
        <v>0</v>
      </c>
      <c r="T263" s="133"/>
      <c r="U263" s="133"/>
      <c r="V263" s="133"/>
      <c r="W263" s="133"/>
      <c r="X263" s="133"/>
      <c r="Y263" s="133"/>
      <c r="Z263" s="133"/>
      <c r="AA263" s="133"/>
      <c r="AB263" s="133"/>
      <c r="AC263" s="133"/>
      <c r="AD263" s="133"/>
      <c r="AE263" s="133"/>
      <c r="AF263" s="133"/>
      <c r="AG263" s="133"/>
      <c r="AH263" s="133"/>
      <c r="AI263" s="133"/>
      <c r="AJ263" s="133"/>
      <c r="AK263" s="133"/>
      <c r="AL263" s="133"/>
      <c r="AM263" s="133"/>
      <c r="AN263" s="133"/>
      <c r="AO263" s="133"/>
      <c r="AP263" s="133"/>
      <c r="AQ263" s="133"/>
      <c r="AR263" s="133"/>
      <c r="AS263" s="153">
        <v>0</v>
      </c>
      <c r="AT263" s="153">
        <v>0</v>
      </c>
      <c r="AU263" s="153">
        <v>0</v>
      </c>
      <c r="AV263" s="135">
        <v>29661.02</v>
      </c>
      <c r="AW263" s="135">
        <v>1816.23</v>
      </c>
      <c r="AX263" s="322"/>
      <c r="AY263" s="135"/>
      <c r="AZ263" s="135"/>
      <c r="BA263" s="135"/>
      <c r="BB263" s="135"/>
      <c r="BC263" s="135"/>
      <c r="BD263" s="135"/>
      <c r="BE263" s="135">
        <v>0</v>
      </c>
      <c r="BF263" s="135"/>
      <c r="BG263" s="135"/>
      <c r="BH263" s="135"/>
      <c r="BI263" s="2" t="s">
        <v>11</v>
      </c>
      <c r="BJ263" s="136">
        <v>45278</v>
      </c>
      <c r="BK263" s="2" t="s">
        <v>8</v>
      </c>
      <c r="BL263" s="136" t="s">
        <v>18</v>
      </c>
      <c r="BM263" s="136">
        <v>44935</v>
      </c>
      <c r="BN263" s="2" t="s">
        <v>963</v>
      </c>
      <c r="BO263" s="2"/>
      <c r="BP263" s="136"/>
      <c r="BQ263" s="137" t="s">
        <v>119</v>
      </c>
      <c r="BR263" s="138"/>
    </row>
    <row r="264" spans="1:70" ht="12.75" customHeight="1" x14ac:dyDescent="0.2">
      <c r="A264" s="2">
        <v>1753</v>
      </c>
      <c r="B264" s="2" t="s">
        <v>54</v>
      </c>
      <c r="C264" s="2" t="s">
        <v>96</v>
      </c>
      <c r="D264" s="2" t="s">
        <v>958</v>
      </c>
      <c r="E264" s="2" t="s">
        <v>110</v>
      </c>
      <c r="F264" s="132">
        <v>0</v>
      </c>
      <c r="G264" s="132">
        <v>2</v>
      </c>
      <c r="H264" s="132"/>
      <c r="I264" s="132"/>
      <c r="J264" s="132"/>
      <c r="K264" s="132">
        <f t="shared" si="36"/>
        <v>0</v>
      </c>
      <c r="L264" s="132">
        <f t="shared" si="31"/>
        <v>0</v>
      </c>
      <c r="M264" s="133"/>
      <c r="N264" s="133">
        <f t="shared" si="35"/>
        <v>0</v>
      </c>
      <c r="O264" s="134">
        <v>2</v>
      </c>
      <c r="P264" s="133"/>
      <c r="Q264" s="2" t="s">
        <v>953</v>
      </c>
      <c r="R264" s="156">
        <f t="shared" si="32"/>
        <v>0</v>
      </c>
      <c r="S264" s="156">
        <f t="shared" si="33"/>
        <v>0</v>
      </c>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53">
        <v>0</v>
      </c>
      <c r="AT264" s="153">
        <v>0</v>
      </c>
      <c r="AU264" s="153">
        <v>0</v>
      </c>
      <c r="AV264" s="135"/>
      <c r="AW264" s="135"/>
      <c r="AX264" s="135"/>
      <c r="AY264" s="135"/>
      <c r="AZ264" s="135"/>
      <c r="BA264" s="135"/>
      <c r="BB264" s="135"/>
      <c r="BC264" s="135"/>
      <c r="BD264" s="135"/>
      <c r="BE264" s="135"/>
      <c r="BF264" s="135"/>
      <c r="BG264" s="135"/>
      <c r="BH264" s="135"/>
      <c r="BI264" s="2" t="s">
        <v>112</v>
      </c>
      <c r="BJ264" s="136"/>
      <c r="BK264" s="2">
        <v>0</v>
      </c>
      <c r="BL264" s="136" t="s">
        <v>18</v>
      </c>
      <c r="BM264" s="136">
        <v>44935</v>
      </c>
      <c r="BN264" s="2" t="s">
        <v>964</v>
      </c>
      <c r="BO264" s="2"/>
      <c r="BP264" s="136"/>
      <c r="BQ264" s="137"/>
      <c r="BR264" s="138"/>
    </row>
    <row r="265" spans="1:70" ht="12.75" customHeight="1" x14ac:dyDescent="0.2">
      <c r="A265" s="2">
        <v>1754</v>
      </c>
      <c r="B265" s="2" t="s">
        <v>54</v>
      </c>
      <c r="C265" s="2" t="s">
        <v>96</v>
      </c>
      <c r="D265" s="2" t="s">
        <v>959</v>
      </c>
      <c r="E265" s="2" t="s">
        <v>71</v>
      </c>
      <c r="F265" s="132">
        <v>8000</v>
      </c>
      <c r="G265" s="132">
        <v>2</v>
      </c>
      <c r="H265" s="132"/>
      <c r="I265" s="132"/>
      <c r="J265" s="132">
        <f>+AS265</f>
        <v>0</v>
      </c>
      <c r="K265" s="132">
        <f t="shared" si="36"/>
        <v>8000</v>
      </c>
      <c r="L265" s="132">
        <f t="shared" si="31"/>
        <v>0</v>
      </c>
      <c r="M265" s="133"/>
      <c r="N265" s="133">
        <f t="shared" si="35"/>
        <v>8000</v>
      </c>
      <c r="O265" s="134">
        <v>1</v>
      </c>
      <c r="P265" s="133"/>
      <c r="Q265" s="2" t="s">
        <v>953</v>
      </c>
      <c r="R265" s="156">
        <f t="shared" si="32"/>
        <v>0</v>
      </c>
      <c r="S265" s="156">
        <f t="shared" si="33"/>
        <v>0</v>
      </c>
      <c r="T265" s="133"/>
      <c r="U265" s="133"/>
      <c r="V265" s="133"/>
      <c r="W265" s="133"/>
      <c r="X265" s="133"/>
      <c r="Y265" s="133"/>
      <c r="Z265" s="133"/>
      <c r="AA265" s="133"/>
      <c r="AB265" s="133"/>
      <c r="AC265" s="133"/>
      <c r="AD265" s="133"/>
      <c r="AE265" s="133"/>
      <c r="AF265" s="133"/>
      <c r="AG265" s="133"/>
      <c r="AH265" s="133"/>
      <c r="AI265" s="133"/>
      <c r="AJ265" s="133"/>
      <c r="AK265" s="133"/>
      <c r="AL265" s="133"/>
      <c r="AM265" s="133"/>
      <c r="AN265" s="133"/>
      <c r="AO265" s="133"/>
      <c r="AP265" s="133"/>
      <c r="AQ265" s="133"/>
      <c r="AR265" s="133"/>
      <c r="AS265" s="153">
        <v>0</v>
      </c>
      <c r="AT265" s="153">
        <v>0</v>
      </c>
      <c r="AU265" s="153">
        <v>0</v>
      </c>
      <c r="AV265" s="135"/>
      <c r="AW265" s="135"/>
      <c r="AX265" s="135"/>
      <c r="AY265" s="135"/>
      <c r="AZ265" s="135"/>
      <c r="BA265" s="135"/>
      <c r="BB265" s="135"/>
      <c r="BC265" s="135"/>
      <c r="BD265" s="135"/>
      <c r="BE265" s="135"/>
      <c r="BF265" s="135"/>
      <c r="BG265" s="135"/>
      <c r="BH265" s="135"/>
      <c r="BI265" s="2" t="s">
        <v>11</v>
      </c>
      <c r="BJ265" s="136"/>
      <c r="BK265" s="2">
        <v>0</v>
      </c>
      <c r="BL265" s="136" t="s">
        <v>18</v>
      </c>
      <c r="BM265" s="136">
        <v>44935</v>
      </c>
      <c r="BN265" s="2" t="s">
        <v>965</v>
      </c>
      <c r="BO265" s="2"/>
      <c r="BP265" s="136"/>
      <c r="BQ265" s="137"/>
      <c r="BR265" s="138"/>
    </row>
    <row r="266" spans="1:70" ht="12.75" customHeight="1" x14ac:dyDescent="0.2">
      <c r="A266" s="2">
        <v>1755</v>
      </c>
      <c r="B266" s="2" t="s">
        <v>54</v>
      </c>
      <c r="C266" s="2" t="s">
        <v>50</v>
      </c>
      <c r="D266" s="2" t="s">
        <v>966</v>
      </c>
      <c r="E266" s="2" t="s">
        <v>110</v>
      </c>
      <c r="F266" s="132">
        <v>6795</v>
      </c>
      <c r="G266" s="132"/>
      <c r="H266" s="132">
        <v>6795</v>
      </c>
      <c r="I266" s="132"/>
      <c r="J266" s="132">
        <f>1036.53+5758.47</f>
        <v>6795</v>
      </c>
      <c r="K266" s="132">
        <f t="shared" si="36"/>
        <v>0</v>
      </c>
      <c r="L266" s="132">
        <f t="shared" si="31"/>
        <v>0</v>
      </c>
      <c r="M266" s="133"/>
      <c r="N266" s="133">
        <f t="shared" si="35"/>
        <v>0</v>
      </c>
      <c r="O266" s="134">
        <v>0</v>
      </c>
      <c r="P266" s="133"/>
      <c r="Q266" s="2" t="s">
        <v>912</v>
      </c>
      <c r="R266" s="156">
        <f t="shared" si="32"/>
        <v>0</v>
      </c>
      <c r="S266" s="156">
        <f t="shared" si="33"/>
        <v>0</v>
      </c>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53">
        <v>0</v>
      </c>
      <c r="AT266" s="153">
        <v>0</v>
      </c>
      <c r="AU266" s="153">
        <v>0</v>
      </c>
      <c r="AV266" s="135"/>
      <c r="AW266" s="135"/>
      <c r="AX266" s="135"/>
      <c r="AY266" s="135"/>
      <c r="AZ266" s="135"/>
      <c r="BA266" s="135"/>
      <c r="BB266" s="135"/>
      <c r="BC266" s="135"/>
      <c r="BD266" s="135"/>
      <c r="BE266" s="135"/>
      <c r="BF266" s="135"/>
      <c r="BG266" s="135"/>
      <c r="BH266" s="135"/>
      <c r="BI266" s="2" t="s">
        <v>112</v>
      </c>
      <c r="BJ266" s="136">
        <v>45100</v>
      </c>
      <c r="BK266" s="2" t="s">
        <v>145</v>
      </c>
      <c r="BL266" s="136" t="s">
        <v>18</v>
      </c>
      <c r="BM266" s="136">
        <v>44935</v>
      </c>
      <c r="BN266" s="2" t="s">
        <v>968</v>
      </c>
      <c r="BO266" s="2"/>
      <c r="BP266" s="136"/>
      <c r="BQ266" s="137" t="s">
        <v>134</v>
      </c>
      <c r="BR266" s="138"/>
    </row>
    <row r="267" spans="1:70" ht="12.75" customHeight="1" x14ac:dyDescent="0.2">
      <c r="A267" s="2">
        <v>1756</v>
      </c>
      <c r="B267" s="2" t="s">
        <v>54</v>
      </c>
      <c r="C267" s="2" t="s">
        <v>50</v>
      </c>
      <c r="D267" s="2" t="s">
        <v>967</v>
      </c>
      <c r="E267" s="2" t="s">
        <v>110</v>
      </c>
      <c r="F267" s="132">
        <v>10540</v>
      </c>
      <c r="G267" s="132"/>
      <c r="H267" s="132">
        <v>10540</v>
      </c>
      <c r="I267" s="132"/>
      <c r="J267" s="132">
        <f>1607.8+8932.2</f>
        <v>10540</v>
      </c>
      <c r="K267" s="132">
        <f t="shared" si="36"/>
        <v>0</v>
      </c>
      <c r="L267" s="132">
        <f t="shared" ref="L267:L330" si="37">H267-J267</f>
        <v>0</v>
      </c>
      <c r="M267" s="133"/>
      <c r="N267" s="133">
        <f t="shared" si="35"/>
        <v>0</v>
      </c>
      <c r="O267" s="134">
        <v>0</v>
      </c>
      <c r="P267" s="133"/>
      <c r="Q267" s="2" t="s">
        <v>913</v>
      </c>
      <c r="R267" s="156">
        <f t="shared" ref="R267:R330" si="38">T267+V267+X267+Z267+AB267+AD267+AF267+AH267+AJ267+AL267+AN267+AP267</f>
        <v>0</v>
      </c>
      <c r="S267" s="156">
        <f t="shared" ref="S267:S330" si="39">U267+W267+Y267+AA267+AC267+AE267+AG267+AI267+AK267+AM267+AO267+AQ267</f>
        <v>0</v>
      </c>
      <c r="T267" s="133"/>
      <c r="U267" s="133"/>
      <c r="V267" s="133"/>
      <c r="W267" s="133"/>
      <c r="X267" s="133"/>
      <c r="Y267" s="133"/>
      <c r="Z267" s="133"/>
      <c r="AA267" s="133"/>
      <c r="AB267" s="133"/>
      <c r="AC267" s="133"/>
      <c r="AD267" s="133"/>
      <c r="AE267" s="133"/>
      <c r="AF267" s="133"/>
      <c r="AG267" s="133"/>
      <c r="AH267" s="133"/>
      <c r="AI267" s="133"/>
      <c r="AJ267" s="133"/>
      <c r="AK267" s="133"/>
      <c r="AL267" s="133"/>
      <c r="AM267" s="133"/>
      <c r="AN267" s="133"/>
      <c r="AO267" s="133"/>
      <c r="AP267" s="133"/>
      <c r="AQ267" s="133"/>
      <c r="AR267" s="133"/>
      <c r="AS267" s="153">
        <v>0</v>
      </c>
      <c r="AT267" s="153">
        <v>0</v>
      </c>
      <c r="AU267" s="153">
        <v>0</v>
      </c>
      <c r="AV267" s="135"/>
      <c r="AW267" s="135"/>
      <c r="AX267" s="135"/>
      <c r="AY267" s="135"/>
      <c r="AZ267" s="135"/>
      <c r="BA267" s="135"/>
      <c r="BB267" s="135"/>
      <c r="BC267" s="135"/>
      <c r="BD267" s="135"/>
      <c r="BE267" s="135"/>
      <c r="BF267" s="135"/>
      <c r="BG267" s="135"/>
      <c r="BH267" s="135"/>
      <c r="BI267" s="2" t="s">
        <v>112</v>
      </c>
      <c r="BJ267" s="136">
        <v>45100</v>
      </c>
      <c r="BK267" s="2" t="s">
        <v>145</v>
      </c>
      <c r="BL267" s="136" t="s">
        <v>18</v>
      </c>
      <c r="BM267" s="136">
        <v>44935</v>
      </c>
      <c r="BN267" s="2" t="s">
        <v>969</v>
      </c>
      <c r="BO267" s="2"/>
      <c r="BP267" s="136"/>
      <c r="BQ267" s="137" t="s">
        <v>134</v>
      </c>
      <c r="BR267" s="138"/>
    </row>
    <row r="268" spans="1:70" ht="12.75" customHeight="1" x14ac:dyDescent="0.2">
      <c r="A268" s="2">
        <v>1757</v>
      </c>
      <c r="B268" s="2" t="s">
        <v>54</v>
      </c>
      <c r="C268" s="2" t="s">
        <v>50</v>
      </c>
      <c r="D268" s="2" t="s">
        <v>1140</v>
      </c>
      <c r="E268" s="2" t="s">
        <v>110</v>
      </c>
      <c r="F268" s="132">
        <v>3552</v>
      </c>
      <c r="G268" s="132"/>
      <c r="H268" s="132">
        <v>3552</v>
      </c>
      <c r="I268" s="132"/>
      <c r="J268" s="132">
        <f>541.83+3010.17</f>
        <v>3552</v>
      </c>
      <c r="K268" s="132">
        <f t="shared" si="36"/>
        <v>0</v>
      </c>
      <c r="L268" s="132">
        <f t="shared" si="37"/>
        <v>0</v>
      </c>
      <c r="M268" s="133"/>
      <c r="N268" s="133">
        <f t="shared" si="35"/>
        <v>0</v>
      </c>
      <c r="O268" s="134">
        <v>0</v>
      </c>
      <c r="P268" s="133"/>
      <c r="Q268" s="2" t="s">
        <v>914</v>
      </c>
      <c r="R268" s="156">
        <f t="shared" si="38"/>
        <v>0</v>
      </c>
      <c r="S268" s="156">
        <f t="shared" si="39"/>
        <v>0</v>
      </c>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53">
        <v>0</v>
      </c>
      <c r="AT268" s="153">
        <v>0</v>
      </c>
      <c r="AU268" s="153">
        <v>0</v>
      </c>
      <c r="AV268" s="135"/>
      <c r="AW268" s="135"/>
      <c r="AX268" s="135"/>
      <c r="AY268" s="135"/>
      <c r="AZ268" s="135"/>
      <c r="BA268" s="135"/>
      <c r="BB268" s="135"/>
      <c r="BC268" s="135"/>
      <c r="BD268" s="135"/>
      <c r="BE268" s="135"/>
      <c r="BF268" s="135"/>
      <c r="BG268" s="135"/>
      <c r="BH268" s="135"/>
      <c r="BI268" s="2" t="s">
        <v>112</v>
      </c>
      <c r="BJ268" s="136">
        <v>45100</v>
      </c>
      <c r="BK268" s="2" t="s">
        <v>145</v>
      </c>
      <c r="BL268" s="136" t="s">
        <v>18</v>
      </c>
      <c r="BM268" s="136">
        <v>44935</v>
      </c>
      <c r="BN268" s="2" t="s">
        <v>970</v>
      </c>
      <c r="BO268" s="2"/>
      <c r="BP268" s="136"/>
      <c r="BQ268" s="137" t="s">
        <v>134</v>
      </c>
      <c r="BR268" s="138"/>
    </row>
    <row r="269" spans="1:70" ht="12.75" customHeight="1" x14ac:dyDescent="0.2">
      <c r="A269" s="2">
        <v>1758</v>
      </c>
      <c r="B269" s="2" t="s">
        <v>100</v>
      </c>
      <c r="C269" s="2" t="s">
        <v>95</v>
      </c>
      <c r="D269" s="2" t="s">
        <v>973</v>
      </c>
      <c r="E269" s="2" t="s">
        <v>106</v>
      </c>
      <c r="F269" s="132">
        <v>0</v>
      </c>
      <c r="G269" s="132">
        <v>2</v>
      </c>
      <c r="H269" s="132"/>
      <c r="I269" s="132"/>
      <c r="J269" s="132"/>
      <c r="K269" s="132">
        <f t="shared" si="36"/>
        <v>0</v>
      </c>
      <c r="L269" s="132">
        <f t="shared" si="37"/>
        <v>0</v>
      </c>
      <c r="M269" s="133"/>
      <c r="N269" s="133">
        <f t="shared" si="35"/>
        <v>0</v>
      </c>
      <c r="O269" s="134">
        <v>2</v>
      </c>
      <c r="P269" s="133"/>
      <c r="Q269" s="2" t="s">
        <v>1000</v>
      </c>
      <c r="R269" s="156">
        <f t="shared" si="38"/>
        <v>0</v>
      </c>
      <c r="S269" s="156">
        <f t="shared" si="39"/>
        <v>0</v>
      </c>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53">
        <v>0</v>
      </c>
      <c r="AT269" s="153">
        <v>0</v>
      </c>
      <c r="AU269" s="153">
        <v>0</v>
      </c>
      <c r="AV269" s="135"/>
      <c r="AW269" s="135"/>
      <c r="AX269" s="135"/>
      <c r="AY269" s="135"/>
      <c r="AZ269" s="135"/>
      <c r="BA269" s="135"/>
      <c r="BB269" s="135"/>
      <c r="BC269" s="135"/>
      <c r="BD269" s="135"/>
      <c r="BE269" s="135"/>
      <c r="BF269" s="135"/>
      <c r="BG269" s="135"/>
      <c r="BH269" s="135"/>
      <c r="BI269" s="2" t="s">
        <v>112</v>
      </c>
      <c r="BJ269" s="136"/>
      <c r="BK269" s="2">
        <v>0</v>
      </c>
      <c r="BL269" s="136" t="s">
        <v>18</v>
      </c>
      <c r="BM269" s="136">
        <v>44931</v>
      </c>
      <c r="BN269" s="2" t="s">
        <v>1034</v>
      </c>
      <c r="BO269" s="2"/>
      <c r="BP269" s="136"/>
      <c r="BQ269" s="137"/>
      <c r="BR269" s="138"/>
    </row>
    <row r="270" spans="1:70" ht="12.75" customHeight="1" x14ac:dyDescent="0.2">
      <c r="A270" s="2">
        <v>1759</v>
      </c>
      <c r="B270" s="2" t="s">
        <v>100</v>
      </c>
      <c r="C270" s="2" t="s">
        <v>95</v>
      </c>
      <c r="D270" s="2" t="s">
        <v>974</v>
      </c>
      <c r="E270" s="2" t="s">
        <v>90</v>
      </c>
      <c r="F270" s="132">
        <v>18000</v>
      </c>
      <c r="G270" s="132">
        <v>2</v>
      </c>
      <c r="H270" s="132"/>
      <c r="I270" s="132"/>
      <c r="J270" s="132"/>
      <c r="K270" s="132">
        <f t="shared" si="36"/>
        <v>18000</v>
      </c>
      <c r="L270" s="132">
        <f t="shared" si="37"/>
        <v>0</v>
      </c>
      <c r="M270" s="133"/>
      <c r="N270" s="133">
        <f t="shared" si="35"/>
        <v>18000</v>
      </c>
      <c r="O270" s="134">
        <v>1</v>
      </c>
      <c r="P270" s="133"/>
      <c r="Q270" s="2" t="s">
        <v>1000</v>
      </c>
      <c r="R270" s="156">
        <f t="shared" si="38"/>
        <v>0</v>
      </c>
      <c r="S270" s="156">
        <f t="shared" si="39"/>
        <v>0</v>
      </c>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53">
        <v>0</v>
      </c>
      <c r="AT270" s="153">
        <v>0</v>
      </c>
      <c r="AU270" s="153">
        <v>0</v>
      </c>
      <c r="AV270" s="135"/>
      <c r="AW270" s="135"/>
      <c r="AX270" s="135"/>
      <c r="AY270" s="135"/>
      <c r="AZ270" s="135"/>
      <c r="BA270" s="135"/>
      <c r="BB270" s="135"/>
      <c r="BC270" s="135"/>
      <c r="BD270" s="135"/>
      <c r="BE270" s="135"/>
      <c r="BF270" s="135"/>
      <c r="BG270" s="135"/>
      <c r="BH270" s="135"/>
      <c r="BI270" s="2" t="s">
        <v>11</v>
      </c>
      <c r="BJ270" s="136"/>
      <c r="BK270" s="2">
        <v>0</v>
      </c>
      <c r="BL270" s="136" t="s">
        <v>18</v>
      </c>
      <c r="BM270" s="136">
        <v>44931</v>
      </c>
      <c r="BN270" s="2" t="s">
        <v>1035</v>
      </c>
      <c r="BO270" s="2"/>
      <c r="BP270" s="136"/>
      <c r="BQ270" s="137"/>
      <c r="BR270" s="138"/>
    </row>
    <row r="271" spans="1:70" ht="12.75" customHeight="1" x14ac:dyDescent="0.2">
      <c r="A271" s="2">
        <v>1760</v>
      </c>
      <c r="B271" s="2" t="s">
        <v>39</v>
      </c>
      <c r="C271" s="2" t="s">
        <v>74</v>
      </c>
      <c r="D271" s="2" t="s">
        <v>975</v>
      </c>
      <c r="E271" s="2" t="s">
        <v>106</v>
      </c>
      <c r="F271" s="132">
        <f>1100*1.75</f>
        <v>1925</v>
      </c>
      <c r="G271" s="132">
        <v>2</v>
      </c>
      <c r="H271" s="132">
        <f>1100*1.75</f>
        <v>1925</v>
      </c>
      <c r="I271" s="132"/>
      <c r="J271" s="132">
        <f>293.64+1631.36</f>
        <v>1925</v>
      </c>
      <c r="K271" s="132">
        <f t="shared" si="36"/>
        <v>0</v>
      </c>
      <c r="L271" s="132">
        <f t="shared" si="37"/>
        <v>0</v>
      </c>
      <c r="M271" s="133"/>
      <c r="N271" s="133">
        <f t="shared" si="35"/>
        <v>0</v>
      </c>
      <c r="O271" s="134">
        <v>0</v>
      </c>
      <c r="P271" s="133"/>
      <c r="Q271" s="2" t="s">
        <v>1001</v>
      </c>
      <c r="R271" s="156">
        <f t="shared" si="38"/>
        <v>0</v>
      </c>
      <c r="S271" s="156">
        <f t="shared" si="39"/>
        <v>0</v>
      </c>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53">
        <v>0</v>
      </c>
      <c r="AT271" s="153">
        <v>0</v>
      </c>
      <c r="AU271" s="153">
        <v>0</v>
      </c>
      <c r="AV271" s="135"/>
      <c r="AW271" s="135"/>
      <c r="AX271" s="135"/>
      <c r="AY271" s="135"/>
      <c r="AZ271" s="135"/>
      <c r="BA271" s="135"/>
      <c r="BB271" s="135"/>
      <c r="BC271" s="135"/>
      <c r="BD271" s="135"/>
      <c r="BE271" s="135"/>
      <c r="BF271" s="135"/>
      <c r="BG271" s="135"/>
      <c r="BH271" s="135"/>
      <c r="BI271" s="2" t="s">
        <v>112</v>
      </c>
      <c r="BJ271" s="136">
        <v>45352</v>
      </c>
      <c r="BK271" s="2" t="s">
        <v>145</v>
      </c>
      <c r="BL271" s="136" t="s">
        <v>18</v>
      </c>
      <c r="BM271" s="136">
        <v>44931</v>
      </c>
      <c r="BN271" s="2" t="s">
        <v>1036</v>
      </c>
      <c r="BO271" s="2"/>
      <c r="BP271" s="136"/>
      <c r="BQ271" s="137" t="s">
        <v>134</v>
      </c>
      <c r="BR271" s="138"/>
    </row>
    <row r="272" spans="1:70" ht="12.75" customHeight="1" x14ac:dyDescent="0.2">
      <c r="A272" s="2">
        <v>1761</v>
      </c>
      <c r="B272" s="2" t="s">
        <v>39</v>
      </c>
      <c r="C272" s="2" t="s">
        <v>74</v>
      </c>
      <c r="D272" s="2" t="s">
        <v>976</v>
      </c>
      <c r="E272" s="2" t="s">
        <v>90</v>
      </c>
      <c r="F272" s="132">
        <v>66000</v>
      </c>
      <c r="G272" s="132">
        <v>2</v>
      </c>
      <c r="H272" s="132">
        <f>50000+20081.76</f>
        <v>70081.759999999995</v>
      </c>
      <c r="I272" s="132">
        <f>50000+20081.76</f>
        <v>70081.759999999995</v>
      </c>
      <c r="J272" s="132">
        <f>7627.118+AY272+3063.319+17018.443</f>
        <v>70081.760000000009</v>
      </c>
      <c r="K272" s="132">
        <f t="shared" si="36"/>
        <v>-4081.7600000000093</v>
      </c>
      <c r="L272" s="132">
        <f t="shared" si="37"/>
        <v>0</v>
      </c>
      <c r="M272" s="133">
        <v>1389</v>
      </c>
      <c r="N272" s="133">
        <f t="shared" si="35"/>
        <v>-1.4551915228366852E-11</v>
      </c>
      <c r="O272" s="134">
        <v>0</v>
      </c>
      <c r="P272" s="133"/>
      <c r="Q272" s="2" t="s">
        <v>1001</v>
      </c>
      <c r="R272" s="156">
        <f t="shared" si="38"/>
        <v>0</v>
      </c>
      <c r="S272" s="156">
        <f t="shared" si="39"/>
        <v>0</v>
      </c>
      <c r="T272" s="133"/>
      <c r="U272" s="133"/>
      <c r="V272" s="133"/>
      <c r="W272" s="133"/>
      <c r="X272" s="133"/>
      <c r="Y272" s="133"/>
      <c r="Z272" s="133"/>
      <c r="AA272" s="133"/>
      <c r="AB272" s="133"/>
      <c r="AC272" s="133"/>
      <c r="AD272" s="133"/>
      <c r="AE272" s="133"/>
      <c r="AF272" s="133"/>
      <c r="AG272" s="133"/>
      <c r="AH272" s="133"/>
      <c r="AI272" s="133"/>
      <c r="AJ272" s="133"/>
      <c r="AK272" s="133"/>
      <c r="AL272" s="133"/>
      <c r="AM272" s="133"/>
      <c r="AN272" s="133"/>
      <c r="AO272" s="133"/>
      <c r="AP272" s="133"/>
      <c r="AQ272" s="133"/>
      <c r="AR272" s="133"/>
      <c r="AS272" s="153">
        <v>0</v>
      </c>
      <c r="AT272" s="153">
        <v>0</v>
      </c>
      <c r="AU272" s="153">
        <v>0</v>
      </c>
      <c r="AV272" s="135"/>
      <c r="AW272" s="135"/>
      <c r="AX272" s="135"/>
      <c r="AY272" s="135">
        <v>42372.88</v>
      </c>
      <c r="AZ272" s="135">
        <v>2384.1999999999998</v>
      </c>
      <c r="BA272" s="135">
        <v>0</v>
      </c>
      <c r="BB272" s="140">
        <f>(H272/1.18-AT272-AW272-AZ272)*0.1-BA272</f>
        <v>5700.7122033898304</v>
      </c>
      <c r="BC272" s="135"/>
      <c r="BD272" s="135"/>
      <c r="BE272" s="135">
        <f>(H272/1.18-AT272-AW272-AZ272-BD272)*0.1-AU272-AX272-BA272-BB272</f>
        <v>0</v>
      </c>
      <c r="BF272" s="135"/>
      <c r="BG272" s="135"/>
      <c r="BH272" s="135"/>
      <c r="BI272" s="2" t="s">
        <v>11</v>
      </c>
      <c r="BJ272" s="136">
        <v>45621</v>
      </c>
      <c r="BK272" s="2" t="s">
        <v>109</v>
      </c>
      <c r="BL272" s="136" t="s">
        <v>18</v>
      </c>
      <c r="BM272" s="136">
        <v>44931</v>
      </c>
      <c r="BN272" s="2" t="s">
        <v>1037</v>
      </c>
      <c r="BO272" s="2"/>
      <c r="BP272" s="136"/>
      <c r="BQ272" s="137" t="s">
        <v>119</v>
      </c>
      <c r="BR272" s="138"/>
    </row>
    <row r="273" spans="1:70" ht="12.75" customHeight="1" x14ac:dyDescent="0.2">
      <c r="A273" s="2">
        <v>1762</v>
      </c>
      <c r="B273" s="2" t="s">
        <v>39</v>
      </c>
      <c r="C273" s="2" t="s">
        <v>94</v>
      </c>
      <c r="D273" s="2" t="s">
        <v>977</v>
      </c>
      <c r="E273" s="2" t="s">
        <v>106</v>
      </c>
      <c r="F273" s="132">
        <v>1134</v>
      </c>
      <c r="G273" s="132"/>
      <c r="H273" s="132">
        <f>648*1.75</f>
        <v>1134</v>
      </c>
      <c r="I273" s="132"/>
      <c r="J273" s="132">
        <f>172.98+961.02</f>
        <v>1134</v>
      </c>
      <c r="K273" s="132">
        <f t="shared" si="36"/>
        <v>0</v>
      </c>
      <c r="L273" s="132">
        <f t="shared" si="37"/>
        <v>0</v>
      </c>
      <c r="M273" s="133"/>
      <c r="N273" s="133">
        <f t="shared" si="35"/>
        <v>0</v>
      </c>
      <c r="O273" s="134">
        <v>0</v>
      </c>
      <c r="P273" s="133"/>
      <c r="Q273" s="2" t="s">
        <v>1002</v>
      </c>
      <c r="R273" s="156">
        <f t="shared" si="38"/>
        <v>0</v>
      </c>
      <c r="S273" s="156">
        <f t="shared" si="39"/>
        <v>0</v>
      </c>
      <c r="T273" s="133"/>
      <c r="U273" s="133"/>
      <c r="V273" s="133"/>
      <c r="W273" s="133"/>
      <c r="X273" s="133"/>
      <c r="Y273" s="133"/>
      <c r="Z273" s="133"/>
      <c r="AA273" s="133"/>
      <c r="AB273" s="133"/>
      <c r="AC273" s="133"/>
      <c r="AD273" s="133"/>
      <c r="AE273" s="133"/>
      <c r="AF273" s="133"/>
      <c r="AG273" s="133"/>
      <c r="AH273" s="133"/>
      <c r="AI273" s="133"/>
      <c r="AJ273" s="133"/>
      <c r="AK273" s="133"/>
      <c r="AL273" s="133"/>
      <c r="AM273" s="133"/>
      <c r="AN273" s="133"/>
      <c r="AO273" s="133"/>
      <c r="AP273" s="133"/>
      <c r="AQ273" s="133"/>
      <c r="AR273" s="133"/>
      <c r="AS273" s="153">
        <v>0</v>
      </c>
      <c r="AT273" s="153">
        <v>0</v>
      </c>
      <c r="AU273" s="153">
        <v>0</v>
      </c>
      <c r="AV273" s="135"/>
      <c r="AW273" s="135"/>
      <c r="AX273" s="135"/>
      <c r="AY273" s="135"/>
      <c r="AZ273" s="135"/>
      <c r="BA273" s="135"/>
      <c r="BB273" s="135"/>
      <c r="BC273" s="135"/>
      <c r="BD273" s="135"/>
      <c r="BE273" s="135"/>
      <c r="BF273" s="135"/>
      <c r="BG273" s="135"/>
      <c r="BH273" s="135"/>
      <c r="BI273" s="2" t="s">
        <v>112</v>
      </c>
      <c r="BJ273" s="136">
        <v>45222</v>
      </c>
      <c r="BK273" s="2" t="s">
        <v>145</v>
      </c>
      <c r="BL273" s="136" t="s">
        <v>18</v>
      </c>
      <c r="BM273" s="136">
        <v>44931</v>
      </c>
      <c r="BN273" s="2" t="s">
        <v>1038</v>
      </c>
      <c r="BO273" s="2"/>
      <c r="BP273" s="136"/>
      <c r="BQ273" s="137" t="s">
        <v>134</v>
      </c>
      <c r="BR273" s="138"/>
    </row>
    <row r="274" spans="1:70" ht="12.75" customHeight="1" x14ac:dyDescent="0.2">
      <c r="A274" s="2">
        <v>1763</v>
      </c>
      <c r="B274" s="2" t="s">
        <v>39</v>
      </c>
      <c r="C274" s="2" t="s">
        <v>94</v>
      </c>
      <c r="D274" s="2" t="s">
        <v>978</v>
      </c>
      <c r="E274" s="2" t="s">
        <v>90</v>
      </c>
      <c r="F274" s="132">
        <v>17000</v>
      </c>
      <c r="G274" s="132">
        <v>2</v>
      </c>
      <c r="H274" s="132">
        <f>40000+12174.95</f>
        <v>52174.95</v>
      </c>
      <c r="I274" s="132">
        <f>40000+12174.95</f>
        <v>52174.95</v>
      </c>
      <c r="J274" s="132">
        <f>6101.69+AY274+1857.2+10317.75</f>
        <v>52174.95</v>
      </c>
      <c r="K274" s="132">
        <f t="shared" si="36"/>
        <v>-35174.949999999997</v>
      </c>
      <c r="L274" s="132">
        <f t="shared" si="37"/>
        <v>0</v>
      </c>
      <c r="M274" s="133">
        <v>579</v>
      </c>
      <c r="N274" s="133">
        <f t="shared" si="35"/>
        <v>0</v>
      </c>
      <c r="O274" s="134">
        <v>0</v>
      </c>
      <c r="P274" s="133"/>
      <c r="Q274" s="2" t="s">
        <v>1002</v>
      </c>
      <c r="R274" s="156">
        <f t="shared" si="38"/>
        <v>0</v>
      </c>
      <c r="S274" s="156">
        <f t="shared" si="39"/>
        <v>0</v>
      </c>
      <c r="T274" s="133"/>
      <c r="U274" s="133"/>
      <c r="V274" s="133"/>
      <c r="W274" s="133"/>
      <c r="X274" s="133"/>
      <c r="Y274" s="133"/>
      <c r="Z274" s="133"/>
      <c r="AA274" s="133"/>
      <c r="AB274" s="133"/>
      <c r="AC274" s="133"/>
      <c r="AD274" s="133"/>
      <c r="AE274" s="133"/>
      <c r="AF274" s="133"/>
      <c r="AG274" s="133"/>
      <c r="AH274" s="133"/>
      <c r="AI274" s="133"/>
      <c r="AJ274" s="133"/>
      <c r="AK274" s="133"/>
      <c r="AL274" s="133"/>
      <c r="AM274" s="133"/>
      <c r="AN274" s="133"/>
      <c r="AO274" s="133"/>
      <c r="AP274" s="133"/>
      <c r="AQ274" s="133"/>
      <c r="AR274" s="133"/>
      <c r="AS274" s="153">
        <v>0</v>
      </c>
      <c r="AT274" s="153">
        <v>0</v>
      </c>
      <c r="AU274" s="153">
        <v>0</v>
      </c>
      <c r="AV274" s="135"/>
      <c r="AW274" s="135"/>
      <c r="AX274" s="135"/>
      <c r="AY274" s="135">
        <v>33898.31</v>
      </c>
      <c r="AZ274" s="135">
        <v>215.46</v>
      </c>
      <c r="BA274" s="135">
        <f>40000/1.18*0.8*0.1</f>
        <v>2711.8644067796613</v>
      </c>
      <c r="BB274" s="140">
        <f>(H274/1.18-AT274-AW274-AZ274)*0.1-BA274</f>
        <v>1688.1955254237291</v>
      </c>
      <c r="BC274" s="135"/>
      <c r="BD274" s="135"/>
      <c r="BE274" s="135">
        <f>(H274/1.18-AT274-AW274-AZ274-BD274)*0.1-AU274-AX274-BA274-BB274</f>
        <v>0</v>
      </c>
      <c r="BF274" s="135"/>
      <c r="BG274" s="135"/>
      <c r="BH274" s="135"/>
      <c r="BI274" s="2" t="s">
        <v>11</v>
      </c>
      <c r="BJ274" s="136">
        <v>45524</v>
      </c>
      <c r="BK274" s="2" t="s">
        <v>8</v>
      </c>
      <c r="BL274" s="136" t="s">
        <v>18</v>
      </c>
      <c r="BM274" s="136">
        <v>44931</v>
      </c>
      <c r="BN274" s="2" t="s">
        <v>1039</v>
      </c>
      <c r="BO274" s="2"/>
      <c r="BP274" s="136"/>
      <c r="BQ274" s="137" t="s">
        <v>119</v>
      </c>
      <c r="BR274" s="138"/>
    </row>
    <row r="275" spans="1:70" ht="12.75" customHeight="1" x14ac:dyDescent="0.2">
      <c r="A275" s="2">
        <v>1764</v>
      </c>
      <c r="B275" s="2" t="s">
        <v>100</v>
      </c>
      <c r="C275" s="2" t="s">
        <v>95</v>
      </c>
      <c r="D275" s="2" t="s">
        <v>979</v>
      </c>
      <c r="E275" s="2" t="s">
        <v>106</v>
      </c>
      <c r="F275" s="132">
        <f>20*1.75</f>
        <v>35</v>
      </c>
      <c r="G275" s="132">
        <v>2</v>
      </c>
      <c r="H275" s="132">
        <f>20*1.75</f>
        <v>35</v>
      </c>
      <c r="I275" s="132"/>
      <c r="J275" s="132">
        <v>35</v>
      </c>
      <c r="K275" s="132">
        <f t="shared" si="36"/>
        <v>0</v>
      </c>
      <c r="L275" s="132">
        <f t="shared" si="37"/>
        <v>0</v>
      </c>
      <c r="M275" s="133"/>
      <c r="N275" s="133">
        <f t="shared" si="35"/>
        <v>0</v>
      </c>
      <c r="O275" s="134">
        <v>0</v>
      </c>
      <c r="P275" s="133"/>
      <c r="Q275" s="2" t="s">
        <v>1003</v>
      </c>
      <c r="R275" s="156">
        <f t="shared" si="38"/>
        <v>0</v>
      </c>
      <c r="S275" s="156">
        <f t="shared" si="39"/>
        <v>0</v>
      </c>
      <c r="T275" s="133"/>
      <c r="U275" s="133"/>
      <c r="V275" s="133"/>
      <c r="W275" s="133"/>
      <c r="X275" s="133"/>
      <c r="Y275" s="133"/>
      <c r="Z275" s="133"/>
      <c r="AA275" s="133"/>
      <c r="AB275" s="133"/>
      <c r="AC275" s="133"/>
      <c r="AD275" s="133"/>
      <c r="AE275" s="133"/>
      <c r="AF275" s="133"/>
      <c r="AG275" s="133"/>
      <c r="AH275" s="133"/>
      <c r="AI275" s="133"/>
      <c r="AJ275" s="133"/>
      <c r="AK275" s="133"/>
      <c r="AL275" s="133"/>
      <c r="AM275" s="133"/>
      <c r="AN275" s="133"/>
      <c r="AO275" s="133"/>
      <c r="AP275" s="133"/>
      <c r="AQ275" s="133"/>
      <c r="AR275" s="133"/>
      <c r="AS275" s="153">
        <v>0</v>
      </c>
      <c r="AT275" s="153">
        <v>0</v>
      </c>
      <c r="AU275" s="153">
        <v>0</v>
      </c>
      <c r="AV275" s="135"/>
      <c r="AW275" s="135"/>
      <c r="AX275" s="135"/>
      <c r="AY275" s="135"/>
      <c r="AZ275" s="135"/>
      <c r="BA275" s="135"/>
      <c r="BB275" s="135"/>
      <c r="BC275" s="135"/>
      <c r="BD275" s="135"/>
      <c r="BE275" s="135"/>
      <c r="BF275" s="135"/>
      <c r="BG275" s="135"/>
      <c r="BH275" s="135"/>
      <c r="BI275" s="2" t="s">
        <v>112</v>
      </c>
      <c r="BJ275" s="136">
        <v>45299</v>
      </c>
      <c r="BK275" s="2" t="s">
        <v>145</v>
      </c>
      <c r="BL275" s="136" t="s">
        <v>18</v>
      </c>
      <c r="BM275" s="136">
        <v>44931</v>
      </c>
      <c r="BN275" s="2" t="s">
        <v>1040</v>
      </c>
      <c r="BO275" s="2"/>
      <c r="BP275" s="136"/>
      <c r="BQ275" s="137" t="s">
        <v>134</v>
      </c>
      <c r="BR275" s="138"/>
    </row>
    <row r="276" spans="1:70" ht="12.75" customHeight="1" x14ac:dyDescent="0.2">
      <c r="A276" s="2">
        <v>1765</v>
      </c>
      <c r="B276" s="2" t="s">
        <v>100</v>
      </c>
      <c r="C276" s="2" t="s">
        <v>95</v>
      </c>
      <c r="D276" s="2" t="s">
        <v>980</v>
      </c>
      <c r="E276" s="2" t="s">
        <v>90</v>
      </c>
      <c r="F276" s="132">
        <v>2000</v>
      </c>
      <c r="G276" s="132">
        <v>2</v>
      </c>
      <c r="H276" s="132">
        <v>1438.77</v>
      </c>
      <c r="I276" s="132">
        <v>1438.77</v>
      </c>
      <c r="J276" s="132">
        <f>219.47+1219.3</f>
        <v>1438.77</v>
      </c>
      <c r="K276" s="132">
        <f t="shared" si="36"/>
        <v>561.23</v>
      </c>
      <c r="L276" s="132">
        <f t="shared" si="37"/>
        <v>0</v>
      </c>
      <c r="M276" s="133">
        <v>20</v>
      </c>
      <c r="N276" s="133">
        <f t="shared" si="35"/>
        <v>0</v>
      </c>
      <c r="O276" s="134">
        <v>0</v>
      </c>
      <c r="P276" s="133"/>
      <c r="Q276" s="2" t="s">
        <v>1003</v>
      </c>
      <c r="R276" s="156">
        <f t="shared" si="38"/>
        <v>0</v>
      </c>
      <c r="S276" s="156">
        <f t="shared" si="39"/>
        <v>0</v>
      </c>
      <c r="T276" s="133"/>
      <c r="U276" s="133"/>
      <c r="V276" s="133"/>
      <c r="W276" s="133"/>
      <c r="X276" s="133"/>
      <c r="Y276" s="133"/>
      <c r="Z276" s="133"/>
      <c r="AA276" s="133"/>
      <c r="AB276" s="133"/>
      <c r="AC276" s="133"/>
      <c r="AD276" s="133"/>
      <c r="AE276" s="133"/>
      <c r="AF276" s="133"/>
      <c r="AG276" s="133"/>
      <c r="AH276" s="133"/>
      <c r="AI276" s="133"/>
      <c r="AJ276" s="133"/>
      <c r="AK276" s="133"/>
      <c r="AL276" s="133"/>
      <c r="AM276" s="133"/>
      <c r="AN276" s="133"/>
      <c r="AO276" s="133"/>
      <c r="AP276" s="133"/>
      <c r="AQ276" s="133"/>
      <c r="AR276" s="133"/>
      <c r="AS276" s="153">
        <v>0</v>
      </c>
      <c r="AT276" s="153">
        <v>0</v>
      </c>
      <c r="AU276" s="153">
        <v>0</v>
      </c>
      <c r="AV276" s="135">
        <v>0</v>
      </c>
      <c r="AW276" s="135">
        <v>0</v>
      </c>
      <c r="AX276" s="135">
        <v>0</v>
      </c>
      <c r="AY276" s="135"/>
      <c r="AZ276" s="135"/>
      <c r="BA276" s="135">
        <f>IF(BK276="Принят",(I276/1.18-AW276-AZ276)*0.1,I276/1.18*0.8*0.1)</f>
        <v>121.92966101694915</v>
      </c>
      <c r="BB276" s="135">
        <f>(I276/1.18-AT276-AW276-AZ276)*0.1-BA276</f>
        <v>0</v>
      </c>
      <c r="BC276" s="135"/>
      <c r="BD276" s="135"/>
      <c r="BE276" s="135">
        <f>(H276/1.18-AT276-AW276-AZ276-BD276)*0.1-AU276-AX276-BA276-BB276</f>
        <v>0</v>
      </c>
      <c r="BF276" s="135"/>
      <c r="BG276" s="135"/>
      <c r="BH276" s="135"/>
      <c r="BI276" s="2" t="s">
        <v>11</v>
      </c>
      <c r="BJ276" s="136">
        <v>45322</v>
      </c>
      <c r="BK276" s="2" t="s">
        <v>8</v>
      </c>
      <c r="BL276" s="136" t="s">
        <v>18</v>
      </c>
      <c r="BM276" s="136">
        <v>44931</v>
      </c>
      <c r="BN276" s="2" t="s">
        <v>1041</v>
      </c>
      <c r="BO276" s="2"/>
      <c r="BP276" s="136"/>
      <c r="BQ276" s="137" t="s">
        <v>119</v>
      </c>
      <c r="BR276" s="138"/>
    </row>
    <row r="277" spans="1:70" ht="12.75" customHeight="1" x14ac:dyDescent="0.2">
      <c r="A277" s="2">
        <v>1766</v>
      </c>
      <c r="B277" s="2" t="s">
        <v>100</v>
      </c>
      <c r="C277" s="2" t="s">
        <v>95</v>
      </c>
      <c r="D277" s="2" t="s">
        <v>971</v>
      </c>
      <c r="E277" s="2" t="s">
        <v>90</v>
      </c>
      <c r="F277" s="132">
        <v>118000</v>
      </c>
      <c r="G277" s="132">
        <v>2</v>
      </c>
      <c r="H277" s="132">
        <f>1215+2997+4293+5427+2673+405+46545.37+34000+50000+30000+20000+2000+2800+2700+1920.64+R277</f>
        <v>287874.77</v>
      </c>
      <c r="I277" s="132"/>
      <c r="J277" s="132">
        <f>185.34+457.17+654.86+AS277+AV277+827.847+407.75+405+7100.14+49947.77+5186.44+7627.12+4576.27+3050.85+427.12+411.86+S277+AY277+BC277</f>
        <v>287874.76699999999</v>
      </c>
      <c r="K277" s="132">
        <f t="shared" si="36"/>
        <v>-169874.76699999999</v>
      </c>
      <c r="L277" s="132">
        <f t="shared" si="37"/>
        <v>3.0000000260770321E-3</v>
      </c>
      <c r="M277" s="133">
        <v>1556.4</v>
      </c>
      <c r="N277" s="133">
        <f t="shared" si="35"/>
        <v>3.0000000260770321E-3</v>
      </c>
      <c r="O277" s="134">
        <v>1</v>
      </c>
      <c r="P277" s="133"/>
      <c r="Q277" s="2" t="s">
        <v>697</v>
      </c>
      <c r="R277" s="156">
        <f t="shared" si="38"/>
        <v>80898.760000000009</v>
      </c>
      <c r="S277" s="156">
        <f t="shared" si="39"/>
        <v>111514.32</v>
      </c>
      <c r="T277" s="133"/>
      <c r="U277" s="133">
        <v>292.98</v>
      </c>
      <c r="V277" s="133">
        <v>38000</v>
      </c>
      <c r="W277" s="133"/>
      <c r="X277" s="133">
        <v>42898.76</v>
      </c>
      <c r="Y277" s="133">
        <v>5796.61</v>
      </c>
      <c r="Z277" s="133"/>
      <c r="AA277" s="133">
        <v>6543.88</v>
      </c>
      <c r="AB277" s="133"/>
      <c r="AC277" s="133"/>
      <c r="AD277" s="133"/>
      <c r="AE277" s="133">
        <v>98880.85</v>
      </c>
      <c r="AF277" s="133"/>
      <c r="AG277" s="133"/>
      <c r="AH277" s="133"/>
      <c r="AI277" s="133"/>
      <c r="AJ277" s="133"/>
      <c r="AK277" s="133"/>
      <c r="AL277" s="133"/>
      <c r="AM277" s="133"/>
      <c r="AN277" s="133"/>
      <c r="AO277" s="133"/>
      <c r="AP277" s="133"/>
      <c r="AQ277" s="133"/>
      <c r="AR277" s="133"/>
      <c r="AS277" s="153">
        <v>0</v>
      </c>
      <c r="AT277" s="153">
        <v>0</v>
      </c>
      <c r="AU277" s="153">
        <v>0</v>
      </c>
      <c r="AV277" s="135">
        <f>2539.83+1029.66</f>
        <v>3569.49</v>
      </c>
      <c r="AW277" s="135">
        <f>319.25+129.43</f>
        <v>448.68</v>
      </c>
      <c r="AX277" s="135"/>
      <c r="AY277" s="135">
        <f>42372.88+16949.15</f>
        <v>59322.03</v>
      </c>
      <c r="AZ277" s="135">
        <f>1673.55+4583.82</f>
        <v>6257.37</v>
      </c>
      <c r="BA277" s="135"/>
      <c r="BB277" s="135"/>
      <c r="BC277" s="135">
        <v>32203.39</v>
      </c>
      <c r="BD277" s="135">
        <v>395.26</v>
      </c>
      <c r="BE277" s="135">
        <f>(H277/1.18-AT277-AW277-AZ277-BD277)*0.1-AU277-AX277-BA277-BB277</f>
        <v>23686.035949152545</v>
      </c>
      <c r="BF277" s="135"/>
      <c r="BG277" s="135">
        <v>63555.37</v>
      </c>
      <c r="BH277" s="136">
        <v>45322</v>
      </c>
      <c r="BI277" s="2" t="s">
        <v>11</v>
      </c>
      <c r="BJ277" s="136">
        <v>45747</v>
      </c>
      <c r="BK277" s="2" t="s">
        <v>109</v>
      </c>
      <c r="BL277" s="136" t="s">
        <v>18</v>
      </c>
      <c r="BM277" s="136">
        <v>44931</v>
      </c>
      <c r="BN277" s="2" t="s">
        <v>972</v>
      </c>
      <c r="BO277" s="2"/>
      <c r="BP277" s="136"/>
      <c r="BQ277" s="137" t="s">
        <v>119</v>
      </c>
      <c r="BR277" s="138"/>
    </row>
    <row r="278" spans="1:70" ht="12.75" customHeight="1" x14ac:dyDescent="0.2">
      <c r="A278" s="144">
        <v>1767</v>
      </c>
      <c r="B278" s="144" t="s">
        <v>39</v>
      </c>
      <c r="C278" s="144" t="s">
        <v>74</v>
      </c>
      <c r="D278" s="144" t="s">
        <v>981</v>
      </c>
      <c r="E278" s="144" t="s">
        <v>106</v>
      </c>
      <c r="F278" s="147">
        <v>0</v>
      </c>
      <c r="G278" s="147" t="s">
        <v>3649</v>
      </c>
      <c r="H278" s="147"/>
      <c r="I278" s="147"/>
      <c r="J278" s="147"/>
      <c r="K278" s="147">
        <f t="shared" si="36"/>
        <v>0</v>
      </c>
      <c r="L278" s="147">
        <f t="shared" si="37"/>
        <v>0</v>
      </c>
      <c r="M278" s="141"/>
      <c r="N278" s="141">
        <f t="shared" si="35"/>
        <v>0</v>
      </c>
      <c r="O278" s="134">
        <v>2</v>
      </c>
      <c r="P278" s="133"/>
      <c r="Q278" s="144" t="s">
        <v>1004</v>
      </c>
      <c r="R278" s="156">
        <f t="shared" si="38"/>
        <v>0</v>
      </c>
      <c r="S278" s="156">
        <f t="shared" si="39"/>
        <v>0</v>
      </c>
      <c r="T278" s="133"/>
      <c r="U278" s="133"/>
      <c r="V278" s="133"/>
      <c r="W278" s="133"/>
      <c r="X278" s="133"/>
      <c r="Y278" s="133"/>
      <c r="Z278" s="133"/>
      <c r="AA278" s="133"/>
      <c r="AB278" s="133"/>
      <c r="AC278" s="133"/>
      <c r="AD278" s="133"/>
      <c r="AE278" s="133"/>
      <c r="AF278" s="133"/>
      <c r="AG278" s="133"/>
      <c r="AH278" s="133"/>
      <c r="AI278" s="133"/>
      <c r="AJ278" s="133"/>
      <c r="AK278" s="133"/>
      <c r="AL278" s="133"/>
      <c r="AM278" s="133"/>
      <c r="AN278" s="133"/>
      <c r="AO278" s="133"/>
      <c r="AP278" s="133"/>
      <c r="AQ278" s="133"/>
      <c r="AR278" s="133"/>
      <c r="AS278" s="153">
        <v>0</v>
      </c>
      <c r="AT278" s="153">
        <v>0</v>
      </c>
      <c r="AU278" s="153">
        <v>0</v>
      </c>
      <c r="AV278" s="135"/>
      <c r="AW278" s="135"/>
      <c r="AX278" s="135"/>
      <c r="AY278" s="135"/>
      <c r="AZ278" s="135"/>
      <c r="BA278" s="135"/>
      <c r="BB278" s="135"/>
      <c r="BC278" s="135"/>
      <c r="BD278" s="135"/>
      <c r="BE278" s="135"/>
      <c r="BF278" s="135"/>
      <c r="BG278" s="135"/>
      <c r="BH278" s="135"/>
      <c r="BI278" s="144" t="s">
        <v>112</v>
      </c>
      <c r="BJ278" s="148"/>
      <c r="BK278" s="144">
        <v>0</v>
      </c>
      <c r="BL278" s="148" t="s">
        <v>18</v>
      </c>
      <c r="BM278" s="148">
        <v>44931</v>
      </c>
      <c r="BN278" s="144" t="s">
        <v>983</v>
      </c>
      <c r="BO278" s="144"/>
      <c r="BP278" s="148" t="s">
        <v>1673</v>
      </c>
      <c r="BQ278" s="149"/>
      <c r="BR278" s="138"/>
    </row>
    <row r="279" spans="1:70" ht="12.75" customHeight="1" x14ac:dyDescent="0.2">
      <c r="A279" s="144">
        <v>1768</v>
      </c>
      <c r="B279" s="144" t="s">
        <v>39</v>
      </c>
      <c r="C279" s="144" t="s">
        <v>74</v>
      </c>
      <c r="D279" s="144" t="s">
        <v>982</v>
      </c>
      <c r="E279" s="144" t="s">
        <v>90</v>
      </c>
      <c r="F279" s="147">
        <v>236000</v>
      </c>
      <c r="G279" s="147" t="s">
        <v>3649</v>
      </c>
      <c r="H279" s="147"/>
      <c r="I279" s="147"/>
      <c r="J279" s="147"/>
      <c r="K279" s="147">
        <f t="shared" si="36"/>
        <v>236000</v>
      </c>
      <c r="L279" s="147">
        <f t="shared" si="37"/>
        <v>0</v>
      </c>
      <c r="M279" s="141"/>
      <c r="N279" s="141">
        <f t="shared" si="35"/>
        <v>236000</v>
      </c>
      <c r="O279" s="134">
        <v>1</v>
      </c>
      <c r="P279" s="133"/>
      <c r="Q279" s="144" t="s">
        <v>1004</v>
      </c>
      <c r="R279" s="156">
        <f t="shared" si="38"/>
        <v>0</v>
      </c>
      <c r="S279" s="156">
        <f t="shared" si="39"/>
        <v>0</v>
      </c>
      <c r="T279" s="133"/>
      <c r="U279" s="133"/>
      <c r="V279" s="133"/>
      <c r="W279" s="133"/>
      <c r="X279" s="133"/>
      <c r="Y279" s="133"/>
      <c r="Z279" s="133"/>
      <c r="AA279" s="133"/>
      <c r="AB279" s="133"/>
      <c r="AC279" s="133"/>
      <c r="AD279" s="133"/>
      <c r="AE279" s="133"/>
      <c r="AF279" s="133"/>
      <c r="AG279" s="133"/>
      <c r="AH279" s="133"/>
      <c r="AI279" s="133"/>
      <c r="AJ279" s="133"/>
      <c r="AK279" s="133"/>
      <c r="AL279" s="133"/>
      <c r="AM279" s="133"/>
      <c r="AN279" s="133"/>
      <c r="AO279" s="133"/>
      <c r="AP279" s="133"/>
      <c r="AQ279" s="133"/>
      <c r="AR279" s="133"/>
      <c r="AS279" s="153">
        <v>0</v>
      </c>
      <c r="AT279" s="153">
        <v>0</v>
      </c>
      <c r="AU279" s="153">
        <v>0</v>
      </c>
      <c r="AV279" s="135"/>
      <c r="AW279" s="135"/>
      <c r="AX279" s="135"/>
      <c r="AY279" s="135"/>
      <c r="AZ279" s="135"/>
      <c r="BA279" s="135"/>
      <c r="BB279" s="135"/>
      <c r="BC279" s="135"/>
      <c r="BD279" s="135"/>
      <c r="BE279" s="135"/>
      <c r="BF279" s="135"/>
      <c r="BG279" s="135"/>
      <c r="BH279" s="135"/>
      <c r="BI279" s="144" t="s">
        <v>11</v>
      </c>
      <c r="BJ279" s="148"/>
      <c r="BK279" s="144">
        <v>0</v>
      </c>
      <c r="BL279" s="148" t="s">
        <v>18</v>
      </c>
      <c r="BM279" s="148">
        <v>44931</v>
      </c>
      <c r="BN279" s="144" t="s">
        <v>984</v>
      </c>
      <c r="BO279" s="144"/>
      <c r="BP279" s="148" t="s">
        <v>1673</v>
      </c>
      <c r="BQ279" s="149"/>
      <c r="BR279" s="138"/>
    </row>
    <row r="280" spans="1:70" ht="12.75" customHeight="1" x14ac:dyDescent="0.2">
      <c r="A280" s="2">
        <v>1769</v>
      </c>
      <c r="B280" s="2" t="s">
        <v>100</v>
      </c>
      <c r="C280" s="2" t="s">
        <v>95</v>
      </c>
      <c r="D280" s="2" t="s">
        <v>1084</v>
      </c>
      <c r="E280" s="2" t="s">
        <v>106</v>
      </c>
      <c r="F280" s="132">
        <v>3337.25</v>
      </c>
      <c r="G280" s="132"/>
      <c r="H280" s="132">
        <f>1907*1.75</f>
        <v>3337.25</v>
      </c>
      <c r="I280" s="132"/>
      <c r="J280" s="132">
        <v>3337.25</v>
      </c>
      <c r="K280" s="132">
        <f t="shared" si="36"/>
        <v>0</v>
      </c>
      <c r="L280" s="132">
        <f t="shared" si="37"/>
        <v>0</v>
      </c>
      <c r="M280" s="133"/>
      <c r="N280" s="133">
        <f t="shared" si="35"/>
        <v>0</v>
      </c>
      <c r="O280" s="134">
        <v>0</v>
      </c>
      <c r="P280" s="133"/>
      <c r="Q280" s="2" t="s">
        <v>1005</v>
      </c>
      <c r="R280" s="156">
        <f t="shared" si="38"/>
        <v>0</v>
      </c>
      <c r="S280" s="156">
        <f t="shared" si="39"/>
        <v>0</v>
      </c>
      <c r="T280" s="133"/>
      <c r="U280" s="133"/>
      <c r="V280" s="133"/>
      <c r="W280" s="133"/>
      <c r="X280" s="133"/>
      <c r="Y280" s="133"/>
      <c r="Z280" s="133"/>
      <c r="AA280" s="133"/>
      <c r="AB280" s="133"/>
      <c r="AC280" s="133"/>
      <c r="AD280" s="133"/>
      <c r="AE280" s="133"/>
      <c r="AF280" s="133"/>
      <c r="AG280" s="133"/>
      <c r="AH280" s="133"/>
      <c r="AI280" s="133"/>
      <c r="AJ280" s="133"/>
      <c r="AK280" s="133"/>
      <c r="AL280" s="133"/>
      <c r="AM280" s="133"/>
      <c r="AN280" s="133"/>
      <c r="AO280" s="133"/>
      <c r="AP280" s="133"/>
      <c r="AQ280" s="133"/>
      <c r="AR280" s="133"/>
      <c r="AS280" s="153">
        <v>0</v>
      </c>
      <c r="AT280" s="153">
        <v>0</v>
      </c>
      <c r="AU280" s="153">
        <v>0</v>
      </c>
      <c r="AV280" s="135"/>
      <c r="AW280" s="135"/>
      <c r="AX280" s="135"/>
      <c r="AY280" s="135"/>
      <c r="AZ280" s="135"/>
      <c r="BA280" s="135"/>
      <c r="BB280" s="135"/>
      <c r="BC280" s="135"/>
      <c r="BD280" s="135"/>
      <c r="BE280" s="135"/>
      <c r="BF280" s="135"/>
      <c r="BG280" s="135"/>
      <c r="BH280" s="135"/>
      <c r="BI280" s="2" t="s">
        <v>112</v>
      </c>
      <c r="BJ280" s="136">
        <v>45272</v>
      </c>
      <c r="BK280" s="2" t="s">
        <v>145</v>
      </c>
      <c r="BL280" s="136" t="s">
        <v>18</v>
      </c>
      <c r="BM280" s="136">
        <v>44931</v>
      </c>
      <c r="BN280" s="2" t="s">
        <v>985</v>
      </c>
      <c r="BO280" s="2"/>
      <c r="BP280" s="136"/>
      <c r="BQ280" s="137" t="s">
        <v>134</v>
      </c>
      <c r="BR280" s="138"/>
    </row>
    <row r="281" spans="1:70" ht="12.75" customHeight="1" x14ac:dyDescent="0.2">
      <c r="A281" s="2">
        <v>1770</v>
      </c>
      <c r="B281" s="2" t="s">
        <v>100</v>
      </c>
      <c r="C281" s="2" t="s">
        <v>95</v>
      </c>
      <c r="D281" s="2" t="s">
        <v>3843</v>
      </c>
      <c r="E281" s="2" t="s">
        <v>90</v>
      </c>
      <c r="F281" s="132">
        <v>180000</v>
      </c>
      <c r="G281" s="132">
        <v>2</v>
      </c>
      <c r="H281" s="132">
        <f>300000+R281</f>
        <v>575728.86</v>
      </c>
      <c r="I281" s="132"/>
      <c r="J281" s="132">
        <f>45762.71+S281+AY281+BC281</f>
        <v>575728.86</v>
      </c>
      <c r="K281" s="132">
        <f t="shared" si="36"/>
        <v>-395728.86</v>
      </c>
      <c r="L281" s="132">
        <f t="shared" si="37"/>
        <v>0</v>
      </c>
      <c r="M281" s="133">
        <v>2831</v>
      </c>
      <c r="N281" s="133">
        <f t="shared" si="35"/>
        <v>0</v>
      </c>
      <c r="O281" s="134">
        <v>1</v>
      </c>
      <c r="P281" s="133"/>
      <c r="Q281" s="2" t="s">
        <v>3837</v>
      </c>
      <c r="R281" s="156">
        <f t="shared" si="38"/>
        <v>275728.86</v>
      </c>
      <c r="S281" s="156">
        <f t="shared" si="39"/>
        <v>54542.45</v>
      </c>
      <c r="T281" s="133"/>
      <c r="U281" s="133"/>
      <c r="V281" s="133">
        <v>191000</v>
      </c>
      <c r="W281" s="133"/>
      <c r="X281" s="133">
        <v>70000</v>
      </c>
      <c r="Y281" s="133">
        <v>29135.59</v>
      </c>
      <c r="Z281" s="133">
        <v>14728.86</v>
      </c>
      <c r="AA281" s="133">
        <v>10677.97</v>
      </c>
      <c r="AB281" s="133"/>
      <c r="AC281" s="133">
        <v>2246.7800000000002</v>
      </c>
      <c r="AD281" s="133"/>
      <c r="AE281" s="133">
        <v>12482.11</v>
      </c>
      <c r="AF281" s="133"/>
      <c r="AG281" s="133"/>
      <c r="AH281" s="133"/>
      <c r="AI281" s="133"/>
      <c r="AJ281" s="133"/>
      <c r="AK281" s="133"/>
      <c r="AL281" s="133"/>
      <c r="AM281" s="133"/>
      <c r="AN281" s="133"/>
      <c r="AO281" s="133"/>
      <c r="AP281" s="133"/>
      <c r="AQ281" s="133"/>
      <c r="AR281" s="133"/>
      <c r="AS281" s="153">
        <v>0</v>
      </c>
      <c r="AT281" s="153">
        <v>0</v>
      </c>
      <c r="AU281" s="153">
        <v>0</v>
      </c>
      <c r="AV281" s="135"/>
      <c r="AW281" s="135"/>
      <c r="AX281" s="135"/>
      <c r="AY281" s="135">
        <v>254237.29</v>
      </c>
      <c r="AZ281" s="135">
        <v>11109.82</v>
      </c>
      <c r="BA281" s="135">
        <f>300000/1.18*0.8*0.1</f>
        <v>20338.983050847462</v>
      </c>
      <c r="BB281" s="135"/>
      <c r="BC281" s="135">
        <f>161864.41+59322</f>
        <v>221186.41</v>
      </c>
      <c r="BD281" s="135">
        <f>1986.72+8943</f>
        <v>10929.72</v>
      </c>
      <c r="BE281" s="135">
        <f>(H281/1.18-AT281-AW281-AZ281-BD281)*0.1-AU281-AX281-BA281-BB281</f>
        <v>26247.644305084745</v>
      </c>
      <c r="BF281" s="135"/>
      <c r="BG281" s="135"/>
      <c r="BH281" s="135"/>
      <c r="BI281" s="2" t="s">
        <v>11</v>
      </c>
      <c r="BJ281" s="136">
        <v>45777</v>
      </c>
      <c r="BK281" s="2" t="s">
        <v>109</v>
      </c>
      <c r="BL281" s="136" t="s">
        <v>18</v>
      </c>
      <c r="BM281" s="136">
        <v>44931</v>
      </c>
      <c r="BN281" s="2" t="s">
        <v>986</v>
      </c>
      <c r="BO281" s="2"/>
      <c r="BP281" s="136"/>
      <c r="BQ281" s="137" t="s">
        <v>119</v>
      </c>
      <c r="BR281" s="138"/>
    </row>
    <row r="282" spans="1:70" ht="12.75" customHeight="1" x14ac:dyDescent="0.2">
      <c r="A282" s="2">
        <v>1771</v>
      </c>
      <c r="B282" s="2" t="s">
        <v>100</v>
      </c>
      <c r="C282" s="2" t="s">
        <v>95</v>
      </c>
      <c r="D282" s="2" t="s">
        <v>1086</v>
      </c>
      <c r="E282" s="2" t="s">
        <v>106</v>
      </c>
      <c r="F282" s="132">
        <v>309.75</v>
      </c>
      <c r="G282" s="132"/>
      <c r="H282" s="132">
        <f>177*1.75</f>
        <v>309.75</v>
      </c>
      <c r="I282" s="132"/>
      <c r="J282" s="132">
        <v>309.75</v>
      </c>
      <c r="K282" s="132">
        <f t="shared" si="36"/>
        <v>0</v>
      </c>
      <c r="L282" s="132">
        <f t="shared" si="37"/>
        <v>0</v>
      </c>
      <c r="M282" s="133"/>
      <c r="N282" s="133">
        <f t="shared" si="35"/>
        <v>0</v>
      </c>
      <c r="O282" s="134">
        <v>0</v>
      </c>
      <c r="P282" s="133"/>
      <c r="Q282" s="2" t="s">
        <v>1006</v>
      </c>
      <c r="R282" s="156">
        <f t="shared" si="38"/>
        <v>0</v>
      </c>
      <c r="S282" s="156">
        <f t="shared" si="39"/>
        <v>0</v>
      </c>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53">
        <v>0</v>
      </c>
      <c r="AT282" s="153">
        <v>0</v>
      </c>
      <c r="AU282" s="153">
        <v>0</v>
      </c>
      <c r="AV282" s="135"/>
      <c r="AW282" s="135"/>
      <c r="AX282" s="135"/>
      <c r="AY282" s="135"/>
      <c r="AZ282" s="135"/>
      <c r="BA282" s="135"/>
      <c r="BB282" s="135"/>
      <c r="BC282" s="135"/>
      <c r="BD282" s="135"/>
      <c r="BE282" s="135"/>
      <c r="BF282" s="135"/>
      <c r="BG282" s="135"/>
      <c r="BH282" s="135"/>
      <c r="BI282" s="2" t="s">
        <v>112</v>
      </c>
      <c r="BJ282" s="136">
        <v>45208</v>
      </c>
      <c r="BK282" s="2" t="s">
        <v>145</v>
      </c>
      <c r="BL282" s="136" t="s">
        <v>18</v>
      </c>
      <c r="BM282" s="136">
        <v>44931</v>
      </c>
      <c r="BN282" s="2" t="s">
        <v>987</v>
      </c>
      <c r="BO282" s="2"/>
      <c r="BP282" s="136"/>
      <c r="BQ282" s="137" t="s">
        <v>134</v>
      </c>
      <c r="BR282" s="138"/>
    </row>
    <row r="283" spans="1:70" ht="12.75" customHeight="1" x14ac:dyDescent="0.2">
      <c r="A283" s="2">
        <v>1772</v>
      </c>
      <c r="B283" s="2" t="s">
        <v>100</v>
      </c>
      <c r="C283" s="2" t="s">
        <v>132</v>
      </c>
      <c r="D283" s="2" t="s">
        <v>1087</v>
      </c>
      <c r="E283" s="2" t="s">
        <v>90</v>
      </c>
      <c r="F283" s="132">
        <v>9000</v>
      </c>
      <c r="G283" s="132"/>
      <c r="H283" s="132">
        <v>17643.259999999998</v>
      </c>
      <c r="I283" s="132"/>
      <c r="J283" s="132">
        <v>17643.259999999998</v>
      </c>
      <c r="K283" s="132">
        <f t="shared" si="36"/>
        <v>-8643.2599999999984</v>
      </c>
      <c r="L283" s="132">
        <f t="shared" si="37"/>
        <v>0</v>
      </c>
      <c r="M283" s="133">
        <v>202</v>
      </c>
      <c r="N283" s="133">
        <f t="shared" si="35"/>
        <v>0</v>
      </c>
      <c r="O283" s="134">
        <v>0</v>
      </c>
      <c r="P283" s="133"/>
      <c r="Q283" s="2" t="s">
        <v>1006</v>
      </c>
      <c r="R283" s="156">
        <f t="shared" si="38"/>
        <v>0</v>
      </c>
      <c r="S283" s="156">
        <f t="shared" si="39"/>
        <v>0</v>
      </c>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53">
        <v>0</v>
      </c>
      <c r="AT283" s="153">
        <v>0</v>
      </c>
      <c r="AU283" s="153">
        <v>0</v>
      </c>
      <c r="AV283" s="135">
        <v>0</v>
      </c>
      <c r="AW283" s="135">
        <v>0</v>
      </c>
      <c r="AX283" s="142">
        <f>(H283/1.18-AT283-AW283)*0.1</f>
        <v>1495.1915254237288</v>
      </c>
      <c r="AY283" s="142"/>
      <c r="AZ283" s="142"/>
      <c r="BA283" s="142"/>
      <c r="BB283" s="142"/>
      <c r="BC283" s="142"/>
      <c r="BD283" s="142"/>
      <c r="BE283" s="142"/>
      <c r="BF283" s="142"/>
      <c r="BG283" s="135"/>
      <c r="BH283" s="135"/>
      <c r="BI283" s="2" t="s">
        <v>11</v>
      </c>
      <c r="BJ283" s="136">
        <v>45289</v>
      </c>
      <c r="BK283" s="2" t="s">
        <v>8</v>
      </c>
      <c r="BL283" s="136" t="s">
        <v>18</v>
      </c>
      <c r="BM283" s="136">
        <v>44931</v>
      </c>
      <c r="BN283" s="2" t="s">
        <v>988</v>
      </c>
      <c r="BO283" s="2"/>
      <c r="BP283" s="136"/>
      <c r="BQ283" s="137" t="s">
        <v>119</v>
      </c>
      <c r="BR283" s="138"/>
    </row>
    <row r="284" spans="1:70" ht="12.75" customHeight="1" x14ac:dyDescent="0.2">
      <c r="A284" s="2">
        <v>1773</v>
      </c>
      <c r="B284" s="2" t="s">
        <v>100</v>
      </c>
      <c r="C284" s="2" t="s">
        <v>95</v>
      </c>
      <c r="D284" s="2" t="s">
        <v>1088</v>
      </c>
      <c r="E284" s="2" t="s">
        <v>106</v>
      </c>
      <c r="F284" s="132">
        <v>1849.75</v>
      </c>
      <c r="G284" s="132"/>
      <c r="H284" s="132">
        <f>1057*1.75</f>
        <v>1849.75</v>
      </c>
      <c r="I284" s="132"/>
      <c r="J284" s="132">
        <v>1849.75</v>
      </c>
      <c r="K284" s="132">
        <f t="shared" si="36"/>
        <v>0</v>
      </c>
      <c r="L284" s="132">
        <f t="shared" si="37"/>
        <v>0</v>
      </c>
      <c r="M284" s="133"/>
      <c r="N284" s="133">
        <f t="shared" si="35"/>
        <v>0</v>
      </c>
      <c r="O284" s="134">
        <v>0</v>
      </c>
      <c r="P284" s="133"/>
      <c r="Q284" s="2" t="s">
        <v>1007</v>
      </c>
      <c r="R284" s="156">
        <f t="shared" si="38"/>
        <v>0</v>
      </c>
      <c r="S284" s="156">
        <f t="shared" si="39"/>
        <v>0</v>
      </c>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53">
        <v>0</v>
      </c>
      <c r="AT284" s="153">
        <v>0</v>
      </c>
      <c r="AU284" s="153">
        <v>0</v>
      </c>
      <c r="AV284" s="135"/>
      <c r="AW284" s="135"/>
      <c r="AX284" s="135"/>
      <c r="AY284" s="135"/>
      <c r="AZ284" s="135"/>
      <c r="BA284" s="135"/>
      <c r="BB284" s="135"/>
      <c r="BC284" s="135"/>
      <c r="BD284" s="135"/>
      <c r="BE284" s="135"/>
      <c r="BF284" s="135"/>
      <c r="BG284" s="135"/>
      <c r="BH284" s="135"/>
      <c r="BI284" s="2" t="s">
        <v>112</v>
      </c>
      <c r="BJ284" s="136">
        <v>45289</v>
      </c>
      <c r="BK284" s="2" t="s">
        <v>145</v>
      </c>
      <c r="BL284" s="136" t="s">
        <v>18</v>
      </c>
      <c r="BM284" s="136">
        <v>44931</v>
      </c>
      <c r="BN284" s="2" t="s">
        <v>989</v>
      </c>
      <c r="BO284" s="2"/>
      <c r="BP284" s="136"/>
      <c r="BQ284" s="137" t="s">
        <v>134</v>
      </c>
      <c r="BR284" s="138"/>
    </row>
    <row r="285" spans="1:70" ht="12.75" customHeight="1" x14ac:dyDescent="0.2">
      <c r="A285" s="2">
        <v>1774</v>
      </c>
      <c r="B285" s="2" t="s">
        <v>100</v>
      </c>
      <c r="C285" s="2" t="s">
        <v>95</v>
      </c>
      <c r="D285" s="2" t="s">
        <v>1089</v>
      </c>
      <c r="E285" s="2" t="s">
        <v>90</v>
      </c>
      <c r="F285" s="132">
        <v>9000</v>
      </c>
      <c r="G285" s="132">
        <v>2</v>
      </c>
      <c r="H285" s="132">
        <f>70000+50000+55000+87323.02</f>
        <v>262323.02</v>
      </c>
      <c r="I285" s="132">
        <f>70000+50000+55000+87323.02</f>
        <v>262323.02</v>
      </c>
      <c r="J285" s="132">
        <f>10677.97+8389.83+AY285+13320.46+81629.85</f>
        <v>262323.02</v>
      </c>
      <c r="K285" s="132">
        <f t="shared" si="36"/>
        <v>-253323.02000000002</v>
      </c>
      <c r="L285" s="132">
        <f t="shared" si="37"/>
        <v>0</v>
      </c>
      <c r="M285" s="133">
        <v>958</v>
      </c>
      <c r="N285" s="133">
        <f t="shared" si="35"/>
        <v>0</v>
      </c>
      <c r="O285" s="134">
        <v>0</v>
      </c>
      <c r="P285" s="133"/>
      <c r="Q285" s="2" t="s">
        <v>1007</v>
      </c>
      <c r="R285" s="156">
        <f t="shared" si="38"/>
        <v>0</v>
      </c>
      <c r="S285" s="156">
        <f t="shared" si="39"/>
        <v>0</v>
      </c>
      <c r="T285" s="133"/>
      <c r="U285" s="133"/>
      <c r="V285" s="133"/>
      <c r="W285" s="133"/>
      <c r="X285" s="133"/>
      <c r="Y285" s="133"/>
      <c r="Z285" s="133"/>
      <c r="AA285" s="133"/>
      <c r="AB285" s="133"/>
      <c r="AC285" s="133"/>
      <c r="AD285" s="133"/>
      <c r="AE285" s="133"/>
      <c r="AF285" s="133"/>
      <c r="AG285" s="133"/>
      <c r="AH285" s="133"/>
      <c r="AI285" s="133"/>
      <c r="AJ285" s="133"/>
      <c r="AK285" s="133"/>
      <c r="AL285" s="133"/>
      <c r="AM285" s="133"/>
      <c r="AN285" s="133"/>
      <c r="AO285" s="133"/>
      <c r="AP285" s="133"/>
      <c r="AQ285" s="133"/>
      <c r="AR285" s="133"/>
      <c r="AS285" s="153">
        <v>0</v>
      </c>
      <c r="AT285" s="153">
        <v>0</v>
      </c>
      <c r="AU285" s="153">
        <v>0</v>
      </c>
      <c r="AV285" s="135"/>
      <c r="AW285" s="135"/>
      <c r="AX285" s="135"/>
      <c r="AY285" s="135">
        <f>59322.03+42372.88+46610</f>
        <v>148304.91</v>
      </c>
      <c r="AZ285" s="135">
        <f>6202+3845.48+2622.62</f>
        <v>12670.099999999999</v>
      </c>
      <c r="BA285" s="135">
        <f>70000/1.18*0.8*0.1</f>
        <v>4745.7627118644077</v>
      </c>
      <c r="BB285" s="140">
        <f>(H285/1.18-AT285-AW285-AZ285)*0.1-BA285</f>
        <v>16217.991694915258</v>
      </c>
      <c r="BC285" s="135"/>
      <c r="BD285" s="135"/>
      <c r="BE285" s="135">
        <f>(H285/1.18-AT285-AW285-AZ285-BD285)*0.1-AU285-AX285-BA285-BB285</f>
        <v>0</v>
      </c>
      <c r="BF285" s="135"/>
      <c r="BG285" s="135"/>
      <c r="BH285" s="135"/>
      <c r="BI285" s="2" t="s">
        <v>11</v>
      </c>
      <c r="BJ285" s="136">
        <v>45621</v>
      </c>
      <c r="BK285" s="2" t="s">
        <v>109</v>
      </c>
      <c r="BL285" s="136" t="s">
        <v>18</v>
      </c>
      <c r="BM285" s="136">
        <v>44931</v>
      </c>
      <c r="BN285" s="2" t="s">
        <v>990</v>
      </c>
      <c r="BO285" s="2"/>
      <c r="BP285" s="136"/>
      <c r="BQ285" s="137" t="s">
        <v>119</v>
      </c>
      <c r="BR285" s="138"/>
    </row>
    <row r="286" spans="1:70" ht="12.75" customHeight="1" x14ac:dyDescent="0.2">
      <c r="A286" s="2">
        <v>1775</v>
      </c>
      <c r="B286" s="2" t="s">
        <v>100</v>
      </c>
      <c r="C286" s="2" t="s">
        <v>95</v>
      </c>
      <c r="D286" s="2" t="s">
        <v>1090</v>
      </c>
      <c r="E286" s="2" t="s">
        <v>106</v>
      </c>
      <c r="F286" s="132">
        <v>1470</v>
      </c>
      <c r="G286" s="132"/>
      <c r="H286" s="132">
        <f>840*1.75</f>
        <v>1470</v>
      </c>
      <c r="I286" s="132"/>
      <c r="J286" s="132">
        <v>1470</v>
      </c>
      <c r="K286" s="132">
        <f t="shared" si="36"/>
        <v>0</v>
      </c>
      <c r="L286" s="132">
        <f t="shared" si="37"/>
        <v>0</v>
      </c>
      <c r="M286" s="133"/>
      <c r="N286" s="133">
        <f t="shared" si="35"/>
        <v>0</v>
      </c>
      <c r="O286" s="134">
        <v>0</v>
      </c>
      <c r="P286" s="133"/>
      <c r="Q286" s="2" t="s">
        <v>1008</v>
      </c>
      <c r="R286" s="156">
        <f t="shared" si="38"/>
        <v>0</v>
      </c>
      <c r="S286" s="156">
        <f t="shared" si="39"/>
        <v>0</v>
      </c>
      <c r="T286" s="133"/>
      <c r="U286" s="133"/>
      <c r="V286" s="133"/>
      <c r="W286" s="133"/>
      <c r="X286" s="133"/>
      <c r="Y286" s="133"/>
      <c r="Z286" s="133"/>
      <c r="AA286" s="133"/>
      <c r="AB286" s="133"/>
      <c r="AC286" s="133"/>
      <c r="AD286" s="133"/>
      <c r="AE286" s="133"/>
      <c r="AF286" s="133"/>
      <c r="AG286" s="133"/>
      <c r="AH286" s="133"/>
      <c r="AI286" s="133"/>
      <c r="AJ286" s="133"/>
      <c r="AK286" s="133"/>
      <c r="AL286" s="133"/>
      <c r="AM286" s="133"/>
      <c r="AN286" s="133"/>
      <c r="AO286" s="133"/>
      <c r="AP286" s="133"/>
      <c r="AQ286" s="133"/>
      <c r="AR286" s="133"/>
      <c r="AS286" s="153">
        <v>0</v>
      </c>
      <c r="AT286" s="153">
        <v>0</v>
      </c>
      <c r="AU286" s="153">
        <v>0</v>
      </c>
      <c r="AV286" s="135"/>
      <c r="AW286" s="135"/>
      <c r="AX286" s="135"/>
      <c r="AY286" s="135"/>
      <c r="AZ286" s="135"/>
      <c r="BA286" s="135"/>
      <c r="BB286" s="135"/>
      <c r="BC286" s="135"/>
      <c r="BD286" s="135"/>
      <c r="BE286" s="135"/>
      <c r="BF286" s="135"/>
      <c r="BG286" s="135"/>
      <c r="BH286" s="135"/>
      <c r="BI286" s="2" t="s">
        <v>112</v>
      </c>
      <c r="BJ286" s="136">
        <v>45272</v>
      </c>
      <c r="BK286" s="2" t="s">
        <v>145</v>
      </c>
      <c r="BL286" s="136" t="s">
        <v>18</v>
      </c>
      <c r="BM286" s="136">
        <v>44931</v>
      </c>
      <c r="BN286" s="2" t="s">
        <v>991</v>
      </c>
      <c r="BO286" s="2"/>
      <c r="BP286" s="136"/>
      <c r="BQ286" s="137" t="s">
        <v>134</v>
      </c>
      <c r="BR286" s="138"/>
    </row>
    <row r="287" spans="1:70" ht="12.75" customHeight="1" x14ac:dyDescent="0.2">
      <c r="A287" s="2">
        <v>1776</v>
      </c>
      <c r="B287" s="2" t="s">
        <v>100</v>
      </c>
      <c r="C287" s="2" t="s">
        <v>95</v>
      </c>
      <c r="D287" s="2" t="s">
        <v>1091</v>
      </c>
      <c r="E287" s="2" t="s">
        <v>90</v>
      </c>
      <c r="F287" s="132">
        <v>65000</v>
      </c>
      <c r="G287" s="132">
        <v>2</v>
      </c>
      <c r="H287" s="132"/>
      <c r="I287" s="132"/>
      <c r="J287" s="132"/>
      <c r="K287" s="132">
        <f t="shared" si="36"/>
        <v>65000</v>
      </c>
      <c r="L287" s="132">
        <f t="shared" si="37"/>
        <v>0</v>
      </c>
      <c r="M287" s="133"/>
      <c r="N287" s="133">
        <f t="shared" si="35"/>
        <v>65000</v>
      </c>
      <c r="O287" s="134">
        <v>1</v>
      </c>
      <c r="P287" s="133"/>
      <c r="Q287" s="2" t="s">
        <v>3838</v>
      </c>
      <c r="R287" s="156">
        <f t="shared" si="38"/>
        <v>0</v>
      </c>
      <c r="S287" s="156">
        <f t="shared" si="39"/>
        <v>0</v>
      </c>
      <c r="T287" s="133"/>
      <c r="U287" s="133"/>
      <c r="V287" s="133"/>
      <c r="W287" s="133"/>
      <c r="X287" s="133"/>
      <c r="Y287" s="133"/>
      <c r="Z287" s="133"/>
      <c r="AA287" s="133"/>
      <c r="AB287" s="133"/>
      <c r="AC287" s="133"/>
      <c r="AD287" s="133"/>
      <c r="AE287" s="133"/>
      <c r="AF287" s="133"/>
      <c r="AG287" s="133"/>
      <c r="AH287" s="133"/>
      <c r="AI287" s="133"/>
      <c r="AJ287" s="133"/>
      <c r="AK287" s="133"/>
      <c r="AL287" s="133"/>
      <c r="AM287" s="133"/>
      <c r="AN287" s="133"/>
      <c r="AO287" s="133"/>
      <c r="AP287" s="133"/>
      <c r="AQ287" s="133"/>
      <c r="AR287" s="133"/>
      <c r="AS287" s="153">
        <v>0</v>
      </c>
      <c r="AT287" s="153">
        <v>0</v>
      </c>
      <c r="AU287" s="153">
        <v>0</v>
      </c>
      <c r="AV287" s="135"/>
      <c r="AW287" s="135"/>
      <c r="AX287" s="135"/>
      <c r="AY287" s="135"/>
      <c r="AZ287" s="135"/>
      <c r="BA287" s="135"/>
      <c r="BB287" s="135"/>
      <c r="BC287" s="135"/>
      <c r="BD287" s="135"/>
      <c r="BE287" s="135"/>
      <c r="BF287" s="135"/>
      <c r="BG287" s="135"/>
      <c r="BH287" s="135"/>
      <c r="BI287" s="2" t="s">
        <v>11</v>
      </c>
      <c r="BJ287" s="136"/>
      <c r="BK287" s="2">
        <v>0</v>
      </c>
      <c r="BL287" s="136" t="s">
        <v>18</v>
      </c>
      <c r="BM287" s="136">
        <v>44931</v>
      </c>
      <c r="BN287" s="2" t="s">
        <v>992</v>
      </c>
      <c r="BO287" s="2"/>
      <c r="BP287" s="136"/>
      <c r="BQ287" s="137"/>
      <c r="BR287" s="138"/>
    </row>
    <row r="288" spans="1:70" ht="12.75" customHeight="1" x14ac:dyDescent="0.2">
      <c r="A288" s="2">
        <v>1777</v>
      </c>
      <c r="B288" s="2" t="s">
        <v>100</v>
      </c>
      <c r="C288" s="2" t="s">
        <v>95</v>
      </c>
      <c r="D288" s="2" t="s">
        <v>1092</v>
      </c>
      <c r="E288" s="2" t="s">
        <v>106</v>
      </c>
      <c r="F288" s="132">
        <v>647.5</v>
      </c>
      <c r="G288" s="132"/>
      <c r="H288" s="132">
        <f>370*1.75</f>
        <v>647.5</v>
      </c>
      <c r="I288" s="132"/>
      <c r="J288" s="132">
        <v>647.5</v>
      </c>
      <c r="K288" s="132">
        <f t="shared" si="36"/>
        <v>0</v>
      </c>
      <c r="L288" s="132">
        <f t="shared" si="37"/>
        <v>0</v>
      </c>
      <c r="M288" s="133"/>
      <c r="N288" s="133">
        <f t="shared" si="35"/>
        <v>0</v>
      </c>
      <c r="O288" s="134">
        <v>0</v>
      </c>
      <c r="P288" s="133"/>
      <c r="Q288" s="2" t="s">
        <v>1009</v>
      </c>
      <c r="R288" s="156">
        <f t="shared" si="38"/>
        <v>0</v>
      </c>
      <c r="S288" s="156">
        <f t="shared" si="39"/>
        <v>0</v>
      </c>
      <c r="T288" s="133"/>
      <c r="U288" s="133"/>
      <c r="V288" s="133"/>
      <c r="W288" s="133"/>
      <c r="X288" s="133"/>
      <c r="Y288" s="133"/>
      <c r="Z288" s="133"/>
      <c r="AA288" s="133"/>
      <c r="AB288" s="133"/>
      <c r="AC288" s="133"/>
      <c r="AD288" s="133"/>
      <c r="AE288" s="133"/>
      <c r="AF288" s="133"/>
      <c r="AG288" s="133"/>
      <c r="AH288" s="133"/>
      <c r="AI288" s="133"/>
      <c r="AJ288" s="133"/>
      <c r="AK288" s="133"/>
      <c r="AL288" s="133"/>
      <c r="AM288" s="133"/>
      <c r="AN288" s="133"/>
      <c r="AO288" s="133"/>
      <c r="AP288" s="133"/>
      <c r="AQ288" s="133"/>
      <c r="AR288" s="133"/>
      <c r="AS288" s="153">
        <v>0</v>
      </c>
      <c r="AT288" s="153">
        <v>0</v>
      </c>
      <c r="AU288" s="153">
        <v>0</v>
      </c>
      <c r="AV288" s="135"/>
      <c r="AW288" s="135"/>
      <c r="AX288" s="135"/>
      <c r="AY288" s="135"/>
      <c r="AZ288" s="135"/>
      <c r="BA288" s="135"/>
      <c r="BB288" s="135"/>
      <c r="BC288" s="135"/>
      <c r="BD288" s="135"/>
      <c r="BE288" s="135"/>
      <c r="BF288" s="135"/>
      <c r="BG288" s="135"/>
      <c r="BH288" s="135"/>
      <c r="BI288" s="2" t="s">
        <v>112</v>
      </c>
      <c r="BJ288" s="136">
        <v>45272</v>
      </c>
      <c r="BK288" s="2" t="s">
        <v>145</v>
      </c>
      <c r="BL288" s="136" t="s">
        <v>18</v>
      </c>
      <c r="BM288" s="136">
        <v>44931</v>
      </c>
      <c r="BN288" s="2" t="s">
        <v>993</v>
      </c>
      <c r="BO288" s="2"/>
      <c r="BP288" s="136"/>
      <c r="BQ288" s="137" t="s">
        <v>134</v>
      </c>
      <c r="BR288" s="138"/>
    </row>
    <row r="289" spans="1:70" ht="12.75" customHeight="1" x14ac:dyDescent="0.2">
      <c r="A289" s="2">
        <v>1778</v>
      </c>
      <c r="B289" s="2" t="s">
        <v>100</v>
      </c>
      <c r="C289" s="2" t="s">
        <v>95</v>
      </c>
      <c r="D289" s="2" t="s">
        <v>1093</v>
      </c>
      <c r="E289" s="2" t="s">
        <v>90</v>
      </c>
      <c r="F289" s="132">
        <v>50000</v>
      </c>
      <c r="G289" s="132">
        <v>2</v>
      </c>
      <c r="H289" s="132"/>
      <c r="I289" s="132"/>
      <c r="J289" s="132"/>
      <c r="K289" s="132">
        <f t="shared" si="36"/>
        <v>50000</v>
      </c>
      <c r="L289" s="132">
        <f t="shared" si="37"/>
        <v>0</v>
      </c>
      <c r="M289" s="133"/>
      <c r="N289" s="133">
        <f t="shared" si="35"/>
        <v>50000</v>
      </c>
      <c r="O289" s="134">
        <v>1</v>
      </c>
      <c r="P289" s="133"/>
      <c r="Q289" s="2" t="s">
        <v>3839</v>
      </c>
      <c r="R289" s="156">
        <f t="shared" si="38"/>
        <v>0</v>
      </c>
      <c r="S289" s="156">
        <f t="shared" si="39"/>
        <v>0</v>
      </c>
      <c r="T289" s="133"/>
      <c r="U289" s="133"/>
      <c r="V289" s="133"/>
      <c r="W289" s="133"/>
      <c r="X289" s="133"/>
      <c r="Y289" s="133"/>
      <c r="Z289" s="133"/>
      <c r="AA289" s="133"/>
      <c r="AB289" s="133"/>
      <c r="AC289" s="133"/>
      <c r="AD289" s="133"/>
      <c r="AE289" s="133"/>
      <c r="AF289" s="133"/>
      <c r="AG289" s="133"/>
      <c r="AH289" s="133"/>
      <c r="AI289" s="133"/>
      <c r="AJ289" s="133"/>
      <c r="AK289" s="133"/>
      <c r="AL289" s="133"/>
      <c r="AM289" s="133"/>
      <c r="AN289" s="133"/>
      <c r="AO289" s="133"/>
      <c r="AP289" s="133"/>
      <c r="AQ289" s="133"/>
      <c r="AR289" s="133"/>
      <c r="AS289" s="153">
        <v>0</v>
      </c>
      <c r="AT289" s="153">
        <v>0</v>
      </c>
      <c r="AU289" s="153">
        <v>0</v>
      </c>
      <c r="AV289" s="135"/>
      <c r="AW289" s="135"/>
      <c r="AX289" s="135"/>
      <c r="AY289" s="135"/>
      <c r="AZ289" s="135"/>
      <c r="BA289" s="135"/>
      <c r="BB289" s="135"/>
      <c r="BC289" s="135"/>
      <c r="BD289" s="135"/>
      <c r="BE289" s="135"/>
      <c r="BF289" s="135"/>
      <c r="BG289" s="135"/>
      <c r="BH289" s="135"/>
      <c r="BI289" s="2" t="s">
        <v>11</v>
      </c>
      <c r="BJ289" s="136"/>
      <c r="BK289" s="2">
        <v>0</v>
      </c>
      <c r="BL289" s="136" t="s">
        <v>18</v>
      </c>
      <c r="BM289" s="136">
        <v>44931</v>
      </c>
      <c r="BN289" s="2" t="s">
        <v>994</v>
      </c>
      <c r="BO289" s="2"/>
      <c r="BP289" s="136"/>
      <c r="BQ289" s="137"/>
      <c r="BR289" s="138"/>
    </row>
    <row r="290" spans="1:70" ht="12.75" customHeight="1" x14ac:dyDescent="0.2">
      <c r="A290" s="2">
        <v>1779</v>
      </c>
      <c r="B290" s="2" t="s">
        <v>100</v>
      </c>
      <c r="C290" s="2" t="s">
        <v>95</v>
      </c>
      <c r="D290" s="2" t="s">
        <v>1094</v>
      </c>
      <c r="E290" s="2" t="s">
        <v>106</v>
      </c>
      <c r="F290" s="132">
        <v>1715</v>
      </c>
      <c r="G290" s="132"/>
      <c r="H290" s="132">
        <f>980*1.75</f>
        <v>1715</v>
      </c>
      <c r="I290" s="132"/>
      <c r="J290" s="132">
        <v>1715</v>
      </c>
      <c r="K290" s="132">
        <f t="shared" si="36"/>
        <v>0</v>
      </c>
      <c r="L290" s="132">
        <f t="shared" si="37"/>
        <v>0</v>
      </c>
      <c r="M290" s="133"/>
      <c r="N290" s="133">
        <f t="shared" si="35"/>
        <v>0</v>
      </c>
      <c r="O290" s="134">
        <v>0</v>
      </c>
      <c r="P290" s="133"/>
      <c r="Q290" s="2" t="s">
        <v>1010</v>
      </c>
      <c r="R290" s="156">
        <f t="shared" si="38"/>
        <v>0</v>
      </c>
      <c r="S290" s="156">
        <f t="shared" si="39"/>
        <v>0</v>
      </c>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53">
        <v>0</v>
      </c>
      <c r="AT290" s="153">
        <v>0</v>
      </c>
      <c r="AU290" s="153">
        <v>0</v>
      </c>
      <c r="AV290" s="135"/>
      <c r="AW290" s="135"/>
      <c r="AX290" s="135"/>
      <c r="AY290" s="135"/>
      <c r="AZ290" s="135"/>
      <c r="BA290" s="135"/>
      <c r="BB290" s="135"/>
      <c r="BC290" s="135"/>
      <c r="BD290" s="135"/>
      <c r="BE290" s="135"/>
      <c r="BF290" s="135"/>
      <c r="BG290" s="135"/>
      <c r="BH290" s="135"/>
      <c r="BI290" s="2" t="s">
        <v>112</v>
      </c>
      <c r="BJ290" s="136">
        <v>45289</v>
      </c>
      <c r="BK290" s="2" t="s">
        <v>145</v>
      </c>
      <c r="BL290" s="136" t="s">
        <v>18</v>
      </c>
      <c r="BM290" s="136">
        <v>44931</v>
      </c>
      <c r="BN290" s="2" t="s">
        <v>995</v>
      </c>
      <c r="BO290" s="2"/>
      <c r="BP290" s="136"/>
      <c r="BQ290" s="137" t="s">
        <v>134</v>
      </c>
      <c r="BR290" s="138"/>
    </row>
    <row r="291" spans="1:70" ht="12.75" customHeight="1" x14ac:dyDescent="0.2">
      <c r="A291" s="2">
        <v>1780</v>
      </c>
      <c r="B291" s="2" t="s">
        <v>100</v>
      </c>
      <c r="C291" s="2" t="s">
        <v>95</v>
      </c>
      <c r="D291" s="2" t="s">
        <v>1095</v>
      </c>
      <c r="E291" s="2" t="s">
        <v>90</v>
      </c>
      <c r="F291" s="132">
        <v>25000</v>
      </c>
      <c r="G291" s="132">
        <v>2</v>
      </c>
      <c r="H291" s="132">
        <f>100000+80000+50000+9389.08</f>
        <v>239389.08</v>
      </c>
      <c r="I291" s="132">
        <f>100000+80000+50000+9389.08</f>
        <v>239389.08</v>
      </c>
      <c r="J291" s="132">
        <f>15254.237+12203.39+7627.118+AY291+1432.23+7956.8549</f>
        <v>239389.07990000001</v>
      </c>
      <c r="K291" s="132">
        <f t="shared" si="36"/>
        <v>-214389.07990000001</v>
      </c>
      <c r="L291" s="132">
        <f t="shared" si="37"/>
        <v>9.9999975645914674E-5</v>
      </c>
      <c r="M291" s="133">
        <v>960</v>
      </c>
      <c r="N291" s="133">
        <f t="shared" si="35"/>
        <v>9.9999975645914674E-5</v>
      </c>
      <c r="O291" s="134">
        <v>0</v>
      </c>
      <c r="P291" s="133"/>
      <c r="Q291" s="2" t="s">
        <v>1010</v>
      </c>
      <c r="R291" s="156">
        <f t="shared" si="38"/>
        <v>0</v>
      </c>
      <c r="S291" s="156">
        <f t="shared" si="39"/>
        <v>0</v>
      </c>
      <c r="T291" s="133"/>
      <c r="U291" s="133"/>
      <c r="V291" s="133"/>
      <c r="W291" s="133"/>
      <c r="X291" s="133"/>
      <c r="Y291" s="133"/>
      <c r="Z291" s="133"/>
      <c r="AA291" s="133"/>
      <c r="AB291" s="133"/>
      <c r="AC291" s="133"/>
      <c r="AD291" s="133"/>
      <c r="AE291" s="133"/>
      <c r="AF291" s="133"/>
      <c r="AG291" s="133"/>
      <c r="AH291" s="133"/>
      <c r="AI291" s="133"/>
      <c r="AJ291" s="133"/>
      <c r="AK291" s="133"/>
      <c r="AL291" s="133"/>
      <c r="AM291" s="133"/>
      <c r="AN291" s="133"/>
      <c r="AO291" s="133"/>
      <c r="AP291" s="133"/>
      <c r="AQ291" s="133"/>
      <c r="AR291" s="133"/>
      <c r="AS291" s="153">
        <v>0</v>
      </c>
      <c r="AT291" s="153">
        <v>0</v>
      </c>
      <c r="AU291" s="153">
        <v>0</v>
      </c>
      <c r="AV291" s="135"/>
      <c r="AW291" s="135"/>
      <c r="AX291" s="135"/>
      <c r="AY291" s="135">
        <f>84745.76+67796.61+42372.88</f>
        <v>194915.25</v>
      </c>
      <c r="AZ291" s="135">
        <f>3703.27+7088+2384.2</f>
        <v>13175.470000000001</v>
      </c>
      <c r="BA291" s="135">
        <f>180000/1.18*0.8*0.1</f>
        <v>12203.389830508475</v>
      </c>
      <c r="BB291" s="140">
        <f>(H291/1.18-AT291-AW291-AZ291)*0.1-BA291</f>
        <v>6766.2733389830482</v>
      </c>
      <c r="BC291" s="135"/>
      <c r="BD291" s="135"/>
      <c r="BE291" s="135">
        <f>(H291/1.18-AT291-AW291-AZ291-BD291)*0.1-AU291-AX291-BA291-BB291</f>
        <v>0</v>
      </c>
      <c r="BF291" s="135"/>
      <c r="BG291" s="135"/>
      <c r="BH291" s="135"/>
      <c r="BI291" s="2" t="s">
        <v>11</v>
      </c>
      <c r="BJ291" s="136">
        <v>45621</v>
      </c>
      <c r="BK291" s="2" t="s">
        <v>109</v>
      </c>
      <c r="BL291" s="136" t="s">
        <v>18</v>
      </c>
      <c r="BM291" s="136">
        <v>44931</v>
      </c>
      <c r="BN291" s="2" t="s">
        <v>996</v>
      </c>
      <c r="BO291" s="2"/>
      <c r="BP291" s="136"/>
      <c r="BQ291" s="137" t="s">
        <v>119</v>
      </c>
      <c r="BR291" s="138"/>
    </row>
    <row r="292" spans="1:70" ht="12.75" customHeight="1" x14ac:dyDescent="0.2">
      <c r="A292" s="2">
        <v>1781</v>
      </c>
      <c r="B292" s="2" t="s">
        <v>39</v>
      </c>
      <c r="C292" s="2" t="s">
        <v>74</v>
      </c>
      <c r="D292" s="2" t="s">
        <v>1096</v>
      </c>
      <c r="E292" s="2" t="s">
        <v>106</v>
      </c>
      <c r="F292" s="132">
        <v>9462.25</v>
      </c>
      <c r="G292" s="132"/>
      <c r="H292" s="132">
        <f>5407*1.75</f>
        <v>9462.25</v>
      </c>
      <c r="I292" s="132"/>
      <c r="J292" s="132">
        <f>1443.39+8018.86</f>
        <v>9462.25</v>
      </c>
      <c r="K292" s="132">
        <f t="shared" si="36"/>
        <v>0</v>
      </c>
      <c r="L292" s="132">
        <f t="shared" si="37"/>
        <v>0</v>
      </c>
      <c r="M292" s="133"/>
      <c r="N292" s="133">
        <f t="shared" si="35"/>
        <v>0</v>
      </c>
      <c r="O292" s="134">
        <v>0</v>
      </c>
      <c r="P292" s="133"/>
      <c r="Q292" s="2" t="s">
        <v>1011</v>
      </c>
      <c r="R292" s="156">
        <f t="shared" si="38"/>
        <v>0</v>
      </c>
      <c r="S292" s="156">
        <f t="shared" si="39"/>
        <v>0</v>
      </c>
      <c r="T292" s="133"/>
      <c r="U292" s="133"/>
      <c r="V292" s="133"/>
      <c r="W292" s="133"/>
      <c r="X292" s="133"/>
      <c r="Y292" s="133"/>
      <c r="Z292" s="133"/>
      <c r="AA292" s="133"/>
      <c r="AB292" s="133"/>
      <c r="AC292" s="133"/>
      <c r="AD292" s="133"/>
      <c r="AE292" s="133"/>
      <c r="AF292" s="133"/>
      <c r="AG292" s="133"/>
      <c r="AH292" s="133"/>
      <c r="AI292" s="133"/>
      <c r="AJ292" s="133"/>
      <c r="AK292" s="133"/>
      <c r="AL292" s="133"/>
      <c r="AM292" s="133"/>
      <c r="AN292" s="133"/>
      <c r="AO292" s="133"/>
      <c r="AP292" s="133"/>
      <c r="AQ292" s="133"/>
      <c r="AR292" s="133"/>
      <c r="AS292" s="153">
        <v>0</v>
      </c>
      <c r="AT292" s="153">
        <v>0</v>
      </c>
      <c r="AU292" s="153">
        <v>0</v>
      </c>
      <c r="AV292" s="135"/>
      <c r="AW292" s="135"/>
      <c r="AX292" s="135"/>
      <c r="AY292" s="135"/>
      <c r="AZ292" s="135"/>
      <c r="BA292" s="135"/>
      <c r="BB292" s="135"/>
      <c r="BC292" s="135"/>
      <c r="BD292" s="135"/>
      <c r="BE292" s="135"/>
      <c r="BF292" s="135"/>
      <c r="BG292" s="135"/>
      <c r="BH292" s="135"/>
      <c r="BI292" s="2" t="s">
        <v>112</v>
      </c>
      <c r="BJ292" s="136">
        <v>45233</v>
      </c>
      <c r="BK292" s="2" t="s">
        <v>145</v>
      </c>
      <c r="BL292" s="136" t="s">
        <v>18</v>
      </c>
      <c r="BM292" s="136">
        <v>44931</v>
      </c>
      <c r="BN292" s="2" t="s">
        <v>997</v>
      </c>
      <c r="BO292" s="2"/>
      <c r="BP292" s="136"/>
      <c r="BQ292" s="137" t="s">
        <v>134</v>
      </c>
      <c r="BR292" s="138"/>
    </row>
    <row r="293" spans="1:70" ht="12.75" customHeight="1" x14ac:dyDescent="0.2">
      <c r="A293" s="2">
        <v>1782</v>
      </c>
      <c r="B293" s="2" t="s">
        <v>39</v>
      </c>
      <c r="C293" s="2" t="s">
        <v>74</v>
      </c>
      <c r="D293" s="2" t="s">
        <v>1097</v>
      </c>
      <c r="E293" s="2" t="s">
        <v>90</v>
      </c>
      <c r="F293" s="132">
        <v>950000</v>
      </c>
      <c r="G293" s="132">
        <v>2</v>
      </c>
      <c r="H293" s="132">
        <f>780000+100000+56894.93</f>
        <v>936894.93</v>
      </c>
      <c r="I293" s="132">
        <f>780000+100000+56894.93</f>
        <v>936894.93</v>
      </c>
      <c r="J293" s="132">
        <f>118983.05+15254.237+AV293+AY293+8678.89+48216.043</f>
        <v>936894.92999999993</v>
      </c>
      <c r="K293" s="132">
        <f t="shared" si="36"/>
        <v>13105.070000000065</v>
      </c>
      <c r="L293" s="132">
        <f t="shared" si="37"/>
        <v>0</v>
      </c>
      <c r="M293" s="133">
        <v>4933</v>
      </c>
      <c r="N293" s="133">
        <f t="shared" si="35"/>
        <v>1.1641532182693481E-10</v>
      </c>
      <c r="O293" s="134">
        <v>0</v>
      </c>
      <c r="P293" s="133"/>
      <c r="Q293" s="2" t="s">
        <v>1011</v>
      </c>
      <c r="R293" s="156">
        <f t="shared" si="38"/>
        <v>0</v>
      </c>
      <c r="S293" s="156">
        <f t="shared" si="39"/>
        <v>0</v>
      </c>
      <c r="T293" s="133"/>
      <c r="U293" s="133"/>
      <c r="V293" s="133"/>
      <c r="W293" s="133"/>
      <c r="X293" s="133"/>
      <c r="Y293" s="133"/>
      <c r="Z293" s="133"/>
      <c r="AA293" s="133"/>
      <c r="AB293" s="133"/>
      <c r="AC293" s="133"/>
      <c r="AD293" s="133"/>
      <c r="AE293" s="133"/>
      <c r="AF293" s="133"/>
      <c r="AG293" s="133"/>
      <c r="AH293" s="133"/>
      <c r="AI293" s="133"/>
      <c r="AJ293" s="133"/>
      <c r="AK293" s="133"/>
      <c r="AL293" s="133"/>
      <c r="AM293" s="133"/>
      <c r="AN293" s="133"/>
      <c r="AO293" s="133"/>
      <c r="AP293" s="133"/>
      <c r="AQ293" s="133"/>
      <c r="AR293" s="133"/>
      <c r="AS293" s="153">
        <v>0</v>
      </c>
      <c r="AT293" s="153">
        <v>0</v>
      </c>
      <c r="AU293" s="153">
        <v>0</v>
      </c>
      <c r="AV293" s="135">
        <v>661016.94999999995</v>
      </c>
      <c r="AW293" s="135">
        <v>61393.08</v>
      </c>
      <c r="AX293" s="135"/>
      <c r="AY293" s="135">
        <v>84745.76</v>
      </c>
      <c r="AZ293" s="135">
        <v>2524.96</v>
      </c>
      <c r="BA293" s="135">
        <f>IF(BK293="Принят",(I293/1.18-AW293-AZ293)*0.1,I293/1.18*0.8*0.1)</f>
        <v>73006.071423728834</v>
      </c>
      <c r="BB293" s="135">
        <f>(I293/1.18-AT293-AW293-AZ293)*0.1-BA293</f>
        <v>0</v>
      </c>
      <c r="BC293" s="135"/>
      <c r="BD293" s="135"/>
      <c r="BE293" s="135">
        <f>(H293/1.18-AT293-AW293-AZ293-BD293)*0.1-AU293-AX293-BA293-BB293</f>
        <v>0</v>
      </c>
      <c r="BF293" s="135"/>
      <c r="BG293" s="135"/>
      <c r="BH293" s="135"/>
      <c r="BI293" s="2" t="s">
        <v>11</v>
      </c>
      <c r="BJ293" s="136">
        <v>45380</v>
      </c>
      <c r="BK293" s="2" t="s">
        <v>109</v>
      </c>
      <c r="BL293" s="136" t="s">
        <v>18</v>
      </c>
      <c r="BM293" s="136">
        <v>44931</v>
      </c>
      <c r="BN293" s="2" t="s">
        <v>998</v>
      </c>
      <c r="BO293" s="2"/>
      <c r="BP293" s="136" t="s">
        <v>616</v>
      </c>
      <c r="BQ293" s="137" t="s">
        <v>119</v>
      </c>
      <c r="BR293" s="138"/>
    </row>
    <row r="294" spans="1:70" ht="12.75" customHeight="1" x14ac:dyDescent="0.2">
      <c r="A294" s="2">
        <v>1783</v>
      </c>
      <c r="B294" s="2" t="s">
        <v>39</v>
      </c>
      <c r="C294" s="2" t="s">
        <v>74</v>
      </c>
      <c r="D294" s="2" t="s">
        <v>1098</v>
      </c>
      <c r="E294" s="2" t="s">
        <v>106</v>
      </c>
      <c r="F294" s="132">
        <v>2241.75</v>
      </c>
      <c r="G294" s="132"/>
      <c r="H294" s="132">
        <f>1281*1.75</f>
        <v>2241.75</v>
      </c>
      <c r="I294" s="132"/>
      <c r="J294" s="132">
        <v>2241.75</v>
      </c>
      <c r="K294" s="132">
        <f t="shared" si="36"/>
        <v>0</v>
      </c>
      <c r="L294" s="132">
        <f t="shared" si="37"/>
        <v>0</v>
      </c>
      <c r="M294" s="133"/>
      <c r="N294" s="133">
        <f t="shared" si="35"/>
        <v>0</v>
      </c>
      <c r="O294" s="134">
        <v>0</v>
      </c>
      <c r="P294" s="133"/>
      <c r="Q294" s="2" t="s">
        <v>1012</v>
      </c>
      <c r="R294" s="156">
        <f t="shared" si="38"/>
        <v>0</v>
      </c>
      <c r="S294" s="156">
        <f t="shared" si="39"/>
        <v>0</v>
      </c>
      <c r="T294" s="133"/>
      <c r="U294" s="133"/>
      <c r="V294" s="133"/>
      <c r="W294" s="133"/>
      <c r="X294" s="133"/>
      <c r="Y294" s="133"/>
      <c r="Z294" s="133"/>
      <c r="AA294" s="133"/>
      <c r="AB294" s="133"/>
      <c r="AC294" s="133"/>
      <c r="AD294" s="133"/>
      <c r="AE294" s="133"/>
      <c r="AF294" s="133"/>
      <c r="AG294" s="133"/>
      <c r="AH294" s="133"/>
      <c r="AI294" s="133"/>
      <c r="AJ294" s="133"/>
      <c r="AK294" s="133"/>
      <c r="AL294" s="133"/>
      <c r="AM294" s="133"/>
      <c r="AN294" s="133"/>
      <c r="AO294" s="133"/>
      <c r="AP294" s="133"/>
      <c r="AQ294" s="133"/>
      <c r="AR294" s="133"/>
      <c r="AS294" s="153">
        <v>0</v>
      </c>
      <c r="AT294" s="153">
        <v>0</v>
      </c>
      <c r="AU294" s="153">
        <v>0</v>
      </c>
      <c r="AV294" s="135"/>
      <c r="AW294" s="135"/>
      <c r="AX294" s="135"/>
      <c r="AY294" s="135"/>
      <c r="AZ294" s="135"/>
      <c r="BA294" s="135"/>
      <c r="BB294" s="135"/>
      <c r="BC294" s="135"/>
      <c r="BD294" s="135"/>
      <c r="BE294" s="135"/>
      <c r="BF294" s="135"/>
      <c r="BG294" s="135"/>
      <c r="BH294" s="135"/>
      <c r="BI294" s="2" t="s">
        <v>112</v>
      </c>
      <c r="BJ294" s="136">
        <v>45289</v>
      </c>
      <c r="BK294" s="2" t="s">
        <v>145</v>
      </c>
      <c r="BL294" s="136" t="s">
        <v>18</v>
      </c>
      <c r="BM294" s="136">
        <v>44931</v>
      </c>
      <c r="BN294" s="2" t="s">
        <v>999</v>
      </c>
      <c r="BO294" s="2"/>
      <c r="BP294" s="136"/>
      <c r="BQ294" s="137" t="s">
        <v>134</v>
      </c>
      <c r="BR294" s="138"/>
    </row>
    <row r="295" spans="1:70" ht="12.75" customHeight="1" x14ac:dyDescent="0.2">
      <c r="A295" s="2">
        <v>1784</v>
      </c>
      <c r="B295" s="2" t="s">
        <v>39</v>
      </c>
      <c r="C295" s="2" t="s">
        <v>74</v>
      </c>
      <c r="D295" s="2" t="s">
        <v>1099</v>
      </c>
      <c r="E295" s="2" t="s">
        <v>90</v>
      </c>
      <c r="F295" s="132">
        <v>36000</v>
      </c>
      <c r="G295" s="132">
        <v>2</v>
      </c>
      <c r="H295" s="132"/>
      <c r="I295" s="132"/>
      <c r="J295" s="132"/>
      <c r="K295" s="132">
        <f t="shared" si="36"/>
        <v>36000</v>
      </c>
      <c r="L295" s="132">
        <f t="shared" si="37"/>
        <v>0</v>
      </c>
      <c r="M295" s="133"/>
      <c r="N295" s="133">
        <f t="shared" si="35"/>
        <v>36000</v>
      </c>
      <c r="O295" s="134">
        <v>1</v>
      </c>
      <c r="P295" s="133"/>
      <c r="Q295" s="2" t="s">
        <v>1012</v>
      </c>
      <c r="R295" s="156">
        <f t="shared" si="38"/>
        <v>0</v>
      </c>
      <c r="S295" s="156">
        <f t="shared" si="39"/>
        <v>0</v>
      </c>
      <c r="T295" s="133"/>
      <c r="U295" s="133"/>
      <c r="V295" s="133"/>
      <c r="W295" s="133"/>
      <c r="X295" s="133"/>
      <c r="Y295" s="133"/>
      <c r="Z295" s="133"/>
      <c r="AA295" s="133"/>
      <c r="AB295" s="133"/>
      <c r="AC295" s="133"/>
      <c r="AD295" s="133"/>
      <c r="AE295" s="133"/>
      <c r="AF295" s="133"/>
      <c r="AG295" s="133"/>
      <c r="AH295" s="133"/>
      <c r="AI295" s="133"/>
      <c r="AJ295" s="133"/>
      <c r="AK295" s="133"/>
      <c r="AL295" s="133"/>
      <c r="AM295" s="133"/>
      <c r="AN295" s="133"/>
      <c r="AO295" s="133"/>
      <c r="AP295" s="133"/>
      <c r="AQ295" s="133"/>
      <c r="AR295" s="133"/>
      <c r="AS295" s="153">
        <v>0</v>
      </c>
      <c r="AT295" s="153">
        <v>0</v>
      </c>
      <c r="AU295" s="153">
        <v>0</v>
      </c>
      <c r="AV295" s="135"/>
      <c r="AW295" s="135"/>
      <c r="AX295" s="135"/>
      <c r="AY295" s="135"/>
      <c r="AZ295" s="135"/>
      <c r="BA295" s="135"/>
      <c r="BB295" s="135"/>
      <c r="BC295" s="135"/>
      <c r="BD295" s="135"/>
      <c r="BE295" s="135"/>
      <c r="BF295" s="135"/>
      <c r="BG295" s="135"/>
      <c r="BH295" s="135"/>
      <c r="BI295" s="2" t="s">
        <v>11</v>
      </c>
      <c r="BJ295" s="136"/>
      <c r="BK295" s="2">
        <v>0</v>
      </c>
      <c r="BL295" s="136" t="s">
        <v>18</v>
      </c>
      <c r="BM295" s="136">
        <v>44931</v>
      </c>
      <c r="BN295" s="2" t="s">
        <v>1042</v>
      </c>
      <c r="BO295" s="2"/>
      <c r="BP295" s="136"/>
      <c r="BQ295" s="137"/>
      <c r="BR295" s="138"/>
    </row>
    <row r="296" spans="1:70" ht="12.75" customHeight="1" x14ac:dyDescent="0.2">
      <c r="A296" s="2">
        <v>1785</v>
      </c>
      <c r="B296" s="2" t="s">
        <v>100</v>
      </c>
      <c r="C296" s="2" t="s">
        <v>95</v>
      </c>
      <c r="D296" s="2" t="s">
        <v>1100</v>
      </c>
      <c r="E296" s="2" t="s">
        <v>106</v>
      </c>
      <c r="F296" s="132">
        <f>131*1.75</f>
        <v>229.25</v>
      </c>
      <c r="G296" s="132">
        <v>2</v>
      </c>
      <c r="H296" s="132">
        <f>131*1.75</f>
        <v>229.25</v>
      </c>
      <c r="I296" s="132"/>
      <c r="J296" s="132">
        <f>229.25</f>
        <v>229.25</v>
      </c>
      <c r="K296" s="132">
        <f t="shared" si="36"/>
        <v>0</v>
      </c>
      <c r="L296" s="132">
        <f t="shared" si="37"/>
        <v>0</v>
      </c>
      <c r="M296" s="133"/>
      <c r="N296" s="133">
        <f t="shared" si="35"/>
        <v>0</v>
      </c>
      <c r="O296" s="134">
        <v>0</v>
      </c>
      <c r="P296" s="133"/>
      <c r="Q296" s="2" t="s">
        <v>1013</v>
      </c>
      <c r="R296" s="156">
        <f t="shared" si="38"/>
        <v>0</v>
      </c>
      <c r="S296" s="156">
        <f t="shared" si="39"/>
        <v>0</v>
      </c>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53">
        <v>0</v>
      </c>
      <c r="AT296" s="153">
        <v>0</v>
      </c>
      <c r="AU296" s="153">
        <v>0</v>
      </c>
      <c r="AV296" s="135"/>
      <c r="AW296" s="135"/>
      <c r="AX296" s="135"/>
      <c r="AY296" s="135"/>
      <c r="AZ296" s="135"/>
      <c r="BA296" s="135"/>
      <c r="BB296" s="135"/>
      <c r="BC296" s="135"/>
      <c r="BD296" s="135"/>
      <c r="BE296" s="135"/>
      <c r="BF296" s="135"/>
      <c r="BG296" s="135"/>
      <c r="BH296" s="135"/>
      <c r="BI296" s="2" t="s">
        <v>112</v>
      </c>
      <c r="BJ296" s="136">
        <v>45299</v>
      </c>
      <c r="BK296" s="2" t="s">
        <v>145</v>
      </c>
      <c r="BL296" s="136" t="s">
        <v>18</v>
      </c>
      <c r="BM296" s="136">
        <v>44931</v>
      </c>
      <c r="BN296" s="2" t="s">
        <v>1043</v>
      </c>
      <c r="BO296" s="2"/>
      <c r="BP296" s="136"/>
      <c r="BQ296" s="137" t="s">
        <v>134</v>
      </c>
      <c r="BR296" s="138"/>
    </row>
    <row r="297" spans="1:70" ht="12.75" customHeight="1" x14ac:dyDescent="0.2">
      <c r="A297" s="2">
        <v>1786</v>
      </c>
      <c r="B297" s="2" t="s">
        <v>100</v>
      </c>
      <c r="C297" s="2" t="s">
        <v>95</v>
      </c>
      <c r="D297" s="2" t="s">
        <v>1101</v>
      </c>
      <c r="E297" s="2" t="s">
        <v>90</v>
      </c>
      <c r="F297" s="132">
        <v>2000</v>
      </c>
      <c r="G297" s="132">
        <v>2</v>
      </c>
      <c r="H297" s="132">
        <v>7491.71</v>
      </c>
      <c r="I297" s="132">
        <v>7491.71</v>
      </c>
      <c r="J297" s="132">
        <v>7491.71</v>
      </c>
      <c r="K297" s="132">
        <f t="shared" si="36"/>
        <v>-5491.71</v>
      </c>
      <c r="L297" s="132">
        <f t="shared" si="37"/>
        <v>0</v>
      </c>
      <c r="M297" s="133">
        <v>132</v>
      </c>
      <c r="N297" s="133">
        <f t="shared" si="35"/>
        <v>0</v>
      </c>
      <c r="O297" s="134">
        <v>0</v>
      </c>
      <c r="P297" s="133"/>
      <c r="Q297" s="2" t="s">
        <v>1013</v>
      </c>
      <c r="R297" s="156">
        <f t="shared" si="38"/>
        <v>0</v>
      </c>
      <c r="S297" s="156">
        <f t="shared" si="39"/>
        <v>0</v>
      </c>
      <c r="T297" s="133"/>
      <c r="U297" s="133"/>
      <c r="V297" s="133"/>
      <c r="W297" s="133"/>
      <c r="X297" s="133"/>
      <c r="Y297" s="133"/>
      <c r="Z297" s="133"/>
      <c r="AA297" s="133"/>
      <c r="AB297" s="133"/>
      <c r="AC297" s="133"/>
      <c r="AD297" s="133"/>
      <c r="AE297" s="133"/>
      <c r="AF297" s="133"/>
      <c r="AG297" s="133"/>
      <c r="AH297" s="133"/>
      <c r="AI297" s="133"/>
      <c r="AJ297" s="133"/>
      <c r="AK297" s="133"/>
      <c r="AL297" s="133"/>
      <c r="AM297" s="133"/>
      <c r="AN297" s="133"/>
      <c r="AO297" s="133"/>
      <c r="AP297" s="133"/>
      <c r="AQ297" s="133"/>
      <c r="AR297" s="133"/>
      <c r="AS297" s="153">
        <v>0</v>
      </c>
      <c r="AT297" s="153">
        <v>0</v>
      </c>
      <c r="AU297" s="153">
        <v>0</v>
      </c>
      <c r="AV297" s="135"/>
      <c r="AW297" s="135"/>
      <c r="AX297" s="135"/>
      <c r="AY297" s="135"/>
      <c r="AZ297" s="135"/>
      <c r="BA297" s="135">
        <f>IF(BK297="Принят",(I297/1.18-AW297-AZ297)*0.1,I297/1.18*0.8*0.1)</f>
        <v>634.89067796610175</v>
      </c>
      <c r="BB297" s="135">
        <f>(I297/1.18-AT297-AW297-AZ297)*0.1-BA297</f>
        <v>0</v>
      </c>
      <c r="BC297" s="135"/>
      <c r="BD297" s="135"/>
      <c r="BE297" s="135">
        <f>(H297/1.18-AT297-AW297-AZ297-BD297)*0.1-AU297-AX297-BA297-BB297</f>
        <v>0</v>
      </c>
      <c r="BF297" s="135"/>
      <c r="BG297" s="135"/>
      <c r="BH297" s="135"/>
      <c r="BI297" s="2" t="s">
        <v>11</v>
      </c>
      <c r="BJ297" s="136">
        <v>45351</v>
      </c>
      <c r="BK297" s="2" t="s">
        <v>109</v>
      </c>
      <c r="BL297" s="136" t="s">
        <v>18</v>
      </c>
      <c r="BM297" s="136">
        <v>44931</v>
      </c>
      <c r="BN297" s="2" t="s">
        <v>1044</v>
      </c>
      <c r="BO297" s="2"/>
      <c r="BP297" s="136"/>
      <c r="BQ297" s="137" t="s">
        <v>119</v>
      </c>
      <c r="BR297" s="138"/>
    </row>
    <row r="298" spans="1:70" ht="12.75" customHeight="1" x14ac:dyDescent="0.2">
      <c r="A298" s="2">
        <v>1787</v>
      </c>
      <c r="B298" s="2" t="s">
        <v>39</v>
      </c>
      <c r="C298" s="2" t="s">
        <v>94</v>
      </c>
      <c r="D298" s="2" t="s">
        <v>1102</v>
      </c>
      <c r="E298" s="2" t="s">
        <v>106</v>
      </c>
      <c r="F298" s="132">
        <v>10422.299999999999</v>
      </c>
      <c r="G298" s="132"/>
      <c r="H298" s="132">
        <f>5955.6*1.75</f>
        <v>10422.300000000001</v>
      </c>
      <c r="I298" s="132"/>
      <c r="J298" s="132">
        <f>1589.84+8832.46</f>
        <v>10422.299999999999</v>
      </c>
      <c r="K298" s="132">
        <f t="shared" si="36"/>
        <v>0</v>
      </c>
      <c r="L298" s="132">
        <f t="shared" si="37"/>
        <v>0</v>
      </c>
      <c r="M298" s="133"/>
      <c r="N298" s="133">
        <f t="shared" ref="N298:N361" si="40">IF(OR(BK298="принят",BK298="Завершено",BK298="ПриПро"),H298-J298,F298-J298)</f>
        <v>1.8189894035458565E-12</v>
      </c>
      <c r="O298" s="134">
        <v>0</v>
      </c>
      <c r="P298" s="133"/>
      <c r="Q298" s="2" t="s">
        <v>1014</v>
      </c>
      <c r="R298" s="156">
        <f t="shared" si="38"/>
        <v>0</v>
      </c>
      <c r="S298" s="156">
        <f t="shared" si="39"/>
        <v>0</v>
      </c>
      <c r="T298" s="133"/>
      <c r="U298" s="133"/>
      <c r="V298" s="133"/>
      <c r="W298" s="133"/>
      <c r="X298" s="133"/>
      <c r="Y298" s="133"/>
      <c r="Z298" s="133"/>
      <c r="AA298" s="133"/>
      <c r="AB298" s="133"/>
      <c r="AC298" s="133"/>
      <c r="AD298" s="133"/>
      <c r="AE298" s="133"/>
      <c r="AF298" s="133"/>
      <c r="AG298" s="133"/>
      <c r="AH298" s="133"/>
      <c r="AI298" s="133"/>
      <c r="AJ298" s="133"/>
      <c r="AK298" s="133"/>
      <c r="AL298" s="133"/>
      <c r="AM298" s="133"/>
      <c r="AN298" s="133"/>
      <c r="AO298" s="133"/>
      <c r="AP298" s="133"/>
      <c r="AQ298" s="133"/>
      <c r="AR298" s="133"/>
      <c r="AS298" s="153">
        <v>0</v>
      </c>
      <c r="AT298" s="153">
        <v>0</v>
      </c>
      <c r="AU298" s="153">
        <v>0</v>
      </c>
      <c r="AV298" s="135"/>
      <c r="AW298" s="135"/>
      <c r="AX298" s="135"/>
      <c r="AY298" s="135"/>
      <c r="AZ298" s="135"/>
      <c r="BA298" s="135"/>
      <c r="BB298" s="135"/>
      <c r="BC298" s="135"/>
      <c r="BD298" s="135"/>
      <c r="BE298" s="135"/>
      <c r="BF298" s="135"/>
      <c r="BG298" s="135"/>
      <c r="BH298" s="135"/>
      <c r="BI298" s="2" t="s">
        <v>112</v>
      </c>
      <c r="BJ298" s="136">
        <v>45250</v>
      </c>
      <c r="BK298" s="2" t="s">
        <v>145</v>
      </c>
      <c r="BL298" s="136" t="s">
        <v>18</v>
      </c>
      <c r="BM298" s="136">
        <v>44931</v>
      </c>
      <c r="BN298" s="2" t="s">
        <v>1045</v>
      </c>
      <c r="BO298" s="2"/>
      <c r="BP298" s="136"/>
      <c r="BQ298" s="137" t="s">
        <v>134</v>
      </c>
      <c r="BR298" s="138"/>
    </row>
    <row r="299" spans="1:70" ht="12.75" customHeight="1" x14ac:dyDescent="0.2">
      <c r="A299" s="2">
        <v>1788</v>
      </c>
      <c r="B299" s="2" t="s">
        <v>39</v>
      </c>
      <c r="C299" s="2" t="s">
        <v>94</v>
      </c>
      <c r="D299" s="2" t="s">
        <v>1103</v>
      </c>
      <c r="E299" s="2" t="s">
        <v>90</v>
      </c>
      <c r="F299" s="132">
        <v>95000</v>
      </c>
      <c r="G299" s="132">
        <v>2</v>
      </c>
      <c r="H299" s="132">
        <f>300000+150000+105410.79</f>
        <v>555410.79</v>
      </c>
      <c r="I299" s="132">
        <f>300000+150000+105410.79</f>
        <v>555410.79</v>
      </c>
      <c r="J299" s="132">
        <f>AV299+45762.712+AY299+22881.36+16079.612+89331.176</f>
        <v>555410.79</v>
      </c>
      <c r="K299" s="132">
        <f t="shared" si="36"/>
        <v>-460410.79000000004</v>
      </c>
      <c r="L299" s="132">
        <f t="shared" si="37"/>
        <v>0</v>
      </c>
      <c r="M299" s="133">
        <v>5613</v>
      </c>
      <c r="N299" s="133">
        <f t="shared" si="40"/>
        <v>0</v>
      </c>
      <c r="O299" s="134">
        <v>0</v>
      </c>
      <c r="P299" s="133"/>
      <c r="Q299" s="2" t="s">
        <v>1014</v>
      </c>
      <c r="R299" s="156">
        <f t="shared" si="38"/>
        <v>0</v>
      </c>
      <c r="S299" s="156">
        <f t="shared" si="39"/>
        <v>0</v>
      </c>
      <c r="T299" s="133"/>
      <c r="U299" s="133"/>
      <c r="V299" s="133"/>
      <c r="W299" s="133"/>
      <c r="X299" s="133"/>
      <c r="Y299" s="133"/>
      <c r="Z299" s="133"/>
      <c r="AA299" s="133"/>
      <c r="AB299" s="133"/>
      <c r="AC299" s="133"/>
      <c r="AD299" s="133"/>
      <c r="AE299" s="133"/>
      <c r="AF299" s="133"/>
      <c r="AG299" s="133"/>
      <c r="AH299" s="133"/>
      <c r="AI299" s="133"/>
      <c r="AJ299" s="133"/>
      <c r="AK299" s="133"/>
      <c r="AL299" s="133"/>
      <c r="AM299" s="133"/>
      <c r="AN299" s="133"/>
      <c r="AO299" s="133"/>
      <c r="AP299" s="133"/>
      <c r="AQ299" s="133"/>
      <c r="AR299" s="133"/>
      <c r="AS299" s="153">
        <v>0</v>
      </c>
      <c r="AT299" s="153">
        <v>0</v>
      </c>
      <c r="AU299" s="153">
        <v>0</v>
      </c>
      <c r="AV299" s="135">
        <v>254237.29</v>
      </c>
      <c r="AW299" s="135">
        <v>15254.24</v>
      </c>
      <c r="AX299" s="135"/>
      <c r="AY299" s="135">
        <v>127118.64</v>
      </c>
      <c r="AZ299" s="135">
        <v>13289.99</v>
      </c>
      <c r="BA299" s="135">
        <f>450000/1.18*0.8*0.1</f>
        <v>30508.474576271194</v>
      </c>
      <c r="BB299" s="140">
        <f>(H299/1.18-AT299-AW299-AZ299)*0.1-BA299</f>
        <v>13705.813440677968</v>
      </c>
      <c r="BC299" s="135"/>
      <c r="BD299" s="135"/>
      <c r="BE299" s="135">
        <f>(H299/1.18-AT299-AW299-AZ299-BD299)*0.1-AU299-AX299-BA299-BB299</f>
        <v>0</v>
      </c>
      <c r="BF299" s="135"/>
      <c r="BG299" s="135"/>
      <c r="BH299" s="135"/>
      <c r="BI299" s="2" t="s">
        <v>11</v>
      </c>
      <c r="BJ299" s="136">
        <v>45621</v>
      </c>
      <c r="BK299" s="2" t="s">
        <v>109</v>
      </c>
      <c r="BL299" s="136" t="s">
        <v>18</v>
      </c>
      <c r="BM299" s="136">
        <v>44931</v>
      </c>
      <c r="BN299" s="2" t="s">
        <v>1046</v>
      </c>
      <c r="BO299" s="2"/>
      <c r="BP299" s="136"/>
      <c r="BQ299" s="137" t="s">
        <v>119</v>
      </c>
      <c r="BR299" s="138"/>
    </row>
    <row r="300" spans="1:70" ht="12.75" customHeight="1" x14ac:dyDescent="0.2">
      <c r="A300" s="2">
        <v>1789</v>
      </c>
      <c r="B300" s="2" t="s">
        <v>39</v>
      </c>
      <c r="C300" s="2" t="s">
        <v>94</v>
      </c>
      <c r="D300" s="2" t="s">
        <v>1104</v>
      </c>
      <c r="E300" s="2" t="s">
        <v>106</v>
      </c>
      <c r="F300" s="132">
        <f>2606*1.75</f>
        <v>4560.5</v>
      </c>
      <c r="G300" s="132"/>
      <c r="H300" s="132">
        <f>2606*1.75</f>
        <v>4560.5</v>
      </c>
      <c r="I300" s="132"/>
      <c r="J300" s="132">
        <f>695.669+3864.83</f>
        <v>4560.4989999999998</v>
      </c>
      <c r="K300" s="132">
        <f t="shared" si="36"/>
        <v>1.0000000002037268E-3</v>
      </c>
      <c r="L300" s="132">
        <f t="shared" si="37"/>
        <v>1.0000000002037268E-3</v>
      </c>
      <c r="M300" s="133"/>
      <c r="N300" s="133">
        <f t="shared" si="40"/>
        <v>1.0000000002037268E-3</v>
      </c>
      <c r="O300" s="134">
        <v>0</v>
      </c>
      <c r="P300" s="133"/>
      <c r="Q300" s="2" t="s">
        <v>1015</v>
      </c>
      <c r="R300" s="156">
        <f t="shared" si="38"/>
        <v>0</v>
      </c>
      <c r="S300" s="156">
        <f t="shared" si="39"/>
        <v>0</v>
      </c>
      <c r="T300" s="133"/>
      <c r="U300" s="133"/>
      <c r="V300" s="133"/>
      <c r="W300" s="133"/>
      <c r="X300" s="133"/>
      <c r="Y300" s="133"/>
      <c r="Z300" s="133"/>
      <c r="AA300" s="133"/>
      <c r="AB300" s="133"/>
      <c r="AC300" s="133"/>
      <c r="AD300" s="133"/>
      <c r="AE300" s="133"/>
      <c r="AF300" s="133"/>
      <c r="AG300" s="133"/>
      <c r="AH300" s="133"/>
      <c r="AI300" s="133"/>
      <c r="AJ300" s="133"/>
      <c r="AK300" s="133"/>
      <c r="AL300" s="133"/>
      <c r="AM300" s="133"/>
      <c r="AN300" s="133"/>
      <c r="AO300" s="133"/>
      <c r="AP300" s="133"/>
      <c r="AQ300" s="133"/>
      <c r="AR300" s="133"/>
      <c r="AS300" s="153">
        <v>0</v>
      </c>
      <c r="AT300" s="153">
        <v>0</v>
      </c>
      <c r="AU300" s="153">
        <v>0</v>
      </c>
      <c r="AV300" s="135"/>
      <c r="AW300" s="135"/>
      <c r="AX300" s="135"/>
      <c r="AY300" s="135"/>
      <c r="AZ300" s="135"/>
      <c r="BA300" s="135"/>
      <c r="BB300" s="135"/>
      <c r="BC300" s="135"/>
      <c r="BD300" s="135"/>
      <c r="BE300" s="135"/>
      <c r="BF300" s="135"/>
      <c r="BG300" s="135"/>
      <c r="BH300" s="135"/>
      <c r="BI300" s="2" t="s">
        <v>112</v>
      </c>
      <c r="BJ300" s="136">
        <v>45169</v>
      </c>
      <c r="BK300" s="2" t="s">
        <v>145</v>
      </c>
      <c r="BL300" s="136" t="s">
        <v>18</v>
      </c>
      <c r="BM300" s="136">
        <v>44931</v>
      </c>
      <c r="BN300" s="2" t="s">
        <v>1047</v>
      </c>
      <c r="BO300" s="2"/>
      <c r="BP300" s="136"/>
      <c r="BQ300" s="137" t="s">
        <v>134</v>
      </c>
      <c r="BR300" s="138"/>
    </row>
    <row r="301" spans="1:70" ht="12.75" customHeight="1" x14ac:dyDescent="0.2">
      <c r="A301" s="2">
        <v>1790</v>
      </c>
      <c r="B301" s="2" t="s">
        <v>39</v>
      </c>
      <c r="C301" s="2" t="s">
        <v>94</v>
      </c>
      <c r="D301" s="2" t="s">
        <v>1105</v>
      </c>
      <c r="E301" s="2" t="s">
        <v>90</v>
      </c>
      <c r="F301" s="132">
        <v>50000</v>
      </c>
      <c r="G301" s="132"/>
      <c r="H301" s="132">
        <f>100000+40000+20274.2</f>
        <v>160274.20000000001</v>
      </c>
      <c r="I301" s="132"/>
      <c r="J301" s="132">
        <f>15254.237+AS301+6101.69+AV301+20274.203</f>
        <v>160274.20000000001</v>
      </c>
      <c r="K301" s="132">
        <f t="shared" si="36"/>
        <v>-110274.20000000001</v>
      </c>
      <c r="L301" s="132">
        <f t="shared" si="37"/>
        <v>0</v>
      </c>
      <c r="M301" s="133"/>
      <c r="N301" s="133">
        <f t="shared" si="40"/>
        <v>0</v>
      </c>
      <c r="O301" s="134">
        <v>0</v>
      </c>
      <c r="P301" s="133"/>
      <c r="Q301" s="2" t="s">
        <v>1015</v>
      </c>
      <c r="R301" s="156">
        <f t="shared" si="38"/>
        <v>0</v>
      </c>
      <c r="S301" s="156">
        <f t="shared" si="39"/>
        <v>0</v>
      </c>
      <c r="T301" s="133"/>
      <c r="U301" s="133"/>
      <c r="V301" s="133"/>
      <c r="W301" s="133"/>
      <c r="X301" s="133"/>
      <c r="Y301" s="133"/>
      <c r="Z301" s="133"/>
      <c r="AA301" s="133"/>
      <c r="AB301" s="133"/>
      <c r="AC301" s="133"/>
      <c r="AD301" s="133"/>
      <c r="AE301" s="133"/>
      <c r="AF301" s="133"/>
      <c r="AG301" s="133"/>
      <c r="AH301" s="133"/>
      <c r="AI301" s="133"/>
      <c r="AJ301" s="133"/>
      <c r="AK301" s="133"/>
      <c r="AL301" s="133"/>
      <c r="AM301" s="133"/>
      <c r="AN301" s="133"/>
      <c r="AO301" s="133"/>
      <c r="AP301" s="133"/>
      <c r="AQ301" s="133"/>
      <c r="AR301" s="133"/>
      <c r="AS301" s="153">
        <v>0</v>
      </c>
      <c r="AT301" s="153">
        <v>0</v>
      </c>
      <c r="AU301" s="153">
        <v>0</v>
      </c>
      <c r="AV301" s="135">
        <f>84745.76+ 33898.31</f>
        <v>118644.06999999999</v>
      </c>
      <c r="AW301" s="135">
        <f>6547.48+2159.28</f>
        <v>8706.76</v>
      </c>
      <c r="AX301" s="142">
        <f>(H301/1.18-AT301-AW301)*0.1</f>
        <v>12711.883322033902</v>
      </c>
      <c r="AY301" s="142"/>
      <c r="AZ301" s="142"/>
      <c r="BA301" s="142"/>
      <c r="BB301" s="142"/>
      <c r="BC301" s="142"/>
      <c r="BD301" s="142"/>
      <c r="BE301" s="142"/>
      <c r="BF301" s="142"/>
      <c r="BG301" s="135"/>
      <c r="BH301" s="135"/>
      <c r="BI301" s="2" t="s">
        <v>11</v>
      </c>
      <c r="BJ301" s="136">
        <v>45289</v>
      </c>
      <c r="BK301" s="2" t="s">
        <v>8</v>
      </c>
      <c r="BL301" s="136" t="s">
        <v>18</v>
      </c>
      <c r="BM301" s="136">
        <v>44931</v>
      </c>
      <c r="BN301" s="2" t="s">
        <v>1048</v>
      </c>
      <c r="BO301" s="2"/>
      <c r="BP301" s="136"/>
      <c r="BQ301" s="137" t="s">
        <v>119</v>
      </c>
      <c r="BR301" s="138"/>
    </row>
    <row r="302" spans="1:70" ht="12.75" customHeight="1" x14ac:dyDescent="0.2">
      <c r="A302" s="2">
        <v>1791</v>
      </c>
      <c r="B302" s="2" t="s">
        <v>39</v>
      </c>
      <c r="C302" s="2" t="s">
        <v>94</v>
      </c>
      <c r="D302" s="2" t="s">
        <v>1106</v>
      </c>
      <c r="E302" s="2" t="s">
        <v>106</v>
      </c>
      <c r="F302" s="132">
        <v>2872.1</v>
      </c>
      <c r="G302" s="132"/>
      <c r="H302" s="132">
        <f>1641.2*1.75</f>
        <v>2872.1</v>
      </c>
      <c r="I302" s="132"/>
      <c r="J302" s="132">
        <f>438.116+2433.984</f>
        <v>2872.1</v>
      </c>
      <c r="K302" s="132">
        <f t="shared" si="36"/>
        <v>0</v>
      </c>
      <c r="L302" s="132">
        <f t="shared" si="37"/>
        <v>0</v>
      </c>
      <c r="M302" s="133"/>
      <c r="N302" s="133">
        <f t="shared" si="40"/>
        <v>0</v>
      </c>
      <c r="O302" s="134">
        <v>0</v>
      </c>
      <c r="P302" s="133"/>
      <c r="Q302" s="2" t="s">
        <v>1016</v>
      </c>
      <c r="R302" s="156">
        <f t="shared" si="38"/>
        <v>0</v>
      </c>
      <c r="S302" s="156">
        <f t="shared" si="39"/>
        <v>0</v>
      </c>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53">
        <v>0</v>
      </c>
      <c r="AT302" s="153">
        <v>0</v>
      </c>
      <c r="AU302" s="153">
        <v>0</v>
      </c>
      <c r="AV302" s="135"/>
      <c r="AW302" s="135"/>
      <c r="AX302" s="135"/>
      <c r="AY302" s="135"/>
      <c r="AZ302" s="135"/>
      <c r="BA302" s="135"/>
      <c r="BB302" s="135"/>
      <c r="BC302" s="135"/>
      <c r="BD302" s="135"/>
      <c r="BE302" s="135"/>
      <c r="BF302" s="135"/>
      <c r="BG302" s="135"/>
      <c r="BH302" s="135"/>
      <c r="BI302" s="2" t="s">
        <v>112</v>
      </c>
      <c r="BJ302" s="136">
        <v>45222</v>
      </c>
      <c r="BK302" s="2" t="s">
        <v>145</v>
      </c>
      <c r="BL302" s="136" t="s">
        <v>18</v>
      </c>
      <c r="BM302" s="136">
        <v>44931</v>
      </c>
      <c r="BN302" s="2" t="s">
        <v>1049</v>
      </c>
      <c r="BO302" s="2"/>
      <c r="BP302" s="136"/>
      <c r="BQ302" s="137" t="s">
        <v>134</v>
      </c>
      <c r="BR302" s="138"/>
    </row>
    <row r="303" spans="1:70" ht="12.75" customHeight="1" x14ac:dyDescent="0.2">
      <c r="A303" s="2">
        <v>1792</v>
      </c>
      <c r="B303" s="2" t="s">
        <v>39</v>
      </c>
      <c r="C303" s="2" t="s">
        <v>94</v>
      </c>
      <c r="D303" s="2" t="s">
        <v>1107</v>
      </c>
      <c r="E303" s="2" t="s">
        <v>90</v>
      </c>
      <c r="F303" s="132">
        <v>55000</v>
      </c>
      <c r="G303" s="132">
        <v>2</v>
      </c>
      <c r="H303" s="132">
        <f>120000+720.24+R303</f>
        <v>161759.18</v>
      </c>
      <c r="I303" s="132"/>
      <c r="J303" s="132">
        <f>18305.08+S303+AY303+BC303</f>
        <v>161759.16999999998</v>
      </c>
      <c r="K303" s="132">
        <f t="shared" si="36"/>
        <v>-106759.16999999998</v>
      </c>
      <c r="L303" s="132">
        <f t="shared" si="37"/>
        <v>1.0000000009313226E-2</v>
      </c>
      <c r="M303" s="133">
        <v>1517</v>
      </c>
      <c r="N303" s="133">
        <f t="shared" si="40"/>
        <v>1.0000000009313226E-2</v>
      </c>
      <c r="O303" s="134">
        <v>1</v>
      </c>
      <c r="P303" s="133"/>
      <c r="Q303" s="2" t="s">
        <v>1016</v>
      </c>
      <c r="R303" s="156">
        <f t="shared" si="38"/>
        <v>41038.94</v>
      </c>
      <c r="S303" s="156">
        <f t="shared" si="39"/>
        <v>7860.8599999999988</v>
      </c>
      <c r="T303" s="133">
        <v>40000</v>
      </c>
      <c r="U303" s="133">
        <v>109.87</v>
      </c>
      <c r="V303" s="133"/>
      <c r="W303" s="133">
        <f>6101.69</f>
        <v>6101.69</v>
      </c>
      <c r="X303" s="133">
        <v>1038.94</v>
      </c>
      <c r="Y303" s="133"/>
      <c r="Z303" s="133"/>
      <c r="AA303" s="133">
        <v>158.47999999999999</v>
      </c>
      <c r="AB303" s="133"/>
      <c r="AC303" s="133"/>
      <c r="AD303" s="133"/>
      <c r="AE303" s="133">
        <v>1490.82</v>
      </c>
      <c r="AF303" s="133"/>
      <c r="AG303" s="133"/>
      <c r="AH303" s="133"/>
      <c r="AI303" s="133"/>
      <c r="AJ303" s="133"/>
      <c r="AK303" s="133"/>
      <c r="AL303" s="133"/>
      <c r="AM303" s="133"/>
      <c r="AN303" s="133"/>
      <c r="AO303" s="133"/>
      <c r="AP303" s="133"/>
      <c r="AQ303" s="133"/>
      <c r="AR303" s="133" t="s">
        <v>718</v>
      </c>
      <c r="AS303" s="153">
        <v>0</v>
      </c>
      <c r="AT303" s="153">
        <v>0</v>
      </c>
      <c r="AU303" s="153">
        <v>0</v>
      </c>
      <c r="AV303" s="135">
        <v>0</v>
      </c>
      <c r="AW303" s="135">
        <v>0</v>
      </c>
      <c r="AX303" s="135">
        <v>0</v>
      </c>
      <c r="AY303" s="135">
        <f>101694.92</f>
        <v>101694.92</v>
      </c>
      <c r="AZ303" s="135">
        <v>11001.16</v>
      </c>
      <c r="BA303" s="135">
        <f>120000/1.18*0.8*0.1</f>
        <v>8135.5932203389839</v>
      </c>
      <c r="BB303" s="140">
        <f>(160720.24/1.18-AT303-AW303-AZ303)*0.1-BA303</f>
        <v>4384.6501016949151</v>
      </c>
      <c r="BC303" s="135">
        <v>33898.31</v>
      </c>
      <c r="BD303" s="135">
        <v>505.22</v>
      </c>
      <c r="BE303" s="135">
        <f>(H303/1.18-AT303-AW303-AZ303-BD303)*0.1-AU303-AX303-BA303-BB303</f>
        <v>37.523762711864038</v>
      </c>
      <c r="BF303" s="135"/>
      <c r="BG303" s="135"/>
      <c r="BH303" s="135"/>
      <c r="BI303" s="2" t="s">
        <v>11</v>
      </c>
      <c r="BJ303" s="136">
        <v>45728</v>
      </c>
      <c r="BK303" s="2" t="s">
        <v>8</v>
      </c>
      <c r="BL303" s="136" t="s">
        <v>18</v>
      </c>
      <c r="BM303" s="136">
        <v>44931</v>
      </c>
      <c r="BN303" s="2" t="s">
        <v>1050</v>
      </c>
      <c r="BO303" s="2"/>
      <c r="BP303" s="136"/>
      <c r="BQ303" s="137" t="s">
        <v>119</v>
      </c>
      <c r="BR303" s="138"/>
    </row>
    <row r="304" spans="1:70" ht="12.75" customHeight="1" x14ac:dyDescent="0.2">
      <c r="A304" s="2">
        <v>1793</v>
      </c>
      <c r="B304" s="2" t="s">
        <v>100</v>
      </c>
      <c r="C304" s="2" t="s">
        <v>95</v>
      </c>
      <c r="D304" s="2" t="s">
        <v>1108</v>
      </c>
      <c r="E304" s="2" t="s">
        <v>106</v>
      </c>
      <c r="F304" s="132">
        <v>1435</v>
      </c>
      <c r="G304" s="132"/>
      <c r="H304" s="132">
        <f>820*1.75</f>
        <v>1435</v>
      </c>
      <c r="I304" s="132"/>
      <c r="J304" s="132">
        <f>218.898+1216.102</f>
        <v>1435</v>
      </c>
      <c r="K304" s="132">
        <f t="shared" si="36"/>
        <v>0</v>
      </c>
      <c r="L304" s="132">
        <f t="shared" si="37"/>
        <v>0</v>
      </c>
      <c r="M304" s="133"/>
      <c r="N304" s="133">
        <f t="shared" si="40"/>
        <v>0</v>
      </c>
      <c r="O304" s="134">
        <v>0</v>
      </c>
      <c r="P304" s="133"/>
      <c r="Q304" s="2" t="s">
        <v>1017</v>
      </c>
      <c r="R304" s="156">
        <f t="shared" si="38"/>
        <v>0</v>
      </c>
      <c r="S304" s="156">
        <f t="shared" si="39"/>
        <v>0</v>
      </c>
      <c r="T304" s="133"/>
      <c r="U304" s="133"/>
      <c r="V304" s="133"/>
      <c r="W304" s="133"/>
      <c r="X304" s="133"/>
      <c r="Y304" s="133"/>
      <c r="Z304" s="133"/>
      <c r="AA304" s="133"/>
      <c r="AB304" s="133"/>
      <c r="AC304" s="133"/>
      <c r="AD304" s="133"/>
      <c r="AE304" s="133"/>
      <c r="AF304" s="133"/>
      <c r="AG304" s="133"/>
      <c r="AH304" s="133"/>
      <c r="AI304" s="133"/>
      <c r="AJ304" s="133"/>
      <c r="AK304" s="133"/>
      <c r="AL304" s="133"/>
      <c r="AM304" s="133"/>
      <c r="AN304" s="133"/>
      <c r="AO304" s="133"/>
      <c r="AP304" s="133"/>
      <c r="AQ304" s="133"/>
      <c r="AR304" s="133"/>
      <c r="AS304" s="153">
        <v>0</v>
      </c>
      <c r="AT304" s="153">
        <v>0</v>
      </c>
      <c r="AU304" s="153">
        <v>0</v>
      </c>
      <c r="AV304" s="135"/>
      <c r="AW304" s="135"/>
      <c r="AX304" s="135"/>
      <c r="AY304" s="135"/>
      <c r="AZ304" s="135"/>
      <c r="BA304" s="135"/>
      <c r="BB304" s="135"/>
      <c r="BC304" s="135"/>
      <c r="BD304" s="135"/>
      <c r="BE304" s="135"/>
      <c r="BF304" s="135"/>
      <c r="BG304" s="135"/>
      <c r="BH304" s="135"/>
      <c r="BI304" s="2" t="s">
        <v>112</v>
      </c>
      <c r="BJ304" s="136">
        <v>45250</v>
      </c>
      <c r="BK304" s="2" t="s">
        <v>145</v>
      </c>
      <c r="BL304" s="136" t="s">
        <v>18</v>
      </c>
      <c r="BM304" s="136">
        <v>44931</v>
      </c>
      <c r="BN304" s="2" t="s">
        <v>1051</v>
      </c>
      <c r="BO304" s="2"/>
      <c r="BP304" s="136"/>
      <c r="BQ304" s="137" t="s">
        <v>134</v>
      </c>
      <c r="BR304" s="138"/>
    </row>
    <row r="305" spans="1:70" ht="12.75" customHeight="1" x14ac:dyDescent="0.2">
      <c r="A305" s="2">
        <v>1794</v>
      </c>
      <c r="B305" s="2" t="s">
        <v>100</v>
      </c>
      <c r="C305" s="2" t="s">
        <v>95</v>
      </c>
      <c r="D305" s="2" t="s">
        <v>1109</v>
      </c>
      <c r="E305" s="2" t="s">
        <v>90</v>
      </c>
      <c r="F305" s="132">
        <v>35000</v>
      </c>
      <c r="G305" s="132"/>
      <c r="H305" s="132">
        <v>47868.87</v>
      </c>
      <c r="I305" s="132"/>
      <c r="J305" s="132">
        <v>47868.87</v>
      </c>
      <c r="K305" s="132">
        <f t="shared" si="36"/>
        <v>-12868.870000000003</v>
      </c>
      <c r="L305" s="132">
        <f t="shared" si="37"/>
        <v>0</v>
      </c>
      <c r="M305" s="133">
        <v>809.8</v>
      </c>
      <c r="N305" s="133">
        <f t="shared" si="40"/>
        <v>0</v>
      </c>
      <c r="O305" s="134">
        <v>0</v>
      </c>
      <c r="P305" s="133"/>
      <c r="Q305" s="2" t="s">
        <v>1017</v>
      </c>
      <c r="R305" s="156">
        <f t="shared" si="38"/>
        <v>0</v>
      </c>
      <c r="S305" s="156">
        <f t="shared" si="39"/>
        <v>0</v>
      </c>
      <c r="T305" s="133"/>
      <c r="U305" s="133"/>
      <c r="V305" s="133"/>
      <c r="W305" s="133"/>
      <c r="X305" s="133"/>
      <c r="Y305" s="133"/>
      <c r="Z305" s="133"/>
      <c r="AA305" s="133"/>
      <c r="AB305" s="133"/>
      <c r="AC305" s="133"/>
      <c r="AD305" s="133"/>
      <c r="AE305" s="133"/>
      <c r="AF305" s="133"/>
      <c r="AG305" s="133"/>
      <c r="AH305" s="133"/>
      <c r="AI305" s="133"/>
      <c r="AJ305" s="133"/>
      <c r="AK305" s="133"/>
      <c r="AL305" s="133"/>
      <c r="AM305" s="133"/>
      <c r="AN305" s="133"/>
      <c r="AO305" s="133"/>
      <c r="AP305" s="133"/>
      <c r="AQ305" s="133"/>
      <c r="AR305" s="133"/>
      <c r="AS305" s="153">
        <v>0</v>
      </c>
      <c r="AT305" s="153">
        <v>0</v>
      </c>
      <c r="AU305" s="153">
        <v>0</v>
      </c>
      <c r="AV305" s="135">
        <v>0</v>
      </c>
      <c r="AW305" s="135">
        <v>0</v>
      </c>
      <c r="AX305" s="142">
        <f>(H305/1.18-AT305-AW305)*0.1</f>
        <v>4056.6838983050857</v>
      </c>
      <c r="AY305" s="142"/>
      <c r="AZ305" s="142"/>
      <c r="BA305" s="142"/>
      <c r="BB305" s="142"/>
      <c r="BC305" s="142"/>
      <c r="BD305" s="142"/>
      <c r="BE305" s="142"/>
      <c r="BF305" s="142"/>
      <c r="BG305" s="135"/>
      <c r="BH305" s="135"/>
      <c r="BI305" s="2" t="s">
        <v>11</v>
      </c>
      <c r="BJ305" s="136">
        <v>45289</v>
      </c>
      <c r="BK305" s="2" t="s">
        <v>8</v>
      </c>
      <c r="BL305" s="136" t="s">
        <v>18</v>
      </c>
      <c r="BM305" s="136">
        <v>44931</v>
      </c>
      <c r="BN305" s="2" t="s">
        <v>1052</v>
      </c>
      <c r="BO305" s="2"/>
      <c r="BP305" s="136"/>
      <c r="BQ305" s="137" t="s">
        <v>119</v>
      </c>
      <c r="BR305" s="138"/>
    </row>
    <row r="306" spans="1:70" ht="12.75" customHeight="1" x14ac:dyDescent="0.2">
      <c r="A306" s="2">
        <v>1795</v>
      </c>
      <c r="B306" s="2" t="s">
        <v>39</v>
      </c>
      <c r="C306" s="2" t="s">
        <v>94</v>
      </c>
      <c r="D306" s="2" t="s">
        <v>1110</v>
      </c>
      <c r="E306" s="2" t="s">
        <v>90</v>
      </c>
      <c r="F306" s="132">
        <v>38000</v>
      </c>
      <c r="G306" s="132">
        <v>2</v>
      </c>
      <c r="H306" s="132"/>
      <c r="I306" s="132"/>
      <c r="J306" s="132"/>
      <c r="K306" s="132">
        <f t="shared" si="36"/>
        <v>38000</v>
      </c>
      <c r="L306" s="132">
        <f t="shared" si="37"/>
        <v>0</v>
      </c>
      <c r="M306" s="133"/>
      <c r="N306" s="133">
        <f t="shared" si="40"/>
        <v>38000</v>
      </c>
      <c r="O306" s="134">
        <v>1</v>
      </c>
      <c r="P306" s="133"/>
      <c r="Q306" s="2" t="s">
        <v>1018</v>
      </c>
      <c r="R306" s="156">
        <f t="shared" si="38"/>
        <v>0</v>
      </c>
      <c r="S306" s="156">
        <f t="shared" si="39"/>
        <v>0</v>
      </c>
      <c r="T306" s="133"/>
      <c r="U306" s="133"/>
      <c r="V306" s="133"/>
      <c r="W306" s="133"/>
      <c r="X306" s="133"/>
      <c r="Y306" s="133"/>
      <c r="Z306" s="133"/>
      <c r="AA306" s="133"/>
      <c r="AB306" s="133"/>
      <c r="AC306" s="133"/>
      <c r="AD306" s="133"/>
      <c r="AE306" s="133"/>
      <c r="AF306" s="133"/>
      <c r="AG306" s="133"/>
      <c r="AH306" s="133"/>
      <c r="AI306" s="133"/>
      <c r="AJ306" s="133"/>
      <c r="AK306" s="133"/>
      <c r="AL306" s="133"/>
      <c r="AM306" s="133"/>
      <c r="AN306" s="133"/>
      <c r="AO306" s="133"/>
      <c r="AP306" s="133"/>
      <c r="AQ306" s="133"/>
      <c r="AR306" s="133"/>
      <c r="AS306" s="153">
        <v>0</v>
      </c>
      <c r="AT306" s="153">
        <v>0</v>
      </c>
      <c r="AU306" s="153">
        <v>0</v>
      </c>
      <c r="AV306" s="135"/>
      <c r="AW306" s="135"/>
      <c r="AX306" s="135"/>
      <c r="AY306" s="135"/>
      <c r="AZ306" s="135"/>
      <c r="BA306" s="135"/>
      <c r="BB306" s="135"/>
      <c r="BC306" s="135"/>
      <c r="BD306" s="135"/>
      <c r="BE306" s="135"/>
      <c r="BF306" s="135"/>
      <c r="BG306" s="135"/>
      <c r="BH306" s="135"/>
      <c r="BI306" s="2" t="s">
        <v>11</v>
      </c>
      <c r="BJ306" s="136"/>
      <c r="BK306" s="2">
        <v>0</v>
      </c>
      <c r="BL306" s="136" t="s">
        <v>18</v>
      </c>
      <c r="BM306" s="136">
        <v>44931</v>
      </c>
      <c r="BN306" s="2" t="s">
        <v>1053</v>
      </c>
      <c r="BO306" s="2"/>
      <c r="BP306" s="136"/>
      <c r="BQ306" s="137"/>
      <c r="BR306" s="138"/>
    </row>
    <row r="307" spans="1:70" ht="12.75" customHeight="1" x14ac:dyDescent="0.2">
      <c r="A307" s="2">
        <v>1796</v>
      </c>
      <c r="B307" s="2" t="s">
        <v>100</v>
      </c>
      <c r="C307" s="2" t="s">
        <v>95</v>
      </c>
      <c r="D307" s="2" t="s">
        <v>1111</v>
      </c>
      <c r="E307" s="2" t="s">
        <v>106</v>
      </c>
      <c r="F307" s="132">
        <v>0</v>
      </c>
      <c r="G307" s="132">
        <v>2</v>
      </c>
      <c r="H307" s="132"/>
      <c r="I307" s="132"/>
      <c r="J307" s="132"/>
      <c r="K307" s="132">
        <f t="shared" si="36"/>
        <v>0</v>
      </c>
      <c r="L307" s="132">
        <f t="shared" si="37"/>
        <v>0</v>
      </c>
      <c r="M307" s="133"/>
      <c r="N307" s="133">
        <f t="shared" si="40"/>
        <v>0</v>
      </c>
      <c r="O307" s="134">
        <v>2</v>
      </c>
      <c r="P307" s="133"/>
      <c r="Q307" s="2" t="s">
        <v>1019</v>
      </c>
      <c r="R307" s="156">
        <f t="shared" si="38"/>
        <v>0</v>
      </c>
      <c r="S307" s="156">
        <f t="shared" si="39"/>
        <v>0</v>
      </c>
      <c r="T307" s="133"/>
      <c r="U307" s="133"/>
      <c r="V307" s="133"/>
      <c r="W307" s="133"/>
      <c r="X307" s="133"/>
      <c r="Y307" s="133"/>
      <c r="Z307" s="133"/>
      <c r="AA307" s="133"/>
      <c r="AB307" s="133"/>
      <c r="AC307" s="133"/>
      <c r="AD307" s="133"/>
      <c r="AE307" s="133"/>
      <c r="AF307" s="133"/>
      <c r="AG307" s="133"/>
      <c r="AH307" s="133"/>
      <c r="AI307" s="133"/>
      <c r="AJ307" s="133"/>
      <c r="AK307" s="133"/>
      <c r="AL307" s="133"/>
      <c r="AM307" s="133"/>
      <c r="AN307" s="133"/>
      <c r="AO307" s="133"/>
      <c r="AP307" s="133"/>
      <c r="AQ307" s="133"/>
      <c r="AR307" s="133"/>
      <c r="AS307" s="153">
        <v>0</v>
      </c>
      <c r="AT307" s="153">
        <v>0</v>
      </c>
      <c r="AU307" s="153">
        <v>0</v>
      </c>
      <c r="AV307" s="135"/>
      <c r="AW307" s="135"/>
      <c r="AX307" s="135"/>
      <c r="AY307" s="135"/>
      <c r="AZ307" s="135"/>
      <c r="BA307" s="135"/>
      <c r="BB307" s="135"/>
      <c r="BC307" s="135"/>
      <c r="BD307" s="135"/>
      <c r="BE307" s="135"/>
      <c r="BF307" s="135"/>
      <c r="BG307" s="135"/>
      <c r="BH307" s="135"/>
      <c r="BI307" s="2" t="s">
        <v>112</v>
      </c>
      <c r="BJ307" s="136"/>
      <c r="BK307" s="2">
        <v>0</v>
      </c>
      <c r="BL307" s="136" t="s">
        <v>18</v>
      </c>
      <c r="BM307" s="136">
        <v>44931</v>
      </c>
      <c r="BN307" s="2" t="s">
        <v>1054</v>
      </c>
      <c r="BO307" s="2"/>
      <c r="BP307" s="136"/>
      <c r="BQ307" s="137"/>
      <c r="BR307" s="138"/>
    </row>
    <row r="308" spans="1:70" ht="12.75" customHeight="1" x14ac:dyDescent="0.2">
      <c r="A308" s="2">
        <v>1797</v>
      </c>
      <c r="B308" s="2" t="s">
        <v>100</v>
      </c>
      <c r="C308" s="2" t="s">
        <v>95</v>
      </c>
      <c r="D308" s="2" t="s">
        <v>1112</v>
      </c>
      <c r="E308" s="2" t="s">
        <v>90</v>
      </c>
      <c r="F308" s="132">
        <v>10000</v>
      </c>
      <c r="G308" s="132">
        <v>2</v>
      </c>
      <c r="H308" s="132">
        <f>50000+4815</f>
        <v>54815</v>
      </c>
      <c r="I308" s="132">
        <f>50000+4815</f>
        <v>54815</v>
      </c>
      <c r="J308" s="132">
        <f>AY308+7627.12+4815</f>
        <v>54815</v>
      </c>
      <c r="K308" s="132">
        <f t="shared" si="36"/>
        <v>-44815</v>
      </c>
      <c r="L308" s="132">
        <f t="shared" si="37"/>
        <v>0</v>
      </c>
      <c r="M308" s="133">
        <v>437.5</v>
      </c>
      <c r="N308" s="133">
        <f t="shared" si="40"/>
        <v>0</v>
      </c>
      <c r="O308" s="134">
        <v>0</v>
      </c>
      <c r="P308" s="133"/>
      <c r="Q308" s="2" t="s">
        <v>1019</v>
      </c>
      <c r="R308" s="156">
        <f t="shared" si="38"/>
        <v>0</v>
      </c>
      <c r="S308" s="156">
        <f t="shared" si="39"/>
        <v>0</v>
      </c>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53">
        <v>0</v>
      </c>
      <c r="AT308" s="153">
        <v>0</v>
      </c>
      <c r="AU308" s="153">
        <v>0</v>
      </c>
      <c r="AV308" s="135"/>
      <c r="AW308" s="135"/>
      <c r="AX308" s="135"/>
      <c r="AY308" s="135">
        <v>42372.88</v>
      </c>
      <c r="AZ308" s="135">
        <v>4430</v>
      </c>
      <c r="BA308" s="135">
        <f>50000/1.18*0.8*0.1</f>
        <v>3389.8305084745771</v>
      </c>
      <c r="BB308" s="140">
        <f>(H308/1.18-AT308-AW308-AZ308)*0.1-BA308</f>
        <v>812.50847457627151</v>
      </c>
      <c r="BC308" s="135"/>
      <c r="BD308" s="135"/>
      <c r="BE308" s="135">
        <f>(H308/1.18-AT308-AW308-AZ308-BD308)*0.1-AU308-AX308-BA308-BB308</f>
        <v>0</v>
      </c>
      <c r="BF308" s="135"/>
      <c r="BG308" s="135"/>
      <c r="BH308" s="135"/>
      <c r="BI308" s="2" t="s">
        <v>11</v>
      </c>
      <c r="BJ308" s="136">
        <v>45567</v>
      </c>
      <c r="BK308" s="2" t="s">
        <v>8</v>
      </c>
      <c r="BL308" s="136" t="s">
        <v>18</v>
      </c>
      <c r="BM308" s="136">
        <v>44931</v>
      </c>
      <c r="BN308" s="2" t="s">
        <v>1055</v>
      </c>
      <c r="BO308" s="2"/>
      <c r="BP308" s="136"/>
      <c r="BQ308" s="137" t="s">
        <v>119</v>
      </c>
      <c r="BR308" s="138"/>
    </row>
    <row r="309" spans="1:70" ht="12.75" customHeight="1" x14ac:dyDescent="0.2">
      <c r="A309" s="2">
        <v>1798</v>
      </c>
      <c r="B309" s="2" t="s">
        <v>100</v>
      </c>
      <c r="C309" s="2" t="s">
        <v>95</v>
      </c>
      <c r="D309" s="2" t="s">
        <v>1113</v>
      </c>
      <c r="E309" s="2" t="s">
        <v>106</v>
      </c>
      <c r="F309" s="132">
        <v>1366.75</v>
      </c>
      <c r="G309" s="132"/>
      <c r="H309" s="132">
        <f>781*1.75</f>
        <v>1366.75</v>
      </c>
      <c r="I309" s="132"/>
      <c r="J309" s="132">
        <f>208.487+1158.263</f>
        <v>1366.75</v>
      </c>
      <c r="K309" s="132">
        <f t="shared" si="36"/>
        <v>0</v>
      </c>
      <c r="L309" s="132">
        <f t="shared" si="37"/>
        <v>0</v>
      </c>
      <c r="M309" s="133"/>
      <c r="N309" s="133">
        <f t="shared" si="40"/>
        <v>0</v>
      </c>
      <c r="O309" s="134">
        <v>0</v>
      </c>
      <c r="P309" s="133"/>
      <c r="Q309" s="2" t="s">
        <v>1020</v>
      </c>
      <c r="R309" s="156">
        <f t="shared" si="38"/>
        <v>0</v>
      </c>
      <c r="S309" s="156">
        <f t="shared" si="39"/>
        <v>0</v>
      </c>
      <c r="T309" s="133"/>
      <c r="U309" s="133"/>
      <c r="V309" s="133"/>
      <c r="W309" s="133"/>
      <c r="X309" s="133"/>
      <c r="Y309" s="133"/>
      <c r="Z309" s="133"/>
      <c r="AA309" s="133"/>
      <c r="AB309" s="133"/>
      <c r="AC309" s="133"/>
      <c r="AD309" s="133"/>
      <c r="AE309" s="133"/>
      <c r="AF309" s="133"/>
      <c r="AG309" s="133"/>
      <c r="AH309" s="133"/>
      <c r="AI309" s="133"/>
      <c r="AJ309" s="133"/>
      <c r="AK309" s="133"/>
      <c r="AL309" s="133"/>
      <c r="AM309" s="133"/>
      <c r="AN309" s="133"/>
      <c r="AO309" s="133"/>
      <c r="AP309" s="133"/>
      <c r="AQ309" s="133"/>
      <c r="AR309" s="133"/>
      <c r="AS309" s="153">
        <v>0</v>
      </c>
      <c r="AT309" s="153">
        <v>0</v>
      </c>
      <c r="AU309" s="153">
        <v>0</v>
      </c>
      <c r="AV309" s="135"/>
      <c r="AW309" s="135"/>
      <c r="AX309" s="135"/>
      <c r="AY309" s="135"/>
      <c r="AZ309" s="135"/>
      <c r="BA309" s="135"/>
      <c r="BB309" s="135"/>
      <c r="BC309" s="135"/>
      <c r="BD309" s="135"/>
      <c r="BE309" s="135"/>
      <c r="BF309" s="135"/>
      <c r="BG309" s="135"/>
      <c r="BH309" s="135"/>
      <c r="BI309" s="2" t="s">
        <v>112</v>
      </c>
      <c r="BJ309" s="136">
        <v>45250</v>
      </c>
      <c r="BK309" s="2" t="s">
        <v>145</v>
      </c>
      <c r="BL309" s="136" t="s">
        <v>18</v>
      </c>
      <c r="BM309" s="136">
        <v>44931</v>
      </c>
      <c r="BN309" s="2" t="s">
        <v>1056</v>
      </c>
      <c r="BO309" s="2"/>
      <c r="BP309" s="136"/>
      <c r="BQ309" s="137" t="s">
        <v>134</v>
      </c>
      <c r="BR309" s="138"/>
    </row>
    <row r="310" spans="1:70" ht="12.75" customHeight="1" x14ac:dyDescent="0.2">
      <c r="A310" s="2">
        <v>1799</v>
      </c>
      <c r="B310" s="2" t="s">
        <v>100</v>
      </c>
      <c r="C310" s="2" t="s">
        <v>95</v>
      </c>
      <c r="D310" s="2" t="s">
        <v>1114</v>
      </c>
      <c r="E310" s="2" t="s">
        <v>90</v>
      </c>
      <c r="F310" s="132">
        <v>12000</v>
      </c>
      <c r="G310" s="132">
        <v>2</v>
      </c>
      <c r="H310" s="132">
        <f>30000+2977.01</f>
        <v>32977.01</v>
      </c>
      <c r="I310" s="132">
        <f>30000+2977.01</f>
        <v>32977.01</v>
      </c>
      <c r="J310" s="132">
        <f>AY310+4576.27+2977.01</f>
        <v>32977.01</v>
      </c>
      <c r="K310" s="132">
        <f t="shared" ref="K310:K373" si="41">F310-J310</f>
        <v>-20977.010000000002</v>
      </c>
      <c r="L310" s="132">
        <f t="shared" si="37"/>
        <v>0</v>
      </c>
      <c r="M310" s="133">
        <v>270.5</v>
      </c>
      <c r="N310" s="133">
        <f t="shared" si="40"/>
        <v>0</v>
      </c>
      <c r="O310" s="134">
        <v>0</v>
      </c>
      <c r="P310" s="133"/>
      <c r="Q310" s="2" t="s">
        <v>1020</v>
      </c>
      <c r="R310" s="156">
        <f t="shared" si="38"/>
        <v>0</v>
      </c>
      <c r="S310" s="156">
        <f t="shared" si="39"/>
        <v>0</v>
      </c>
      <c r="T310" s="133"/>
      <c r="U310" s="133"/>
      <c r="V310" s="133"/>
      <c r="W310" s="133"/>
      <c r="X310" s="133"/>
      <c r="Y310" s="133"/>
      <c r="Z310" s="133"/>
      <c r="AA310" s="133"/>
      <c r="AB310" s="133"/>
      <c r="AC310" s="133"/>
      <c r="AD310" s="133"/>
      <c r="AE310" s="133"/>
      <c r="AF310" s="133"/>
      <c r="AG310" s="133"/>
      <c r="AH310" s="133"/>
      <c r="AI310" s="133"/>
      <c r="AJ310" s="133"/>
      <c r="AK310" s="133"/>
      <c r="AL310" s="133"/>
      <c r="AM310" s="133"/>
      <c r="AN310" s="133"/>
      <c r="AO310" s="133"/>
      <c r="AP310" s="133"/>
      <c r="AQ310" s="133"/>
      <c r="AR310" s="133"/>
      <c r="AS310" s="153">
        <v>0</v>
      </c>
      <c r="AT310" s="153">
        <v>0</v>
      </c>
      <c r="AU310" s="153">
        <v>0</v>
      </c>
      <c r="AV310" s="135"/>
      <c r="AW310" s="135"/>
      <c r="AX310" s="135"/>
      <c r="AY310" s="135">
        <v>25423.73</v>
      </c>
      <c r="AZ310" s="135">
        <v>2658</v>
      </c>
      <c r="BA310" s="135">
        <f>30000/1.18*0.8*0.1</f>
        <v>2033.898305084746</v>
      </c>
      <c r="BB310" s="140">
        <f>(H310/1.18-AT310-AW310-AZ310)*0.1-BA310</f>
        <v>494.96355932203414</v>
      </c>
      <c r="BC310" s="135"/>
      <c r="BD310" s="135"/>
      <c r="BE310" s="135">
        <f>(H310/1.18-AT310-AW310-AZ310-BD310)*0.1-AU310-AX310-BA310-BB310</f>
        <v>0</v>
      </c>
      <c r="BF310" s="135"/>
      <c r="BG310" s="135"/>
      <c r="BH310" s="135"/>
      <c r="BI310" s="2" t="s">
        <v>11</v>
      </c>
      <c r="BJ310" s="136">
        <v>45567</v>
      </c>
      <c r="BK310" s="2" t="s">
        <v>8</v>
      </c>
      <c r="BL310" s="136" t="s">
        <v>18</v>
      </c>
      <c r="BM310" s="136">
        <v>44931</v>
      </c>
      <c r="BN310" s="2" t="s">
        <v>1057</v>
      </c>
      <c r="BO310" s="2"/>
      <c r="BP310" s="136"/>
      <c r="BQ310" s="137" t="s">
        <v>119</v>
      </c>
      <c r="BR310" s="138"/>
    </row>
    <row r="311" spans="1:70" ht="12.75" customHeight="1" x14ac:dyDescent="0.2">
      <c r="A311" s="2">
        <v>1800</v>
      </c>
      <c r="B311" s="2" t="s">
        <v>100</v>
      </c>
      <c r="C311" s="2" t="s">
        <v>95</v>
      </c>
      <c r="D311" s="2" t="s">
        <v>1115</v>
      </c>
      <c r="E311" s="2" t="s">
        <v>106</v>
      </c>
      <c r="F311" s="132">
        <v>183.75</v>
      </c>
      <c r="G311" s="132"/>
      <c r="H311" s="132">
        <f>105*1.75</f>
        <v>183.75</v>
      </c>
      <c r="I311" s="132"/>
      <c r="J311" s="132">
        <v>183.75</v>
      </c>
      <c r="K311" s="132">
        <f t="shared" si="41"/>
        <v>0</v>
      </c>
      <c r="L311" s="132">
        <f t="shared" si="37"/>
        <v>0</v>
      </c>
      <c r="M311" s="133"/>
      <c r="N311" s="133">
        <f t="shared" si="40"/>
        <v>0</v>
      </c>
      <c r="O311" s="134">
        <v>0</v>
      </c>
      <c r="P311" s="133"/>
      <c r="Q311" s="2" t="s">
        <v>1021</v>
      </c>
      <c r="R311" s="156">
        <f t="shared" si="38"/>
        <v>0</v>
      </c>
      <c r="S311" s="156">
        <f t="shared" si="39"/>
        <v>0</v>
      </c>
      <c r="T311" s="133"/>
      <c r="U311" s="133"/>
      <c r="V311" s="133"/>
      <c r="W311" s="133"/>
      <c r="X311" s="133"/>
      <c r="Y311" s="133"/>
      <c r="Z311" s="133"/>
      <c r="AA311" s="133"/>
      <c r="AB311" s="133"/>
      <c r="AC311" s="133"/>
      <c r="AD311" s="133"/>
      <c r="AE311" s="133"/>
      <c r="AF311" s="133"/>
      <c r="AG311" s="133"/>
      <c r="AH311" s="133"/>
      <c r="AI311" s="133"/>
      <c r="AJ311" s="133"/>
      <c r="AK311" s="133"/>
      <c r="AL311" s="133"/>
      <c r="AM311" s="133"/>
      <c r="AN311" s="133"/>
      <c r="AO311" s="133"/>
      <c r="AP311" s="133"/>
      <c r="AQ311" s="133"/>
      <c r="AR311" s="133"/>
      <c r="AS311" s="153">
        <v>0</v>
      </c>
      <c r="AT311" s="153">
        <v>0</v>
      </c>
      <c r="AU311" s="153">
        <v>0</v>
      </c>
      <c r="AV311" s="135"/>
      <c r="AW311" s="135"/>
      <c r="AX311" s="135"/>
      <c r="AY311" s="135"/>
      <c r="AZ311" s="135"/>
      <c r="BA311" s="135"/>
      <c r="BB311" s="135"/>
      <c r="BC311" s="135"/>
      <c r="BD311" s="135"/>
      <c r="BE311" s="135"/>
      <c r="BF311" s="135"/>
      <c r="BG311" s="135"/>
      <c r="BH311" s="135"/>
      <c r="BI311" s="2" t="s">
        <v>112</v>
      </c>
      <c r="BJ311" s="136">
        <v>45208</v>
      </c>
      <c r="BK311" s="2" t="s">
        <v>145</v>
      </c>
      <c r="BL311" s="136" t="s">
        <v>18</v>
      </c>
      <c r="BM311" s="136">
        <v>44931</v>
      </c>
      <c r="BN311" s="2" t="s">
        <v>1058</v>
      </c>
      <c r="BO311" s="2"/>
      <c r="BP311" s="136"/>
      <c r="BQ311" s="137" t="s">
        <v>134</v>
      </c>
      <c r="BR311" s="138"/>
    </row>
    <row r="312" spans="1:70" ht="12.75" customHeight="1" x14ac:dyDescent="0.2">
      <c r="A312" s="2">
        <v>1801</v>
      </c>
      <c r="B312" s="2" t="s">
        <v>100</v>
      </c>
      <c r="C312" s="2" t="s">
        <v>95</v>
      </c>
      <c r="D312" s="2" t="s">
        <v>1116</v>
      </c>
      <c r="E312" s="2" t="s">
        <v>90</v>
      </c>
      <c r="F312" s="132">
        <v>6000</v>
      </c>
      <c r="G312" s="132">
        <v>2</v>
      </c>
      <c r="H312" s="132">
        <v>3691.76</v>
      </c>
      <c r="I312" s="132">
        <v>3691.76</v>
      </c>
      <c r="J312" s="132">
        <f>563.149+3128.61</f>
        <v>3691.759</v>
      </c>
      <c r="K312" s="132">
        <f t="shared" si="41"/>
        <v>2308.241</v>
      </c>
      <c r="L312" s="132">
        <f t="shared" si="37"/>
        <v>1.0000000002037268E-3</v>
      </c>
      <c r="M312" s="133">
        <v>50.5</v>
      </c>
      <c r="N312" s="133">
        <f t="shared" si="40"/>
        <v>1.0000000002037268E-3</v>
      </c>
      <c r="O312" s="134">
        <v>0</v>
      </c>
      <c r="P312" s="133">
        <v>0</v>
      </c>
      <c r="Q312" s="2" t="s">
        <v>1021</v>
      </c>
      <c r="R312" s="156">
        <f t="shared" si="38"/>
        <v>0</v>
      </c>
      <c r="S312" s="156">
        <f t="shared" si="39"/>
        <v>0</v>
      </c>
      <c r="T312" s="133"/>
      <c r="U312" s="133"/>
      <c r="V312" s="133"/>
      <c r="W312" s="133"/>
      <c r="X312" s="133"/>
      <c r="Y312" s="133"/>
      <c r="Z312" s="133"/>
      <c r="AA312" s="133"/>
      <c r="AB312" s="133"/>
      <c r="AC312" s="133"/>
      <c r="AD312" s="133"/>
      <c r="AE312" s="133"/>
      <c r="AF312" s="133"/>
      <c r="AG312" s="133"/>
      <c r="AH312" s="133"/>
      <c r="AI312" s="133"/>
      <c r="AJ312" s="133"/>
      <c r="AK312" s="133"/>
      <c r="AL312" s="133"/>
      <c r="AM312" s="133"/>
      <c r="AN312" s="133"/>
      <c r="AO312" s="133"/>
      <c r="AP312" s="133"/>
      <c r="AQ312" s="133"/>
      <c r="AR312" s="133"/>
      <c r="AS312" s="153">
        <v>0</v>
      </c>
      <c r="AT312" s="153">
        <v>0</v>
      </c>
      <c r="AU312" s="153">
        <v>0</v>
      </c>
      <c r="AV312" s="135">
        <v>0</v>
      </c>
      <c r="AW312" s="135">
        <v>0</v>
      </c>
      <c r="AX312" s="135">
        <v>0</v>
      </c>
      <c r="AY312" s="135"/>
      <c r="AZ312" s="135"/>
      <c r="BA312" s="135">
        <f>IF(BK312="Принят",(I312/1.18-AW312-AZ312)*0.1,I312/1.18*0.8*0.1)</f>
        <v>312.8610169491526</v>
      </c>
      <c r="BB312" s="135">
        <f>(I312/1.18-AT312-AW312-AZ312)*0.1-BA312</f>
        <v>0</v>
      </c>
      <c r="BC312" s="135"/>
      <c r="BD312" s="135"/>
      <c r="BE312" s="135">
        <f>(H312/1.18-AT312-AW312-AZ312-BD312)*0.1-AU312-AX312-BA312-BB312</f>
        <v>0</v>
      </c>
      <c r="BF312" s="135"/>
      <c r="BG312" s="135"/>
      <c r="BH312" s="135"/>
      <c r="BI312" s="2" t="s">
        <v>11</v>
      </c>
      <c r="BJ312" s="136">
        <v>45322</v>
      </c>
      <c r="BK312" s="2" t="s">
        <v>8</v>
      </c>
      <c r="BL312" s="136" t="s">
        <v>18</v>
      </c>
      <c r="BM312" s="136">
        <v>44931</v>
      </c>
      <c r="BN312" s="2" t="s">
        <v>1059</v>
      </c>
      <c r="BO312" s="2"/>
      <c r="BP312" s="136"/>
      <c r="BQ312" s="137" t="s">
        <v>119</v>
      </c>
      <c r="BR312" s="138"/>
    </row>
    <row r="313" spans="1:70" ht="12.75" customHeight="1" x14ac:dyDescent="0.2">
      <c r="A313" s="2">
        <v>1802</v>
      </c>
      <c r="B313" s="2" t="s">
        <v>39</v>
      </c>
      <c r="C313" s="2" t="s">
        <v>94</v>
      </c>
      <c r="D313" s="2" t="s">
        <v>1117</v>
      </c>
      <c r="E313" s="2" t="s">
        <v>106</v>
      </c>
      <c r="F313" s="132">
        <f>241*1.75</f>
        <v>421.75</v>
      </c>
      <c r="G313" s="132"/>
      <c r="H313" s="132">
        <f>241*1.75</f>
        <v>421.75</v>
      </c>
      <c r="I313" s="132"/>
      <c r="J313" s="132">
        <v>421.75</v>
      </c>
      <c r="K313" s="132">
        <f t="shared" si="41"/>
        <v>0</v>
      </c>
      <c r="L313" s="132">
        <f t="shared" si="37"/>
        <v>0</v>
      </c>
      <c r="M313" s="133"/>
      <c r="N313" s="133">
        <f t="shared" si="40"/>
        <v>0</v>
      </c>
      <c r="O313" s="134">
        <v>0</v>
      </c>
      <c r="P313" s="133"/>
      <c r="Q313" s="2" t="s">
        <v>1022</v>
      </c>
      <c r="R313" s="156">
        <f t="shared" si="38"/>
        <v>0</v>
      </c>
      <c r="S313" s="156">
        <f t="shared" si="39"/>
        <v>0</v>
      </c>
      <c r="T313" s="133"/>
      <c r="U313" s="133"/>
      <c r="V313" s="133"/>
      <c r="W313" s="133"/>
      <c r="X313" s="133"/>
      <c r="Y313" s="133"/>
      <c r="Z313" s="133"/>
      <c r="AA313" s="133"/>
      <c r="AB313" s="133"/>
      <c r="AC313" s="133"/>
      <c r="AD313" s="133"/>
      <c r="AE313" s="133"/>
      <c r="AF313" s="133"/>
      <c r="AG313" s="133"/>
      <c r="AH313" s="133"/>
      <c r="AI313" s="133"/>
      <c r="AJ313" s="133"/>
      <c r="AK313" s="133"/>
      <c r="AL313" s="133"/>
      <c r="AM313" s="133"/>
      <c r="AN313" s="133"/>
      <c r="AO313" s="133"/>
      <c r="AP313" s="133"/>
      <c r="AQ313" s="133"/>
      <c r="AR313" s="133"/>
      <c r="AS313" s="153">
        <v>0</v>
      </c>
      <c r="AT313" s="153">
        <v>0</v>
      </c>
      <c r="AU313" s="153">
        <v>0</v>
      </c>
      <c r="AV313" s="135"/>
      <c r="AW313" s="135"/>
      <c r="AX313" s="135"/>
      <c r="AY313" s="135"/>
      <c r="AZ313" s="135"/>
      <c r="BA313" s="135"/>
      <c r="BB313" s="135"/>
      <c r="BC313" s="135"/>
      <c r="BD313" s="135"/>
      <c r="BE313" s="135"/>
      <c r="BF313" s="135"/>
      <c r="BG313" s="135"/>
      <c r="BH313" s="135"/>
      <c r="BI313" s="2" t="s">
        <v>112</v>
      </c>
      <c r="BJ313" s="136">
        <v>45169</v>
      </c>
      <c r="BK313" s="2" t="s">
        <v>145</v>
      </c>
      <c r="BL313" s="136" t="s">
        <v>18</v>
      </c>
      <c r="BM313" s="136">
        <v>44931</v>
      </c>
      <c r="BN313" s="2" t="s">
        <v>1060</v>
      </c>
      <c r="BO313" s="2"/>
      <c r="BP313" s="136"/>
      <c r="BQ313" s="137" t="s">
        <v>134</v>
      </c>
      <c r="BR313" s="138"/>
    </row>
    <row r="314" spans="1:70" ht="12.75" customHeight="1" x14ac:dyDescent="0.2">
      <c r="A314" s="2">
        <v>1803</v>
      </c>
      <c r="B314" s="2" t="s">
        <v>39</v>
      </c>
      <c r="C314" s="2" t="s">
        <v>94</v>
      </c>
      <c r="D314" s="2" t="s">
        <v>1118</v>
      </c>
      <c r="E314" s="2" t="s">
        <v>90</v>
      </c>
      <c r="F314" s="132">
        <v>6000</v>
      </c>
      <c r="G314" s="132"/>
      <c r="H314" s="132">
        <f>15000+3237.69</f>
        <v>18237.689999999999</v>
      </c>
      <c r="I314" s="132"/>
      <c r="J314" s="132">
        <f>2288.135+AS314+AV314+3237.695</f>
        <v>18237.690000000002</v>
      </c>
      <c r="K314" s="132">
        <f t="shared" si="41"/>
        <v>-12237.690000000002</v>
      </c>
      <c r="L314" s="132">
        <f t="shared" si="37"/>
        <v>0</v>
      </c>
      <c r="M314" s="133">
        <v>207</v>
      </c>
      <c r="N314" s="133">
        <f t="shared" si="40"/>
        <v>-3.637978807091713E-12</v>
      </c>
      <c r="O314" s="134">
        <v>0</v>
      </c>
      <c r="P314" s="133"/>
      <c r="Q314" s="2" t="s">
        <v>1022</v>
      </c>
      <c r="R314" s="156">
        <f t="shared" si="38"/>
        <v>0</v>
      </c>
      <c r="S314" s="156">
        <f t="shared" si="39"/>
        <v>0</v>
      </c>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53">
        <v>0</v>
      </c>
      <c r="AT314" s="153">
        <v>0</v>
      </c>
      <c r="AU314" s="153">
        <v>0</v>
      </c>
      <c r="AV314" s="271">
        <v>12711.86</v>
      </c>
      <c r="AW314" s="135">
        <v>809.73</v>
      </c>
      <c r="AX314" s="142">
        <f>(H314/1.18-AT314-AW314)*0.1</f>
        <v>1464.5939491525423</v>
      </c>
      <c r="AY314" s="142"/>
      <c r="AZ314" s="142"/>
      <c r="BA314" s="142"/>
      <c r="BB314" s="142"/>
      <c r="BC314" s="142"/>
      <c r="BD314" s="142"/>
      <c r="BE314" s="142"/>
      <c r="BF314" s="142"/>
      <c r="BG314" s="135"/>
      <c r="BH314" s="135"/>
      <c r="BI314" s="2" t="s">
        <v>11</v>
      </c>
      <c r="BJ314" s="136">
        <v>45289</v>
      </c>
      <c r="BK314" s="2" t="s">
        <v>8</v>
      </c>
      <c r="BL314" s="136" t="s">
        <v>18</v>
      </c>
      <c r="BM314" s="136">
        <v>44931</v>
      </c>
      <c r="BN314" s="2" t="s">
        <v>1061</v>
      </c>
      <c r="BO314" s="2"/>
      <c r="BP314" s="136"/>
      <c r="BQ314" s="137" t="s">
        <v>119</v>
      </c>
      <c r="BR314" s="138"/>
    </row>
    <row r="315" spans="1:70" ht="12.75" customHeight="1" x14ac:dyDescent="0.2">
      <c r="A315" s="2">
        <v>1804</v>
      </c>
      <c r="B315" s="2" t="s">
        <v>39</v>
      </c>
      <c r="C315" s="2" t="s">
        <v>94</v>
      </c>
      <c r="D315" s="2" t="s">
        <v>1119</v>
      </c>
      <c r="E315" s="2" t="s">
        <v>106</v>
      </c>
      <c r="F315" s="132">
        <f>1145*1.75</f>
        <v>2003.75</v>
      </c>
      <c r="G315" s="132">
        <v>2</v>
      </c>
      <c r="H315" s="132">
        <f>1145*1.75</f>
        <v>2003.75</v>
      </c>
      <c r="I315" s="132"/>
      <c r="J315" s="132">
        <f>305.66+1698.09</f>
        <v>2003.75</v>
      </c>
      <c r="K315" s="132">
        <f t="shared" si="41"/>
        <v>0</v>
      </c>
      <c r="L315" s="132">
        <f t="shared" si="37"/>
        <v>0</v>
      </c>
      <c r="M315" s="133"/>
      <c r="N315" s="133">
        <f t="shared" si="40"/>
        <v>0</v>
      </c>
      <c r="O315" s="134">
        <v>0</v>
      </c>
      <c r="P315" s="133"/>
      <c r="Q315" s="2" t="s">
        <v>1023</v>
      </c>
      <c r="R315" s="156">
        <f t="shared" si="38"/>
        <v>0</v>
      </c>
      <c r="S315" s="156">
        <f t="shared" si="39"/>
        <v>0</v>
      </c>
      <c r="T315" s="133"/>
      <c r="U315" s="133"/>
      <c r="V315" s="133"/>
      <c r="W315" s="133"/>
      <c r="X315" s="133"/>
      <c r="Y315" s="133"/>
      <c r="Z315" s="133"/>
      <c r="AA315" s="133"/>
      <c r="AB315" s="133"/>
      <c r="AC315" s="133"/>
      <c r="AD315" s="133"/>
      <c r="AE315" s="133"/>
      <c r="AF315" s="133"/>
      <c r="AG315" s="133"/>
      <c r="AH315" s="133"/>
      <c r="AI315" s="133"/>
      <c r="AJ315" s="133"/>
      <c r="AK315" s="133"/>
      <c r="AL315" s="133"/>
      <c r="AM315" s="133"/>
      <c r="AN315" s="133"/>
      <c r="AO315" s="133"/>
      <c r="AP315" s="133"/>
      <c r="AQ315" s="133"/>
      <c r="AR315" s="133"/>
      <c r="AS315" s="153">
        <v>0</v>
      </c>
      <c r="AT315" s="153">
        <v>0</v>
      </c>
      <c r="AU315" s="153">
        <v>0</v>
      </c>
      <c r="AV315" s="135"/>
      <c r="AW315" s="135"/>
      <c r="AX315" s="135"/>
      <c r="AY315" s="135"/>
      <c r="AZ315" s="135"/>
      <c r="BA315" s="135"/>
      <c r="BB315" s="135"/>
      <c r="BC315" s="135"/>
      <c r="BD315" s="135"/>
      <c r="BE315" s="135"/>
      <c r="BF315" s="135"/>
      <c r="BG315" s="135"/>
      <c r="BH315" s="135"/>
      <c r="BI315" s="2" t="s">
        <v>112</v>
      </c>
      <c r="BJ315" s="136">
        <v>45352</v>
      </c>
      <c r="BK315" s="2" t="s">
        <v>145</v>
      </c>
      <c r="BL315" s="136" t="s">
        <v>18</v>
      </c>
      <c r="BM315" s="136">
        <v>44931</v>
      </c>
      <c r="BN315" s="2" t="s">
        <v>1062</v>
      </c>
      <c r="BO315" s="2"/>
      <c r="BP315" s="136"/>
      <c r="BQ315" s="137"/>
      <c r="BR315" s="138"/>
    </row>
    <row r="316" spans="1:70" ht="12.75" customHeight="1" x14ac:dyDescent="0.2">
      <c r="A316" s="2">
        <v>1805</v>
      </c>
      <c r="B316" s="2" t="s">
        <v>39</v>
      </c>
      <c r="C316" s="2" t="s">
        <v>94</v>
      </c>
      <c r="D316" s="2" t="s">
        <v>1120</v>
      </c>
      <c r="E316" s="2" t="s">
        <v>90</v>
      </c>
      <c r="F316" s="132">
        <v>37000</v>
      </c>
      <c r="G316" s="132">
        <v>2</v>
      </c>
      <c r="H316" s="132">
        <f>2700.9+R316</f>
        <v>106097.65999999999</v>
      </c>
      <c r="I316" s="132"/>
      <c r="J316" s="132">
        <f>S316+BC316</f>
        <v>106097.659</v>
      </c>
      <c r="K316" s="132">
        <f t="shared" si="41"/>
        <v>-69097.659</v>
      </c>
      <c r="L316" s="132">
        <f t="shared" si="37"/>
        <v>9.9999998928979039E-4</v>
      </c>
      <c r="M316" s="133">
        <v>1162</v>
      </c>
      <c r="N316" s="133">
        <f t="shared" si="40"/>
        <v>9.9999998928979039E-4</v>
      </c>
      <c r="O316" s="134">
        <v>1</v>
      </c>
      <c r="P316" s="133"/>
      <c r="Q316" s="2" t="s">
        <v>1023</v>
      </c>
      <c r="R316" s="156">
        <f t="shared" si="38"/>
        <v>103396.76</v>
      </c>
      <c r="S316" s="156">
        <f t="shared" si="39"/>
        <v>20504.659</v>
      </c>
      <c r="T316" s="133">
        <v>101000</v>
      </c>
      <c r="U316" s="133">
        <v>412</v>
      </c>
      <c r="V316" s="133"/>
      <c r="W316" s="133">
        <f>15406.779</f>
        <v>15406.779</v>
      </c>
      <c r="X316" s="133">
        <v>2396.7600000000002</v>
      </c>
      <c r="Y316" s="133"/>
      <c r="Z316" s="133"/>
      <c r="AA316" s="133">
        <v>365.61</v>
      </c>
      <c r="AB316" s="133"/>
      <c r="AC316" s="133"/>
      <c r="AD316" s="133"/>
      <c r="AE316" s="133">
        <v>4320.2700000000004</v>
      </c>
      <c r="AF316" s="133"/>
      <c r="AG316" s="133"/>
      <c r="AH316" s="133"/>
      <c r="AI316" s="133"/>
      <c r="AJ316" s="133"/>
      <c r="AK316" s="133"/>
      <c r="AL316" s="133"/>
      <c r="AM316" s="133"/>
      <c r="AN316" s="133"/>
      <c r="AO316" s="133"/>
      <c r="AP316" s="133"/>
      <c r="AQ316" s="133"/>
      <c r="AR316" s="133" t="s">
        <v>718</v>
      </c>
      <c r="AS316" s="153">
        <v>0</v>
      </c>
      <c r="AT316" s="153">
        <v>0</v>
      </c>
      <c r="AU316" s="153">
        <v>0</v>
      </c>
      <c r="AV316" s="135">
        <v>0</v>
      </c>
      <c r="AW316" s="135">
        <v>0</v>
      </c>
      <c r="AX316" s="135">
        <v>0</v>
      </c>
      <c r="AY316" s="135">
        <v>0</v>
      </c>
      <c r="AZ316" s="135">
        <v>0</v>
      </c>
      <c r="BA316" s="135">
        <v>0</v>
      </c>
      <c r="BB316" s="140">
        <f>(103700.9/1.18-AT316-AW316-AZ316)*0.1-BA316</f>
        <v>8788.2118644067796</v>
      </c>
      <c r="BC316" s="135">
        <f>85593</f>
        <v>85593</v>
      </c>
      <c r="BD316" s="135">
        <v>1864.29</v>
      </c>
      <c r="BE316" s="135">
        <f>(H316/1.18-AT316-AW316-AZ316-BD316)*0.1-AU316-AX316-BA316-BB316</f>
        <v>16.686254237289177</v>
      </c>
      <c r="BF316" s="135"/>
      <c r="BG316" s="135"/>
      <c r="BH316" s="135"/>
      <c r="BI316" s="2" t="s">
        <v>11</v>
      </c>
      <c r="BJ316" s="136">
        <v>45728</v>
      </c>
      <c r="BK316" s="2" t="s">
        <v>109</v>
      </c>
      <c r="BL316" s="136" t="s">
        <v>18</v>
      </c>
      <c r="BM316" s="136">
        <v>44931</v>
      </c>
      <c r="BN316" s="2" t="s">
        <v>1063</v>
      </c>
      <c r="BO316" s="2"/>
      <c r="BP316" s="136"/>
      <c r="BQ316" s="137" t="s">
        <v>119</v>
      </c>
      <c r="BR316" s="138"/>
    </row>
    <row r="317" spans="1:70" ht="12.75" customHeight="1" x14ac:dyDescent="0.2">
      <c r="A317" s="2">
        <v>1806</v>
      </c>
      <c r="B317" s="2" t="s">
        <v>39</v>
      </c>
      <c r="C317" s="2" t="s">
        <v>94</v>
      </c>
      <c r="D317" s="2" t="s">
        <v>1674</v>
      </c>
      <c r="E317" s="2" t="s">
        <v>106</v>
      </c>
      <c r="F317" s="132">
        <f>819*1.75</f>
        <v>1433.25</v>
      </c>
      <c r="G317" s="132"/>
      <c r="H317" s="132">
        <f>819*1.75</f>
        <v>1433.25</v>
      </c>
      <c r="I317" s="132"/>
      <c r="J317" s="132">
        <f>218.631+1214.618</f>
        <v>1433.249</v>
      </c>
      <c r="K317" s="132">
        <f t="shared" si="41"/>
        <v>9.9999999997635314E-4</v>
      </c>
      <c r="L317" s="132">
        <f t="shared" si="37"/>
        <v>9.9999999997635314E-4</v>
      </c>
      <c r="M317" s="133"/>
      <c r="N317" s="133">
        <f t="shared" si="40"/>
        <v>9.9999999997635314E-4</v>
      </c>
      <c r="O317" s="134">
        <v>0</v>
      </c>
      <c r="P317" s="133"/>
      <c r="Q317" s="2" t="s">
        <v>1024</v>
      </c>
      <c r="R317" s="156">
        <f t="shared" si="38"/>
        <v>0</v>
      </c>
      <c r="S317" s="156">
        <f t="shared" si="39"/>
        <v>0</v>
      </c>
      <c r="T317" s="133"/>
      <c r="U317" s="133"/>
      <c r="V317" s="133"/>
      <c r="W317" s="133"/>
      <c r="X317" s="133"/>
      <c r="Y317" s="133"/>
      <c r="Z317" s="133"/>
      <c r="AA317" s="133"/>
      <c r="AB317" s="133"/>
      <c r="AC317" s="133"/>
      <c r="AD317" s="133"/>
      <c r="AE317" s="133"/>
      <c r="AF317" s="133"/>
      <c r="AG317" s="133"/>
      <c r="AH317" s="133"/>
      <c r="AI317" s="133"/>
      <c r="AJ317" s="133"/>
      <c r="AK317" s="133"/>
      <c r="AL317" s="133"/>
      <c r="AM317" s="133"/>
      <c r="AN317" s="133"/>
      <c r="AO317" s="133"/>
      <c r="AP317" s="133"/>
      <c r="AQ317" s="133"/>
      <c r="AR317" s="133"/>
      <c r="AS317" s="153">
        <v>0</v>
      </c>
      <c r="AT317" s="153">
        <v>0</v>
      </c>
      <c r="AU317" s="153">
        <v>0</v>
      </c>
      <c r="AV317" s="135"/>
      <c r="AW317" s="135"/>
      <c r="AX317" s="135"/>
      <c r="AY317" s="135"/>
      <c r="AZ317" s="135"/>
      <c r="BA317" s="135"/>
      <c r="BB317" s="135"/>
      <c r="BC317" s="135"/>
      <c r="BD317" s="135"/>
      <c r="BE317" s="135"/>
      <c r="BF317" s="135"/>
      <c r="BG317" s="135"/>
      <c r="BH317" s="135"/>
      <c r="BI317" s="2" t="s">
        <v>112</v>
      </c>
      <c r="BJ317" s="136">
        <v>45169</v>
      </c>
      <c r="BK317" s="2" t="s">
        <v>145</v>
      </c>
      <c r="BL317" s="136" t="s">
        <v>18</v>
      </c>
      <c r="BM317" s="136">
        <v>44931</v>
      </c>
      <c r="BN317" s="2" t="s">
        <v>1064</v>
      </c>
      <c r="BO317" s="2"/>
      <c r="BP317" s="136"/>
      <c r="BQ317" s="137" t="s">
        <v>134</v>
      </c>
      <c r="BR317" s="138"/>
    </row>
    <row r="318" spans="1:70" ht="12.75" customHeight="1" x14ac:dyDescent="0.2">
      <c r="A318" s="2">
        <v>1807</v>
      </c>
      <c r="B318" s="2" t="s">
        <v>39</v>
      </c>
      <c r="C318" s="2" t="s">
        <v>94</v>
      </c>
      <c r="D318" s="2" t="s">
        <v>1122</v>
      </c>
      <c r="E318" s="2" t="s">
        <v>90</v>
      </c>
      <c r="F318" s="132">
        <v>27000</v>
      </c>
      <c r="G318" s="132">
        <v>2</v>
      </c>
      <c r="H318" s="132">
        <f>100000+21613.03</f>
        <v>121613.03</v>
      </c>
      <c r="I318" s="132">
        <f>100000+21613.03</f>
        <v>121613.03</v>
      </c>
      <c r="J318" s="132">
        <f>15254.24+AY318+21613.03</f>
        <v>121613.03</v>
      </c>
      <c r="K318" s="132">
        <f t="shared" si="41"/>
        <v>-94613.03</v>
      </c>
      <c r="L318" s="132">
        <f t="shared" si="37"/>
        <v>0</v>
      </c>
      <c r="M318" s="133">
        <v>799</v>
      </c>
      <c r="N318" s="133">
        <f t="shared" si="40"/>
        <v>0</v>
      </c>
      <c r="O318" s="134">
        <v>0</v>
      </c>
      <c r="P318" s="133"/>
      <c r="Q318" s="2" t="s">
        <v>1024</v>
      </c>
      <c r="R318" s="156">
        <f t="shared" si="38"/>
        <v>0</v>
      </c>
      <c r="S318" s="156">
        <f t="shared" si="39"/>
        <v>0</v>
      </c>
      <c r="T318" s="133"/>
      <c r="U318" s="133"/>
      <c r="V318" s="133"/>
      <c r="W318" s="133"/>
      <c r="X318" s="133"/>
      <c r="Y318" s="133"/>
      <c r="Z318" s="133"/>
      <c r="AA318" s="133"/>
      <c r="AB318" s="133"/>
      <c r="AC318" s="133"/>
      <c r="AD318" s="133"/>
      <c r="AE318" s="133"/>
      <c r="AF318" s="133"/>
      <c r="AG318" s="133"/>
      <c r="AH318" s="133"/>
      <c r="AI318" s="133"/>
      <c r="AJ318" s="133"/>
      <c r="AK318" s="133"/>
      <c r="AL318" s="133"/>
      <c r="AM318" s="133"/>
      <c r="AN318" s="133"/>
      <c r="AO318" s="133"/>
      <c r="AP318" s="133"/>
      <c r="AQ318" s="133"/>
      <c r="AR318" s="133"/>
      <c r="AS318" s="153">
        <v>0</v>
      </c>
      <c r="AT318" s="153">
        <v>0</v>
      </c>
      <c r="AU318" s="153">
        <v>0</v>
      </c>
      <c r="AV318" s="135"/>
      <c r="AW318" s="135"/>
      <c r="AX318" s="135"/>
      <c r="AY318" s="135">
        <v>84745.76</v>
      </c>
      <c r="AZ318" s="135">
        <v>9167.6299999999992</v>
      </c>
      <c r="BA318" s="135">
        <f>100000/1.18*0.8*0.1</f>
        <v>6779.6610169491541</v>
      </c>
      <c r="BB318" s="140">
        <f>(H318/1.18-AT318-AW318-AZ318)*0.1-BA318</f>
        <v>2609.7649661016931</v>
      </c>
      <c r="BC318" s="135"/>
      <c r="BD318" s="135"/>
      <c r="BE318" s="135">
        <f>(H318/1.18-AT318-AW318-AZ318-BD318)*0.1-AU318-AX318-BA318-BB318</f>
        <v>0</v>
      </c>
      <c r="BF318" s="135"/>
      <c r="BG318" s="135"/>
      <c r="BH318" s="135"/>
      <c r="BI318" s="2" t="s">
        <v>11</v>
      </c>
      <c r="BJ318" s="136">
        <v>45504</v>
      </c>
      <c r="BK318" s="2" t="s">
        <v>8</v>
      </c>
      <c r="BL318" s="136" t="s">
        <v>18</v>
      </c>
      <c r="BM318" s="136">
        <v>44931</v>
      </c>
      <c r="BN318" s="2" t="s">
        <v>1065</v>
      </c>
      <c r="BO318" s="2"/>
      <c r="BP318" s="136"/>
      <c r="BQ318" s="137" t="s">
        <v>119</v>
      </c>
      <c r="BR318" s="138"/>
    </row>
    <row r="319" spans="1:70" ht="12.75" customHeight="1" x14ac:dyDescent="0.2">
      <c r="A319" s="2">
        <v>1808</v>
      </c>
      <c r="B319" s="2" t="s">
        <v>39</v>
      </c>
      <c r="C319" s="2" t="s">
        <v>94</v>
      </c>
      <c r="D319" s="2" t="s">
        <v>1675</v>
      </c>
      <c r="E319" s="2" t="s">
        <v>106</v>
      </c>
      <c r="F319" s="132">
        <f>1131*1.75</f>
        <v>1979.25</v>
      </c>
      <c r="G319" s="132"/>
      <c r="H319" s="132">
        <f>1131*1.75</f>
        <v>1979.25</v>
      </c>
      <c r="I319" s="132"/>
      <c r="J319" s="132">
        <f>301.919+1677.33</f>
        <v>1979.2489999999998</v>
      </c>
      <c r="K319" s="132">
        <f t="shared" si="41"/>
        <v>1.0000000002037268E-3</v>
      </c>
      <c r="L319" s="132">
        <f t="shared" si="37"/>
        <v>1.0000000002037268E-3</v>
      </c>
      <c r="M319" s="133"/>
      <c r="N319" s="133">
        <f t="shared" si="40"/>
        <v>1.0000000002037268E-3</v>
      </c>
      <c r="O319" s="134">
        <v>0</v>
      </c>
      <c r="P319" s="133"/>
      <c r="Q319" s="2" t="s">
        <v>1025</v>
      </c>
      <c r="R319" s="156">
        <f t="shared" si="38"/>
        <v>0</v>
      </c>
      <c r="S319" s="156">
        <f t="shared" si="39"/>
        <v>0</v>
      </c>
      <c r="T319" s="133"/>
      <c r="U319" s="133"/>
      <c r="V319" s="133"/>
      <c r="W319" s="133"/>
      <c r="X319" s="133"/>
      <c r="Y319" s="133"/>
      <c r="Z319" s="133"/>
      <c r="AA319" s="133"/>
      <c r="AB319" s="133"/>
      <c r="AC319" s="133"/>
      <c r="AD319" s="133"/>
      <c r="AE319" s="133"/>
      <c r="AF319" s="133"/>
      <c r="AG319" s="133"/>
      <c r="AH319" s="133"/>
      <c r="AI319" s="133"/>
      <c r="AJ319" s="133"/>
      <c r="AK319" s="133"/>
      <c r="AL319" s="133"/>
      <c r="AM319" s="133"/>
      <c r="AN319" s="133"/>
      <c r="AO319" s="133"/>
      <c r="AP319" s="133"/>
      <c r="AQ319" s="133"/>
      <c r="AR319" s="133"/>
      <c r="AS319" s="153">
        <v>0</v>
      </c>
      <c r="AT319" s="153">
        <v>0</v>
      </c>
      <c r="AU319" s="153">
        <v>0</v>
      </c>
      <c r="AV319" s="135"/>
      <c r="AW319" s="135"/>
      <c r="AX319" s="135"/>
      <c r="AY319" s="135"/>
      <c r="AZ319" s="135"/>
      <c r="BA319" s="135"/>
      <c r="BB319" s="135"/>
      <c r="BC319" s="135"/>
      <c r="BD319" s="135"/>
      <c r="BE319" s="135"/>
      <c r="BF319" s="135"/>
      <c r="BG319" s="135"/>
      <c r="BH319" s="135"/>
      <c r="BI319" s="2" t="s">
        <v>112</v>
      </c>
      <c r="BJ319" s="136">
        <v>45169</v>
      </c>
      <c r="BK319" s="2" t="s">
        <v>145</v>
      </c>
      <c r="BL319" s="136" t="s">
        <v>18</v>
      </c>
      <c r="BM319" s="136">
        <v>44931</v>
      </c>
      <c r="BN319" s="2" t="s">
        <v>1066</v>
      </c>
      <c r="BO319" s="2"/>
      <c r="BP319" s="136"/>
      <c r="BQ319" s="137" t="s">
        <v>134</v>
      </c>
      <c r="BR319" s="138"/>
    </row>
    <row r="320" spans="1:70" ht="12.75" customHeight="1" x14ac:dyDescent="0.2">
      <c r="A320" s="2">
        <v>1809</v>
      </c>
      <c r="B320" s="2" t="s">
        <v>39</v>
      </c>
      <c r="C320" s="2" t="s">
        <v>94</v>
      </c>
      <c r="D320" s="2" t="s">
        <v>1123</v>
      </c>
      <c r="E320" s="2" t="s">
        <v>90</v>
      </c>
      <c r="F320" s="132">
        <v>67000</v>
      </c>
      <c r="G320" s="132"/>
      <c r="H320" s="132">
        <f>100000+51560.93</f>
        <v>151560.93</v>
      </c>
      <c r="I320" s="132"/>
      <c r="J320" s="132">
        <f>15254.237+AS320+AV320+51560.933</f>
        <v>151560.93</v>
      </c>
      <c r="K320" s="132">
        <f t="shared" si="41"/>
        <v>-84560.93</v>
      </c>
      <c r="L320" s="132">
        <f t="shared" si="37"/>
        <v>0</v>
      </c>
      <c r="M320" s="133">
        <v>867</v>
      </c>
      <c r="N320" s="133">
        <f t="shared" si="40"/>
        <v>0</v>
      </c>
      <c r="O320" s="134">
        <v>0</v>
      </c>
      <c r="P320" s="133"/>
      <c r="Q320" s="2" t="s">
        <v>1025</v>
      </c>
      <c r="R320" s="156">
        <f t="shared" si="38"/>
        <v>0</v>
      </c>
      <c r="S320" s="156">
        <f t="shared" si="39"/>
        <v>0</v>
      </c>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53">
        <v>0</v>
      </c>
      <c r="AT320" s="153">
        <v>0</v>
      </c>
      <c r="AU320" s="153">
        <v>0</v>
      </c>
      <c r="AV320" s="271">
        <v>84745.76</v>
      </c>
      <c r="AW320" s="135">
        <v>6547.48</v>
      </c>
      <c r="AX320" s="142">
        <f>(H320/1.18-AT320-AW320)*0.1</f>
        <v>12189.398610169492</v>
      </c>
      <c r="AY320" s="142"/>
      <c r="AZ320" s="142"/>
      <c r="BA320" s="142"/>
      <c r="BB320" s="142"/>
      <c r="BC320" s="142"/>
      <c r="BD320" s="142"/>
      <c r="BE320" s="142"/>
      <c r="BF320" s="142"/>
      <c r="BG320" s="135"/>
      <c r="BH320" s="135"/>
      <c r="BI320" s="2" t="s">
        <v>11</v>
      </c>
      <c r="BJ320" s="136">
        <v>45289</v>
      </c>
      <c r="BK320" s="2" t="s">
        <v>8</v>
      </c>
      <c r="BL320" s="136" t="s">
        <v>18</v>
      </c>
      <c r="BM320" s="136">
        <v>44931</v>
      </c>
      <c r="BN320" s="2" t="s">
        <v>1067</v>
      </c>
      <c r="BO320" s="2"/>
      <c r="BP320" s="136"/>
      <c r="BQ320" s="137" t="s">
        <v>119</v>
      </c>
      <c r="BR320" s="138"/>
    </row>
    <row r="321" spans="1:70" ht="12.75" customHeight="1" x14ac:dyDescent="0.2">
      <c r="A321" s="2">
        <v>1810</v>
      </c>
      <c r="B321" s="2" t="s">
        <v>39</v>
      </c>
      <c r="C321" s="2" t="s">
        <v>94</v>
      </c>
      <c r="D321" s="2" t="s">
        <v>1124</v>
      </c>
      <c r="E321" s="2" t="s">
        <v>106</v>
      </c>
      <c r="F321" s="132">
        <f>346*1.75</f>
        <v>605.5</v>
      </c>
      <c r="G321" s="132">
        <v>2</v>
      </c>
      <c r="H321" s="132">
        <f>346*1.75</f>
        <v>605.5</v>
      </c>
      <c r="I321" s="132"/>
      <c r="J321" s="132">
        <v>605.5</v>
      </c>
      <c r="K321" s="132">
        <f t="shared" si="41"/>
        <v>0</v>
      </c>
      <c r="L321" s="132">
        <f t="shared" si="37"/>
        <v>0</v>
      </c>
      <c r="M321" s="133"/>
      <c r="N321" s="133">
        <f t="shared" si="40"/>
        <v>0</v>
      </c>
      <c r="O321" s="134">
        <v>0</v>
      </c>
      <c r="P321" s="133"/>
      <c r="Q321" s="2" t="s">
        <v>1026</v>
      </c>
      <c r="R321" s="156">
        <f t="shared" si="38"/>
        <v>0</v>
      </c>
      <c r="S321" s="156">
        <f t="shared" si="39"/>
        <v>0</v>
      </c>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53">
        <v>0</v>
      </c>
      <c r="AT321" s="153">
        <v>0</v>
      </c>
      <c r="AU321" s="153">
        <v>0</v>
      </c>
      <c r="AV321" s="135"/>
      <c r="AW321" s="135"/>
      <c r="AX321" s="135"/>
      <c r="AY321" s="135"/>
      <c r="AZ321" s="135"/>
      <c r="BA321" s="135"/>
      <c r="BB321" s="135"/>
      <c r="BC321" s="135"/>
      <c r="BD321" s="135"/>
      <c r="BE321" s="135"/>
      <c r="BF321" s="135"/>
      <c r="BG321" s="135"/>
      <c r="BH321" s="135"/>
      <c r="BI321" s="2" t="s">
        <v>112</v>
      </c>
      <c r="BJ321" s="136">
        <v>45352</v>
      </c>
      <c r="BK321" s="2" t="s">
        <v>145</v>
      </c>
      <c r="BL321" s="136" t="s">
        <v>18</v>
      </c>
      <c r="BM321" s="136">
        <v>44931</v>
      </c>
      <c r="BN321" s="2" t="s">
        <v>1068</v>
      </c>
      <c r="BO321" s="2"/>
      <c r="BP321" s="136"/>
      <c r="BQ321" s="137" t="s">
        <v>134</v>
      </c>
      <c r="BR321" s="138"/>
    </row>
    <row r="322" spans="1:70" ht="12.75" customHeight="1" x14ac:dyDescent="0.2">
      <c r="A322" s="2">
        <v>1811</v>
      </c>
      <c r="B322" s="2" t="s">
        <v>39</v>
      </c>
      <c r="C322" s="2" t="s">
        <v>94</v>
      </c>
      <c r="D322" s="2" t="s">
        <v>1125</v>
      </c>
      <c r="E322" s="2" t="s">
        <v>90</v>
      </c>
      <c r="F322" s="132">
        <v>32000</v>
      </c>
      <c r="G322" s="132">
        <v>2</v>
      </c>
      <c r="H322" s="132"/>
      <c r="I322" s="132"/>
      <c r="J322" s="132"/>
      <c r="K322" s="132">
        <f t="shared" si="41"/>
        <v>32000</v>
      </c>
      <c r="L322" s="132">
        <f t="shared" si="37"/>
        <v>0</v>
      </c>
      <c r="M322" s="133"/>
      <c r="N322" s="133">
        <f t="shared" si="40"/>
        <v>32000</v>
      </c>
      <c r="O322" s="134">
        <v>1</v>
      </c>
      <c r="P322" s="133"/>
      <c r="Q322" s="2" t="s">
        <v>1026</v>
      </c>
      <c r="R322" s="156">
        <f t="shared" si="38"/>
        <v>0</v>
      </c>
      <c r="S322" s="156">
        <f t="shared" si="39"/>
        <v>0</v>
      </c>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53">
        <v>0</v>
      </c>
      <c r="AT322" s="153">
        <v>0</v>
      </c>
      <c r="AU322" s="153">
        <v>0</v>
      </c>
      <c r="AV322" s="135"/>
      <c r="AW322" s="135"/>
      <c r="AX322" s="135"/>
      <c r="AY322" s="135"/>
      <c r="AZ322" s="135"/>
      <c r="BA322" s="135"/>
      <c r="BB322" s="135"/>
      <c r="BC322" s="135"/>
      <c r="BD322" s="135"/>
      <c r="BE322" s="135"/>
      <c r="BF322" s="135"/>
      <c r="BG322" s="135"/>
      <c r="BH322" s="135"/>
      <c r="BI322" s="2" t="s">
        <v>11</v>
      </c>
      <c r="BJ322" s="136"/>
      <c r="BK322" s="2">
        <v>0</v>
      </c>
      <c r="BL322" s="136" t="s">
        <v>18</v>
      </c>
      <c r="BM322" s="136">
        <v>44931</v>
      </c>
      <c r="BN322" s="2" t="s">
        <v>1069</v>
      </c>
      <c r="BO322" s="2"/>
      <c r="BP322" s="136"/>
      <c r="BQ322" s="137"/>
      <c r="BR322" s="138"/>
    </row>
    <row r="323" spans="1:70" ht="12.75" customHeight="1" x14ac:dyDescent="0.2">
      <c r="A323" s="2">
        <v>1812</v>
      </c>
      <c r="B323" s="2" t="s">
        <v>39</v>
      </c>
      <c r="C323" s="2" t="s">
        <v>94</v>
      </c>
      <c r="D323" s="2" t="s">
        <v>1126</v>
      </c>
      <c r="E323" s="2" t="s">
        <v>106</v>
      </c>
      <c r="F323" s="132">
        <f>1137*1.75</f>
        <v>1989.75</v>
      </c>
      <c r="G323" s="132"/>
      <c r="H323" s="132">
        <f>1137*1.75</f>
        <v>1989.75</v>
      </c>
      <c r="I323" s="132"/>
      <c r="J323" s="132">
        <f>303.521+1686.228</f>
        <v>1989.749</v>
      </c>
      <c r="K323" s="132">
        <f t="shared" si="41"/>
        <v>9.9999999997635314E-4</v>
      </c>
      <c r="L323" s="132">
        <f t="shared" si="37"/>
        <v>9.9999999997635314E-4</v>
      </c>
      <c r="M323" s="133"/>
      <c r="N323" s="133">
        <f t="shared" si="40"/>
        <v>9.9999999997635314E-4</v>
      </c>
      <c r="O323" s="134">
        <v>0</v>
      </c>
      <c r="P323" s="133"/>
      <c r="Q323" s="2" t="s">
        <v>1027</v>
      </c>
      <c r="R323" s="156">
        <f t="shared" si="38"/>
        <v>0</v>
      </c>
      <c r="S323" s="156">
        <f t="shared" si="39"/>
        <v>0</v>
      </c>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53">
        <v>0</v>
      </c>
      <c r="AT323" s="153">
        <v>0</v>
      </c>
      <c r="AU323" s="153">
        <v>0</v>
      </c>
      <c r="AV323" s="135"/>
      <c r="AW323" s="135"/>
      <c r="AX323" s="135"/>
      <c r="AY323" s="135"/>
      <c r="AZ323" s="135"/>
      <c r="BA323" s="135"/>
      <c r="BB323" s="135"/>
      <c r="BC323" s="135"/>
      <c r="BD323" s="135"/>
      <c r="BE323" s="135"/>
      <c r="BF323" s="135"/>
      <c r="BG323" s="135"/>
      <c r="BH323" s="135"/>
      <c r="BI323" s="2" t="s">
        <v>112</v>
      </c>
      <c r="BJ323" s="136">
        <v>45169</v>
      </c>
      <c r="BK323" s="2" t="s">
        <v>145</v>
      </c>
      <c r="BL323" s="136" t="s">
        <v>18</v>
      </c>
      <c r="BM323" s="136">
        <v>44931</v>
      </c>
      <c r="BN323" s="2" t="s">
        <v>1070</v>
      </c>
      <c r="BO323" s="2"/>
      <c r="BP323" s="136"/>
      <c r="BQ323" s="137" t="s">
        <v>134</v>
      </c>
      <c r="BR323" s="138"/>
    </row>
    <row r="324" spans="1:70" ht="12.75" customHeight="1" x14ac:dyDescent="0.2">
      <c r="A324" s="2">
        <v>1813</v>
      </c>
      <c r="B324" s="2" t="s">
        <v>39</v>
      </c>
      <c r="C324" s="2" t="s">
        <v>94</v>
      </c>
      <c r="D324" s="2" t="s">
        <v>1127</v>
      </c>
      <c r="E324" s="2" t="s">
        <v>90</v>
      </c>
      <c r="F324" s="132">
        <v>82000</v>
      </c>
      <c r="G324" s="132">
        <v>2</v>
      </c>
      <c r="H324" s="132">
        <f>160000+5481.66</f>
        <v>165481.66</v>
      </c>
      <c r="I324" s="132">
        <f>160000+5481.66</f>
        <v>165481.66</v>
      </c>
      <c r="J324" s="132">
        <f>24406.78+AY324+5481.66</f>
        <v>165481.66</v>
      </c>
      <c r="K324" s="132">
        <f t="shared" si="41"/>
        <v>-83481.66</v>
      </c>
      <c r="L324" s="132">
        <f t="shared" si="37"/>
        <v>0</v>
      </c>
      <c r="M324" s="133">
        <v>1229</v>
      </c>
      <c r="N324" s="133">
        <f t="shared" si="40"/>
        <v>0</v>
      </c>
      <c r="O324" s="134">
        <v>0</v>
      </c>
      <c r="P324" s="133"/>
      <c r="Q324" s="2" t="s">
        <v>1027</v>
      </c>
      <c r="R324" s="156">
        <f t="shared" si="38"/>
        <v>0</v>
      </c>
      <c r="S324" s="156">
        <f t="shared" si="39"/>
        <v>0</v>
      </c>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53">
        <v>0</v>
      </c>
      <c r="AT324" s="153">
        <v>0</v>
      </c>
      <c r="AU324" s="153">
        <v>0</v>
      </c>
      <c r="AV324" s="135"/>
      <c r="AW324" s="135"/>
      <c r="AX324" s="135"/>
      <c r="AY324" s="135">
        <v>135593.22</v>
      </c>
      <c r="AZ324" s="135">
        <v>861.85</v>
      </c>
      <c r="BA324" s="135">
        <f>160000/1.18*0.8*0.1</f>
        <v>10847.457627118645</v>
      </c>
      <c r="BB324" s="140">
        <f>(H324/1.18-AT324-AW324-AZ324)*0.1-BA324</f>
        <v>3090.2268644067808</v>
      </c>
      <c r="BC324" s="135"/>
      <c r="BD324" s="135"/>
      <c r="BE324" s="135">
        <f>(H324/1.18-AT324-AW324-AZ324-BD324)*0.1-AU324-AX324-BA324-BB324</f>
        <v>0</v>
      </c>
      <c r="BF324" s="135"/>
      <c r="BG324" s="135"/>
      <c r="BH324" s="135"/>
      <c r="BI324" s="2" t="s">
        <v>11</v>
      </c>
      <c r="BJ324" s="136">
        <v>45504</v>
      </c>
      <c r="BK324" s="2" t="s">
        <v>109</v>
      </c>
      <c r="BL324" s="136" t="s">
        <v>18</v>
      </c>
      <c r="BM324" s="136">
        <v>44931</v>
      </c>
      <c r="BN324" s="2" t="s">
        <v>1071</v>
      </c>
      <c r="BO324" s="2"/>
      <c r="BP324" s="136"/>
      <c r="BQ324" s="137" t="s">
        <v>119</v>
      </c>
      <c r="BR324" s="138"/>
    </row>
    <row r="325" spans="1:70" ht="12.75" customHeight="1" x14ac:dyDescent="0.2">
      <c r="A325" s="2">
        <v>1814</v>
      </c>
      <c r="B325" s="2" t="s">
        <v>39</v>
      </c>
      <c r="C325" s="2" t="s">
        <v>94</v>
      </c>
      <c r="D325" s="2" t="s">
        <v>1128</v>
      </c>
      <c r="E325" s="2" t="s">
        <v>106</v>
      </c>
      <c r="F325" s="132">
        <v>1370.25</v>
      </c>
      <c r="G325" s="132"/>
      <c r="H325" s="132">
        <f>783*1.75</f>
        <v>1370.25</v>
      </c>
      <c r="I325" s="132"/>
      <c r="J325" s="132">
        <f>209.02+1161.23</f>
        <v>1370.25</v>
      </c>
      <c r="K325" s="132">
        <f t="shared" si="41"/>
        <v>0</v>
      </c>
      <c r="L325" s="132">
        <f t="shared" si="37"/>
        <v>0</v>
      </c>
      <c r="M325" s="133"/>
      <c r="N325" s="133">
        <f t="shared" si="40"/>
        <v>0</v>
      </c>
      <c r="O325" s="134">
        <v>0</v>
      </c>
      <c r="P325" s="133"/>
      <c r="Q325" s="2" t="s">
        <v>1028</v>
      </c>
      <c r="R325" s="156">
        <f t="shared" si="38"/>
        <v>0</v>
      </c>
      <c r="S325" s="156">
        <f t="shared" si="39"/>
        <v>0</v>
      </c>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53">
        <v>0</v>
      </c>
      <c r="AT325" s="153">
        <v>0</v>
      </c>
      <c r="AU325" s="153">
        <v>0</v>
      </c>
      <c r="AV325" s="135"/>
      <c r="AW325" s="135"/>
      <c r="AX325" s="135"/>
      <c r="AY325" s="135"/>
      <c r="AZ325" s="135"/>
      <c r="BA325" s="135"/>
      <c r="BB325" s="135"/>
      <c r="BC325" s="135"/>
      <c r="BD325" s="135"/>
      <c r="BE325" s="135"/>
      <c r="BF325" s="135"/>
      <c r="BG325" s="135"/>
      <c r="BH325" s="135"/>
      <c r="BI325" s="2" t="s">
        <v>112</v>
      </c>
      <c r="BJ325" s="136">
        <v>45222</v>
      </c>
      <c r="BK325" s="2" t="s">
        <v>145</v>
      </c>
      <c r="BL325" s="136" t="s">
        <v>18</v>
      </c>
      <c r="BM325" s="136">
        <v>44931</v>
      </c>
      <c r="BN325" s="2" t="s">
        <v>1072</v>
      </c>
      <c r="BO325" s="2"/>
      <c r="BP325" s="136"/>
      <c r="BQ325" s="137" t="s">
        <v>134</v>
      </c>
      <c r="BR325" s="138"/>
    </row>
    <row r="326" spans="1:70" ht="12.75" customHeight="1" x14ac:dyDescent="0.2">
      <c r="A326" s="2">
        <v>1815</v>
      </c>
      <c r="B326" s="2" t="s">
        <v>39</v>
      </c>
      <c r="C326" s="2" t="s">
        <v>94</v>
      </c>
      <c r="D326" s="2" t="s">
        <v>1129</v>
      </c>
      <c r="E326" s="2" t="s">
        <v>90</v>
      </c>
      <c r="F326" s="132">
        <v>35000</v>
      </c>
      <c r="G326" s="132">
        <v>2</v>
      </c>
      <c r="H326" s="132">
        <f>R326</f>
        <v>82774.33</v>
      </c>
      <c r="I326" s="132"/>
      <c r="J326" s="132">
        <f>S326+BC326</f>
        <v>82774.33</v>
      </c>
      <c r="K326" s="132">
        <f t="shared" si="41"/>
        <v>-47774.33</v>
      </c>
      <c r="L326" s="132">
        <f t="shared" si="37"/>
        <v>0</v>
      </c>
      <c r="M326" s="133">
        <v>500</v>
      </c>
      <c r="N326" s="133">
        <f t="shared" si="40"/>
        <v>0</v>
      </c>
      <c r="O326" s="134">
        <v>1</v>
      </c>
      <c r="P326" s="133"/>
      <c r="Q326" s="2" t="s">
        <v>1028</v>
      </c>
      <c r="R326" s="156">
        <f t="shared" si="38"/>
        <v>82774.33</v>
      </c>
      <c r="S326" s="156">
        <f t="shared" si="39"/>
        <v>25994.33</v>
      </c>
      <c r="T326" s="133"/>
      <c r="U326" s="133"/>
      <c r="V326" s="133"/>
      <c r="W326" s="133"/>
      <c r="X326" s="133">
        <v>67000</v>
      </c>
      <c r="Y326" s="133"/>
      <c r="Z326" s="133">
        <v>15774.33</v>
      </c>
      <c r="AA326" s="133">
        <v>10220.34</v>
      </c>
      <c r="AB326" s="133"/>
      <c r="AC326" s="133">
        <v>2406.25</v>
      </c>
      <c r="AD326" s="133"/>
      <c r="AE326" s="133">
        <v>13367.74</v>
      </c>
      <c r="AF326" s="133"/>
      <c r="AG326" s="133"/>
      <c r="AH326" s="133"/>
      <c r="AI326" s="133"/>
      <c r="AJ326" s="133"/>
      <c r="AK326" s="133"/>
      <c r="AL326" s="133"/>
      <c r="AM326" s="133"/>
      <c r="AN326" s="133"/>
      <c r="AO326" s="133"/>
      <c r="AP326" s="133"/>
      <c r="AQ326" s="133"/>
      <c r="AR326" s="133"/>
      <c r="AS326" s="153">
        <v>0</v>
      </c>
      <c r="AT326" s="153">
        <v>0</v>
      </c>
      <c r="AU326" s="153">
        <v>0</v>
      </c>
      <c r="AV326" s="135"/>
      <c r="AW326" s="135"/>
      <c r="AX326" s="135"/>
      <c r="AY326" s="135"/>
      <c r="AZ326" s="135"/>
      <c r="BA326" s="135"/>
      <c r="BB326" s="135"/>
      <c r="BC326" s="135">
        <v>56780</v>
      </c>
      <c r="BD326" s="135">
        <v>8559.73</v>
      </c>
      <c r="BE326" s="135">
        <f>(H326/1.18-AT326-AW326-AZ326-BD326)*0.1-AU326-AX326-BA326-BB326</f>
        <v>6158.8007288135605</v>
      </c>
      <c r="BF326" s="135"/>
      <c r="BG326" s="135"/>
      <c r="BH326" s="135"/>
      <c r="BI326" s="2" t="s">
        <v>11</v>
      </c>
      <c r="BJ326" s="136">
        <v>45777</v>
      </c>
      <c r="BK326" s="2" t="s">
        <v>8</v>
      </c>
      <c r="BL326" s="136" t="s">
        <v>18</v>
      </c>
      <c r="BM326" s="136">
        <v>44931</v>
      </c>
      <c r="BN326" s="2" t="s">
        <v>1073</v>
      </c>
      <c r="BO326" s="2"/>
      <c r="BP326" s="136"/>
      <c r="BQ326" s="137" t="s">
        <v>119</v>
      </c>
      <c r="BR326" s="138"/>
    </row>
    <row r="327" spans="1:70" ht="12.75" customHeight="1" x14ac:dyDescent="0.2">
      <c r="A327" s="2">
        <v>1816</v>
      </c>
      <c r="B327" s="2" t="s">
        <v>39</v>
      </c>
      <c r="C327" s="2" t="s">
        <v>74</v>
      </c>
      <c r="D327" s="2" t="s">
        <v>1130</v>
      </c>
      <c r="E327" s="2" t="s">
        <v>106</v>
      </c>
      <c r="F327" s="132">
        <v>217</v>
      </c>
      <c r="G327" s="132"/>
      <c r="H327" s="132">
        <f>124*1.75</f>
        <v>217</v>
      </c>
      <c r="I327" s="132"/>
      <c r="J327" s="132">
        <v>217</v>
      </c>
      <c r="K327" s="132">
        <f t="shared" si="41"/>
        <v>0</v>
      </c>
      <c r="L327" s="132">
        <f t="shared" si="37"/>
        <v>0</v>
      </c>
      <c r="M327" s="133"/>
      <c r="N327" s="133">
        <f t="shared" si="40"/>
        <v>0</v>
      </c>
      <c r="O327" s="134">
        <v>0</v>
      </c>
      <c r="P327" s="133"/>
      <c r="Q327" s="2" t="s">
        <v>1029</v>
      </c>
      <c r="R327" s="156">
        <f t="shared" si="38"/>
        <v>0</v>
      </c>
      <c r="S327" s="156">
        <f t="shared" si="39"/>
        <v>0</v>
      </c>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53">
        <v>0</v>
      </c>
      <c r="AT327" s="153">
        <v>0</v>
      </c>
      <c r="AU327" s="153">
        <v>0</v>
      </c>
      <c r="AV327" s="135"/>
      <c r="AW327" s="135"/>
      <c r="AX327" s="135"/>
      <c r="AY327" s="135"/>
      <c r="AZ327" s="135"/>
      <c r="BA327" s="135"/>
      <c r="BB327" s="135"/>
      <c r="BC327" s="135"/>
      <c r="BD327" s="135"/>
      <c r="BE327" s="135"/>
      <c r="BF327" s="135"/>
      <c r="BG327" s="135"/>
      <c r="BH327" s="135"/>
      <c r="BI327" s="2" t="s">
        <v>112</v>
      </c>
      <c r="BJ327" s="136">
        <v>45264</v>
      </c>
      <c r="BK327" s="2" t="s">
        <v>145</v>
      </c>
      <c r="BL327" s="136" t="s">
        <v>18</v>
      </c>
      <c r="BM327" s="136">
        <v>44931</v>
      </c>
      <c r="BN327" s="2" t="s">
        <v>1074</v>
      </c>
      <c r="BO327" s="2"/>
      <c r="BP327" s="136"/>
      <c r="BQ327" s="137" t="s">
        <v>134</v>
      </c>
      <c r="BR327" s="138"/>
    </row>
    <row r="328" spans="1:70" ht="12.75" customHeight="1" x14ac:dyDescent="0.2">
      <c r="A328" s="2">
        <v>1817</v>
      </c>
      <c r="B328" s="2" t="s">
        <v>39</v>
      </c>
      <c r="C328" s="2" t="s">
        <v>74</v>
      </c>
      <c r="D328" s="2" t="s">
        <v>1131</v>
      </c>
      <c r="E328" s="2" t="s">
        <v>90</v>
      </c>
      <c r="F328" s="132">
        <v>20000</v>
      </c>
      <c r="G328" s="132">
        <v>2</v>
      </c>
      <c r="H328" s="132">
        <v>13470.48</v>
      </c>
      <c r="I328" s="132">
        <v>13470.48</v>
      </c>
      <c r="J328" s="132">
        <v>13470.48</v>
      </c>
      <c r="K328" s="132">
        <f t="shared" si="41"/>
        <v>6529.52</v>
      </c>
      <c r="L328" s="132">
        <f t="shared" si="37"/>
        <v>0</v>
      </c>
      <c r="M328" s="133">
        <v>298</v>
      </c>
      <c r="N328" s="133">
        <f t="shared" si="40"/>
        <v>0</v>
      </c>
      <c r="O328" s="134">
        <v>0</v>
      </c>
      <c r="P328" s="133"/>
      <c r="Q328" s="2" t="s">
        <v>1029</v>
      </c>
      <c r="R328" s="156">
        <f t="shared" si="38"/>
        <v>0</v>
      </c>
      <c r="S328" s="156">
        <f t="shared" si="39"/>
        <v>0</v>
      </c>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53">
        <v>0</v>
      </c>
      <c r="AT328" s="153">
        <v>0</v>
      </c>
      <c r="AU328" s="153">
        <v>0</v>
      </c>
      <c r="AV328" s="135"/>
      <c r="AW328" s="135"/>
      <c r="AX328" s="135"/>
      <c r="AY328" s="135"/>
      <c r="AZ328" s="135"/>
      <c r="BA328" s="135">
        <v>0</v>
      </c>
      <c r="BB328" s="140">
        <f>(H328/1.18-AT328-AW328-AZ328)*0.1-BA328</f>
        <v>1141.5661016949152</v>
      </c>
      <c r="BC328" s="135"/>
      <c r="BD328" s="135"/>
      <c r="BE328" s="135">
        <f>(H328/1.18-AT328-AW328-AZ328-BD328)*0.1-AU328-AX328-BA328-BB328</f>
        <v>0</v>
      </c>
      <c r="BF328" s="135"/>
      <c r="BG328" s="135"/>
      <c r="BH328" s="135"/>
      <c r="BI328" s="2" t="s">
        <v>11</v>
      </c>
      <c r="BJ328" s="136">
        <v>45504</v>
      </c>
      <c r="BK328" s="2" t="s">
        <v>8</v>
      </c>
      <c r="BL328" s="136" t="s">
        <v>18</v>
      </c>
      <c r="BM328" s="136">
        <v>44931</v>
      </c>
      <c r="BN328" s="2" t="s">
        <v>1075</v>
      </c>
      <c r="BO328" s="2"/>
      <c r="BP328" s="136"/>
      <c r="BQ328" s="137" t="s">
        <v>119</v>
      </c>
      <c r="BR328" s="138"/>
    </row>
    <row r="329" spans="1:70" ht="12.75" customHeight="1" x14ac:dyDescent="0.2">
      <c r="A329" s="2">
        <v>1818</v>
      </c>
      <c r="B329" s="2" t="s">
        <v>39</v>
      </c>
      <c r="C329" s="2" t="s">
        <v>74</v>
      </c>
      <c r="D329" s="2" t="s">
        <v>1132</v>
      </c>
      <c r="E329" s="2" t="s">
        <v>106</v>
      </c>
      <c r="F329" s="132">
        <v>2614.5</v>
      </c>
      <c r="G329" s="132"/>
      <c r="H329" s="132">
        <f>1494*1.75</f>
        <v>2614.5</v>
      </c>
      <c r="I329" s="132"/>
      <c r="J329" s="132">
        <v>2614.5</v>
      </c>
      <c r="K329" s="132">
        <f t="shared" si="41"/>
        <v>0</v>
      </c>
      <c r="L329" s="132">
        <f t="shared" si="37"/>
        <v>0</v>
      </c>
      <c r="M329" s="133"/>
      <c r="N329" s="133">
        <f t="shared" si="40"/>
        <v>0</v>
      </c>
      <c r="O329" s="134">
        <v>0</v>
      </c>
      <c r="P329" s="133"/>
      <c r="Q329" s="2" t="s">
        <v>1030</v>
      </c>
      <c r="R329" s="156">
        <f t="shared" si="38"/>
        <v>0</v>
      </c>
      <c r="S329" s="156">
        <f t="shared" si="39"/>
        <v>0</v>
      </c>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53">
        <v>0</v>
      </c>
      <c r="AT329" s="153">
        <v>0</v>
      </c>
      <c r="AU329" s="153">
        <v>0</v>
      </c>
      <c r="AV329" s="135"/>
      <c r="AW329" s="135"/>
      <c r="AX329" s="135"/>
      <c r="AY329" s="135"/>
      <c r="AZ329" s="135"/>
      <c r="BA329" s="135"/>
      <c r="BB329" s="135"/>
      <c r="BC329" s="135"/>
      <c r="BD329" s="135"/>
      <c r="BE329" s="135"/>
      <c r="BF329" s="135"/>
      <c r="BG329" s="135"/>
      <c r="BH329" s="135"/>
      <c r="BI329" s="2" t="s">
        <v>112</v>
      </c>
      <c r="BJ329" s="136">
        <v>45272</v>
      </c>
      <c r="BK329" s="2" t="s">
        <v>145</v>
      </c>
      <c r="BL329" s="136" t="s">
        <v>18</v>
      </c>
      <c r="BM329" s="136">
        <v>44931</v>
      </c>
      <c r="BN329" s="2" t="s">
        <v>1076</v>
      </c>
      <c r="BO329" s="2"/>
      <c r="BP329" s="136"/>
      <c r="BQ329" s="137" t="s">
        <v>134</v>
      </c>
      <c r="BR329" s="138"/>
    </row>
    <row r="330" spans="1:70" ht="12.75" customHeight="1" x14ac:dyDescent="0.2">
      <c r="A330" s="2">
        <v>1819</v>
      </c>
      <c r="B330" s="2" t="s">
        <v>39</v>
      </c>
      <c r="C330" s="2" t="s">
        <v>74</v>
      </c>
      <c r="D330" s="2" t="s">
        <v>1133</v>
      </c>
      <c r="E330" s="2" t="s">
        <v>90</v>
      </c>
      <c r="F330" s="132">
        <v>140000</v>
      </c>
      <c r="G330" s="132">
        <v>2</v>
      </c>
      <c r="H330" s="132">
        <f>100000+24095.28</f>
        <v>124095.28</v>
      </c>
      <c r="I330" s="132">
        <f>100000+24095.28</f>
        <v>124095.28</v>
      </c>
      <c r="J330" s="132">
        <f>15254.24+AY330+3675.55+20419.73</f>
        <v>124095.28</v>
      </c>
      <c r="K330" s="132">
        <f t="shared" si="41"/>
        <v>15904.720000000001</v>
      </c>
      <c r="L330" s="132">
        <f t="shared" si="37"/>
        <v>0</v>
      </c>
      <c r="M330" s="133">
        <v>1680.5</v>
      </c>
      <c r="N330" s="133">
        <f t="shared" si="40"/>
        <v>0</v>
      </c>
      <c r="O330" s="134">
        <v>0</v>
      </c>
      <c r="P330" s="133"/>
      <c r="Q330" s="2" t="s">
        <v>1030</v>
      </c>
      <c r="R330" s="156">
        <f t="shared" si="38"/>
        <v>0</v>
      </c>
      <c r="S330" s="156">
        <f t="shared" si="39"/>
        <v>0</v>
      </c>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53">
        <v>0</v>
      </c>
      <c r="AT330" s="153">
        <v>0</v>
      </c>
      <c r="AU330" s="153">
        <v>0</v>
      </c>
      <c r="AV330" s="135"/>
      <c r="AW330" s="135"/>
      <c r="AX330" s="135"/>
      <c r="AY330" s="135">
        <v>84745.76</v>
      </c>
      <c r="AZ330" s="135">
        <v>9167.6299999999992</v>
      </c>
      <c r="BA330" s="135">
        <f>100000/1.18*0.8*0.1</f>
        <v>6779.6610169491541</v>
      </c>
      <c r="BB330" s="140">
        <f>(H330/1.18-AT330-AW330-AZ330)*0.1-BA330</f>
        <v>2820.1251355932181</v>
      </c>
      <c r="BC330" s="135"/>
      <c r="BD330" s="135"/>
      <c r="BE330" s="135">
        <f>(H330/1.18-AT330-AW330-AZ330-BD330)*0.1-AU330-AX330-BA330-BB330</f>
        <v>0</v>
      </c>
      <c r="BF330" s="135"/>
      <c r="BG330" s="135"/>
      <c r="BH330" s="135"/>
      <c r="BI330" s="2" t="s">
        <v>11</v>
      </c>
      <c r="BJ330" s="136">
        <v>45621</v>
      </c>
      <c r="BK330" s="2" t="s">
        <v>109</v>
      </c>
      <c r="BL330" s="136" t="s">
        <v>18</v>
      </c>
      <c r="BM330" s="136">
        <v>44931</v>
      </c>
      <c r="BN330" s="2" t="s">
        <v>1077</v>
      </c>
      <c r="BO330" s="2"/>
      <c r="BP330" s="136" t="s">
        <v>3380</v>
      </c>
      <c r="BQ330" s="137" t="s">
        <v>119</v>
      </c>
      <c r="BR330" s="138"/>
    </row>
    <row r="331" spans="1:70" ht="12.75" customHeight="1" x14ac:dyDescent="0.2">
      <c r="A331" s="2">
        <v>1820</v>
      </c>
      <c r="B331" s="2" t="s">
        <v>39</v>
      </c>
      <c r="C331" s="2" t="s">
        <v>74</v>
      </c>
      <c r="D331" s="2" t="s">
        <v>1134</v>
      </c>
      <c r="E331" s="2" t="s">
        <v>106</v>
      </c>
      <c r="F331" s="132">
        <v>0</v>
      </c>
      <c r="G331" s="132" t="s">
        <v>3654</v>
      </c>
      <c r="H331" s="132"/>
      <c r="I331" s="132"/>
      <c r="J331" s="132"/>
      <c r="K331" s="132">
        <f t="shared" si="41"/>
        <v>0</v>
      </c>
      <c r="L331" s="132">
        <f t="shared" ref="L331:L394" si="42">H331-J331</f>
        <v>0</v>
      </c>
      <c r="M331" s="133"/>
      <c r="N331" s="133">
        <f t="shared" si="40"/>
        <v>0</v>
      </c>
      <c r="O331" s="134">
        <v>2</v>
      </c>
      <c r="P331" s="133"/>
      <c r="Q331" s="2" t="s">
        <v>1031</v>
      </c>
      <c r="R331" s="156">
        <f t="shared" ref="R331:R394" si="43">T331+V331+X331+Z331+AB331+AD331+AF331+AH331+AJ331+AL331+AN331+AP331</f>
        <v>0</v>
      </c>
      <c r="S331" s="156">
        <f t="shared" ref="S331:S394" si="44">U331+W331+Y331+AA331+AC331+AE331+AG331+AI331+AK331+AM331+AO331+AQ331</f>
        <v>0</v>
      </c>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53">
        <v>0</v>
      </c>
      <c r="AT331" s="153">
        <v>0</v>
      </c>
      <c r="AU331" s="153">
        <v>0</v>
      </c>
      <c r="AV331" s="135"/>
      <c r="AW331" s="135"/>
      <c r="AX331" s="135"/>
      <c r="AY331" s="135"/>
      <c r="AZ331" s="135"/>
      <c r="BA331" s="135"/>
      <c r="BB331" s="135"/>
      <c r="BC331" s="135"/>
      <c r="BD331" s="135"/>
      <c r="BE331" s="135"/>
      <c r="BF331" s="135"/>
      <c r="BG331" s="135"/>
      <c r="BH331" s="135"/>
      <c r="BI331" s="2" t="s">
        <v>112</v>
      </c>
      <c r="BJ331" s="136"/>
      <c r="BK331" s="2">
        <v>0</v>
      </c>
      <c r="BL331" s="136" t="s">
        <v>18</v>
      </c>
      <c r="BM331" s="136">
        <v>44931</v>
      </c>
      <c r="BN331" s="2" t="s">
        <v>1078</v>
      </c>
      <c r="BO331" s="2"/>
      <c r="BP331" s="136"/>
      <c r="BQ331" s="137"/>
      <c r="BR331" s="138"/>
    </row>
    <row r="332" spans="1:70" ht="12.75" customHeight="1" x14ac:dyDescent="0.2">
      <c r="A332" s="2">
        <v>1821</v>
      </c>
      <c r="B332" s="2" t="s">
        <v>39</v>
      </c>
      <c r="C332" s="2" t="s">
        <v>74</v>
      </c>
      <c r="D332" s="2" t="s">
        <v>1135</v>
      </c>
      <c r="E332" s="2" t="s">
        <v>90</v>
      </c>
      <c r="F332" s="132">
        <v>5000</v>
      </c>
      <c r="G332" s="132">
        <v>2</v>
      </c>
      <c r="H332" s="132">
        <v>1922.26</v>
      </c>
      <c r="I332" s="132">
        <v>1922.26</v>
      </c>
      <c r="J332" s="132">
        <v>1922.26</v>
      </c>
      <c r="K332" s="132">
        <f t="shared" si="41"/>
        <v>3077.74</v>
      </c>
      <c r="L332" s="132">
        <f t="shared" si="42"/>
        <v>0</v>
      </c>
      <c r="M332" s="133">
        <v>1E-3</v>
      </c>
      <c r="N332" s="133">
        <f t="shared" si="40"/>
        <v>0</v>
      </c>
      <c r="O332" s="134">
        <v>0</v>
      </c>
      <c r="P332" s="133"/>
      <c r="Q332" s="2" t="s">
        <v>1031</v>
      </c>
      <c r="R332" s="156">
        <f t="shared" si="43"/>
        <v>0</v>
      </c>
      <c r="S332" s="156">
        <f t="shared" si="44"/>
        <v>0</v>
      </c>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53">
        <v>0</v>
      </c>
      <c r="AT332" s="153">
        <v>0</v>
      </c>
      <c r="AU332" s="153">
        <v>0</v>
      </c>
      <c r="AV332" s="135"/>
      <c r="AW332" s="135"/>
      <c r="AX332" s="135"/>
      <c r="AY332" s="135"/>
      <c r="AZ332" s="135"/>
      <c r="BA332" s="135">
        <f>IF(BK332="Принят",(I332/1.18-AW332-AZ332)*0.1,I332/1.18*0.8*0.1)</f>
        <v>162.9033898305085</v>
      </c>
      <c r="BB332" s="135">
        <f>(I332/1.18-AT332-AW332-AZ332)*0.1-BA332</f>
        <v>0</v>
      </c>
      <c r="BC332" s="135"/>
      <c r="BD332" s="135"/>
      <c r="BE332" s="135">
        <f>(H332/1.18-AT332-AW332-AZ332-BD332)*0.1-AU332-AX332-BA332-BB332</f>
        <v>0</v>
      </c>
      <c r="BF332" s="135"/>
      <c r="BG332" s="135"/>
      <c r="BH332" s="135"/>
      <c r="BI332" s="2" t="s">
        <v>11</v>
      </c>
      <c r="BJ332" s="136">
        <v>45351</v>
      </c>
      <c r="BK332" s="2" t="s">
        <v>109</v>
      </c>
      <c r="BL332" s="136" t="s">
        <v>18</v>
      </c>
      <c r="BM332" s="136">
        <v>44931</v>
      </c>
      <c r="BN332" s="2" t="s">
        <v>1079</v>
      </c>
      <c r="BO332" s="2"/>
      <c r="BP332" s="136" t="s">
        <v>616</v>
      </c>
      <c r="BQ332" s="137" t="s">
        <v>119</v>
      </c>
      <c r="BR332" s="138"/>
    </row>
    <row r="333" spans="1:70" ht="12.75" customHeight="1" x14ac:dyDescent="0.2">
      <c r="A333" s="2">
        <v>1822</v>
      </c>
      <c r="B333" s="2" t="s">
        <v>39</v>
      </c>
      <c r="C333" s="2" t="s">
        <v>94</v>
      </c>
      <c r="D333" s="2" t="s">
        <v>1136</v>
      </c>
      <c r="E333" s="2" t="s">
        <v>106</v>
      </c>
      <c r="F333" s="132">
        <v>574.875</v>
      </c>
      <c r="G333" s="132"/>
      <c r="H333" s="132">
        <f>328.5*1.75</f>
        <v>574.875</v>
      </c>
      <c r="I333" s="132"/>
      <c r="J333" s="132">
        <v>574.875</v>
      </c>
      <c r="K333" s="132">
        <f t="shared" si="41"/>
        <v>0</v>
      </c>
      <c r="L333" s="132">
        <f t="shared" si="42"/>
        <v>0</v>
      </c>
      <c r="M333" s="133"/>
      <c r="N333" s="133">
        <f t="shared" si="40"/>
        <v>0</v>
      </c>
      <c r="O333" s="134">
        <v>0</v>
      </c>
      <c r="P333" s="133"/>
      <c r="Q333" s="2" t="s">
        <v>1032</v>
      </c>
      <c r="R333" s="156">
        <f t="shared" si="43"/>
        <v>0</v>
      </c>
      <c r="S333" s="156">
        <f t="shared" si="44"/>
        <v>0</v>
      </c>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53">
        <v>0</v>
      </c>
      <c r="AT333" s="153">
        <v>0</v>
      </c>
      <c r="AU333" s="153">
        <v>0</v>
      </c>
      <c r="AV333" s="135"/>
      <c r="AW333" s="135"/>
      <c r="AX333" s="135"/>
      <c r="AY333" s="135"/>
      <c r="AZ333" s="135"/>
      <c r="BA333" s="135"/>
      <c r="BB333" s="135"/>
      <c r="BC333" s="135"/>
      <c r="BD333" s="135"/>
      <c r="BE333" s="135"/>
      <c r="BF333" s="135"/>
      <c r="BG333" s="135"/>
      <c r="BH333" s="135"/>
      <c r="BI333" s="2" t="s">
        <v>112</v>
      </c>
      <c r="BJ333" s="136">
        <v>45264</v>
      </c>
      <c r="BK333" s="2" t="s">
        <v>145</v>
      </c>
      <c r="BL333" s="136" t="s">
        <v>18</v>
      </c>
      <c r="BM333" s="136">
        <v>44931</v>
      </c>
      <c r="BN333" s="2" t="s">
        <v>1080</v>
      </c>
      <c r="BO333" s="2"/>
      <c r="BP333" s="136"/>
      <c r="BQ333" s="137" t="s">
        <v>134</v>
      </c>
      <c r="BR333" s="138"/>
    </row>
    <row r="334" spans="1:70" ht="12.75" customHeight="1" x14ac:dyDescent="0.2">
      <c r="A334" s="2">
        <v>1823</v>
      </c>
      <c r="B334" s="2" t="s">
        <v>39</v>
      </c>
      <c r="C334" s="2" t="s">
        <v>94</v>
      </c>
      <c r="D334" s="2" t="s">
        <v>1137</v>
      </c>
      <c r="E334" s="2" t="s">
        <v>90</v>
      </c>
      <c r="F334" s="132">
        <v>55000</v>
      </c>
      <c r="G334" s="132">
        <v>2</v>
      </c>
      <c r="H334" s="132">
        <f>R334</f>
        <v>140000</v>
      </c>
      <c r="I334" s="132"/>
      <c r="J334" s="132">
        <f>S334+BC334</f>
        <v>21355.93</v>
      </c>
      <c r="K334" s="132">
        <f t="shared" si="41"/>
        <v>33644.07</v>
      </c>
      <c r="L334" s="132">
        <f t="shared" si="42"/>
        <v>118644.07</v>
      </c>
      <c r="M334" s="133"/>
      <c r="N334" s="133">
        <f t="shared" si="40"/>
        <v>33644.07</v>
      </c>
      <c r="O334" s="134">
        <v>1</v>
      </c>
      <c r="P334" s="133"/>
      <c r="Q334" s="2" t="s">
        <v>1032</v>
      </c>
      <c r="R334" s="156">
        <f t="shared" si="43"/>
        <v>140000</v>
      </c>
      <c r="S334" s="156">
        <f t="shared" si="44"/>
        <v>21355.93</v>
      </c>
      <c r="T334" s="133"/>
      <c r="U334" s="133"/>
      <c r="V334" s="133">
        <v>100000</v>
      </c>
      <c r="W334" s="133"/>
      <c r="X334" s="133">
        <v>40000</v>
      </c>
      <c r="Y334" s="133">
        <v>15254.24</v>
      </c>
      <c r="Z334" s="133"/>
      <c r="AA334" s="133">
        <v>6101.69</v>
      </c>
      <c r="AB334" s="133"/>
      <c r="AC334" s="133"/>
      <c r="AD334" s="133"/>
      <c r="AE334" s="133"/>
      <c r="AF334" s="133"/>
      <c r="AG334" s="133"/>
      <c r="AH334" s="133"/>
      <c r="AI334" s="133"/>
      <c r="AJ334" s="133"/>
      <c r="AK334" s="133"/>
      <c r="AL334" s="133"/>
      <c r="AM334" s="133"/>
      <c r="AN334" s="133"/>
      <c r="AO334" s="133"/>
      <c r="AP334" s="133"/>
      <c r="AQ334" s="133"/>
      <c r="AR334" s="133"/>
      <c r="AS334" s="153">
        <v>0</v>
      </c>
      <c r="AT334" s="153">
        <v>0</v>
      </c>
      <c r="AU334" s="153">
        <v>0</v>
      </c>
      <c r="AV334" s="135"/>
      <c r="AW334" s="135"/>
      <c r="AX334" s="135"/>
      <c r="AY334" s="135"/>
      <c r="AZ334" s="135"/>
      <c r="BA334" s="135"/>
      <c r="BB334" s="135"/>
      <c r="BC334" s="135"/>
      <c r="BD334" s="135"/>
      <c r="BE334" s="135"/>
      <c r="BF334" s="135"/>
      <c r="BG334" s="135"/>
      <c r="BH334" s="135"/>
      <c r="BI334" s="2" t="s">
        <v>11</v>
      </c>
      <c r="BJ334" s="136"/>
      <c r="BK334" s="2">
        <v>80</v>
      </c>
      <c r="BL334" s="136" t="s">
        <v>18</v>
      </c>
      <c r="BM334" s="136">
        <v>44931</v>
      </c>
      <c r="BN334" s="2" t="s">
        <v>1081</v>
      </c>
      <c r="BO334" s="2"/>
      <c r="BP334" s="136"/>
      <c r="BQ334" s="137"/>
      <c r="BR334" s="138"/>
    </row>
    <row r="335" spans="1:70" ht="12.75" customHeight="1" x14ac:dyDescent="0.2">
      <c r="A335" s="2">
        <v>1824</v>
      </c>
      <c r="B335" s="2" t="s">
        <v>39</v>
      </c>
      <c r="C335" s="2" t="s">
        <v>74</v>
      </c>
      <c r="D335" s="2" t="s">
        <v>1138</v>
      </c>
      <c r="E335" s="2" t="s">
        <v>106</v>
      </c>
      <c r="F335" s="132">
        <v>320.25</v>
      </c>
      <c r="G335" s="132"/>
      <c r="H335" s="132">
        <f>183*1.75</f>
        <v>320.25</v>
      </c>
      <c r="I335" s="132"/>
      <c r="J335" s="132">
        <v>320.25</v>
      </c>
      <c r="K335" s="132">
        <f t="shared" si="41"/>
        <v>0</v>
      </c>
      <c r="L335" s="132">
        <f t="shared" si="42"/>
        <v>0</v>
      </c>
      <c r="M335" s="133"/>
      <c r="N335" s="133">
        <f t="shared" si="40"/>
        <v>0</v>
      </c>
      <c r="O335" s="134">
        <v>0</v>
      </c>
      <c r="P335" s="133"/>
      <c r="Q335" s="2" t="s">
        <v>1033</v>
      </c>
      <c r="R335" s="156">
        <f t="shared" si="43"/>
        <v>0</v>
      </c>
      <c r="S335" s="156">
        <f t="shared" si="44"/>
        <v>0</v>
      </c>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53">
        <v>0</v>
      </c>
      <c r="AT335" s="153">
        <v>0</v>
      </c>
      <c r="AU335" s="153">
        <v>0</v>
      </c>
      <c r="AV335" s="135">
        <v>0</v>
      </c>
      <c r="AW335" s="135">
        <v>0</v>
      </c>
      <c r="AX335" s="135">
        <v>0</v>
      </c>
      <c r="AY335" s="135"/>
      <c r="AZ335" s="135"/>
      <c r="BA335" s="135"/>
      <c r="BB335" s="135"/>
      <c r="BC335" s="135"/>
      <c r="BD335" s="135"/>
      <c r="BE335" s="135"/>
      <c r="BF335" s="135"/>
      <c r="BG335" s="135"/>
      <c r="BH335" s="135"/>
      <c r="BI335" s="2" t="s">
        <v>112</v>
      </c>
      <c r="BJ335" s="136">
        <v>45272</v>
      </c>
      <c r="BK335" s="2" t="s">
        <v>145</v>
      </c>
      <c r="BL335" s="136" t="s">
        <v>18</v>
      </c>
      <c r="BM335" s="136">
        <v>44931</v>
      </c>
      <c r="BN335" s="2" t="s">
        <v>1082</v>
      </c>
      <c r="BO335" s="2"/>
      <c r="BP335" s="136"/>
      <c r="BQ335" s="137" t="s">
        <v>134</v>
      </c>
      <c r="BR335" s="138"/>
    </row>
    <row r="336" spans="1:70" ht="12.75" customHeight="1" x14ac:dyDescent="0.2">
      <c r="A336" s="2">
        <v>1825</v>
      </c>
      <c r="B336" s="2" t="s">
        <v>39</v>
      </c>
      <c r="C336" s="2" t="s">
        <v>74</v>
      </c>
      <c r="D336" s="2" t="s">
        <v>1139</v>
      </c>
      <c r="E336" s="2" t="s">
        <v>90</v>
      </c>
      <c r="F336" s="132">
        <v>10000</v>
      </c>
      <c r="G336" s="132"/>
      <c r="H336" s="132">
        <v>6098.52</v>
      </c>
      <c r="I336" s="132"/>
      <c r="J336" s="132">
        <v>6098.52</v>
      </c>
      <c r="K336" s="132">
        <f t="shared" si="41"/>
        <v>3901.4799999999996</v>
      </c>
      <c r="L336" s="132">
        <f t="shared" si="42"/>
        <v>0</v>
      </c>
      <c r="M336" s="133">
        <v>149</v>
      </c>
      <c r="N336" s="133">
        <f t="shared" si="40"/>
        <v>0</v>
      </c>
      <c r="O336" s="134">
        <v>0</v>
      </c>
      <c r="P336" s="133"/>
      <c r="Q336" s="2" t="s">
        <v>1033</v>
      </c>
      <c r="R336" s="156">
        <f t="shared" si="43"/>
        <v>0</v>
      </c>
      <c r="S336" s="156">
        <f t="shared" si="44"/>
        <v>0</v>
      </c>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53">
        <v>0</v>
      </c>
      <c r="AT336" s="153">
        <v>0</v>
      </c>
      <c r="AU336" s="153">
        <v>0</v>
      </c>
      <c r="AV336" s="135">
        <v>0</v>
      </c>
      <c r="AW336" s="135">
        <v>0</v>
      </c>
      <c r="AX336" s="142">
        <f>(H336/1.18-AT336-AW336)*0.1</f>
        <v>516.82372881355946</v>
      </c>
      <c r="AY336" s="142"/>
      <c r="AZ336" s="142"/>
      <c r="BA336" s="142"/>
      <c r="BB336" s="142"/>
      <c r="BC336" s="142"/>
      <c r="BD336" s="142"/>
      <c r="BE336" s="142"/>
      <c r="BF336" s="142"/>
      <c r="BG336" s="135"/>
      <c r="BH336" s="135"/>
      <c r="BI336" s="2" t="s">
        <v>11</v>
      </c>
      <c r="BJ336" s="136">
        <v>45289</v>
      </c>
      <c r="BK336" s="2" t="s">
        <v>8</v>
      </c>
      <c r="BL336" s="136" t="s">
        <v>18</v>
      </c>
      <c r="BM336" s="136">
        <v>44931</v>
      </c>
      <c r="BN336" s="2" t="s">
        <v>1083</v>
      </c>
      <c r="BO336" s="2"/>
      <c r="BP336" s="136"/>
      <c r="BQ336" s="137" t="s">
        <v>119</v>
      </c>
      <c r="BR336" s="138"/>
    </row>
    <row r="337" spans="1:70" ht="12.75" customHeight="1" x14ac:dyDescent="0.2">
      <c r="A337" s="2">
        <v>1826</v>
      </c>
      <c r="B337" s="2" t="s">
        <v>39</v>
      </c>
      <c r="C337" s="2" t="s">
        <v>94</v>
      </c>
      <c r="D337" s="2" t="s">
        <v>1313</v>
      </c>
      <c r="E337" s="2" t="s">
        <v>106</v>
      </c>
      <c r="F337" s="132">
        <v>0</v>
      </c>
      <c r="G337" s="132">
        <v>2</v>
      </c>
      <c r="H337" s="132"/>
      <c r="I337" s="132"/>
      <c r="J337" s="132"/>
      <c r="K337" s="132">
        <f t="shared" si="41"/>
        <v>0</v>
      </c>
      <c r="L337" s="132">
        <f t="shared" si="42"/>
        <v>0</v>
      </c>
      <c r="M337" s="133"/>
      <c r="N337" s="133">
        <f t="shared" si="40"/>
        <v>0</v>
      </c>
      <c r="O337" s="134">
        <v>2</v>
      </c>
      <c r="P337" s="133"/>
      <c r="Q337" s="2" t="s">
        <v>1018</v>
      </c>
      <c r="R337" s="156">
        <f t="shared" si="43"/>
        <v>0</v>
      </c>
      <c r="S337" s="156">
        <f t="shared" si="44"/>
        <v>0</v>
      </c>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53">
        <v>0</v>
      </c>
      <c r="AT337" s="153">
        <v>0</v>
      </c>
      <c r="AU337" s="153">
        <v>0</v>
      </c>
      <c r="AV337" s="135"/>
      <c r="AW337" s="135"/>
      <c r="AX337" s="135"/>
      <c r="AY337" s="135"/>
      <c r="AZ337" s="135"/>
      <c r="BA337" s="135"/>
      <c r="BB337" s="135"/>
      <c r="BC337" s="135"/>
      <c r="BD337" s="135"/>
      <c r="BE337" s="135"/>
      <c r="BF337" s="135"/>
      <c r="BG337" s="135"/>
      <c r="BH337" s="135"/>
      <c r="BI337" s="2" t="s">
        <v>112</v>
      </c>
      <c r="BJ337" s="136"/>
      <c r="BK337" s="2">
        <v>0</v>
      </c>
      <c r="BL337" s="136" t="s">
        <v>18</v>
      </c>
      <c r="BM337" s="136">
        <v>44931</v>
      </c>
      <c r="BN337" s="2" t="s">
        <v>1314</v>
      </c>
      <c r="BO337" s="2"/>
      <c r="BP337" s="136"/>
      <c r="BQ337" s="137"/>
      <c r="BR337" s="138"/>
    </row>
    <row r="338" spans="1:70" ht="12.75" customHeight="1" x14ac:dyDescent="0.2">
      <c r="A338" s="2">
        <v>1827</v>
      </c>
      <c r="B338" s="2" t="s">
        <v>31</v>
      </c>
      <c r="C338" s="2" t="s">
        <v>38</v>
      </c>
      <c r="D338" s="2" t="s">
        <v>1141</v>
      </c>
      <c r="E338" s="2" t="s">
        <v>110</v>
      </c>
      <c r="F338" s="150">
        <f>451*1.75</f>
        <v>789.25</v>
      </c>
      <c r="G338" s="150"/>
      <c r="H338" s="150">
        <f>451*1.75</f>
        <v>789.25</v>
      </c>
      <c r="I338" s="150"/>
      <c r="J338" s="132">
        <v>789.25</v>
      </c>
      <c r="K338" s="132">
        <f t="shared" si="41"/>
        <v>0</v>
      </c>
      <c r="L338" s="132">
        <f t="shared" si="42"/>
        <v>0</v>
      </c>
      <c r="M338" s="133"/>
      <c r="N338" s="133">
        <f t="shared" si="40"/>
        <v>0</v>
      </c>
      <c r="O338" s="134">
        <v>0</v>
      </c>
      <c r="P338" s="133"/>
      <c r="Q338" s="2" t="s">
        <v>1239</v>
      </c>
      <c r="R338" s="156">
        <f t="shared" si="43"/>
        <v>0</v>
      </c>
      <c r="S338" s="156">
        <f t="shared" si="44"/>
        <v>0</v>
      </c>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53">
        <v>0</v>
      </c>
      <c r="AT338" s="153">
        <v>0</v>
      </c>
      <c r="AU338" s="153">
        <v>0</v>
      </c>
      <c r="AV338" s="135"/>
      <c r="AW338" s="135"/>
      <c r="AX338" s="135"/>
      <c r="AY338" s="135"/>
      <c r="AZ338" s="135"/>
      <c r="BA338" s="135"/>
      <c r="BB338" s="135"/>
      <c r="BC338" s="135"/>
      <c r="BD338" s="135"/>
      <c r="BE338" s="135"/>
      <c r="BF338" s="135"/>
      <c r="BG338" s="135"/>
      <c r="BH338" s="135"/>
      <c r="BI338" s="2" t="s">
        <v>112</v>
      </c>
      <c r="BJ338" s="136">
        <v>45146</v>
      </c>
      <c r="BK338" s="2" t="s">
        <v>145</v>
      </c>
      <c r="BL338" s="136" t="s">
        <v>113</v>
      </c>
      <c r="BM338" s="136">
        <v>44935</v>
      </c>
      <c r="BN338" s="2" t="s">
        <v>1170</v>
      </c>
      <c r="BO338" s="2"/>
      <c r="BP338" s="136"/>
      <c r="BQ338" s="137" t="s">
        <v>134</v>
      </c>
      <c r="BR338" s="138"/>
    </row>
    <row r="339" spans="1:70" ht="12.75" customHeight="1" x14ac:dyDescent="0.2">
      <c r="A339" s="2">
        <v>1828</v>
      </c>
      <c r="B339" s="2" t="s">
        <v>31</v>
      </c>
      <c r="C339" s="2" t="s">
        <v>38</v>
      </c>
      <c r="D339" s="2" t="s">
        <v>1142</v>
      </c>
      <c r="E339" s="2" t="s">
        <v>71</v>
      </c>
      <c r="F339" s="132">
        <v>40000</v>
      </c>
      <c r="G339" s="132"/>
      <c r="H339" s="132">
        <f>40000+26107</f>
        <v>66107</v>
      </c>
      <c r="I339" s="132">
        <f>H339</f>
        <v>66107</v>
      </c>
      <c r="J339" s="132">
        <f>6101.6949+AS339+AV339+26106.9951</f>
        <v>66107</v>
      </c>
      <c r="K339" s="132">
        <f t="shared" si="41"/>
        <v>-26107</v>
      </c>
      <c r="L339" s="132">
        <f t="shared" si="42"/>
        <v>0</v>
      </c>
      <c r="M339" s="133">
        <v>543</v>
      </c>
      <c r="N339" s="133">
        <f t="shared" si="40"/>
        <v>0</v>
      </c>
      <c r="O339" s="134">
        <v>0</v>
      </c>
      <c r="P339" s="133"/>
      <c r="Q339" s="2" t="s">
        <v>1239</v>
      </c>
      <c r="R339" s="156">
        <f t="shared" si="43"/>
        <v>0</v>
      </c>
      <c r="S339" s="156">
        <f t="shared" si="44"/>
        <v>0</v>
      </c>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53">
        <v>0</v>
      </c>
      <c r="AT339" s="153">
        <v>0</v>
      </c>
      <c r="AU339" s="153">
        <v>0</v>
      </c>
      <c r="AV339" s="135">
        <v>33898.31</v>
      </c>
      <c r="AW339" s="135">
        <v>1529.7499999999964</v>
      </c>
      <c r="AX339" s="135">
        <f>(I339/1.18-AT339-AW339)*0.1</f>
        <v>5449.3131355932219</v>
      </c>
      <c r="AY339" s="135"/>
      <c r="AZ339" s="135"/>
      <c r="BA339" s="135"/>
      <c r="BB339" s="135"/>
      <c r="BC339" s="135"/>
      <c r="BD339" s="135"/>
      <c r="BE339" s="135">
        <f>(H339/1.18-AT339-AW339-AZ339-BD339)*0.1-AU339-AX339-BA339-BB339</f>
        <v>0</v>
      </c>
      <c r="BF339" s="135"/>
      <c r="BG339" s="135"/>
      <c r="BH339" s="135"/>
      <c r="BI339" s="2" t="s">
        <v>11</v>
      </c>
      <c r="BJ339" s="136">
        <v>45289</v>
      </c>
      <c r="BK339" s="2" t="s">
        <v>8</v>
      </c>
      <c r="BL339" s="136" t="s">
        <v>113</v>
      </c>
      <c r="BM339" s="136">
        <v>44935</v>
      </c>
      <c r="BN339" s="2" t="s">
        <v>1171</v>
      </c>
      <c r="BO339" s="2"/>
      <c r="BP339" s="136"/>
      <c r="BQ339" s="137" t="s">
        <v>119</v>
      </c>
      <c r="BR339" s="138"/>
    </row>
    <row r="340" spans="1:70" ht="12.75" customHeight="1" x14ac:dyDescent="0.2">
      <c r="A340" s="2">
        <v>1829</v>
      </c>
      <c r="B340" s="2" t="s">
        <v>31</v>
      </c>
      <c r="C340" s="2" t="s">
        <v>38</v>
      </c>
      <c r="D340" s="2" t="s">
        <v>1143</v>
      </c>
      <c r="E340" s="2" t="s">
        <v>110</v>
      </c>
      <c r="F340" s="150">
        <f>595*1.75</f>
        <v>1041.25</v>
      </c>
      <c r="G340" s="150"/>
      <c r="H340" s="150">
        <f>595*1.75</f>
        <v>1041.25</v>
      </c>
      <c r="I340" s="150"/>
      <c r="J340" s="132">
        <f>158.835+882.415</f>
        <v>1041.25</v>
      </c>
      <c r="K340" s="132">
        <f t="shared" si="41"/>
        <v>0</v>
      </c>
      <c r="L340" s="132">
        <f t="shared" si="42"/>
        <v>0</v>
      </c>
      <c r="M340" s="133"/>
      <c r="N340" s="133">
        <f t="shared" si="40"/>
        <v>0</v>
      </c>
      <c r="O340" s="134">
        <v>0</v>
      </c>
      <c r="P340" s="133"/>
      <c r="Q340" s="2" t="s">
        <v>1240</v>
      </c>
      <c r="R340" s="156">
        <f t="shared" si="43"/>
        <v>0</v>
      </c>
      <c r="S340" s="156">
        <f t="shared" si="44"/>
        <v>0</v>
      </c>
      <c r="T340" s="133"/>
      <c r="U340" s="133"/>
      <c r="V340" s="133"/>
      <c r="W340" s="133"/>
      <c r="X340" s="133"/>
      <c r="Y340" s="133"/>
      <c r="Z340" s="133"/>
      <c r="AA340" s="133"/>
      <c r="AB340" s="133"/>
      <c r="AC340" s="133"/>
      <c r="AD340" s="133"/>
      <c r="AE340" s="133"/>
      <c r="AF340" s="133"/>
      <c r="AG340" s="133"/>
      <c r="AH340" s="133"/>
      <c r="AI340" s="133"/>
      <c r="AJ340" s="133"/>
      <c r="AK340" s="133"/>
      <c r="AL340" s="133"/>
      <c r="AM340" s="133"/>
      <c r="AN340" s="133"/>
      <c r="AO340" s="133"/>
      <c r="AP340" s="133"/>
      <c r="AQ340" s="133"/>
      <c r="AR340" s="133"/>
      <c r="AS340" s="153">
        <v>0</v>
      </c>
      <c r="AT340" s="153">
        <v>0</v>
      </c>
      <c r="AU340" s="153">
        <v>0</v>
      </c>
      <c r="AV340" s="135"/>
      <c r="AW340" s="135"/>
      <c r="AX340" s="135"/>
      <c r="AY340" s="135"/>
      <c r="AZ340" s="135"/>
      <c r="BA340" s="135"/>
      <c r="BB340" s="135"/>
      <c r="BC340" s="135"/>
      <c r="BD340" s="135"/>
      <c r="BE340" s="135"/>
      <c r="BF340" s="135"/>
      <c r="BG340" s="135"/>
      <c r="BH340" s="135"/>
      <c r="BI340" s="2" t="s">
        <v>112</v>
      </c>
      <c r="BJ340" s="136">
        <v>45146</v>
      </c>
      <c r="BK340" s="2" t="s">
        <v>145</v>
      </c>
      <c r="BL340" s="136" t="s">
        <v>113</v>
      </c>
      <c r="BM340" s="136">
        <v>44935</v>
      </c>
      <c r="BN340" s="2" t="s">
        <v>1172</v>
      </c>
      <c r="BO340" s="2"/>
      <c r="BP340" s="136"/>
      <c r="BQ340" s="137" t="s">
        <v>134</v>
      </c>
      <c r="BR340" s="138"/>
    </row>
    <row r="341" spans="1:70" ht="12.75" customHeight="1" x14ac:dyDescent="0.2">
      <c r="A341" s="2">
        <v>1830</v>
      </c>
      <c r="B341" s="2" t="s">
        <v>31</v>
      </c>
      <c r="C341" s="2" t="s">
        <v>38</v>
      </c>
      <c r="D341" s="2" t="s">
        <v>1144</v>
      </c>
      <c r="E341" s="2" t="s">
        <v>71</v>
      </c>
      <c r="F341" s="132">
        <v>30000</v>
      </c>
      <c r="G341" s="132"/>
      <c r="H341" s="132">
        <f>50000+15413</f>
        <v>65413</v>
      </c>
      <c r="I341" s="132">
        <f>H341</f>
        <v>65413</v>
      </c>
      <c r="J341" s="132">
        <f>7627.118+AS341+AV341+15413.002</f>
        <v>65413</v>
      </c>
      <c r="K341" s="132">
        <f t="shared" si="41"/>
        <v>-35413</v>
      </c>
      <c r="L341" s="132">
        <f t="shared" si="42"/>
        <v>0</v>
      </c>
      <c r="M341" s="133">
        <v>610</v>
      </c>
      <c r="N341" s="133">
        <f t="shared" si="40"/>
        <v>0</v>
      </c>
      <c r="O341" s="134">
        <v>0</v>
      </c>
      <c r="P341" s="133"/>
      <c r="Q341" s="2" t="s">
        <v>1240</v>
      </c>
      <c r="R341" s="156">
        <f t="shared" si="43"/>
        <v>0</v>
      </c>
      <c r="S341" s="156">
        <f t="shared" si="44"/>
        <v>0</v>
      </c>
      <c r="T341" s="133"/>
      <c r="U341" s="133"/>
      <c r="V341" s="133"/>
      <c r="W341" s="133"/>
      <c r="X341" s="133"/>
      <c r="Y341" s="133"/>
      <c r="Z341" s="133"/>
      <c r="AA341" s="133"/>
      <c r="AB341" s="133"/>
      <c r="AC341" s="133"/>
      <c r="AD341" s="133"/>
      <c r="AE341" s="133"/>
      <c r="AF341" s="133"/>
      <c r="AG341" s="133"/>
      <c r="AH341" s="133"/>
      <c r="AI341" s="133"/>
      <c r="AJ341" s="133"/>
      <c r="AK341" s="133"/>
      <c r="AL341" s="133"/>
      <c r="AM341" s="133"/>
      <c r="AN341" s="133"/>
      <c r="AO341" s="133"/>
      <c r="AP341" s="133"/>
      <c r="AQ341" s="133"/>
      <c r="AR341" s="133"/>
      <c r="AS341" s="153">
        <v>0</v>
      </c>
      <c r="AT341" s="153">
        <v>0</v>
      </c>
      <c r="AU341" s="153">
        <v>0</v>
      </c>
      <c r="AV341" s="135">
        <v>42372.88</v>
      </c>
      <c r="AW341" s="135">
        <v>1912.1800000000003</v>
      </c>
      <c r="AX341" s="135">
        <f>(I341/1.18-AT341-AW341)*0.1</f>
        <v>5352.2565762711865</v>
      </c>
      <c r="AY341" s="135"/>
      <c r="AZ341" s="135"/>
      <c r="BA341" s="135"/>
      <c r="BB341" s="135"/>
      <c r="BC341" s="135"/>
      <c r="BD341" s="135"/>
      <c r="BE341" s="135">
        <f>(H341/1.18-AT341-AW341-AZ341-BD341)*0.1-AU341-AX341-BA341-BB341</f>
        <v>0</v>
      </c>
      <c r="BF341" s="135"/>
      <c r="BG341" s="135"/>
      <c r="BH341" s="135"/>
      <c r="BI341" s="2" t="s">
        <v>11</v>
      </c>
      <c r="BJ341" s="136">
        <v>45289</v>
      </c>
      <c r="BK341" s="2" t="s">
        <v>8</v>
      </c>
      <c r="BL341" s="136" t="s">
        <v>113</v>
      </c>
      <c r="BM341" s="136">
        <v>44935</v>
      </c>
      <c r="BN341" s="2" t="s">
        <v>1173</v>
      </c>
      <c r="BO341" s="2"/>
      <c r="BP341" s="136"/>
      <c r="BQ341" s="137" t="s">
        <v>119</v>
      </c>
      <c r="BR341" s="138"/>
    </row>
    <row r="342" spans="1:70" ht="12.75" customHeight="1" x14ac:dyDescent="0.2">
      <c r="A342" s="2">
        <v>1831</v>
      </c>
      <c r="B342" s="2" t="s">
        <v>31</v>
      </c>
      <c r="C342" s="2" t="s">
        <v>32</v>
      </c>
      <c r="D342" s="2" t="s">
        <v>1145</v>
      </c>
      <c r="E342" s="2" t="s">
        <v>110</v>
      </c>
      <c r="F342" s="132">
        <v>1954.75</v>
      </c>
      <c r="G342" s="132"/>
      <c r="H342" s="132">
        <f>1117*1.75</f>
        <v>1954.75</v>
      </c>
      <c r="I342" s="132"/>
      <c r="J342" s="132">
        <f>298.18+1656.57</f>
        <v>1954.75</v>
      </c>
      <c r="K342" s="132">
        <f t="shared" si="41"/>
        <v>0</v>
      </c>
      <c r="L342" s="132">
        <f t="shared" si="42"/>
        <v>0</v>
      </c>
      <c r="M342" s="133"/>
      <c r="N342" s="133">
        <f t="shared" si="40"/>
        <v>0</v>
      </c>
      <c r="O342" s="134">
        <v>0</v>
      </c>
      <c r="P342" s="133"/>
      <c r="Q342" s="2" t="s">
        <v>1241</v>
      </c>
      <c r="R342" s="156">
        <f t="shared" si="43"/>
        <v>0</v>
      </c>
      <c r="S342" s="156">
        <f t="shared" si="44"/>
        <v>0</v>
      </c>
      <c r="T342" s="133"/>
      <c r="U342" s="133"/>
      <c r="V342" s="133"/>
      <c r="W342" s="133"/>
      <c r="X342" s="133"/>
      <c r="Y342" s="133"/>
      <c r="Z342" s="133"/>
      <c r="AA342" s="133"/>
      <c r="AB342" s="133"/>
      <c r="AC342" s="133"/>
      <c r="AD342" s="133"/>
      <c r="AE342" s="133"/>
      <c r="AF342" s="133"/>
      <c r="AG342" s="133"/>
      <c r="AH342" s="133"/>
      <c r="AI342" s="133"/>
      <c r="AJ342" s="133"/>
      <c r="AK342" s="133"/>
      <c r="AL342" s="133"/>
      <c r="AM342" s="133"/>
      <c r="AN342" s="133"/>
      <c r="AO342" s="133"/>
      <c r="AP342" s="133"/>
      <c r="AQ342" s="133"/>
      <c r="AR342" s="133"/>
      <c r="AS342" s="153">
        <v>0</v>
      </c>
      <c r="AT342" s="153">
        <v>0</v>
      </c>
      <c r="AU342" s="153">
        <v>0</v>
      </c>
      <c r="AV342" s="135"/>
      <c r="AW342" s="135"/>
      <c r="AX342" s="135"/>
      <c r="AY342" s="135"/>
      <c r="AZ342" s="135"/>
      <c r="BA342" s="135"/>
      <c r="BB342" s="135"/>
      <c r="BC342" s="135"/>
      <c r="BD342" s="135"/>
      <c r="BE342" s="135"/>
      <c r="BF342" s="135"/>
      <c r="BG342" s="135"/>
      <c r="BH342" s="135"/>
      <c r="BI342" s="2" t="s">
        <v>112</v>
      </c>
      <c r="BJ342" s="136">
        <v>45217</v>
      </c>
      <c r="BK342" s="2" t="s">
        <v>145</v>
      </c>
      <c r="BL342" s="136" t="s">
        <v>113</v>
      </c>
      <c r="BM342" s="136">
        <v>44935</v>
      </c>
      <c r="BN342" s="2" t="s">
        <v>1174</v>
      </c>
      <c r="BO342" s="2"/>
      <c r="BP342" s="136"/>
      <c r="BQ342" s="137" t="s">
        <v>134</v>
      </c>
      <c r="BR342" s="138"/>
    </row>
    <row r="343" spans="1:70" ht="12.75" customHeight="1" x14ac:dyDescent="0.2">
      <c r="A343" s="2">
        <v>1832</v>
      </c>
      <c r="B343" s="2" t="s">
        <v>31</v>
      </c>
      <c r="C343" s="2" t="s">
        <v>32</v>
      </c>
      <c r="D343" s="2" t="s">
        <v>1146</v>
      </c>
      <c r="E343" s="2" t="s">
        <v>71</v>
      </c>
      <c r="F343" s="132">
        <v>25000</v>
      </c>
      <c r="G343" s="132">
        <v>2</v>
      </c>
      <c r="H343" s="132">
        <f>60000+2000+7616.19</f>
        <v>69616.19</v>
      </c>
      <c r="I343" s="132">
        <f>60000+2000+7616.19</f>
        <v>69616.19</v>
      </c>
      <c r="J343" s="132">
        <f>9152.54+AY343+305.08+7616.19</f>
        <v>69616.19</v>
      </c>
      <c r="K343" s="132">
        <f t="shared" si="41"/>
        <v>-44616.19</v>
      </c>
      <c r="L343" s="132">
        <f t="shared" si="42"/>
        <v>0</v>
      </c>
      <c r="M343" s="133">
        <v>1160</v>
      </c>
      <c r="N343" s="133">
        <f t="shared" si="40"/>
        <v>0</v>
      </c>
      <c r="O343" s="134">
        <v>0</v>
      </c>
      <c r="P343" s="133"/>
      <c r="Q343" s="2" t="s">
        <v>1241</v>
      </c>
      <c r="R343" s="156">
        <f t="shared" si="43"/>
        <v>0</v>
      </c>
      <c r="S343" s="156">
        <f t="shared" si="44"/>
        <v>0</v>
      </c>
      <c r="T343" s="133"/>
      <c r="U343" s="133"/>
      <c r="V343" s="133"/>
      <c r="W343" s="133"/>
      <c r="X343" s="133"/>
      <c r="Y343" s="133"/>
      <c r="Z343" s="133"/>
      <c r="AA343" s="133"/>
      <c r="AB343" s="133"/>
      <c r="AC343" s="133"/>
      <c r="AD343" s="133"/>
      <c r="AE343" s="133"/>
      <c r="AF343" s="133"/>
      <c r="AG343" s="133"/>
      <c r="AH343" s="133"/>
      <c r="AI343" s="133"/>
      <c r="AJ343" s="133"/>
      <c r="AK343" s="133"/>
      <c r="AL343" s="133"/>
      <c r="AM343" s="133"/>
      <c r="AN343" s="133"/>
      <c r="AO343" s="133"/>
      <c r="AP343" s="133"/>
      <c r="AQ343" s="133"/>
      <c r="AR343" s="133"/>
      <c r="AS343" s="153">
        <v>0</v>
      </c>
      <c r="AT343" s="153">
        <v>0</v>
      </c>
      <c r="AU343" s="153">
        <v>0</v>
      </c>
      <c r="AV343" s="135"/>
      <c r="AW343" s="135"/>
      <c r="AX343" s="135"/>
      <c r="AY343" s="135">
        <f>50847.46+1694.92</f>
        <v>52542.38</v>
      </c>
      <c r="AZ343" s="135">
        <f>3894.71+97.83</f>
        <v>3992.54</v>
      </c>
      <c r="BA343" s="135">
        <v>0</v>
      </c>
      <c r="BB343" s="140">
        <f>(H343/1.18-AT343-AW343-AZ343)*0.1-AU343-AX343-BA343</f>
        <v>5500.4231186440684</v>
      </c>
      <c r="BC343" s="135"/>
      <c r="BD343" s="135"/>
      <c r="BE343" s="135">
        <f>(H343/1.18-AT343-AW343-AZ343-BD343)*0.1-AU343-AX343-BA343-BB343</f>
        <v>0</v>
      </c>
      <c r="BF343" s="135"/>
      <c r="BG343" s="135"/>
      <c r="BH343" s="135"/>
      <c r="BI343" s="2" t="s">
        <v>11</v>
      </c>
      <c r="BJ343" s="136">
        <v>45637</v>
      </c>
      <c r="BK343" s="2" t="s">
        <v>8</v>
      </c>
      <c r="BL343" s="136" t="s">
        <v>113</v>
      </c>
      <c r="BM343" s="136">
        <v>44935</v>
      </c>
      <c r="BN343" s="2" t="s">
        <v>1175</v>
      </c>
      <c r="BO343" s="2"/>
      <c r="BP343" s="136"/>
      <c r="BQ343" s="137" t="s">
        <v>119</v>
      </c>
      <c r="BR343" s="138"/>
    </row>
    <row r="344" spans="1:70" ht="12.75" customHeight="1" x14ac:dyDescent="0.2">
      <c r="A344" s="2">
        <v>1833</v>
      </c>
      <c r="B344" s="2" t="s">
        <v>54</v>
      </c>
      <c r="C344" s="2" t="s">
        <v>17</v>
      </c>
      <c r="D344" s="2" t="s">
        <v>1147</v>
      </c>
      <c r="E344" s="2" t="s">
        <v>110</v>
      </c>
      <c r="F344" s="132">
        <v>0</v>
      </c>
      <c r="G344" s="132">
        <v>2</v>
      </c>
      <c r="H344" s="132"/>
      <c r="I344" s="132"/>
      <c r="J344" s="132"/>
      <c r="K344" s="132">
        <f t="shared" si="41"/>
        <v>0</v>
      </c>
      <c r="L344" s="132">
        <f t="shared" si="42"/>
        <v>0</v>
      </c>
      <c r="M344" s="133"/>
      <c r="N344" s="133">
        <f t="shared" si="40"/>
        <v>0</v>
      </c>
      <c r="O344" s="134">
        <v>2</v>
      </c>
      <c r="P344" s="133"/>
      <c r="Q344" s="2" t="s">
        <v>1242</v>
      </c>
      <c r="R344" s="156">
        <f t="shared" si="43"/>
        <v>0</v>
      </c>
      <c r="S344" s="156">
        <f t="shared" si="44"/>
        <v>0</v>
      </c>
      <c r="T344" s="133"/>
      <c r="U344" s="133"/>
      <c r="V344" s="133"/>
      <c r="W344" s="133"/>
      <c r="X344" s="133"/>
      <c r="Y344" s="133"/>
      <c r="Z344" s="133"/>
      <c r="AA344" s="133"/>
      <c r="AB344" s="133"/>
      <c r="AC344" s="133"/>
      <c r="AD344" s="133"/>
      <c r="AE344" s="133"/>
      <c r="AF344" s="133"/>
      <c r="AG344" s="133"/>
      <c r="AH344" s="133"/>
      <c r="AI344" s="133"/>
      <c r="AJ344" s="133"/>
      <c r="AK344" s="133"/>
      <c r="AL344" s="133"/>
      <c r="AM344" s="133"/>
      <c r="AN344" s="133"/>
      <c r="AO344" s="133"/>
      <c r="AP344" s="133"/>
      <c r="AQ344" s="133"/>
      <c r="AR344" s="133"/>
      <c r="AS344" s="153">
        <v>0</v>
      </c>
      <c r="AT344" s="153">
        <v>0</v>
      </c>
      <c r="AU344" s="153">
        <v>0</v>
      </c>
      <c r="AV344" s="135"/>
      <c r="AW344" s="135"/>
      <c r="AX344" s="135"/>
      <c r="AY344" s="135"/>
      <c r="AZ344" s="135"/>
      <c r="BA344" s="135"/>
      <c r="BB344" s="135"/>
      <c r="BC344" s="135"/>
      <c r="BD344" s="135"/>
      <c r="BE344" s="135"/>
      <c r="BF344" s="135"/>
      <c r="BG344" s="135"/>
      <c r="BH344" s="135"/>
      <c r="BI344" s="2" t="s">
        <v>112</v>
      </c>
      <c r="BJ344" s="136"/>
      <c r="BK344" s="2">
        <v>0</v>
      </c>
      <c r="BL344" s="136" t="s">
        <v>113</v>
      </c>
      <c r="BM344" s="136">
        <v>44935</v>
      </c>
      <c r="BN344" s="2" t="s">
        <v>1176</v>
      </c>
      <c r="BO344" s="2"/>
      <c r="BP344" s="136"/>
      <c r="BQ344" s="137"/>
      <c r="BR344" s="138"/>
    </row>
    <row r="345" spans="1:70" ht="12.75" customHeight="1" x14ac:dyDescent="0.2">
      <c r="A345" s="2">
        <v>1834</v>
      </c>
      <c r="B345" s="2" t="s">
        <v>54</v>
      </c>
      <c r="C345" s="2" t="s">
        <v>17</v>
      </c>
      <c r="D345" s="2" t="s">
        <v>1148</v>
      </c>
      <c r="E345" s="2" t="s">
        <v>71</v>
      </c>
      <c r="F345" s="132">
        <v>300000</v>
      </c>
      <c r="G345" s="132">
        <v>2</v>
      </c>
      <c r="H345" s="132"/>
      <c r="I345" s="132"/>
      <c r="J345" s="132"/>
      <c r="K345" s="132">
        <f t="shared" si="41"/>
        <v>300000</v>
      </c>
      <c r="L345" s="132">
        <f t="shared" si="42"/>
        <v>0</v>
      </c>
      <c r="M345" s="133"/>
      <c r="N345" s="133">
        <f t="shared" si="40"/>
        <v>300000</v>
      </c>
      <c r="O345" s="134">
        <v>1</v>
      </c>
      <c r="P345" s="133"/>
      <c r="Q345" s="2" t="s">
        <v>1242</v>
      </c>
      <c r="R345" s="156">
        <f t="shared" si="43"/>
        <v>0</v>
      </c>
      <c r="S345" s="156">
        <f t="shared" si="44"/>
        <v>0</v>
      </c>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53">
        <v>0</v>
      </c>
      <c r="AT345" s="153">
        <v>0</v>
      </c>
      <c r="AU345" s="153">
        <v>0</v>
      </c>
      <c r="AV345" s="135"/>
      <c r="AW345" s="135"/>
      <c r="AX345" s="135"/>
      <c r="AY345" s="135"/>
      <c r="AZ345" s="135"/>
      <c r="BA345" s="135"/>
      <c r="BB345" s="135"/>
      <c r="BC345" s="135"/>
      <c r="BD345" s="135"/>
      <c r="BE345" s="135"/>
      <c r="BF345" s="135"/>
      <c r="BG345" s="135"/>
      <c r="BH345" s="135"/>
      <c r="BI345" s="2" t="s">
        <v>11</v>
      </c>
      <c r="BJ345" s="136"/>
      <c r="BK345" s="2">
        <v>0</v>
      </c>
      <c r="BL345" s="136" t="s">
        <v>113</v>
      </c>
      <c r="BM345" s="136">
        <v>44935</v>
      </c>
      <c r="BN345" s="2" t="s">
        <v>1177</v>
      </c>
      <c r="BO345" s="2"/>
      <c r="BP345" s="136"/>
      <c r="BQ345" s="137"/>
      <c r="BR345" s="138"/>
    </row>
    <row r="346" spans="1:70" ht="12.75" customHeight="1" x14ac:dyDescent="0.2">
      <c r="A346" s="2">
        <v>1835</v>
      </c>
      <c r="B346" s="2" t="s">
        <v>54</v>
      </c>
      <c r="C346" s="2" t="s">
        <v>4</v>
      </c>
      <c r="D346" s="2" t="s">
        <v>1149</v>
      </c>
      <c r="E346" s="2" t="s">
        <v>110</v>
      </c>
      <c r="F346" s="132">
        <v>418.25</v>
      </c>
      <c r="G346" s="132"/>
      <c r="H346" s="132">
        <f>239*1.75</f>
        <v>418.25</v>
      </c>
      <c r="I346" s="132"/>
      <c r="J346" s="132">
        <f>418.25</f>
        <v>418.25</v>
      </c>
      <c r="K346" s="132">
        <f t="shared" si="41"/>
        <v>0</v>
      </c>
      <c r="L346" s="132">
        <f t="shared" si="42"/>
        <v>0</v>
      </c>
      <c r="M346" s="133"/>
      <c r="N346" s="133">
        <f t="shared" si="40"/>
        <v>0</v>
      </c>
      <c r="O346" s="134">
        <v>0</v>
      </c>
      <c r="P346" s="133"/>
      <c r="Q346" s="2" t="s">
        <v>1243</v>
      </c>
      <c r="R346" s="156">
        <f t="shared" si="43"/>
        <v>0</v>
      </c>
      <c r="S346" s="156">
        <f t="shared" si="44"/>
        <v>0</v>
      </c>
      <c r="T346" s="133"/>
      <c r="U346" s="133"/>
      <c r="V346" s="133"/>
      <c r="W346" s="133"/>
      <c r="X346" s="133"/>
      <c r="Y346" s="133"/>
      <c r="Z346" s="133"/>
      <c r="AA346" s="133"/>
      <c r="AB346" s="133"/>
      <c r="AC346" s="133"/>
      <c r="AD346" s="133"/>
      <c r="AE346" s="133"/>
      <c r="AF346" s="133"/>
      <c r="AG346" s="133"/>
      <c r="AH346" s="133"/>
      <c r="AI346" s="133"/>
      <c r="AJ346" s="133"/>
      <c r="AK346" s="133"/>
      <c r="AL346" s="133"/>
      <c r="AM346" s="133"/>
      <c r="AN346" s="133"/>
      <c r="AO346" s="133"/>
      <c r="AP346" s="133"/>
      <c r="AQ346" s="133"/>
      <c r="AR346" s="133"/>
      <c r="AS346" s="153">
        <v>0</v>
      </c>
      <c r="AT346" s="153">
        <v>0</v>
      </c>
      <c r="AU346" s="153">
        <v>0</v>
      </c>
      <c r="AV346" s="135"/>
      <c r="AW346" s="135"/>
      <c r="AX346" s="135"/>
      <c r="AY346" s="135"/>
      <c r="AZ346" s="135"/>
      <c r="BA346" s="135"/>
      <c r="BB346" s="135"/>
      <c r="BC346" s="135"/>
      <c r="BD346" s="135"/>
      <c r="BE346" s="135"/>
      <c r="BF346" s="135"/>
      <c r="BG346" s="135"/>
      <c r="BH346" s="135"/>
      <c r="BI346" s="2" t="s">
        <v>112</v>
      </c>
      <c r="BJ346" s="136">
        <v>45174</v>
      </c>
      <c r="BK346" s="2" t="s">
        <v>145</v>
      </c>
      <c r="BL346" s="136" t="s">
        <v>113</v>
      </c>
      <c r="BM346" s="136">
        <v>44935</v>
      </c>
      <c r="BN346" s="2" t="s">
        <v>1178</v>
      </c>
      <c r="BO346" s="2"/>
      <c r="BP346" s="136"/>
      <c r="BQ346" s="137"/>
      <c r="BR346" s="138"/>
    </row>
    <row r="347" spans="1:70" ht="12.75" customHeight="1" x14ac:dyDescent="0.2">
      <c r="A347" s="2">
        <v>1836</v>
      </c>
      <c r="B347" s="2" t="s">
        <v>54</v>
      </c>
      <c r="C347" s="2" t="s">
        <v>4</v>
      </c>
      <c r="D347" s="2" t="s">
        <v>1150</v>
      </c>
      <c r="E347" s="2" t="s">
        <v>71</v>
      </c>
      <c r="F347" s="132">
        <v>17000</v>
      </c>
      <c r="G347" s="132">
        <v>2</v>
      </c>
      <c r="H347" s="132"/>
      <c r="I347" s="132"/>
      <c r="J347" s="132"/>
      <c r="K347" s="132">
        <f t="shared" si="41"/>
        <v>17000</v>
      </c>
      <c r="L347" s="132">
        <f t="shared" si="42"/>
        <v>0</v>
      </c>
      <c r="M347" s="133"/>
      <c r="N347" s="133">
        <f t="shared" si="40"/>
        <v>17000</v>
      </c>
      <c r="O347" s="134">
        <v>1</v>
      </c>
      <c r="P347" s="133"/>
      <c r="Q347" s="2" t="s">
        <v>1243</v>
      </c>
      <c r="R347" s="156">
        <f t="shared" si="43"/>
        <v>0</v>
      </c>
      <c r="S347" s="156">
        <f t="shared" si="44"/>
        <v>0</v>
      </c>
      <c r="T347" s="133"/>
      <c r="U347" s="133"/>
      <c r="V347" s="133"/>
      <c r="W347" s="133"/>
      <c r="X347" s="133"/>
      <c r="Y347" s="133"/>
      <c r="Z347" s="133"/>
      <c r="AA347" s="133"/>
      <c r="AB347" s="133"/>
      <c r="AC347" s="133"/>
      <c r="AD347" s="133"/>
      <c r="AE347" s="133"/>
      <c r="AF347" s="133"/>
      <c r="AG347" s="133"/>
      <c r="AH347" s="133"/>
      <c r="AI347" s="133"/>
      <c r="AJ347" s="133"/>
      <c r="AK347" s="133"/>
      <c r="AL347" s="133"/>
      <c r="AM347" s="133"/>
      <c r="AN347" s="133"/>
      <c r="AO347" s="133"/>
      <c r="AP347" s="133"/>
      <c r="AQ347" s="133"/>
      <c r="AR347" s="133"/>
      <c r="AS347" s="153">
        <v>0</v>
      </c>
      <c r="AT347" s="153">
        <v>0</v>
      </c>
      <c r="AU347" s="153">
        <v>0</v>
      </c>
      <c r="AV347" s="135"/>
      <c r="AW347" s="135"/>
      <c r="AX347" s="135"/>
      <c r="AY347" s="135"/>
      <c r="AZ347" s="135"/>
      <c r="BA347" s="135"/>
      <c r="BB347" s="135"/>
      <c r="BC347" s="135"/>
      <c r="BD347" s="135"/>
      <c r="BE347" s="135"/>
      <c r="BF347" s="135"/>
      <c r="BG347" s="135"/>
      <c r="BH347" s="135"/>
      <c r="BI347" s="2" t="s">
        <v>11</v>
      </c>
      <c r="BJ347" s="136"/>
      <c r="BK347" s="2">
        <v>0</v>
      </c>
      <c r="BL347" s="136" t="s">
        <v>113</v>
      </c>
      <c r="BM347" s="136">
        <v>44935</v>
      </c>
      <c r="BN347" s="2" t="s">
        <v>1179</v>
      </c>
      <c r="BO347" s="2"/>
      <c r="BP347" s="136"/>
      <c r="BQ347" s="137"/>
      <c r="BR347" s="138"/>
    </row>
    <row r="348" spans="1:70" ht="12.75" customHeight="1" x14ac:dyDescent="0.2">
      <c r="A348" s="2">
        <v>1837</v>
      </c>
      <c r="B348" s="2" t="s">
        <v>54</v>
      </c>
      <c r="C348" s="2" t="s">
        <v>4</v>
      </c>
      <c r="D348" s="2" t="s">
        <v>1151</v>
      </c>
      <c r="E348" s="2" t="s">
        <v>110</v>
      </c>
      <c r="F348" s="132">
        <v>12638.5</v>
      </c>
      <c r="G348" s="132">
        <v>2</v>
      </c>
      <c r="H348" s="132">
        <f>7222*1.75</f>
        <v>12638.5</v>
      </c>
      <c r="I348" s="132"/>
      <c r="J348" s="132">
        <v>12638.5</v>
      </c>
      <c r="K348" s="132">
        <f t="shared" si="41"/>
        <v>0</v>
      </c>
      <c r="L348" s="132">
        <f t="shared" si="42"/>
        <v>0</v>
      </c>
      <c r="M348" s="133"/>
      <c r="N348" s="133">
        <f t="shared" si="40"/>
        <v>0</v>
      </c>
      <c r="O348" s="134">
        <v>0</v>
      </c>
      <c r="P348" s="133"/>
      <c r="Q348" s="2" t="s">
        <v>1244</v>
      </c>
      <c r="R348" s="156">
        <f t="shared" si="43"/>
        <v>0</v>
      </c>
      <c r="S348" s="156">
        <f t="shared" si="44"/>
        <v>0</v>
      </c>
      <c r="T348" s="133"/>
      <c r="U348" s="133"/>
      <c r="V348" s="133"/>
      <c r="W348" s="133"/>
      <c r="X348" s="133"/>
      <c r="Y348" s="133"/>
      <c r="Z348" s="133"/>
      <c r="AA348" s="133"/>
      <c r="AB348" s="133"/>
      <c r="AC348" s="133"/>
      <c r="AD348" s="133"/>
      <c r="AE348" s="133"/>
      <c r="AF348" s="133"/>
      <c r="AG348" s="133"/>
      <c r="AH348" s="133"/>
      <c r="AI348" s="133"/>
      <c r="AJ348" s="133"/>
      <c r="AK348" s="133"/>
      <c r="AL348" s="133"/>
      <c r="AM348" s="133"/>
      <c r="AN348" s="133"/>
      <c r="AO348" s="133"/>
      <c r="AP348" s="133"/>
      <c r="AQ348" s="133"/>
      <c r="AR348" s="133"/>
      <c r="AS348" s="153">
        <v>0</v>
      </c>
      <c r="AT348" s="153">
        <v>0</v>
      </c>
      <c r="AU348" s="153">
        <v>0</v>
      </c>
      <c r="AV348" s="135"/>
      <c r="AW348" s="135"/>
      <c r="AX348" s="135"/>
      <c r="AY348" s="135"/>
      <c r="AZ348" s="135"/>
      <c r="BA348" s="135"/>
      <c r="BB348" s="135"/>
      <c r="BC348" s="135"/>
      <c r="BD348" s="135"/>
      <c r="BE348" s="135"/>
      <c r="BF348" s="135"/>
      <c r="BG348" s="135"/>
      <c r="BH348" s="135"/>
      <c r="BI348" s="2" t="s">
        <v>112</v>
      </c>
      <c r="BJ348" s="136">
        <v>45572</v>
      </c>
      <c r="BK348" s="2" t="s">
        <v>145</v>
      </c>
      <c r="BL348" s="136" t="s">
        <v>113</v>
      </c>
      <c r="BM348" s="136">
        <v>44935</v>
      </c>
      <c r="BN348" s="2" t="s">
        <v>1180</v>
      </c>
      <c r="BO348" s="2"/>
      <c r="BP348" s="136"/>
      <c r="BQ348" s="137" t="s">
        <v>134</v>
      </c>
      <c r="BR348" s="138"/>
    </row>
    <row r="349" spans="1:70" ht="12.75" customHeight="1" x14ac:dyDescent="0.2">
      <c r="A349" s="2">
        <v>1838</v>
      </c>
      <c r="B349" s="2" t="s">
        <v>54</v>
      </c>
      <c r="C349" s="2" t="s">
        <v>4</v>
      </c>
      <c r="D349" s="2" t="s">
        <v>1152</v>
      </c>
      <c r="E349" s="2" t="s">
        <v>71</v>
      </c>
      <c r="F349" s="132">
        <v>237000</v>
      </c>
      <c r="G349" s="132">
        <v>2</v>
      </c>
      <c r="H349" s="132">
        <f>200000+51000+R349</f>
        <v>693000</v>
      </c>
      <c r="I349" s="132"/>
      <c r="J349" s="132">
        <f>30508.474+7779.66+S349+AY349+BC349</f>
        <v>608932.1939999999</v>
      </c>
      <c r="K349" s="132">
        <f t="shared" si="41"/>
        <v>-371932.1939999999</v>
      </c>
      <c r="L349" s="132">
        <f t="shared" si="42"/>
        <v>84067.806000000099</v>
      </c>
      <c r="M349" s="133"/>
      <c r="N349" s="133">
        <f t="shared" si="40"/>
        <v>-371932.1939999999</v>
      </c>
      <c r="O349" s="134">
        <v>1</v>
      </c>
      <c r="P349" s="133"/>
      <c r="Q349" s="2" t="s">
        <v>1244</v>
      </c>
      <c r="R349" s="156">
        <f t="shared" si="43"/>
        <v>442000</v>
      </c>
      <c r="S349" s="156">
        <f t="shared" si="44"/>
        <v>61322.02</v>
      </c>
      <c r="T349" s="287">
        <v>100000</v>
      </c>
      <c r="U349" s="133"/>
      <c r="V349" s="133"/>
      <c r="W349" s="133">
        <f>15254.24</f>
        <v>15254.24</v>
      </c>
      <c r="X349" s="133">
        <v>250000</v>
      </c>
      <c r="Y349" s="133"/>
      <c r="Z349" s="133">
        <v>40000</v>
      </c>
      <c r="AA349" s="133">
        <v>38135.589999999997</v>
      </c>
      <c r="AB349" s="133">
        <v>30000</v>
      </c>
      <c r="AC349" s="133">
        <v>6101.69</v>
      </c>
      <c r="AD349" s="133">
        <v>5000</v>
      </c>
      <c r="AE349" s="133"/>
      <c r="AF349" s="133"/>
      <c r="AG349" s="133">
        <f>762.71</f>
        <v>762.71</v>
      </c>
      <c r="AH349" s="133">
        <v>2000</v>
      </c>
      <c r="AI349" s="133"/>
      <c r="AJ349" s="133">
        <v>5000</v>
      </c>
      <c r="AK349" s="133">
        <v>305.08</v>
      </c>
      <c r="AL349" s="133">
        <v>5000</v>
      </c>
      <c r="AM349" s="133"/>
      <c r="AN349" s="133">
        <v>5000</v>
      </c>
      <c r="AO349" s="133">
        <v>762.71</v>
      </c>
      <c r="AP349" s="133"/>
      <c r="AQ349" s="133"/>
      <c r="AR349" s="133"/>
      <c r="AS349" s="153">
        <v>0</v>
      </c>
      <c r="AT349" s="153">
        <v>0</v>
      </c>
      <c r="AU349" s="153">
        <v>0</v>
      </c>
      <c r="AV349" s="135"/>
      <c r="AW349" s="135"/>
      <c r="AX349" s="135"/>
      <c r="AY349" s="135">
        <f>169491.53+43220.34</f>
        <v>212711.87</v>
      </c>
      <c r="AZ349" s="135"/>
      <c r="BA349" s="135"/>
      <c r="BB349" s="135"/>
      <c r="BC349" s="135">
        <f>84745.76+211864.41</f>
        <v>296610.17</v>
      </c>
      <c r="BD349" s="135"/>
      <c r="BE349" s="135"/>
      <c r="BF349" s="135"/>
      <c r="BG349" s="135"/>
      <c r="BH349" s="135"/>
      <c r="BI349" s="2" t="s">
        <v>11</v>
      </c>
      <c r="BJ349" s="136"/>
      <c r="BK349" s="2">
        <v>95</v>
      </c>
      <c r="BL349" s="136" t="s">
        <v>113</v>
      </c>
      <c r="BM349" s="136">
        <v>44935</v>
      </c>
      <c r="BN349" s="2" t="s">
        <v>1181</v>
      </c>
      <c r="BO349" s="2"/>
      <c r="BP349" s="136"/>
      <c r="BQ349" s="137" t="s">
        <v>119</v>
      </c>
      <c r="BR349" s="138"/>
    </row>
    <row r="350" spans="1:70" ht="12.75" customHeight="1" x14ac:dyDescent="0.2">
      <c r="A350" s="2">
        <v>1839</v>
      </c>
      <c r="B350" s="2" t="s">
        <v>54</v>
      </c>
      <c r="C350" s="2" t="s">
        <v>4</v>
      </c>
      <c r="D350" s="2" t="s">
        <v>1153</v>
      </c>
      <c r="E350" s="2" t="s">
        <v>110</v>
      </c>
      <c r="F350" s="132">
        <v>0</v>
      </c>
      <c r="G350" s="132">
        <v>2</v>
      </c>
      <c r="H350" s="132"/>
      <c r="I350" s="132"/>
      <c r="J350" s="132"/>
      <c r="K350" s="132">
        <f t="shared" si="41"/>
        <v>0</v>
      </c>
      <c r="L350" s="132">
        <f t="shared" si="42"/>
        <v>0</v>
      </c>
      <c r="M350" s="133"/>
      <c r="N350" s="133">
        <f t="shared" si="40"/>
        <v>0</v>
      </c>
      <c r="O350" s="134">
        <v>2</v>
      </c>
      <c r="P350" s="133"/>
      <c r="Q350" s="2" t="s">
        <v>1245</v>
      </c>
      <c r="R350" s="156">
        <f t="shared" si="43"/>
        <v>0</v>
      </c>
      <c r="S350" s="156">
        <f t="shared" si="44"/>
        <v>0</v>
      </c>
      <c r="T350" s="133"/>
      <c r="U350" s="133"/>
      <c r="V350" s="133"/>
      <c r="W350" s="133"/>
      <c r="X350" s="133"/>
      <c r="Y350" s="133"/>
      <c r="Z350" s="133"/>
      <c r="AA350" s="133"/>
      <c r="AB350" s="133"/>
      <c r="AC350" s="133"/>
      <c r="AD350" s="133"/>
      <c r="AE350" s="133"/>
      <c r="AF350" s="133"/>
      <c r="AG350" s="133"/>
      <c r="AH350" s="133"/>
      <c r="AI350" s="133"/>
      <c r="AJ350" s="133"/>
      <c r="AK350" s="133"/>
      <c r="AL350" s="133"/>
      <c r="AM350" s="133"/>
      <c r="AN350" s="133"/>
      <c r="AO350" s="133"/>
      <c r="AP350" s="133"/>
      <c r="AQ350" s="133"/>
      <c r="AR350" s="133"/>
      <c r="AS350" s="153">
        <v>0</v>
      </c>
      <c r="AT350" s="153">
        <v>0</v>
      </c>
      <c r="AU350" s="153">
        <v>0</v>
      </c>
      <c r="AV350" s="135"/>
      <c r="AW350" s="135"/>
      <c r="AX350" s="135"/>
      <c r="AY350" s="135"/>
      <c r="AZ350" s="135"/>
      <c r="BA350" s="135"/>
      <c r="BB350" s="135"/>
      <c r="BC350" s="135"/>
      <c r="BD350" s="135"/>
      <c r="BE350" s="135"/>
      <c r="BF350" s="135"/>
      <c r="BG350" s="135"/>
      <c r="BH350" s="135"/>
      <c r="BI350" s="2" t="s">
        <v>112</v>
      </c>
      <c r="BJ350" s="136"/>
      <c r="BK350" s="2">
        <v>0</v>
      </c>
      <c r="BL350" s="136" t="s">
        <v>113</v>
      </c>
      <c r="BM350" s="136">
        <v>44935</v>
      </c>
      <c r="BN350" s="2" t="s">
        <v>1182</v>
      </c>
      <c r="BO350" s="2"/>
      <c r="BP350" s="136"/>
      <c r="BQ350" s="137"/>
      <c r="BR350" s="138"/>
    </row>
    <row r="351" spans="1:70" ht="12.75" customHeight="1" x14ac:dyDescent="0.2">
      <c r="A351" s="2">
        <v>1840</v>
      </c>
      <c r="B351" s="2" t="s">
        <v>54</v>
      </c>
      <c r="C351" s="2" t="s">
        <v>4</v>
      </c>
      <c r="D351" s="2" t="s">
        <v>1154</v>
      </c>
      <c r="E351" s="2" t="s">
        <v>71</v>
      </c>
      <c r="F351" s="132">
        <v>155000</v>
      </c>
      <c r="G351" s="132">
        <v>2</v>
      </c>
      <c r="H351" s="132"/>
      <c r="I351" s="132"/>
      <c r="J351" s="132"/>
      <c r="K351" s="132">
        <f t="shared" si="41"/>
        <v>155000</v>
      </c>
      <c r="L351" s="132">
        <f t="shared" si="42"/>
        <v>0</v>
      </c>
      <c r="M351" s="133"/>
      <c r="N351" s="133">
        <f t="shared" si="40"/>
        <v>155000</v>
      </c>
      <c r="O351" s="134">
        <v>1</v>
      </c>
      <c r="P351" s="133"/>
      <c r="Q351" s="2" t="s">
        <v>1245</v>
      </c>
      <c r="R351" s="156">
        <f t="shared" si="43"/>
        <v>0</v>
      </c>
      <c r="S351" s="156">
        <f t="shared" si="44"/>
        <v>0</v>
      </c>
      <c r="T351" s="133"/>
      <c r="U351" s="133"/>
      <c r="V351" s="133"/>
      <c r="W351" s="133"/>
      <c r="X351" s="133"/>
      <c r="Y351" s="133"/>
      <c r="Z351" s="133"/>
      <c r="AA351" s="133"/>
      <c r="AB351" s="133"/>
      <c r="AC351" s="133"/>
      <c r="AD351" s="133"/>
      <c r="AE351" s="133"/>
      <c r="AF351" s="133"/>
      <c r="AG351" s="133"/>
      <c r="AH351" s="133"/>
      <c r="AI351" s="133"/>
      <c r="AJ351" s="133"/>
      <c r="AK351" s="133"/>
      <c r="AL351" s="133"/>
      <c r="AM351" s="133"/>
      <c r="AN351" s="133"/>
      <c r="AO351" s="133"/>
      <c r="AP351" s="133"/>
      <c r="AQ351" s="133"/>
      <c r="AR351" s="133"/>
      <c r="AS351" s="153">
        <v>0</v>
      </c>
      <c r="AT351" s="153">
        <v>0</v>
      </c>
      <c r="AU351" s="153">
        <v>0</v>
      </c>
      <c r="AV351" s="135"/>
      <c r="AW351" s="135"/>
      <c r="AX351" s="135"/>
      <c r="AY351" s="135"/>
      <c r="AZ351" s="135"/>
      <c r="BA351" s="135"/>
      <c r="BB351" s="135"/>
      <c r="BC351" s="135"/>
      <c r="BD351" s="135"/>
      <c r="BE351" s="135"/>
      <c r="BF351" s="135"/>
      <c r="BG351" s="135"/>
      <c r="BH351" s="135"/>
      <c r="BI351" s="2" t="s">
        <v>11</v>
      </c>
      <c r="BJ351" s="136"/>
      <c r="BK351" s="2">
        <v>0</v>
      </c>
      <c r="BL351" s="136" t="s">
        <v>113</v>
      </c>
      <c r="BM351" s="136">
        <v>44935</v>
      </c>
      <c r="BN351" s="2" t="s">
        <v>1183</v>
      </c>
      <c r="BO351" s="2"/>
      <c r="BP351" s="136"/>
      <c r="BQ351" s="137"/>
      <c r="BR351" s="138"/>
    </row>
    <row r="352" spans="1:70" ht="12.75" customHeight="1" x14ac:dyDescent="0.2">
      <c r="A352" s="2">
        <v>1841</v>
      </c>
      <c r="B352" s="2" t="s">
        <v>54</v>
      </c>
      <c r="C352" s="2" t="s">
        <v>4</v>
      </c>
      <c r="D352" s="2" t="s">
        <v>1155</v>
      </c>
      <c r="E352" s="2" t="s">
        <v>110</v>
      </c>
      <c r="F352" s="132">
        <v>0</v>
      </c>
      <c r="G352" s="132">
        <v>2</v>
      </c>
      <c r="H352" s="132"/>
      <c r="I352" s="132"/>
      <c r="J352" s="132"/>
      <c r="K352" s="132">
        <f t="shared" si="41"/>
        <v>0</v>
      </c>
      <c r="L352" s="132">
        <f t="shared" si="42"/>
        <v>0</v>
      </c>
      <c r="M352" s="133"/>
      <c r="N352" s="133">
        <f t="shared" si="40"/>
        <v>0</v>
      </c>
      <c r="O352" s="134">
        <v>2</v>
      </c>
      <c r="P352" s="133"/>
      <c r="Q352" s="2" t="s">
        <v>1246</v>
      </c>
      <c r="R352" s="156">
        <f t="shared" si="43"/>
        <v>0</v>
      </c>
      <c r="S352" s="156">
        <f t="shared" si="44"/>
        <v>0</v>
      </c>
      <c r="T352" s="133"/>
      <c r="U352" s="133"/>
      <c r="V352" s="133"/>
      <c r="W352" s="133"/>
      <c r="X352" s="133"/>
      <c r="Y352" s="133"/>
      <c r="Z352" s="133"/>
      <c r="AA352" s="133"/>
      <c r="AB352" s="133"/>
      <c r="AC352" s="133"/>
      <c r="AD352" s="133"/>
      <c r="AE352" s="133"/>
      <c r="AF352" s="133"/>
      <c r="AG352" s="133"/>
      <c r="AH352" s="133"/>
      <c r="AI352" s="133"/>
      <c r="AJ352" s="133"/>
      <c r="AK352" s="133"/>
      <c r="AL352" s="133"/>
      <c r="AM352" s="133"/>
      <c r="AN352" s="133"/>
      <c r="AO352" s="133"/>
      <c r="AP352" s="133"/>
      <c r="AQ352" s="133"/>
      <c r="AR352" s="133"/>
      <c r="AS352" s="153">
        <v>0</v>
      </c>
      <c r="AT352" s="153">
        <v>0</v>
      </c>
      <c r="AU352" s="153">
        <v>0</v>
      </c>
      <c r="AV352" s="135"/>
      <c r="AW352" s="135"/>
      <c r="AX352" s="135"/>
      <c r="AY352" s="135"/>
      <c r="AZ352" s="135"/>
      <c r="BA352" s="135"/>
      <c r="BB352" s="135"/>
      <c r="BC352" s="135"/>
      <c r="BD352" s="135"/>
      <c r="BE352" s="135"/>
      <c r="BF352" s="135"/>
      <c r="BG352" s="135"/>
      <c r="BH352" s="135"/>
      <c r="BI352" s="2" t="s">
        <v>112</v>
      </c>
      <c r="BJ352" s="136"/>
      <c r="BK352" s="2">
        <v>0</v>
      </c>
      <c r="BL352" s="136" t="s">
        <v>113</v>
      </c>
      <c r="BM352" s="136">
        <v>44935</v>
      </c>
      <c r="BN352" s="2" t="s">
        <v>1184</v>
      </c>
      <c r="BO352" s="2"/>
      <c r="BP352" s="136"/>
      <c r="BQ352" s="137"/>
      <c r="BR352" s="138"/>
    </row>
    <row r="353" spans="1:70" ht="12.75" customHeight="1" x14ac:dyDescent="0.2">
      <c r="A353" s="2">
        <v>1842</v>
      </c>
      <c r="B353" s="2" t="s">
        <v>54</v>
      </c>
      <c r="C353" s="2" t="s">
        <v>4</v>
      </c>
      <c r="D353" s="2" t="s">
        <v>1156</v>
      </c>
      <c r="E353" s="2" t="s">
        <v>71</v>
      </c>
      <c r="F353" s="132">
        <v>260000</v>
      </c>
      <c r="G353" s="132">
        <v>2</v>
      </c>
      <c r="H353" s="132"/>
      <c r="I353" s="132"/>
      <c r="J353" s="132"/>
      <c r="K353" s="132">
        <f t="shared" si="41"/>
        <v>260000</v>
      </c>
      <c r="L353" s="132">
        <f t="shared" si="42"/>
        <v>0</v>
      </c>
      <c r="M353" s="133"/>
      <c r="N353" s="133">
        <f t="shared" si="40"/>
        <v>260000</v>
      </c>
      <c r="O353" s="134">
        <v>1</v>
      </c>
      <c r="P353" s="133"/>
      <c r="Q353" s="2" t="s">
        <v>1246</v>
      </c>
      <c r="R353" s="156">
        <f t="shared" si="43"/>
        <v>0</v>
      </c>
      <c r="S353" s="156">
        <f t="shared" si="44"/>
        <v>0</v>
      </c>
      <c r="T353" s="133"/>
      <c r="U353" s="133"/>
      <c r="V353" s="133"/>
      <c r="W353" s="133"/>
      <c r="X353" s="133"/>
      <c r="Y353" s="133"/>
      <c r="Z353" s="133"/>
      <c r="AA353" s="133"/>
      <c r="AB353" s="133"/>
      <c r="AC353" s="133"/>
      <c r="AD353" s="133"/>
      <c r="AE353" s="133"/>
      <c r="AF353" s="133"/>
      <c r="AG353" s="133"/>
      <c r="AH353" s="133"/>
      <c r="AI353" s="133"/>
      <c r="AJ353" s="133"/>
      <c r="AK353" s="133"/>
      <c r="AL353" s="133"/>
      <c r="AM353" s="133"/>
      <c r="AN353" s="133"/>
      <c r="AO353" s="133"/>
      <c r="AP353" s="133"/>
      <c r="AQ353" s="133"/>
      <c r="AR353" s="133"/>
      <c r="AS353" s="153">
        <v>0</v>
      </c>
      <c r="AT353" s="153">
        <v>0</v>
      </c>
      <c r="AU353" s="153">
        <v>0</v>
      </c>
      <c r="AV353" s="135"/>
      <c r="AW353" s="135"/>
      <c r="AX353" s="135"/>
      <c r="AY353" s="135"/>
      <c r="AZ353" s="135"/>
      <c r="BA353" s="135"/>
      <c r="BB353" s="135"/>
      <c r="BC353" s="135"/>
      <c r="BD353" s="135"/>
      <c r="BE353" s="135"/>
      <c r="BF353" s="135"/>
      <c r="BG353" s="135"/>
      <c r="BH353" s="135"/>
      <c r="BI353" s="2" t="s">
        <v>11</v>
      </c>
      <c r="BJ353" s="136"/>
      <c r="BK353" s="2">
        <v>0</v>
      </c>
      <c r="BL353" s="136" t="s">
        <v>113</v>
      </c>
      <c r="BM353" s="136">
        <v>44935</v>
      </c>
      <c r="BN353" s="2" t="s">
        <v>1185</v>
      </c>
      <c r="BO353" s="2"/>
      <c r="BP353" s="136"/>
      <c r="BQ353" s="137"/>
      <c r="BR353" s="138"/>
    </row>
    <row r="354" spans="1:70" ht="12.75" customHeight="1" x14ac:dyDescent="0.2">
      <c r="A354" s="2">
        <v>1843</v>
      </c>
      <c r="B354" s="2" t="s">
        <v>54</v>
      </c>
      <c r="C354" s="2" t="s">
        <v>4</v>
      </c>
      <c r="D354" s="2" t="s">
        <v>1157</v>
      </c>
      <c r="E354" s="2" t="s">
        <v>110</v>
      </c>
      <c r="F354" s="132">
        <f>3163*1.75</f>
        <v>5535.25</v>
      </c>
      <c r="G354" s="132"/>
      <c r="H354" s="132">
        <f>3163*1.75</f>
        <v>5535.25</v>
      </c>
      <c r="I354" s="132"/>
      <c r="J354" s="132">
        <f>844.36+4690.89</f>
        <v>5535.25</v>
      </c>
      <c r="K354" s="132">
        <f t="shared" si="41"/>
        <v>0</v>
      </c>
      <c r="L354" s="132">
        <f t="shared" si="42"/>
        <v>0</v>
      </c>
      <c r="M354" s="133"/>
      <c r="N354" s="133">
        <f t="shared" si="40"/>
        <v>0</v>
      </c>
      <c r="O354" s="134">
        <v>0</v>
      </c>
      <c r="P354" s="133"/>
      <c r="Q354" s="2" t="s">
        <v>1247</v>
      </c>
      <c r="R354" s="156">
        <f t="shared" si="43"/>
        <v>0</v>
      </c>
      <c r="S354" s="156">
        <f t="shared" si="44"/>
        <v>0</v>
      </c>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53">
        <v>0</v>
      </c>
      <c r="AT354" s="153">
        <v>0</v>
      </c>
      <c r="AU354" s="153">
        <v>0</v>
      </c>
      <c r="AV354" s="135"/>
      <c r="AW354" s="135"/>
      <c r="AX354" s="135"/>
      <c r="AY354" s="135"/>
      <c r="AZ354" s="135"/>
      <c r="BA354" s="135"/>
      <c r="BB354" s="135"/>
      <c r="BC354" s="135"/>
      <c r="BD354" s="135"/>
      <c r="BE354" s="135"/>
      <c r="BF354" s="135"/>
      <c r="BG354" s="135"/>
      <c r="BH354" s="135"/>
      <c r="BI354" s="2" t="s">
        <v>112</v>
      </c>
      <c r="BJ354" s="136">
        <v>45174</v>
      </c>
      <c r="BK354" s="2" t="s">
        <v>145</v>
      </c>
      <c r="BL354" s="136" t="s">
        <v>113</v>
      </c>
      <c r="BM354" s="136">
        <v>44935</v>
      </c>
      <c r="BN354" s="2" t="s">
        <v>1186</v>
      </c>
      <c r="BO354" s="2"/>
      <c r="BP354" s="136"/>
      <c r="BQ354" s="137" t="s">
        <v>134</v>
      </c>
      <c r="BR354" s="138"/>
    </row>
    <row r="355" spans="1:70" ht="12.75" customHeight="1" x14ac:dyDescent="0.2">
      <c r="A355" s="2">
        <v>1844</v>
      </c>
      <c r="B355" s="2" t="s">
        <v>54</v>
      </c>
      <c r="C355" s="2" t="s">
        <v>4</v>
      </c>
      <c r="D355" s="2" t="s">
        <v>1158</v>
      </c>
      <c r="E355" s="2" t="s">
        <v>71</v>
      </c>
      <c r="F355" s="132">
        <v>186000</v>
      </c>
      <c r="G355" s="132"/>
      <c r="H355" s="132">
        <f>150000+35000+4217</f>
        <v>189217</v>
      </c>
      <c r="I355" s="132">
        <f>H355</f>
        <v>189217</v>
      </c>
      <c r="J355" s="132">
        <f>22881.355+AS355+AV355+5338.98+4217</f>
        <v>189216.99500000002</v>
      </c>
      <c r="K355" s="132">
        <f t="shared" si="41"/>
        <v>-3216.9950000000244</v>
      </c>
      <c r="L355" s="132">
        <f t="shared" si="42"/>
        <v>4.9999999755527824E-3</v>
      </c>
      <c r="M355" s="133">
        <v>3143</v>
      </c>
      <c r="N355" s="133">
        <f t="shared" si="40"/>
        <v>4.9999999755527824E-3</v>
      </c>
      <c r="O355" s="134">
        <v>0</v>
      </c>
      <c r="P355" s="133"/>
      <c r="Q355" s="2" t="s">
        <v>1247</v>
      </c>
      <c r="R355" s="156">
        <f t="shared" si="43"/>
        <v>0</v>
      </c>
      <c r="S355" s="156">
        <f t="shared" si="44"/>
        <v>0</v>
      </c>
      <c r="T355" s="133"/>
      <c r="U355" s="133"/>
      <c r="V355" s="133"/>
      <c r="W355" s="133"/>
      <c r="X355" s="133"/>
      <c r="Y355" s="133"/>
      <c r="Z355" s="133"/>
      <c r="AA355" s="133"/>
      <c r="AB355" s="133"/>
      <c r="AC355" s="133"/>
      <c r="AD355" s="133"/>
      <c r="AE355" s="133"/>
      <c r="AF355" s="133"/>
      <c r="AG355" s="133"/>
      <c r="AH355" s="133"/>
      <c r="AI355" s="133"/>
      <c r="AJ355" s="133"/>
      <c r="AK355" s="133"/>
      <c r="AL355" s="133"/>
      <c r="AM355" s="133"/>
      <c r="AN355" s="133"/>
      <c r="AO355" s="133"/>
      <c r="AP355" s="133"/>
      <c r="AQ355" s="133"/>
      <c r="AR355" s="133"/>
      <c r="AS355" s="153">
        <v>0</v>
      </c>
      <c r="AT355" s="153">
        <v>0</v>
      </c>
      <c r="AU355" s="153">
        <v>0</v>
      </c>
      <c r="AV355" s="135">
        <f>127118.64+N("სილქი")+29661.02+N("სილქი")</f>
        <v>156779.66</v>
      </c>
      <c r="AW355" s="135">
        <f>8026.48+1338.53</f>
        <v>9365.01</v>
      </c>
      <c r="AX355" s="135">
        <f>(I355/1.18-AT355-AW355)*0.1</f>
        <v>15098.837983050847</v>
      </c>
      <c r="AY355" s="135"/>
      <c r="AZ355" s="135"/>
      <c r="BA355" s="135"/>
      <c r="BB355" s="135"/>
      <c r="BC355" s="135"/>
      <c r="BD355" s="135"/>
      <c r="BE355" s="135">
        <f>(H355/1.18-AT355-AW355-AZ355-BD355)*0.1-AU355-AX355-BA355-BB355</f>
        <v>0</v>
      </c>
      <c r="BF355" s="135"/>
      <c r="BG355" s="135"/>
      <c r="BH355" s="135"/>
      <c r="BI355" s="2" t="s">
        <v>11</v>
      </c>
      <c r="BJ355" s="136">
        <v>45289</v>
      </c>
      <c r="BK355" s="2" t="s">
        <v>8</v>
      </c>
      <c r="BL355" s="136" t="s">
        <v>113</v>
      </c>
      <c r="BM355" s="136">
        <v>44935</v>
      </c>
      <c r="BN355" s="2" t="s">
        <v>1187</v>
      </c>
      <c r="BO355" s="2"/>
      <c r="BP355" s="136"/>
      <c r="BQ355" s="137" t="s">
        <v>119</v>
      </c>
      <c r="BR355" s="138"/>
    </row>
    <row r="356" spans="1:70" ht="12.75" customHeight="1" x14ac:dyDescent="0.2">
      <c r="A356" s="2">
        <v>1845</v>
      </c>
      <c r="B356" s="2" t="s">
        <v>54</v>
      </c>
      <c r="C356" s="2" t="s">
        <v>4</v>
      </c>
      <c r="D356" s="2" t="s">
        <v>1159</v>
      </c>
      <c r="E356" s="2" t="s">
        <v>110</v>
      </c>
      <c r="F356" s="132">
        <v>2054</v>
      </c>
      <c r="G356" s="132"/>
      <c r="H356" s="132">
        <v>2054</v>
      </c>
      <c r="I356" s="132"/>
      <c r="J356" s="132">
        <f>313.32+1740.68</f>
        <v>2054</v>
      </c>
      <c r="K356" s="132">
        <f t="shared" si="41"/>
        <v>0</v>
      </c>
      <c r="L356" s="132">
        <f t="shared" si="42"/>
        <v>0</v>
      </c>
      <c r="M356" s="133"/>
      <c r="N356" s="133">
        <f t="shared" si="40"/>
        <v>0</v>
      </c>
      <c r="O356" s="134">
        <v>0</v>
      </c>
      <c r="P356" s="133"/>
      <c r="Q356" s="2" t="s">
        <v>1248</v>
      </c>
      <c r="R356" s="156">
        <f t="shared" si="43"/>
        <v>0</v>
      </c>
      <c r="S356" s="156">
        <f t="shared" si="44"/>
        <v>0</v>
      </c>
      <c r="T356" s="133"/>
      <c r="U356" s="133"/>
      <c r="V356" s="133"/>
      <c r="W356" s="133"/>
      <c r="X356" s="133"/>
      <c r="Y356" s="133"/>
      <c r="Z356" s="133"/>
      <c r="AA356" s="133"/>
      <c r="AB356" s="133"/>
      <c r="AC356" s="133"/>
      <c r="AD356" s="133"/>
      <c r="AE356" s="133"/>
      <c r="AF356" s="133"/>
      <c r="AG356" s="133"/>
      <c r="AH356" s="133"/>
      <c r="AI356" s="133"/>
      <c r="AJ356" s="133"/>
      <c r="AK356" s="133"/>
      <c r="AL356" s="133"/>
      <c r="AM356" s="133"/>
      <c r="AN356" s="133"/>
      <c r="AO356" s="133"/>
      <c r="AP356" s="133"/>
      <c r="AQ356" s="133"/>
      <c r="AR356" s="133"/>
      <c r="AS356" s="153">
        <v>0</v>
      </c>
      <c r="AT356" s="153">
        <v>0</v>
      </c>
      <c r="AU356" s="153">
        <v>0</v>
      </c>
      <c r="AV356" s="135"/>
      <c r="AW356" s="135"/>
      <c r="AX356" s="135"/>
      <c r="AY356" s="135"/>
      <c r="AZ356" s="135"/>
      <c r="BA356" s="135"/>
      <c r="BB356" s="135"/>
      <c r="BC356" s="135"/>
      <c r="BD356" s="135"/>
      <c r="BE356" s="135"/>
      <c r="BF356" s="135"/>
      <c r="BG356" s="135"/>
      <c r="BH356" s="135"/>
      <c r="BI356" s="2" t="s">
        <v>112</v>
      </c>
      <c r="BJ356" s="136">
        <v>45103</v>
      </c>
      <c r="BK356" s="2" t="s">
        <v>145</v>
      </c>
      <c r="BL356" s="136" t="s">
        <v>113</v>
      </c>
      <c r="BM356" s="136">
        <v>44935</v>
      </c>
      <c r="BN356" s="2" t="s">
        <v>1188</v>
      </c>
      <c r="BO356" s="2"/>
      <c r="BP356" s="136"/>
      <c r="BQ356" s="137" t="s">
        <v>134</v>
      </c>
      <c r="BR356" s="138"/>
    </row>
    <row r="357" spans="1:70" ht="12.75" customHeight="1" x14ac:dyDescent="0.2">
      <c r="A357" s="2">
        <v>1846</v>
      </c>
      <c r="B357" s="2" t="s">
        <v>54</v>
      </c>
      <c r="C357" s="2" t="s">
        <v>4</v>
      </c>
      <c r="D357" s="2" t="s">
        <v>1160</v>
      </c>
      <c r="E357" s="2" t="s">
        <v>71</v>
      </c>
      <c r="F357" s="132">
        <v>200000</v>
      </c>
      <c r="G357" s="132"/>
      <c r="H357" s="132">
        <f>100000+15770</f>
        <v>115770</v>
      </c>
      <c r="I357" s="132">
        <f>H357</f>
        <v>115770</v>
      </c>
      <c r="J357" s="132">
        <f>15254.237+AS357+AV357+15770.003</f>
        <v>115769.99999999999</v>
      </c>
      <c r="K357" s="132">
        <f t="shared" si="41"/>
        <v>84230.000000000015</v>
      </c>
      <c r="L357" s="132">
        <f t="shared" si="42"/>
        <v>0</v>
      </c>
      <c r="M357" s="133">
        <v>1094</v>
      </c>
      <c r="N357" s="133">
        <f t="shared" si="40"/>
        <v>1.4551915228366852E-11</v>
      </c>
      <c r="O357" s="134">
        <v>0</v>
      </c>
      <c r="P357" s="133"/>
      <c r="Q357" s="2" t="s">
        <v>1248</v>
      </c>
      <c r="R357" s="156">
        <f t="shared" si="43"/>
        <v>0</v>
      </c>
      <c r="S357" s="156">
        <f t="shared" si="44"/>
        <v>0</v>
      </c>
      <c r="T357" s="133"/>
      <c r="U357" s="133"/>
      <c r="V357" s="133"/>
      <c r="W357" s="133"/>
      <c r="X357" s="133"/>
      <c r="Y357" s="133"/>
      <c r="Z357" s="133"/>
      <c r="AA357" s="133"/>
      <c r="AB357" s="133"/>
      <c r="AC357" s="133"/>
      <c r="AD357" s="133"/>
      <c r="AE357" s="133"/>
      <c r="AF357" s="133"/>
      <c r="AG357" s="133"/>
      <c r="AH357" s="133"/>
      <c r="AI357" s="133"/>
      <c r="AJ357" s="133"/>
      <c r="AK357" s="133"/>
      <c r="AL357" s="133"/>
      <c r="AM357" s="133"/>
      <c r="AN357" s="133"/>
      <c r="AO357" s="133"/>
      <c r="AP357" s="133"/>
      <c r="AQ357" s="133"/>
      <c r="AR357" s="133"/>
      <c r="AS357" s="153">
        <v>0</v>
      </c>
      <c r="AT357" s="153">
        <v>0</v>
      </c>
      <c r="AU357" s="153">
        <v>0</v>
      </c>
      <c r="AV357" s="135">
        <f>84745.76+N("თბს")</f>
        <v>84745.76</v>
      </c>
      <c r="AW357" s="135">
        <v>10076.620000000001</v>
      </c>
      <c r="AX357" s="135">
        <f>(I357/1.18-AT357-AW357)*0.1</f>
        <v>8803.3549491525446</v>
      </c>
      <c r="AY357" s="135"/>
      <c r="AZ357" s="135"/>
      <c r="BA357" s="135"/>
      <c r="BB357" s="135"/>
      <c r="BC357" s="135"/>
      <c r="BD357" s="135"/>
      <c r="BE357" s="135">
        <f>(H357/1.18-AT357-AW357-AZ357-BD357)*0.1-AU357-AX357-BA357-BB357</f>
        <v>0</v>
      </c>
      <c r="BF357" s="135"/>
      <c r="BG357" s="135"/>
      <c r="BH357" s="135"/>
      <c r="BI357" s="2" t="s">
        <v>11</v>
      </c>
      <c r="BJ357" s="136">
        <v>45278</v>
      </c>
      <c r="BK357" s="2" t="s">
        <v>8</v>
      </c>
      <c r="BL357" s="136" t="s">
        <v>113</v>
      </c>
      <c r="BM357" s="136">
        <v>44935</v>
      </c>
      <c r="BN357" s="2" t="s">
        <v>1189</v>
      </c>
      <c r="BO357" s="2"/>
      <c r="BP357" s="136"/>
      <c r="BQ357" s="137" t="s">
        <v>119</v>
      </c>
      <c r="BR357" s="138"/>
    </row>
    <row r="358" spans="1:70" ht="12.75" customHeight="1" x14ac:dyDescent="0.2">
      <c r="A358" s="2">
        <v>1847</v>
      </c>
      <c r="B358" s="2" t="s">
        <v>54</v>
      </c>
      <c r="C358" s="2" t="s">
        <v>4</v>
      </c>
      <c r="D358" s="2" t="s">
        <v>1161</v>
      </c>
      <c r="E358" s="2" t="s">
        <v>110</v>
      </c>
      <c r="F358" s="132">
        <v>3846</v>
      </c>
      <c r="G358" s="132"/>
      <c r="H358" s="132">
        <v>3846</v>
      </c>
      <c r="I358" s="132"/>
      <c r="J358" s="132">
        <f>586.68+3259.32</f>
        <v>3846</v>
      </c>
      <c r="K358" s="132">
        <f t="shared" si="41"/>
        <v>0</v>
      </c>
      <c r="L358" s="132">
        <f t="shared" si="42"/>
        <v>0</v>
      </c>
      <c r="M358" s="133"/>
      <c r="N358" s="133">
        <f t="shared" si="40"/>
        <v>0</v>
      </c>
      <c r="O358" s="134">
        <v>0</v>
      </c>
      <c r="P358" s="133"/>
      <c r="Q358" s="2" t="s">
        <v>1249</v>
      </c>
      <c r="R358" s="156">
        <f t="shared" si="43"/>
        <v>0</v>
      </c>
      <c r="S358" s="156">
        <f t="shared" si="44"/>
        <v>0</v>
      </c>
      <c r="T358" s="133"/>
      <c r="U358" s="133"/>
      <c r="V358" s="133"/>
      <c r="W358" s="133"/>
      <c r="X358" s="133"/>
      <c r="Y358" s="133"/>
      <c r="Z358" s="133"/>
      <c r="AA358" s="133"/>
      <c r="AB358" s="133"/>
      <c r="AC358" s="133"/>
      <c r="AD358" s="133"/>
      <c r="AE358" s="133"/>
      <c r="AF358" s="133"/>
      <c r="AG358" s="133"/>
      <c r="AH358" s="133"/>
      <c r="AI358" s="133"/>
      <c r="AJ358" s="133"/>
      <c r="AK358" s="133"/>
      <c r="AL358" s="133"/>
      <c r="AM358" s="133"/>
      <c r="AN358" s="133"/>
      <c r="AO358" s="133"/>
      <c r="AP358" s="133"/>
      <c r="AQ358" s="133"/>
      <c r="AR358" s="133"/>
      <c r="AS358" s="153">
        <v>0</v>
      </c>
      <c r="AT358" s="153">
        <v>0</v>
      </c>
      <c r="AU358" s="153">
        <v>0</v>
      </c>
      <c r="AV358" s="135"/>
      <c r="AW358" s="135"/>
      <c r="AX358" s="135"/>
      <c r="AY358" s="135"/>
      <c r="AZ358" s="135"/>
      <c r="BA358" s="135"/>
      <c r="BB358" s="135"/>
      <c r="BC358" s="135"/>
      <c r="BD358" s="135"/>
      <c r="BE358" s="135"/>
      <c r="BF358" s="135"/>
      <c r="BG358" s="135"/>
      <c r="BH358" s="135"/>
      <c r="BI358" s="2" t="s">
        <v>112</v>
      </c>
      <c r="BJ358" s="136">
        <v>45103</v>
      </c>
      <c r="BK358" s="2" t="s">
        <v>145</v>
      </c>
      <c r="BL358" s="136" t="s">
        <v>113</v>
      </c>
      <c r="BM358" s="136">
        <v>44935</v>
      </c>
      <c r="BN358" s="2" t="s">
        <v>1190</v>
      </c>
      <c r="BO358" s="2"/>
      <c r="BP358" s="136"/>
      <c r="BQ358" s="137" t="s">
        <v>134</v>
      </c>
      <c r="BR358" s="138"/>
    </row>
    <row r="359" spans="1:70" ht="12.75" customHeight="1" x14ac:dyDescent="0.2">
      <c r="A359" s="2">
        <v>1848</v>
      </c>
      <c r="B359" s="2" t="s">
        <v>54</v>
      </c>
      <c r="C359" s="2" t="s">
        <v>4</v>
      </c>
      <c r="D359" s="2" t="s">
        <v>1162</v>
      </c>
      <c r="E359" s="2" t="s">
        <v>71</v>
      </c>
      <c r="F359" s="132">
        <v>170000</v>
      </c>
      <c r="G359" s="132"/>
      <c r="H359" s="132">
        <f>150000+62490</f>
        <v>212490</v>
      </c>
      <c r="I359" s="132">
        <f>H359</f>
        <v>212490</v>
      </c>
      <c r="J359" s="132">
        <f>22881.3559+AS359+AV359+62490.0041</f>
        <v>212490</v>
      </c>
      <c r="K359" s="132">
        <f t="shared" si="41"/>
        <v>-42490</v>
      </c>
      <c r="L359" s="132">
        <f t="shared" si="42"/>
        <v>0</v>
      </c>
      <c r="M359" s="133">
        <v>2179</v>
      </c>
      <c r="N359" s="133">
        <f t="shared" si="40"/>
        <v>0</v>
      </c>
      <c r="O359" s="134">
        <v>0</v>
      </c>
      <c r="P359" s="133"/>
      <c r="Q359" s="2" t="s">
        <v>1249</v>
      </c>
      <c r="R359" s="156">
        <f t="shared" si="43"/>
        <v>0</v>
      </c>
      <c r="S359" s="156">
        <f t="shared" si="44"/>
        <v>0</v>
      </c>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133"/>
      <c r="AS359" s="153">
        <v>0</v>
      </c>
      <c r="AT359" s="153">
        <v>0</v>
      </c>
      <c r="AU359" s="153">
        <v>0</v>
      </c>
      <c r="AV359" s="135">
        <f>127118.64</f>
        <v>127118.64</v>
      </c>
      <c r="AW359" s="135">
        <f>15114.93</f>
        <v>15114.93</v>
      </c>
      <c r="AX359" s="135">
        <f>(I359/1.18-AT359-AW359)*0.1</f>
        <v>16496.13411864407</v>
      </c>
      <c r="AY359" s="135"/>
      <c r="AZ359" s="135"/>
      <c r="BA359" s="135"/>
      <c r="BB359" s="135"/>
      <c r="BC359" s="135"/>
      <c r="BD359" s="135"/>
      <c r="BE359" s="135">
        <f>(H359/1.18-AT359-AW359-AZ359-BD359)*0.1-AU359-AX359-BA359-BB359</f>
        <v>0</v>
      </c>
      <c r="BF359" s="135"/>
      <c r="BG359" s="135"/>
      <c r="BH359" s="135"/>
      <c r="BI359" s="2" t="s">
        <v>11</v>
      </c>
      <c r="BJ359" s="136">
        <v>45289</v>
      </c>
      <c r="BK359" s="2" t="s">
        <v>8</v>
      </c>
      <c r="BL359" s="136" t="s">
        <v>113</v>
      </c>
      <c r="BM359" s="136">
        <v>44935</v>
      </c>
      <c r="BN359" s="2" t="s">
        <v>1191</v>
      </c>
      <c r="BO359" s="2"/>
      <c r="BP359" s="136"/>
      <c r="BQ359" s="137" t="s">
        <v>119</v>
      </c>
      <c r="BR359" s="138"/>
    </row>
    <row r="360" spans="1:70" ht="12.75" customHeight="1" x14ac:dyDescent="0.2">
      <c r="A360" s="2">
        <v>1849</v>
      </c>
      <c r="B360" s="2" t="s">
        <v>54</v>
      </c>
      <c r="C360" s="2" t="s">
        <v>17</v>
      </c>
      <c r="D360" s="2" t="s">
        <v>1273</v>
      </c>
      <c r="E360" s="2" t="s">
        <v>110</v>
      </c>
      <c r="F360" s="150">
        <f>16338*1.75</f>
        <v>28591.5</v>
      </c>
      <c r="G360" s="150"/>
      <c r="H360" s="150">
        <f>16338*1.75</f>
        <v>28591.5</v>
      </c>
      <c r="I360" s="150"/>
      <c r="J360" s="132">
        <f>4361.415+24230.085</f>
        <v>28591.5</v>
      </c>
      <c r="K360" s="132">
        <f t="shared" si="41"/>
        <v>0</v>
      </c>
      <c r="L360" s="132">
        <f t="shared" si="42"/>
        <v>0</v>
      </c>
      <c r="M360" s="133"/>
      <c r="N360" s="133">
        <f t="shared" si="40"/>
        <v>0</v>
      </c>
      <c r="O360" s="134">
        <v>0</v>
      </c>
      <c r="P360" s="133"/>
      <c r="Q360" s="2" t="s">
        <v>1250</v>
      </c>
      <c r="R360" s="156">
        <f t="shared" si="43"/>
        <v>0</v>
      </c>
      <c r="S360" s="156">
        <f t="shared" si="44"/>
        <v>0</v>
      </c>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53">
        <v>0</v>
      </c>
      <c r="AT360" s="153">
        <v>0</v>
      </c>
      <c r="AU360" s="153">
        <v>0</v>
      </c>
      <c r="AV360" s="135"/>
      <c r="AW360" s="135"/>
      <c r="AX360" s="135"/>
      <c r="AY360" s="135"/>
      <c r="AZ360" s="135"/>
      <c r="BA360" s="135"/>
      <c r="BB360" s="135"/>
      <c r="BC360" s="135"/>
      <c r="BD360" s="135"/>
      <c r="BE360" s="135"/>
      <c r="BF360" s="135"/>
      <c r="BG360" s="135"/>
      <c r="BH360" s="135"/>
      <c r="BI360" s="2" t="s">
        <v>112</v>
      </c>
      <c r="BJ360" s="136">
        <v>45146</v>
      </c>
      <c r="BK360" s="2" t="s">
        <v>145</v>
      </c>
      <c r="BL360" s="136" t="s">
        <v>113</v>
      </c>
      <c r="BM360" s="136">
        <v>44935</v>
      </c>
      <c r="BN360" s="2" t="s">
        <v>1192</v>
      </c>
      <c r="BO360" s="2"/>
      <c r="BP360" s="136"/>
      <c r="BQ360" s="137" t="s">
        <v>134</v>
      </c>
      <c r="BR360" s="138"/>
    </row>
    <row r="361" spans="1:70" ht="12.75" customHeight="1" x14ac:dyDescent="0.2">
      <c r="A361" s="2">
        <v>1850</v>
      </c>
      <c r="B361" s="2" t="s">
        <v>54</v>
      </c>
      <c r="C361" s="2" t="s">
        <v>17</v>
      </c>
      <c r="D361" s="2" t="s">
        <v>1163</v>
      </c>
      <c r="E361" s="2" t="s">
        <v>71</v>
      </c>
      <c r="F361" s="132">
        <v>677000</v>
      </c>
      <c r="G361" s="132" t="s">
        <v>3836</v>
      </c>
      <c r="H361" s="323">
        <f>250000+250000+250000+50000+10000+3000+R361</f>
        <v>868031.94</v>
      </c>
      <c r="I361" s="132"/>
      <c r="J361" s="132">
        <f>38135.59+38135.59+7627.12+1525.423+457.627+AY361+S361+BC361</f>
        <v>868031.92999999993</v>
      </c>
      <c r="K361" s="132">
        <f t="shared" si="41"/>
        <v>-191031.92999999993</v>
      </c>
      <c r="L361" s="132">
        <f t="shared" si="42"/>
        <v>1.0000000009313226E-2</v>
      </c>
      <c r="M361" s="133">
        <v>19057.599999999999</v>
      </c>
      <c r="N361" s="133">
        <f t="shared" si="40"/>
        <v>1.0000000009313226E-2</v>
      </c>
      <c r="O361" s="134">
        <v>1</v>
      </c>
      <c r="P361" s="133"/>
      <c r="Q361" s="2" t="s">
        <v>1250</v>
      </c>
      <c r="R361" s="156">
        <f t="shared" si="43"/>
        <v>55031.94</v>
      </c>
      <c r="S361" s="156">
        <f t="shared" si="44"/>
        <v>48252.270000000004</v>
      </c>
      <c r="T361" s="287">
        <v>53000</v>
      </c>
      <c r="U361" s="133"/>
      <c r="V361" s="133">
        <v>2031.94</v>
      </c>
      <c r="W361" s="133">
        <f>8084.75</f>
        <v>8084.75</v>
      </c>
      <c r="X361" s="133"/>
      <c r="Y361" s="133">
        <v>309.95</v>
      </c>
      <c r="Z361" s="133"/>
      <c r="AA361" s="133"/>
      <c r="AB361" s="133"/>
      <c r="AC361" s="133"/>
      <c r="AD361" s="133"/>
      <c r="AE361" s="133">
        <v>39857.57</v>
      </c>
      <c r="AF361" s="133"/>
      <c r="AG361" s="133"/>
      <c r="AH361" s="133"/>
      <c r="AI361" s="133"/>
      <c r="AJ361" s="133"/>
      <c r="AK361" s="133"/>
      <c r="AL361" s="133"/>
      <c r="AM361" s="133"/>
      <c r="AN361" s="133"/>
      <c r="AO361" s="133"/>
      <c r="AP361" s="133"/>
      <c r="AQ361" s="133"/>
      <c r="AR361" s="133"/>
      <c r="AS361" s="153">
        <v>0</v>
      </c>
      <c r="AT361" s="153">
        <v>0</v>
      </c>
      <c r="AU361" s="153">
        <v>0</v>
      </c>
      <c r="AV361" s="135"/>
      <c r="AW361" s="135"/>
      <c r="AX361" s="135"/>
      <c r="AY361" s="135">
        <f>211864.41+211864.41+211864.41+42372.88+8474.58+2542.37</f>
        <v>688983.05999999994</v>
      </c>
      <c r="AZ361" s="135">
        <f>23666.53+21723+19667.29+3245.59+489.15+113.52</f>
        <v>68905.08</v>
      </c>
      <c r="BA361" s="135">
        <v>0</v>
      </c>
      <c r="BB361" s="140">
        <f>(866000/1.18-AT361-AW361-AZ361)*0.1-AU361-AX361-BA361</f>
        <v>66499.322508474579</v>
      </c>
      <c r="BC361" s="135">
        <v>44915.25</v>
      </c>
      <c r="BD361" s="135">
        <v>1010.9</v>
      </c>
      <c r="BE361" s="135">
        <f>(H361/1.18-AT361-AW361-AZ361-BD361)*0.1-AU361-AX361-BA361-BB361</f>
        <v>71.108305084737367</v>
      </c>
      <c r="BF361" s="135"/>
      <c r="BG361" s="135"/>
      <c r="BH361" s="135"/>
      <c r="BI361" s="2" t="s">
        <v>11</v>
      </c>
      <c r="BJ361" s="136">
        <v>45705</v>
      </c>
      <c r="BK361" s="2" t="s">
        <v>8</v>
      </c>
      <c r="BL361" s="136" t="s">
        <v>113</v>
      </c>
      <c r="BM361" s="136">
        <v>44935</v>
      </c>
      <c r="BN361" s="2" t="s">
        <v>1193</v>
      </c>
      <c r="BO361" s="2"/>
      <c r="BP361" s="136"/>
      <c r="BQ361" s="137" t="s">
        <v>119</v>
      </c>
      <c r="BR361" s="138"/>
    </row>
    <row r="362" spans="1:70" ht="12.75" customHeight="1" x14ac:dyDescent="0.2">
      <c r="A362" s="2">
        <v>1851</v>
      </c>
      <c r="B362" s="2" t="s">
        <v>31</v>
      </c>
      <c r="C362" s="2" t="s">
        <v>32</v>
      </c>
      <c r="D362" s="2" t="s">
        <v>1274</v>
      </c>
      <c r="E362" s="2" t="s">
        <v>110</v>
      </c>
      <c r="F362" s="132">
        <f>7816*1.75</f>
        <v>13678</v>
      </c>
      <c r="G362" s="132"/>
      <c r="H362" s="132">
        <f>7816*1.75</f>
        <v>13678</v>
      </c>
      <c r="I362" s="132"/>
      <c r="J362" s="132">
        <f>2086.47+11591.53</f>
        <v>13678</v>
      </c>
      <c r="K362" s="132">
        <f t="shared" si="41"/>
        <v>0</v>
      </c>
      <c r="L362" s="132">
        <f t="shared" si="42"/>
        <v>0</v>
      </c>
      <c r="M362" s="133"/>
      <c r="N362" s="133">
        <f t="shared" ref="N362:N425" si="45">IF(OR(BK362="принят",BK362="Завершено",BK362="ПриПро"),H362-J362,F362-J362)</f>
        <v>0</v>
      </c>
      <c r="O362" s="134">
        <v>0</v>
      </c>
      <c r="P362" s="133"/>
      <c r="Q362" s="2" t="s">
        <v>1251</v>
      </c>
      <c r="R362" s="156">
        <f t="shared" si="43"/>
        <v>0</v>
      </c>
      <c r="S362" s="156">
        <f t="shared" si="44"/>
        <v>0</v>
      </c>
      <c r="T362" s="133"/>
      <c r="U362" s="133"/>
      <c r="V362" s="133"/>
      <c r="W362" s="133"/>
      <c r="X362" s="133"/>
      <c r="Y362" s="133"/>
      <c r="Z362" s="133"/>
      <c r="AA362" s="133"/>
      <c r="AB362" s="133"/>
      <c r="AC362" s="133"/>
      <c r="AD362" s="133"/>
      <c r="AE362" s="133"/>
      <c r="AF362" s="133"/>
      <c r="AG362" s="133"/>
      <c r="AH362" s="133"/>
      <c r="AI362" s="133"/>
      <c r="AJ362" s="133"/>
      <c r="AK362" s="133"/>
      <c r="AL362" s="133"/>
      <c r="AM362" s="133"/>
      <c r="AN362" s="133"/>
      <c r="AO362" s="133"/>
      <c r="AP362" s="133"/>
      <c r="AQ362" s="133"/>
      <c r="AR362" s="133"/>
      <c r="AS362" s="153">
        <v>0</v>
      </c>
      <c r="AT362" s="153">
        <v>0</v>
      </c>
      <c r="AU362" s="153">
        <v>0</v>
      </c>
      <c r="AV362" s="135"/>
      <c r="AW362" s="135"/>
      <c r="AX362" s="135"/>
      <c r="AY362" s="135"/>
      <c r="AZ362" s="135"/>
      <c r="BA362" s="135"/>
      <c r="BB362" s="135"/>
      <c r="BC362" s="135"/>
      <c r="BD362" s="135"/>
      <c r="BE362" s="135"/>
      <c r="BF362" s="135"/>
      <c r="BG362" s="135"/>
      <c r="BH362" s="135"/>
      <c r="BI362" s="2" t="s">
        <v>112</v>
      </c>
      <c r="BJ362" s="136">
        <v>45217</v>
      </c>
      <c r="BK362" s="2" t="s">
        <v>145</v>
      </c>
      <c r="BL362" s="136" t="s">
        <v>113</v>
      </c>
      <c r="BM362" s="136">
        <v>44935</v>
      </c>
      <c r="BN362" s="2" t="s">
        <v>1194</v>
      </c>
      <c r="BO362" s="2"/>
      <c r="BP362" s="136"/>
      <c r="BQ362" s="137" t="s">
        <v>134</v>
      </c>
      <c r="BR362" s="138"/>
    </row>
    <row r="363" spans="1:70" ht="12.75" customHeight="1" x14ac:dyDescent="0.2">
      <c r="A363" s="2">
        <v>1852</v>
      </c>
      <c r="B363" s="2" t="s">
        <v>31</v>
      </c>
      <c r="C363" s="2" t="s">
        <v>32</v>
      </c>
      <c r="D363" s="2" t="s">
        <v>1275</v>
      </c>
      <c r="E363" s="2" t="s">
        <v>71</v>
      </c>
      <c r="F363" s="132">
        <v>190000</v>
      </c>
      <c r="G363" s="132">
        <v>2</v>
      </c>
      <c r="H363" s="132">
        <f>100000+100000+180000+70000+33964.43</f>
        <v>483964.43</v>
      </c>
      <c r="I363" s="132">
        <f>100000+100000+180000+70000+33964.43</f>
        <v>483964.43</v>
      </c>
      <c r="J363" s="132">
        <f>15254.237+15254.237+27457.627+AV363+AY363+44642.4</f>
        <v>483964.42100000009</v>
      </c>
      <c r="K363" s="132">
        <f t="shared" si="41"/>
        <v>-293964.42100000009</v>
      </c>
      <c r="L363" s="132">
        <f t="shared" si="42"/>
        <v>8.9999999036081135E-3</v>
      </c>
      <c r="M363" s="133">
        <v>8470</v>
      </c>
      <c r="N363" s="133">
        <f t="shared" si="45"/>
        <v>8.9999999036081135E-3</v>
      </c>
      <c r="O363" s="134">
        <v>0</v>
      </c>
      <c r="P363" s="133"/>
      <c r="Q363" s="2" t="s">
        <v>1251</v>
      </c>
      <c r="R363" s="156">
        <f t="shared" si="43"/>
        <v>0</v>
      </c>
      <c r="S363" s="156">
        <f t="shared" si="44"/>
        <v>0</v>
      </c>
      <c r="T363" s="133"/>
      <c r="U363" s="133"/>
      <c r="V363" s="133"/>
      <c r="W363" s="133"/>
      <c r="X363" s="133"/>
      <c r="Y363" s="133"/>
      <c r="Z363" s="133"/>
      <c r="AA363" s="133"/>
      <c r="AB363" s="133"/>
      <c r="AC363" s="133"/>
      <c r="AD363" s="133"/>
      <c r="AE363" s="133"/>
      <c r="AF363" s="133"/>
      <c r="AG363" s="133"/>
      <c r="AH363" s="133"/>
      <c r="AI363" s="133"/>
      <c r="AJ363" s="133"/>
      <c r="AK363" s="133"/>
      <c r="AL363" s="133"/>
      <c r="AM363" s="133"/>
      <c r="AN363" s="133"/>
      <c r="AO363" s="133"/>
      <c r="AP363" s="133"/>
      <c r="AQ363" s="133"/>
      <c r="AR363" s="133"/>
      <c r="AS363" s="153">
        <v>0</v>
      </c>
      <c r="AT363" s="153">
        <v>0</v>
      </c>
      <c r="AU363" s="153">
        <v>0</v>
      </c>
      <c r="AV363" s="135">
        <f>84745.76+84745.76+152542.37</f>
        <v>322033.89</v>
      </c>
      <c r="AW363" s="135">
        <f>4703.83+3824.37+5731.65</f>
        <v>14259.85</v>
      </c>
      <c r="AX363" s="135"/>
      <c r="AY363" s="135">
        <v>59322.03</v>
      </c>
      <c r="AZ363" s="135">
        <v>5506.84</v>
      </c>
      <c r="BA363" s="135">
        <f>380000/1.18*0.8*0.1</f>
        <v>25762.711864406785</v>
      </c>
      <c r="BB363" s="140">
        <f>(H363/1.18-AT363-AW363-AZ363)*0.1-AU363-AX363-BA363</f>
        <v>13274.553881355929</v>
      </c>
      <c r="BC363" s="135"/>
      <c r="BD363" s="135"/>
      <c r="BE363" s="135">
        <f>(H363/1.18-AT363-AW363-AZ363-BD363)*0.1-AU363-AX363-BA363-BB363</f>
        <v>0</v>
      </c>
      <c r="BF363" s="135"/>
      <c r="BG363" s="135"/>
      <c r="BH363" s="135"/>
      <c r="BI363" s="2" t="s">
        <v>11</v>
      </c>
      <c r="BJ363" s="136">
        <v>45518</v>
      </c>
      <c r="BK363" s="2" t="s">
        <v>8</v>
      </c>
      <c r="BL363" s="136" t="s">
        <v>113</v>
      </c>
      <c r="BM363" s="136">
        <v>44935</v>
      </c>
      <c r="BN363" s="2" t="s">
        <v>1195</v>
      </c>
      <c r="BO363" s="2"/>
      <c r="BP363" s="136"/>
      <c r="BQ363" s="137" t="s">
        <v>119</v>
      </c>
      <c r="BR363" s="138"/>
    </row>
    <row r="364" spans="1:70" ht="12.75" customHeight="1" x14ac:dyDescent="0.2">
      <c r="A364" s="2">
        <v>1853</v>
      </c>
      <c r="B364" s="2" t="s">
        <v>31</v>
      </c>
      <c r="C364" s="2" t="s">
        <v>32</v>
      </c>
      <c r="D364" s="2" t="s">
        <v>1276</v>
      </c>
      <c r="E364" s="2" t="s">
        <v>110</v>
      </c>
      <c r="F364" s="132">
        <f>1356*1.75</f>
        <v>2373</v>
      </c>
      <c r="G364" s="132"/>
      <c r="H364" s="132">
        <f>1356*1.75</f>
        <v>2373</v>
      </c>
      <c r="I364" s="132"/>
      <c r="J364" s="132">
        <f>361.98+2011.02</f>
        <v>2373</v>
      </c>
      <c r="K364" s="132">
        <f t="shared" si="41"/>
        <v>0</v>
      </c>
      <c r="L364" s="132">
        <f t="shared" si="42"/>
        <v>0</v>
      </c>
      <c r="M364" s="133"/>
      <c r="N364" s="133">
        <f t="shared" si="45"/>
        <v>0</v>
      </c>
      <c r="O364" s="134">
        <v>0</v>
      </c>
      <c r="P364" s="133"/>
      <c r="Q364" s="2" t="s">
        <v>1252</v>
      </c>
      <c r="R364" s="156">
        <f t="shared" si="43"/>
        <v>0</v>
      </c>
      <c r="S364" s="156">
        <f t="shared" si="44"/>
        <v>0</v>
      </c>
      <c r="T364" s="133"/>
      <c r="U364" s="133"/>
      <c r="V364" s="133"/>
      <c r="W364" s="133"/>
      <c r="X364" s="133"/>
      <c r="Y364" s="133"/>
      <c r="Z364" s="133"/>
      <c r="AA364" s="133"/>
      <c r="AB364" s="133"/>
      <c r="AC364" s="133"/>
      <c r="AD364" s="133"/>
      <c r="AE364" s="133"/>
      <c r="AF364" s="133"/>
      <c r="AG364" s="133"/>
      <c r="AH364" s="133"/>
      <c r="AI364" s="133"/>
      <c r="AJ364" s="133"/>
      <c r="AK364" s="133"/>
      <c r="AL364" s="133"/>
      <c r="AM364" s="133"/>
      <c r="AN364" s="133"/>
      <c r="AO364" s="133"/>
      <c r="AP364" s="133"/>
      <c r="AQ364" s="133"/>
      <c r="AR364" s="133"/>
      <c r="AS364" s="153">
        <v>0</v>
      </c>
      <c r="AT364" s="153">
        <v>0</v>
      </c>
      <c r="AU364" s="153">
        <v>0</v>
      </c>
      <c r="AV364" s="135"/>
      <c r="AW364" s="135"/>
      <c r="AX364" s="135"/>
      <c r="AY364" s="135"/>
      <c r="AZ364" s="135"/>
      <c r="BA364" s="135"/>
      <c r="BB364" s="135"/>
      <c r="BC364" s="135"/>
      <c r="BD364" s="135"/>
      <c r="BE364" s="135"/>
      <c r="BF364" s="135"/>
      <c r="BG364" s="135"/>
      <c r="BH364" s="135"/>
      <c r="BI364" s="2" t="s">
        <v>112</v>
      </c>
      <c r="BJ364" s="136">
        <v>45217</v>
      </c>
      <c r="BK364" s="2" t="s">
        <v>145</v>
      </c>
      <c r="BL364" s="136" t="s">
        <v>113</v>
      </c>
      <c r="BM364" s="136">
        <v>44935</v>
      </c>
      <c r="BN364" s="2" t="s">
        <v>1196</v>
      </c>
      <c r="BO364" s="2"/>
      <c r="BP364" s="136"/>
      <c r="BQ364" s="137" t="s">
        <v>134</v>
      </c>
      <c r="BR364" s="138"/>
    </row>
    <row r="365" spans="1:70" ht="12.75" customHeight="1" x14ac:dyDescent="0.2">
      <c r="A365" s="2">
        <v>1854</v>
      </c>
      <c r="B365" s="2" t="s">
        <v>31</v>
      </c>
      <c r="C365" s="2" t="s">
        <v>32</v>
      </c>
      <c r="D365" s="2" t="s">
        <v>1164</v>
      </c>
      <c r="E365" s="2" t="s">
        <v>71</v>
      </c>
      <c r="F365" s="132">
        <v>30000</v>
      </c>
      <c r="G365" s="132">
        <v>2</v>
      </c>
      <c r="H365" s="132">
        <f>60000</f>
        <v>60000</v>
      </c>
      <c r="I365" s="132"/>
      <c r="J365" s="132">
        <f>9152.54+S365+AY365+BC365</f>
        <v>60000</v>
      </c>
      <c r="K365" s="132">
        <f t="shared" si="41"/>
        <v>-30000</v>
      </c>
      <c r="L365" s="132">
        <f t="shared" si="42"/>
        <v>0</v>
      </c>
      <c r="M365" s="133"/>
      <c r="N365" s="133">
        <f t="shared" si="45"/>
        <v>-30000</v>
      </c>
      <c r="O365" s="134">
        <v>1</v>
      </c>
      <c r="P365" s="133"/>
      <c r="Q365" s="2" t="s">
        <v>1252</v>
      </c>
      <c r="R365" s="156">
        <f t="shared" si="43"/>
        <v>0</v>
      </c>
      <c r="S365" s="156">
        <f t="shared" si="44"/>
        <v>0</v>
      </c>
      <c r="T365" s="133"/>
      <c r="U365" s="133"/>
      <c r="V365" s="133"/>
      <c r="W365" s="133"/>
      <c r="X365" s="133"/>
      <c r="Y365" s="133"/>
      <c r="Z365" s="133"/>
      <c r="AA365" s="133"/>
      <c r="AB365" s="133"/>
      <c r="AC365" s="133"/>
      <c r="AD365" s="133"/>
      <c r="AE365" s="133"/>
      <c r="AF365" s="133"/>
      <c r="AG365" s="133"/>
      <c r="AH365" s="133"/>
      <c r="AI365" s="133"/>
      <c r="AJ365" s="133"/>
      <c r="AK365" s="133"/>
      <c r="AL365" s="133"/>
      <c r="AM365" s="133"/>
      <c r="AN365" s="133"/>
      <c r="AO365" s="133"/>
      <c r="AP365" s="133"/>
      <c r="AQ365" s="133"/>
      <c r="AR365" s="133"/>
      <c r="AS365" s="153">
        <v>0</v>
      </c>
      <c r="AT365" s="153">
        <v>0</v>
      </c>
      <c r="AU365" s="153">
        <v>0</v>
      </c>
      <c r="AV365" s="135"/>
      <c r="AW365" s="135"/>
      <c r="AX365" s="135"/>
      <c r="AY365" s="135">
        <v>50847.46</v>
      </c>
      <c r="AZ365" s="135"/>
      <c r="BA365" s="135"/>
      <c r="BB365" s="135"/>
      <c r="BC365" s="135"/>
      <c r="BD365" s="135"/>
      <c r="BE365" s="135"/>
      <c r="BF365" s="135"/>
      <c r="BG365" s="135"/>
      <c r="BH365" s="135"/>
      <c r="BI365" s="2" t="s">
        <v>11</v>
      </c>
      <c r="BJ365" s="136"/>
      <c r="BK365" s="2">
        <v>80</v>
      </c>
      <c r="BL365" s="136" t="s">
        <v>113</v>
      </c>
      <c r="BM365" s="136">
        <v>44935</v>
      </c>
      <c r="BN365" s="2" t="s">
        <v>1197</v>
      </c>
      <c r="BO365" s="2"/>
      <c r="BP365" s="136"/>
      <c r="BQ365" s="137"/>
      <c r="BR365" s="138"/>
    </row>
    <row r="366" spans="1:70" ht="12.75" customHeight="1" x14ac:dyDescent="0.2">
      <c r="A366" s="2">
        <v>1855</v>
      </c>
      <c r="B366" s="2" t="s">
        <v>31</v>
      </c>
      <c r="C366" s="2" t="s">
        <v>32</v>
      </c>
      <c r="D366" s="2" t="s">
        <v>1277</v>
      </c>
      <c r="E366" s="2" t="s">
        <v>110</v>
      </c>
      <c r="F366" s="132">
        <f>1452*1.75</f>
        <v>2541</v>
      </c>
      <c r="G366" s="132"/>
      <c r="H366" s="132">
        <f>1452*1.75</f>
        <v>2541</v>
      </c>
      <c r="I366" s="132"/>
      <c r="J366" s="132">
        <f>387.61+2153.39</f>
        <v>2541</v>
      </c>
      <c r="K366" s="132">
        <f t="shared" si="41"/>
        <v>0</v>
      </c>
      <c r="L366" s="132">
        <f t="shared" si="42"/>
        <v>0</v>
      </c>
      <c r="M366" s="133"/>
      <c r="N366" s="133">
        <f t="shared" si="45"/>
        <v>0</v>
      </c>
      <c r="O366" s="134">
        <v>0</v>
      </c>
      <c r="P366" s="133"/>
      <c r="Q366" s="2" t="s">
        <v>1253</v>
      </c>
      <c r="R366" s="156">
        <f t="shared" si="43"/>
        <v>0</v>
      </c>
      <c r="S366" s="156">
        <f t="shared" si="44"/>
        <v>0</v>
      </c>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53">
        <v>0</v>
      </c>
      <c r="AT366" s="153">
        <v>0</v>
      </c>
      <c r="AU366" s="153">
        <v>0</v>
      </c>
      <c r="AV366" s="135"/>
      <c r="AW366" s="135"/>
      <c r="AX366" s="135"/>
      <c r="AY366" s="135"/>
      <c r="AZ366" s="135"/>
      <c r="BA366" s="135"/>
      <c r="BB366" s="135"/>
      <c r="BC366" s="135"/>
      <c r="BD366" s="135"/>
      <c r="BE366" s="135"/>
      <c r="BF366" s="135"/>
      <c r="BG366" s="135"/>
      <c r="BH366" s="135"/>
      <c r="BI366" s="2" t="s">
        <v>112</v>
      </c>
      <c r="BJ366" s="136">
        <v>45217</v>
      </c>
      <c r="BK366" s="2" t="s">
        <v>145</v>
      </c>
      <c r="BL366" s="136" t="s">
        <v>113</v>
      </c>
      <c r="BM366" s="136">
        <v>44935</v>
      </c>
      <c r="BN366" s="2" t="s">
        <v>1198</v>
      </c>
      <c r="BO366" s="2"/>
      <c r="BP366" s="136"/>
      <c r="BQ366" s="137" t="s">
        <v>134</v>
      </c>
      <c r="BR366" s="138"/>
    </row>
    <row r="367" spans="1:70" ht="12.75" customHeight="1" x14ac:dyDescent="0.2">
      <c r="A367" s="2">
        <v>1856</v>
      </c>
      <c r="B367" s="2" t="s">
        <v>31</v>
      </c>
      <c r="C367" s="2" t="s">
        <v>32</v>
      </c>
      <c r="D367" s="2" t="s">
        <v>1165</v>
      </c>
      <c r="E367" s="2" t="s">
        <v>71</v>
      </c>
      <c r="F367" s="132">
        <v>45000</v>
      </c>
      <c r="G367" s="132" t="s">
        <v>3836</v>
      </c>
      <c r="H367" s="323">
        <f>50000+R367</f>
        <v>94387.48000000001</v>
      </c>
      <c r="I367" s="132">
        <v>94387.48000000001</v>
      </c>
      <c r="J367" s="132">
        <f>7627.12+AY367+BC367+S367</f>
        <v>94387.48</v>
      </c>
      <c r="K367" s="132">
        <f t="shared" si="41"/>
        <v>-49387.479999999996</v>
      </c>
      <c r="L367" s="132">
        <f t="shared" si="42"/>
        <v>0</v>
      </c>
      <c r="M367" s="133">
        <v>1285</v>
      </c>
      <c r="N367" s="133">
        <f t="shared" si="45"/>
        <v>1.4551915228366852E-11</v>
      </c>
      <c r="O367" s="134">
        <v>1</v>
      </c>
      <c r="P367" s="133"/>
      <c r="Q367" s="2" t="s">
        <v>1253</v>
      </c>
      <c r="R367" s="156">
        <f t="shared" si="43"/>
        <v>44387.48</v>
      </c>
      <c r="S367" s="156">
        <f t="shared" si="44"/>
        <v>7946.7999999999993</v>
      </c>
      <c r="T367" s="287">
        <v>43000</v>
      </c>
      <c r="U367" s="133"/>
      <c r="V367" s="133">
        <v>1387.48</v>
      </c>
      <c r="W367" s="133">
        <f>6559.32</f>
        <v>6559.32</v>
      </c>
      <c r="X367" s="133"/>
      <c r="Y367" s="133">
        <v>211.65</v>
      </c>
      <c r="Z367" s="133"/>
      <c r="AA367" s="133"/>
      <c r="AB367" s="133"/>
      <c r="AC367" s="133"/>
      <c r="AD367" s="133"/>
      <c r="AE367" s="133">
        <v>1175.83</v>
      </c>
      <c r="AF367" s="133"/>
      <c r="AG367" s="133"/>
      <c r="AH367" s="133"/>
      <c r="AI367" s="133"/>
      <c r="AJ367" s="133"/>
      <c r="AK367" s="133"/>
      <c r="AL367" s="133"/>
      <c r="AM367" s="133"/>
      <c r="AN367" s="133"/>
      <c r="AO367" s="133"/>
      <c r="AP367" s="133"/>
      <c r="AQ367" s="133"/>
      <c r="AR367" s="133"/>
      <c r="AS367" s="153">
        <v>0</v>
      </c>
      <c r="AT367" s="153">
        <v>0</v>
      </c>
      <c r="AU367" s="153">
        <v>0</v>
      </c>
      <c r="AV367" s="135"/>
      <c r="AW367" s="135"/>
      <c r="AX367" s="135"/>
      <c r="AY367" s="135">
        <v>42372.88</v>
      </c>
      <c r="AZ367" s="135">
        <v>3245.59</v>
      </c>
      <c r="BA367" s="135"/>
      <c r="BB367" s="140">
        <f>(93000/1.18-AT367-AW367-AZ367)*0.1-AU367-AX367-BA367</f>
        <v>7556.7969322033914</v>
      </c>
      <c r="BC367" s="135">
        <v>36440.68</v>
      </c>
      <c r="BD367" s="135">
        <v>820.16</v>
      </c>
      <c r="BE367" s="135">
        <f>(H367/1.18-AT367-AW367-AZ367-BD367)*0.1-AU367-AX367-BA367-BB367</f>
        <v>35.567050847457722</v>
      </c>
      <c r="BF367" s="135"/>
      <c r="BG367" s="135"/>
      <c r="BH367" s="135"/>
      <c r="BI367" s="2" t="s">
        <v>11</v>
      </c>
      <c r="BJ367" s="136">
        <v>45705</v>
      </c>
      <c r="BK367" s="2" t="s">
        <v>8</v>
      </c>
      <c r="BL367" s="136" t="s">
        <v>113</v>
      </c>
      <c r="BM367" s="136">
        <v>44935</v>
      </c>
      <c r="BN367" s="2" t="s">
        <v>1199</v>
      </c>
      <c r="BO367" s="2"/>
      <c r="BP367" s="136"/>
      <c r="BQ367" s="137" t="s">
        <v>119</v>
      </c>
      <c r="BR367" s="138"/>
    </row>
    <row r="368" spans="1:70" ht="12.75" customHeight="1" x14ac:dyDescent="0.2">
      <c r="A368" s="2">
        <v>1857</v>
      </c>
      <c r="B368" s="2" t="s">
        <v>31</v>
      </c>
      <c r="C368" s="2" t="s">
        <v>32</v>
      </c>
      <c r="D368" s="2" t="s">
        <v>1278</v>
      </c>
      <c r="E368" s="2" t="s">
        <v>110</v>
      </c>
      <c r="F368" s="132">
        <f>3073*1.75</f>
        <v>5377.75</v>
      </c>
      <c r="G368" s="132"/>
      <c r="H368" s="132">
        <f>3073*1.75</f>
        <v>5377.75</v>
      </c>
      <c r="I368" s="132"/>
      <c r="J368" s="132">
        <f>820.334+4557.416</f>
        <v>5377.75</v>
      </c>
      <c r="K368" s="132">
        <f t="shared" si="41"/>
        <v>0</v>
      </c>
      <c r="L368" s="132">
        <f t="shared" si="42"/>
        <v>0</v>
      </c>
      <c r="M368" s="133"/>
      <c r="N368" s="133">
        <f t="shared" si="45"/>
        <v>0</v>
      </c>
      <c r="O368" s="134">
        <v>0</v>
      </c>
      <c r="P368" s="133"/>
      <c r="Q368" s="2" t="s">
        <v>1254</v>
      </c>
      <c r="R368" s="156">
        <f t="shared" si="43"/>
        <v>0</v>
      </c>
      <c r="S368" s="156">
        <f t="shared" si="44"/>
        <v>0</v>
      </c>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53">
        <v>0</v>
      </c>
      <c r="AT368" s="153">
        <v>0</v>
      </c>
      <c r="AU368" s="153">
        <v>0</v>
      </c>
      <c r="AV368" s="135"/>
      <c r="AW368" s="135"/>
      <c r="AX368" s="135"/>
      <c r="AY368" s="135"/>
      <c r="AZ368" s="135"/>
      <c r="BA368" s="135"/>
      <c r="BB368" s="135"/>
      <c r="BC368" s="135"/>
      <c r="BD368" s="135"/>
      <c r="BE368" s="135"/>
      <c r="BF368" s="135"/>
      <c r="BG368" s="135"/>
      <c r="BH368" s="135"/>
      <c r="BI368" s="2" t="s">
        <v>112</v>
      </c>
      <c r="BJ368" s="136">
        <v>45217</v>
      </c>
      <c r="BK368" s="2" t="s">
        <v>145</v>
      </c>
      <c r="BL368" s="136" t="s">
        <v>113</v>
      </c>
      <c r="BM368" s="136">
        <v>44935</v>
      </c>
      <c r="BN368" s="2" t="s">
        <v>1200</v>
      </c>
      <c r="BO368" s="2"/>
      <c r="BP368" s="136"/>
      <c r="BQ368" s="137" t="s">
        <v>134</v>
      </c>
      <c r="BR368" s="138"/>
    </row>
    <row r="369" spans="1:70" ht="12.75" customHeight="1" x14ac:dyDescent="0.2">
      <c r="A369" s="2">
        <v>1858</v>
      </c>
      <c r="B369" s="2" t="s">
        <v>31</v>
      </c>
      <c r="C369" s="2" t="s">
        <v>32</v>
      </c>
      <c r="D369" s="2" t="s">
        <v>1166</v>
      </c>
      <c r="E369" s="2" t="s">
        <v>71</v>
      </c>
      <c r="F369" s="132">
        <v>81000</v>
      </c>
      <c r="G369" s="132">
        <v>2</v>
      </c>
      <c r="H369" s="132">
        <f>150000+8000+22443.13</f>
        <v>180443.13</v>
      </c>
      <c r="I369" s="132">
        <f>150000+8000+22443.13</f>
        <v>180443.13</v>
      </c>
      <c r="J369" s="132">
        <f>22881.36+1220.338+AY369+22443.132</f>
        <v>180443.13</v>
      </c>
      <c r="K369" s="132">
        <f t="shared" si="41"/>
        <v>-99443.13</v>
      </c>
      <c r="L369" s="132">
        <f t="shared" si="42"/>
        <v>0</v>
      </c>
      <c r="M369" s="133">
        <v>2686.5</v>
      </c>
      <c r="N369" s="133">
        <f t="shared" si="45"/>
        <v>0</v>
      </c>
      <c r="O369" s="134">
        <v>0</v>
      </c>
      <c r="P369" s="133"/>
      <c r="Q369" s="2" t="s">
        <v>1254</v>
      </c>
      <c r="R369" s="156">
        <f t="shared" si="43"/>
        <v>0</v>
      </c>
      <c r="S369" s="156">
        <f t="shared" si="44"/>
        <v>0</v>
      </c>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53">
        <v>0</v>
      </c>
      <c r="AT369" s="153">
        <v>0</v>
      </c>
      <c r="AU369" s="153">
        <v>0</v>
      </c>
      <c r="AV369" s="135"/>
      <c r="AW369" s="135"/>
      <c r="AX369" s="135"/>
      <c r="AY369" s="135">
        <f>127118.64+6779.66</f>
        <v>133898.29999999999</v>
      </c>
      <c r="AZ369" s="135">
        <f>15140.11+391.32</f>
        <v>15531.43</v>
      </c>
      <c r="BA369" s="135">
        <f>150000/1.18*0.8*0.1</f>
        <v>10169.491525423731</v>
      </c>
      <c r="BB369" s="140">
        <f>(H369/1.18-AT369-AW369-AZ369)*0.1-AU369-AX369-BA369</f>
        <v>3569.1561525423713</v>
      </c>
      <c r="BC369" s="135"/>
      <c r="BD369" s="135"/>
      <c r="BE369" s="135">
        <f>(H369/1.18-AT369-AW369-AZ369-BD369)*0.1-AU369-AX369-BA369-BB369</f>
        <v>0</v>
      </c>
      <c r="BF369" s="135"/>
      <c r="BG369" s="135"/>
      <c r="BH369" s="135"/>
      <c r="BI369" s="2" t="s">
        <v>11</v>
      </c>
      <c r="BJ369" s="136">
        <v>45637</v>
      </c>
      <c r="BK369" s="2" t="s">
        <v>8</v>
      </c>
      <c r="BL369" s="136" t="s">
        <v>113</v>
      </c>
      <c r="BM369" s="136">
        <v>44935</v>
      </c>
      <c r="BN369" s="2" t="s">
        <v>1201</v>
      </c>
      <c r="BO369" s="2"/>
      <c r="BP369" s="136"/>
      <c r="BQ369" s="137" t="s">
        <v>119</v>
      </c>
      <c r="BR369" s="138"/>
    </row>
    <row r="370" spans="1:70" ht="12.75" customHeight="1" x14ac:dyDescent="0.2">
      <c r="A370" s="2">
        <v>1859</v>
      </c>
      <c r="B370" s="2" t="s">
        <v>54</v>
      </c>
      <c r="C370" s="2" t="s">
        <v>4</v>
      </c>
      <c r="D370" s="2" t="s">
        <v>1279</v>
      </c>
      <c r="E370" s="2" t="s">
        <v>110</v>
      </c>
      <c r="F370" s="132">
        <v>495.25</v>
      </c>
      <c r="G370" s="132"/>
      <c r="H370" s="132">
        <f>283*1.75</f>
        <v>495.25</v>
      </c>
      <c r="I370" s="132"/>
      <c r="J370" s="132">
        <f>495.25</f>
        <v>495.25</v>
      </c>
      <c r="K370" s="132">
        <f t="shared" si="41"/>
        <v>0</v>
      </c>
      <c r="L370" s="132">
        <f t="shared" si="42"/>
        <v>0</v>
      </c>
      <c r="M370" s="133"/>
      <c r="N370" s="133">
        <f t="shared" si="45"/>
        <v>0</v>
      </c>
      <c r="O370" s="134">
        <v>0</v>
      </c>
      <c r="P370" s="133"/>
      <c r="Q370" s="2" t="s">
        <v>1255</v>
      </c>
      <c r="R370" s="156">
        <f t="shared" si="43"/>
        <v>0</v>
      </c>
      <c r="S370" s="156">
        <f t="shared" si="44"/>
        <v>0</v>
      </c>
      <c r="T370" s="133"/>
      <c r="U370" s="133"/>
      <c r="V370" s="133"/>
      <c r="W370" s="133"/>
      <c r="X370" s="133"/>
      <c r="Y370" s="133"/>
      <c r="Z370" s="133"/>
      <c r="AA370" s="133"/>
      <c r="AB370" s="133"/>
      <c r="AC370" s="133"/>
      <c r="AD370" s="133"/>
      <c r="AE370" s="133"/>
      <c r="AF370" s="133"/>
      <c r="AG370" s="133"/>
      <c r="AH370" s="133"/>
      <c r="AI370" s="133"/>
      <c r="AJ370" s="133"/>
      <c r="AK370" s="133"/>
      <c r="AL370" s="133"/>
      <c r="AM370" s="133"/>
      <c r="AN370" s="133"/>
      <c r="AO370" s="133"/>
      <c r="AP370" s="133"/>
      <c r="AQ370" s="133"/>
      <c r="AR370" s="133"/>
      <c r="AS370" s="153">
        <v>0</v>
      </c>
      <c r="AT370" s="153">
        <v>0</v>
      </c>
      <c r="AU370" s="153">
        <v>0</v>
      </c>
      <c r="AV370" s="135"/>
      <c r="AW370" s="135"/>
      <c r="AX370" s="135"/>
      <c r="AY370" s="135"/>
      <c r="AZ370" s="135"/>
      <c r="BA370" s="135"/>
      <c r="BB370" s="135"/>
      <c r="BC370" s="135"/>
      <c r="BD370" s="135"/>
      <c r="BE370" s="135"/>
      <c r="BF370" s="135"/>
      <c r="BG370" s="135"/>
      <c r="BH370" s="135"/>
      <c r="BI370" s="2" t="s">
        <v>112</v>
      </c>
      <c r="BJ370" s="136">
        <v>45174</v>
      </c>
      <c r="BK370" s="2" t="s">
        <v>145</v>
      </c>
      <c r="BL370" s="136" t="s">
        <v>113</v>
      </c>
      <c r="BM370" s="136">
        <v>44935</v>
      </c>
      <c r="BN370" s="2" t="s">
        <v>1202</v>
      </c>
      <c r="BO370" s="2"/>
      <c r="BP370" s="136"/>
      <c r="BQ370" s="137"/>
      <c r="BR370" s="138"/>
    </row>
    <row r="371" spans="1:70" ht="12.75" customHeight="1" x14ac:dyDescent="0.2">
      <c r="A371" s="2">
        <v>1860</v>
      </c>
      <c r="B371" s="2" t="s">
        <v>54</v>
      </c>
      <c r="C371" s="2" t="s">
        <v>4</v>
      </c>
      <c r="D371" s="2" t="s">
        <v>1167</v>
      </c>
      <c r="E371" s="2" t="s">
        <v>71</v>
      </c>
      <c r="F371" s="132">
        <v>7000</v>
      </c>
      <c r="G371" s="132">
        <v>2</v>
      </c>
      <c r="H371" s="132"/>
      <c r="I371" s="132"/>
      <c r="J371" s="132"/>
      <c r="K371" s="132">
        <f t="shared" si="41"/>
        <v>7000</v>
      </c>
      <c r="L371" s="132">
        <f t="shared" si="42"/>
        <v>0</v>
      </c>
      <c r="M371" s="133"/>
      <c r="N371" s="133">
        <f t="shared" si="45"/>
        <v>7000</v>
      </c>
      <c r="O371" s="134">
        <v>1</v>
      </c>
      <c r="P371" s="133"/>
      <c r="Q371" s="2" t="s">
        <v>1255</v>
      </c>
      <c r="R371" s="156">
        <f t="shared" si="43"/>
        <v>0</v>
      </c>
      <c r="S371" s="156">
        <f t="shared" si="44"/>
        <v>0</v>
      </c>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53">
        <v>0</v>
      </c>
      <c r="AT371" s="153">
        <v>0</v>
      </c>
      <c r="AU371" s="153">
        <v>0</v>
      </c>
      <c r="AV371" s="135"/>
      <c r="AW371" s="135"/>
      <c r="AX371" s="135"/>
      <c r="AY371" s="135"/>
      <c r="AZ371" s="135"/>
      <c r="BA371" s="135"/>
      <c r="BB371" s="135"/>
      <c r="BC371" s="135"/>
      <c r="BD371" s="135"/>
      <c r="BE371" s="135"/>
      <c r="BF371" s="135"/>
      <c r="BG371" s="135"/>
      <c r="BH371" s="135"/>
      <c r="BI371" s="2" t="s">
        <v>11</v>
      </c>
      <c r="BJ371" s="136"/>
      <c r="BK371" s="2">
        <v>0</v>
      </c>
      <c r="BL371" s="136" t="s">
        <v>113</v>
      </c>
      <c r="BM371" s="136">
        <v>44935</v>
      </c>
      <c r="BN371" s="2" t="s">
        <v>1203</v>
      </c>
      <c r="BO371" s="2"/>
      <c r="BP371" s="136"/>
      <c r="BQ371" s="137"/>
      <c r="BR371" s="138"/>
    </row>
    <row r="372" spans="1:70" ht="12.75" customHeight="1" x14ac:dyDescent="0.2">
      <c r="A372" s="2">
        <v>1861</v>
      </c>
      <c r="B372" s="2" t="s">
        <v>54</v>
      </c>
      <c r="C372" s="2" t="s">
        <v>17</v>
      </c>
      <c r="D372" s="2" t="s">
        <v>1280</v>
      </c>
      <c r="E372" s="2" t="s">
        <v>110</v>
      </c>
      <c r="F372" s="132">
        <f>861*1.75</f>
        <v>1506.75</v>
      </c>
      <c r="G372" s="132"/>
      <c r="H372" s="132">
        <f>861*1.75</f>
        <v>1506.75</v>
      </c>
      <c r="I372" s="132"/>
      <c r="J372" s="132">
        <f>229.84+1276.91</f>
        <v>1506.75</v>
      </c>
      <c r="K372" s="132">
        <f t="shared" si="41"/>
        <v>0</v>
      </c>
      <c r="L372" s="132">
        <f t="shared" si="42"/>
        <v>0</v>
      </c>
      <c r="M372" s="133"/>
      <c r="N372" s="133">
        <f t="shared" si="45"/>
        <v>0</v>
      </c>
      <c r="O372" s="134">
        <v>0</v>
      </c>
      <c r="P372" s="133"/>
      <c r="Q372" s="2" t="s">
        <v>1256</v>
      </c>
      <c r="R372" s="156">
        <f t="shared" si="43"/>
        <v>0</v>
      </c>
      <c r="S372" s="156">
        <f t="shared" si="44"/>
        <v>0</v>
      </c>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53">
        <v>0</v>
      </c>
      <c r="AT372" s="153">
        <v>0</v>
      </c>
      <c r="AU372" s="153">
        <v>0</v>
      </c>
      <c r="AV372" s="135"/>
      <c r="AW372" s="135"/>
      <c r="AX372" s="135"/>
      <c r="AY372" s="135"/>
      <c r="AZ372" s="135"/>
      <c r="BA372" s="135"/>
      <c r="BB372" s="135"/>
      <c r="BC372" s="135"/>
      <c r="BD372" s="135"/>
      <c r="BE372" s="135"/>
      <c r="BF372" s="135"/>
      <c r="BG372" s="135"/>
      <c r="BH372" s="135"/>
      <c r="BI372" s="2" t="s">
        <v>112</v>
      </c>
      <c r="BJ372" s="136">
        <v>45174</v>
      </c>
      <c r="BK372" s="2" t="s">
        <v>145</v>
      </c>
      <c r="BL372" s="136" t="s">
        <v>113</v>
      </c>
      <c r="BM372" s="136">
        <v>44935</v>
      </c>
      <c r="BN372" s="2" t="s">
        <v>1204</v>
      </c>
      <c r="BO372" s="2"/>
      <c r="BP372" s="136"/>
      <c r="BQ372" s="137"/>
      <c r="BR372" s="138"/>
    </row>
    <row r="373" spans="1:70" ht="12.75" customHeight="1" x14ac:dyDescent="0.2">
      <c r="A373" s="2">
        <v>1862</v>
      </c>
      <c r="B373" s="2" t="s">
        <v>54</v>
      </c>
      <c r="C373" s="2" t="s">
        <v>17</v>
      </c>
      <c r="D373" s="2" t="s">
        <v>1168</v>
      </c>
      <c r="E373" s="2" t="s">
        <v>71</v>
      </c>
      <c r="F373" s="132">
        <v>250000</v>
      </c>
      <c r="G373" s="132"/>
      <c r="H373" s="132">
        <f>50000+867</f>
        <v>50867</v>
      </c>
      <c r="I373" s="132">
        <f>H373</f>
        <v>50867</v>
      </c>
      <c r="J373" s="132">
        <f>7627.118+AS373+AV373+867.002</f>
        <v>50867</v>
      </c>
      <c r="K373" s="132">
        <f t="shared" si="41"/>
        <v>199133</v>
      </c>
      <c r="L373" s="132">
        <f t="shared" si="42"/>
        <v>0</v>
      </c>
      <c r="M373" s="133">
        <v>769</v>
      </c>
      <c r="N373" s="133">
        <f t="shared" si="45"/>
        <v>0</v>
      </c>
      <c r="O373" s="134">
        <v>0</v>
      </c>
      <c r="P373" s="133"/>
      <c r="Q373" s="2" t="s">
        <v>1256</v>
      </c>
      <c r="R373" s="156">
        <f t="shared" si="43"/>
        <v>0</v>
      </c>
      <c r="S373" s="156">
        <f t="shared" si="44"/>
        <v>0</v>
      </c>
      <c r="T373" s="133"/>
      <c r="U373" s="133"/>
      <c r="V373" s="133"/>
      <c r="W373" s="133"/>
      <c r="X373" s="133"/>
      <c r="Y373" s="133"/>
      <c r="Z373" s="133"/>
      <c r="AA373" s="133"/>
      <c r="AB373" s="133"/>
      <c r="AC373" s="133"/>
      <c r="AD373" s="133"/>
      <c r="AE373" s="133"/>
      <c r="AF373" s="133"/>
      <c r="AG373" s="133"/>
      <c r="AH373" s="133"/>
      <c r="AI373" s="133"/>
      <c r="AJ373" s="133"/>
      <c r="AK373" s="133"/>
      <c r="AL373" s="133"/>
      <c r="AM373" s="133"/>
      <c r="AN373" s="133"/>
      <c r="AO373" s="133"/>
      <c r="AP373" s="133"/>
      <c r="AQ373" s="133"/>
      <c r="AR373" s="133"/>
      <c r="AS373" s="153">
        <v>0</v>
      </c>
      <c r="AT373" s="153">
        <v>0</v>
      </c>
      <c r="AU373" s="153">
        <v>0</v>
      </c>
      <c r="AV373" s="135">
        <v>42372.88</v>
      </c>
      <c r="AW373" s="135">
        <v>1912.1800000000003</v>
      </c>
      <c r="AX373" s="135">
        <f>(I373/1.18-AT373-AW373)*0.1</f>
        <v>4119.544711864407</v>
      </c>
      <c r="AY373" s="135"/>
      <c r="AZ373" s="135"/>
      <c r="BA373" s="135"/>
      <c r="BB373" s="135"/>
      <c r="BC373" s="135"/>
      <c r="BD373" s="135"/>
      <c r="BE373" s="135">
        <f>(H373/1.18-AT373-AW373-AZ373-BD373)*0.1-AU373-AX373-BA373-BB373</f>
        <v>0</v>
      </c>
      <c r="BF373" s="135"/>
      <c r="BG373" s="135"/>
      <c r="BH373" s="135"/>
      <c r="BI373" s="2" t="s">
        <v>11</v>
      </c>
      <c r="BJ373" s="136">
        <v>45289</v>
      </c>
      <c r="BK373" s="2" t="s">
        <v>8</v>
      </c>
      <c r="BL373" s="136" t="s">
        <v>113</v>
      </c>
      <c r="BM373" s="136">
        <v>44935</v>
      </c>
      <c r="BN373" s="2" t="s">
        <v>1205</v>
      </c>
      <c r="BO373" s="2"/>
      <c r="BP373" s="136"/>
      <c r="BQ373" s="137" t="s">
        <v>119</v>
      </c>
      <c r="BR373" s="138"/>
    </row>
    <row r="374" spans="1:70" ht="12.75" customHeight="1" x14ac:dyDescent="0.2">
      <c r="A374" s="2">
        <v>1863</v>
      </c>
      <c r="B374" s="2" t="s">
        <v>31</v>
      </c>
      <c r="C374" s="2" t="s">
        <v>33</v>
      </c>
      <c r="D374" s="2" t="s">
        <v>1281</v>
      </c>
      <c r="E374" s="2" t="s">
        <v>110</v>
      </c>
      <c r="F374" s="150">
        <f>977*1.75</f>
        <v>1709.75</v>
      </c>
      <c r="G374" s="150"/>
      <c r="H374" s="150">
        <f>977*1.75</f>
        <v>1709.75</v>
      </c>
      <c r="I374" s="150"/>
      <c r="J374" s="132">
        <f>260.81+1448.94</f>
        <v>1709.75</v>
      </c>
      <c r="K374" s="132">
        <f t="shared" ref="K374:K437" si="46">F374-J374</f>
        <v>0</v>
      </c>
      <c r="L374" s="132">
        <f t="shared" si="42"/>
        <v>0</v>
      </c>
      <c r="M374" s="133"/>
      <c r="N374" s="133">
        <f t="shared" si="45"/>
        <v>0</v>
      </c>
      <c r="O374" s="134">
        <v>0</v>
      </c>
      <c r="P374" s="133"/>
      <c r="Q374" s="2" t="s">
        <v>1257</v>
      </c>
      <c r="R374" s="156">
        <f t="shared" si="43"/>
        <v>0</v>
      </c>
      <c r="S374" s="156">
        <f t="shared" si="44"/>
        <v>0</v>
      </c>
      <c r="T374" s="133"/>
      <c r="U374" s="133"/>
      <c r="V374" s="133"/>
      <c r="W374" s="133"/>
      <c r="X374" s="133"/>
      <c r="Y374" s="133"/>
      <c r="Z374" s="133"/>
      <c r="AA374" s="133"/>
      <c r="AB374" s="133"/>
      <c r="AC374" s="133"/>
      <c r="AD374" s="133"/>
      <c r="AE374" s="133"/>
      <c r="AF374" s="133"/>
      <c r="AG374" s="133"/>
      <c r="AH374" s="133"/>
      <c r="AI374" s="133"/>
      <c r="AJ374" s="133"/>
      <c r="AK374" s="133"/>
      <c r="AL374" s="133"/>
      <c r="AM374" s="133"/>
      <c r="AN374" s="133"/>
      <c r="AO374" s="133"/>
      <c r="AP374" s="133"/>
      <c r="AQ374" s="133"/>
      <c r="AR374" s="133"/>
      <c r="AS374" s="153">
        <v>0</v>
      </c>
      <c r="AT374" s="153">
        <v>0</v>
      </c>
      <c r="AU374" s="153">
        <v>0</v>
      </c>
      <c r="AV374" s="135"/>
      <c r="AW374" s="135"/>
      <c r="AX374" s="135"/>
      <c r="AY374" s="135"/>
      <c r="AZ374" s="135"/>
      <c r="BA374" s="135"/>
      <c r="BB374" s="135"/>
      <c r="BC374" s="135"/>
      <c r="BD374" s="135"/>
      <c r="BE374" s="135"/>
      <c r="BF374" s="135"/>
      <c r="BG374" s="135"/>
      <c r="BH374" s="135"/>
      <c r="BI374" s="2" t="s">
        <v>112</v>
      </c>
      <c r="BJ374" s="136">
        <v>45146</v>
      </c>
      <c r="BK374" s="2" t="s">
        <v>145</v>
      </c>
      <c r="BL374" s="136" t="s">
        <v>113</v>
      </c>
      <c r="BM374" s="136">
        <v>44935</v>
      </c>
      <c r="BN374" s="2" t="s">
        <v>1206</v>
      </c>
      <c r="BO374" s="2"/>
      <c r="BP374" s="136"/>
      <c r="BQ374" s="137" t="s">
        <v>134</v>
      </c>
      <c r="BR374" s="138"/>
    </row>
    <row r="375" spans="1:70" ht="12.75" customHeight="1" x14ac:dyDescent="0.2">
      <c r="A375" s="2">
        <v>1864</v>
      </c>
      <c r="B375" s="2" t="s">
        <v>31</v>
      </c>
      <c r="C375" s="2" t="s">
        <v>33</v>
      </c>
      <c r="D375" s="2" t="s">
        <v>1169</v>
      </c>
      <c r="E375" s="2" t="s">
        <v>71</v>
      </c>
      <c r="F375" s="132">
        <v>23000</v>
      </c>
      <c r="G375" s="132"/>
      <c r="H375" s="132">
        <f>50000+6480</f>
        <v>56480</v>
      </c>
      <c r="I375" s="132">
        <f>H375</f>
        <v>56480</v>
      </c>
      <c r="J375" s="132">
        <f>7627.118+AS375+AV375+6480.002</f>
        <v>56480</v>
      </c>
      <c r="K375" s="132">
        <f t="shared" si="46"/>
        <v>-33480</v>
      </c>
      <c r="L375" s="132">
        <f t="shared" si="42"/>
        <v>0</v>
      </c>
      <c r="M375" s="133">
        <v>963</v>
      </c>
      <c r="N375" s="133">
        <f t="shared" si="45"/>
        <v>0</v>
      </c>
      <c r="O375" s="134">
        <v>0</v>
      </c>
      <c r="P375" s="133"/>
      <c r="Q375" s="2" t="s">
        <v>1257</v>
      </c>
      <c r="R375" s="156">
        <f t="shared" si="43"/>
        <v>0</v>
      </c>
      <c r="S375" s="156">
        <f t="shared" si="44"/>
        <v>0</v>
      </c>
      <c r="T375" s="133"/>
      <c r="U375" s="133"/>
      <c r="V375" s="133"/>
      <c r="W375" s="133"/>
      <c r="X375" s="133"/>
      <c r="Y375" s="133"/>
      <c r="Z375" s="133"/>
      <c r="AA375" s="133"/>
      <c r="AB375" s="133"/>
      <c r="AC375" s="133"/>
      <c r="AD375" s="133"/>
      <c r="AE375" s="133"/>
      <c r="AF375" s="133"/>
      <c r="AG375" s="133"/>
      <c r="AH375" s="133"/>
      <c r="AI375" s="133"/>
      <c r="AJ375" s="133"/>
      <c r="AK375" s="133"/>
      <c r="AL375" s="133"/>
      <c r="AM375" s="133"/>
      <c r="AN375" s="133"/>
      <c r="AO375" s="133"/>
      <c r="AP375" s="133"/>
      <c r="AQ375" s="133"/>
      <c r="AR375" s="133"/>
      <c r="AS375" s="153">
        <v>0</v>
      </c>
      <c r="AT375" s="153">
        <v>0</v>
      </c>
      <c r="AU375" s="153">
        <v>0</v>
      </c>
      <c r="AV375" s="135">
        <v>42372.88</v>
      </c>
      <c r="AW375" s="135">
        <v>1912.1800000000003</v>
      </c>
      <c r="AX375" s="135">
        <f>(I375/1.18-AT375-AW375)*0.1</f>
        <v>4595.2226779661023</v>
      </c>
      <c r="AY375" s="135"/>
      <c r="AZ375" s="135"/>
      <c r="BA375" s="135"/>
      <c r="BB375" s="135"/>
      <c r="BC375" s="135"/>
      <c r="BD375" s="135"/>
      <c r="BE375" s="135">
        <f>(H375/1.18-AT375-AW375-AZ375-BD375)*0.1-AU375-AX375-BA375-BB375</f>
        <v>0</v>
      </c>
      <c r="BF375" s="135"/>
      <c r="BG375" s="135"/>
      <c r="BH375" s="135"/>
      <c r="BI375" s="2" t="s">
        <v>11</v>
      </c>
      <c r="BJ375" s="136">
        <v>45287</v>
      </c>
      <c r="BK375" s="2" t="s">
        <v>8</v>
      </c>
      <c r="BL375" s="136" t="s">
        <v>113</v>
      </c>
      <c r="BM375" s="136">
        <v>44935</v>
      </c>
      <c r="BN375" s="2" t="s">
        <v>1207</v>
      </c>
      <c r="BO375" s="2"/>
      <c r="BP375" s="136"/>
      <c r="BQ375" s="137" t="s">
        <v>119</v>
      </c>
      <c r="BR375" s="138"/>
    </row>
    <row r="376" spans="1:70" ht="12.75" customHeight="1" x14ac:dyDescent="0.2">
      <c r="A376" s="2">
        <v>1865</v>
      </c>
      <c r="B376" s="2" t="s">
        <v>31</v>
      </c>
      <c r="C376" s="2" t="s">
        <v>35</v>
      </c>
      <c r="D376" s="2" t="s">
        <v>1282</v>
      </c>
      <c r="E376" s="2" t="s">
        <v>110</v>
      </c>
      <c r="F376" s="150">
        <f>3288*1.75</f>
        <v>5754</v>
      </c>
      <c r="G376" s="150"/>
      <c r="H376" s="150">
        <f>3288*1.75</f>
        <v>5754</v>
      </c>
      <c r="I376" s="150"/>
      <c r="J376" s="132">
        <f>877.73+4876.27</f>
        <v>5754</v>
      </c>
      <c r="K376" s="132">
        <f t="shared" si="46"/>
        <v>0</v>
      </c>
      <c r="L376" s="132">
        <f t="shared" si="42"/>
        <v>0</v>
      </c>
      <c r="M376" s="133"/>
      <c r="N376" s="133">
        <f t="shared" si="45"/>
        <v>0</v>
      </c>
      <c r="O376" s="134">
        <v>0</v>
      </c>
      <c r="P376" s="133"/>
      <c r="Q376" s="2" t="s">
        <v>1258</v>
      </c>
      <c r="R376" s="156">
        <f t="shared" si="43"/>
        <v>0</v>
      </c>
      <c r="S376" s="156">
        <f t="shared" si="44"/>
        <v>0</v>
      </c>
      <c r="T376" s="133"/>
      <c r="U376" s="133"/>
      <c r="V376" s="133"/>
      <c r="W376" s="133"/>
      <c r="X376" s="133"/>
      <c r="Y376" s="133"/>
      <c r="Z376" s="133"/>
      <c r="AA376" s="133"/>
      <c r="AB376" s="133"/>
      <c r="AC376" s="133"/>
      <c r="AD376" s="133"/>
      <c r="AE376" s="133"/>
      <c r="AF376" s="133"/>
      <c r="AG376" s="133"/>
      <c r="AH376" s="133"/>
      <c r="AI376" s="133"/>
      <c r="AJ376" s="133"/>
      <c r="AK376" s="133"/>
      <c r="AL376" s="133"/>
      <c r="AM376" s="133"/>
      <c r="AN376" s="133"/>
      <c r="AO376" s="133"/>
      <c r="AP376" s="133"/>
      <c r="AQ376" s="133"/>
      <c r="AR376" s="133"/>
      <c r="AS376" s="153">
        <v>0</v>
      </c>
      <c r="AT376" s="153">
        <v>0</v>
      </c>
      <c r="AU376" s="153">
        <v>0</v>
      </c>
      <c r="AV376" s="135"/>
      <c r="AW376" s="135"/>
      <c r="AX376" s="135"/>
      <c r="AY376" s="135"/>
      <c r="AZ376" s="135"/>
      <c r="BA376" s="135"/>
      <c r="BB376" s="135"/>
      <c r="BC376" s="135"/>
      <c r="BD376" s="135"/>
      <c r="BE376" s="135"/>
      <c r="BF376" s="135"/>
      <c r="BG376" s="135"/>
      <c r="BH376" s="135"/>
      <c r="BI376" s="2" t="s">
        <v>112</v>
      </c>
      <c r="BJ376" s="136">
        <v>45146</v>
      </c>
      <c r="BK376" s="2" t="s">
        <v>145</v>
      </c>
      <c r="BL376" s="136" t="s">
        <v>113</v>
      </c>
      <c r="BM376" s="136">
        <v>44935</v>
      </c>
      <c r="BN376" s="2" t="s">
        <v>1208</v>
      </c>
      <c r="BO376" s="2"/>
      <c r="BP376" s="136"/>
      <c r="BQ376" s="137" t="s">
        <v>134</v>
      </c>
      <c r="BR376" s="138"/>
    </row>
    <row r="377" spans="1:70" ht="12.75" customHeight="1" x14ac:dyDescent="0.2">
      <c r="A377" s="2">
        <v>1866</v>
      </c>
      <c r="B377" s="2" t="s">
        <v>31</v>
      </c>
      <c r="C377" s="2" t="s">
        <v>35</v>
      </c>
      <c r="D377" s="2" t="s">
        <v>1283</v>
      </c>
      <c r="E377" s="2" t="s">
        <v>71</v>
      </c>
      <c r="F377" s="132">
        <v>210000</v>
      </c>
      <c r="G377" s="132"/>
      <c r="H377" s="132">
        <f>150000+70000+15098</f>
        <v>235098</v>
      </c>
      <c r="I377" s="132">
        <f>H377</f>
        <v>235098</v>
      </c>
      <c r="J377" s="132">
        <f>22881.355+AS377+AV377+10677.966+15098.009</f>
        <v>235097.99999999997</v>
      </c>
      <c r="K377" s="132">
        <f t="shared" si="46"/>
        <v>-25097.999999999971</v>
      </c>
      <c r="L377" s="132">
        <f t="shared" si="42"/>
        <v>0</v>
      </c>
      <c r="M377" s="133">
        <v>3297.5</v>
      </c>
      <c r="N377" s="133">
        <f t="shared" si="45"/>
        <v>2.9103830456733704E-11</v>
      </c>
      <c r="O377" s="134">
        <v>0</v>
      </c>
      <c r="P377" s="133"/>
      <c r="Q377" s="2" t="s">
        <v>1258</v>
      </c>
      <c r="R377" s="156">
        <f t="shared" si="43"/>
        <v>0</v>
      </c>
      <c r="S377" s="156">
        <f t="shared" si="44"/>
        <v>0</v>
      </c>
      <c r="T377" s="133"/>
      <c r="U377" s="133"/>
      <c r="V377" s="133"/>
      <c r="W377" s="133"/>
      <c r="X377" s="133"/>
      <c r="Y377" s="133"/>
      <c r="Z377" s="133"/>
      <c r="AA377" s="133"/>
      <c r="AB377" s="133"/>
      <c r="AC377" s="133"/>
      <c r="AD377" s="133"/>
      <c r="AE377" s="133"/>
      <c r="AF377" s="133"/>
      <c r="AG377" s="133"/>
      <c r="AH377" s="133"/>
      <c r="AI377" s="133"/>
      <c r="AJ377" s="133"/>
      <c r="AK377" s="133"/>
      <c r="AL377" s="133"/>
      <c r="AM377" s="133"/>
      <c r="AN377" s="133"/>
      <c r="AO377" s="133"/>
      <c r="AP377" s="133"/>
      <c r="AQ377" s="133"/>
      <c r="AR377" s="133"/>
      <c r="AS377" s="153">
        <v>0</v>
      </c>
      <c r="AT377" s="153">
        <v>0</v>
      </c>
      <c r="AU377" s="153">
        <v>0</v>
      </c>
      <c r="AV377" s="135">
        <f>127118.64+N("სილქი")+59322.03+N("სილქი")</f>
        <v>186440.66999999998</v>
      </c>
      <c r="AW377" s="135">
        <f>8026.48+2677.06</f>
        <v>10703.539999999999</v>
      </c>
      <c r="AX377" s="135">
        <f>(I377/1.18-AT377-AW377)*0.1</f>
        <v>18853.205322033897</v>
      </c>
      <c r="AY377" s="135"/>
      <c r="AZ377" s="135"/>
      <c r="BA377" s="135"/>
      <c r="BB377" s="135"/>
      <c r="BC377" s="135"/>
      <c r="BD377" s="135"/>
      <c r="BE377" s="135">
        <f>(H377/1.18-AT377-AW377-AZ377-BD377)*0.1-AU377-AX377-BA377-BB377</f>
        <v>0</v>
      </c>
      <c r="BF377" s="135"/>
      <c r="BG377" s="135"/>
      <c r="BH377" s="135"/>
      <c r="BI377" s="2" t="s">
        <v>11</v>
      </c>
      <c r="BJ377" s="136">
        <v>45278</v>
      </c>
      <c r="BK377" s="2" t="s">
        <v>8</v>
      </c>
      <c r="BL377" s="136" t="s">
        <v>113</v>
      </c>
      <c r="BM377" s="136">
        <v>44935</v>
      </c>
      <c r="BN377" s="2" t="s">
        <v>1209</v>
      </c>
      <c r="BO377" s="2"/>
      <c r="BP377" s="136"/>
      <c r="BQ377" s="137" t="s">
        <v>119</v>
      </c>
      <c r="BR377" s="138"/>
    </row>
    <row r="378" spans="1:70" ht="12.75" customHeight="1" x14ac:dyDescent="0.2">
      <c r="A378" s="2">
        <v>1867</v>
      </c>
      <c r="B378" s="2" t="s">
        <v>31</v>
      </c>
      <c r="C378" s="2" t="s">
        <v>33</v>
      </c>
      <c r="D378" s="2" t="s">
        <v>1284</v>
      </c>
      <c r="E378" s="2" t="s">
        <v>110</v>
      </c>
      <c r="F378" s="150">
        <f>563*1.75</f>
        <v>985.25</v>
      </c>
      <c r="G378" s="150"/>
      <c r="H378" s="150">
        <f>563*1.75</f>
        <v>985.25</v>
      </c>
      <c r="I378" s="150"/>
      <c r="J378" s="132">
        <f>985.25</f>
        <v>985.25</v>
      </c>
      <c r="K378" s="132">
        <f t="shared" si="46"/>
        <v>0</v>
      </c>
      <c r="L378" s="132">
        <f t="shared" si="42"/>
        <v>0</v>
      </c>
      <c r="M378" s="133"/>
      <c r="N378" s="133">
        <f t="shared" si="45"/>
        <v>0</v>
      </c>
      <c r="O378" s="134">
        <v>0</v>
      </c>
      <c r="P378" s="133"/>
      <c r="Q378" s="2" t="s">
        <v>1259</v>
      </c>
      <c r="R378" s="156">
        <f t="shared" si="43"/>
        <v>0</v>
      </c>
      <c r="S378" s="156">
        <f t="shared" si="44"/>
        <v>0</v>
      </c>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53">
        <v>0</v>
      </c>
      <c r="AT378" s="153">
        <v>0</v>
      </c>
      <c r="AU378" s="153">
        <v>0</v>
      </c>
      <c r="AV378" s="135"/>
      <c r="AW378" s="135"/>
      <c r="AX378" s="135"/>
      <c r="AY378" s="135"/>
      <c r="AZ378" s="135"/>
      <c r="BA378" s="135"/>
      <c r="BB378" s="135"/>
      <c r="BC378" s="135"/>
      <c r="BD378" s="135"/>
      <c r="BE378" s="135"/>
      <c r="BF378" s="135"/>
      <c r="BG378" s="135"/>
      <c r="BH378" s="135"/>
      <c r="BI378" s="2" t="s">
        <v>112</v>
      </c>
      <c r="BJ378" s="136">
        <v>45146</v>
      </c>
      <c r="BK378" s="2" t="s">
        <v>145</v>
      </c>
      <c r="BL378" s="136" t="s">
        <v>113</v>
      </c>
      <c r="BM378" s="136">
        <v>44935</v>
      </c>
      <c r="BN378" s="2" t="s">
        <v>1210</v>
      </c>
      <c r="BO378" s="2"/>
      <c r="BP378" s="136"/>
      <c r="BQ378" s="137" t="s">
        <v>134</v>
      </c>
      <c r="BR378" s="138"/>
    </row>
    <row r="379" spans="1:70" ht="12.75" customHeight="1" x14ac:dyDescent="0.2">
      <c r="A379" s="2">
        <v>1868</v>
      </c>
      <c r="B379" s="2" t="s">
        <v>31</v>
      </c>
      <c r="C379" s="2" t="s">
        <v>33</v>
      </c>
      <c r="D379" s="2" t="s">
        <v>1285</v>
      </c>
      <c r="E379" s="2" t="s">
        <v>71</v>
      </c>
      <c r="F379" s="132">
        <v>45000</v>
      </c>
      <c r="G379" s="132"/>
      <c r="H379" s="132">
        <f>30000+18987</f>
        <v>48987</v>
      </c>
      <c r="I379" s="132">
        <f>H379</f>
        <v>48987</v>
      </c>
      <c r="J379" s="132">
        <f>4576.27+AS379+AV379+18987</f>
        <v>48987</v>
      </c>
      <c r="K379" s="132">
        <f t="shared" si="46"/>
        <v>-3987</v>
      </c>
      <c r="L379" s="132">
        <f t="shared" si="42"/>
        <v>0</v>
      </c>
      <c r="M379" s="133">
        <v>522</v>
      </c>
      <c r="N379" s="133">
        <f t="shared" si="45"/>
        <v>0</v>
      </c>
      <c r="O379" s="134">
        <v>0</v>
      </c>
      <c r="P379" s="133"/>
      <c r="Q379" s="2" t="s">
        <v>1259</v>
      </c>
      <c r="R379" s="156">
        <f t="shared" si="43"/>
        <v>0</v>
      </c>
      <c r="S379" s="156">
        <f t="shared" si="44"/>
        <v>0</v>
      </c>
      <c r="T379" s="133"/>
      <c r="U379" s="133"/>
      <c r="V379" s="133"/>
      <c r="W379" s="133"/>
      <c r="X379" s="133"/>
      <c r="Y379" s="133"/>
      <c r="Z379" s="133"/>
      <c r="AA379" s="133"/>
      <c r="AB379" s="133"/>
      <c r="AC379" s="133"/>
      <c r="AD379" s="133"/>
      <c r="AE379" s="133"/>
      <c r="AF379" s="133"/>
      <c r="AG379" s="133"/>
      <c r="AH379" s="133"/>
      <c r="AI379" s="133"/>
      <c r="AJ379" s="133"/>
      <c r="AK379" s="133"/>
      <c r="AL379" s="133"/>
      <c r="AM379" s="133"/>
      <c r="AN379" s="133"/>
      <c r="AO379" s="133"/>
      <c r="AP379" s="133"/>
      <c r="AQ379" s="133"/>
      <c r="AR379" s="133"/>
      <c r="AS379" s="153">
        <v>0</v>
      </c>
      <c r="AT379" s="153">
        <v>0</v>
      </c>
      <c r="AU379" s="153">
        <v>0</v>
      </c>
      <c r="AV379" s="135">
        <v>25423.73</v>
      </c>
      <c r="AW379" s="135">
        <v>1147.3100000000013</v>
      </c>
      <c r="AX379" s="135">
        <f>(I379/1.18-AT379-AW379)*0.1</f>
        <v>4036.7096779661024</v>
      </c>
      <c r="AY379" s="135"/>
      <c r="AZ379" s="135"/>
      <c r="BA379" s="135"/>
      <c r="BB379" s="135"/>
      <c r="BC379" s="135"/>
      <c r="BD379" s="135"/>
      <c r="BE379" s="135">
        <f>(H379/1.18-AT379-AW379-AZ379-BD379)*0.1-AU379-AX379-BA379-BB379</f>
        <v>0</v>
      </c>
      <c r="BF379" s="135"/>
      <c r="BG379" s="135"/>
      <c r="BH379" s="135"/>
      <c r="BI379" s="2" t="s">
        <v>11</v>
      </c>
      <c r="BJ379" s="136">
        <v>45289</v>
      </c>
      <c r="BK379" s="2" t="s">
        <v>8</v>
      </c>
      <c r="BL379" s="136" t="s">
        <v>113</v>
      </c>
      <c r="BM379" s="136">
        <v>44935</v>
      </c>
      <c r="BN379" s="2" t="s">
        <v>1211</v>
      </c>
      <c r="BO379" s="2"/>
      <c r="BP379" s="136"/>
      <c r="BQ379" s="137" t="s">
        <v>119</v>
      </c>
      <c r="BR379" s="138"/>
    </row>
    <row r="380" spans="1:70" ht="12.75" customHeight="1" x14ac:dyDescent="0.2">
      <c r="A380" s="2">
        <v>1869</v>
      </c>
      <c r="B380" s="2" t="s">
        <v>31</v>
      </c>
      <c r="C380" s="2" t="s">
        <v>33</v>
      </c>
      <c r="D380" s="2" t="s">
        <v>1286</v>
      </c>
      <c r="E380" s="2" t="s">
        <v>110</v>
      </c>
      <c r="F380" s="150">
        <f>2945*1.75</f>
        <v>5153.75</v>
      </c>
      <c r="G380" s="150"/>
      <c r="H380" s="150">
        <f>2945*1.75</f>
        <v>5153.75</v>
      </c>
      <c r="I380" s="150"/>
      <c r="J380" s="132">
        <f>786.165+4367.585</f>
        <v>5153.75</v>
      </c>
      <c r="K380" s="132">
        <f t="shared" si="46"/>
        <v>0</v>
      </c>
      <c r="L380" s="132">
        <f t="shared" si="42"/>
        <v>0</v>
      </c>
      <c r="M380" s="133"/>
      <c r="N380" s="133">
        <f t="shared" si="45"/>
        <v>0</v>
      </c>
      <c r="O380" s="134">
        <v>0</v>
      </c>
      <c r="P380" s="133"/>
      <c r="Q380" s="2" t="s">
        <v>1260</v>
      </c>
      <c r="R380" s="156">
        <f t="shared" si="43"/>
        <v>0</v>
      </c>
      <c r="S380" s="156">
        <f t="shared" si="44"/>
        <v>0</v>
      </c>
      <c r="T380" s="133"/>
      <c r="U380" s="133"/>
      <c r="V380" s="133"/>
      <c r="W380" s="133"/>
      <c r="X380" s="133"/>
      <c r="Y380" s="133"/>
      <c r="Z380" s="133"/>
      <c r="AA380" s="133"/>
      <c r="AB380" s="133"/>
      <c r="AC380" s="133"/>
      <c r="AD380" s="133"/>
      <c r="AE380" s="133"/>
      <c r="AF380" s="133"/>
      <c r="AG380" s="133"/>
      <c r="AH380" s="133"/>
      <c r="AI380" s="133"/>
      <c r="AJ380" s="133"/>
      <c r="AK380" s="133"/>
      <c r="AL380" s="133"/>
      <c r="AM380" s="133"/>
      <c r="AN380" s="133"/>
      <c r="AO380" s="133"/>
      <c r="AP380" s="133"/>
      <c r="AQ380" s="133"/>
      <c r="AR380" s="133"/>
      <c r="AS380" s="153">
        <v>0</v>
      </c>
      <c r="AT380" s="153">
        <v>0</v>
      </c>
      <c r="AU380" s="153">
        <v>0</v>
      </c>
      <c r="AV380" s="135"/>
      <c r="AW380" s="135"/>
      <c r="AX380" s="135"/>
      <c r="AY380" s="135"/>
      <c r="AZ380" s="135"/>
      <c r="BA380" s="135"/>
      <c r="BB380" s="135"/>
      <c r="BC380" s="135"/>
      <c r="BD380" s="135"/>
      <c r="BE380" s="135"/>
      <c r="BF380" s="135"/>
      <c r="BG380" s="135"/>
      <c r="BH380" s="135"/>
      <c r="BI380" s="2" t="s">
        <v>112</v>
      </c>
      <c r="BJ380" s="136">
        <v>45146</v>
      </c>
      <c r="BK380" s="2" t="s">
        <v>145</v>
      </c>
      <c r="BL380" s="136" t="s">
        <v>113</v>
      </c>
      <c r="BM380" s="136">
        <v>44935</v>
      </c>
      <c r="BN380" s="2" t="s">
        <v>1212</v>
      </c>
      <c r="BO380" s="2"/>
      <c r="BP380" s="136"/>
      <c r="BQ380" s="137" t="s">
        <v>134</v>
      </c>
      <c r="BR380" s="138"/>
    </row>
    <row r="381" spans="1:70" ht="12.75" customHeight="1" x14ac:dyDescent="0.2">
      <c r="A381" s="2">
        <v>1870</v>
      </c>
      <c r="B381" s="2" t="s">
        <v>31</v>
      </c>
      <c r="C381" s="2" t="s">
        <v>33</v>
      </c>
      <c r="D381" s="2" t="s">
        <v>1287</v>
      </c>
      <c r="E381" s="2" t="s">
        <v>71</v>
      </c>
      <c r="F381" s="132">
        <v>90000</v>
      </c>
      <c r="G381" s="132" t="s">
        <v>3836</v>
      </c>
      <c r="H381" s="323">
        <f>150000+30000+5000+5000+R381</f>
        <v>211918.55</v>
      </c>
      <c r="I381" s="132">
        <v>211918.55</v>
      </c>
      <c r="J381" s="132">
        <f>4576.27+762.7118+762.71+AV381+AY381+BC381+S381</f>
        <v>211918.54180000004</v>
      </c>
      <c r="K381" s="132">
        <f t="shared" si="46"/>
        <v>-121918.54180000004</v>
      </c>
      <c r="L381" s="132">
        <f t="shared" si="42"/>
        <v>8.1999999529216439E-3</v>
      </c>
      <c r="M381" s="133">
        <v>2847.6</v>
      </c>
      <c r="N381" s="133">
        <f t="shared" si="45"/>
        <v>8.1999999529216439E-3</v>
      </c>
      <c r="O381" s="134">
        <v>1</v>
      </c>
      <c r="P381" s="133"/>
      <c r="Q381" s="2" t="s">
        <v>1260</v>
      </c>
      <c r="R381" s="156">
        <f t="shared" si="43"/>
        <v>21918.55</v>
      </c>
      <c r="S381" s="156">
        <f t="shared" si="44"/>
        <v>27003.289999999997</v>
      </c>
      <c r="T381" s="133">
        <v>21000</v>
      </c>
      <c r="U381" s="133"/>
      <c r="V381" s="133">
        <v>918.55</v>
      </c>
      <c r="W381" s="133">
        <f>3203.39</f>
        <v>3203.39</v>
      </c>
      <c r="X381" s="133"/>
      <c r="Y381" s="133">
        <v>140.12</v>
      </c>
      <c r="Z381" s="133"/>
      <c r="AA381" s="133"/>
      <c r="AB381" s="133"/>
      <c r="AC381" s="133"/>
      <c r="AD381" s="133"/>
      <c r="AE381" s="133">
        <v>23659.78</v>
      </c>
      <c r="AF381" s="133"/>
      <c r="AG381" s="133"/>
      <c r="AH381" s="133"/>
      <c r="AI381" s="133"/>
      <c r="AJ381" s="133"/>
      <c r="AK381" s="133"/>
      <c r="AL381" s="133"/>
      <c r="AM381" s="133"/>
      <c r="AN381" s="133"/>
      <c r="AO381" s="133"/>
      <c r="AP381" s="133"/>
      <c r="AQ381" s="133"/>
      <c r="AR381" s="133"/>
      <c r="AS381" s="153">
        <v>0</v>
      </c>
      <c r="AT381" s="153">
        <v>0</v>
      </c>
      <c r="AU381" s="153">
        <v>0</v>
      </c>
      <c r="AV381" s="135"/>
      <c r="AW381" s="135"/>
      <c r="AX381" s="135"/>
      <c r="AY381" s="135">
        <f>127118.64+25423.73+4237.29+4237.29</f>
        <v>161016.95000000001</v>
      </c>
      <c r="AZ381" s="135">
        <f>11800.38+1947.35+244.57+189.2</f>
        <v>14181.5</v>
      </c>
      <c r="BA381" s="135"/>
      <c r="BB381" s="140">
        <f>(211000/1.18-AT381-AW381-AZ381)*0.1-AU381-AX381-BA381</f>
        <v>16463.205932203393</v>
      </c>
      <c r="BC381" s="135">
        <v>17796.61</v>
      </c>
      <c r="BD381" s="135">
        <v>400.55</v>
      </c>
      <c r="BE381" s="135">
        <f>(H381/1.18-AT381-AW381-AZ381-BD381)*0.1-AU381-AX381-BA381-BB381</f>
        <v>37.788220338981773</v>
      </c>
      <c r="BF381" s="135"/>
      <c r="BG381" s="135"/>
      <c r="BH381" s="135"/>
      <c r="BI381" s="2" t="s">
        <v>11</v>
      </c>
      <c r="BJ381" s="136">
        <v>45705</v>
      </c>
      <c r="BK381" s="2" t="s">
        <v>109</v>
      </c>
      <c r="BL381" s="136" t="s">
        <v>113</v>
      </c>
      <c r="BM381" s="136">
        <v>44935</v>
      </c>
      <c r="BN381" s="2" t="s">
        <v>1213</v>
      </c>
      <c r="BO381" s="2"/>
      <c r="BP381" s="136"/>
      <c r="BQ381" s="137" t="s">
        <v>119</v>
      </c>
      <c r="BR381" s="138"/>
    </row>
    <row r="382" spans="1:70" ht="12.75" customHeight="1" x14ac:dyDescent="0.2">
      <c r="A382" s="2">
        <v>1871</v>
      </c>
      <c r="B382" s="2" t="s">
        <v>31</v>
      </c>
      <c r="C382" s="2" t="s">
        <v>37</v>
      </c>
      <c r="D382" s="2" t="s">
        <v>3832</v>
      </c>
      <c r="E382" s="2" t="s">
        <v>71</v>
      </c>
      <c r="F382" s="132">
        <v>95000</v>
      </c>
      <c r="G382" s="132">
        <v>2</v>
      </c>
      <c r="H382" s="323">
        <f>50000+R382</f>
        <v>54195.18</v>
      </c>
      <c r="I382" s="132"/>
      <c r="J382" s="132">
        <f>S382+AY382+BC382</f>
        <v>54195.18</v>
      </c>
      <c r="K382" s="132">
        <f t="shared" si="46"/>
        <v>40804.82</v>
      </c>
      <c r="L382" s="132">
        <f t="shared" si="42"/>
        <v>0</v>
      </c>
      <c r="M382" s="133">
        <v>885</v>
      </c>
      <c r="N382" s="133">
        <f t="shared" si="45"/>
        <v>0</v>
      </c>
      <c r="O382" s="134">
        <v>1</v>
      </c>
      <c r="P382" s="133"/>
      <c r="Q382" s="2" t="s">
        <v>1261</v>
      </c>
      <c r="R382" s="156">
        <f t="shared" si="43"/>
        <v>4195.18</v>
      </c>
      <c r="S382" s="156">
        <f t="shared" si="44"/>
        <v>11822.300000000001</v>
      </c>
      <c r="T382" s="133"/>
      <c r="U382" s="133"/>
      <c r="V382" s="133">
        <v>4195.18</v>
      </c>
      <c r="W382" s="133"/>
      <c r="X382" s="133"/>
      <c r="Y382" s="133">
        <v>639.94000000000005</v>
      </c>
      <c r="Z382" s="133"/>
      <c r="AA382" s="133"/>
      <c r="AB382" s="133"/>
      <c r="AC382" s="133"/>
      <c r="AD382" s="133"/>
      <c r="AE382" s="133">
        <v>11182.36</v>
      </c>
      <c r="AF382" s="133"/>
      <c r="AG382" s="133"/>
      <c r="AH382" s="133"/>
      <c r="AI382" s="133"/>
      <c r="AJ382" s="133"/>
      <c r="AK382" s="133"/>
      <c r="AL382" s="133"/>
      <c r="AM382" s="133"/>
      <c r="AN382" s="133"/>
      <c r="AO382" s="133"/>
      <c r="AP382" s="133"/>
      <c r="AQ382" s="133"/>
      <c r="AR382" s="133"/>
      <c r="AS382" s="153">
        <v>0</v>
      </c>
      <c r="AT382" s="153">
        <v>0</v>
      </c>
      <c r="AU382" s="153">
        <v>0</v>
      </c>
      <c r="AV382" s="135"/>
      <c r="AW382" s="135"/>
      <c r="AX382" s="135"/>
      <c r="AY382" s="135">
        <v>42372.88</v>
      </c>
      <c r="AZ382" s="135">
        <v>3933.4599999999991</v>
      </c>
      <c r="BA382" s="135"/>
      <c r="BB382" s="135"/>
      <c r="BC382" s="135"/>
      <c r="BD382" s="135"/>
      <c r="BE382" s="135">
        <f>(H382/1.18-AT382-AW382-AZ382-BD382)*0.1-AU382-AX382-BA382-BB382</f>
        <v>4199.4658644067804</v>
      </c>
      <c r="BF382" s="135"/>
      <c r="BG382" s="135"/>
      <c r="BH382" s="135"/>
      <c r="BI382" s="2" t="s">
        <v>11</v>
      </c>
      <c r="BJ382" s="136">
        <v>45709</v>
      </c>
      <c r="BK382" s="2" t="s">
        <v>109</v>
      </c>
      <c r="BL382" s="136" t="s">
        <v>113</v>
      </c>
      <c r="BM382" s="136">
        <v>44935</v>
      </c>
      <c r="BN382" s="2" t="s">
        <v>1214</v>
      </c>
      <c r="BO382" s="2"/>
      <c r="BP382" s="136"/>
      <c r="BQ382" s="137" t="s">
        <v>119</v>
      </c>
      <c r="BR382" s="138"/>
    </row>
    <row r="383" spans="1:70" ht="12.75" customHeight="1" x14ac:dyDescent="0.2">
      <c r="A383" s="2">
        <v>1872</v>
      </c>
      <c r="B383" s="2" t="s">
        <v>31</v>
      </c>
      <c r="C383" s="2" t="s">
        <v>32</v>
      </c>
      <c r="D383" s="2" t="s">
        <v>1289</v>
      </c>
      <c r="E383" s="2" t="s">
        <v>110</v>
      </c>
      <c r="F383" s="132">
        <v>0</v>
      </c>
      <c r="G383" s="132">
        <v>2</v>
      </c>
      <c r="H383" s="132"/>
      <c r="I383" s="132"/>
      <c r="J383" s="132"/>
      <c r="K383" s="132">
        <f t="shared" si="46"/>
        <v>0</v>
      </c>
      <c r="L383" s="132">
        <f t="shared" si="42"/>
        <v>0</v>
      </c>
      <c r="M383" s="133"/>
      <c r="N383" s="133">
        <f t="shared" si="45"/>
        <v>0</v>
      </c>
      <c r="O383" s="134">
        <v>2</v>
      </c>
      <c r="P383" s="133"/>
      <c r="Q383" s="2" t="s">
        <v>1262</v>
      </c>
      <c r="R383" s="156">
        <f t="shared" si="43"/>
        <v>0</v>
      </c>
      <c r="S383" s="156">
        <f t="shared" si="44"/>
        <v>0</v>
      </c>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53">
        <v>0</v>
      </c>
      <c r="AT383" s="153">
        <v>0</v>
      </c>
      <c r="AU383" s="153">
        <v>0</v>
      </c>
      <c r="AV383" s="135"/>
      <c r="AW383" s="135"/>
      <c r="AX383" s="135"/>
      <c r="AY383" s="135"/>
      <c r="AZ383" s="135"/>
      <c r="BA383" s="135"/>
      <c r="BB383" s="135"/>
      <c r="BC383" s="135"/>
      <c r="BD383" s="135"/>
      <c r="BE383" s="135"/>
      <c r="BF383" s="135"/>
      <c r="BG383" s="135"/>
      <c r="BH383" s="135"/>
      <c r="BI383" s="2" t="s">
        <v>112</v>
      </c>
      <c r="BJ383" s="136"/>
      <c r="BK383" s="2">
        <v>0</v>
      </c>
      <c r="BL383" s="136" t="s">
        <v>113</v>
      </c>
      <c r="BM383" s="136">
        <v>44935</v>
      </c>
      <c r="BN383" s="2" t="s">
        <v>1215</v>
      </c>
      <c r="BO383" s="2"/>
      <c r="BP383" s="136"/>
      <c r="BQ383" s="137"/>
      <c r="BR383" s="138"/>
    </row>
    <row r="384" spans="1:70" ht="12.75" customHeight="1" x14ac:dyDescent="0.2">
      <c r="A384" s="2">
        <v>1873</v>
      </c>
      <c r="B384" s="2" t="s">
        <v>31</v>
      </c>
      <c r="C384" s="2" t="s">
        <v>32</v>
      </c>
      <c r="D384" s="2" t="s">
        <v>1290</v>
      </c>
      <c r="E384" s="2" t="s">
        <v>71</v>
      </c>
      <c r="F384" s="132">
        <v>47000</v>
      </c>
      <c r="G384" s="132">
        <v>2</v>
      </c>
      <c r="H384" s="132"/>
      <c r="I384" s="132"/>
      <c r="J384" s="132"/>
      <c r="K384" s="132">
        <f t="shared" si="46"/>
        <v>47000</v>
      </c>
      <c r="L384" s="132">
        <f t="shared" si="42"/>
        <v>0</v>
      </c>
      <c r="M384" s="133"/>
      <c r="N384" s="133">
        <f t="shared" si="45"/>
        <v>47000</v>
      </c>
      <c r="O384" s="134">
        <v>1</v>
      </c>
      <c r="P384" s="133"/>
      <c r="Q384" s="2" t="s">
        <v>1262</v>
      </c>
      <c r="R384" s="156">
        <f t="shared" si="43"/>
        <v>0</v>
      </c>
      <c r="S384" s="156">
        <f t="shared" si="44"/>
        <v>0</v>
      </c>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53">
        <v>0</v>
      </c>
      <c r="AT384" s="153">
        <v>0</v>
      </c>
      <c r="AU384" s="153">
        <v>0</v>
      </c>
      <c r="AV384" s="135"/>
      <c r="AW384" s="135"/>
      <c r="AX384" s="135"/>
      <c r="AY384" s="135"/>
      <c r="AZ384" s="135"/>
      <c r="BA384" s="135"/>
      <c r="BB384" s="135"/>
      <c r="BC384" s="135"/>
      <c r="BD384" s="135"/>
      <c r="BE384" s="135"/>
      <c r="BF384" s="135"/>
      <c r="BG384" s="135"/>
      <c r="BH384" s="135"/>
      <c r="BI384" s="2" t="s">
        <v>11</v>
      </c>
      <c r="BJ384" s="136"/>
      <c r="BK384" s="2">
        <v>0</v>
      </c>
      <c r="BL384" s="136" t="s">
        <v>113</v>
      </c>
      <c r="BM384" s="136">
        <v>44935</v>
      </c>
      <c r="BN384" s="2" t="s">
        <v>1216</v>
      </c>
      <c r="BO384" s="2"/>
      <c r="BP384" s="136"/>
      <c r="BQ384" s="137"/>
      <c r="BR384" s="138"/>
    </row>
    <row r="385" spans="1:70" ht="12.75" customHeight="1" x14ac:dyDescent="0.2">
      <c r="A385" s="2">
        <v>1874</v>
      </c>
      <c r="B385" s="2" t="s">
        <v>31</v>
      </c>
      <c r="C385" s="2" t="s">
        <v>33</v>
      </c>
      <c r="D385" s="2" t="s">
        <v>1291</v>
      </c>
      <c r="E385" s="2" t="s">
        <v>110</v>
      </c>
      <c r="F385" s="150">
        <f>1431*1.75</f>
        <v>2504.25</v>
      </c>
      <c r="G385" s="150"/>
      <c r="H385" s="150">
        <f>1431*1.75</f>
        <v>2504.25</v>
      </c>
      <c r="I385" s="150"/>
      <c r="J385" s="132">
        <f>382+2122.25</f>
        <v>2504.25</v>
      </c>
      <c r="K385" s="132">
        <f t="shared" si="46"/>
        <v>0</v>
      </c>
      <c r="L385" s="132">
        <f t="shared" si="42"/>
        <v>0</v>
      </c>
      <c r="M385" s="133"/>
      <c r="N385" s="133">
        <f t="shared" si="45"/>
        <v>0</v>
      </c>
      <c r="O385" s="134">
        <v>0</v>
      </c>
      <c r="P385" s="133"/>
      <c r="Q385" s="2" t="s">
        <v>1263</v>
      </c>
      <c r="R385" s="156">
        <f t="shared" si="43"/>
        <v>0</v>
      </c>
      <c r="S385" s="156">
        <f t="shared" si="44"/>
        <v>0</v>
      </c>
      <c r="T385" s="133"/>
      <c r="U385" s="133"/>
      <c r="V385" s="133"/>
      <c r="W385" s="133"/>
      <c r="X385" s="133"/>
      <c r="Y385" s="133"/>
      <c r="Z385" s="133"/>
      <c r="AA385" s="133"/>
      <c r="AB385" s="133"/>
      <c r="AC385" s="133"/>
      <c r="AD385" s="133"/>
      <c r="AE385" s="133"/>
      <c r="AF385" s="133"/>
      <c r="AG385" s="133"/>
      <c r="AH385" s="133"/>
      <c r="AI385" s="133"/>
      <c r="AJ385" s="133"/>
      <c r="AK385" s="133"/>
      <c r="AL385" s="133"/>
      <c r="AM385" s="133"/>
      <c r="AN385" s="133"/>
      <c r="AO385" s="133"/>
      <c r="AP385" s="133"/>
      <c r="AQ385" s="133"/>
      <c r="AR385" s="133"/>
      <c r="AS385" s="153">
        <v>0</v>
      </c>
      <c r="AT385" s="153">
        <v>0</v>
      </c>
      <c r="AU385" s="153">
        <v>0</v>
      </c>
      <c r="AV385" s="135"/>
      <c r="AW385" s="135"/>
      <c r="AX385" s="135"/>
      <c r="AY385" s="135"/>
      <c r="AZ385" s="135"/>
      <c r="BA385" s="135"/>
      <c r="BB385" s="135"/>
      <c r="BC385" s="135"/>
      <c r="BD385" s="135"/>
      <c r="BE385" s="135"/>
      <c r="BF385" s="135"/>
      <c r="BG385" s="135"/>
      <c r="BH385" s="135"/>
      <c r="BI385" s="2" t="s">
        <v>112</v>
      </c>
      <c r="BJ385" s="136">
        <v>45146</v>
      </c>
      <c r="BK385" s="2" t="s">
        <v>145</v>
      </c>
      <c r="BL385" s="136" t="s">
        <v>113</v>
      </c>
      <c r="BM385" s="136">
        <v>44935</v>
      </c>
      <c r="BN385" s="2" t="s">
        <v>1217</v>
      </c>
      <c r="BO385" s="2"/>
      <c r="BP385" s="136"/>
      <c r="BQ385" s="137" t="s">
        <v>134</v>
      </c>
      <c r="BR385" s="138"/>
    </row>
    <row r="386" spans="1:70" ht="12.75" customHeight="1" x14ac:dyDescent="0.2">
      <c r="A386" s="2">
        <v>1875</v>
      </c>
      <c r="B386" s="2" t="s">
        <v>31</v>
      </c>
      <c r="C386" s="2" t="s">
        <v>33</v>
      </c>
      <c r="D386" s="2" t="s">
        <v>1292</v>
      </c>
      <c r="E386" s="2" t="s">
        <v>71</v>
      </c>
      <c r="F386" s="132">
        <v>43000</v>
      </c>
      <c r="G386" s="132">
        <v>2</v>
      </c>
      <c r="H386" s="132">
        <f>60000+30000+13846.34</f>
        <v>103846.34</v>
      </c>
      <c r="I386" s="132">
        <f>60000+30000+13846.34</f>
        <v>103846.34</v>
      </c>
      <c r="J386" s="132">
        <f>9152.54+AV386+AY386+18422.61</f>
        <v>103846.34</v>
      </c>
      <c r="K386" s="132">
        <f t="shared" si="46"/>
        <v>-60846.34</v>
      </c>
      <c r="L386" s="132">
        <f t="shared" si="42"/>
        <v>0</v>
      </c>
      <c r="M386" s="133">
        <v>1687</v>
      </c>
      <c r="N386" s="133">
        <f t="shared" si="45"/>
        <v>0</v>
      </c>
      <c r="O386" s="134">
        <v>0</v>
      </c>
      <c r="P386" s="133"/>
      <c r="Q386" s="2" t="s">
        <v>1263</v>
      </c>
      <c r="R386" s="156">
        <f t="shared" si="43"/>
        <v>0</v>
      </c>
      <c r="S386" s="156">
        <f t="shared" si="44"/>
        <v>0</v>
      </c>
      <c r="T386" s="133"/>
      <c r="U386" s="133"/>
      <c r="V386" s="133"/>
      <c r="W386" s="133"/>
      <c r="X386" s="133"/>
      <c r="Y386" s="133"/>
      <c r="Z386" s="133"/>
      <c r="AA386" s="133"/>
      <c r="AB386" s="133"/>
      <c r="AC386" s="133"/>
      <c r="AD386" s="133"/>
      <c r="AE386" s="133"/>
      <c r="AF386" s="133"/>
      <c r="AG386" s="133"/>
      <c r="AH386" s="133"/>
      <c r="AI386" s="133"/>
      <c r="AJ386" s="133"/>
      <c r="AK386" s="133"/>
      <c r="AL386" s="133"/>
      <c r="AM386" s="133"/>
      <c r="AN386" s="133"/>
      <c r="AO386" s="133"/>
      <c r="AP386" s="133"/>
      <c r="AQ386" s="133"/>
      <c r="AR386" s="133"/>
      <c r="AS386" s="153">
        <v>0</v>
      </c>
      <c r="AT386" s="153">
        <v>0</v>
      </c>
      <c r="AU386" s="153">
        <v>0</v>
      </c>
      <c r="AV386" s="135">
        <v>50847.46</v>
      </c>
      <c r="AW386" s="135">
        <v>2294.62</v>
      </c>
      <c r="AX386" s="135"/>
      <c r="AY386" s="135">
        <v>25423.73</v>
      </c>
      <c r="AZ386" s="135">
        <v>2360.08</v>
      </c>
      <c r="BA386" s="135">
        <f>60000/1.18*0.8*0.1</f>
        <v>4067.7966101694919</v>
      </c>
      <c r="BB386" s="140">
        <f>(H386/1.18-AT386-AW386-AZ386)*0.1-AU386-AX386-BA386</f>
        <v>4267.2706779661012</v>
      </c>
      <c r="BC386" s="135"/>
      <c r="BD386" s="135"/>
      <c r="BE386" s="135">
        <f>(H386/1.18-AT386-AW386-AZ386-BD386)*0.1-AU386-AX386-BA386-BB386</f>
        <v>0</v>
      </c>
      <c r="BF386" s="135"/>
      <c r="BG386" s="135"/>
      <c r="BH386" s="135"/>
      <c r="BI386" s="2" t="s">
        <v>11</v>
      </c>
      <c r="BJ386" s="136">
        <v>45518</v>
      </c>
      <c r="BK386" s="2" t="s">
        <v>8</v>
      </c>
      <c r="BL386" s="136" t="s">
        <v>113</v>
      </c>
      <c r="BM386" s="136">
        <v>44935</v>
      </c>
      <c r="BN386" s="2" t="s">
        <v>1218</v>
      </c>
      <c r="BO386" s="2"/>
      <c r="BP386" s="136" t="s">
        <v>3380</v>
      </c>
      <c r="BQ386" s="137" t="s">
        <v>119</v>
      </c>
      <c r="BR386" s="138"/>
    </row>
    <row r="387" spans="1:70" ht="12.75" customHeight="1" x14ac:dyDescent="0.2">
      <c r="A387" s="2">
        <v>1876</v>
      </c>
      <c r="B387" s="2" t="s">
        <v>54</v>
      </c>
      <c r="C387" s="2" t="s">
        <v>17</v>
      </c>
      <c r="D387" s="2" t="s">
        <v>1293</v>
      </c>
      <c r="E387" s="2" t="s">
        <v>110</v>
      </c>
      <c r="F387" s="150">
        <f>368*1.75</f>
        <v>644</v>
      </c>
      <c r="G387" s="150"/>
      <c r="H387" s="150">
        <f>368*1.75</f>
        <v>644</v>
      </c>
      <c r="I387" s="150"/>
      <c r="J387" s="132">
        <v>644</v>
      </c>
      <c r="K387" s="132">
        <f t="shared" si="46"/>
        <v>0</v>
      </c>
      <c r="L387" s="132">
        <f t="shared" si="42"/>
        <v>0</v>
      </c>
      <c r="M387" s="133"/>
      <c r="N387" s="133">
        <f t="shared" si="45"/>
        <v>0</v>
      </c>
      <c r="O387" s="134">
        <v>0</v>
      </c>
      <c r="P387" s="133"/>
      <c r="Q387" s="2" t="s">
        <v>1264</v>
      </c>
      <c r="R387" s="156">
        <f t="shared" si="43"/>
        <v>0</v>
      </c>
      <c r="S387" s="156">
        <f t="shared" si="44"/>
        <v>0</v>
      </c>
      <c r="T387" s="133"/>
      <c r="U387" s="133"/>
      <c r="V387" s="133"/>
      <c r="W387" s="133"/>
      <c r="X387" s="133"/>
      <c r="Y387" s="133"/>
      <c r="Z387" s="133"/>
      <c r="AA387" s="133"/>
      <c r="AB387" s="133"/>
      <c r="AC387" s="133"/>
      <c r="AD387" s="133"/>
      <c r="AE387" s="133"/>
      <c r="AF387" s="133"/>
      <c r="AG387" s="133"/>
      <c r="AH387" s="133"/>
      <c r="AI387" s="133"/>
      <c r="AJ387" s="133"/>
      <c r="AK387" s="133"/>
      <c r="AL387" s="133"/>
      <c r="AM387" s="133"/>
      <c r="AN387" s="133"/>
      <c r="AO387" s="133"/>
      <c r="AP387" s="133"/>
      <c r="AQ387" s="133"/>
      <c r="AR387" s="133"/>
      <c r="AS387" s="153">
        <v>0</v>
      </c>
      <c r="AT387" s="153">
        <v>0</v>
      </c>
      <c r="AU387" s="153">
        <v>0</v>
      </c>
      <c r="AV387" s="135"/>
      <c r="AW387" s="135"/>
      <c r="AX387" s="135"/>
      <c r="AY387" s="135"/>
      <c r="AZ387" s="135"/>
      <c r="BA387" s="135"/>
      <c r="BB387" s="135"/>
      <c r="BC387" s="135"/>
      <c r="BD387" s="135"/>
      <c r="BE387" s="135"/>
      <c r="BF387" s="135"/>
      <c r="BG387" s="135"/>
      <c r="BH387" s="135"/>
      <c r="BI387" s="2" t="s">
        <v>112</v>
      </c>
      <c r="BJ387" s="136">
        <v>45146</v>
      </c>
      <c r="BK387" s="2" t="s">
        <v>145</v>
      </c>
      <c r="BL387" s="136" t="s">
        <v>113</v>
      </c>
      <c r="BM387" s="136">
        <v>44935</v>
      </c>
      <c r="BN387" s="2" t="s">
        <v>1219</v>
      </c>
      <c r="BO387" s="2"/>
      <c r="BP387" s="136"/>
      <c r="BQ387" s="137" t="s">
        <v>134</v>
      </c>
      <c r="BR387" s="138"/>
    </row>
    <row r="388" spans="1:70" ht="12.75" customHeight="1" x14ac:dyDescent="0.2">
      <c r="A388" s="2">
        <v>1877</v>
      </c>
      <c r="B388" s="2" t="s">
        <v>54</v>
      </c>
      <c r="C388" s="2" t="s">
        <v>17</v>
      </c>
      <c r="D388" s="2" t="s">
        <v>1294</v>
      </c>
      <c r="E388" s="2" t="s">
        <v>71</v>
      </c>
      <c r="F388" s="132">
        <v>15000</v>
      </c>
      <c r="G388" s="132">
        <v>2</v>
      </c>
      <c r="H388" s="132">
        <v>20655</v>
      </c>
      <c r="I388" s="132">
        <v>20655</v>
      </c>
      <c r="J388" s="132">
        <v>20655</v>
      </c>
      <c r="K388" s="132">
        <f t="shared" si="46"/>
        <v>-5655</v>
      </c>
      <c r="L388" s="132">
        <f t="shared" si="42"/>
        <v>0</v>
      </c>
      <c r="M388" s="133">
        <v>356</v>
      </c>
      <c r="N388" s="133">
        <f t="shared" si="45"/>
        <v>0</v>
      </c>
      <c r="O388" s="134">
        <v>0</v>
      </c>
      <c r="P388" s="133"/>
      <c r="Q388" s="2" t="s">
        <v>1264</v>
      </c>
      <c r="R388" s="156">
        <f t="shared" si="43"/>
        <v>0</v>
      </c>
      <c r="S388" s="156">
        <f t="shared" si="44"/>
        <v>0</v>
      </c>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53">
        <v>0</v>
      </c>
      <c r="AT388" s="153">
        <v>0</v>
      </c>
      <c r="AU388" s="153">
        <v>0</v>
      </c>
      <c r="AV388" s="135">
        <v>0</v>
      </c>
      <c r="AW388" s="135">
        <v>0</v>
      </c>
      <c r="AX388" s="135"/>
      <c r="AY388" s="135"/>
      <c r="AZ388" s="135"/>
      <c r="BA388" s="135">
        <f>IF(BK388="Принят",(H388/1.18-AW388)*0.1,H388/1.18*0.8*0.1)</f>
        <v>1750.4237288135596</v>
      </c>
      <c r="BB388" s="135">
        <f>(H388/1.18-AT388-AW388-AZ388)*0.1-AU388-AX388-BA388</f>
        <v>0</v>
      </c>
      <c r="BC388" s="135"/>
      <c r="BD388" s="135"/>
      <c r="BE388" s="135">
        <f>(H388/1.18-AT388-AW388-AZ388-BD388)*0.1-AU388-AX388-BA388-BB388</f>
        <v>0</v>
      </c>
      <c r="BF388" s="135"/>
      <c r="BG388" s="135"/>
      <c r="BH388" s="135"/>
      <c r="BI388" s="2" t="s">
        <v>11</v>
      </c>
      <c r="BJ388" s="136">
        <v>45400</v>
      </c>
      <c r="BK388" s="2" t="s">
        <v>8</v>
      </c>
      <c r="BL388" s="136" t="s">
        <v>113</v>
      </c>
      <c r="BM388" s="136">
        <v>44935</v>
      </c>
      <c r="BN388" s="2" t="s">
        <v>1220</v>
      </c>
      <c r="BO388" s="2"/>
      <c r="BP388" s="136"/>
      <c r="BQ388" s="137" t="s">
        <v>119</v>
      </c>
      <c r="BR388" s="138"/>
    </row>
    <row r="389" spans="1:70" ht="12.75" customHeight="1" x14ac:dyDescent="0.2">
      <c r="A389" s="2">
        <v>1878</v>
      </c>
      <c r="B389" s="2" t="s">
        <v>31</v>
      </c>
      <c r="C389" s="2" t="s">
        <v>38</v>
      </c>
      <c r="D389" s="2" t="s">
        <v>1295</v>
      </c>
      <c r="E389" s="2" t="s">
        <v>71</v>
      </c>
      <c r="F389" s="132">
        <v>180000</v>
      </c>
      <c r="G389" s="132">
        <v>2</v>
      </c>
      <c r="H389" s="132">
        <f>150000+50000+120000+44847.96</f>
        <v>364847.96</v>
      </c>
      <c r="I389" s="132">
        <f>150000+50000+120000+44847.96</f>
        <v>364847.96</v>
      </c>
      <c r="J389" s="132">
        <f>22881.36+7627.12+AY389+63153.04</f>
        <v>364847.95999999996</v>
      </c>
      <c r="K389" s="132">
        <f t="shared" si="46"/>
        <v>-184847.95999999996</v>
      </c>
      <c r="L389" s="132">
        <f t="shared" si="42"/>
        <v>0</v>
      </c>
      <c r="M389" s="133">
        <v>2341</v>
      </c>
      <c r="N389" s="133">
        <f t="shared" si="45"/>
        <v>5.8207660913467407E-11</v>
      </c>
      <c r="O389" s="134">
        <v>0</v>
      </c>
      <c r="P389" s="133"/>
      <c r="Q389" s="2" t="s">
        <v>480</v>
      </c>
      <c r="R389" s="156">
        <f t="shared" si="43"/>
        <v>0</v>
      </c>
      <c r="S389" s="156">
        <f t="shared" si="44"/>
        <v>0</v>
      </c>
      <c r="T389" s="133"/>
      <c r="U389" s="133"/>
      <c r="V389" s="133"/>
      <c r="W389" s="133"/>
      <c r="X389" s="133"/>
      <c r="Y389" s="133"/>
      <c r="Z389" s="133"/>
      <c r="AA389" s="133"/>
      <c r="AB389" s="133"/>
      <c r="AC389" s="133"/>
      <c r="AD389" s="133"/>
      <c r="AE389" s="133"/>
      <c r="AF389" s="133"/>
      <c r="AG389" s="133"/>
      <c r="AH389" s="133"/>
      <c r="AI389" s="133"/>
      <c r="AJ389" s="133"/>
      <c r="AK389" s="133"/>
      <c r="AL389" s="133"/>
      <c r="AM389" s="133"/>
      <c r="AN389" s="133"/>
      <c r="AO389" s="133"/>
      <c r="AP389" s="133"/>
      <c r="AQ389" s="133"/>
      <c r="AR389" s="133"/>
      <c r="AS389" s="153">
        <v>0</v>
      </c>
      <c r="AT389" s="153">
        <v>0</v>
      </c>
      <c r="AU389" s="153">
        <v>0</v>
      </c>
      <c r="AV389" s="135"/>
      <c r="AW389" s="135"/>
      <c r="AX389" s="135"/>
      <c r="AY389" s="135">
        <f>127118.64+42372.88+101694.92</f>
        <v>271186.44</v>
      </c>
      <c r="AZ389" s="135">
        <f>15140.11+4733.31+9440.3</f>
        <v>29313.72</v>
      </c>
      <c r="BA389" s="135">
        <f>200000/1.18*0.8*0.1</f>
        <v>13559.322033898308</v>
      </c>
      <c r="BB389" s="140">
        <f>(H389/1.18-AT389-AW389-AZ389)*0.1-AU389-AX389-BA389</f>
        <v>14428.624610169492</v>
      </c>
      <c r="BC389" s="135"/>
      <c r="BD389" s="135"/>
      <c r="BE389" s="135">
        <f>(H389/1.18-AT389-AW389-AZ389-BD389)*0.1-AU389-AX389-BA389-BB389</f>
        <v>0</v>
      </c>
      <c r="BF389" s="135"/>
      <c r="BG389" s="135"/>
      <c r="BH389" s="135"/>
      <c r="BI389" s="2" t="s">
        <v>11</v>
      </c>
      <c r="BJ389" s="136">
        <v>45518</v>
      </c>
      <c r="BK389" s="2" t="s">
        <v>8</v>
      </c>
      <c r="BL389" s="136" t="s">
        <v>113</v>
      </c>
      <c r="BM389" s="136">
        <v>44935</v>
      </c>
      <c r="BN389" s="2" t="s">
        <v>1221</v>
      </c>
      <c r="BO389" s="2"/>
      <c r="BP389" s="136" t="s">
        <v>3380</v>
      </c>
      <c r="BQ389" s="137" t="s">
        <v>119</v>
      </c>
      <c r="BR389" s="138"/>
    </row>
    <row r="390" spans="1:70" ht="12.75" customHeight="1" x14ac:dyDescent="0.2">
      <c r="A390" s="2">
        <v>1879</v>
      </c>
      <c r="B390" s="2" t="s">
        <v>54</v>
      </c>
      <c r="C390" s="2" t="s">
        <v>4</v>
      </c>
      <c r="D390" s="2" t="s">
        <v>1296</v>
      </c>
      <c r="E390" s="2" t="s">
        <v>110</v>
      </c>
      <c r="F390" s="132">
        <f>3028*1.75</f>
        <v>5299</v>
      </c>
      <c r="G390" s="132"/>
      <c r="H390" s="132">
        <f>3028*1.75</f>
        <v>5299</v>
      </c>
      <c r="I390" s="132"/>
      <c r="J390" s="132">
        <f>808.32+4490.68</f>
        <v>5299</v>
      </c>
      <c r="K390" s="132">
        <f t="shared" si="46"/>
        <v>0</v>
      </c>
      <c r="L390" s="132">
        <f t="shared" si="42"/>
        <v>0</v>
      </c>
      <c r="M390" s="133"/>
      <c r="N390" s="133">
        <f t="shared" si="45"/>
        <v>0</v>
      </c>
      <c r="O390" s="134">
        <v>0</v>
      </c>
      <c r="P390" s="133"/>
      <c r="Q390" s="2" t="s">
        <v>1265</v>
      </c>
      <c r="R390" s="156">
        <f t="shared" si="43"/>
        <v>0</v>
      </c>
      <c r="S390" s="156">
        <f t="shared" si="44"/>
        <v>0</v>
      </c>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53">
        <v>0</v>
      </c>
      <c r="AT390" s="153">
        <v>0</v>
      </c>
      <c r="AU390" s="153">
        <v>0</v>
      </c>
      <c r="AV390" s="135"/>
      <c r="AW390" s="135"/>
      <c r="AX390" s="135"/>
      <c r="AY390" s="135"/>
      <c r="AZ390" s="135"/>
      <c r="BA390" s="135"/>
      <c r="BB390" s="135"/>
      <c r="BC390" s="135"/>
      <c r="BD390" s="135"/>
      <c r="BE390" s="135"/>
      <c r="BF390" s="135"/>
      <c r="BG390" s="135"/>
      <c r="BH390" s="135"/>
      <c r="BI390" s="2" t="s">
        <v>112</v>
      </c>
      <c r="BJ390" s="136">
        <v>45174</v>
      </c>
      <c r="BK390" s="2" t="s">
        <v>145</v>
      </c>
      <c r="BL390" s="136" t="s">
        <v>113</v>
      </c>
      <c r="BM390" s="136">
        <v>44935</v>
      </c>
      <c r="BN390" s="2" t="s">
        <v>1222</v>
      </c>
      <c r="BO390" s="2"/>
      <c r="BP390" s="136"/>
      <c r="BQ390" s="137" t="s">
        <v>134</v>
      </c>
      <c r="BR390" s="138"/>
    </row>
    <row r="391" spans="1:70" ht="12.75" customHeight="1" x14ac:dyDescent="0.2">
      <c r="A391" s="2">
        <v>1880</v>
      </c>
      <c r="B391" s="2" t="s">
        <v>54</v>
      </c>
      <c r="C391" s="2" t="s">
        <v>4</v>
      </c>
      <c r="D391" s="2" t="s">
        <v>1297</v>
      </c>
      <c r="E391" s="2" t="s">
        <v>71</v>
      </c>
      <c r="F391" s="132">
        <v>106000</v>
      </c>
      <c r="G391" s="132">
        <v>2</v>
      </c>
      <c r="H391" s="132">
        <f>150000+30000</f>
        <v>180000</v>
      </c>
      <c r="I391" s="132"/>
      <c r="J391" s="132">
        <f>22881.36+4576.27+S391+AY391+BC391</f>
        <v>180000</v>
      </c>
      <c r="K391" s="132">
        <f t="shared" si="46"/>
        <v>-74000</v>
      </c>
      <c r="L391" s="132">
        <f t="shared" si="42"/>
        <v>0</v>
      </c>
      <c r="M391" s="133"/>
      <c r="N391" s="133">
        <f t="shared" si="45"/>
        <v>-74000</v>
      </c>
      <c r="O391" s="134">
        <v>1</v>
      </c>
      <c r="P391" s="133"/>
      <c r="Q391" s="2" t="s">
        <v>1265</v>
      </c>
      <c r="R391" s="156">
        <f t="shared" si="43"/>
        <v>0</v>
      </c>
      <c r="S391" s="156">
        <f t="shared" si="44"/>
        <v>0</v>
      </c>
      <c r="T391" s="133"/>
      <c r="U391" s="133"/>
      <c r="V391" s="133"/>
      <c r="W391" s="133"/>
      <c r="X391" s="133"/>
      <c r="Y391" s="133"/>
      <c r="Z391" s="133"/>
      <c r="AA391" s="133"/>
      <c r="AB391" s="133"/>
      <c r="AC391" s="133"/>
      <c r="AD391" s="133"/>
      <c r="AE391" s="133"/>
      <c r="AF391" s="133"/>
      <c r="AG391" s="133"/>
      <c r="AH391" s="133"/>
      <c r="AI391" s="133"/>
      <c r="AJ391" s="133"/>
      <c r="AK391" s="133"/>
      <c r="AL391" s="133"/>
      <c r="AM391" s="133"/>
      <c r="AN391" s="133"/>
      <c r="AO391" s="133"/>
      <c r="AP391" s="133"/>
      <c r="AQ391" s="133"/>
      <c r="AR391" s="133"/>
      <c r="AS391" s="153">
        <v>0</v>
      </c>
      <c r="AT391" s="153">
        <v>0</v>
      </c>
      <c r="AU391" s="153">
        <v>0</v>
      </c>
      <c r="AV391" s="135"/>
      <c r="AW391" s="135"/>
      <c r="AX391" s="135"/>
      <c r="AY391" s="135">
        <f>127118.64+25423.73</f>
        <v>152542.37</v>
      </c>
      <c r="AZ391" s="135"/>
      <c r="BA391" s="135"/>
      <c r="BB391" s="135"/>
      <c r="BC391" s="135"/>
      <c r="BD391" s="135"/>
      <c r="BE391" s="135"/>
      <c r="BF391" s="135"/>
      <c r="BG391" s="135"/>
      <c r="BH391" s="135"/>
      <c r="BI391" s="2" t="s">
        <v>11</v>
      </c>
      <c r="BJ391" s="136"/>
      <c r="BK391" s="2">
        <v>80</v>
      </c>
      <c r="BL391" s="136" t="s">
        <v>113</v>
      </c>
      <c r="BM391" s="136">
        <v>44935</v>
      </c>
      <c r="BN391" s="2" t="s">
        <v>1223</v>
      </c>
      <c r="BO391" s="2"/>
      <c r="BP391" s="136"/>
      <c r="BQ391" s="137" t="s">
        <v>119</v>
      </c>
      <c r="BR391" s="138"/>
    </row>
    <row r="392" spans="1:70" ht="12.75" customHeight="1" x14ac:dyDescent="0.2">
      <c r="A392" s="2">
        <v>1881</v>
      </c>
      <c r="B392" s="2" t="s">
        <v>31</v>
      </c>
      <c r="C392" s="2" t="s">
        <v>35</v>
      </c>
      <c r="D392" s="2" t="s">
        <v>1298</v>
      </c>
      <c r="E392" s="2" t="s">
        <v>110</v>
      </c>
      <c r="F392" s="150">
        <f>643*1.75</f>
        <v>1125.25</v>
      </c>
      <c r="G392" s="150"/>
      <c r="H392" s="150">
        <f>643*1.75</f>
        <v>1125.25</v>
      </c>
      <c r="I392" s="150"/>
      <c r="J392" s="132">
        <f>171.648+953.602</f>
        <v>1125.25</v>
      </c>
      <c r="K392" s="132">
        <f t="shared" si="46"/>
        <v>0</v>
      </c>
      <c r="L392" s="132">
        <f t="shared" si="42"/>
        <v>0</v>
      </c>
      <c r="M392" s="133"/>
      <c r="N392" s="133">
        <f t="shared" si="45"/>
        <v>0</v>
      </c>
      <c r="O392" s="134">
        <v>0</v>
      </c>
      <c r="P392" s="133"/>
      <c r="Q392" s="2" t="s">
        <v>1266</v>
      </c>
      <c r="R392" s="156">
        <f t="shared" si="43"/>
        <v>0</v>
      </c>
      <c r="S392" s="156">
        <f t="shared" si="44"/>
        <v>0</v>
      </c>
      <c r="T392" s="133"/>
      <c r="U392" s="133"/>
      <c r="V392" s="133"/>
      <c r="W392" s="133"/>
      <c r="X392" s="133"/>
      <c r="Y392" s="133"/>
      <c r="Z392" s="133"/>
      <c r="AA392" s="133"/>
      <c r="AB392" s="133"/>
      <c r="AC392" s="133"/>
      <c r="AD392" s="133"/>
      <c r="AE392" s="133"/>
      <c r="AF392" s="133"/>
      <c r="AG392" s="133"/>
      <c r="AH392" s="133"/>
      <c r="AI392" s="133"/>
      <c r="AJ392" s="133"/>
      <c r="AK392" s="133"/>
      <c r="AL392" s="133"/>
      <c r="AM392" s="133"/>
      <c r="AN392" s="133"/>
      <c r="AO392" s="133"/>
      <c r="AP392" s="133"/>
      <c r="AQ392" s="133"/>
      <c r="AR392" s="133"/>
      <c r="AS392" s="153">
        <v>0</v>
      </c>
      <c r="AT392" s="153">
        <v>0</v>
      </c>
      <c r="AU392" s="153">
        <v>0</v>
      </c>
      <c r="AV392" s="135"/>
      <c r="AW392" s="135"/>
      <c r="AX392" s="135"/>
      <c r="AY392" s="135"/>
      <c r="AZ392" s="135"/>
      <c r="BA392" s="135"/>
      <c r="BB392" s="135"/>
      <c r="BC392" s="135"/>
      <c r="BD392" s="135"/>
      <c r="BE392" s="135"/>
      <c r="BF392" s="135"/>
      <c r="BG392" s="135"/>
      <c r="BH392" s="135"/>
      <c r="BI392" s="2" t="s">
        <v>112</v>
      </c>
      <c r="BJ392" s="136">
        <v>45146</v>
      </c>
      <c r="BK392" s="2" t="s">
        <v>145</v>
      </c>
      <c r="BL392" s="136" t="s">
        <v>113</v>
      </c>
      <c r="BM392" s="136">
        <v>44935</v>
      </c>
      <c r="BN392" s="2" t="s">
        <v>1224</v>
      </c>
      <c r="BO392" s="2"/>
      <c r="BP392" s="136"/>
      <c r="BQ392" s="137" t="s">
        <v>134</v>
      </c>
      <c r="BR392" s="138"/>
    </row>
    <row r="393" spans="1:70" ht="12.75" customHeight="1" x14ac:dyDescent="0.2">
      <c r="A393" s="2">
        <v>1882</v>
      </c>
      <c r="B393" s="2" t="s">
        <v>31</v>
      </c>
      <c r="C393" s="2" t="s">
        <v>35</v>
      </c>
      <c r="D393" s="2" t="s">
        <v>1299</v>
      </c>
      <c r="E393" s="2" t="s">
        <v>71</v>
      </c>
      <c r="F393" s="132">
        <v>40000</v>
      </c>
      <c r="G393" s="132"/>
      <c r="H393" s="132">
        <f>40000+956</f>
        <v>40956</v>
      </c>
      <c r="I393" s="132">
        <f>H393</f>
        <v>40956</v>
      </c>
      <c r="J393" s="132">
        <f>AS393+AV393+6101.6949+955.9951</f>
        <v>40956</v>
      </c>
      <c r="K393" s="132">
        <f t="shared" si="46"/>
        <v>-956</v>
      </c>
      <c r="L393" s="132">
        <f t="shared" si="42"/>
        <v>0</v>
      </c>
      <c r="M393" s="133">
        <v>584.5</v>
      </c>
      <c r="N393" s="133">
        <f t="shared" si="45"/>
        <v>0</v>
      </c>
      <c r="O393" s="134">
        <v>0</v>
      </c>
      <c r="P393" s="133"/>
      <c r="Q393" s="2" t="s">
        <v>1266</v>
      </c>
      <c r="R393" s="156">
        <f t="shared" si="43"/>
        <v>0</v>
      </c>
      <c r="S393" s="156">
        <f t="shared" si="44"/>
        <v>0</v>
      </c>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53">
        <v>0</v>
      </c>
      <c r="AT393" s="153">
        <v>0</v>
      </c>
      <c r="AU393" s="153">
        <v>0</v>
      </c>
      <c r="AV393" s="135">
        <f>33898.31+N("სილქი")</f>
        <v>33898.31</v>
      </c>
      <c r="AW393" s="135">
        <v>1529.75</v>
      </c>
      <c r="AX393" s="135">
        <f>(I393/1.18-AT393-AW393)*0.1</f>
        <v>3317.8724576271193</v>
      </c>
      <c r="AY393" s="135"/>
      <c r="AZ393" s="135"/>
      <c r="BA393" s="135"/>
      <c r="BB393" s="135"/>
      <c r="BC393" s="135"/>
      <c r="BD393" s="135"/>
      <c r="BE393" s="135">
        <f>(H393/1.18-AT393-AW393-AZ393-BD393)*0.1-AU393-AX393-BA393-BB393</f>
        <v>0</v>
      </c>
      <c r="BF393" s="135"/>
      <c r="BG393" s="135"/>
      <c r="BH393" s="135"/>
      <c r="BI393" s="2" t="s">
        <v>11</v>
      </c>
      <c r="BJ393" s="136">
        <v>45278</v>
      </c>
      <c r="BK393" s="2" t="s">
        <v>8</v>
      </c>
      <c r="BL393" s="136" t="s">
        <v>113</v>
      </c>
      <c r="BM393" s="136">
        <v>44935</v>
      </c>
      <c r="BN393" s="2" t="s">
        <v>1225</v>
      </c>
      <c r="BO393" s="2"/>
      <c r="BP393" s="136"/>
      <c r="BQ393" s="137" t="s">
        <v>119</v>
      </c>
      <c r="BR393" s="138"/>
    </row>
    <row r="394" spans="1:70" ht="12.75" customHeight="1" x14ac:dyDescent="0.2">
      <c r="A394" s="2">
        <v>1883</v>
      </c>
      <c r="B394" s="2" t="s">
        <v>54</v>
      </c>
      <c r="C394" s="2" t="s">
        <v>17</v>
      </c>
      <c r="D394" s="2" t="s">
        <v>1300</v>
      </c>
      <c r="E394" s="2" t="s">
        <v>110</v>
      </c>
      <c r="F394" s="150">
        <f>6283*1.75</f>
        <v>10995.25</v>
      </c>
      <c r="G394" s="150"/>
      <c r="H394" s="150">
        <f>6283*1.75</f>
        <v>10995.25</v>
      </c>
      <c r="I394" s="150"/>
      <c r="J394" s="132">
        <f>1677.24+9318.01</f>
        <v>10995.25</v>
      </c>
      <c r="K394" s="132">
        <f t="shared" si="46"/>
        <v>0</v>
      </c>
      <c r="L394" s="132">
        <f t="shared" si="42"/>
        <v>0</v>
      </c>
      <c r="M394" s="133"/>
      <c r="N394" s="133">
        <f t="shared" si="45"/>
        <v>0</v>
      </c>
      <c r="O394" s="134">
        <v>0</v>
      </c>
      <c r="P394" s="133"/>
      <c r="Q394" s="2" t="s">
        <v>1267</v>
      </c>
      <c r="R394" s="156">
        <f t="shared" si="43"/>
        <v>0</v>
      </c>
      <c r="S394" s="156">
        <f t="shared" si="44"/>
        <v>0</v>
      </c>
      <c r="T394" s="133"/>
      <c r="U394" s="133"/>
      <c r="V394" s="133"/>
      <c r="W394" s="133"/>
      <c r="X394" s="133"/>
      <c r="Y394" s="133"/>
      <c r="Z394" s="133"/>
      <c r="AA394" s="133"/>
      <c r="AB394" s="133"/>
      <c r="AC394" s="133"/>
      <c r="AD394" s="133"/>
      <c r="AE394" s="133"/>
      <c r="AF394" s="133"/>
      <c r="AG394" s="133"/>
      <c r="AH394" s="133"/>
      <c r="AI394" s="133"/>
      <c r="AJ394" s="133"/>
      <c r="AK394" s="133"/>
      <c r="AL394" s="133"/>
      <c r="AM394" s="133"/>
      <c r="AN394" s="133"/>
      <c r="AO394" s="133"/>
      <c r="AP394" s="133"/>
      <c r="AQ394" s="133"/>
      <c r="AR394" s="133"/>
      <c r="AS394" s="153">
        <v>0</v>
      </c>
      <c r="AT394" s="153">
        <v>0</v>
      </c>
      <c r="AU394" s="153">
        <v>0</v>
      </c>
      <c r="AV394" s="135"/>
      <c r="AW394" s="135"/>
      <c r="AX394" s="135"/>
      <c r="AY394" s="135"/>
      <c r="AZ394" s="135"/>
      <c r="BA394" s="135"/>
      <c r="BB394" s="135"/>
      <c r="BC394" s="135"/>
      <c r="BD394" s="135"/>
      <c r="BE394" s="135"/>
      <c r="BF394" s="135"/>
      <c r="BG394" s="135"/>
      <c r="BH394" s="135"/>
      <c r="BI394" s="2" t="s">
        <v>112</v>
      </c>
      <c r="BJ394" s="136">
        <v>45146</v>
      </c>
      <c r="BK394" s="2" t="s">
        <v>145</v>
      </c>
      <c r="BL394" s="136" t="s">
        <v>113</v>
      </c>
      <c r="BM394" s="136">
        <v>44935</v>
      </c>
      <c r="BN394" s="2" t="s">
        <v>1226</v>
      </c>
      <c r="BO394" s="2"/>
      <c r="BP394" s="136"/>
      <c r="BQ394" s="137" t="s">
        <v>134</v>
      </c>
      <c r="BR394" s="138"/>
    </row>
    <row r="395" spans="1:70" ht="12.75" customHeight="1" x14ac:dyDescent="0.2">
      <c r="A395" s="2">
        <v>1884</v>
      </c>
      <c r="B395" s="2" t="s">
        <v>54</v>
      </c>
      <c r="C395" s="2" t="s">
        <v>17</v>
      </c>
      <c r="D395" s="2" t="s">
        <v>1301</v>
      </c>
      <c r="E395" s="2" t="s">
        <v>71</v>
      </c>
      <c r="F395" s="132">
        <v>1445000</v>
      </c>
      <c r="G395" s="132"/>
      <c r="H395" s="132">
        <f>400000+200000+400000+27788</f>
        <v>1027788</v>
      </c>
      <c r="I395" s="132">
        <f>H395</f>
        <v>1027788</v>
      </c>
      <c r="J395" s="132">
        <f>61016.949+30508.474+61016.949+AS395+AV395+27787.998</f>
        <v>1027787.9999999999</v>
      </c>
      <c r="K395" s="132">
        <f t="shared" si="46"/>
        <v>417212.00000000012</v>
      </c>
      <c r="L395" s="132">
        <f t="shared" ref="L395:L458" si="47">H395-J395</f>
        <v>0</v>
      </c>
      <c r="M395" s="133">
        <v>6151</v>
      </c>
      <c r="N395" s="133">
        <f t="shared" si="45"/>
        <v>1.1641532182693481E-10</v>
      </c>
      <c r="O395" s="134">
        <v>0</v>
      </c>
      <c r="P395" s="133"/>
      <c r="Q395" s="2" t="s">
        <v>1267</v>
      </c>
      <c r="R395" s="156">
        <f t="shared" ref="R395:R458" si="48">T395+V395+X395+Z395+AB395+AD395+AF395+AH395+AJ395+AL395+AN395+AP395</f>
        <v>0</v>
      </c>
      <c r="S395" s="156">
        <f t="shared" ref="S395:S458" si="49">U395+W395+Y395+AA395+AC395+AE395+AG395+AI395+AK395+AM395+AO395+AQ395</f>
        <v>0</v>
      </c>
      <c r="T395" s="133"/>
      <c r="U395" s="133"/>
      <c r="V395" s="133"/>
      <c r="W395" s="133"/>
      <c r="X395" s="133"/>
      <c r="Y395" s="133"/>
      <c r="Z395" s="133"/>
      <c r="AA395" s="133"/>
      <c r="AB395" s="133"/>
      <c r="AC395" s="133"/>
      <c r="AD395" s="133"/>
      <c r="AE395" s="133"/>
      <c r="AF395" s="133"/>
      <c r="AG395" s="133"/>
      <c r="AH395" s="133"/>
      <c r="AI395" s="133"/>
      <c r="AJ395" s="133"/>
      <c r="AK395" s="133"/>
      <c r="AL395" s="133"/>
      <c r="AM395" s="133"/>
      <c r="AN395" s="133"/>
      <c r="AO395" s="133"/>
      <c r="AP395" s="133"/>
      <c r="AQ395" s="133"/>
      <c r="AR395" s="133"/>
      <c r="AS395" s="153">
        <v>0</v>
      </c>
      <c r="AT395" s="153">
        <v>0</v>
      </c>
      <c r="AU395" s="153">
        <v>0</v>
      </c>
      <c r="AV395" s="135">
        <f>338983.05+169491.53+338983.05</f>
        <v>847457.62999999989</v>
      </c>
      <c r="AW395" s="135">
        <f>21403.96+9407.67+15297.47</f>
        <v>46109.1</v>
      </c>
      <c r="AX395" s="135">
        <f>(I395/1.18-AT395-AW395)*0.1</f>
        <v>82489.767966101703</v>
      </c>
      <c r="AY395" s="135"/>
      <c r="AZ395" s="135"/>
      <c r="BA395" s="135"/>
      <c r="BB395" s="135"/>
      <c r="BC395" s="135"/>
      <c r="BD395" s="135"/>
      <c r="BE395" s="135">
        <f>(H395/1.18-AT395-AW395-AZ395-BD395)*0.1-AU395-AX395-BA395-BB395</f>
        <v>0</v>
      </c>
      <c r="BF395" s="135"/>
      <c r="BG395" s="135"/>
      <c r="BH395" s="135"/>
      <c r="BI395" s="2" t="s">
        <v>11</v>
      </c>
      <c r="BJ395" s="136">
        <v>45289</v>
      </c>
      <c r="BK395" s="2" t="s">
        <v>8</v>
      </c>
      <c r="BL395" s="136" t="s">
        <v>113</v>
      </c>
      <c r="BM395" s="136">
        <v>44935</v>
      </c>
      <c r="BN395" s="2" t="s">
        <v>1227</v>
      </c>
      <c r="BO395" s="2"/>
      <c r="BP395" s="136"/>
      <c r="BQ395" s="137" t="s">
        <v>119</v>
      </c>
      <c r="BR395" s="138"/>
    </row>
    <row r="396" spans="1:70" ht="12.75" customHeight="1" x14ac:dyDescent="0.2">
      <c r="A396" s="2">
        <v>1885</v>
      </c>
      <c r="B396" s="2" t="s">
        <v>31</v>
      </c>
      <c r="C396" s="2" t="s">
        <v>34</v>
      </c>
      <c r="D396" s="2" t="s">
        <v>1302</v>
      </c>
      <c r="E396" s="2" t="s">
        <v>110</v>
      </c>
      <c r="F396" s="132">
        <v>7875</v>
      </c>
      <c r="G396" s="132"/>
      <c r="H396" s="132">
        <v>7875</v>
      </c>
      <c r="I396" s="132"/>
      <c r="J396" s="132">
        <f>1201.27+6673.73</f>
        <v>7875</v>
      </c>
      <c r="K396" s="132">
        <f t="shared" si="46"/>
        <v>0</v>
      </c>
      <c r="L396" s="132">
        <f t="shared" si="47"/>
        <v>0</v>
      </c>
      <c r="M396" s="133"/>
      <c r="N396" s="133">
        <f t="shared" si="45"/>
        <v>0</v>
      </c>
      <c r="O396" s="134">
        <v>0</v>
      </c>
      <c r="P396" s="133"/>
      <c r="Q396" s="2" t="s">
        <v>1268</v>
      </c>
      <c r="R396" s="156">
        <f t="shared" si="48"/>
        <v>0</v>
      </c>
      <c r="S396" s="156">
        <f t="shared" si="49"/>
        <v>0</v>
      </c>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53">
        <v>0</v>
      </c>
      <c r="AT396" s="153">
        <v>0</v>
      </c>
      <c r="AU396" s="153">
        <v>0</v>
      </c>
      <c r="AV396" s="135"/>
      <c r="AW396" s="135"/>
      <c r="AX396" s="135"/>
      <c r="AY396" s="135"/>
      <c r="AZ396" s="135"/>
      <c r="BA396" s="135"/>
      <c r="BB396" s="135"/>
      <c r="BC396" s="135"/>
      <c r="BD396" s="135"/>
      <c r="BE396" s="135"/>
      <c r="BF396" s="135"/>
      <c r="BG396" s="135"/>
      <c r="BH396" s="135"/>
      <c r="BI396" s="2" t="s">
        <v>112</v>
      </c>
      <c r="BJ396" s="136">
        <v>45103</v>
      </c>
      <c r="BK396" s="2" t="s">
        <v>145</v>
      </c>
      <c r="BL396" s="136" t="s">
        <v>113</v>
      </c>
      <c r="BM396" s="136">
        <v>44935</v>
      </c>
      <c r="BN396" s="2" t="s">
        <v>1228</v>
      </c>
      <c r="BO396" s="2"/>
      <c r="BP396" s="136"/>
      <c r="BQ396" s="137" t="s">
        <v>134</v>
      </c>
      <c r="BR396" s="138"/>
    </row>
    <row r="397" spans="1:70" ht="12.75" customHeight="1" x14ac:dyDescent="0.2">
      <c r="A397" s="2">
        <v>1886</v>
      </c>
      <c r="B397" s="2" t="s">
        <v>31</v>
      </c>
      <c r="C397" s="2" t="s">
        <v>34</v>
      </c>
      <c r="D397" s="2" t="s">
        <v>1303</v>
      </c>
      <c r="E397" s="2" t="s">
        <v>71</v>
      </c>
      <c r="F397" s="132">
        <v>670000</v>
      </c>
      <c r="G397" s="132"/>
      <c r="H397" s="132">
        <f>350000+270000+170000+106187</f>
        <v>896187</v>
      </c>
      <c r="I397" s="132">
        <f>H397</f>
        <v>896187</v>
      </c>
      <c r="J397" s="132">
        <f>53389.83+AS397+AV397+41186.44+25932.203+16198.016+105243.211</f>
        <v>896187</v>
      </c>
      <c r="K397" s="132">
        <f t="shared" si="46"/>
        <v>-226187</v>
      </c>
      <c r="L397" s="132">
        <f t="shared" si="47"/>
        <v>0</v>
      </c>
      <c r="M397" s="133">
        <v>4727</v>
      </c>
      <c r="N397" s="133">
        <f t="shared" si="45"/>
        <v>0</v>
      </c>
      <c r="O397" s="134">
        <v>0</v>
      </c>
      <c r="P397" s="133"/>
      <c r="Q397" s="2" t="s">
        <v>1268</v>
      </c>
      <c r="R397" s="156">
        <f t="shared" si="48"/>
        <v>0</v>
      </c>
      <c r="S397" s="156">
        <f t="shared" si="49"/>
        <v>0</v>
      </c>
      <c r="T397" s="133"/>
      <c r="U397" s="133"/>
      <c r="V397" s="133"/>
      <c r="W397" s="133"/>
      <c r="X397" s="133"/>
      <c r="Y397" s="133"/>
      <c r="Z397" s="133"/>
      <c r="AA397" s="133"/>
      <c r="AB397" s="133"/>
      <c r="AC397" s="133"/>
      <c r="AD397" s="133"/>
      <c r="AE397" s="133"/>
      <c r="AF397" s="133"/>
      <c r="AG397" s="133"/>
      <c r="AH397" s="133"/>
      <c r="AI397" s="133"/>
      <c r="AJ397" s="133"/>
      <c r="AK397" s="133"/>
      <c r="AL397" s="133"/>
      <c r="AM397" s="133"/>
      <c r="AN397" s="133"/>
      <c r="AO397" s="133"/>
      <c r="AP397" s="133"/>
      <c r="AQ397" s="133"/>
      <c r="AR397" s="133"/>
      <c r="AS397" s="153">
        <v>0</v>
      </c>
      <c r="AT397" s="153">
        <v>0</v>
      </c>
      <c r="AU397" s="153">
        <v>0</v>
      </c>
      <c r="AV397" s="135">
        <f>296610.17+N("თბს")+213559.33+N("თბს")+144067.8+N("სოლქი")</f>
        <v>654237.30000000005</v>
      </c>
      <c r="AW397" s="135">
        <f>35268.17+N("თბს")+21771.35+N("თბს")+9096.68+N("სილქი")</f>
        <v>66136.2</v>
      </c>
      <c r="AX397" s="135">
        <f>(I397/1.18-AT397-AW397)*0.1</f>
        <v>69334.430847457639</v>
      </c>
      <c r="AY397" s="135"/>
      <c r="AZ397" s="135"/>
      <c r="BA397" s="135"/>
      <c r="BB397" s="135"/>
      <c r="BC397" s="135"/>
      <c r="BD397" s="135"/>
      <c r="BE397" s="135">
        <f>(H397/1.18-AT397-AW397-AZ397-BD397)*0.1-AU397-AX397-BA397-BB397</f>
        <v>0</v>
      </c>
      <c r="BF397" s="135"/>
      <c r="BG397" s="135"/>
      <c r="BH397" s="135"/>
      <c r="BI397" s="2" t="s">
        <v>11</v>
      </c>
      <c r="BJ397" s="136">
        <v>45229</v>
      </c>
      <c r="BK397" s="2" t="s">
        <v>109</v>
      </c>
      <c r="BL397" s="136" t="s">
        <v>113</v>
      </c>
      <c r="BM397" s="136">
        <v>44935</v>
      </c>
      <c r="BN397" s="2" t="s">
        <v>1229</v>
      </c>
      <c r="BO397" s="2"/>
      <c r="BP397" s="136"/>
      <c r="BQ397" s="137" t="s">
        <v>119</v>
      </c>
      <c r="BR397" s="138"/>
    </row>
    <row r="398" spans="1:70" ht="12.75" customHeight="1" x14ac:dyDescent="0.2">
      <c r="A398" s="2">
        <v>1887</v>
      </c>
      <c r="B398" s="2" t="s">
        <v>31</v>
      </c>
      <c r="C398" s="2" t="s">
        <v>34</v>
      </c>
      <c r="D398" s="2" t="s">
        <v>1304</v>
      </c>
      <c r="E398" s="2" t="s">
        <v>110</v>
      </c>
      <c r="F398" s="132">
        <v>2345</v>
      </c>
      <c r="G398" s="132"/>
      <c r="H398" s="132">
        <v>2345</v>
      </c>
      <c r="I398" s="132"/>
      <c r="J398" s="132">
        <f>357.71+1987.29</f>
        <v>2345</v>
      </c>
      <c r="K398" s="132">
        <f t="shared" si="46"/>
        <v>0</v>
      </c>
      <c r="L398" s="132">
        <f t="shared" si="47"/>
        <v>0</v>
      </c>
      <c r="M398" s="133"/>
      <c r="N398" s="133">
        <f t="shared" si="45"/>
        <v>0</v>
      </c>
      <c r="O398" s="134">
        <v>0</v>
      </c>
      <c r="P398" s="133"/>
      <c r="Q398" s="2" t="s">
        <v>1269</v>
      </c>
      <c r="R398" s="156">
        <f t="shared" si="48"/>
        <v>0</v>
      </c>
      <c r="S398" s="156">
        <f t="shared" si="49"/>
        <v>0</v>
      </c>
      <c r="T398" s="133"/>
      <c r="U398" s="133"/>
      <c r="V398" s="133"/>
      <c r="W398" s="133"/>
      <c r="X398" s="133"/>
      <c r="Y398" s="133"/>
      <c r="Z398" s="133"/>
      <c r="AA398" s="133"/>
      <c r="AB398" s="133"/>
      <c r="AC398" s="133"/>
      <c r="AD398" s="133"/>
      <c r="AE398" s="133"/>
      <c r="AF398" s="133"/>
      <c r="AG398" s="133"/>
      <c r="AH398" s="133"/>
      <c r="AI398" s="133"/>
      <c r="AJ398" s="133"/>
      <c r="AK398" s="133"/>
      <c r="AL398" s="133"/>
      <c r="AM398" s="133"/>
      <c r="AN398" s="133"/>
      <c r="AO398" s="133"/>
      <c r="AP398" s="133"/>
      <c r="AQ398" s="133"/>
      <c r="AR398" s="133"/>
      <c r="AS398" s="153">
        <v>0</v>
      </c>
      <c r="AT398" s="153">
        <v>0</v>
      </c>
      <c r="AU398" s="153">
        <v>0</v>
      </c>
      <c r="AV398" s="135"/>
      <c r="AW398" s="135"/>
      <c r="AX398" s="135"/>
      <c r="AY398" s="135"/>
      <c r="AZ398" s="135"/>
      <c r="BA398" s="135"/>
      <c r="BB398" s="135"/>
      <c r="BC398" s="135"/>
      <c r="BD398" s="135"/>
      <c r="BE398" s="135"/>
      <c r="BF398" s="135"/>
      <c r="BG398" s="135"/>
      <c r="BH398" s="135"/>
      <c r="BI398" s="2" t="s">
        <v>112</v>
      </c>
      <c r="BJ398" s="136">
        <v>45103</v>
      </c>
      <c r="BK398" s="2" t="s">
        <v>145</v>
      </c>
      <c r="BL398" s="136" t="s">
        <v>113</v>
      </c>
      <c r="BM398" s="136">
        <v>44935</v>
      </c>
      <c r="BN398" s="2" t="s">
        <v>1230</v>
      </c>
      <c r="BO398" s="2"/>
      <c r="BP398" s="136"/>
      <c r="BQ398" s="137" t="s">
        <v>134</v>
      </c>
      <c r="BR398" s="138"/>
    </row>
    <row r="399" spans="1:70" ht="12.75" customHeight="1" x14ac:dyDescent="0.2">
      <c r="A399" s="2">
        <v>1888</v>
      </c>
      <c r="B399" s="2" t="s">
        <v>31</v>
      </c>
      <c r="C399" s="2" t="s">
        <v>34</v>
      </c>
      <c r="D399" s="2" t="s">
        <v>1305</v>
      </c>
      <c r="E399" s="2" t="s">
        <v>71</v>
      </c>
      <c r="F399" s="132">
        <v>190000</v>
      </c>
      <c r="G399" s="132">
        <v>2</v>
      </c>
      <c r="H399" s="132">
        <f>50000+59129</f>
        <v>109129</v>
      </c>
      <c r="I399" s="132">
        <f>50000+59129</f>
        <v>109129</v>
      </c>
      <c r="J399" s="132">
        <f>7627.118+AV399+9019.68+50109.322</f>
        <v>109129</v>
      </c>
      <c r="K399" s="132">
        <f t="shared" si="46"/>
        <v>80871</v>
      </c>
      <c r="L399" s="132">
        <f t="shared" si="47"/>
        <v>0</v>
      </c>
      <c r="M399" s="133">
        <v>1412</v>
      </c>
      <c r="N399" s="133">
        <f t="shared" si="45"/>
        <v>0</v>
      </c>
      <c r="O399" s="134">
        <v>0</v>
      </c>
      <c r="P399" s="133"/>
      <c r="Q399" s="2" t="s">
        <v>1269</v>
      </c>
      <c r="R399" s="156">
        <f t="shared" si="48"/>
        <v>0</v>
      </c>
      <c r="S399" s="156">
        <f t="shared" si="49"/>
        <v>0</v>
      </c>
      <c r="T399" s="133"/>
      <c r="U399" s="133"/>
      <c r="V399" s="133"/>
      <c r="W399" s="133"/>
      <c r="X399" s="133"/>
      <c r="Y399" s="133"/>
      <c r="Z399" s="133"/>
      <c r="AA399" s="133"/>
      <c r="AB399" s="133"/>
      <c r="AC399" s="133"/>
      <c r="AD399" s="133"/>
      <c r="AE399" s="133"/>
      <c r="AF399" s="133"/>
      <c r="AG399" s="133"/>
      <c r="AH399" s="133"/>
      <c r="AI399" s="133"/>
      <c r="AJ399" s="133"/>
      <c r="AK399" s="133"/>
      <c r="AL399" s="133"/>
      <c r="AM399" s="133"/>
      <c r="AN399" s="133"/>
      <c r="AO399" s="133"/>
      <c r="AP399" s="133"/>
      <c r="AQ399" s="133"/>
      <c r="AR399" s="133"/>
      <c r="AS399" s="153">
        <v>0</v>
      </c>
      <c r="AT399" s="153">
        <v>0</v>
      </c>
      <c r="AU399" s="153">
        <v>0</v>
      </c>
      <c r="AV399" s="135">
        <v>42372.88</v>
      </c>
      <c r="AW399" s="135">
        <v>1912.18</v>
      </c>
      <c r="AX399" s="135"/>
      <c r="AY399" s="135"/>
      <c r="AZ399" s="135"/>
      <c r="BA399" s="135">
        <f>IF(BK399="Принят",(H399/1.18-AW399)*0.1,H399/1.18*0.8*0.1)</f>
        <v>9057.0023389830512</v>
      </c>
      <c r="BB399" s="135">
        <f>(H399/1.18-AT399-AW399-AZ399)*0.1-AU399-AX399-BA399</f>
        <v>0</v>
      </c>
      <c r="BC399" s="135"/>
      <c r="BD399" s="135"/>
      <c r="BE399" s="135">
        <f>(H399/1.18-AT399-AW399-AZ399-BD399)*0.1-AU399-AX399-BA399-BB399</f>
        <v>0</v>
      </c>
      <c r="BF399" s="135"/>
      <c r="BG399" s="135"/>
      <c r="BH399" s="135"/>
      <c r="BI399" s="2" t="s">
        <v>11</v>
      </c>
      <c r="BJ399" s="136">
        <v>45351</v>
      </c>
      <c r="BK399" s="2" t="s">
        <v>109</v>
      </c>
      <c r="BL399" s="136" t="s">
        <v>113</v>
      </c>
      <c r="BM399" s="136">
        <v>44935</v>
      </c>
      <c r="BN399" s="2" t="s">
        <v>1231</v>
      </c>
      <c r="BO399" s="2"/>
      <c r="BP399" s="136"/>
      <c r="BQ399" s="137" t="s">
        <v>119</v>
      </c>
      <c r="BR399" s="138"/>
    </row>
    <row r="400" spans="1:70" ht="12.75" customHeight="1" x14ac:dyDescent="0.2">
      <c r="A400" s="2">
        <v>1889</v>
      </c>
      <c r="B400" s="2" t="s">
        <v>31</v>
      </c>
      <c r="C400" s="2" t="s">
        <v>34</v>
      </c>
      <c r="D400" s="2" t="s">
        <v>1306</v>
      </c>
      <c r="E400" s="2" t="s">
        <v>110</v>
      </c>
      <c r="F400" s="132">
        <v>3778</v>
      </c>
      <c r="G400" s="132"/>
      <c r="H400" s="132">
        <v>3778</v>
      </c>
      <c r="I400" s="132"/>
      <c r="J400" s="132">
        <f>576.305+3201.695</f>
        <v>3778</v>
      </c>
      <c r="K400" s="132">
        <f t="shared" si="46"/>
        <v>0</v>
      </c>
      <c r="L400" s="132">
        <f t="shared" si="47"/>
        <v>0</v>
      </c>
      <c r="M400" s="133"/>
      <c r="N400" s="133">
        <f t="shared" si="45"/>
        <v>0</v>
      </c>
      <c r="O400" s="134">
        <v>0</v>
      </c>
      <c r="P400" s="133"/>
      <c r="Q400" s="2" t="s">
        <v>1270</v>
      </c>
      <c r="R400" s="156">
        <f t="shared" si="48"/>
        <v>0</v>
      </c>
      <c r="S400" s="156">
        <f t="shared" si="49"/>
        <v>0</v>
      </c>
      <c r="T400" s="133"/>
      <c r="U400" s="133"/>
      <c r="V400" s="133"/>
      <c r="W400" s="133"/>
      <c r="X400" s="133"/>
      <c r="Y400" s="133"/>
      <c r="Z400" s="133"/>
      <c r="AA400" s="133"/>
      <c r="AB400" s="133"/>
      <c r="AC400" s="133"/>
      <c r="AD400" s="133"/>
      <c r="AE400" s="133"/>
      <c r="AF400" s="133"/>
      <c r="AG400" s="133"/>
      <c r="AH400" s="133"/>
      <c r="AI400" s="133"/>
      <c r="AJ400" s="133"/>
      <c r="AK400" s="133"/>
      <c r="AL400" s="133"/>
      <c r="AM400" s="133"/>
      <c r="AN400" s="133"/>
      <c r="AO400" s="133"/>
      <c r="AP400" s="133"/>
      <c r="AQ400" s="133"/>
      <c r="AR400" s="133"/>
      <c r="AS400" s="153">
        <v>0</v>
      </c>
      <c r="AT400" s="153">
        <v>0</v>
      </c>
      <c r="AU400" s="153">
        <v>0</v>
      </c>
      <c r="AV400" s="135"/>
      <c r="AW400" s="135"/>
      <c r="AX400" s="135"/>
      <c r="AY400" s="135"/>
      <c r="AZ400" s="135"/>
      <c r="BA400" s="135"/>
      <c r="BB400" s="135"/>
      <c r="BC400" s="135"/>
      <c r="BD400" s="135"/>
      <c r="BE400" s="135"/>
      <c r="BF400" s="135"/>
      <c r="BG400" s="135"/>
      <c r="BH400" s="135"/>
      <c r="BI400" s="2" t="s">
        <v>112</v>
      </c>
      <c r="BJ400" s="136">
        <v>45103</v>
      </c>
      <c r="BK400" s="2" t="s">
        <v>145</v>
      </c>
      <c r="BL400" s="136" t="s">
        <v>113</v>
      </c>
      <c r="BM400" s="136">
        <v>44935</v>
      </c>
      <c r="BN400" s="2" t="s">
        <v>1232</v>
      </c>
      <c r="BO400" s="2"/>
      <c r="BP400" s="136"/>
      <c r="BQ400" s="137" t="s">
        <v>134</v>
      </c>
      <c r="BR400" s="138"/>
    </row>
    <row r="401" spans="1:70" ht="12.75" customHeight="1" x14ac:dyDescent="0.2">
      <c r="A401" s="2">
        <v>1890</v>
      </c>
      <c r="B401" s="2" t="s">
        <v>31</v>
      </c>
      <c r="C401" s="2" t="s">
        <v>34</v>
      </c>
      <c r="D401" s="2" t="s">
        <v>1307</v>
      </c>
      <c r="E401" s="2" t="s">
        <v>71</v>
      </c>
      <c r="F401" s="132">
        <v>215000</v>
      </c>
      <c r="G401" s="132"/>
      <c r="H401" s="132">
        <f>50000+120000+106547</f>
        <v>276547</v>
      </c>
      <c r="I401" s="132">
        <f>H401</f>
        <v>276547</v>
      </c>
      <c r="J401" s="132">
        <f>7627.118+AS401+AV401+18305.0847+106546.99</f>
        <v>276546.9927</v>
      </c>
      <c r="K401" s="132">
        <f t="shared" si="46"/>
        <v>-61546.992700000003</v>
      </c>
      <c r="L401" s="132">
        <f t="shared" si="47"/>
        <v>7.299999997485429E-3</v>
      </c>
      <c r="M401" s="133">
        <v>2600</v>
      </c>
      <c r="N401" s="133">
        <f t="shared" si="45"/>
        <v>7.299999997485429E-3</v>
      </c>
      <c r="O401" s="134">
        <v>0</v>
      </c>
      <c r="P401" s="133"/>
      <c r="Q401" s="2" t="s">
        <v>1270</v>
      </c>
      <c r="R401" s="156">
        <f t="shared" si="48"/>
        <v>0</v>
      </c>
      <c r="S401" s="156">
        <f t="shared" si="49"/>
        <v>0</v>
      </c>
      <c r="T401" s="133"/>
      <c r="U401" s="133"/>
      <c r="V401" s="133"/>
      <c r="W401" s="133"/>
      <c r="X401" s="133"/>
      <c r="Y401" s="133"/>
      <c r="Z401" s="133"/>
      <c r="AA401" s="133"/>
      <c r="AB401" s="133"/>
      <c r="AC401" s="133"/>
      <c r="AD401" s="133"/>
      <c r="AE401" s="133"/>
      <c r="AF401" s="133"/>
      <c r="AG401" s="133"/>
      <c r="AH401" s="133"/>
      <c r="AI401" s="133"/>
      <c r="AJ401" s="133"/>
      <c r="AK401" s="133"/>
      <c r="AL401" s="133"/>
      <c r="AM401" s="133"/>
      <c r="AN401" s="133"/>
      <c r="AO401" s="133"/>
      <c r="AP401" s="133"/>
      <c r="AQ401" s="133"/>
      <c r="AR401" s="133"/>
      <c r="AS401" s="153">
        <v>0</v>
      </c>
      <c r="AT401" s="153">
        <v>0</v>
      </c>
      <c r="AU401" s="153">
        <v>0</v>
      </c>
      <c r="AV401" s="135">
        <f>42372.88+N("თბს")+101694.92</f>
        <v>144067.79999999999</v>
      </c>
      <c r="AW401" s="135">
        <f>5038.31+N("თბს")+4589.24+N("სილქი")</f>
        <v>9627.5499999999993</v>
      </c>
      <c r="AX401" s="135">
        <f>(I401/1.18-AT401-AW401)*0.1</f>
        <v>22473.43144067797</v>
      </c>
      <c r="AY401" s="135"/>
      <c r="AZ401" s="135"/>
      <c r="BA401" s="135"/>
      <c r="BB401" s="135"/>
      <c r="BC401" s="135"/>
      <c r="BD401" s="135"/>
      <c r="BE401" s="135">
        <f>(H401/1.18-AT401-AW401-AZ401-BD401)*0.1-AU401-AX401-BA401-BB401</f>
        <v>0</v>
      </c>
      <c r="BF401" s="135"/>
      <c r="BG401" s="135"/>
      <c r="BH401" s="135"/>
      <c r="BI401" s="2" t="s">
        <v>11</v>
      </c>
      <c r="BJ401" s="136">
        <v>45289</v>
      </c>
      <c r="BK401" s="2" t="s">
        <v>8</v>
      </c>
      <c r="BL401" s="136" t="s">
        <v>113</v>
      </c>
      <c r="BM401" s="136">
        <v>44935</v>
      </c>
      <c r="BN401" s="2" t="s">
        <v>1233</v>
      </c>
      <c r="BO401" s="2"/>
      <c r="BP401" s="136"/>
      <c r="BQ401" s="137" t="s">
        <v>119</v>
      </c>
      <c r="BR401" s="138"/>
    </row>
    <row r="402" spans="1:70" ht="12.75" customHeight="1" x14ac:dyDescent="0.2">
      <c r="A402" s="2">
        <v>1891</v>
      </c>
      <c r="B402" s="2" t="s">
        <v>54</v>
      </c>
      <c r="C402" s="2" t="s">
        <v>140</v>
      </c>
      <c r="D402" s="2" t="s">
        <v>1308</v>
      </c>
      <c r="E402" s="2" t="s">
        <v>110</v>
      </c>
      <c r="F402" s="132">
        <v>6492</v>
      </c>
      <c r="G402" s="132"/>
      <c r="H402" s="132">
        <v>6492</v>
      </c>
      <c r="I402" s="132"/>
      <c r="J402" s="132">
        <f>990.305+5501.695</f>
        <v>6492</v>
      </c>
      <c r="K402" s="132">
        <f t="shared" si="46"/>
        <v>0</v>
      </c>
      <c r="L402" s="132">
        <f t="shared" si="47"/>
        <v>0</v>
      </c>
      <c r="M402" s="133"/>
      <c r="N402" s="133">
        <f t="shared" si="45"/>
        <v>0</v>
      </c>
      <c r="O402" s="134">
        <v>0</v>
      </c>
      <c r="P402" s="133"/>
      <c r="Q402" s="2" t="s">
        <v>908</v>
      </c>
      <c r="R402" s="156">
        <f t="shared" si="48"/>
        <v>0</v>
      </c>
      <c r="S402" s="156">
        <f t="shared" si="49"/>
        <v>0</v>
      </c>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53">
        <v>0</v>
      </c>
      <c r="AT402" s="153">
        <v>0</v>
      </c>
      <c r="AU402" s="153">
        <v>0</v>
      </c>
      <c r="AV402" s="135"/>
      <c r="AW402" s="135"/>
      <c r="AX402" s="135"/>
      <c r="AY402" s="135"/>
      <c r="AZ402" s="135"/>
      <c r="BA402" s="135"/>
      <c r="BB402" s="135"/>
      <c r="BC402" s="135"/>
      <c r="BD402" s="135"/>
      <c r="BE402" s="135"/>
      <c r="BF402" s="135"/>
      <c r="BG402" s="135"/>
      <c r="BH402" s="135"/>
      <c r="BI402" s="2" t="s">
        <v>112</v>
      </c>
      <c r="BJ402" s="136">
        <v>45103</v>
      </c>
      <c r="BK402" s="2" t="s">
        <v>145</v>
      </c>
      <c r="BL402" s="136" t="s">
        <v>113</v>
      </c>
      <c r="BM402" s="136">
        <v>44935</v>
      </c>
      <c r="BN402" s="2" t="s">
        <v>1234</v>
      </c>
      <c r="BO402" s="2"/>
      <c r="BP402" s="136"/>
      <c r="BQ402" s="137" t="s">
        <v>134</v>
      </c>
      <c r="BR402" s="138"/>
    </row>
    <row r="403" spans="1:70" ht="12.75" customHeight="1" x14ac:dyDescent="0.2">
      <c r="A403" s="2">
        <v>1892</v>
      </c>
      <c r="B403" s="2" t="s">
        <v>54</v>
      </c>
      <c r="C403" s="2" t="s">
        <v>17</v>
      </c>
      <c r="D403" s="2" t="s">
        <v>1309</v>
      </c>
      <c r="E403" s="2" t="s">
        <v>110</v>
      </c>
      <c r="F403" s="132">
        <v>34076</v>
      </c>
      <c r="G403" s="132"/>
      <c r="H403" s="132">
        <f>19472*1.75</f>
        <v>34076</v>
      </c>
      <c r="I403" s="132"/>
      <c r="J403" s="132">
        <v>34076</v>
      </c>
      <c r="K403" s="132">
        <f t="shared" si="46"/>
        <v>0</v>
      </c>
      <c r="L403" s="132">
        <f t="shared" si="47"/>
        <v>0</v>
      </c>
      <c r="M403" s="133"/>
      <c r="N403" s="133">
        <f t="shared" si="45"/>
        <v>0</v>
      </c>
      <c r="O403" s="134">
        <v>0</v>
      </c>
      <c r="P403" s="133"/>
      <c r="Q403" s="2" t="s">
        <v>1271</v>
      </c>
      <c r="R403" s="156">
        <f t="shared" si="48"/>
        <v>0</v>
      </c>
      <c r="S403" s="156">
        <f t="shared" si="49"/>
        <v>0</v>
      </c>
      <c r="T403" s="133"/>
      <c r="U403" s="133"/>
      <c r="V403" s="133"/>
      <c r="W403" s="133"/>
      <c r="X403" s="133"/>
      <c r="Y403" s="133"/>
      <c r="Z403" s="133"/>
      <c r="AA403" s="133"/>
      <c r="AB403" s="133"/>
      <c r="AC403" s="133"/>
      <c r="AD403" s="133"/>
      <c r="AE403" s="133"/>
      <c r="AF403" s="133"/>
      <c r="AG403" s="133"/>
      <c r="AH403" s="133"/>
      <c r="AI403" s="133"/>
      <c r="AJ403" s="133"/>
      <c r="AK403" s="133"/>
      <c r="AL403" s="133"/>
      <c r="AM403" s="133"/>
      <c r="AN403" s="133"/>
      <c r="AO403" s="133"/>
      <c r="AP403" s="133"/>
      <c r="AQ403" s="133"/>
      <c r="AR403" s="133"/>
      <c r="AS403" s="153">
        <v>0</v>
      </c>
      <c r="AT403" s="153">
        <v>0</v>
      </c>
      <c r="AU403" s="153">
        <v>0</v>
      </c>
      <c r="AV403" s="135"/>
      <c r="AW403" s="135"/>
      <c r="AX403" s="135"/>
      <c r="AY403" s="135"/>
      <c r="AZ403" s="135"/>
      <c r="BA403" s="135"/>
      <c r="BB403" s="135"/>
      <c r="BC403" s="135"/>
      <c r="BD403" s="135"/>
      <c r="BE403" s="135"/>
      <c r="BF403" s="135"/>
      <c r="BG403" s="135"/>
      <c r="BH403" s="135"/>
      <c r="BI403" s="2" t="s">
        <v>112</v>
      </c>
      <c r="BJ403" s="136">
        <v>45267</v>
      </c>
      <c r="BK403" s="2" t="s">
        <v>145</v>
      </c>
      <c r="BL403" s="136" t="s">
        <v>113</v>
      </c>
      <c r="BM403" s="136">
        <v>44935</v>
      </c>
      <c r="BN403" s="2" t="s">
        <v>1235</v>
      </c>
      <c r="BO403" s="2"/>
      <c r="BP403" s="136"/>
      <c r="BQ403" s="137" t="s">
        <v>134</v>
      </c>
      <c r="BR403" s="138"/>
    </row>
    <row r="404" spans="1:70" ht="12.75" customHeight="1" x14ac:dyDescent="0.2">
      <c r="A404" s="2">
        <v>1893</v>
      </c>
      <c r="B404" s="2" t="s">
        <v>54</v>
      </c>
      <c r="C404" s="2" t="s">
        <v>17</v>
      </c>
      <c r="D404" s="2" t="s">
        <v>1310</v>
      </c>
      <c r="E404" s="2" t="s">
        <v>71</v>
      </c>
      <c r="F404" s="132">
        <v>796000</v>
      </c>
      <c r="G404" s="132" t="s">
        <v>3836</v>
      </c>
      <c r="H404" s="323">
        <f>250000+250000+250000+150000+10000+50000+R404</f>
        <v>1060014.96</v>
      </c>
      <c r="I404" s="132"/>
      <c r="J404" s="132">
        <f>38135.59+38135.59+38135.59+AY404+1525.423+7627.118+S404+BC404</f>
        <v>1060014.9509999999</v>
      </c>
      <c r="K404" s="132">
        <f t="shared" si="46"/>
        <v>-264014.95099999988</v>
      </c>
      <c r="L404" s="132">
        <f t="shared" si="47"/>
        <v>9.0000000782310963E-3</v>
      </c>
      <c r="M404" s="133">
        <v>22591.3</v>
      </c>
      <c r="N404" s="133">
        <f t="shared" si="45"/>
        <v>9.0000000782310963E-3</v>
      </c>
      <c r="O404" s="134">
        <v>1</v>
      </c>
      <c r="P404" s="133"/>
      <c r="Q404" s="2" t="s">
        <v>1271</v>
      </c>
      <c r="R404" s="156">
        <f t="shared" si="48"/>
        <v>100014.96</v>
      </c>
      <c r="S404" s="156">
        <f t="shared" si="49"/>
        <v>40692.92</v>
      </c>
      <c r="T404" s="133">
        <v>97000</v>
      </c>
      <c r="U404" s="133"/>
      <c r="V404" s="133">
        <f>3014.96</f>
        <v>3014.96</v>
      </c>
      <c r="W404" s="133">
        <f>14796.61</f>
        <v>14796.61</v>
      </c>
      <c r="X404" s="133"/>
      <c r="Y404" s="133">
        <v>459.91</v>
      </c>
      <c r="Z404" s="133"/>
      <c r="AA404" s="133"/>
      <c r="AB404" s="133"/>
      <c r="AC404" s="133"/>
      <c r="AD404" s="133"/>
      <c r="AE404" s="133">
        <v>25436.400000000001</v>
      </c>
      <c r="AF404" s="133"/>
      <c r="AG404" s="133"/>
      <c r="AH404" s="133"/>
      <c r="AI404" s="133"/>
      <c r="AJ404" s="133"/>
      <c r="AK404" s="133"/>
      <c r="AL404" s="133"/>
      <c r="AM404" s="133"/>
      <c r="AN404" s="133"/>
      <c r="AO404" s="133"/>
      <c r="AP404" s="133"/>
      <c r="AQ404" s="133"/>
      <c r="AR404" s="133" t="s">
        <v>718</v>
      </c>
      <c r="AS404" s="153">
        <v>0</v>
      </c>
      <c r="AT404" s="153">
        <v>0</v>
      </c>
      <c r="AU404" s="153">
        <v>0</v>
      </c>
      <c r="AV404" s="135"/>
      <c r="AW404" s="135"/>
      <c r="AX404" s="135"/>
      <c r="AY404" s="135">
        <f>211864.41+211864.41+211864.41+127118.64+8474.58+42372.88</f>
        <v>813559.33</v>
      </c>
      <c r="AZ404" s="135">
        <f>25233.52+23666.53+21723+11800.38+489.15+1891.98</f>
        <v>84804.56</v>
      </c>
      <c r="BA404" s="135">
        <f>750000/1.18*0.8*0.1</f>
        <v>50847.457627118652</v>
      </c>
      <c r="BB404" s="140">
        <f>(1057000/1.18-AT404-AW404-AZ404+N("ეს ფაქტ. ხარჯი იქნა წინასწარ გათვალისწინებული"))*0.1-AU404-AX404-BA404</f>
        <v>30248.357559322045</v>
      </c>
      <c r="BC404" s="135">
        <v>82203.39</v>
      </c>
      <c r="BD404" s="135">
        <f>1850.14</f>
        <v>1850.14</v>
      </c>
      <c r="BE404" s="135">
        <f>(H404/1.18-AT404-AW404-AZ404-BD404)*0.1-AU404-AX404-BA404-BB404</f>
        <v>70.491084745750413</v>
      </c>
      <c r="BF404" s="135"/>
      <c r="BG404" s="135"/>
      <c r="BH404" s="135"/>
      <c r="BI404" s="2" t="s">
        <v>11</v>
      </c>
      <c r="BJ404" s="136">
        <v>45705</v>
      </c>
      <c r="BK404" s="2" t="s">
        <v>8</v>
      </c>
      <c r="BL404" s="136" t="s">
        <v>113</v>
      </c>
      <c r="BM404" s="136">
        <v>44935</v>
      </c>
      <c r="BN404" s="2" t="s">
        <v>1236</v>
      </c>
      <c r="BO404" s="2"/>
      <c r="BP404" s="136"/>
      <c r="BQ404" s="137" t="s">
        <v>119</v>
      </c>
      <c r="BR404" s="138"/>
    </row>
    <row r="405" spans="1:70" ht="12.75" customHeight="1" x14ac:dyDescent="0.2">
      <c r="A405" s="2">
        <v>1894</v>
      </c>
      <c r="B405" s="2" t="s">
        <v>54</v>
      </c>
      <c r="C405" s="2" t="s">
        <v>17</v>
      </c>
      <c r="D405" s="2" t="s">
        <v>1311</v>
      </c>
      <c r="E405" s="2" t="s">
        <v>110</v>
      </c>
      <c r="F405" s="150">
        <f>18708*1.75</f>
        <v>32739</v>
      </c>
      <c r="G405" s="150"/>
      <c r="H405" s="150">
        <f>18708*1.75</f>
        <v>32739</v>
      </c>
      <c r="I405" s="150"/>
      <c r="J405" s="132">
        <f>4994.08+27744.92</f>
        <v>32739</v>
      </c>
      <c r="K405" s="132">
        <f t="shared" si="46"/>
        <v>0</v>
      </c>
      <c r="L405" s="132">
        <f t="shared" si="47"/>
        <v>0</v>
      </c>
      <c r="M405" s="133"/>
      <c r="N405" s="133">
        <f t="shared" si="45"/>
        <v>0</v>
      </c>
      <c r="O405" s="134">
        <v>0</v>
      </c>
      <c r="P405" s="133"/>
      <c r="Q405" s="2" t="s">
        <v>1272</v>
      </c>
      <c r="R405" s="156">
        <f t="shared" si="48"/>
        <v>0</v>
      </c>
      <c r="S405" s="156">
        <f t="shared" si="49"/>
        <v>0</v>
      </c>
      <c r="T405" s="133"/>
      <c r="U405" s="133"/>
      <c r="V405" s="133"/>
      <c r="W405" s="133"/>
      <c r="X405" s="133"/>
      <c r="Y405" s="133"/>
      <c r="Z405" s="133"/>
      <c r="AA405" s="133"/>
      <c r="AB405" s="133"/>
      <c r="AC405" s="133"/>
      <c r="AD405" s="133"/>
      <c r="AE405" s="133"/>
      <c r="AF405" s="133"/>
      <c r="AG405" s="133"/>
      <c r="AH405" s="133"/>
      <c r="AI405" s="133"/>
      <c r="AJ405" s="133"/>
      <c r="AK405" s="133"/>
      <c r="AL405" s="133"/>
      <c r="AM405" s="133"/>
      <c r="AN405" s="133"/>
      <c r="AO405" s="133"/>
      <c r="AP405" s="133"/>
      <c r="AQ405" s="133"/>
      <c r="AR405" s="133"/>
      <c r="AS405" s="153">
        <v>0</v>
      </c>
      <c r="AT405" s="153">
        <v>0</v>
      </c>
      <c r="AU405" s="153">
        <v>0</v>
      </c>
      <c r="AV405" s="135"/>
      <c r="AW405" s="135"/>
      <c r="AX405" s="135"/>
      <c r="AY405" s="135"/>
      <c r="AZ405" s="135"/>
      <c r="BA405" s="135"/>
      <c r="BB405" s="135"/>
      <c r="BC405" s="135"/>
      <c r="BD405" s="135"/>
      <c r="BE405" s="135"/>
      <c r="BF405" s="135"/>
      <c r="BG405" s="135"/>
      <c r="BH405" s="135"/>
      <c r="BI405" s="2" t="s">
        <v>112</v>
      </c>
      <c r="BJ405" s="136">
        <v>45146</v>
      </c>
      <c r="BK405" s="2" t="s">
        <v>145</v>
      </c>
      <c r="BL405" s="136" t="s">
        <v>113</v>
      </c>
      <c r="BM405" s="136">
        <v>44935</v>
      </c>
      <c r="BN405" s="2" t="s">
        <v>1237</v>
      </c>
      <c r="BO405" s="2"/>
      <c r="BP405" s="136"/>
      <c r="BQ405" s="137" t="s">
        <v>134</v>
      </c>
      <c r="BR405" s="138"/>
    </row>
    <row r="406" spans="1:70" ht="12.75" customHeight="1" x14ac:dyDescent="0.2">
      <c r="A406" s="2">
        <v>1895</v>
      </c>
      <c r="B406" s="2" t="s">
        <v>54</v>
      </c>
      <c r="C406" s="2" t="s">
        <v>17</v>
      </c>
      <c r="D406" s="2" t="s">
        <v>1312</v>
      </c>
      <c r="E406" s="2" t="s">
        <v>71</v>
      </c>
      <c r="F406" s="132">
        <v>750000</v>
      </c>
      <c r="G406" s="132">
        <v>2</v>
      </c>
      <c r="H406" s="132">
        <f>250000+150000+200000+250000+30000+39433.7</f>
        <v>919433.7</v>
      </c>
      <c r="I406" s="132">
        <f>250000+150000+200000+250000+30000+39433.7</f>
        <v>919433.7</v>
      </c>
      <c r="J406" s="132">
        <f>38135.59+AV406+AY406+22881.36+30508.47+38135.59+39433.7+4576.27</f>
        <v>919433.69999999984</v>
      </c>
      <c r="K406" s="132">
        <f t="shared" si="46"/>
        <v>-169433.69999999984</v>
      </c>
      <c r="L406" s="132">
        <f t="shared" si="47"/>
        <v>0</v>
      </c>
      <c r="M406" s="133">
        <v>20966</v>
      </c>
      <c r="N406" s="133">
        <f t="shared" si="45"/>
        <v>1.1641532182693481E-10</v>
      </c>
      <c r="O406" s="134">
        <v>0</v>
      </c>
      <c r="P406" s="133"/>
      <c r="Q406" s="2" t="s">
        <v>1272</v>
      </c>
      <c r="R406" s="156">
        <f t="shared" si="48"/>
        <v>0</v>
      </c>
      <c r="S406" s="156">
        <f t="shared" si="49"/>
        <v>0</v>
      </c>
      <c r="T406" s="133"/>
      <c r="U406" s="133"/>
      <c r="V406" s="133"/>
      <c r="W406" s="133"/>
      <c r="X406" s="133"/>
      <c r="Y406" s="133"/>
      <c r="Z406" s="133"/>
      <c r="AA406" s="133"/>
      <c r="AB406" s="133"/>
      <c r="AC406" s="133"/>
      <c r="AD406" s="133"/>
      <c r="AE406" s="133"/>
      <c r="AF406" s="133"/>
      <c r="AG406" s="133"/>
      <c r="AH406" s="133"/>
      <c r="AI406" s="133"/>
      <c r="AJ406" s="133"/>
      <c r="AK406" s="133"/>
      <c r="AL406" s="133"/>
      <c r="AM406" s="133"/>
      <c r="AN406" s="133"/>
      <c r="AO406" s="133"/>
      <c r="AP406" s="133"/>
      <c r="AQ406" s="133"/>
      <c r="AR406" s="133"/>
      <c r="AS406" s="153">
        <v>0</v>
      </c>
      <c r="AT406" s="153">
        <v>0</v>
      </c>
      <c r="AU406" s="153">
        <v>0</v>
      </c>
      <c r="AV406" s="135"/>
      <c r="AW406" s="135"/>
      <c r="AX406" s="135"/>
      <c r="AY406" s="135">
        <f>211864.41+127118.64+169491.53+211864.41+25423.73</f>
        <v>745762.72</v>
      </c>
      <c r="AZ406" s="135">
        <f>4014.62677966102+727.18406779661+20186.8154237288+23666.526779661+2360.07881355932</f>
        <v>50955.231864406742</v>
      </c>
      <c r="BA406" s="135">
        <f>850000/1.18*0.8*0.1</f>
        <v>57627.118644067814</v>
      </c>
      <c r="BB406" s="140">
        <f>(H406/1.18-AT406-AW406-AZ406)*0.1-AU406-AX406-BA406</f>
        <v>15195.468338983032</v>
      </c>
      <c r="BC406" s="135"/>
      <c r="BD406" s="135"/>
      <c r="BE406" s="135">
        <f>(H406/1.18-AT406-AW406-AZ406-BD406)*0.1-AU406-AX406-BA406-BB406</f>
        <v>0</v>
      </c>
      <c r="BF406" s="135"/>
      <c r="BG406" s="135"/>
      <c r="BH406" s="135"/>
      <c r="BI406" s="2" t="s">
        <v>11</v>
      </c>
      <c r="BJ406" s="136">
        <v>45541</v>
      </c>
      <c r="BK406" s="2" t="s">
        <v>8</v>
      </c>
      <c r="BL406" s="136" t="s">
        <v>113</v>
      </c>
      <c r="BM406" s="136">
        <v>44935</v>
      </c>
      <c r="BN406" s="2" t="s">
        <v>1238</v>
      </c>
      <c r="BO406" s="2"/>
      <c r="BP406" s="136"/>
      <c r="BQ406" s="137" t="s">
        <v>119</v>
      </c>
      <c r="BR406" s="138"/>
    </row>
    <row r="407" spans="1:70" ht="12.75" customHeight="1" x14ac:dyDescent="0.2">
      <c r="A407" s="2">
        <v>1896</v>
      </c>
      <c r="B407" s="2" t="s">
        <v>39</v>
      </c>
      <c r="C407" s="2" t="s">
        <v>41</v>
      </c>
      <c r="D407" s="2" t="s">
        <v>1315</v>
      </c>
      <c r="E407" s="2" t="s">
        <v>106</v>
      </c>
      <c r="F407" s="132">
        <v>53754.75</v>
      </c>
      <c r="G407" s="132"/>
      <c r="H407" s="132">
        <f>30717*1.75</f>
        <v>53754.75</v>
      </c>
      <c r="I407" s="132"/>
      <c r="J407" s="132">
        <f>8199.88+45554.87</f>
        <v>53754.75</v>
      </c>
      <c r="K407" s="132">
        <f t="shared" si="46"/>
        <v>0</v>
      </c>
      <c r="L407" s="132">
        <f t="shared" si="47"/>
        <v>0</v>
      </c>
      <c r="M407" s="133"/>
      <c r="N407" s="133">
        <f t="shared" si="45"/>
        <v>0</v>
      </c>
      <c r="O407" s="134">
        <v>0</v>
      </c>
      <c r="P407" s="133"/>
      <c r="Q407" s="2" t="s">
        <v>1386</v>
      </c>
      <c r="R407" s="156">
        <f t="shared" si="48"/>
        <v>0</v>
      </c>
      <c r="S407" s="156">
        <f t="shared" si="49"/>
        <v>0</v>
      </c>
      <c r="T407" s="133"/>
      <c r="U407" s="133"/>
      <c r="V407" s="133"/>
      <c r="W407" s="133"/>
      <c r="X407" s="133"/>
      <c r="Y407" s="133"/>
      <c r="Z407" s="133"/>
      <c r="AA407" s="133"/>
      <c r="AB407" s="133"/>
      <c r="AC407" s="133"/>
      <c r="AD407" s="133"/>
      <c r="AE407" s="133"/>
      <c r="AF407" s="133"/>
      <c r="AG407" s="133"/>
      <c r="AH407" s="133"/>
      <c r="AI407" s="133"/>
      <c r="AJ407" s="133"/>
      <c r="AK407" s="133"/>
      <c r="AL407" s="133"/>
      <c r="AM407" s="133"/>
      <c r="AN407" s="133"/>
      <c r="AO407" s="133"/>
      <c r="AP407" s="133"/>
      <c r="AQ407" s="133"/>
      <c r="AR407" s="133"/>
      <c r="AS407" s="153">
        <v>0</v>
      </c>
      <c r="AT407" s="153">
        <v>0</v>
      </c>
      <c r="AU407" s="153">
        <v>0</v>
      </c>
      <c r="AV407" s="135"/>
      <c r="AW407" s="135"/>
      <c r="AX407" s="135"/>
      <c r="AY407" s="135"/>
      <c r="AZ407" s="135"/>
      <c r="BA407" s="135"/>
      <c r="BB407" s="135"/>
      <c r="BC407" s="135"/>
      <c r="BD407" s="135"/>
      <c r="BE407" s="135"/>
      <c r="BF407" s="135"/>
      <c r="BG407" s="135"/>
      <c r="BH407" s="135"/>
      <c r="BI407" s="2" t="s">
        <v>112</v>
      </c>
      <c r="BJ407" s="136">
        <v>45219</v>
      </c>
      <c r="BK407" s="2" t="s">
        <v>145</v>
      </c>
      <c r="BL407" s="136" t="s">
        <v>113</v>
      </c>
      <c r="BM407" s="136">
        <v>44931</v>
      </c>
      <c r="BN407" s="2" t="s">
        <v>1425</v>
      </c>
      <c r="BO407" s="2"/>
      <c r="BP407" s="136"/>
      <c r="BQ407" s="137" t="s">
        <v>134</v>
      </c>
      <c r="BR407" s="138"/>
    </row>
    <row r="408" spans="1:70" ht="12.75" customHeight="1" x14ac:dyDescent="0.2">
      <c r="A408" s="2">
        <v>1897</v>
      </c>
      <c r="B408" s="2" t="s">
        <v>39</v>
      </c>
      <c r="C408" s="2" t="s">
        <v>41</v>
      </c>
      <c r="D408" s="2" t="s">
        <v>1316</v>
      </c>
      <c r="E408" s="2" t="s">
        <v>90</v>
      </c>
      <c r="F408" s="132">
        <v>1013047.43199999</v>
      </c>
      <c r="G408" s="132">
        <v>2</v>
      </c>
      <c r="H408" s="132">
        <f>1200000+400000+100000+R408</f>
        <v>1729000</v>
      </c>
      <c r="I408" s="132"/>
      <c r="J408" s="132">
        <f>183050.85+61016.95+15254.24+S408+AV408+AY408+BC408</f>
        <v>1704423.73</v>
      </c>
      <c r="K408" s="132">
        <f t="shared" si="46"/>
        <v>-691376.29800000996</v>
      </c>
      <c r="L408" s="132">
        <f t="shared" si="47"/>
        <v>24576.270000000019</v>
      </c>
      <c r="M408" s="133"/>
      <c r="N408" s="133">
        <f t="shared" si="45"/>
        <v>-691376.29800000996</v>
      </c>
      <c r="O408" s="134">
        <v>1</v>
      </c>
      <c r="P408" s="133"/>
      <c r="Q408" s="2" t="s">
        <v>1386</v>
      </c>
      <c r="R408" s="156">
        <f t="shared" si="48"/>
        <v>29000</v>
      </c>
      <c r="S408" s="156">
        <f t="shared" si="49"/>
        <v>4423.7299999999996</v>
      </c>
      <c r="T408" s="133"/>
      <c r="U408" s="133"/>
      <c r="V408" s="133"/>
      <c r="W408" s="133"/>
      <c r="X408" s="133">
        <v>29000</v>
      </c>
      <c r="Y408" s="133"/>
      <c r="Z408" s="133"/>
      <c r="AA408" s="133">
        <v>4423.7299999999996</v>
      </c>
      <c r="AB408" s="133"/>
      <c r="AC408" s="133"/>
      <c r="AD408" s="133"/>
      <c r="AE408" s="133"/>
      <c r="AF408" s="133"/>
      <c r="AG408" s="133"/>
      <c r="AH408" s="133"/>
      <c r="AI408" s="133"/>
      <c r="AJ408" s="133"/>
      <c r="AK408" s="133"/>
      <c r="AL408" s="133"/>
      <c r="AM408" s="133"/>
      <c r="AN408" s="133"/>
      <c r="AO408" s="133"/>
      <c r="AP408" s="133"/>
      <c r="AQ408" s="133"/>
      <c r="AR408" s="133"/>
      <c r="AS408" s="153">
        <v>0</v>
      </c>
      <c r="AT408" s="153">
        <v>0</v>
      </c>
      <c r="AU408" s="153">
        <v>0</v>
      </c>
      <c r="AV408" s="135">
        <v>1016949.15</v>
      </c>
      <c r="AW408" s="135"/>
      <c r="AX408" s="135"/>
      <c r="AY408" s="135">
        <f>338983.05+84745.76</f>
        <v>423728.81</v>
      </c>
      <c r="AZ408" s="135"/>
      <c r="BA408" s="135"/>
      <c r="BB408" s="135"/>
      <c r="BC408" s="135"/>
      <c r="BD408" s="135"/>
      <c r="BE408" s="135"/>
      <c r="BF408" s="135"/>
      <c r="BG408" s="135"/>
      <c r="BH408" s="135"/>
      <c r="BI408" s="2" t="s">
        <v>11</v>
      </c>
      <c r="BJ408" s="136"/>
      <c r="BK408" s="2">
        <v>85</v>
      </c>
      <c r="BL408" s="136" t="s">
        <v>113</v>
      </c>
      <c r="BM408" s="136">
        <v>44931</v>
      </c>
      <c r="BN408" s="2" t="s">
        <v>1426</v>
      </c>
      <c r="BO408" s="2"/>
      <c r="BP408" s="136" t="s">
        <v>3381</v>
      </c>
      <c r="BQ408" s="137"/>
      <c r="BR408" s="138"/>
    </row>
    <row r="409" spans="1:70" ht="12.75" customHeight="1" x14ac:dyDescent="0.2">
      <c r="A409" s="2">
        <v>1898</v>
      </c>
      <c r="B409" s="2" t="s">
        <v>108</v>
      </c>
      <c r="C409" s="2" t="s">
        <v>43</v>
      </c>
      <c r="D409" s="2" t="s">
        <v>1317</v>
      </c>
      <c r="E409" s="2" t="s">
        <v>106</v>
      </c>
      <c r="F409" s="132">
        <f>8135*1.75</f>
        <v>14236.25</v>
      </c>
      <c r="G409" s="132"/>
      <c r="H409" s="132">
        <f>8135*1.75</f>
        <v>14236.25</v>
      </c>
      <c r="I409" s="132"/>
      <c r="J409" s="132">
        <f>2171.63+12064.62</f>
        <v>14236.25</v>
      </c>
      <c r="K409" s="132">
        <f t="shared" si="46"/>
        <v>0</v>
      </c>
      <c r="L409" s="132">
        <f t="shared" si="47"/>
        <v>0</v>
      </c>
      <c r="M409" s="133"/>
      <c r="N409" s="133">
        <f t="shared" si="45"/>
        <v>0</v>
      </c>
      <c r="O409" s="134">
        <v>0</v>
      </c>
      <c r="P409" s="133"/>
      <c r="Q409" s="2" t="s">
        <v>1387</v>
      </c>
      <c r="R409" s="156">
        <f t="shared" si="48"/>
        <v>0</v>
      </c>
      <c r="S409" s="156">
        <f t="shared" si="49"/>
        <v>0</v>
      </c>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53">
        <v>0</v>
      </c>
      <c r="AT409" s="153">
        <v>0</v>
      </c>
      <c r="AU409" s="153">
        <v>0</v>
      </c>
      <c r="AV409" s="135"/>
      <c r="AW409" s="135"/>
      <c r="AX409" s="135"/>
      <c r="AY409" s="135"/>
      <c r="AZ409" s="135"/>
      <c r="BA409" s="135"/>
      <c r="BB409" s="135"/>
      <c r="BC409" s="135"/>
      <c r="BD409" s="135"/>
      <c r="BE409" s="135"/>
      <c r="BF409" s="135"/>
      <c r="BG409" s="135"/>
      <c r="BH409" s="135"/>
      <c r="BI409" s="2" t="s">
        <v>112</v>
      </c>
      <c r="BJ409" s="136">
        <v>45201</v>
      </c>
      <c r="BK409" s="2" t="s">
        <v>145</v>
      </c>
      <c r="BL409" s="136" t="s">
        <v>113</v>
      </c>
      <c r="BM409" s="136">
        <v>44931</v>
      </c>
      <c r="BN409" s="2" t="s">
        <v>1427</v>
      </c>
      <c r="BO409" s="2"/>
      <c r="BP409" s="136"/>
      <c r="BQ409" s="137" t="s">
        <v>134</v>
      </c>
      <c r="BR409" s="138"/>
    </row>
    <row r="410" spans="1:70" ht="12.75" customHeight="1" x14ac:dyDescent="0.2">
      <c r="A410" s="2">
        <v>1899</v>
      </c>
      <c r="B410" s="2" t="s">
        <v>108</v>
      </c>
      <c r="C410" s="2" t="s">
        <v>43</v>
      </c>
      <c r="D410" s="2" t="s">
        <v>1318</v>
      </c>
      <c r="E410" s="2" t="s">
        <v>90</v>
      </c>
      <c r="F410" s="132">
        <v>600000</v>
      </c>
      <c r="G410" s="132" t="s">
        <v>3836</v>
      </c>
      <c r="H410" s="132">
        <f>1100000+300000+500000+125000+R410</f>
        <v>2124455.5</v>
      </c>
      <c r="I410" s="132"/>
      <c r="J410" s="132">
        <f>167796.61+45762.71+76271.19+19067.796++AV410+AY410+BC410+S410</f>
        <v>2124455.4959999998</v>
      </c>
      <c r="K410" s="132">
        <f t="shared" si="46"/>
        <v>-1524455.4959999998</v>
      </c>
      <c r="L410" s="132">
        <f t="shared" si="47"/>
        <v>4.0000001899898052E-3</v>
      </c>
      <c r="M410" s="133">
        <v>7843.9</v>
      </c>
      <c r="N410" s="133">
        <f t="shared" si="45"/>
        <v>4.0000001899898052E-3</v>
      </c>
      <c r="O410" s="134">
        <v>1</v>
      </c>
      <c r="P410" s="133"/>
      <c r="Q410" s="2" t="s">
        <v>1387</v>
      </c>
      <c r="R410" s="156">
        <f t="shared" si="48"/>
        <v>99455.5</v>
      </c>
      <c r="S410" s="156">
        <f t="shared" si="49"/>
        <v>17252.11</v>
      </c>
      <c r="T410" s="133">
        <v>97000</v>
      </c>
      <c r="U410" s="133"/>
      <c r="V410" s="133"/>
      <c r="W410" s="133">
        <f>14796.61</f>
        <v>14796.61</v>
      </c>
      <c r="X410" s="133">
        <v>2455.5</v>
      </c>
      <c r="Y410" s="133"/>
      <c r="Z410" s="133"/>
      <c r="AA410" s="133">
        <v>374.57</v>
      </c>
      <c r="AB410" s="133"/>
      <c r="AC410" s="133"/>
      <c r="AD410" s="133"/>
      <c r="AE410" s="133">
        <v>2080.9299999999998</v>
      </c>
      <c r="AF410" s="133"/>
      <c r="AG410" s="133"/>
      <c r="AH410" s="133"/>
      <c r="AI410" s="133"/>
      <c r="AJ410" s="133"/>
      <c r="AK410" s="133"/>
      <c r="AL410" s="133"/>
      <c r="AM410" s="133"/>
      <c r="AN410" s="133"/>
      <c r="AO410" s="133"/>
      <c r="AP410" s="133"/>
      <c r="AQ410" s="133"/>
      <c r="AR410" s="133" t="s">
        <v>718</v>
      </c>
      <c r="AS410" s="153">
        <v>0</v>
      </c>
      <c r="AT410" s="153">
        <v>0</v>
      </c>
      <c r="AU410" s="153">
        <v>0</v>
      </c>
      <c r="AV410" s="135">
        <f>932203.39+254237.29</f>
        <v>1186440.68</v>
      </c>
      <c r="AW410" s="135">
        <f>56500.81+12422.02</f>
        <v>68922.83</v>
      </c>
      <c r="AX410" s="135"/>
      <c r="AY410" s="135">
        <f>423728.81+105932.2</f>
        <v>529661.01</v>
      </c>
      <c r="AZ410" s="135">
        <f>3454.31+6960.33</f>
        <v>10414.64</v>
      </c>
      <c r="BA410" s="135">
        <v>0</v>
      </c>
      <c r="BB410" s="140">
        <f>(2122000/1.18-AT410-AW410-AZ410)*0.1-BA410</f>
        <v>171896.76147457631</v>
      </c>
      <c r="BC410" s="135">
        <f>82203.39</f>
        <v>82203.39</v>
      </c>
      <c r="BD410" s="135">
        <v>1790.46</v>
      </c>
      <c r="BE410" s="135">
        <f>(H410/1.18-AT410-AW410-AZ410-BD410)*0.1-AU410-AX410-BA410-BB410</f>
        <v>29.047220338950865</v>
      </c>
      <c r="BF410" s="135"/>
      <c r="BG410" s="135"/>
      <c r="BH410" s="135"/>
      <c r="BI410" s="2" t="s">
        <v>11</v>
      </c>
      <c r="BJ410" s="136">
        <v>45728</v>
      </c>
      <c r="BK410" s="2" t="s">
        <v>8</v>
      </c>
      <c r="BL410" s="136" t="s">
        <v>113</v>
      </c>
      <c r="BM410" s="136">
        <v>44931</v>
      </c>
      <c r="BN410" s="2" t="s">
        <v>1428</v>
      </c>
      <c r="BO410" s="2"/>
      <c r="BP410" s="136"/>
      <c r="BQ410" s="137" t="s">
        <v>119</v>
      </c>
      <c r="BR410" s="138"/>
    </row>
    <row r="411" spans="1:70" ht="12.75" customHeight="1" x14ac:dyDescent="0.2">
      <c r="A411" s="2">
        <v>1900</v>
      </c>
      <c r="B411" s="2" t="s">
        <v>108</v>
      </c>
      <c r="C411" s="2" t="s">
        <v>73</v>
      </c>
      <c r="D411" s="2" t="s">
        <v>1319</v>
      </c>
      <c r="E411" s="2" t="s">
        <v>106</v>
      </c>
      <c r="F411" s="132">
        <v>0</v>
      </c>
      <c r="G411" s="132">
        <v>2</v>
      </c>
      <c r="H411" s="132"/>
      <c r="I411" s="132"/>
      <c r="J411" s="132"/>
      <c r="K411" s="132">
        <f t="shared" si="46"/>
        <v>0</v>
      </c>
      <c r="L411" s="132">
        <f t="shared" si="47"/>
        <v>0</v>
      </c>
      <c r="M411" s="133"/>
      <c r="N411" s="133">
        <f t="shared" si="45"/>
        <v>0</v>
      </c>
      <c r="O411" s="134">
        <v>2</v>
      </c>
      <c r="P411" s="133"/>
      <c r="Q411" s="2" t="s">
        <v>1388</v>
      </c>
      <c r="R411" s="156">
        <f t="shared" si="48"/>
        <v>0</v>
      </c>
      <c r="S411" s="156">
        <f t="shared" si="49"/>
        <v>0</v>
      </c>
      <c r="T411" s="133"/>
      <c r="U411" s="133"/>
      <c r="V411" s="133"/>
      <c r="W411" s="133"/>
      <c r="X411" s="133"/>
      <c r="Y411" s="133"/>
      <c r="Z411" s="133"/>
      <c r="AA411" s="133"/>
      <c r="AB411" s="133"/>
      <c r="AC411" s="133"/>
      <c r="AD411" s="133"/>
      <c r="AE411" s="133"/>
      <c r="AF411" s="133"/>
      <c r="AG411" s="133"/>
      <c r="AH411" s="133"/>
      <c r="AI411" s="133"/>
      <c r="AJ411" s="133"/>
      <c r="AK411" s="133"/>
      <c r="AL411" s="133"/>
      <c r="AM411" s="133"/>
      <c r="AN411" s="133"/>
      <c r="AO411" s="133"/>
      <c r="AP411" s="133"/>
      <c r="AQ411" s="133"/>
      <c r="AR411" s="133"/>
      <c r="AS411" s="153">
        <v>0</v>
      </c>
      <c r="AT411" s="153">
        <v>0</v>
      </c>
      <c r="AU411" s="153">
        <v>0</v>
      </c>
      <c r="AV411" s="135"/>
      <c r="AW411" s="135"/>
      <c r="AX411" s="135"/>
      <c r="AY411" s="135"/>
      <c r="AZ411" s="135"/>
      <c r="BA411" s="135"/>
      <c r="BB411" s="135"/>
      <c r="BC411" s="135"/>
      <c r="BD411" s="135"/>
      <c r="BE411" s="135"/>
      <c r="BF411" s="135"/>
      <c r="BG411" s="135"/>
      <c r="BH411" s="135"/>
      <c r="BI411" s="2" t="s">
        <v>112</v>
      </c>
      <c r="BJ411" s="136"/>
      <c r="BK411" s="2">
        <v>0</v>
      </c>
      <c r="BL411" s="136" t="s">
        <v>113</v>
      </c>
      <c r="BM411" s="136">
        <v>44931</v>
      </c>
      <c r="BN411" s="2" t="s">
        <v>1429</v>
      </c>
      <c r="BO411" s="2"/>
      <c r="BP411" s="136"/>
      <c r="BQ411" s="137"/>
      <c r="BR411" s="138"/>
    </row>
    <row r="412" spans="1:70" ht="12.75" customHeight="1" x14ac:dyDescent="0.2">
      <c r="A412" s="2">
        <v>1901</v>
      </c>
      <c r="B412" s="2" t="s">
        <v>108</v>
      </c>
      <c r="C412" s="2" t="s">
        <v>73</v>
      </c>
      <c r="D412" s="20" t="s">
        <v>1320</v>
      </c>
      <c r="E412" s="20" t="s">
        <v>90</v>
      </c>
      <c r="F412" s="132">
        <v>500000</v>
      </c>
      <c r="G412" s="132">
        <v>2</v>
      </c>
      <c r="H412" s="132">
        <f>R412</f>
        <v>700000</v>
      </c>
      <c r="I412" s="132"/>
      <c r="J412" s="132">
        <f>S412</f>
        <v>106779.66372881354</v>
      </c>
      <c r="K412" s="132">
        <f t="shared" si="46"/>
        <v>393220.33627118648</v>
      </c>
      <c r="L412" s="132">
        <f t="shared" si="47"/>
        <v>593220.33627118648</v>
      </c>
      <c r="M412" s="133"/>
      <c r="N412" s="133">
        <f t="shared" si="45"/>
        <v>393220.33627118648</v>
      </c>
      <c r="O412" s="134">
        <v>1</v>
      </c>
      <c r="P412" s="133"/>
      <c r="Q412" s="2" t="s">
        <v>1388</v>
      </c>
      <c r="R412" s="156">
        <f t="shared" si="48"/>
        <v>700000</v>
      </c>
      <c r="S412" s="156">
        <f t="shared" si="49"/>
        <v>106779.66372881354</v>
      </c>
      <c r="T412" s="133"/>
      <c r="U412" s="133"/>
      <c r="V412" s="133"/>
      <c r="W412" s="133"/>
      <c r="X412" s="133"/>
      <c r="Y412" s="133"/>
      <c r="Z412" s="133">
        <v>100000</v>
      </c>
      <c r="AA412" s="133"/>
      <c r="AB412" s="133"/>
      <c r="AC412" s="133">
        <v>15254.24</v>
      </c>
      <c r="AD412" s="133"/>
      <c r="AE412" s="133"/>
      <c r="AF412" s="133">
        <v>600000</v>
      </c>
      <c r="AG412" s="133"/>
      <c r="AH412" s="133"/>
      <c r="AI412" s="133">
        <v>91525.423728813534</v>
      </c>
      <c r="AJ412" s="133"/>
      <c r="AK412" s="133"/>
      <c r="AL412" s="133"/>
      <c r="AM412" s="133"/>
      <c r="AN412" s="133"/>
      <c r="AO412" s="133"/>
      <c r="AP412" s="133"/>
      <c r="AQ412" s="133"/>
      <c r="AR412" s="133"/>
      <c r="AS412" s="153">
        <v>0</v>
      </c>
      <c r="AT412" s="153">
        <v>0</v>
      </c>
      <c r="AU412" s="153">
        <v>0</v>
      </c>
      <c r="AV412" s="135"/>
      <c r="AW412" s="135"/>
      <c r="AX412" s="135"/>
      <c r="AY412" s="135"/>
      <c r="AZ412" s="135"/>
      <c r="BA412" s="135"/>
      <c r="BB412" s="135"/>
      <c r="BC412" s="135"/>
      <c r="BD412" s="135"/>
      <c r="BE412" s="135"/>
      <c r="BF412" s="135"/>
      <c r="BG412" s="135"/>
      <c r="BH412" s="135"/>
      <c r="BI412" s="2" t="s">
        <v>11</v>
      </c>
      <c r="BJ412" s="136"/>
      <c r="BK412" s="2">
        <v>55</v>
      </c>
      <c r="BL412" s="136" t="s">
        <v>113</v>
      </c>
      <c r="BM412" s="136">
        <v>44931</v>
      </c>
      <c r="BN412" s="2" t="s">
        <v>1430</v>
      </c>
      <c r="BO412" s="2"/>
      <c r="BP412" s="136"/>
      <c r="BQ412" s="137" t="s">
        <v>119</v>
      </c>
      <c r="BR412" s="138"/>
    </row>
    <row r="413" spans="1:70" ht="12.75" customHeight="1" x14ac:dyDescent="0.2">
      <c r="A413" s="2">
        <v>1902</v>
      </c>
      <c r="B413" s="2" t="s">
        <v>39</v>
      </c>
      <c r="C413" s="2" t="s">
        <v>41</v>
      </c>
      <c r="D413" s="2" t="s">
        <v>1321</v>
      </c>
      <c r="E413" s="2" t="s">
        <v>106</v>
      </c>
      <c r="F413" s="132">
        <f>14626.5+2950.5</f>
        <v>17577</v>
      </c>
      <c r="G413" s="132">
        <v>2</v>
      </c>
      <c r="H413" s="132">
        <f>8358*1.75+1686*1.75</f>
        <v>17577</v>
      </c>
      <c r="I413" s="132"/>
      <c r="J413" s="132">
        <f>2231.16+12395.34+450.08+2500.42</f>
        <v>17577</v>
      </c>
      <c r="K413" s="132">
        <f t="shared" si="46"/>
        <v>0</v>
      </c>
      <c r="L413" s="132">
        <f t="shared" si="47"/>
        <v>0</v>
      </c>
      <c r="M413" s="133"/>
      <c r="N413" s="133">
        <f t="shared" si="45"/>
        <v>0</v>
      </c>
      <c r="O413" s="134">
        <v>0</v>
      </c>
      <c r="P413" s="133"/>
      <c r="Q413" s="2" t="s">
        <v>1389</v>
      </c>
      <c r="R413" s="156">
        <f t="shared" si="48"/>
        <v>0</v>
      </c>
      <c r="S413" s="156">
        <f t="shared" si="49"/>
        <v>0</v>
      </c>
      <c r="T413" s="133"/>
      <c r="U413" s="133"/>
      <c r="V413" s="133"/>
      <c r="W413" s="133"/>
      <c r="X413" s="133"/>
      <c r="Y413" s="133"/>
      <c r="Z413" s="133"/>
      <c r="AA413" s="133"/>
      <c r="AB413" s="133"/>
      <c r="AC413" s="133"/>
      <c r="AD413" s="133"/>
      <c r="AE413" s="133"/>
      <c r="AF413" s="133"/>
      <c r="AG413" s="133"/>
      <c r="AH413" s="133"/>
      <c r="AI413" s="133"/>
      <c r="AJ413" s="133"/>
      <c r="AK413" s="133"/>
      <c r="AL413" s="133"/>
      <c r="AM413" s="133"/>
      <c r="AN413" s="133"/>
      <c r="AO413" s="133"/>
      <c r="AP413" s="133"/>
      <c r="AQ413" s="133"/>
      <c r="AR413" s="133"/>
      <c r="AS413" s="153">
        <v>0</v>
      </c>
      <c r="AT413" s="153">
        <v>0</v>
      </c>
      <c r="AU413" s="153">
        <v>0</v>
      </c>
      <c r="AV413" s="135"/>
      <c r="AW413" s="135"/>
      <c r="AX413" s="135"/>
      <c r="AY413" s="135"/>
      <c r="AZ413" s="135"/>
      <c r="BA413" s="135"/>
      <c r="BB413" s="135"/>
      <c r="BC413" s="135"/>
      <c r="BD413" s="135"/>
      <c r="BE413" s="135"/>
      <c r="BF413" s="135"/>
      <c r="BG413" s="135"/>
      <c r="BH413" s="135"/>
      <c r="BI413" s="2" t="s">
        <v>112</v>
      </c>
      <c r="BJ413" s="136">
        <v>45383</v>
      </c>
      <c r="BK413" s="2" t="s">
        <v>145</v>
      </c>
      <c r="BL413" s="136" t="s">
        <v>113</v>
      </c>
      <c r="BM413" s="136">
        <v>44931</v>
      </c>
      <c r="BN413" s="2" t="s">
        <v>1431</v>
      </c>
      <c r="BO413" s="2"/>
      <c r="BP413" s="136"/>
      <c r="BQ413" s="137" t="s">
        <v>134</v>
      </c>
      <c r="BR413" s="138"/>
    </row>
    <row r="414" spans="1:70" ht="12.75" customHeight="1" x14ac:dyDescent="0.2">
      <c r="A414" s="2">
        <v>1903</v>
      </c>
      <c r="B414" s="2" t="s">
        <v>39</v>
      </c>
      <c r="C414" s="2" t="s">
        <v>41</v>
      </c>
      <c r="D414" s="2" t="s">
        <v>1322</v>
      </c>
      <c r="E414" s="2" t="s">
        <v>90</v>
      </c>
      <c r="F414" s="132">
        <v>559980.79999999993</v>
      </c>
      <c r="G414" s="132">
        <v>2</v>
      </c>
      <c r="H414" s="132">
        <f>450000+N("080823")+180000+75000+47773.03</f>
        <v>752773.03</v>
      </c>
      <c r="I414" s="132">
        <f>450000+N("080823")+180000+75000+47773.03</f>
        <v>752773.03</v>
      </c>
      <c r="J414" s="132">
        <f>68644.067+27457.627+11440.677+AV414+47773.03</f>
        <v>752773.02099999995</v>
      </c>
      <c r="K414" s="132">
        <f t="shared" si="46"/>
        <v>-192792.22100000002</v>
      </c>
      <c r="L414" s="132">
        <f t="shared" si="47"/>
        <v>9.0000000782310963E-3</v>
      </c>
      <c r="M414" s="133">
        <v>9773.5</v>
      </c>
      <c r="N414" s="133">
        <f t="shared" si="45"/>
        <v>9.0000000782310963E-3</v>
      </c>
      <c r="O414" s="134">
        <v>0</v>
      </c>
      <c r="P414" s="133"/>
      <c r="Q414" s="2" t="s">
        <v>1389</v>
      </c>
      <c r="R414" s="156">
        <f t="shared" si="48"/>
        <v>0</v>
      </c>
      <c r="S414" s="156">
        <f t="shared" si="49"/>
        <v>0</v>
      </c>
      <c r="T414" s="133"/>
      <c r="U414" s="133"/>
      <c r="V414" s="133"/>
      <c r="W414" s="133"/>
      <c r="X414" s="133"/>
      <c r="Y414" s="133"/>
      <c r="Z414" s="133"/>
      <c r="AA414" s="133"/>
      <c r="AB414" s="133"/>
      <c r="AC414" s="133"/>
      <c r="AD414" s="133"/>
      <c r="AE414" s="133"/>
      <c r="AF414" s="133"/>
      <c r="AG414" s="133"/>
      <c r="AH414" s="133"/>
      <c r="AI414" s="133"/>
      <c r="AJ414" s="133"/>
      <c r="AK414" s="133"/>
      <c r="AL414" s="133"/>
      <c r="AM414" s="133"/>
      <c r="AN414" s="133"/>
      <c r="AO414" s="133"/>
      <c r="AP414" s="133"/>
      <c r="AQ414" s="133"/>
      <c r="AR414" s="133"/>
      <c r="AS414" s="153">
        <v>0</v>
      </c>
      <c r="AT414" s="153">
        <v>0</v>
      </c>
      <c r="AU414" s="153">
        <v>0</v>
      </c>
      <c r="AV414" s="135">
        <f>381355.93+N("თბს")+152542.37+N("სილქი")+63559.32+N("სილქი")</f>
        <v>597457.62</v>
      </c>
      <c r="AW414" s="135">
        <f>42064.08+7453.21+2892.08</f>
        <v>52409.37</v>
      </c>
      <c r="AX414" s="135"/>
      <c r="AY414" s="135"/>
      <c r="AZ414" s="135"/>
      <c r="BA414" s="135">
        <f>705000/1.18*0.8*0.1</f>
        <v>47796.610169491527</v>
      </c>
      <c r="BB414" s="140">
        <f>(H414/1.18-AT414-AW414-AZ414)*0.1-BA414</f>
        <v>10756.777406779671</v>
      </c>
      <c r="BC414" s="135"/>
      <c r="BD414" s="135"/>
      <c r="BE414" s="135">
        <f>(H414/1.18-AT414-AW414-AZ414-BD414)*0.1-AU414-AX414-BA414-BB414</f>
        <v>0</v>
      </c>
      <c r="BF414" s="135"/>
      <c r="BG414" s="135"/>
      <c r="BH414" s="135"/>
      <c r="BI414" s="2" t="s">
        <v>11</v>
      </c>
      <c r="BJ414" s="136">
        <v>45504</v>
      </c>
      <c r="BK414" s="2" t="s">
        <v>8</v>
      </c>
      <c r="BL414" s="136" t="s">
        <v>113</v>
      </c>
      <c r="BM414" s="136">
        <v>44931</v>
      </c>
      <c r="BN414" s="2" t="s">
        <v>1432</v>
      </c>
      <c r="BO414" s="2"/>
      <c r="BP414" s="136" t="s">
        <v>3380</v>
      </c>
      <c r="BQ414" s="137" t="s">
        <v>119</v>
      </c>
      <c r="BR414" s="138"/>
    </row>
    <row r="415" spans="1:70" ht="12.75" customHeight="1" x14ac:dyDescent="0.2">
      <c r="A415" s="2">
        <v>1904</v>
      </c>
      <c r="B415" s="2" t="s">
        <v>108</v>
      </c>
      <c r="C415" s="2" t="s">
        <v>40</v>
      </c>
      <c r="D415" s="2" t="s">
        <v>1323</v>
      </c>
      <c r="E415" s="2" t="s">
        <v>106</v>
      </c>
      <c r="F415" s="132">
        <v>15018.5</v>
      </c>
      <c r="G415" s="132"/>
      <c r="H415" s="132">
        <f>8582*1.75</f>
        <v>15018.5</v>
      </c>
      <c r="I415" s="132"/>
      <c r="J415" s="132">
        <v>15018.5</v>
      </c>
      <c r="K415" s="132">
        <f t="shared" si="46"/>
        <v>0</v>
      </c>
      <c r="L415" s="132">
        <f t="shared" si="47"/>
        <v>0</v>
      </c>
      <c r="M415" s="133"/>
      <c r="N415" s="133">
        <f t="shared" si="45"/>
        <v>0</v>
      </c>
      <c r="O415" s="134">
        <v>0</v>
      </c>
      <c r="P415" s="133"/>
      <c r="Q415" s="2" t="s">
        <v>1390</v>
      </c>
      <c r="R415" s="156">
        <f t="shared" si="48"/>
        <v>0</v>
      </c>
      <c r="S415" s="156">
        <f t="shared" si="49"/>
        <v>0</v>
      </c>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53">
        <v>0</v>
      </c>
      <c r="AT415" s="153">
        <v>0</v>
      </c>
      <c r="AU415" s="153">
        <v>0</v>
      </c>
      <c r="AV415" s="135"/>
      <c r="AW415" s="135"/>
      <c r="AX415" s="135"/>
      <c r="AY415" s="135"/>
      <c r="AZ415" s="135"/>
      <c r="BA415" s="135"/>
      <c r="BB415" s="135"/>
      <c r="BC415" s="135"/>
      <c r="BD415" s="135"/>
      <c r="BE415" s="135"/>
      <c r="BF415" s="135"/>
      <c r="BG415" s="135"/>
      <c r="BH415" s="135"/>
      <c r="BI415" s="2" t="s">
        <v>112</v>
      </c>
      <c r="BJ415" s="136">
        <v>45272</v>
      </c>
      <c r="BK415" s="2" t="s">
        <v>145</v>
      </c>
      <c r="BL415" s="136" t="s">
        <v>113</v>
      </c>
      <c r="BM415" s="136">
        <v>44931</v>
      </c>
      <c r="BN415" s="2" t="s">
        <v>1433</v>
      </c>
      <c r="BO415" s="2"/>
      <c r="BP415" s="136"/>
      <c r="BQ415" s="137" t="s">
        <v>134</v>
      </c>
      <c r="BR415" s="138"/>
    </row>
    <row r="416" spans="1:70" ht="12.75" customHeight="1" x14ac:dyDescent="0.2">
      <c r="A416" s="2">
        <v>1905</v>
      </c>
      <c r="B416" s="2" t="s">
        <v>108</v>
      </c>
      <c r="C416" s="2" t="s">
        <v>40</v>
      </c>
      <c r="D416" s="2" t="s">
        <v>1324</v>
      </c>
      <c r="E416" s="2" t="s">
        <v>90</v>
      </c>
      <c r="F416" s="132">
        <v>509760</v>
      </c>
      <c r="G416" s="132">
        <v>2</v>
      </c>
      <c r="H416" s="132">
        <f>600000+90000+R416</f>
        <v>830000</v>
      </c>
      <c r="I416" s="132"/>
      <c r="J416" s="132">
        <f>91525.423+AS416+AV416+13728.81+S416+AY416+BC416</f>
        <v>711355.93300000019</v>
      </c>
      <c r="K416" s="132">
        <f t="shared" si="46"/>
        <v>-201595.93300000019</v>
      </c>
      <c r="L416" s="132">
        <f t="shared" si="47"/>
        <v>118644.06699999981</v>
      </c>
      <c r="M416" s="133"/>
      <c r="N416" s="133">
        <f t="shared" si="45"/>
        <v>-201595.93300000019</v>
      </c>
      <c r="O416" s="134">
        <v>1</v>
      </c>
      <c r="P416" s="133"/>
      <c r="Q416" s="2" t="s">
        <v>1390</v>
      </c>
      <c r="R416" s="156">
        <f t="shared" si="48"/>
        <v>140000</v>
      </c>
      <c r="S416" s="156">
        <f t="shared" si="49"/>
        <v>21355.93</v>
      </c>
      <c r="T416" s="133"/>
      <c r="U416" s="133"/>
      <c r="V416" s="133">
        <v>140000</v>
      </c>
      <c r="W416" s="133"/>
      <c r="X416" s="133"/>
      <c r="Y416" s="133">
        <v>21355.93</v>
      </c>
      <c r="Z416" s="133"/>
      <c r="AA416" s="133"/>
      <c r="AB416" s="133"/>
      <c r="AC416" s="133"/>
      <c r="AD416" s="133"/>
      <c r="AE416" s="133"/>
      <c r="AF416" s="133"/>
      <c r="AG416" s="133"/>
      <c r="AH416" s="133"/>
      <c r="AI416" s="133"/>
      <c r="AJ416" s="133"/>
      <c r="AK416" s="133"/>
      <c r="AL416" s="133"/>
      <c r="AM416" s="133"/>
      <c r="AN416" s="133"/>
      <c r="AO416" s="133"/>
      <c r="AP416" s="133"/>
      <c r="AQ416" s="133"/>
      <c r="AR416" s="133"/>
      <c r="AS416" s="153">
        <v>0</v>
      </c>
      <c r="AT416" s="153">
        <v>0</v>
      </c>
      <c r="AU416" s="153">
        <v>0</v>
      </c>
      <c r="AV416" s="135">
        <f>508474.58+N("სილქი")</f>
        <v>508474.58</v>
      </c>
      <c r="AW416" s="135">
        <f>15203.56+N("სილქი")</f>
        <v>15203.56</v>
      </c>
      <c r="AX416" s="135"/>
      <c r="AY416" s="135">
        <v>76271.19</v>
      </c>
      <c r="AZ416" s="135"/>
      <c r="BA416" s="135"/>
      <c r="BB416" s="135"/>
      <c r="BC416" s="135"/>
      <c r="BD416" s="135"/>
      <c r="BE416" s="135"/>
      <c r="BF416" s="135"/>
      <c r="BG416" s="135"/>
      <c r="BH416" s="135"/>
      <c r="BI416" s="2" t="s">
        <v>11</v>
      </c>
      <c r="BJ416" s="136"/>
      <c r="BK416" s="2">
        <v>80</v>
      </c>
      <c r="BL416" s="136" t="s">
        <v>113</v>
      </c>
      <c r="BM416" s="136">
        <v>44931</v>
      </c>
      <c r="BN416" s="2" t="s">
        <v>1434</v>
      </c>
      <c r="BO416" s="2"/>
      <c r="BP416" s="136"/>
      <c r="BQ416" s="137"/>
      <c r="BR416" s="138"/>
    </row>
    <row r="417" spans="1:70" ht="12.75" customHeight="1" x14ac:dyDescent="0.2">
      <c r="A417" s="2">
        <v>1906</v>
      </c>
      <c r="B417" s="2" t="s">
        <v>108</v>
      </c>
      <c r="C417" s="2" t="s">
        <v>73</v>
      </c>
      <c r="D417" s="2" t="s">
        <v>1325</v>
      </c>
      <c r="E417" s="2" t="s">
        <v>106</v>
      </c>
      <c r="F417" s="132">
        <v>0</v>
      </c>
      <c r="G417" s="132">
        <v>2</v>
      </c>
      <c r="H417" s="132">
        <f>3938*1.75</f>
        <v>6891.5</v>
      </c>
      <c r="I417" s="132"/>
      <c r="J417" s="132">
        <f>1051.25+S417</f>
        <v>1051.25</v>
      </c>
      <c r="K417" s="132">
        <f t="shared" si="46"/>
        <v>-1051.25</v>
      </c>
      <c r="L417" s="132">
        <f t="shared" si="47"/>
        <v>5840.25</v>
      </c>
      <c r="M417" s="133"/>
      <c r="N417" s="133">
        <f t="shared" si="45"/>
        <v>-1051.25</v>
      </c>
      <c r="O417" s="134">
        <v>2</v>
      </c>
      <c r="P417" s="133"/>
      <c r="Q417" s="2" t="s">
        <v>1391</v>
      </c>
      <c r="R417" s="156">
        <f t="shared" si="48"/>
        <v>0</v>
      </c>
      <c r="S417" s="156">
        <f t="shared" si="49"/>
        <v>0</v>
      </c>
      <c r="T417" s="133"/>
      <c r="U417" s="133"/>
      <c r="V417" s="133"/>
      <c r="W417" s="133"/>
      <c r="X417" s="133"/>
      <c r="Y417" s="133"/>
      <c r="Z417" s="133"/>
      <c r="AA417" s="133"/>
      <c r="AB417" s="133"/>
      <c r="AC417" s="133"/>
      <c r="AD417" s="133"/>
      <c r="AE417" s="133"/>
      <c r="AF417" s="133"/>
      <c r="AG417" s="133"/>
      <c r="AH417" s="133"/>
      <c r="AI417" s="133"/>
      <c r="AJ417" s="133"/>
      <c r="AK417" s="133"/>
      <c r="AL417" s="133"/>
      <c r="AM417" s="133"/>
      <c r="AN417" s="133"/>
      <c r="AO417" s="133"/>
      <c r="AP417" s="133"/>
      <c r="AQ417" s="133"/>
      <c r="AR417" s="133"/>
      <c r="AS417" s="153">
        <v>0</v>
      </c>
      <c r="AT417" s="153">
        <v>0</v>
      </c>
      <c r="AU417" s="153">
        <v>0</v>
      </c>
      <c r="AV417" s="135"/>
      <c r="AW417" s="135"/>
      <c r="AX417" s="135"/>
      <c r="AY417" s="135"/>
      <c r="AZ417" s="135"/>
      <c r="BA417" s="135"/>
      <c r="BB417" s="135"/>
      <c r="BC417" s="135"/>
      <c r="BD417" s="135"/>
      <c r="BE417" s="135"/>
      <c r="BF417" s="135"/>
      <c r="BG417" s="135"/>
      <c r="BH417" s="135"/>
      <c r="BI417" s="2" t="s">
        <v>112</v>
      </c>
      <c r="BJ417" s="136"/>
      <c r="BK417" s="2">
        <v>0</v>
      </c>
      <c r="BL417" s="136" t="s">
        <v>113</v>
      </c>
      <c r="BM417" s="136">
        <v>44931</v>
      </c>
      <c r="BN417" s="2" t="s">
        <v>1435</v>
      </c>
      <c r="BO417" s="2"/>
      <c r="BP417" s="136"/>
      <c r="BQ417" s="137"/>
      <c r="BR417" s="138"/>
    </row>
    <row r="418" spans="1:70" ht="12.75" customHeight="1" x14ac:dyDescent="0.2">
      <c r="A418" s="2">
        <v>1907</v>
      </c>
      <c r="B418" s="2" t="s">
        <v>108</v>
      </c>
      <c r="C418" s="2" t="s">
        <v>73</v>
      </c>
      <c r="D418" s="2" t="s">
        <v>1326</v>
      </c>
      <c r="E418" s="2" t="s">
        <v>90</v>
      </c>
      <c r="F418" s="132">
        <v>323400</v>
      </c>
      <c r="G418" s="132">
        <v>2</v>
      </c>
      <c r="H418" s="132">
        <f>700000+200000</f>
        <v>900000</v>
      </c>
      <c r="I418" s="132"/>
      <c r="J418" s="132">
        <f>30508.47+S418+AY418+BC418</f>
        <v>793220.34</v>
      </c>
      <c r="K418" s="132">
        <f t="shared" si="46"/>
        <v>-469820.33999999997</v>
      </c>
      <c r="L418" s="132">
        <f t="shared" si="47"/>
        <v>106779.66000000003</v>
      </c>
      <c r="M418" s="133"/>
      <c r="N418" s="133">
        <f t="shared" si="45"/>
        <v>-469820.33999999997</v>
      </c>
      <c r="O418" s="134">
        <v>1</v>
      </c>
      <c r="P418" s="133"/>
      <c r="Q418" s="2" t="s">
        <v>1391</v>
      </c>
      <c r="R418" s="156">
        <f t="shared" si="48"/>
        <v>0</v>
      </c>
      <c r="S418" s="156">
        <f t="shared" si="49"/>
        <v>0</v>
      </c>
      <c r="T418" s="133"/>
      <c r="U418" s="133"/>
      <c r="V418" s="133"/>
      <c r="W418" s="133"/>
      <c r="X418" s="133"/>
      <c r="Y418" s="133"/>
      <c r="Z418" s="133"/>
      <c r="AA418" s="133"/>
      <c r="AB418" s="133"/>
      <c r="AC418" s="133"/>
      <c r="AD418" s="133"/>
      <c r="AE418" s="133"/>
      <c r="AF418" s="133"/>
      <c r="AG418" s="133"/>
      <c r="AH418" s="133"/>
      <c r="AI418" s="133"/>
      <c r="AJ418" s="133"/>
      <c r="AK418" s="133"/>
      <c r="AL418" s="133"/>
      <c r="AM418" s="133"/>
      <c r="AN418" s="133"/>
      <c r="AO418" s="133"/>
      <c r="AP418" s="133"/>
      <c r="AQ418" s="133"/>
      <c r="AR418" s="133"/>
      <c r="AS418" s="153">
        <v>0</v>
      </c>
      <c r="AT418" s="153">
        <v>0</v>
      </c>
      <c r="AU418" s="153">
        <v>0</v>
      </c>
      <c r="AV418" s="135"/>
      <c r="AW418" s="135"/>
      <c r="AX418" s="135"/>
      <c r="AY418" s="135">
        <f>593220.34+169491.53</f>
        <v>762711.87</v>
      </c>
      <c r="AZ418" s="135"/>
      <c r="BA418" s="135"/>
      <c r="BB418" s="135"/>
      <c r="BC418" s="135"/>
      <c r="BD418" s="135"/>
      <c r="BE418" s="135"/>
      <c r="BF418" s="135"/>
      <c r="BG418" s="135"/>
      <c r="BH418" s="135"/>
      <c r="BI418" s="2" t="s">
        <v>11</v>
      </c>
      <c r="BJ418" s="136"/>
      <c r="BK418" s="2">
        <v>70</v>
      </c>
      <c r="BL418" s="136" t="s">
        <v>113</v>
      </c>
      <c r="BM418" s="136">
        <v>44931</v>
      </c>
      <c r="BN418" s="2" t="s">
        <v>1436</v>
      </c>
      <c r="BO418" s="2"/>
      <c r="BP418" s="136"/>
      <c r="BQ418" s="137"/>
      <c r="BR418" s="138"/>
    </row>
    <row r="419" spans="1:70" ht="12.75" customHeight="1" x14ac:dyDescent="0.2">
      <c r="A419" s="2">
        <v>1908</v>
      </c>
      <c r="B419" s="2" t="s">
        <v>39</v>
      </c>
      <c r="C419" s="2" t="s">
        <v>41</v>
      </c>
      <c r="D419" s="2" t="s">
        <v>1327</v>
      </c>
      <c r="E419" s="2" t="s">
        <v>106</v>
      </c>
      <c r="F419" s="132">
        <v>0</v>
      </c>
      <c r="G419" s="132">
        <v>2</v>
      </c>
      <c r="H419" s="132"/>
      <c r="I419" s="132"/>
      <c r="J419" s="132"/>
      <c r="K419" s="132">
        <f t="shared" si="46"/>
        <v>0</v>
      </c>
      <c r="L419" s="132">
        <f t="shared" si="47"/>
        <v>0</v>
      </c>
      <c r="M419" s="133"/>
      <c r="N419" s="133">
        <f t="shared" si="45"/>
        <v>0</v>
      </c>
      <c r="O419" s="134">
        <v>2</v>
      </c>
      <c r="P419" s="133"/>
      <c r="Q419" s="2" t="s">
        <v>1392</v>
      </c>
      <c r="R419" s="156">
        <f t="shared" si="48"/>
        <v>0</v>
      </c>
      <c r="S419" s="156">
        <f t="shared" si="49"/>
        <v>0</v>
      </c>
      <c r="T419" s="133"/>
      <c r="U419" s="133"/>
      <c r="V419" s="133"/>
      <c r="W419" s="133"/>
      <c r="X419" s="133"/>
      <c r="Y419" s="133"/>
      <c r="Z419" s="133"/>
      <c r="AA419" s="133"/>
      <c r="AB419" s="133"/>
      <c r="AC419" s="133"/>
      <c r="AD419" s="133"/>
      <c r="AE419" s="133"/>
      <c r="AF419" s="133"/>
      <c r="AG419" s="133"/>
      <c r="AH419" s="133"/>
      <c r="AI419" s="133"/>
      <c r="AJ419" s="133"/>
      <c r="AK419" s="133"/>
      <c r="AL419" s="133"/>
      <c r="AM419" s="133"/>
      <c r="AN419" s="133"/>
      <c r="AO419" s="133"/>
      <c r="AP419" s="133"/>
      <c r="AQ419" s="133"/>
      <c r="AR419" s="133"/>
      <c r="AS419" s="153">
        <v>0</v>
      </c>
      <c r="AT419" s="153">
        <v>0</v>
      </c>
      <c r="AU419" s="153">
        <v>0</v>
      </c>
      <c r="AV419" s="135"/>
      <c r="AW419" s="135"/>
      <c r="AX419" s="135"/>
      <c r="AY419" s="135"/>
      <c r="AZ419" s="135"/>
      <c r="BA419" s="135"/>
      <c r="BB419" s="135"/>
      <c r="BC419" s="135"/>
      <c r="BD419" s="135"/>
      <c r="BE419" s="135"/>
      <c r="BF419" s="135"/>
      <c r="BG419" s="135"/>
      <c r="BH419" s="135"/>
      <c r="BI419" s="2" t="s">
        <v>112</v>
      </c>
      <c r="BJ419" s="136"/>
      <c r="BK419" s="2">
        <v>0</v>
      </c>
      <c r="BL419" s="136" t="s">
        <v>113</v>
      </c>
      <c r="BM419" s="136">
        <v>44931</v>
      </c>
      <c r="BN419" s="2" t="s">
        <v>1437</v>
      </c>
      <c r="BO419" s="2"/>
      <c r="BP419" s="136"/>
      <c r="BQ419" s="137"/>
      <c r="BR419" s="138"/>
    </row>
    <row r="420" spans="1:70" ht="12.75" customHeight="1" x14ac:dyDescent="0.2">
      <c r="A420" s="2">
        <v>1909</v>
      </c>
      <c r="B420" s="2" t="s">
        <v>39</v>
      </c>
      <c r="C420" s="2" t="s">
        <v>41</v>
      </c>
      <c r="D420" s="2" t="s">
        <v>1328</v>
      </c>
      <c r="E420" s="2" t="s">
        <v>90</v>
      </c>
      <c r="F420" s="132">
        <v>361493</v>
      </c>
      <c r="G420" s="132" t="s">
        <v>3836</v>
      </c>
      <c r="H420" s="132">
        <f>200000+4681.56+R420</f>
        <v>272259.94</v>
      </c>
      <c r="I420" s="132"/>
      <c r="J420" s="132">
        <f>30508.47+AY420+BC420+S420</f>
        <v>272259.94</v>
      </c>
      <c r="K420" s="132">
        <f t="shared" si="46"/>
        <v>89233.06</v>
      </c>
      <c r="L420" s="132">
        <f t="shared" si="47"/>
        <v>0</v>
      </c>
      <c r="M420" s="133">
        <v>4200</v>
      </c>
      <c r="N420" s="133">
        <f t="shared" si="45"/>
        <v>0</v>
      </c>
      <c r="O420" s="134">
        <v>1</v>
      </c>
      <c r="P420" s="133"/>
      <c r="Q420" s="2" t="s">
        <v>1392</v>
      </c>
      <c r="R420" s="156">
        <f t="shared" si="48"/>
        <v>67578.38</v>
      </c>
      <c r="S420" s="156">
        <f t="shared" si="49"/>
        <v>16327.74</v>
      </c>
      <c r="T420" s="133">
        <v>66000</v>
      </c>
      <c r="U420" s="133">
        <f>714.17</f>
        <v>714.17</v>
      </c>
      <c r="V420" s="133"/>
      <c r="W420" s="133">
        <f>10067.8</f>
        <v>10067.799999999999</v>
      </c>
      <c r="X420" s="133">
        <v>1578.38</v>
      </c>
      <c r="Y420" s="133"/>
      <c r="Z420" s="133"/>
      <c r="AA420" s="133">
        <v>240.77</v>
      </c>
      <c r="AB420" s="133"/>
      <c r="AC420" s="133"/>
      <c r="AD420" s="133"/>
      <c r="AE420" s="133">
        <v>5305</v>
      </c>
      <c r="AF420" s="133"/>
      <c r="AG420" s="133"/>
      <c r="AH420" s="133"/>
      <c r="AI420" s="133"/>
      <c r="AJ420" s="133"/>
      <c r="AK420" s="133"/>
      <c r="AL420" s="133"/>
      <c r="AM420" s="133"/>
      <c r="AN420" s="133"/>
      <c r="AO420" s="133"/>
      <c r="AP420" s="133"/>
      <c r="AQ420" s="133"/>
      <c r="AR420" s="133" t="s">
        <v>718</v>
      </c>
      <c r="AS420" s="153">
        <v>0</v>
      </c>
      <c r="AT420" s="153">
        <v>0</v>
      </c>
      <c r="AU420" s="153">
        <v>0</v>
      </c>
      <c r="AV420" s="135">
        <v>0</v>
      </c>
      <c r="AW420" s="135">
        <v>0</v>
      </c>
      <c r="AX420" s="135">
        <v>0</v>
      </c>
      <c r="AY420" s="153">
        <v>169491.53</v>
      </c>
      <c r="AZ420" s="135">
        <v>20456.580000000002</v>
      </c>
      <c r="BA420" s="135">
        <v>0</v>
      </c>
      <c r="BB420" s="140">
        <f>(270681.56/1.18-AT420-AW420-AZ420)*0.1-BA420</f>
        <v>20893.457254237292</v>
      </c>
      <c r="BC420" s="135">
        <f>55932.2</f>
        <v>55932.2</v>
      </c>
      <c r="BD420" s="135">
        <v>1218.25</v>
      </c>
      <c r="BE420" s="135">
        <f>(H420/1.18-AT420-AW420-AZ420-BD420)*0.1-AU420-AX420-BA420-BB420</f>
        <v>11.936016949151963</v>
      </c>
      <c r="BF420" s="135"/>
      <c r="BG420" s="135"/>
      <c r="BH420" s="135"/>
      <c r="BI420" s="2" t="s">
        <v>11</v>
      </c>
      <c r="BJ420" s="136">
        <v>45728</v>
      </c>
      <c r="BK420" s="2" t="s">
        <v>8</v>
      </c>
      <c r="BL420" s="136" t="s">
        <v>113</v>
      </c>
      <c r="BM420" s="136">
        <v>44931</v>
      </c>
      <c r="BN420" s="2" t="s">
        <v>1438</v>
      </c>
      <c r="BO420" s="2"/>
      <c r="BP420" s="136"/>
      <c r="BQ420" s="137" t="s">
        <v>119</v>
      </c>
      <c r="BR420" s="138"/>
    </row>
    <row r="421" spans="1:70" ht="12.75" customHeight="1" x14ac:dyDescent="0.2">
      <c r="A421" s="2">
        <v>1910</v>
      </c>
      <c r="B421" s="2" t="s">
        <v>108</v>
      </c>
      <c r="C421" s="2" t="s">
        <v>40</v>
      </c>
      <c r="D421" s="2" t="s">
        <v>1329</v>
      </c>
      <c r="E421" s="2" t="s">
        <v>90</v>
      </c>
      <c r="F421" s="132">
        <v>292050</v>
      </c>
      <c r="G421" s="132">
        <v>2</v>
      </c>
      <c r="H421" s="132"/>
      <c r="I421" s="132"/>
      <c r="J421" s="132"/>
      <c r="K421" s="132">
        <f t="shared" si="46"/>
        <v>292050</v>
      </c>
      <c r="L421" s="132">
        <f t="shared" si="47"/>
        <v>0</v>
      </c>
      <c r="M421" s="133"/>
      <c r="N421" s="133">
        <f t="shared" si="45"/>
        <v>292050</v>
      </c>
      <c r="O421" s="134">
        <v>1</v>
      </c>
      <c r="P421" s="133"/>
      <c r="Q421" s="2" t="s">
        <v>1393</v>
      </c>
      <c r="R421" s="156">
        <f t="shared" si="48"/>
        <v>0</v>
      </c>
      <c r="S421" s="156">
        <f t="shared" si="49"/>
        <v>0</v>
      </c>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53">
        <v>0</v>
      </c>
      <c r="AT421" s="153">
        <v>0</v>
      </c>
      <c r="AU421" s="153">
        <v>0</v>
      </c>
      <c r="AV421" s="135"/>
      <c r="AW421" s="135"/>
      <c r="AX421" s="135"/>
      <c r="AY421" s="135"/>
      <c r="AZ421" s="135"/>
      <c r="BA421" s="135"/>
      <c r="BB421" s="135"/>
      <c r="BC421" s="135"/>
      <c r="BD421" s="135"/>
      <c r="BE421" s="135"/>
      <c r="BF421" s="135"/>
      <c r="BG421" s="135"/>
      <c r="BH421" s="135"/>
      <c r="BI421" s="2" t="s">
        <v>11</v>
      </c>
      <c r="BJ421" s="136"/>
      <c r="BK421" s="2">
        <v>0</v>
      </c>
      <c r="BL421" s="136" t="s">
        <v>113</v>
      </c>
      <c r="BM421" s="136">
        <v>44931</v>
      </c>
      <c r="BN421" s="2" t="s">
        <v>1439</v>
      </c>
      <c r="BO421" s="2"/>
      <c r="BP421" s="136"/>
      <c r="BQ421" s="137"/>
      <c r="BR421" s="138"/>
    </row>
    <row r="422" spans="1:70" ht="12.75" customHeight="1" x14ac:dyDescent="0.2">
      <c r="A422" s="2">
        <v>1911</v>
      </c>
      <c r="B422" s="2" t="s">
        <v>39</v>
      </c>
      <c r="C422" s="2" t="s">
        <v>42</v>
      </c>
      <c r="D422" s="2" t="s">
        <v>1330</v>
      </c>
      <c r="E422" s="2" t="s">
        <v>106</v>
      </c>
      <c r="F422" s="132">
        <f>5775*1.75</f>
        <v>10106.25</v>
      </c>
      <c r="G422" s="132"/>
      <c r="H422" s="132">
        <f>5775*1.75</f>
        <v>10106.25</v>
      </c>
      <c r="I422" s="132"/>
      <c r="J422" s="132">
        <f>1541.63+8564.62</f>
        <v>10106.25</v>
      </c>
      <c r="K422" s="132">
        <f t="shared" si="46"/>
        <v>0</v>
      </c>
      <c r="L422" s="132">
        <f t="shared" si="47"/>
        <v>0</v>
      </c>
      <c r="M422" s="133"/>
      <c r="N422" s="133">
        <f t="shared" si="45"/>
        <v>0</v>
      </c>
      <c r="O422" s="134">
        <v>0</v>
      </c>
      <c r="P422" s="133"/>
      <c r="Q422" s="2" t="s">
        <v>1394</v>
      </c>
      <c r="R422" s="156">
        <f t="shared" si="48"/>
        <v>0</v>
      </c>
      <c r="S422" s="156">
        <f t="shared" si="49"/>
        <v>0</v>
      </c>
      <c r="T422" s="133"/>
      <c r="U422" s="133"/>
      <c r="V422" s="133"/>
      <c r="W422" s="133"/>
      <c r="X422" s="133"/>
      <c r="Y422" s="133"/>
      <c r="Z422" s="133"/>
      <c r="AA422" s="133"/>
      <c r="AB422" s="133"/>
      <c r="AC422" s="133"/>
      <c r="AD422" s="133"/>
      <c r="AE422" s="133"/>
      <c r="AF422" s="133"/>
      <c r="AG422" s="133"/>
      <c r="AH422" s="133"/>
      <c r="AI422" s="133"/>
      <c r="AJ422" s="133"/>
      <c r="AK422" s="133"/>
      <c r="AL422" s="133"/>
      <c r="AM422" s="133"/>
      <c r="AN422" s="133"/>
      <c r="AO422" s="133"/>
      <c r="AP422" s="133"/>
      <c r="AQ422" s="133"/>
      <c r="AR422" s="133"/>
      <c r="AS422" s="153">
        <v>0</v>
      </c>
      <c r="AT422" s="153">
        <v>0</v>
      </c>
      <c r="AU422" s="153">
        <v>0</v>
      </c>
      <c r="AV422" s="135"/>
      <c r="AW422" s="135"/>
      <c r="AX422" s="135"/>
      <c r="AY422" s="135"/>
      <c r="AZ422" s="135"/>
      <c r="BA422" s="135"/>
      <c r="BB422" s="135"/>
      <c r="BC422" s="135"/>
      <c r="BD422" s="135"/>
      <c r="BE422" s="135"/>
      <c r="BF422" s="135"/>
      <c r="BG422" s="135"/>
      <c r="BH422" s="135"/>
      <c r="BI422" s="2" t="s">
        <v>112</v>
      </c>
      <c r="BJ422" s="136">
        <v>45138</v>
      </c>
      <c r="BK422" s="2" t="s">
        <v>145</v>
      </c>
      <c r="BL422" s="136" t="s">
        <v>113</v>
      </c>
      <c r="BM422" s="136">
        <v>44931</v>
      </c>
      <c r="BN422" s="2" t="s">
        <v>1440</v>
      </c>
      <c r="BO422" s="2"/>
      <c r="BP422" s="136"/>
      <c r="BQ422" s="137" t="s">
        <v>134</v>
      </c>
      <c r="BR422" s="138"/>
    </row>
    <row r="423" spans="1:70" ht="12.75" customHeight="1" x14ac:dyDescent="0.2">
      <c r="A423" s="2">
        <v>1912</v>
      </c>
      <c r="B423" s="2" t="s">
        <v>39</v>
      </c>
      <c r="C423" s="2" t="s">
        <v>42</v>
      </c>
      <c r="D423" s="2" t="s">
        <v>1331</v>
      </c>
      <c r="E423" s="2" t="s">
        <v>90</v>
      </c>
      <c r="F423" s="132">
        <v>251701.08</v>
      </c>
      <c r="G423" s="132">
        <v>2</v>
      </c>
      <c r="H423" s="132">
        <f>400000+80000+8579.52</f>
        <v>488579.52</v>
      </c>
      <c r="I423" s="132">
        <f>400000+80000+8579.52</f>
        <v>488579.52</v>
      </c>
      <c r="J423" s="132">
        <f>61016.949+12203.389+AS423+AV423+1308.74+7270.782</f>
        <v>488579.51999999996</v>
      </c>
      <c r="K423" s="132">
        <f t="shared" si="46"/>
        <v>-236878.43999999997</v>
      </c>
      <c r="L423" s="132">
        <f t="shared" si="47"/>
        <v>0</v>
      </c>
      <c r="M423" s="133">
        <v>5550</v>
      </c>
      <c r="N423" s="133">
        <f t="shared" si="45"/>
        <v>5.8207660913467407E-11</v>
      </c>
      <c r="O423" s="134">
        <v>0</v>
      </c>
      <c r="P423" s="133"/>
      <c r="Q423" s="2" t="s">
        <v>1394</v>
      </c>
      <c r="R423" s="156">
        <f t="shared" si="48"/>
        <v>0</v>
      </c>
      <c r="S423" s="156">
        <f t="shared" si="49"/>
        <v>0</v>
      </c>
      <c r="T423" s="133"/>
      <c r="U423" s="133"/>
      <c r="V423" s="133"/>
      <c r="W423" s="133"/>
      <c r="X423" s="133"/>
      <c r="Y423" s="133"/>
      <c r="Z423" s="133"/>
      <c r="AA423" s="133"/>
      <c r="AB423" s="133"/>
      <c r="AC423" s="133"/>
      <c r="AD423" s="133"/>
      <c r="AE423" s="133"/>
      <c r="AF423" s="133"/>
      <c r="AG423" s="133"/>
      <c r="AH423" s="133"/>
      <c r="AI423" s="133"/>
      <c r="AJ423" s="133"/>
      <c r="AK423" s="133"/>
      <c r="AL423" s="133"/>
      <c r="AM423" s="133"/>
      <c r="AN423" s="133"/>
      <c r="AO423" s="133"/>
      <c r="AP423" s="133"/>
      <c r="AQ423" s="133"/>
      <c r="AR423" s="133"/>
      <c r="AS423" s="153">
        <v>0</v>
      </c>
      <c r="AT423" s="153">
        <v>0</v>
      </c>
      <c r="AU423" s="153">
        <v>0</v>
      </c>
      <c r="AV423" s="135">
        <f>338983.05+67796.61</f>
        <v>406779.66</v>
      </c>
      <c r="AW423" s="135">
        <f>3312.54+20545.75</f>
        <v>23858.29</v>
      </c>
      <c r="AX423" s="135"/>
      <c r="AY423" s="135"/>
      <c r="AZ423" s="135"/>
      <c r="BA423" s="135">
        <f>IF(BK423="Принят",(I423/1.18-AW423-AZ423)*0.1,I423/1.18*0.8*0.1)</f>
        <v>39019.21506779662</v>
      </c>
      <c r="BB423" s="135">
        <f>(I423/1.18-AT423-AW423-AZ423)*0.1-BA423</f>
        <v>0</v>
      </c>
      <c r="BC423" s="135"/>
      <c r="BD423" s="135"/>
      <c r="BE423" s="135">
        <f>(H423/1.18-AT423-AW423-AZ423-BD423)*0.1-AU423-AX423-BA423-BB423</f>
        <v>0</v>
      </c>
      <c r="BF423" s="135"/>
      <c r="BG423" s="135"/>
      <c r="BH423" s="135"/>
      <c r="BI423" s="2" t="s">
        <v>11</v>
      </c>
      <c r="BJ423" s="136">
        <v>45315</v>
      </c>
      <c r="BK423" s="2" t="s">
        <v>8</v>
      </c>
      <c r="BL423" s="136" t="s">
        <v>113</v>
      </c>
      <c r="BM423" s="136">
        <v>44931</v>
      </c>
      <c r="BN423" s="2" t="s">
        <v>1441</v>
      </c>
      <c r="BO423" s="2"/>
      <c r="BP423" s="136"/>
      <c r="BQ423" s="137" t="s">
        <v>119</v>
      </c>
      <c r="BR423" s="138"/>
    </row>
    <row r="424" spans="1:70" ht="12.75" customHeight="1" x14ac:dyDescent="0.2">
      <c r="A424" s="2">
        <v>1913</v>
      </c>
      <c r="B424" s="2" t="s">
        <v>108</v>
      </c>
      <c r="C424" s="2" t="s">
        <v>40</v>
      </c>
      <c r="D424" s="2" t="s">
        <v>1332</v>
      </c>
      <c r="E424" s="2" t="s">
        <v>106</v>
      </c>
      <c r="F424" s="132">
        <v>0</v>
      </c>
      <c r="G424" s="132">
        <v>2</v>
      </c>
      <c r="H424" s="132"/>
      <c r="I424" s="132"/>
      <c r="J424" s="132"/>
      <c r="K424" s="132">
        <f t="shared" si="46"/>
        <v>0</v>
      </c>
      <c r="L424" s="132">
        <f t="shared" si="47"/>
        <v>0</v>
      </c>
      <c r="M424" s="133"/>
      <c r="N424" s="133">
        <f t="shared" si="45"/>
        <v>0</v>
      </c>
      <c r="O424" s="134">
        <v>2</v>
      </c>
      <c r="P424" s="133"/>
      <c r="Q424" s="2" t="s">
        <v>1395</v>
      </c>
      <c r="R424" s="156">
        <f t="shared" si="48"/>
        <v>0</v>
      </c>
      <c r="S424" s="156">
        <f t="shared" si="49"/>
        <v>0</v>
      </c>
      <c r="T424" s="133"/>
      <c r="U424" s="133"/>
      <c r="V424" s="133"/>
      <c r="W424" s="133"/>
      <c r="X424" s="133"/>
      <c r="Y424" s="133"/>
      <c r="Z424" s="133"/>
      <c r="AA424" s="133"/>
      <c r="AB424" s="133"/>
      <c r="AC424" s="133"/>
      <c r="AD424" s="133"/>
      <c r="AE424" s="133"/>
      <c r="AF424" s="133"/>
      <c r="AG424" s="133"/>
      <c r="AH424" s="133"/>
      <c r="AI424" s="133"/>
      <c r="AJ424" s="133"/>
      <c r="AK424" s="133"/>
      <c r="AL424" s="133"/>
      <c r="AM424" s="133"/>
      <c r="AN424" s="133"/>
      <c r="AO424" s="133"/>
      <c r="AP424" s="133"/>
      <c r="AQ424" s="133"/>
      <c r="AR424" s="133"/>
      <c r="AS424" s="153">
        <v>0</v>
      </c>
      <c r="AT424" s="153">
        <v>0</v>
      </c>
      <c r="AU424" s="153">
        <v>0</v>
      </c>
      <c r="AV424" s="135"/>
      <c r="AW424" s="135"/>
      <c r="AX424" s="135"/>
      <c r="AY424" s="135"/>
      <c r="AZ424" s="135"/>
      <c r="BA424" s="135"/>
      <c r="BB424" s="135"/>
      <c r="BC424" s="135"/>
      <c r="BD424" s="135"/>
      <c r="BE424" s="135"/>
      <c r="BF424" s="135"/>
      <c r="BG424" s="135"/>
      <c r="BH424" s="135"/>
      <c r="BI424" s="2" t="s">
        <v>112</v>
      </c>
      <c r="BJ424" s="136"/>
      <c r="BK424" s="2">
        <v>0</v>
      </c>
      <c r="BL424" s="136" t="s">
        <v>113</v>
      </c>
      <c r="BM424" s="136">
        <v>44931</v>
      </c>
      <c r="BN424" s="2" t="s">
        <v>1442</v>
      </c>
      <c r="BO424" s="2"/>
      <c r="BP424" s="136"/>
      <c r="BQ424" s="137"/>
      <c r="BR424" s="138"/>
    </row>
    <row r="425" spans="1:70" ht="12.75" customHeight="1" x14ac:dyDescent="0.2">
      <c r="A425" s="2">
        <v>1914</v>
      </c>
      <c r="B425" s="2" t="s">
        <v>108</v>
      </c>
      <c r="C425" s="2" t="s">
        <v>40</v>
      </c>
      <c r="D425" s="2" t="s">
        <v>1333</v>
      </c>
      <c r="E425" s="2" t="s">
        <v>90</v>
      </c>
      <c r="F425" s="132">
        <v>254880</v>
      </c>
      <c r="G425" s="132">
        <v>2</v>
      </c>
      <c r="H425" s="132"/>
      <c r="I425" s="132"/>
      <c r="J425" s="132"/>
      <c r="K425" s="132">
        <f t="shared" si="46"/>
        <v>254880</v>
      </c>
      <c r="L425" s="132">
        <f t="shared" si="47"/>
        <v>0</v>
      </c>
      <c r="M425" s="133"/>
      <c r="N425" s="133">
        <f t="shared" si="45"/>
        <v>254880</v>
      </c>
      <c r="O425" s="134">
        <v>1</v>
      </c>
      <c r="P425" s="133"/>
      <c r="Q425" s="2" t="s">
        <v>1395</v>
      </c>
      <c r="R425" s="156">
        <f t="shared" si="48"/>
        <v>0</v>
      </c>
      <c r="S425" s="156">
        <f t="shared" si="49"/>
        <v>0</v>
      </c>
      <c r="T425" s="133"/>
      <c r="U425" s="133"/>
      <c r="V425" s="133"/>
      <c r="W425" s="133"/>
      <c r="X425" s="133"/>
      <c r="Y425" s="133"/>
      <c r="Z425" s="133"/>
      <c r="AA425" s="133"/>
      <c r="AB425" s="133"/>
      <c r="AC425" s="133"/>
      <c r="AD425" s="133"/>
      <c r="AE425" s="133"/>
      <c r="AF425" s="133"/>
      <c r="AG425" s="133"/>
      <c r="AH425" s="133"/>
      <c r="AI425" s="133"/>
      <c r="AJ425" s="133"/>
      <c r="AK425" s="133"/>
      <c r="AL425" s="133"/>
      <c r="AM425" s="133"/>
      <c r="AN425" s="133"/>
      <c r="AO425" s="133"/>
      <c r="AP425" s="133"/>
      <c r="AQ425" s="133"/>
      <c r="AR425" s="133"/>
      <c r="AS425" s="153">
        <v>0</v>
      </c>
      <c r="AT425" s="153">
        <v>0</v>
      </c>
      <c r="AU425" s="153">
        <v>0</v>
      </c>
      <c r="AV425" s="135"/>
      <c r="AW425" s="135"/>
      <c r="AX425" s="135"/>
      <c r="AY425" s="135"/>
      <c r="AZ425" s="135"/>
      <c r="BA425" s="135"/>
      <c r="BB425" s="135"/>
      <c r="BC425" s="135"/>
      <c r="BD425" s="135"/>
      <c r="BE425" s="135"/>
      <c r="BF425" s="135"/>
      <c r="BG425" s="135"/>
      <c r="BH425" s="135"/>
      <c r="BI425" s="2" t="s">
        <v>11</v>
      </c>
      <c r="BJ425" s="136"/>
      <c r="BK425" s="2">
        <v>0</v>
      </c>
      <c r="BL425" s="136" t="s">
        <v>113</v>
      </c>
      <c r="BM425" s="136">
        <v>44931</v>
      </c>
      <c r="BN425" s="2" t="s">
        <v>1443</v>
      </c>
      <c r="BO425" s="2"/>
      <c r="BP425" s="136"/>
      <c r="BQ425" s="137"/>
      <c r="BR425" s="138"/>
    </row>
    <row r="426" spans="1:70" ht="12.75" customHeight="1" x14ac:dyDescent="0.2">
      <c r="A426" s="2">
        <v>1915</v>
      </c>
      <c r="B426" s="2" t="s">
        <v>39</v>
      </c>
      <c r="C426" s="2" t="s">
        <v>41</v>
      </c>
      <c r="D426" s="2" t="s">
        <v>1334</v>
      </c>
      <c r="E426" s="2" t="s">
        <v>106</v>
      </c>
      <c r="F426" s="132">
        <f>13695*1.75</f>
        <v>23966.25</v>
      </c>
      <c r="G426" s="132"/>
      <c r="H426" s="132">
        <f>13695*1.75</f>
        <v>23966.25</v>
      </c>
      <c r="I426" s="132"/>
      <c r="J426" s="132">
        <f>3655.868+20310.382</f>
        <v>23966.25</v>
      </c>
      <c r="K426" s="132">
        <f t="shared" si="46"/>
        <v>0</v>
      </c>
      <c r="L426" s="132">
        <f t="shared" si="47"/>
        <v>0</v>
      </c>
      <c r="M426" s="133"/>
      <c r="N426" s="133">
        <f t="shared" ref="N426:N489" si="50">IF(OR(BK426="принят",BK426="Завершено",BK426="ПриПро"),H426-J426,F426-J426)</f>
        <v>0</v>
      </c>
      <c r="O426" s="134">
        <v>0</v>
      </c>
      <c r="P426" s="133"/>
      <c r="Q426" s="2" t="s">
        <v>1396</v>
      </c>
      <c r="R426" s="156">
        <f t="shared" si="48"/>
        <v>0</v>
      </c>
      <c r="S426" s="156">
        <f t="shared" si="49"/>
        <v>0</v>
      </c>
      <c r="T426" s="133"/>
      <c r="U426" s="133"/>
      <c r="V426" s="133"/>
      <c r="W426" s="133"/>
      <c r="X426" s="133"/>
      <c r="Y426" s="133"/>
      <c r="Z426" s="133"/>
      <c r="AA426" s="133"/>
      <c r="AB426" s="133"/>
      <c r="AC426" s="133"/>
      <c r="AD426" s="133"/>
      <c r="AE426" s="133"/>
      <c r="AF426" s="133"/>
      <c r="AG426" s="133"/>
      <c r="AH426" s="133"/>
      <c r="AI426" s="133"/>
      <c r="AJ426" s="133"/>
      <c r="AK426" s="133"/>
      <c r="AL426" s="133"/>
      <c r="AM426" s="133"/>
      <c r="AN426" s="133"/>
      <c r="AO426" s="133"/>
      <c r="AP426" s="133"/>
      <c r="AQ426" s="133"/>
      <c r="AR426" s="133"/>
      <c r="AS426" s="153">
        <v>0</v>
      </c>
      <c r="AT426" s="153">
        <v>0</v>
      </c>
      <c r="AU426" s="153">
        <v>0</v>
      </c>
      <c r="AV426" s="135"/>
      <c r="AW426" s="135"/>
      <c r="AX426" s="135"/>
      <c r="AY426" s="135"/>
      <c r="AZ426" s="135"/>
      <c r="BA426" s="135"/>
      <c r="BB426" s="135"/>
      <c r="BC426" s="135"/>
      <c r="BD426" s="135"/>
      <c r="BE426" s="135"/>
      <c r="BF426" s="135"/>
      <c r="BG426" s="135"/>
      <c r="BH426" s="135"/>
      <c r="BI426" s="2" t="s">
        <v>112</v>
      </c>
      <c r="BJ426" s="136">
        <v>45153</v>
      </c>
      <c r="BK426" s="2" t="s">
        <v>145</v>
      </c>
      <c r="BL426" s="136" t="s">
        <v>113</v>
      </c>
      <c r="BM426" s="136">
        <v>44931</v>
      </c>
      <c r="BN426" s="2" t="s">
        <v>1444</v>
      </c>
      <c r="BO426" s="2"/>
      <c r="BP426" s="136"/>
      <c r="BQ426" s="137" t="s">
        <v>134</v>
      </c>
      <c r="BR426" s="138"/>
    </row>
    <row r="427" spans="1:70" ht="12.75" customHeight="1" x14ac:dyDescent="0.2">
      <c r="A427" s="2">
        <v>1916</v>
      </c>
      <c r="B427" s="2" t="s">
        <v>39</v>
      </c>
      <c r="C427" s="2" t="s">
        <v>41</v>
      </c>
      <c r="D427" s="2" t="s">
        <v>1335</v>
      </c>
      <c r="E427" s="2" t="s">
        <v>90</v>
      </c>
      <c r="F427" s="132">
        <v>174994</v>
      </c>
      <c r="G427" s="132" t="s">
        <v>3836</v>
      </c>
      <c r="H427" s="132">
        <f>380000+200000+9423.14+R427</f>
        <v>649168.17000000004</v>
      </c>
      <c r="I427" s="132"/>
      <c r="J427" s="132">
        <f>57966.1+30508.47+AV427+AY427+BC427+S427</f>
        <v>649168.17000000004</v>
      </c>
      <c r="K427" s="132">
        <f t="shared" si="46"/>
        <v>-474174.17000000004</v>
      </c>
      <c r="L427" s="132">
        <f t="shared" si="47"/>
        <v>0</v>
      </c>
      <c r="M427" s="133">
        <v>9092.2999999999993</v>
      </c>
      <c r="N427" s="133">
        <f t="shared" si="50"/>
        <v>0</v>
      </c>
      <c r="O427" s="134">
        <v>1</v>
      </c>
      <c r="P427" s="133"/>
      <c r="Q427" s="2" t="s">
        <v>1396</v>
      </c>
      <c r="R427" s="156">
        <f t="shared" si="48"/>
        <v>59745.03</v>
      </c>
      <c r="S427" s="156">
        <f t="shared" si="49"/>
        <v>20015.629999999997</v>
      </c>
      <c r="T427" s="133">
        <v>58000</v>
      </c>
      <c r="U427" s="133">
        <f>1437.43</f>
        <v>1437.43</v>
      </c>
      <c r="V427" s="133"/>
      <c r="W427" s="133">
        <f>8847.46</f>
        <v>8847.4599999999991</v>
      </c>
      <c r="X427" s="133">
        <v>1745.03</v>
      </c>
      <c r="Y427" s="133"/>
      <c r="Z427" s="133"/>
      <c r="AA427" s="133">
        <v>266.19</v>
      </c>
      <c r="AB427" s="133"/>
      <c r="AC427" s="133"/>
      <c r="AD427" s="133"/>
      <c r="AE427" s="133">
        <v>9464.5499999999993</v>
      </c>
      <c r="AF427" s="133"/>
      <c r="AG427" s="133"/>
      <c r="AH427" s="133"/>
      <c r="AI427" s="133"/>
      <c r="AJ427" s="133"/>
      <c r="AK427" s="133"/>
      <c r="AL427" s="133"/>
      <c r="AM427" s="133"/>
      <c r="AN427" s="133"/>
      <c r="AO427" s="133"/>
      <c r="AP427" s="133"/>
      <c r="AQ427" s="133"/>
      <c r="AR427" s="133" t="s">
        <v>718</v>
      </c>
      <c r="AS427" s="153">
        <v>0</v>
      </c>
      <c r="AT427" s="153">
        <v>0</v>
      </c>
      <c r="AU427" s="153">
        <v>0</v>
      </c>
      <c r="AV427" s="135">
        <f>322033.9+169491.53</f>
        <v>491525.43000000005</v>
      </c>
      <c r="AW427" s="135">
        <f>26733.23+10272.87</f>
        <v>37006.1</v>
      </c>
      <c r="AX427" s="135"/>
      <c r="AY427" s="135">
        <v>0</v>
      </c>
      <c r="AZ427" s="135">
        <v>0</v>
      </c>
      <c r="BA427" s="135">
        <v>0</v>
      </c>
      <c r="BB427" s="140">
        <f>(647423.14/1.18-AT427-AW427-AZ427)*0.1-BA427</f>
        <v>51165.757796610182</v>
      </c>
      <c r="BC427" s="135">
        <f>49152.54</f>
        <v>49152.54</v>
      </c>
      <c r="BD427" s="135">
        <v>1070.58</v>
      </c>
      <c r="BE427" s="135">
        <f>(H427/1.18-AT427-AW427-AZ427-BD427)*0.1-AU427-AX427-BA427-BB427</f>
        <v>40.825898305076407</v>
      </c>
      <c r="BF427" s="135"/>
      <c r="BG427" s="135"/>
      <c r="BH427" s="135"/>
      <c r="BI427" s="2" t="s">
        <v>11</v>
      </c>
      <c r="BJ427" s="136">
        <v>45728</v>
      </c>
      <c r="BK427" s="2" t="s">
        <v>8</v>
      </c>
      <c r="BL427" s="136" t="s">
        <v>113</v>
      </c>
      <c r="BM427" s="136">
        <v>44931</v>
      </c>
      <c r="BN427" s="2" t="s">
        <v>1445</v>
      </c>
      <c r="BO427" s="2"/>
      <c r="BP427" s="136"/>
      <c r="BQ427" s="137" t="s">
        <v>119</v>
      </c>
      <c r="BR427" s="138"/>
    </row>
    <row r="428" spans="1:70" ht="12.75" customHeight="1" x14ac:dyDescent="0.2">
      <c r="A428" s="2">
        <v>1917</v>
      </c>
      <c r="B428" s="2" t="s">
        <v>39</v>
      </c>
      <c r="C428" s="2" t="s">
        <v>42</v>
      </c>
      <c r="D428" s="2" t="s">
        <v>1336</v>
      </c>
      <c r="E428" s="2" t="s">
        <v>106</v>
      </c>
      <c r="F428" s="132">
        <f>3247*1.75</f>
        <v>5682.25</v>
      </c>
      <c r="G428" s="132"/>
      <c r="H428" s="132">
        <f>3247*1.75</f>
        <v>5682.25</v>
      </c>
      <c r="I428" s="132"/>
      <c r="J428" s="132">
        <f>866.784+4815.466</f>
        <v>5682.25</v>
      </c>
      <c r="K428" s="132">
        <f t="shared" si="46"/>
        <v>0</v>
      </c>
      <c r="L428" s="132">
        <f t="shared" si="47"/>
        <v>0</v>
      </c>
      <c r="M428" s="133"/>
      <c r="N428" s="133">
        <f t="shared" si="50"/>
        <v>0</v>
      </c>
      <c r="O428" s="134">
        <v>0</v>
      </c>
      <c r="P428" s="133"/>
      <c r="Q428" s="2" t="s">
        <v>1397</v>
      </c>
      <c r="R428" s="156">
        <f t="shared" si="48"/>
        <v>0</v>
      </c>
      <c r="S428" s="156">
        <f t="shared" si="49"/>
        <v>0</v>
      </c>
      <c r="T428" s="133"/>
      <c r="U428" s="133"/>
      <c r="V428" s="133"/>
      <c r="W428" s="133"/>
      <c r="X428" s="133"/>
      <c r="Y428" s="133"/>
      <c r="Z428" s="133"/>
      <c r="AA428" s="133"/>
      <c r="AB428" s="133"/>
      <c r="AC428" s="133"/>
      <c r="AD428" s="133"/>
      <c r="AE428" s="133"/>
      <c r="AF428" s="133"/>
      <c r="AG428" s="133"/>
      <c r="AH428" s="133"/>
      <c r="AI428" s="133"/>
      <c r="AJ428" s="133"/>
      <c r="AK428" s="133"/>
      <c r="AL428" s="133"/>
      <c r="AM428" s="133"/>
      <c r="AN428" s="133"/>
      <c r="AO428" s="133"/>
      <c r="AP428" s="133"/>
      <c r="AQ428" s="133"/>
      <c r="AR428" s="133"/>
      <c r="AS428" s="153">
        <v>0</v>
      </c>
      <c r="AT428" s="153">
        <v>0</v>
      </c>
      <c r="AU428" s="153">
        <v>0</v>
      </c>
      <c r="AV428" s="135"/>
      <c r="AW428" s="135"/>
      <c r="AX428" s="135"/>
      <c r="AY428" s="135"/>
      <c r="AZ428" s="135"/>
      <c r="BA428" s="135"/>
      <c r="BB428" s="135"/>
      <c r="BC428" s="135"/>
      <c r="BD428" s="135"/>
      <c r="BE428" s="135"/>
      <c r="BF428" s="135"/>
      <c r="BG428" s="135"/>
      <c r="BH428" s="135"/>
      <c r="BI428" s="2" t="s">
        <v>112</v>
      </c>
      <c r="BJ428" s="136">
        <v>45138</v>
      </c>
      <c r="BK428" s="2" t="s">
        <v>145</v>
      </c>
      <c r="BL428" s="136" t="s">
        <v>113</v>
      </c>
      <c r="BM428" s="136">
        <v>44931</v>
      </c>
      <c r="BN428" s="2" t="s">
        <v>1446</v>
      </c>
      <c r="BO428" s="2"/>
      <c r="BP428" s="136"/>
      <c r="BQ428" s="137" t="s">
        <v>134</v>
      </c>
      <c r="BR428" s="138"/>
    </row>
    <row r="429" spans="1:70" ht="12.75" customHeight="1" x14ac:dyDescent="0.2">
      <c r="A429" s="2">
        <v>1918</v>
      </c>
      <c r="B429" s="2" t="s">
        <v>39</v>
      </c>
      <c r="C429" s="2" t="s">
        <v>42</v>
      </c>
      <c r="D429" s="2" t="s">
        <v>1337</v>
      </c>
      <c r="E429" s="2" t="s">
        <v>90</v>
      </c>
      <c r="F429" s="132">
        <v>170790.84</v>
      </c>
      <c r="G429" s="132">
        <v>2</v>
      </c>
      <c r="H429" s="132">
        <f>130000+28325.68</f>
        <v>158325.68</v>
      </c>
      <c r="I429" s="132">
        <f>130000+28325.68</f>
        <v>158325.68</v>
      </c>
      <c r="J429" s="132">
        <f>19830.508+AV429+4320.87+24004.812</f>
        <v>158325.68000000002</v>
      </c>
      <c r="K429" s="132">
        <f t="shared" si="46"/>
        <v>12465.159999999974</v>
      </c>
      <c r="L429" s="132">
        <f t="shared" si="47"/>
        <v>0</v>
      </c>
      <c r="M429" s="133">
        <v>3049</v>
      </c>
      <c r="N429" s="133">
        <f t="shared" si="50"/>
        <v>-2.9103830456733704E-11</v>
      </c>
      <c r="O429" s="134">
        <v>0</v>
      </c>
      <c r="P429" s="133"/>
      <c r="Q429" s="2" t="s">
        <v>1397</v>
      </c>
      <c r="R429" s="156">
        <f t="shared" si="48"/>
        <v>0</v>
      </c>
      <c r="S429" s="156">
        <f t="shared" si="49"/>
        <v>0</v>
      </c>
      <c r="T429" s="133"/>
      <c r="U429" s="133"/>
      <c r="V429" s="133"/>
      <c r="W429" s="133"/>
      <c r="X429" s="133"/>
      <c r="Y429" s="133"/>
      <c r="Z429" s="133"/>
      <c r="AA429" s="133"/>
      <c r="AB429" s="133"/>
      <c r="AC429" s="133"/>
      <c r="AD429" s="133"/>
      <c r="AE429" s="133"/>
      <c r="AF429" s="133"/>
      <c r="AG429" s="133"/>
      <c r="AH429" s="133"/>
      <c r="AI429" s="133"/>
      <c r="AJ429" s="133"/>
      <c r="AK429" s="133"/>
      <c r="AL429" s="133"/>
      <c r="AM429" s="133"/>
      <c r="AN429" s="133"/>
      <c r="AO429" s="133"/>
      <c r="AP429" s="133"/>
      <c r="AQ429" s="133"/>
      <c r="AR429" s="133"/>
      <c r="AS429" s="153">
        <v>0</v>
      </c>
      <c r="AT429" s="153">
        <v>0</v>
      </c>
      <c r="AU429" s="153">
        <v>0</v>
      </c>
      <c r="AV429" s="135">
        <v>110169.49</v>
      </c>
      <c r="AW429" s="135">
        <v>5382.87</v>
      </c>
      <c r="AX429" s="135"/>
      <c r="AY429" s="135"/>
      <c r="AZ429" s="135"/>
      <c r="BA429" s="135">
        <f>130000/1.18*0.8*0.1</f>
        <v>8813.5593220338978</v>
      </c>
      <c r="BB429" s="140">
        <f>(H429/1.18-AT429-AW429-AZ429)*0.1-BA429</f>
        <v>4065.5841864406812</v>
      </c>
      <c r="BC429" s="135"/>
      <c r="BD429" s="135"/>
      <c r="BE429" s="135">
        <f>(H429/1.18-AT429-AW429-AZ429-BD429)*0.1-AU429-AX429-BA429-BB429</f>
        <v>0</v>
      </c>
      <c r="BF429" s="135"/>
      <c r="BG429" s="135"/>
      <c r="BH429" s="135"/>
      <c r="BI429" s="2" t="s">
        <v>11</v>
      </c>
      <c r="BJ429" s="136">
        <v>45524</v>
      </c>
      <c r="BK429" s="2" t="s">
        <v>8</v>
      </c>
      <c r="BL429" s="136" t="s">
        <v>113</v>
      </c>
      <c r="BM429" s="136">
        <v>44931</v>
      </c>
      <c r="BN429" s="2" t="s">
        <v>1447</v>
      </c>
      <c r="BO429" s="2"/>
      <c r="BP429" s="136"/>
      <c r="BQ429" s="137" t="s">
        <v>119</v>
      </c>
      <c r="BR429" s="138"/>
    </row>
    <row r="430" spans="1:70" ht="12.75" customHeight="1" x14ac:dyDescent="0.2">
      <c r="A430" s="2">
        <v>1919</v>
      </c>
      <c r="B430" s="2" t="s">
        <v>108</v>
      </c>
      <c r="C430" s="2" t="s">
        <v>40</v>
      </c>
      <c r="D430" s="2" t="s">
        <v>1338</v>
      </c>
      <c r="E430" s="2" t="s">
        <v>106</v>
      </c>
      <c r="F430" s="132">
        <f>1688*1.75</f>
        <v>2954</v>
      </c>
      <c r="G430" s="132">
        <v>2</v>
      </c>
      <c r="H430" s="132">
        <f>1688*1.75</f>
        <v>2954</v>
      </c>
      <c r="I430" s="132"/>
      <c r="J430" s="132">
        <f>450.61+2503.39</f>
        <v>2954</v>
      </c>
      <c r="K430" s="132">
        <f t="shared" si="46"/>
        <v>0</v>
      </c>
      <c r="L430" s="132">
        <f t="shared" si="47"/>
        <v>0</v>
      </c>
      <c r="M430" s="133"/>
      <c r="N430" s="133">
        <f t="shared" si="50"/>
        <v>0</v>
      </c>
      <c r="O430" s="134">
        <v>0</v>
      </c>
      <c r="P430" s="133"/>
      <c r="Q430" s="2" t="s">
        <v>1398</v>
      </c>
      <c r="R430" s="156">
        <f t="shared" si="48"/>
        <v>0</v>
      </c>
      <c r="S430" s="156">
        <f t="shared" si="49"/>
        <v>0</v>
      </c>
      <c r="T430" s="133"/>
      <c r="U430" s="133"/>
      <c r="V430" s="133"/>
      <c r="W430" s="133"/>
      <c r="X430" s="133"/>
      <c r="Y430" s="133"/>
      <c r="Z430" s="133"/>
      <c r="AA430" s="133"/>
      <c r="AB430" s="133"/>
      <c r="AC430" s="133"/>
      <c r="AD430" s="133"/>
      <c r="AE430" s="133"/>
      <c r="AF430" s="133"/>
      <c r="AG430" s="133"/>
      <c r="AH430" s="133"/>
      <c r="AI430" s="133"/>
      <c r="AJ430" s="133"/>
      <c r="AK430" s="133"/>
      <c r="AL430" s="133"/>
      <c r="AM430" s="133"/>
      <c r="AN430" s="133"/>
      <c r="AO430" s="133"/>
      <c r="AP430" s="133"/>
      <c r="AQ430" s="133"/>
      <c r="AR430" s="133"/>
      <c r="AS430" s="153">
        <v>0</v>
      </c>
      <c r="AT430" s="153">
        <v>0</v>
      </c>
      <c r="AU430" s="153">
        <v>0</v>
      </c>
      <c r="AV430" s="135"/>
      <c r="AW430" s="135"/>
      <c r="AX430" s="135"/>
      <c r="AY430" s="135"/>
      <c r="AZ430" s="135"/>
      <c r="BA430" s="135"/>
      <c r="BB430" s="135"/>
      <c r="BC430" s="135"/>
      <c r="BD430" s="135"/>
      <c r="BE430" s="135"/>
      <c r="BF430" s="135"/>
      <c r="BG430" s="135"/>
      <c r="BH430" s="135"/>
      <c r="BI430" s="2" t="s">
        <v>112</v>
      </c>
      <c r="BJ430" s="136">
        <v>45413</v>
      </c>
      <c r="BK430" s="2" t="s">
        <v>145</v>
      </c>
      <c r="BL430" s="136" t="s">
        <v>113</v>
      </c>
      <c r="BM430" s="136">
        <v>44931</v>
      </c>
      <c r="BN430" s="2" t="s">
        <v>1448</v>
      </c>
      <c r="BO430" s="2"/>
      <c r="BP430" s="136"/>
      <c r="BQ430" s="137" t="s">
        <v>134</v>
      </c>
      <c r="BR430" s="138"/>
    </row>
    <row r="431" spans="1:70" ht="12.75" customHeight="1" x14ac:dyDescent="0.2">
      <c r="A431" s="2">
        <v>1920</v>
      </c>
      <c r="B431" s="2" t="s">
        <v>108</v>
      </c>
      <c r="C431" s="2" t="s">
        <v>40</v>
      </c>
      <c r="D431" s="2" t="s">
        <v>1339</v>
      </c>
      <c r="E431" s="2" t="s">
        <v>90</v>
      </c>
      <c r="F431" s="132">
        <v>180540</v>
      </c>
      <c r="G431" s="132">
        <v>2</v>
      </c>
      <c r="H431" s="132">
        <f>50000+100000+2400.8</f>
        <v>152400.79999999999</v>
      </c>
      <c r="I431" s="132"/>
      <c r="J431" s="132">
        <f>7627.12+AY431+15254.24+S431</f>
        <v>150366.21999999997</v>
      </c>
      <c r="K431" s="132">
        <f t="shared" si="46"/>
        <v>30173.780000000028</v>
      </c>
      <c r="L431" s="132">
        <f t="shared" si="47"/>
        <v>2034.5800000000163</v>
      </c>
      <c r="M431" s="133"/>
      <c r="N431" s="133">
        <f t="shared" si="50"/>
        <v>30173.780000000028</v>
      </c>
      <c r="O431" s="134">
        <v>1</v>
      </c>
      <c r="P431" s="133"/>
      <c r="Q431" s="2" t="s">
        <v>1398</v>
      </c>
      <c r="R431" s="156">
        <f t="shared" si="48"/>
        <v>0</v>
      </c>
      <c r="S431" s="156">
        <f t="shared" si="49"/>
        <v>366.22</v>
      </c>
      <c r="T431" s="133"/>
      <c r="U431" s="133">
        <f>366.22</f>
        <v>366.22</v>
      </c>
      <c r="V431" s="133"/>
      <c r="W431" s="133"/>
      <c r="X431" s="133"/>
      <c r="Y431" s="133"/>
      <c r="Z431" s="133"/>
      <c r="AA431" s="133"/>
      <c r="AB431" s="133"/>
      <c r="AC431" s="133"/>
      <c r="AD431" s="133"/>
      <c r="AE431" s="133"/>
      <c r="AF431" s="133"/>
      <c r="AG431" s="133"/>
      <c r="AH431" s="133"/>
      <c r="AI431" s="133"/>
      <c r="AJ431" s="133"/>
      <c r="AK431" s="133"/>
      <c r="AL431" s="133"/>
      <c r="AM431" s="133"/>
      <c r="AN431" s="133"/>
      <c r="AO431" s="133"/>
      <c r="AP431" s="133"/>
      <c r="AQ431" s="133"/>
      <c r="AR431" s="133"/>
      <c r="AS431" s="153">
        <v>0</v>
      </c>
      <c r="AT431" s="153">
        <v>0</v>
      </c>
      <c r="AU431" s="153">
        <v>0</v>
      </c>
      <c r="AV431" s="135"/>
      <c r="AW431" s="135"/>
      <c r="AX431" s="135"/>
      <c r="AY431" s="135">
        <f>42372.88+84745.76</f>
        <v>127118.63999999998</v>
      </c>
      <c r="AZ431" s="135"/>
      <c r="BA431" s="135"/>
      <c r="BB431" s="135"/>
      <c r="BC431" s="135"/>
      <c r="BD431" s="135"/>
      <c r="BE431" s="135"/>
      <c r="BF431" s="135"/>
      <c r="BG431" s="135"/>
      <c r="BH431" s="135"/>
      <c r="BI431" s="2" t="s">
        <v>11</v>
      </c>
      <c r="BJ431" s="136"/>
      <c r="BK431" s="2">
        <v>80</v>
      </c>
      <c r="BL431" s="136" t="s">
        <v>113</v>
      </c>
      <c r="BM431" s="136">
        <v>44931</v>
      </c>
      <c r="BN431" s="2" t="s">
        <v>1449</v>
      </c>
      <c r="BO431" s="2"/>
      <c r="BP431" s="136"/>
      <c r="BQ431" s="137" t="s">
        <v>119</v>
      </c>
      <c r="BR431" s="138"/>
    </row>
    <row r="432" spans="1:70" ht="12.75" customHeight="1" x14ac:dyDescent="0.2">
      <c r="A432" s="2">
        <v>1921</v>
      </c>
      <c r="B432" s="2" t="s">
        <v>39</v>
      </c>
      <c r="C432" s="2" t="s">
        <v>42</v>
      </c>
      <c r="D432" s="2" t="s">
        <v>1340</v>
      </c>
      <c r="E432" s="2" t="s">
        <v>106</v>
      </c>
      <c r="F432" s="132">
        <f>1953+N("რუსთაველის 43")</f>
        <v>1953</v>
      </c>
      <c r="G432" s="132">
        <v>2</v>
      </c>
      <c r="H432" s="132">
        <f>1116*1.75+N("რუსთაველის 43")</f>
        <v>1953</v>
      </c>
      <c r="I432" s="132"/>
      <c r="J432" s="132">
        <f>297.92+1655.08</f>
        <v>1953</v>
      </c>
      <c r="K432" s="132">
        <f t="shared" si="46"/>
        <v>0</v>
      </c>
      <c r="L432" s="132">
        <f t="shared" si="47"/>
        <v>0</v>
      </c>
      <c r="M432" s="133"/>
      <c r="N432" s="133">
        <f t="shared" si="50"/>
        <v>0</v>
      </c>
      <c r="O432" s="134">
        <v>2</v>
      </c>
      <c r="P432" s="133"/>
      <c r="Q432" s="2" t="s">
        <v>1399</v>
      </c>
      <c r="R432" s="156">
        <f t="shared" si="48"/>
        <v>0</v>
      </c>
      <c r="S432" s="156">
        <f t="shared" si="49"/>
        <v>0</v>
      </c>
      <c r="T432" s="133"/>
      <c r="U432" s="133"/>
      <c r="V432" s="133"/>
      <c r="W432" s="133"/>
      <c r="X432" s="133"/>
      <c r="Y432" s="133"/>
      <c r="Z432" s="133"/>
      <c r="AA432" s="133"/>
      <c r="AB432" s="133"/>
      <c r="AC432" s="133"/>
      <c r="AD432" s="133"/>
      <c r="AE432" s="133"/>
      <c r="AF432" s="133"/>
      <c r="AG432" s="133"/>
      <c r="AH432" s="133"/>
      <c r="AI432" s="133"/>
      <c r="AJ432" s="133"/>
      <c r="AK432" s="133"/>
      <c r="AL432" s="133"/>
      <c r="AM432" s="133"/>
      <c r="AN432" s="133"/>
      <c r="AO432" s="133"/>
      <c r="AP432" s="133"/>
      <c r="AQ432" s="133"/>
      <c r="AR432" s="133"/>
      <c r="AS432" s="153">
        <v>0</v>
      </c>
      <c r="AT432" s="153">
        <v>0</v>
      </c>
      <c r="AU432" s="153">
        <v>0</v>
      </c>
      <c r="AV432" s="135"/>
      <c r="AW432" s="135"/>
      <c r="AX432" s="135"/>
      <c r="AY432" s="135"/>
      <c r="AZ432" s="135"/>
      <c r="BA432" s="135"/>
      <c r="BB432" s="135"/>
      <c r="BC432" s="135"/>
      <c r="BD432" s="135"/>
      <c r="BE432" s="135"/>
      <c r="BF432" s="135"/>
      <c r="BG432" s="135"/>
      <c r="BH432" s="135"/>
      <c r="BI432" s="2" t="s">
        <v>112</v>
      </c>
      <c r="BJ432" s="136"/>
      <c r="BK432" s="2">
        <v>15</v>
      </c>
      <c r="BL432" s="136" t="s">
        <v>113</v>
      </c>
      <c r="BM432" s="136">
        <v>44931</v>
      </c>
      <c r="BN432" s="2" t="s">
        <v>1450</v>
      </c>
      <c r="BO432" s="2"/>
      <c r="BP432" s="136"/>
      <c r="BQ432" s="137"/>
      <c r="BR432" s="138"/>
    </row>
    <row r="433" spans="1:70" ht="12.75" customHeight="1" x14ac:dyDescent="0.2">
      <c r="A433" s="2">
        <v>1922</v>
      </c>
      <c r="B433" s="2" t="s">
        <v>39</v>
      </c>
      <c r="C433" s="2" t="s">
        <v>42</v>
      </c>
      <c r="D433" s="2" t="s">
        <v>1341</v>
      </c>
      <c r="E433" s="2" t="s">
        <v>90</v>
      </c>
      <c r="F433" s="132">
        <v>123328.87999999999</v>
      </c>
      <c r="G433" s="132">
        <v>2</v>
      </c>
      <c r="H433" s="132">
        <f>3402+405+1053+1134+1782+R433</f>
        <v>57776</v>
      </c>
      <c r="I433" s="132"/>
      <c r="J433" s="132">
        <f>518.95+405+160.627+172.98+271.83+6246.61+N("პირდაპირი გადახდა")+S433</f>
        <v>15403.116999999998</v>
      </c>
      <c r="K433" s="132">
        <f t="shared" si="46"/>
        <v>107925.76299999999</v>
      </c>
      <c r="L433" s="132">
        <f t="shared" si="47"/>
        <v>42372.883000000002</v>
      </c>
      <c r="M433" s="133"/>
      <c r="N433" s="133">
        <f t="shared" si="50"/>
        <v>107925.76299999999</v>
      </c>
      <c r="O433" s="134">
        <v>1</v>
      </c>
      <c r="P433" s="133"/>
      <c r="Q433" s="2" t="s">
        <v>1399</v>
      </c>
      <c r="R433" s="156">
        <f t="shared" si="48"/>
        <v>50000</v>
      </c>
      <c r="S433" s="156">
        <f t="shared" si="49"/>
        <v>7627.12</v>
      </c>
      <c r="T433" s="133"/>
      <c r="U433" s="133"/>
      <c r="V433" s="133"/>
      <c r="W433" s="133"/>
      <c r="X433" s="133"/>
      <c r="Y433" s="133"/>
      <c r="Z433" s="133">
        <v>50000</v>
      </c>
      <c r="AA433" s="133"/>
      <c r="AB433" s="133"/>
      <c r="AC433" s="133">
        <v>7627.12</v>
      </c>
      <c r="AD433" s="133"/>
      <c r="AE433" s="133"/>
      <c r="AF433" s="133"/>
      <c r="AG433" s="133"/>
      <c r="AH433" s="133"/>
      <c r="AI433" s="133"/>
      <c r="AJ433" s="133"/>
      <c r="AK433" s="133"/>
      <c r="AL433" s="133"/>
      <c r="AM433" s="133"/>
      <c r="AN433" s="133"/>
      <c r="AO433" s="133"/>
      <c r="AP433" s="133"/>
      <c r="AQ433" s="133"/>
      <c r="AR433" s="133"/>
      <c r="AS433" s="153">
        <v>0</v>
      </c>
      <c r="AT433" s="153">
        <v>0</v>
      </c>
      <c r="AU433" s="153">
        <v>0</v>
      </c>
      <c r="AV433" s="135"/>
      <c r="AW433" s="135"/>
      <c r="AX433" s="135"/>
      <c r="AY433" s="135"/>
      <c r="AZ433" s="135"/>
      <c r="BA433" s="135"/>
      <c r="BB433" s="135"/>
      <c r="BC433" s="135"/>
      <c r="BD433" s="135"/>
      <c r="BE433" s="135"/>
      <c r="BF433" s="135"/>
      <c r="BG433" s="135"/>
      <c r="BH433" s="135"/>
      <c r="BI433" s="2" t="s">
        <v>11</v>
      </c>
      <c r="BJ433" s="136"/>
      <c r="BK433" s="2">
        <v>25</v>
      </c>
      <c r="BL433" s="136" t="s">
        <v>113</v>
      </c>
      <c r="BM433" s="136">
        <v>44931</v>
      </c>
      <c r="BN433" s="2" t="s">
        <v>1451</v>
      </c>
      <c r="BO433" s="2"/>
      <c r="BP433" s="136"/>
      <c r="BQ433" s="137"/>
      <c r="BR433" s="138"/>
    </row>
    <row r="434" spans="1:70" ht="12.75" customHeight="1" x14ac:dyDescent="0.2">
      <c r="A434" s="2">
        <v>1923</v>
      </c>
      <c r="B434" s="2" t="s">
        <v>108</v>
      </c>
      <c r="C434" s="2" t="s">
        <v>40</v>
      </c>
      <c r="D434" s="2" t="s">
        <v>1342</v>
      </c>
      <c r="E434" s="2" t="s">
        <v>106</v>
      </c>
      <c r="F434" s="132">
        <v>13753.25</v>
      </c>
      <c r="G434" s="132"/>
      <c r="H434" s="132">
        <f>7859*1.75</f>
        <v>13753.25</v>
      </c>
      <c r="I434" s="132"/>
      <c r="J434" s="132">
        <f>2097.95+11655.3</f>
        <v>13753.25</v>
      </c>
      <c r="K434" s="132">
        <f t="shared" si="46"/>
        <v>0</v>
      </c>
      <c r="L434" s="132">
        <f t="shared" si="47"/>
        <v>0</v>
      </c>
      <c r="M434" s="133"/>
      <c r="N434" s="133">
        <f t="shared" si="50"/>
        <v>0</v>
      </c>
      <c r="O434" s="134">
        <v>0</v>
      </c>
      <c r="P434" s="133"/>
      <c r="Q434" s="2" t="s">
        <v>1400</v>
      </c>
      <c r="R434" s="156">
        <f t="shared" si="48"/>
        <v>0</v>
      </c>
      <c r="S434" s="156">
        <f t="shared" si="49"/>
        <v>0</v>
      </c>
      <c r="T434" s="133"/>
      <c r="U434" s="133"/>
      <c r="V434" s="133"/>
      <c r="W434" s="133"/>
      <c r="X434" s="133"/>
      <c r="Y434" s="133"/>
      <c r="Z434" s="133"/>
      <c r="AA434" s="133"/>
      <c r="AB434" s="133"/>
      <c r="AC434" s="133"/>
      <c r="AD434" s="133"/>
      <c r="AE434" s="133"/>
      <c r="AF434" s="133"/>
      <c r="AG434" s="133"/>
      <c r="AH434" s="133"/>
      <c r="AI434" s="133"/>
      <c r="AJ434" s="133"/>
      <c r="AK434" s="133"/>
      <c r="AL434" s="133"/>
      <c r="AM434" s="133"/>
      <c r="AN434" s="133"/>
      <c r="AO434" s="133"/>
      <c r="AP434" s="133"/>
      <c r="AQ434" s="133"/>
      <c r="AR434" s="133"/>
      <c r="AS434" s="153">
        <v>0</v>
      </c>
      <c r="AT434" s="153">
        <v>0</v>
      </c>
      <c r="AU434" s="153">
        <v>0</v>
      </c>
      <c r="AV434" s="135"/>
      <c r="AW434" s="135"/>
      <c r="AX434" s="135"/>
      <c r="AY434" s="135"/>
      <c r="AZ434" s="135"/>
      <c r="BA434" s="135"/>
      <c r="BB434" s="135"/>
      <c r="BC434" s="135"/>
      <c r="BD434" s="135"/>
      <c r="BE434" s="135"/>
      <c r="BF434" s="135"/>
      <c r="BG434" s="135"/>
      <c r="BH434" s="135"/>
      <c r="BI434" s="2" t="s">
        <v>112</v>
      </c>
      <c r="BJ434" s="136">
        <v>45201</v>
      </c>
      <c r="BK434" s="2" t="s">
        <v>145</v>
      </c>
      <c r="BL434" s="136" t="s">
        <v>113</v>
      </c>
      <c r="BM434" s="136">
        <v>44931</v>
      </c>
      <c r="BN434" s="2" t="s">
        <v>1452</v>
      </c>
      <c r="BO434" s="2"/>
      <c r="BP434" s="136"/>
      <c r="BQ434" s="137" t="s">
        <v>134</v>
      </c>
      <c r="BR434" s="138"/>
    </row>
    <row r="435" spans="1:70" ht="12.75" customHeight="1" x14ac:dyDescent="0.2">
      <c r="A435" s="2">
        <v>1924</v>
      </c>
      <c r="B435" s="2" t="s">
        <v>108</v>
      </c>
      <c r="C435" s="2" t="s">
        <v>40</v>
      </c>
      <c r="D435" s="2" t="s">
        <v>1343</v>
      </c>
      <c r="E435" s="2" t="s">
        <v>90</v>
      </c>
      <c r="F435" s="132">
        <v>144432</v>
      </c>
      <c r="G435" s="132">
        <v>2</v>
      </c>
      <c r="H435" s="132">
        <f>200000+90000+50000+7922.64+R435</f>
        <v>671949.42</v>
      </c>
      <c r="I435" s="132"/>
      <c r="J435" s="132">
        <f>30508.474+13728.81+7627.118+S435+AV435+AY435+BC435</f>
        <v>671949.41999999993</v>
      </c>
      <c r="K435" s="132">
        <f t="shared" si="46"/>
        <v>-527517.41999999993</v>
      </c>
      <c r="L435" s="132">
        <f t="shared" si="47"/>
        <v>0</v>
      </c>
      <c r="M435" s="133">
        <v>7262</v>
      </c>
      <c r="N435" s="133">
        <f t="shared" si="50"/>
        <v>1.1641532182693481E-10</v>
      </c>
      <c r="O435" s="134">
        <v>1</v>
      </c>
      <c r="P435" s="133"/>
      <c r="Q435" s="2" t="s">
        <v>1400</v>
      </c>
      <c r="R435" s="156">
        <f t="shared" si="48"/>
        <v>324026.78000000003</v>
      </c>
      <c r="S435" s="156">
        <f t="shared" si="49"/>
        <v>77712.127999999982</v>
      </c>
      <c r="T435" s="133"/>
      <c r="U435" s="133">
        <v>1208.54</v>
      </c>
      <c r="V435" s="133">
        <v>100000</v>
      </c>
      <c r="W435" s="133"/>
      <c r="X435" s="133"/>
      <c r="Y435" s="133">
        <v>15254.24</v>
      </c>
      <c r="Z435" s="133"/>
      <c r="AA435" s="133"/>
      <c r="AB435" s="133"/>
      <c r="AC435" s="133"/>
      <c r="AD435" s="133">
        <v>200000</v>
      </c>
      <c r="AE435" s="133"/>
      <c r="AF435" s="133">
        <v>24026.78</v>
      </c>
      <c r="AG435" s="133">
        <f>30508.47</f>
        <v>30508.47</v>
      </c>
      <c r="AH435" s="133"/>
      <c r="AI435" s="133">
        <v>3665.1020338983035</v>
      </c>
      <c r="AJ435" s="133"/>
      <c r="AK435" s="133">
        <v>27075.775966101675</v>
      </c>
      <c r="AL435" s="133"/>
      <c r="AM435" s="133"/>
      <c r="AN435" s="133"/>
      <c r="AO435" s="133"/>
      <c r="AP435" s="133"/>
      <c r="AQ435" s="133"/>
      <c r="AR435" s="133"/>
      <c r="AS435" s="153">
        <v>0</v>
      </c>
      <c r="AT435" s="153">
        <v>0</v>
      </c>
      <c r="AU435" s="153">
        <v>0</v>
      </c>
      <c r="AV435" s="135">
        <v>169491.53</v>
      </c>
      <c r="AW435" s="135"/>
      <c r="AX435" s="135"/>
      <c r="AY435" s="135">
        <f>76271.19+42372.88</f>
        <v>118644.07</v>
      </c>
      <c r="AZ435" s="135"/>
      <c r="BA435" s="135">
        <f>290000/1.18*0.8*0.1</f>
        <v>19661.016949152545</v>
      </c>
      <c r="BB435" s="135"/>
      <c r="BC435" s="135">
        <f>84745.76+169491.53</f>
        <v>254237.28999999998</v>
      </c>
      <c r="BD435" s="135">
        <f>39369.4+N("სხვადასხვა წლებში აღებული 5 ფაქტორინგის ხარჯის ჯამია")</f>
        <v>39369.4</v>
      </c>
      <c r="BE435" s="135"/>
      <c r="BF435" s="135"/>
      <c r="BG435" s="135"/>
      <c r="BH435" s="135"/>
      <c r="BI435" s="2" t="s">
        <v>11</v>
      </c>
      <c r="BJ435" s="136">
        <v>45869</v>
      </c>
      <c r="BK435" s="2" t="s">
        <v>8</v>
      </c>
      <c r="BL435" s="136" t="s">
        <v>113</v>
      </c>
      <c r="BM435" s="136">
        <v>44931</v>
      </c>
      <c r="BN435" s="2" t="s">
        <v>1453</v>
      </c>
      <c r="BO435" s="2"/>
      <c r="BP435" s="136"/>
      <c r="BQ435" s="137" t="s">
        <v>119</v>
      </c>
      <c r="BR435" s="138"/>
    </row>
    <row r="436" spans="1:70" ht="12.75" customHeight="1" x14ac:dyDescent="0.2">
      <c r="A436" s="2">
        <v>1925</v>
      </c>
      <c r="B436" s="2" t="s">
        <v>104</v>
      </c>
      <c r="C436" s="2" t="s">
        <v>104</v>
      </c>
      <c r="D436" s="2" t="s">
        <v>1498</v>
      </c>
      <c r="E436" s="2" t="s">
        <v>106</v>
      </c>
      <c r="F436" s="132">
        <v>0</v>
      </c>
      <c r="G436" s="132">
        <v>2</v>
      </c>
      <c r="H436" s="132"/>
      <c r="I436" s="132"/>
      <c r="J436" s="132"/>
      <c r="K436" s="132">
        <f t="shared" si="46"/>
        <v>0</v>
      </c>
      <c r="L436" s="132">
        <f t="shared" si="47"/>
        <v>0</v>
      </c>
      <c r="M436" s="133"/>
      <c r="N436" s="133">
        <f t="shared" si="50"/>
        <v>0</v>
      </c>
      <c r="O436" s="134">
        <v>2</v>
      </c>
      <c r="P436" s="133"/>
      <c r="Q436" s="2" t="s">
        <v>1401</v>
      </c>
      <c r="R436" s="156">
        <f t="shared" si="48"/>
        <v>0</v>
      </c>
      <c r="S436" s="156">
        <f t="shared" si="49"/>
        <v>0</v>
      </c>
      <c r="T436" s="133"/>
      <c r="U436" s="133"/>
      <c r="V436" s="133"/>
      <c r="W436" s="133"/>
      <c r="X436" s="133"/>
      <c r="Y436" s="133"/>
      <c r="Z436" s="133"/>
      <c r="AA436" s="133"/>
      <c r="AB436" s="133"/>
      <c r="AC436" s="133"/>
      <c r="AD436" s="133"/>
      <c r="AE436" s="133"/>
      <c r="AF436" s="133"/>
      <c r="AG436" s="133"/>
      <c r="AH436" s="133"/>
      <c r="AI436" s="133"/>
      <c r="AJ436" s="133"/>
      <c r="AK436" s="133"/>
      <c r="AL436" s="133"/>
      <c r="AM436" s="133"/>
      <c r="AN436" s="133"/>
      <c r="AO436" s="133"/>
      <c r="AP436" s="133"/>
      <c r="AQ436" s="133"/>
      <c r="AR436" s="133"/>
      <c r="AS436" s="153">
        <v>0</v>
      </c>
      <c r="AT436" s="153">
        <v>0</v>
      </c>
      <c r="AU436" s="153">
        <v>0</v>
      </c>
      <c r="AV436" s="135"/>
      <c r="AW436" s="135"/>
      <c r="AX436" s="135"/>
      <c r="AY436" s="135"/>
      <c r="AZ436" s="135"/>
      <c r="BA436" s="135"/>
      <c r="BB436" s="135"/>
      <c r="BC436" s="135"/>
      <c r="BD436" s="135"/>
      <c r="BE436" s="135"/>
      <c r="BF436" s="135"/>
      <c r="BG436" s="135"/>
      <c r="BH436" s="135"/>
      <c r="BI436" s="2" t="s">
        <v>112</v>
      </c>
      <c r="BJ436" s="136"/>
      <c r="BK436" s="2">
        <v>0</v>
      </c>
      <c r="BL436" s="136" t="s">
        <v>113</v>
      </c>
      <c r="BM436" s="136">
        <v>44931</v>
      </c>
      <c r="BN436" s="2" t="s">
        <v>1454</v>
      </c>
      <c r="BO436" s="2"/>
      <c r="BP436" s="136"/>
      <c r="BQ436" s="137"/>
      <c r="BR436" s="138"/>
    </row>
    <row r="437" spans="1:70" ht="12.75" customHeight="1" x14ac:dyDescent="0.2">
      <c r="A437" s="2">
        <v>1926</v>
      </c>
      <c r="B437" s="2" t="s">
        <v>104</v>
      </c>
      <c r="C437" s="2" t="s">
        <v>104</v>
      </c>
      <c r="D437" s="2" t="s">
        <v>1499</v>
      </c>
      <c r="E437" s="2" t="s">
        <v>90</v>
      </c>
      <c r="F437" s="132">
        <v>90860</v>
      </c>
      <c r="G437" s="132">
        <v>2</v>
      </c>
      <c r="H437" s="132"/>
      <c r="I437" s="132"/>
      <c r="J437" s="132"/>
      <c r="K437" s="132">
        <f t="shared" si="46"/>
        <v>90860</v>
      </c>
      <c r="L437" s="132">
        <f t="shared" si="47"/>
        <v>0</v>
      </c>
      <c r="M437" s="133"/>
      <c r="N437" s="133">
        <f t="shared" si="50"/>
        <v>90860</v>
      </c>
      <c r="O437" s="134">
        <v>1</v>
      </c>
      <c r="P437" s="133"/>
      <c r="Q437" s="2" t="s">
        <v>1401</v>
      </c>
      <c r="R437" s="156">
        <f t="shared" si="48"/>
        <v>0</v>
      </c>
      <c r="S437" s="156">
        <f t="shared" si="49"/>
        <v>0</v>
      </c>
      <c r="T437" s="133"/>
      <c r="U437" s="133"/>
      <c r="V437" s="133"/>
      <c r="W437" s="133"/>
      <c r="X437" s="133"/>
      <c r="Y437" s="133"/>
      <c r="Z437" s="133"/>
      <c r="AA437" s="133"/>
      <c r="AB437" s="133"/>
      <c r="AC437" s="133"/>
      <c r="AD437" s="133"/>
      <c r="AE437" s="133"/>
      <c r="AF437" s="133"/>
      <c r="AG437" s="133"/>
      <c r="AH437" s="133"/>
      <c r="AI437" s="133"/>
      <c r="AJ437" s="133"/>
      <c r="AK437" s="133"/>
      <c r="AL437" s="133"/>
      <c r="AM437" s="133"/>
      <c r="AN437" s="133"/>
      <c r="AO437" s="133"/>
      <c r="AP437" s="133"/>
      <c r="AQ437" s="133"/>
      <c r="AR437" s="133"/>
      <c r="AS437" s="153">
        <v>0</v>
      </c>
      <c r="AT437" s="153">
        <v>0</v>
      </c>
      <c r="AU437" s="153">
        <v>0</v>
      </c>
      <c r="AV437" s="135"/>
      <c r="AW437" s="135"/>
      <c r="AX437" s="135"/>
      <c r="AY437" s="135"/>
      <c r="AZ437" s="135"/>
      <c r="BA437" s="135"/>
      <c r="BB437" s="135"/>
      <c r="BC437" s="135"/>
      <c r="BD437" s="135"/>
      <c r="BE437" s="135"/>
      <c r="BF437" s="135"/>
      <c r="BG437" s="135"/>
      <c r="BH437" s="135"/>
      <c r="BI437" s="2" t="s">
        <v>11</v>
      </c>
      <c r="BJ437" s="136"/>
      <c r="BK437" s="2">
        <v>0</v>
      </c>
      <c r="BL437" s="136" t="s">
        <v>113</v>
      </c>
      <c r="BM437" s="136">
        <v>44931</v>
      </c>
      <c r="BN437" s="2" t="s">
        <v>1455</v>
      </c>
      <c r="BO437" s="2"/>
      <c r="BP437" s="136"/>
      <c r="BQ437" s="137"/>
      <c r="BR437" s="138"/>
    </row>
    <row r="438" spans="1:70" ht="12.75" customHeight="1" x14ac:dyDescent="0.2">
      <c r="A438" s="2">
        <v>1927</v>
      </c>
      <c r="B438" s="2" t="s">
        <v>108</v>
      </c>
      <c r="C438" s="2" t="s">
        <v>40</v>
      </c>
      <c r="D438" s="2" t="s">
        <v>1344</v>
      </c>
      <c r="E438" s="2" t="s">
        <v>106</v>
      </c>
      <c r="F438" s="132">
        <v>836.5</v>
      </c>
      <c r="G438" s="132"/>
      <c r="H438" s="132">
        <f>478*1.75</f>
        <v>836.5</v>
      </c>
      <c r="I438" s="132"/>
      <c r="J438" s="132">
        <f>836.5</f>
        <v>836.5</v>
      </c>
      <c r="K438" s="132">
        <f t="shared" ref="K438:K501" si="51">F438-J438</f>
        <v>0</v>
      </c>
      <c r="L438" s="132">
        <f t="shared" si="47"/>
        <v>0</v>
      </c>
      <c r="M438" s="133"/>
      <c r="N438" s="133">
        <f t="shared" si="50"/>
        <v>0</v>
      </c>
      <c r="O438" s="134">
        <v>0</v>
      </c>
      <c r="P438" s="133"/>
      <c r="Q438" s="2" t="s">
        <v>1402</v>
      </c>
      <c r="R438" s="156">
        <f t="shared" si="48"/>
        <v>0</v>
      </c>
      <c r="S438" s="156">
        <f t="shared" si="49"/>
        <v>0</v>
      </c>
      <c r="T438" s="133"/>
      <c r="U438" s="133"/>
      <c r="V438" s="133"/>
      <c r="W438" s="133"/>
      <c r="X438" s="133"/>
      <c r="Y438" s="133"/>
      <c r="Z438" s="133"/>
      <c r="AA438" s="133"/>
      <c r="AB438" s="133"/>
      <c r="AC438" s="133"/>
      <c r="AD438" s="133"/>
      <c r="AE438" s="133"/>
      <c r="AF438" s="133"/>
      <c r="AG438" s="133"/>
      <c r="AH438" s="133"/>
      <c r="AI438" s="133"/>
      <c r="AJ438" s="133"/>
      <c r="AK438" s="133"/>
      <c r="AL438" s="133"/>
      <c r="AM438" s="133"/>
      <c r="AN438" s="133"/>
      <c r="AO438" s="133"/>
      <c r="AP438" s="133"/>
      <c r="AQ438" s="133"/>
      <c r="AR438" s="133"/>
      <c r="AS438" s="153">
        <v>0</v>
      </c>
      <c r="AT438" s="153">
        <v>0</v>
      </c>
      <c r="AU438" s="153">
        <v>0</v>
      </c>
      <c r="AV438" s="135"/>
      <c r="AW438" s="135"/>
      <c r="AX438" s="135"/>
      <c r="AY438" s="135"/>
      <c r="AZ438" s="135"/>
      <c r="BA438" s="135"/>
      <c r="BB438" s="135"/>
      <c r="BC438" s="135"/>
      <c r="BD438" s="135"/>
      <c r="BE438" s="135"/>
      <c r="BF438" s="135"/>
      <c r="BG438" s="135"/>
      <c r="BH438" s="135"/>
      <c r="BI438" s="2" t="s">
        <v>112</v>
      </c>
      <c r="BJ438" s="136">
        <v>45264</v>
      </c>
      <c r="BK438" s="2" t="s">
        <v>145</v>
      </c>
      <c r="BL438" s="136" t="s">
        <v>113</v>
      </c>
      <c r="BM438" s="136">
        <v>44931</v>
      </c>
      <c r="BN438" s="2" t="s">
        <v>1456</v>
      </c>
      <c r="BO438" s="2"/>
      <c r="BP438" s="136"/>
      <c r="BQ438" s="137" t="s">
        <v>134</v>
      </c>
      <c r="BR438" s="138"/>
    </row>
    <row r="439" spans="1:70" ht="12.75" customHeight="1" x14ac:dyDescent="0.2">
      <c r="A439" s="2">
        <v>1928</v>
      </c>
      <c r="B439" s="2" t="s">
        <v>108</v>
      </c>
      <c r="C439" s="2" t="s">
        <v>40</v>
      </c>
      <c r="D439" s="2" t="s">
        <v>1345</v>
      </c>
      <c r="E439" s="2" t="s">
        <v>90</v>
      </c>
      <c r="F439" s="132">
        <v>91190.399999999994</v>
      </c>
      <c r="G439" s="132">
        <v>2</v>
      </c>
      <c r="H439" s="132">
        <f>60000+8813.34</f>
        <v>68813.34</v>
      </c>
      <c r="I439" s="132">
        <f>60000+8813.34</f>
        <v>68813.34</v>
      </c>
      <c r="J439" s="132">
        <f>9152.54+AY439+8813.34</f>
        <v>68813.34</v>
      </c>
      <c r="K439" s="132">
        <f t="shared" si="51"/>
        <v>22377.059999999998</v>
      </c>
      <c r="L439" s="132">
        <f t="shared" si="47"/>
        <v>0</v>
      </c>
      <c r="M439" s="133">
        <v>478</v>
      </c>
      <c r="N439" s="133">
        <f t="shared" si="50"/>
        <v>0</v>
      </c>
      <c r="O439" s="134">
        <v>0</v>
      </c>
      <c r="P439" s="133"/>
      <c r="Q439" s="2" t="s">
        <v>1402</v>
      </c>
      <c r="R439" s="156">
        <f t="shared" si="48"/>
        <v>0</v>
      </c>
      <c r="S439" s="156">
        <f t="shared" si="49"/>
        <v>0</v>
      </c>
      <c r="T439" s="133"/>
      <c r="U439" s="133"/>
      <c r="V439" s="133"/>
      <c r="W439" s="133"/>
      <c r="X439" s="133"/>
      <c r="Y439" s="133"/>
      <c r="Z439" s="133"/>
      <c r="AA439" s="133"/>
      <c r="AB439" s="133"/>
      <c r="AC439" s="133"/>
      <c r="AD439" s="133"/>
      <c r="AE439" s="133"/>
      <c r="AF439" s="133"/>
      <c r="AG439" s="133"/>
      <c r="AH439" s="133"/>
      <c r="AI439" s="133"/>
      <c r="AJ439" s="133"/>
      <c r="AK439" s="133"/>
      <c r="AL439" s="133"/>
      <c r="AM439" s="133"/>
      <c r="AN439" s="133"/>
      <c r="AO439" s="133"/>
      <c r="AP439" s="133"/>
      <c r="AQ439" s="133"/>
      <c r="AR439" s="133"/>
      <c r="AS439" s="153">
        <v>0</v>
      </c>
      <c r="AT439" s="153">
        <v>0</v>
      </c>
      <c r="AU439" s="153">
        <v>0</v>
      </c>
      <c r="AV439" s="135"/>
      <c r="AW439" s="135"/>
      <c r="AX439" s="135"/>
      <c r="AY439" s="135">
        <v>50847.46</v>
      </c>
      <c r="AZ439" s="135">
        <v>6136.97</v>
      </c>
      <c r="BA439" s="135">
        <f>60000/1.18*0.8*0.1</f>
        <v>4067.7966101694919</v>
      </c>
      <c r="BB439" s="140">
        <f>(H439/1.18-AT439-AW439-AZ439)*0.1-BA439</f>
        <v>1150.1453728813558</v>
      </c>
      <c r="BC439" s="135"/>
      <c r="BD439" s="135"/>
      <c r="BE439" s="135">
        <f>(H439/1.18-AT439-AW439-AZ439-BD439)*0.1-AU439-AX439-BA439-BB439</f>
        <v>0</v>
      </c>
      <c r="BF439" s="135"/>
      <c r="BG439" s="135"/>
      <c r="BH439" s="135"/>
      <c r="BI439" s="2" t="s">
        <v>11</v>
      </c>
      <c r="BJ439" s="136">
        <v>45504</v>
      </c>
      <c r="BK439" s="2" t="s">
        <v>8</v>
      </c>
      <c r="BL439" s="136" t="s">
        <v>113</v>
      </c>
      <c r="BM439" s="136">
        <v>44931</v>
      </c>
      <c r="BN439" s="2" t="s">
        <v>1457</v>
      </c>
      <c r="BO439" s="2"/>
      <c r="BP439" s="136" t="s">
        <v>3380</v>
      </c>
      <c r="BQ439" s="137" t="s">
        <v>119</v>
      </c>
      <c r="BR439" s="138"/>
    </row>
    <row r="440" spans="1:70" ht="12.75" customHeight="1" x14ac:dyDescent="0.2">
      <c r="A440" s="2">
        <v>1929</v>
      </c>
      <c r="B440" s="2" t="s">
        <v>108</v>
      </c>
      <c r="C440" s="2" t="s">
        <v>40</v>
      </c>
      <c r="D440" s="2" t="s">
        <v>1346</v>
      </c>
      <c r="E440" s="2" t="s">
        <v>106</v>
      </c>
      <c r="F440" s="132">
        <f>1715*1.75</f>
        <v>3001.25</v>
      </c>
      <c r="G440" s="132">
        <v>2</v>
      </c>
      <c r="H440" s="132">
        <f>1715*1.75</f>
        <v>3001.25</v>
      </c>
      <c r="I440" s="132"/>
      <c r="J440" s="132">
        <f>457.82+2543.43</f>
        <v>3001.25</v>
      </c>
      <c r="K440" s="132">
        <f t="shared" si="51"/>
        <v>0</v>
      </c>
      <c r="L440" s="132">
        <f t="shared" si="47"/>
        <v>0</v>
      </c>
      <c r="M440" s="133"/>
      <c r="N440" s="133">
        <f t="shared" si="50"/>
        <v>0</v>
      </c>
      <c r="O440" s="134">
        <v>0</v>
      </c>
      <c r="P440" s="133"/>
      <c r="Q440" s="2" t="s">
        <v>1403</v>
      </c>
      <c r="R440" s="156">
        <f t="shared" si="48"/>
        <v>0</v>
      </c>
      <c r="S440" s="156">
        <f t="shared" si="49"/>
        <v>0</v>
      </c>
      <c r="T440" s="133"/>
      <c r="U440" s="133"/>
      <c r="V440" s="133"/>
      <c r="W440" s="133"/>
      <c r="X440" s="133"/>
      <c r="Y440" s="133"/>
      <c r="Z440" s="133"/>
      <c r="AA440" s="133"/>
      <c r="AB440" s="133"/>
      <c r="AC440" s="133"/>
      <c r="AD440" s="133"/>
      <c r="AE440" s="133"/>
      <c r="AF440" s="133"/>
      <c r="AG440" s="133"/>
      <c r="AH440" s="133"/>
      <c r="AI440" s="133"/>
      <c r="AJ440" s="133"/>
      <c r="AK440" s="133"/>
      <c r="AL440" s="133"/>
      <c r="AM440" s="133"/>
      <c r="AN440" s="133"/>
      <c r="AO440" s="133"/>
      <c r="AP440" s="133"/>
      <c r="AQ440" s="133"/>
      <c r="AR440" s="133"/>
      <c r="AS440" s="153">
        <v>0</v>
      </c>
      <c r="AT440" s="153">
        <v>0</v>
      </c>
      <c r="AU440" s="153">
        <v>0</v>
      </c>
      <c r="AV440" s="135"/>
      <c r="AW440" s="135"/>
      <c r="AX440" s="135"/>
      <c r="AY440" s="135"/>
      <c r="AZ440" s="135"/>
      <c r="BA440" s="135"/>
      <c r="BB440" s="135"/>
      <c r="BC440" s="135"/>
      <c r="BD440" s="135"/>
      <c r="BE440" s="135"/>
      <c r="BF440" s="135"/>
      <c r="BG440" s="135"/>
      <c r="BH440" s="135"/>
      <c r="BI440" s="2" t="s">
        <v>112</v>
      </c>
      <c r="BJ440" s="136">
        <v>45413</v>
      </c>
      <c r="BK440" s="2" t="s">
        <v>145</v>
      </c>
      <c r="BL440" s="136" t="s">
        <v>113</v>
      </c>
      <c r="BM440" s="136">
        <v>44931</v>
      </c>
      <c r="BN440" s="2" t="s">
        <v>1458</v>
      </c>
      <c r="BO440" s="2"/>
      <c r="BP440" s="136"/>
      <c r="BQ440" s="137" t="s">
        <v>134</v>
      </c>
      <c r="BR440" s="138"/>
    </row>
    <row r="441" spans="1:70" ht="12.75" customHeight="1" x14ac:dyDescent="0.2">
      <c r="A441" s="2">
        <v>1930</v>
      </c>
      <c r="B441" s="2" t="s">
        <v>108</v>
      </c>
      <c r="C441" s="2" t="s">
        <v>40</v>
      </c>
      <c r="D441" s="2" t="s">
        <v>1347</v>
      </c>
      <c r="E441" s="2" t="s">
        <v>90</v>
      </c>
      <c r="F441" s="132">
        <v>84110.399999999994</v>
      </c>
      <c r="G441" s="132">
        <v>2</v>
      </c>
      <c r="H441" s="132">
        <f>40000+R441</f>
        <v>355623.28</v>
      </c>
      <c r="I441" s="132"/>
      <c r="J441" s="132">
        <f>6101.695+S441+AY441+BC441</f>
        <v>355623.27500000002</v>
      </c>
      <c r="K441" s="132">
        <f t="shared" si="51"/>
        <v>-271512.875</v>
      </c>
      <c r="L441" s="132">
        <f t="shared" si="47"/>
        <v>5.0000000046566129E-3</v>
      </c>
      <c r="M441" s="133">
        <v>1594</v>
      </c>
      <c r="N441" s="133">
        <f t="shared" si="50"/>
        <v>5.0000000046566129E-3</v>
      </c>
      <c r="O441" s="134">
        <v>1</v>
      </c>
      <c r="P441" s="133"/>
      <c r="Q441" s="2" t="s">
        <v>1403</v>
      </c>
      <c r="R441" s="156">
        <f t="shared" si="48"/>
        <v>315623.28000000003</v>
      </c>
      <c r="S441" s="156">
        <f t="shared" si="49"/>
        <v>61385.979999999996</v>
      </c>
      <c r="T441" s="133">
        <v>300000</v>
      </c>
      <c r="U441" s="133"/>
      <c r="V441" s="133"/>
      <c r="W441" s="133">
        <f>45762.71</f>
        <v>45762.71</v>
      </c>
      <c r="X441" s="133">
        <v>15623.28</v>
      </c>
      <c r="Y441" s="133"/>
      <c r="Z441" s="133"/>
      <c r="AA441" s="133">
        <v>2383.21</v>
      </c>
      <c r="AB441" s="133"/>
      <c r="AC441" s="133"/>
      <c r="AD441" s="133"/>
      <c r="AE441" s="133">
        <v>13240.06</v>
      </c>
      <c r="AF441" s="133"/>
      <c r="AG441" s="133"/>
      <c r="AH441" s="133"/>
      <c r="AI441" s="133"/>
      <c r="AJ441" s="133"/>
      <c r="AK441" s="133"/>
      <c r="AL441" s="133"/>
      <c r="AM441" s="133"/>
      <c r="AN441" s="133"/>
      <c r="AO441" s="133"/>
      <c r="AP441" s="133"/>
      <c r="AQ441" s="133"/>
      <c r="AR441" s="133"/>
      <c r="AS441" s="153">
        <v>0</v>
      </c>
      <c r="AT441" s="153">
        <v>0</v>
      </c>
      <c r="AU441" s="153">
        <v>0</v>
      </c>
      <c r="AV441" s="135"/>
      <c r="AW441" s="135"/>
      <c r="AX441" s="135"/>
      <c r="AY441" s="135">
        <f>33898.31</f>
        <v>33898.31</v>
      </c>
      <c r="AZ441" s="135">
        <v>3507.08</v>
      </c>
      <c r="BA441" s="135">
        <f>40000/1.18*0.8*0.1</f>
        <v>2711.8644067796613</v>
      </c>
      <c r="BB441" s="135"/>
      <c r="BC441" s="135">
        <v>254237.29</v>
      </c>
      <c r="BD441" s="135">
        <v>3789.18</v>
      </c>
      <c r="BE441" s="135">
        <f>(H441/1.18-AT441-AW441-AZ441-BD441)*0.1-AU441-AX441-BA441-BB441</f>
        <v>26696.075694915264</v>
      </c>
      <c r="BF441" s="135"/>
      <c r="BG441" s="135"/>
      <c r="BH441" s="135"/>
      <c r="BI441" s="2" t="s">
        <v>11</v>
      </c>
      <c r="BJ441" s="136">
        <v>45728</v>
      </c>
      <c r="BK441" s="2" t="s">
        <v>8</v>
      </c>
      <c r="BL441" s="136" t="s">
        <v>113</v>
      </c>
      <c r="BM441" s="136">
        <v>44931</v>
      </c>
      <c r="BN441" s="2" t="s">
        <v>1459</v>
      </c>
      <c r="BO441" s="2"/>
      <c r="BP441" s="136"/>
      <c r="BQ441" s="137" t="s">
        <v>119</v>
      </c>
      <c r="BR441" s="138"/>
    </row>
    <row r="442" spans="1:70" ht="12.75" customHeight="1" x14ac:dyDescent="0.2">
      <c r="A442" s="2">
        <v>1931</v>
      </c>
      <c r="B442" s="2" t="s">
        <v>108</v>
      </c>
      <c r="C442" s="2" t="s">
        <v>43</v>
      </c>
      <c r="D442" s="2" t="s">
        <v>1348</v>
      </c>
      <c r="E442" s="2" t="s">
        <v>106</v>
      </c>
      <c r="F442" s="132">
        <f>1418*1.75</f>
        <v>2481.5</v>
      </c>
      <c r="G442" s="132">
        <v>2</v>
      </c>
      <c r="H442" s="132">
        <f>1418*1.75</f>
        <v>2481.5</v>
      </c>
      <c r="I442" s="132"/>
      <c r="J442" s="132">
        <f>378.53+2102.97</f>
        <v>2481.5</v>
      </c>
      <c r="K442" s="132">
        <f t="shared" si="51"/>
        <v>0</v>
      </c>
      <c r="L442" s="132">
        <f t="shared" si="47"/>
        <v>0</v>
      </c>
      <c r="M442" s="133"/>
      <c r="N442" s="133">
        <f t="shared" si="50"/>
        <v>0</v>
      </c>
      <c r="O442" s="134">
        <v>0</v>
      </c>
      <c r="P442" s="133"/>
      <c r="Q442" s="2" t="s">
        <v>1404</v>
      </c>
      <c r="R442" s="156">
        <f t="shared" si="48"/>
        <v>0</v>
      </c>
      <c r="S442" s="156">
        <f t="shared" si="49"/>
        <v>0</v>
      </c>
      <c r="T442" s="133"/>
      <c r="U442" s="133"/>
      <c r="V442" s="133"/>
      <c r="W442" s="133"/>
      <c r="X442" s="133"/>
      <c r="Y442" s="133"/>
      <c r="Z442" s="133"/>
      <c r="AA442" s="133"/>
      <c r="AB442" s="133"/>
      <c r="AC442" s="133"/>
      <c r="AD442" s="133"/>
      <c r="AE442" s="133"/>
      <c r="AF442" s="133"/>
      <c r="AG442" s="133"/>
      <c r="AH442" s="133"/>
      <c r="AI442" s="133"/>
      <c r="AJ442" s="133"/>
      <c r="AK442" s="133"/>
      <c r="AL442" s="133"/>
      <c r="AM442" s="133"/>
      <c r="AN442" s="133"/>
      <c r="AO442" s="133"/>
      <c r="AP442" s="133"/>
      <c r="AQ442" s="133"/>
      <c r="AR442" s="133"/>
      <c r="AS442" s="153">
        <v>0</v>
      </c>
      <c r="AT442" s="153">
        <v>0</v>
      </c>
      <c r="AU442" s="153">
        <v>0</v>
      </c>
      <c r="AV442" s="135"/>
      <c r="AW442" s="135"/>
      <c r="AX442" s="135"/>
      <c r="AY442" s="135"/>
      <c r="AZ442" s="135"/>
      <c r="BA442" s="135"/>
      <c r="BB442" s="135"/>
      <c r="BC442" s="135"/>
      <c r="BD442" s="135"/>
      <c r="BE442" s="135"/>
      <c r="BF442" s="135"/>
      <c r="BG442" s="135"/>
      <c r="BH442" s="135"/>
      <c r="BI442" s="2" t="s">
        <v>112</v>
      </c>
      <c r="BJ442" s="136">
        <v>45352</v>
      </c>
      <c r="BK442" s="2" t="s">
        <v>145</v>
      </c>
      <c r="BL442" s="136" t="s">
        <v>113</v>
      </c>
      <c r="BM442" s="136">
        <v>44931</v>
      </c>
      <c r="BN442" s="2" t="s">
        <v>1460</v>
      </c>
      <c r="BO442" s="2"/>
      <c r="BP442" s="136"/>
      <c r="BQ442" s="137" t="s">
        <v>134</v>
      </c>
      <c r="BR442" s="138"/>
    </row>
    <row r="443" spans="1:70" ht="12.75" customHeight="1" x14ac:dyDescent="0.2">
      <c r="A443" s="2">
        <v>1932</v>
      </c>
      <c r="B443" s="2" t="s">
        <v>108</v>
      </c>
      <c r="C443" s="2" t="s">
        <v>43</v>
      </c>
      <c r="D443" s="2" t="s">
        <v>1349</v>
      </c>
      <c r="E443" s="2" t="s">
        <v>90</v>
      </c>
      <c r="F443" s="132">
        <v>60180</v>
      </c>
      <c r="G443" s="132">
        <v>2</v>
      </c>
      <c r="H443" s="132">
        <f>150000+45437.57</f>
        <v>195437.57</v>
      </c>
      <c r="I443" s="132">
        <f>150000+45437.57</f>
        <v>195437.57</v>
      </c>
      <c r="J443" s="132">
        <f>22881.36+AY443+45437.57</f>
        <v>195437.57</v>
      </c>
      <c r="K443" s="132">
        <f t="shared" si="51"/>
        <v>-135257.57</v>
      </c>
      <c r="L443" s="132">
        <f t="shared" si="47"/>
        <v>0</v>
      </c>
      <c r="M443" s="133">
        <v>1341</v>
      </c>
      <c r="N443" s="133">
        <f t="shared" si="50"/>
        <v>0</v>
      </c>
      <c r="O443" s="134">
        <v>0</v>
      </c>
      <c r="P443" s="133"/>
      <c r="Q443" s="2" t="s">
        <v>1404</v>
      </c>
      <c r="R443" s="156">
        <f t="shared" si="48"/>
        <v>0</v>
      </c>
      <c r="S443" s="156">
        <f t="shared" si="49"/>
        <v>0</v>
      </c>
      <c r="T443" s="133"/>
      <c r="U443" s="133"/>
      <c r="V443" s="133"/>
      <c r="W443" s="133"/>
      <c r="X443" s="133"/>
      <c r="Y443" s="133"/>
      <c r="Z443" s="133"/>
      <c r="AA443" s="133"/>
      <c r="AB443" s="133"/>
      <c r="AC443" s="133"/>
      <c r="AD443" s="133"/>
      <c r="AE443" s="133"/>
      <c r="AF443" s="133"/>
      <c r="AG443" s="133"/>
      <c r="AH443" s="133"/>
      <c r="AI443" s="133"/>
      <c r="AJ443" s="133"/>
      <c r="AK443" s="133"/>
      <c r="AL443" s="133"/>
      <c r="AM443" s="133"/>
      <c r="AN443" s="133"/>
      <c r="AO443" s="133"/>
      <c r="AP443" s="133"/>
      <c r="AQ443" s="133"/>
      <c r="AR443" s="133"/>
      <c r="AS443" s="153">
        <v>0</v>
      </c>
      <c r="AT443" s="153">
        <v>0</v>
      </c>
      <c r="AU443" s="153">
        <v>0</v>
      </c>
      <c r="AV443" s="135"/>
      <c r="AW443" s="135"/>
      <c r="AX443" s="135"/>
      <c r="AY443" s="135">
        <v>127118.64</v>
      </c>
      <c r="AZ443" s="135">
        <v>15342.43</v>
      </c>
      <c r="BA443" s="135">
        <f>150000/1.18*0.8*0.1</f>
        <v>10169.491525423731</v>
      </c>
      <c r="BB443" s="140">
        <f>(H443/1.18-AT443-AW443-AZ443)*0.1-BA443</f>
        <v>4858.7714067796624</v>
      </c>
      <c r="BC443" s="135"/>
      <c r="BD443" s="135"/>
      <c r="BE443" s="135">
        <f>(H443/1.18-AT443-AW443-AZ443-BD443)*0.1-AU443-AX443-BA443-BB443</f>
        <v>0</v>
      </c>
      <c r="BF443" s="135"/>
      <c r="BG443" s="135"/>
      <c r="BH443" s="135"/>
      <c r="BI443" s="2" t="s">
        <v>11</v>
      </c>
      <c r="BJ443" s="136">
        <v>45565</v>
      </c>
      <c r="BK443" s="2" t="s">
        <v>8</v>
      </c>
      <c r="BL443" s="136" t="s">
        <v>113</v>
      </c>
      <c r="BM443" s="136">
        <v>44931</v>
      </c>
      <c r="BN443" s="2" t="s">
        <v>1461</v>
      </c>
      <c r="BO443" s="2"/>
      <c r="BP443" s="136"/>
      <c r="BQ443" s="137" t="s">
        <v>119</v>
      </c>
      <c r="BR443" s="138"/>
    </row>
    <row r="444" spans="1:70" ht="12.75" customHeight="1" x14ac:dyDescent="0.2">
      <c r="A444" s="2">
        <v>1933</v>
      </c>
      <c r="B444" s="2" t="s">
        <v>108</v>
      </c>
      <c r="C444" s="2" t="s">
        <v>40</v>
      </c>
      <c r="D444" s="2" t="s">
        <v>1350</v>
      </c>
      <c r="E444" s="2" t="s">
        <v>106</v>
      </c>
      <c r="F444" s="132">
        <f>556*1.75</f>
        <v>973</v>
      </c>
      <c r="G444" s="132">
        <v>2</v>
      </c>
      <c r="H444" s="132">
        <f>556*1.75</f>
        <v>973</v>
      </c>
      <c r="I444" s="132"/>
      <c r="J444" s="132">
        <v>973</v>
      </c>
      <c r="K444" s="132">
        <f t="shared" si="51"/>
        <v>0</v>
      </c>
      <c r="L444" s="132">
        <f t="shared" si="47"/>
        <v>0</v>
      </c>
      <c r="M444" s="133"/>
      <c r="N444" s="133">
        <f t="shared" si="50"/>
        <v>0</v>
      </c>
      <c r="O444" s="134">
        <v>0</v>
      </c>
      <c r="P444" s="133"/>
      <c r="Q444" s="2" t="s">
        <v>1405</v>
      </c>
      <c r="R444" s="156">
        <f t="shared" si="48"/>
        <v>0</v>
      </c>
      <c r="S444" s="156">
        <f t="shared" si="49"/>
        <v>0</v>
      </c>
      <c r="T444" s="133"/>
      <c r="U444" s="133"/>
      <c r="V444" s="133"/>
      <c r="W444" s="133"/>
      <c r="X444" s="133"/>
      <c r="Y444" s="133"/>
      <c r="Z444" s="133"/>
      <c r="AA444" s="133"/>
      <c r="AB444" s="133"/>
      <c r="AC444" s="133"/>
      <c r="AD444" s="133"/>
      <c r="AE444" s="133"/>
      <c r="AF444" s="133"/>
      <c r="AG444" s="133"/>
      <c r="AH444" s="133"/>
      <c r="AI444" s="133"/>
      <c r="AJ444" s="133"/>
      <c r="AK444" s="133"/>
      <c r="AL444" s="133"/>
      <c r="AM444" s="133"/>
      <c r="AN444" s="133"/>
      <c r="AO444" s="133"/>
      <c r="AP444" s="133"/>
      <c r="AQ444" s="133"/>
      <c r="AR444" s="133"/>
      <c r="AS444" s="153">
        <v>0</v>
      </c>
      <c r="AT444" s="153">
        <v>0</v>
      </c>
      <c r="AU444" s="153">
        <v>0</v>
      </c>
      <c r="AV444" s="135"/>
      <c r="AW444" s="135"/>
      <c r="AX444" s="135"/>
      <c r="AY444" s="135"/>
      <c r="AZ444" s="135"/>
      <c r="BA444" s="135"/>
      <c r="BB444" s="135"/>
      <c r="BC444" s="135"/>
      <c r="BD444" s="135"/>
      <c r="BE444" s="135"/>
      <c r="BF444" s="135"/>
      <c r="BG444" s="135"/>
      <c r="BH444" s="135"/>
      <c r="BI444" s="2" t="s">
        <v>112</v>
      </c>
      <c r="BJ444" s="136">
        <v>45413</v>
      </c>
      <c r="BK444" s="2" t="s">
        <v>145</v>
      </c>
      <c r="BL444" s="136" t="s">
        <v>113</v>
      </c>
      <c r="BM444" s="136">
        <v>44931</v>
      </c>
      <c r="BN444" s="2" t="s">
        <v>1462</v>
      </c>
      <c r="BO444" s="2"/>
      <c r="BP444" s="136"/>
      <c r="BQ444" s="137" t="s">
        <v>134</v>
      </c>
      <c r="BR444" s="138"/>
    </row>
    <row r="445" spans="1:70" ht="12.75" customHeight="1" x14ac:dyDescent="0.2">
      <c r="A445" s="2">
        <v>1934</v>
      </c>
      <c r="B445" s="2" t="s">
        <v>108</v>
      </c>
      <c r="C445" s="2" t="s">
        <v>40</v>
      </c>
      <c r="D445" s="2" t="s">
        <v>1351</v>
      </c>
      <c r="E445" s="2" t="s">
        <v>90</v>
      </c>
      <c r="F445" s="132">
        <v>62870.399999999994</v>
      </c>
      <c r="G445" s="132">
        <v>2</v>
      </c>
      <c r="H445" s="132">
        <f>50000+50000+60.02+R445</f>
        <v>130548.23000000001</v>
      </c>
      <c r="I445" s="132"/>
      <c r="J445" s="132">
        <f>7627.12+AY445+7627.12+S445+BC445</f>
        <v>130548.22999999998</v>
      </c>
      <c r="K445" s="132">
        <f t="shared" si="51"/>
        <v>-67677.829999999987</v>
      </c>
      <c r="L445" s="132">
        <f t="shared" si="47"/>
        <v>0</v>
      </c>
      <c r="M445" s="133">
        <v>580</v>
      </c>
      <c r="N445" s="133">
        <f t="shared" si="50"/>
        <v>2.9103830456733704E-11</v>
      </c>
      <c r="O445" s="134">
        <v>1</v>
      </c>
      <c r="P445" s="133">
        <v>0</v>
      </c>
      <c r="Q445" s="2" t="s">
        <v>1405</v>
      </c>
      <c r="R445" s="156">
        <f t="shared" si="48"/>
        <v>30488.21</v>
      </c>
      <c r="S445" s="156">
        <f t="shared" si="49"/>
        <v>5124.5000000000009</v>
      </c>
      <c r="T445" s="133">
        <v>30000</v>
      </c>
      <c r="U445" s="133">
        <v>9.18</v>
      </c>
      <c r="V445" s="133"/>
      <c r="W445" s="133">
        <f>4576.27</f>
        <v>4576.2700000000004</v>
      </c>
      <c r="X445" s="133">
        <v>488.21</v>
      </c>
      <c r="Y445" s="133"/>
      <c r="Z445" s="133"/>
      <c r="AA445" s="133">
        <v>74.47</v>
      </c>
      <c r="AB445" s="133"/>
      <c r="AC445" s="133"/>
      <c r="AD445" s="133"/>
      <c r="AE445" s="133">
        <v>464.58</v>
      </c>
      <c r="AF445" s="133"/>
      <c r="AG445" s="133"/>
      <c r="AH445" s="133"/>
      <c r="AI445" s="133"/>
      <c r="AJ445" s="133"/>
      <c r="AK445" s="133"/>
      <c r="AL445" s="133"/>
      <c r="AM445" s="133"/>
      <c r="AN445" s="133"/>
      <c r="AO445" s="133"/>
      <c r="AP445" s="133"/>
      <c r="AQ445" s="133"/>
      <c r="AR445" s="133"/>
      <c r="AS445" s="153">
        <v>0</v>
      </c>
      <c r="AT445" s="153">
        <v>0</v>
      </c>
      <c r="AU445" s="153">
        <v>0</v>
      </c>
      <c r="AV445" s="135"/>
      <c r="AW445" s="135"/>
      <c r="AX445" s="135"/>
      <c r="AY445" s="135">
        <f>42372.88+42372.88</f>
        <v>84745.76</v>
      </c>
      <c r="AZ445" s="135">
        <f>4383.85+3860.87</f>
        <v>8244.7200000000012</v>
      </c>
      <c r="BA445" s="135">
        <f>50000/1.18*0.8*0.1</f>
        <v>3389.8305084745771</v>
      </c>
      <c r="BB445" s="135"/>
      <c r="BC445" s="135">
        <v>25423.73</v>
      </c>
      <c r="BD445" s="135">
        <v>378.92</v>
      </c>
      <c r="BE445" s="135">
        <f>(H445/1.18-AT445-AW445-AZ445-BD445)*0.1-AU445-AX445-BA445-BB445</f>
        <v>6811.2148135593234</v>
      </c>
      <c r="BF445" s="135"/>
      <c r="BG445" s="135"/>
      <c r="BH445" s="135"/>
      <c r="BI445" s="2" t="s">
        <v>11</v>
      </c>
      <c r="BJ445" s="136">
        <v>45737</v>
      </c>
      <c r="BK445" s="2" t="s">
        <v>8</v>
      </c>
      <c r="BL445" s="136" t="s">
        <v>113</v>
      </c>
      <c r="BM445" s="136">
        <v>44931</v>
      </c>
      <c r="BN445" s="2" t="s">
        <v>1463</v>
      </c>
      <c r="BO445" s="2"/>
      <c r="BP445" s="136"/>
      <c r="BQ445" s="137" t="s">
        <v>119</v>
      </c>
      <c r="BR445" s="138"/>
    </row>
    <row r="446" spans="1:70" ht="12.75" customHeight="1" x14ac:dyDescent="0.2">
      <c r="A446" s="2">
        <v>1935</v>
      </c>
      <c r="B446" s="2" t="s">
        <v>108</v>
      </c>
      <c r="C446" s="2" t="s">
        <v>40</v>
      </c>
      <c r="D446" s="2" t="s">
        <v>1352</v>
      </c>
      <c r="E446" s="2" t="s">
        <v>106</v>
      </c>
      <c r="F446" s="132">
        <v>334.25</v>
      </c>
      <c r="G446" s="132"/>
      <c r="H446" s="132">
        <f>191*1.75</f>
        <v>334.25</v>
      </c>
      <c r="I446" s="132"/>
      <c r="J446" s="132">
        <v>334.25</v>
      </c>
      <c r="K446" s="132">
        <f t="shared" si="51"/>
        <v>0</v>
      </c>
      <c r="L446" s="132">
        <f t="shared" si="47"/>
        <v>0</v>
      </c>
      <c r="M446" s="133"/>
      <c r="N446" s="133">
        <f t="shared" si="50"/>
        <v>0</v>
      </c>
      <c r="O446" s="134">
        <v>0</v>
      </c>
      <c r="P446" s="133"/>
      <c r="Q446" s="2" t="s">
        <v>1406</v>
      </c>
      <c r="R446" s="156">
        <f t="shared" si="48"/>
        <v>0</v>
      </c>
      <c r="S446" s="156">
        <f t="shared" si="49"/>
        <v>0</v>
      </c>
      <c r="T446" s="133"/>
      <c r="U446" s="133"/>
      <c r="V446" s="133"/>
      <c r="W446" s="133"/>
      <c r="X446" s="133"/>
      <c r="Y446" s="133"/>
      <c r="Z446" s="133"/>
      <c r="AA446" s="133"/>
      <c r="AB446" s="133"/>
      <c r="AC446" s="133"/>
      <c r="AD446" s="133"/>
      <c r="AE446" s="133"/>
      <c r="AF446" s="133"/>
      <c r="AG446" s="133"/>
      <c r="AH446" s="133"/>
      <c r="AI446" s="133"/>
      <c r="AJ446" s="133"/>
      <c r="AK446" s="133"/>
      <c r="AL446" s="133"/>
      <c r="AM446" s="133"/>
      <c r="AN446" s="133"/>
      <c r="AO446" s="133"/>
      <c r="AP446" s="133"/>
      <c r="AQ446" s="133"/>
      <c r="AR446" s="133"/>
      <c r="AS446" s="153">
        <v>0</v>
      </c>
      <c r="AT446" s="153">
        <v>0</v>
      </c>
      <c r="AU446" s="153">
        <v>0</v>
      </c>
      <c r="AV446" s="135"/>
      <c r="AW446" s="135"/>
      <c r="AX446" s="135"/>
      <c r="AY446" s="135"/>
      <c r="AZ446" s="135"/>
      <c r="BA446" s="135"/>
      <c r="BB446" s="135"/>
      <c r="BC446" s="135"/>
      <c r="BD446" s="135"/>
      <c r="BE446" s="135"/>
      <c r="BF446" s="135"/>
      <c r="BG446" s="135"/>
      <c r="BH446" s="135"/>
      <c r="BI446" s="2" t="s">
        <v>112</v>
      </c>
      <c r="BJ446" s="136">
        <v>45208</v>
      </c>
      <c r="BK446" s="2" t="s">
        <v>145</v>
      </c>
      <c r="BL446" s="136" t="s">
        <v>113</v>
      </c>
      <c r="BM446" s="136">
        <v>44931</v>
      </c>
      <c r="BN446" s="2" t="s">
        <v>1464</v>
      </c>
      <c r="BO446" s="2"/>
      <c r="BP446" s="136"/>
      <c r="BQ446" s="137" t="s">
        <v>134</v>
      </c>
      <c r="BR446" s="138"/>
    </row>
    <row r="447" spans="1:70" ht="12.75" customHeight="1" x14ac:dyDescent="0.2">
      <c r="A447" s="2">
        <v>1936</v>
      </c>
      <c r="B447" s="2" t="s">
        <v>108</v>
      </c>
      <c r="C447" s="2" t="s">
        <v>40</v>
      </c>
      <c r="D447" s="2" t="s">
        <v>1353</v>
      </c>
      <c r="E447" s="2" t="s">
        <v>90</v>
      </c>
      <c r="F447" s="132">
        <v>55008.626400000001</v>
      </c>
      <c r="G447" s="132"/>
      <c r="H447" s="132">
        <v>7948.31</v>
      </c>
      <c r="I447" s="132"/>
      <c r="J447" s="132">
        <f>1212.45+6735.86</f>
        <v>7948.3099999999995</v>
      </c>
      <c r="K447" s="132">
        <f t="shared" si="51"/>
        <v>47060.316400000003</v>
      </c>
      <c r="L447" s="132">
        <f t="shared" si="47"/>
        <v>0</v>
      </c>
      <c r="M447" s="133">
        <v>193</v>
      </c>
      <c r="N447" s="133">
        <f t="shared" si="50"/>
        <v>9.0949470177292824E-13</v>
      </c>
      <c r="O447" s="134">
        <v>0</v>
      </c>
      <c r="P447" s="133"/>
      <c r="Q447" s="2" t="s">
        <v>1406</v>
      </c>
      <c r="R447" s="156">
        <f t="shared" si="48"/>
        <v>0</v>
      </c>
      <c r="S447" s="156">
        <f t="shared" si="49"/>
        <v>0</v>
      </c>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53">
        <v>0</v>
      </c>
      <c r="AT447" s="153">
        <v>0</v>
      </c>
      <c r="AU447" s="153">
        <v>0</v>
      </c>
      <c r="AV447" s="135">
        <v>0</v>
      </c>
      <c r="AW447" s="135">
        <v>0</v>
      </c>
      <c r="AX447" s="142">
        <f>(H447/1.18-AT447-AW447)*0.1</f>
        <v>673.58559322033909</v>
      </c>
      <c r="AY447" s="142"/>
      <c r="AZ447" s="142"/>
      <c r="BA447" s="142"/>
      <c r="BB447" s="142"/>
      <c r="BC447" s="142"/>
      <c r="BD447" s="142"/>
      <c r="BE447" s="142"/>
      <c r="BF447" s="142"/>
      <c r="BG447" s="135"/>
      <c r="BH447" s="135"/>
      <c r="BI447" s="2" t="s">
        <v>11</v>
      </c>
      <c r="BJ447" s="136">
        <v>45260</v>
      </c>
      <c r="BK447" s="2" t="s">
        <v>8</v>
      </c>
      <c r="BL447" s="136" t="s">
        <v>113</v>
      </c>
      <c r="BM447" s="136">
        <v>44931</v>
      </c>
      <c r="BN447" s="2" t="s">
        <v>1465</v>
      </c>
      <c r="BO447" s="2"/>
      <c r="BP447" s="136"/>
      <c r="BQ447" s="137" t="s">
        <v>119</v>
      </c>
      <c r="BR447" s="138"/>
    </row>
    <row r="448" spans="1:70" ht="12.75" customHeight="1" x14ac:dyDescent="0.2">
      <c r="A448" s="2">
        <v>1937</v>
      </c>
      <c r="B448" s="2" t="s">
        <v>39</v>
      </c>
      <c r="C448" s="2" t="s">
        <v>41</v>
      </c>
      <c r="D448" s="2" t="s">
        <v>1354</v>
      </c>
      <c r="E448" s="2" t="s">
        <v>106</v>
      </c>
      <c r="F448" s="132">
        <f>58*1.75</f>
        <v>101.5</v>
      </c>
      <c r="G448" s="132"/>
      <c r="H448" s="132">
        <f>58*1.75</f>
        <v>101.5</v>
      </c>
      <c r="I448" s="132"/>
      <c r="J448" s="132">
        <v>101.5</v>
      </c>
      <c r="K448" s="132">
        <f t="shared" si="51"/>
        <v>0</v>
      </c>
      <c r="L448" s="132">
        <f t="shared" si="47"/>
        <v>0</v>
      </c>
      <c r="M448" s="133"/>
      <c r="N448" s="133">
        <f t="shared" si="50"/>
        <v>0</v>
      </c>
      <c r="O448" s="134">
        <v>0</v>
      </c>
      <c r="P448" s="133"/>
      <c r="Q448" s="2" t="s">
        <v>1407</v>
      </c>
      <c r="R448" s="156">
        <f t="shared" si="48"/>
        <v>0</v>
      </c>
      <c r="S448" s="156">
        <f t="shared" si="49"/>
        <v>0</v>
      </c>
      <c r="T448" s="133"/>
      <c r="U448" s="133"/>
      <c r="V448" s="133"/>
      <c r="W448" s="133"/>
      <c r="X448" s="133"/>
      <c r="Y448" s="133"/>
      <c r="Z448" s="133"/>
      <c r="AA448" s="133"/>
      <c r="AB448" s="133"/>
      <c r="AC448" s="133"/>
      <c r="AD448" s="133"/>
      <c r="AE448" s="133"/>
      <c r="AF448" s="133"/>
      <c r="AG448" s="133"/>
      <c r="AH448" s="133"/>
      <c r="AI448" s="133"/>
      <c r="AJ448" s="133"/>
      <c r="AK448" s="133"/>
      <c r="AL448" s="133"/>
      <c r="AM448" s="133"/>
      <c r="AN448" s="133"/>
      <c r="AO448" s="133"/>
      <c r="AP448" s="133"/>
      <c r="AQ448" s="133"/>
      <c r="AR448" s="133"/>
      <c r="AS448" s="153">
        <v>0</v>
      </c>
      <c r="AT448" s="153">
        <v>0</v>
      </c>
      <c r="AU448" s="153">
        <v>0</v>
      </c>
      <c r="AV448" s="135"/>
      <c r="AW448" s="135"/>
      <c r="AX448" s="135"/>
      <c r="AY448" s="135"/>
      <c r="AZ448" s="135"/>
      <c r="BA448" s="135"/>
      <c r="BB448" s="135"/>
      <c r="BC448" s="135"/>
      <c r="BD448" s="135"/>
      <c r="BE448" s="135"/>
      <c r="BF448" s="135"/>
      <c r="BG448" s="135"/>
      <c r="BH448" s="135"/>
      <c r="BI448" s="2" t="s">
        <v>112</v>
      </c>
      <c r="BJ448" s="136">
        <v>45153</v>
      </c>
      <c r="BK448" s="2" t="s">
        <v>145</v>
      </c>
      <c r="BL448" s="136" t="s">
        <v>113</v>
      </c>
      <c r="BM448" s="136">
        <v>44931</v>
      </c>
      <c r="BN448" s="2" t="s">
        <v>1466</v>
      </c>
      <c r="BO448" s="2"/>
      <c r="BP448" s="136"/>
      <c r="BQ448" s="137" t="s">
        <v>134</v>
      </c>
      <c r="BR448" s="138"/>
    </row>
    <row r="449" spans="1:70" ht="12.75" customHeight="1" x14ac:dyDescent="0.2">
      <c r="A449" s="2">
        <v>1938</v>
      </c>
      <c r="B449" s="2" t="s">
        <v>39</v>
      </c>
      <c r="C449" s="2" t="s">
        <v>41</v>
      </c>
      <c r="D449" s="2" t="s">
        <v>1355</v>
      </c>
      <c r="E449" s="2" t="s">
        <v>90</v>
      </c>
      <c r="F449" s="132">
        <v>31433.500800000002</v>
      </c>
      <c r="G449" s="132"/>
      <c r="H449" s="132">
        <f>1500.8+4901.58</f>
        <v>6402.38</v>
      </c>
      <c r="I449" s="132"/>
      <c r="J449" s="132">
        <f>228.935+747.698+5425.747</f>
        <v>6402.38</v>
      </c>
      <c r="K449" s="132">
        <f t="shared" si="51"/>
        <v>25031.120800000001</v>
      </c>
      <c r="L449" s="132">
        <f t="shared" si="47"/>
        <v>0</v>
      </c>
      <c r="M449" s="133">
        <v>27.2</v>
      </c>
      <c r="N449" s="133">
        <f t="shared" si="50"/>
        <v>0</v>
      </c>
      <c r="O449" s="134">
        <v>0</v>
      </c>
      <c r="P449" s="133"/>
      <c r="Q449" s="2" t="s">
        <v>1407</v>
      </c>
      <c r="R449" s="156">
        <f t="shared" si="48"/>
        <v>0</v>
      </c>
      <c r="S449" s="156">
        <f t="shared" si="49"/>
        <v>0</v>
      </c>
      <c r="T449" s="133"/>
      <c r="U449" s="133"/>
      <c r="V449" s="133"/>
      <c r="W449" s="133"/>
      <c r="X449" s="133"/>
      <c r="Y449" s="133"/>
      <c r="Z449" s="133"/>
      <c r="AA449" s="133"/>
      <c r="AB449" s="133"/>
      <c r="AC449" s="133"/>
      <c r="AD449" s="133"/>
      <c r="AE449" s="133"/>
      <c r="AF449" s="133"/>
      <c r="AG449" s="133"/>
      <c r="AH449" s="133"/>
      <c r="AI449" s="133"/>
      <c r="AJ449" s="133"/>
      <c r="AK449" s="133"/>
      <c r="AL449" s="133"/>
      <c r="AM449" s="133"/>
      <c r="AN449" s="133"/>
      <c r="AO449" s="133"/>
      <c r="AP449" s="133"/>
      <c r="AQ449" s="133"/>
      <c r="AR449" s="133"/>
      <c r="AS449" s="153">
        <v>0</v>
      </c>
      <c r="AT449" s="153">
        <v>0</v>
      </c>
      <c r="AU449" s="153">
        <v>0</v>
      </c>
      <c r="AV449" s="135">
        <v>0</v>
      </c>
      <c r="AW449" s="135">
        <v>0</v>
      </c>
      <c r="AX449" s="142">
        <f>(H449/1.18-AT449-AW449)*0.1</f>
        <v>542.57457627118652</v>
      </c>
      <c r="AY449" s="142"/>
      <c r="AZ449" s="142"/>
      <c r="BA449" s="142"/>
      <c r="BB449" s="142"/>
      <c r="BC449" s="142"/>
      <c r="BD449" s="142"/>
      <c r="BE449" s="142"/>
      <c r="BF449" s="142"/>
      <c r="BG449" s="135"/>
      <c r="BH449" s="135"/>
      <c r="BI449" s="2" t="s">
        <v>11</v>
      </c>
      <c r="BJ449" s="136">
        <v>45260</v>
      </c>
      <c r="BK449" s="2" t="s">
        <v>8</v>
      </c>
      <c r="BL449" s="136" t="s">
        <v>113</v>
      </c>
      <c r="BM449" s="136">
        <v>44931</v>
      </c>
      <c r="BN449" s="2" t="s">
        <v>1467</v>
      </c>
      <c r="BO449" s="2"/>
      <c r="BP449" s="136"/>
      <c r="BQ449" s="137" t="s">
        <v>119</v>
      </c>
      <c r="BR449" s="138"/>
    </row>
    <row r="450" spans="1:70" ht="12.75" customHeight="1" x14ac:dyDescent="0.2">
      <c r="A450" s="2">
        <v>1939</v>
      </c>
      <c r="B450" s="2" t="s">
        <v>108</v>
      </c>
      <c r="C450" s="2" t="s">
        <v>40</v>
      </c>
      <c r="D450" s="2" t="s">
        <v>1356</v>
      </c>
      <c r="E450" s="2" t="s">
        <v>106</v>
      </c>
      <c r="F450" s="132">
        <v>0</v>
      </c>
      <c r="G450" s="132">
        <v>2</v>
      </c>
      <c r="H450" s="132">
        <f>R450</f>
        <v>0</v>
      </c>
      <c r="I450" s="132"/>
      <c r="J450" s="132">
        <f>S450</f>
        <v>0</v>
      </c>
      <c r="K450" s="132">
        <f t="shared" si="51"/>
        <v>0</v>
      </c>
      <c r="L450" s="132">
        <f t="shared" si="47"/>
        <v>0</v>
      </c>
      <c r="M450" s="133"/>
      <c r="N450" s="133">
        <f t="shared" si="50"/>
        <v>0</v>
      </c>
      <c r="O450" s="134">
        <v>2</v>
      </c>
      <c r="P450" s="133"/>
      <c r="Q450" s="2" t="s">
        <v>1408</v>
      </c>
      <c r="R450" s="156">
        <f t="shared" si="48"/>
        <v>0</v>
      </c>
      <c r="S450" s="156">
        <f t="shared" si="49"/>
        <v>0</v>
      </c>
      <c r="T450" s="133"/>
      <c r="U450" s="133"/>
      <c r="V450" s="133"/>
      <c r="W450" s="133"/>
      <c r="X450" s="133"/>
      <c r="Y450" s="133"/>
      <c r="Z450" s="133"/>
      <c r="AA450" s="133"/>
      <c r="AB450" s="133"/>
      <c r="AC450" s="133"/>
      <c r="AD450" s="133"/>
      <c r="AE450" s="133"/>
      <c r="AF450" s="133"/>
      <c r="AG450" s="133"/>
      <c r="AH450" s="133"/>
      <c r="AI450" s="133"/>
      <c r="AJ450" s="133"/>
      <c r="AK450" s="133"/>
      <c r="AL450" s="133"/>
      <c r="AM450" s="133"/>
      <c r="AN450" s="133"/>
      <c r="AO450" s="133"/>
      <c r="AP450" s="133"/>
      <c r="AQ450" s="133"/>
      <c r="AR450" s="133"/>
      <c r="AS450" s="153">
        <v>0</v>
      </c>
      <c r="AT450" s="153">
        <v>0</v>
      </c>
      <c r="AU450" s="153">
        <v>0</v>
      </c>
      <c r="AV450" s="135"/>
      <c r="AW450" s="135"/>
      <c r="AX450" s="135"/>
      <c r="AY450" s="135"/>
      <c r="AZ450" s="135"/>
      <c r="BA450" s="135"/>
      <c r="BB450" s="135"/>
      <c r="BC450" s="135"/>
      <c r="BD450" s="135"/>
      <c r="BE450" s="135"/>
      <c r="BF450" s="135"/>
      <c r="BG450" s="135"/>
      <c r="BH450" s="135"/>
      <c r="BI450" s="2" t="s">
        <v>112</v>
      </c>
      <c r="BJ450" s="136"/>
      <c r="BK450" s="2">
        <v>0</v>
      </c>
      <c r="BL450" s="136" t="s">
        <v>113</v>
      </c>
      <c r="BM450" s="136">
        <v>44931</v>
      </c>
      <c r="BN450" s="2" t="s">
        <v>1468</v>
      </c>
      <c r="BO450" s="2"/>
      <c r="BP450" s="136"/>
      <c r="BQ450" s="137"/>
      <c r="BR450" s="138"/>
    </row>
    <row r="451" spans="1:70" ht="12.75" customHeight="1" x14ac:dyDescent="0.2">
      <c r="A451" s="2">
        <v>1940</v>
      </c>
      <c r="B451" s="2" t="s">
        <v>108</v>
      </c>
      <c r="C451" s="2" t="s">
        <v>40</v>
      </c>
      <c r="D451" s="2" t="s">
        <v>1357</v>
      </c>
      <c r="E451" s="2" t="s">
        <v>90</v>
      </c>
      <c r="F451" s="132">
        <v>36672.417599999993</v>
      </c>
      <c r="G451" s="132">
        <v>2</v>
      </c>
      <c r="H451" s="132">
        <f>R451</f>
        <v>50021.34</v>
      </c>
      <c r="I451" s="132"/>
      <c r="J451" s="132">
        <f>BC451+S451</f>
        <v>7016.95</v>
      </c>
      <c r="K451" s="132">
        <f t="shared" si="51"/>
        <v>29655.467599999993</v>
      </c>
      <c r="L451" s="132">
        <f t="shared" si="47"/>
        <v>43004.39</v>
      </c>
      <c r="M451" s="133"/>
      <c r="N451" s="133">
        <f t="shared" si="50"/>
        <v>29655.467599999993</v>
      </c>
      <c r="O451" s="134">
        <v>1</v>
      </c>
      <c r="P451" s="133"/>
      <c r="Q451" s="2" t="s">
        <v>1408</v>
      </c>
      <c r="R451" s="156">
        <f t="shared" si="48"/>
        <v>50021.34</v>
      </c>
      <c r="S451" s="156">
        <f t="shared" si="49"/>
        <v>7016.95</v>
      </c>
      <c r="T451" s="133"/>
      <c r="U451" s="133"/>
      <c r="V451" s="133"/>
      <c r="W451" s="133"/>
      <c r="X451" s="133">
        <v>46000</v>
      </c>
      <c r="Y451" s="133"/>
      <c r="Z451" s="133"/>
      <c r="AA451" s="133">
        <v>7016.95</v>
      </c>
      <c r="AB451" s="133"/>
      <c r="AC451" s="133"/>
      <c r="AD451" s="133"/>
      <c r="AE451" s="133"/>
      <c r="AF451" s="133"/>
      <c r="AG451" s="133"/>
      <c r="AH451" s="133"/>
      <c r="AI451" s="133"/>
      <c r="AJ451" s="133"/>
      <c r="AK451" s="133"/>
      <c r="AL451" s="133"/>
      <c r="AM451" s="133"/>
      <c r="AN451" s="133">
        <v>4021.34</v>
      </c>
      <c r="AO451" s="133"/>
      <c r="AP451" s="133"/>
      <c r="AQ451" s="133"/>
      <c r="AR451" s="133"/>
      <c r="AS451" s="153">
        <v>0</v>
      </c>
      <c r="AT451" s="153">
        <v>0</v>
      </c>
      <c r="AU451" s="153">
        <v>0</v>
      </c>
      <c r="AV451" s="135"/>
      <c r="AW451" s="135"/>
      <c r="AX451" s="135"/>
      <c r="AY451" s="135"/>
      <c r="AZ451" s="135"/>
      <c r="BA451" s="135"/>
      <c r="BB451" s="135"/>
      <c r="BC451" s="135"/>
      <c r="BD451" s="135"/>
      <c r="BE451" s="135"/>
      <c r="BF451" s="135"/>
      <c r="BG451" s="135"/>
      <c r="BH451" s="135"/>
      <c r="BI451" s="2" t="s">
        <v>11</v>
      </c>
      <c r="BJ451" s="136"/>
      <c r="BK451" s="2">
        <v>0</v>
      </c>
      <c r="BL451" s="136" t="s">
        <v>113</v>
      </c>
      <c r="BM451" s="136">
        <v>44931</v>
      </c>
      <c r="BN451" s="2" t="s">
        <v>1469</v>
      </c>
      <c r="BO451" s="2"/>
      <c r="BP451" s="136"/>
      <c r="BQ451" s="137"/>
      <c r="BR451" s="138"/>
    </row>
    <row r="452" spans="1:70" ht="12.75" customHeight="1" x14ac:dyDescent="0.2">
      <c r="A452" s="2">
        <v>1941</v>
      </c>
      <c r="B452" s="2" t="s">
        <v>108</v>
      </c>
      <c r="C452" s="2" t="s">
        <v>40</v>
      </c>
      <c r="D452" s="2" t="s">
        <v>1358</v>
      </c>
      <c r="E452" s="2" t="s">
        <v>106</v>
      </c>
      <c r="F452" s="132">
        <f>1371*1.75</f>
        <v>2399.25</v>
      </c>
      <c r="G452" s="132"/>
      <c r="H452" s="132">
        <f>1371*1.75</f>
        <v>2399.25</v>
      </c>
      <c r="I452" s="132"/>
      <c r="J452" s="132">
        <f>365.987+2033.263</f>
        <v>2399.25</v>
      </c>
      <c r="K452" s="132">
        <f t="shared" si="51"/>
        <v>0</v>
      </c>
      <c r="L452" s="132">
        <f t="shared" si="47"/>
        <v>0</v>
      </c>
      <c r="M452" s="133"/>
      <c r="N452" s="133">
        <f t="shared" si="50"/>
        <v>0</v>
      </c>
      <c r="O452" s="134">
        <v>0</v>
      </c>
      <c r="P452" s="133"/>
      <c r="Q452" s="2" t="s">
        <v>1409</v>
      </c>
      <c r="R452" s="156">
        <f t="shared" si="48"/>
        <v>0</v>
      </c>
      <c r="S452" s="156">
        <f t="shared" si="49"/>
        <v>0</v>
      </c>
      <c r="T452" s="133"/>
      <c r="U452" s="133"/>
      <c r="V452" s="133"/>
      <c r="W452" s="133"/>
      <c r="X452" s="133"/>
      <c r="Y452" s="133"/>
      <c r="Z452" s="133"/>
      <c r="AA452" s="133"/>
      <c r="AB452" s="133"/>
      <c r="AC452" s="133"/>
      <c r="AD452" s="133"/>
      <c r="AE452" s="133"/>
      <c r="AF452" s="133"/>
      <c r="AG452" s="133"/>
      <c r="AH452" s="133"/>
      <c r="AI452" s="133"/>
      <c r="AJ452" s="133"/>
      <c r="AK452" s="133"/>
      <c r="AL452" s="133"/>
      <c r="AM452" s="133"/>
      <c r="AN452" s="133"/>
      <c r="AO452" s="133"/>
      <c r="AP452" s="133"/>
      <c r="AQ452" s="133"/>
      <c r="AR452" s="133"/>
      <c r="AS452" s="153">
        <v>0</v>
      </c>
      <c r="AT452" s="153">
        <v>0</v>
      </c>
      <c r="AU452" s="153">
        <v>0</v>
      </c>
      <c r="AV452" s="135"/>
      <c r="AW452" s="135"/>
      <c r="AX452" s="135"/>
      <c r="AY452" s="135"/>
      <c r="AZ452" s="135"/>
      <c r="BA452" s="135"/>
      <c r="BB452" s="135"/>
      <c r="BC452" s="135"/>
      <c r="BD452" s="135"/>
      <c r="BE452" s="135"/>
      <c r="BF452" s="135"/>
      <c r="BG452" s="135"/>
      <c r="BH452" s="135"/>
      <c r="BI452" s="2" t="s">
        <v>112</v>
      </c>
      <c r="BJ452" s="136">
        <v>45153</v>
      </c>
      <c r="BK452" s="2" t="s">
        <v>145</v>
      </c>
      <c r="BL452" s="136" t="s">
        <v>113</v>
      </c>
      <c r="BM452" s="136">
        <v>44931</v>
      </c>
      <c r="BN452" s="2" t="s">
        <v>1470</v>
      </c>
      <c r="BO452" s="2"/>
      <c r="BP452" s="136"/>
      <c r="BQ452" s="137" t="s">
        <v>134</v>
      </c>
      <c r="BR452" s="138"/>
    </row>
    <row r="453" spans="1:70" ht="12.75" customHeight="1" x14ac:dyDescent="0.2">
      <c r="A453" s="2">
        <v>1942</v>
      </c>
      <c r="B453" s="2" t="s">
        <v>108</v>
      </c>
      <c r="C453" s="2" t="s">
        <v>40</v>
      </c>
      <c r="D453" s="2" t="s">
        <v>1359</v>
      </c>
      <c r="E453" s="2" t="s">
        <v>90</v>
      </c>
      <c r="F453" s="132">
        <v>65000</v>
      </c>
      <c r="G453" s="132">
        <v>2</v>
      </c>
      <c r="H453" s="132">
        <f>60000+35000+29530.14</f>
        <v>124530.14</v>
      </c>
      <c r="I453" s="132">
        <f>60000+35000+29530.14</f>
        <v>124530.14</v>
      </c>
      <c r="J453" s="132">
        <f>9152.54+5338.98+AY453+4504.597+25025.543</f>
        <v>124530.14</v>
      </c>
      <c r="K453" s="132">
        <f t="shared" si="51"/>
        <v>-59530.14</v>
      </c>
      <c r="L453" s="132">
        <f t="shared" si="47"/>
        <v>0</v>
      </c>
      <c r="M453" s="133">
        <v>1013</v>
      </c>
      <c r="N453" s="133">
        <f t="shared" si="50"/>
        <v>0</v>
      </c>
      <c r="O453" s="134">
        <v>0</v>
      </c>
      <c r="P453" s="133"/>
      <c r="Q453" s="2" t="s">
        <v>1409</v>
      </c>
      <c r="R453" s="156">
        <f t="shared" si="48"/>
        <v>0</v>
      </c>
      <c r="S453" s="156">
        <f t="shared" si="49"/>
        <v>0</v>
      </c>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53">
        <v>0</v>
      </c>
      <c r="AT453" s="153">
        <v>0</v>
      </c>
      <c r="AU453" s="153">
        <v>0</v>
      </c>
      <c r="AV453" s="135"/>
      <c r="AW453" s="135"/>
      <c r="AX453" s="135"/>
      <c r="AY453" s="135">
        <f>50847.46+29661.02</f>
        <v>80508.479999999996</v>
      </c>
      <c r="AZ453" s="135">
        <f>6136.97+3068.7</f>
        <v>9205.67</v>
      </c>
      <c r="BA453" s="135">
        <f>95000/1.18*0.8*0.1</f>
        <v>6440.6779661016963</v>
      </c>
      <c r="BB453" s="140">
        <f>(H453/1.18-AT453-AW453-AZ453)*0.1-BA453</f>
        <v>3192.1567288135584</v>
      </c>
      <c r="BC453" s="135"/>
      <c r="BD453" s="135"/>
      <c r="BE453" s="135">
        <f>(H453/1.18-AT453-AW453-AZ453-BD453)*0.1-AU453-AX453-BA453-BB453</f>
        <v>0</v>
      </c>
      <c r="BF453" s="135"/>
      <c r="BG453" s="135"/>
      <c r="BH453" s="135"/>
      <c r="BI453" s="2" t="s">
        <v>11</v>
      </c>
      <c r="BJ453" s="136">
        <v>45621</v>
      </c>
      <c r="BK453" s="2" t="s">
        <v>8</v>
      </c>
      <c r="BL453" s="136" t="s">
        <v>113</v>
      </c>
      <c r="BM453" s="136">
        <v>44931</v>
      </c>
      <c r="BN453" s="2" t="s">
        <v>1471</v>
      </c>
      <c r="BO453" s="2"/>
      <c r="BP453" s="136"/>
      <c r="BQ453" s="137" t="s">
        <v>119</v>
      </c>
      <c r="BR453" s="138"/>
    </row>
    <row r="454" spans="1:70" ht="12.75" customHeight="1" x14ac:dyDescent="0.2">
      <c r="A454" s="2">
        <v>1943</v>
      </c>
      <c r="B454" s="2" t="s">
        <v>108</v>
      </c>
      <c r="C454" s="2" t="s">
        <v>40</v>
      </c>
      <c r="D454" s="2" t="s">
        <v>1360</v>
      </c>
      <c r="E454" s="2" t="s">
        <v>106</v>
      </c>
      <c r="F454" s="132">
        <v>61.25</v>
      </c>
      <c r="G454" s="132"/>
      <c r="H454" s="132">
        <f>35*1.75</f>
        <v>61.25</v>
      </c>
      <c r="I454" s="132"/>
      <c r="J454" s="132">
        <v>61.25</v>
      </c>
      <c r="K454" s="132">
        <f t="shared" si="51"/>
        <v>0</v>
      </c>
      <c r="L454" s="132">
        <f t="shared" si="47"/>
        <v>0</v>
      </c>
      <c r="M454" s="133"/>
      <c r="N454" s="133">
        <f t="shared" si="50"/>
        <v>0</v>
      </c>
      <c r="O454" s="134">
        <v>0</v>
      </c>
      <c r="P454" s="133"/>
      <c r="Q454" s="2" t="s">
        <v>1410</v>
      </c>
      <c r="R454" s="156">
        <f t="shared" si="48"/>
        <v>0</v>
      </c>
      <c r="S454" s="156">
        <f t="shared" si="49"/>
        <v>0</v>
      </c>
      <c r="T454" s="133"/>
      <c r="U454" s="133"/>
      <c r="V454" s="133"/>
      <c r="W454" s="133"/>
      <c r="X454" s="133"/>
      <c r="Y454" s="133"/>
      <c r="Z454" s="133"/>
      <c r="AA454" s="133"/>
      <c r="AB454" s="133"/>
      <c r="AC454" s="133"/>
      <c r="AD454" s="133"/>
      <c r="AE454" s="133"/>
      <c r="AF454" s="133"/>
      <c r="AG454" s="133"/>
      <c r="AH454" s="133"/>
      <c r="AI454" s="133"/>
      <c r="AJ454" s="133"/>
      <c r="AK454" s="133"/>
      <c r="AL454" s="133"/>
      <c r="AM454" s="133"/>
      <c r="AN454" s="133"/>
      <c r="AO454" s="133"/>
      <c r="AP454" s="133"/>
      <c r="AQ454" s="133"/>
      <c r="AR454" s="133"/>
      <c r="AS454" s="153">
        <v>0</v>
      </c>
      <c r="AT454" s="153">
        <v>0</v>
      </c>
      <c r="AU454" s="153">
        <v>0</v>
      </c>
      <c r="AV454" s="135"/>
      <c r="AW454" s="135"/>
      <c r="AX454" s="135"/>
      <c r="AY454" s="135"/>
      <c r="AZ454" s="135"/>
      <c r="BA454" s="135"/>
      <c r="BB454" s="135"/>
      <c r="BC454" s="135"/>
      <c r="BD454" s="135"/>
      <c r="BE454" s="135"/>
      <c r="BF454" s="135"/>
      <c r="BG454" s="135"/>
      <c r="BH454" s="135"/>
      <c r="BI454" s="2" t="s">
        <v>112</v>
      </c>
      <c r="BJ454" s="136">
        <v>45201</v>
      </c>
      <c r="BK454" s="2" t="s">
        <v>145</v>
      </c>
      <c r="BL454" s="136" t="s">
        <v>113</v>
      </c>
      <c r="BM454" s="136">
        <v>44931</v>
      </c>
      <c r="BN454" s="2" t="s">
        <v>1472</v>
      </c>
      <c r="BO454" s="2"/>
      <c r="BP454" s="136"/>
      <c r="BQ454" s="137" t="s">
        <v>134</v>
      </c>
      <c r="BR454" s="138"/>
    </row>
    <row r="455" spans="1:70" ht="12.75" customHeight="1" x14ac:dyDescent="0.2">
      <c r="A455" s="2">
        <v>1944</v>
      </c>
      <c r="B455" s="2" t="s">
        <v>108</v>
      </c>
      <c r="C455" s="2" t="s">
        <v>40</v>
      </c>
      <c r="D455" s="2" t="s">
        <v>1361</v>
      </c>
      <c r="E455" s="2" t="s">
        <v>90</v>
      </c>
      <c r="F455" s="132">
        <v>33598.847999999998</v>
      </c>
      <c r="G455" s="132"/>
      <c r="H455" s="132">
        <f>1393.6+3712.76</f>
        <v>5106.3600000000006</v>
      </c>
      <c r="I455" s="132"/>
      <c r="J455" s="132">
        <f>212.58+566.35+4327.43</f>
        <v>5106.3600000000006</v>
      </c>
      <c r="K455" s="132">
        <f t="shared" si="51"/>
        <v>28492.487999999998</v>
      </c>
      <c r="L455" s="132">
        <f t="shared" si="47"/>
        <v>0</v>
      </c>
      <c r="M455" s="133">
        <v>45</v>
      </c>
      <c r="N455" s="133">
        <f t="shared" si="50"/>
        <v>0</v>
      </c>
      <c r="O455" s="134">
        <v>0</v>
      </c>
      <c r="P455" s="133"/>
      <c r="Q455" s="2" t="s">
        <v>1410</v>
      </c>
      <c r="R455" s="156">
        <f t="shared" si="48"/>
        <v>0</v>
      </c>
      <c r="S455" s="156">
        <f t="shared" si="49"/>
        <v>0</v>
      </c>
      <c r="T455" s="133"/>
      <c r="U455" s="133"/>
      <c r="V455" s="133"/>
      <c r="W455" s="133"/>
      <c r="X455" s="133"/>
      <c r="Y455" s="133"/>
      <c r="Z455" s="133"/>
      <c r="AA455" s="133"/>
      <c r="AB455" s="133"/>
      <c r="AC455" s="133"/>
      <c r="AD455" s="133"/>
      <c r="AE455" s="133"/>
      <c r="AF455" s="133"/>
      <c r="AG455" s="133"/>
      <c r="AH455" s="133"/>
      <c r="AI455" s="133"/>
      <c r="AJ455" s="133"/>
      <c r="AK455" s="133"/>
      <c r="AL455" s="133"/>
      <c r="AM455" s="133"/>
      <c r="AN455" s="133"/>
      <c r="AO455" s="133"/>
      <c r="AP455" s="133"/>
      <c r="AQ455" s="133"/>
      <c r="AR455" s="133"/>
      <c r="AS455" s="153">
        <v>0</v>
      </c>
      <c r="AT455" s="153">
        <v>0</v>
      </c>
      <c r="AU455" s="153">
        <v>0</v>
      </c>
      <c r="AV455" s="135">
        <v>0</v>
      </c>
      <c r="AW455" s="135">
        <v>0</v>
      </c>
      <c r="AX455" s="142">
        <f>(H455/1.18-AT455-AW455)*0.1</f>
        <v>432.742372881356</v>
      </c>
      <c r="AY455" s="142"/>
      <c r="AZ455" s="142"/>
      <c r="BA455" s="142"/>
      <c r="BB455" s="142"/>
      <c r="BC455" s="142"/>
      <c r="BD455" s="142"/>
      <c r="BE455" s="142"/>
      <c r="BF455" s="142"/>
      <c r="BG455" s="135"/>
      <c r="BH455" s="135"/>
      <c r="BI455" s="2" t="s">
        <v>11</v>
      </c>
      <c r="BJ455" s="136">
        <v>45260</v>
      </c>
      <c r="BK455" s="2" t="s">
        <v>8</v>
      </c>
      <c r="BL455" s="136" t="s">
        <v>113</v>
      </c>
      <c r="BM455" s="136">
        <v>44931</v>
      </c>
      <c r="BN455" s="2" t="s">
        <v>1473</v>
      </c>
      <c r="BO455" s="2"/>
      <c r="BP455" s="136"/>
      <c r="BQ455" s="137" t="s">
        <v>119</v>
      </c>
      <c r="BR455" s="138"/>
    </row>
    <row r="456" spans="1:70" ht="12.75" customHeight="1" x14ac:dyDescent="0.2">
      <c r="A456" s="2">
        <v>1945</v>
      </c>
      <c r="B456" s="2" t="s">
        <v>108</v>
      </c>
      <c r="C456" s="2" t="s">
        <v>40</v>
      </c>
      <c r="D456" s="2" t="s">
        <v>1362</v>
      </c>
      <c r="E456" s="2" t="s">
        <v>106</v>
      </c>
      <c r="F456" s="132">
        <v>26.25</v>
      </c>
      <c r="G456" s="132"/>
      <c r="H456" s="132">
        <f>15*1.75</f>
        <v>26.25</v>
      </c>
      <c r="I456" s="132"/>
      <c r="J456" s="132">
        <v>26.25</v>
      </c>
      <c r="K456" s="132">
        <f t="shared" si="51"/>
        <v>0</v>
      </c>
      <c r="L456" s="132">
        <f t="shared" si="47"/>
        <v>0</v>
      </c>
      <c r="M456" s="133"/>
      <c r="N456" s="133">
        <f t="shared" si="50"/>
        <v>0</v>
      </c>
      <c r="O456" s="134">
        <v>0</v>
      </c>
      <c r="P456" s="133"/>
      <c r="Q456" s="2" t="s">
        <v>1411</v>
      </c>
      <c r="R456" s="156">
        <f t="shared" si="48"/>
        <v>0</v>
      </c>
      <c r="S456" s="156">
        <f t="shared" si="49"/>
        <v>0</v>
      </c>
      <c r="T456" s="133"/>
      <c r="U456" s="133"/>
      <c r="V456" s="133"/>
      <c r="W456" s="133"/>
      <c r="X456" s="133"/>
      <c r="Y456" s="133"/>
      <c r="Z456" s="133"/>
      <c r="AA456" s="133"/>
      <c r="AB456" s="133"/>
      <c r="AC456" s="133"/>
      <c r="AD456" s="133"/>
      <c r="AE456" s="133"/>
      <c r="AF456" s="133"/>
      <c r="AG456" s="133"/>
      <c r="AH456" s="133"/>
      <c r="AI456" s="133"/>
      <c r="AJ456" s="133"/>
      <c r="AK456" s="133"/>
      <c r="AL456" s="133"/>
      <c r="AM456" s="133"/>
      <c r="AN456" s="133"/>
      <c r="AO456" s="133"/>
      <c r="AP456" s="133"/>
      <c r="AQ456" s="133"/>
      <c r="AR456" s="133"/>
      <c r="AS456" s="153">
        <v>0</v>
      </c>
      <c r="AT456" s="153">
        <v>0</v>
      </c>
      <c r="AU456" s="153">
        <v>0</v>
      </c>
      <c r="AV456" s="135"/>
      <c r="AW456" s="135"/>
      <c r="AX456" s="135"/>
      <c r="AY456" s="135"/>
      <c r="AZ456" s="135"/>
      <c r="BA456" s="135"/>
      <c r="BB456" s="135"/>
      <c r="BC456" s="135"/>
      <c r="BD456" s="135"/>
      <c r="BE456" s="135"/>
      <c r="BF456" s="135"/>
      <c r="BG456" s="135"/>
      <c r="BH456" s="135"/>
      <c r="BI456" s="2" t="s">
        <v>112</v>
      </c>
      <c r="BJ456" s="136">
        <v>45201</v>
      </c>
      <c r="BK456" s="2" t="s">
        <v>145</v>
      </c>
      <c r="BL456" s="136" t="s">
        <v>113</v>
      </c>
      <c r="BM456" s="136">
        <v>44931</v>
      </c>
      <c r="BN456" s="2" t="s">
        <v>1474</v>
      </c>
      <c r="BO456" s="2"/>
      <c r="BP456" s="136"/>
      <c r="BQ456" s="137" t="s">
        <v>134</v>
      </c>
      <c r="BR456" s="138"/>
    </row>
    <row r="457" spans="1:70" ht="12.75" customHeight="1" x14ac:dyDescent="0.2">
      <c r="A457" s="2">
        <v>1946</v>
      </c>
      <c r="B457" s="2" t="s">
        <v>108</v>
      </c>
      <c r="C457" s="2" t="s">
        <v>40</v>
      </c>
      <c r="D457" s="2" t="s">
        <v>1363</v>
      </c>
      <c r="E457" s="2" t="s">
        <v>90</v>
      </c>
      <c r="F457" s="132">
        <v>23222.683199999999</v>
      </c>
      <c r="G457" s="132"/>
      <c r="H457" s="132">
        <f>536+1265.98</f>
        <v>1801.98</v>
      </c>
      <c r="I457" s="132"/>
      <c r="J457" s="132">
        <f>536+193.115+1072.865</f>
        <v>1801.98</v>
      </c>
      <c r="K457" s="132">
        <f t="shared" si="51"/>
        <v>21420.7032</v>
      </c>
      <c r="L457" s="132">
        <f t="shared" si="47"/>
        <v>0</v>
      </c>
      <c r="M457" s="133">
        <v>20</v>
      </c>
      <c r="N457" s="133">
        <f t="shared" si="50"/>
        <v>0</v>
      </c>
      <c r="O457" s="134">
        <v>0</v>
      </c>
      <c r="P457" s="133"/>
      <c r="Q457" s="2" t="s">
        <v>1411</v>
      </c>
      <c r="R457" s="156">
        <f t="shared" si="48"/>
        <v>0</v>
      </c>
      <c r="S457" s="156">
        <f t="shared" si="49"/>
        <v>0</v>
      </c>
      <c r="T457" s="133"/>
      <c r="U457" s="133"/>
      <c r="V457" s="133"/>
      <c r="W457" s="133"/>
      <c r="X457" s="133"/>
      <c r="Y457" s="133"/>
      <c r="Z457" s="133"/>
      <c r="AA457" s="133"/>
      <c r="AB457" s="133"/>
      <c r="AC457" s="133"/>
      <c r="AD457" s="133"/>
      <c r="AE457" s="133"/>
      <c r="AF457" s="133"/>
      <c r="AG457" s="133"/>
      <c r="AH457" s="133"/>
      <c r="AI457" s="133"/>
      <c r="AJ457" s="133"/>
      <c r="AK457" s="133"/>
      <c r="AL457" s="133"/>
      <c r="AM457" s="133"/>
      <c r="AN457" s="133"/>
      <c r="AO457" s="133"/>
      <c r="AP457" s="133"/>
      <c r="AQ457" s="133"/>
      <c r="AR457" s="133"/>
      <c r="AS457" s="153">
        <v>0</v>
      </c>
      <c r="AT457" s="153">
        <v>0</v>
      </c>
      <c r="AU457" s="153">
        <v>0</v>
      </c>
      <c r="AV457" s="135">
        <v>0</v>
      </c>
      <c r="AW457" s="135">
        <v>0</v>
      </c>
      <c r="AX457" s="142">
        <f>(H457/1.18-AT457-AW457)*0.1</f>
        <v>152.71016949152542</v>
      </c>
      <c r="AY457" s="142"/>
      <c r="AZ457" s="142"/>
      <c r="BA457" s="142"/>
      <c r="BB457" s="142"/>
      <c r="BC457" s="142"/>
      <c r="BD457" s="142"/>
      <c r="BE457" s="142"/>
      <c r="BF457" s="142"/>
      <c r="BG457" s="135"/>
      <c r="BH457" s="135"/>
      <c r="BI457" s="2" t="s">
        <v>11</v>
      </c>
      <c r="BJ457" s="136">
        <v>45260</v>
      </c>
      <c r="BK457" s="2" t="s">
        <v>8</v>
      </c>
      <c r="BL457" s="136" t="s">
        <v>113</v>
      </c>
      <c r="BM457" s="136">
        <v>44931</v>
      </c>
      <c r="BN457" s="2" t="s">
        <v>1475</v>
      </c>
      <c r="BO457" s="2"/>
      <c r="BP457" s="136"/>
      <c r="BQ457" s="137" t="s">
        <v>119</v>
      </c>
      <c r="BR457" s="138"/>
    </row>
    <row r="458" spans="1:70" ht="12.75" customHeight="1" x14ac:dyDescent="0.2">
      <c r="A458" s="2">
        <v>1947</v>
      </c>
      <c r="B458" s="2" t="s">
        <v>108</v>
      </c>
      <c r="C458" s="2" t="s">
        <v>40</v>
      </c>
      <c r="D458" s="2" t="s">
        <v>1364</v>
      </c>
      <c r="E458" s="2" t="s">
        <v>106</v>
      </c>
      <c r="F458" s="132">
        <v>0</v>
      </c>
      <c r="G458" s="132">
        <v>2</v>
      </c>
      <c r="H458" s="132">
        <f>R458</f>
        <v>0</v>
      </c>
      <c r="I458" s="132"/>
      <c r="J458" s="132"/>
      <c r="K458" s="132">
        <f t="shared" si="51"/>
        <v>0</v>
      </c>
      <c r="L458" s="132">
        <f t="shared" si="47"/>
        <v>0</v>
      </c>
      <c r="M458" s="133"/>
      <c r="N458" s="133">
        <f t="shared" si="50"/>
        <v>0</v>
      </c>
      <c r="O458" s="134">
        <v>2</v>
      </c>
      <c r="P458" s="133"/>
      <c r="Q458" s="2" t="s">
        <v>1412</v>
      </c>
      <c r="R458" s="156">
        <f t="shared" si="48"/>
        <v>0</v>
      </c>
      <c r="S458" s="156">
        <f t="shared" si="49"/>
        <v>0</v>
      </c>
      <c r="T458" s="133"/>
      <c r="U458" s="133"/>
      <c r="V458" s="133"/>
      <c r="W458" s="133"/>
      <c r="X458" s="133"/>
      <c r="Y458" s="133"/>
      <c r="Z458" s="133"/>
      <c r="AA458" s="133"/>
      <c r="AB458" s="133"/>
      <c r="AC458" s="133"/>
      <c r="AD458" s="133"/>
      <c r="AE458" s="133"/>
      <c r="AF458" s="133"/>
      <c r="AG458" s="133"/>
      <c r="AH458" s="133"/>
      <c r="AI458" s="133"/>
      <c r="AJ458" s="133"/>
      <c r="AK458" s="133"/>
      <c r="AL458" s="133"/>
      <c r="AM458" s="133"/>
      <c r="AN458" s="133"/>
      <c r="AO458" s="133"/>
      <c r="AP458" s="133"/>
      <c r="AQ458" s="133"/>
      <c r="AR458" s="133"/>
      <c r="AS458" s="153">
        <v>0</v>
      </c>
      <c r="AT458" s="153">
        <v>0</v>
      </c>
      <c r="AU458" s="153">
        <v>0</v>
      </c>
      <c r="AV458" s="135"/>
      <c r="AW458" s="135"/>
      <c r="AX458" s="135"/>
      <c r="AY458" s="135"/>
      <c r="AZ458" s="135"/>
      <c r="BA458" s="135"/>
      <c r="BB458" s="135"/>
      <c r="BC458" s="135"/>
      <c r="BD458" s="135"/>
      <c r="BE458" s="135"/>
      <c r="BF458" s="135"/>
      <c r="BG458" s="135"/>
      <c r="BH458" s="135"/>
      <c r="BI458" s="2" t="s">
        <v>112</v>
      </c>
      <c r="BJ458" s="136"/>
      <c r="BK458" s="2">
        <v>0</v>
      </c>
      <c r="BL458" s="136" t="s">
        <v>113</v>
      </c>
      <c r="BM458" s="136">
        <v>44931</v>
      </c>
      <c r="BN458" s="2" t="s">
        <v>1476</v>
      </c>
      <c r="BO458" s="2"/>
      <c r="BP458" s="136"/>
      <c r="BQ458" s="137"/>
      <c r="BR458" s="138"/>
    </row>
    <row r="459" spans="1:70" ht="12.75" customHeight="1" x14ac:dyDescent="0.2">
      <c r="A459" s="2">
        <v>1948</v>
      </c>
      <c r="B459" s="2" t="s">
        <v>108</v>
      </c>
      <c r="C459" s="2" t="s">
        <v>40</v>
      </c>
      <c r="D459" s="2" t="s">
        <v>1365</v>
      </c>
      <c r="E459" s="2" t="s">
        <v>90</v>
      </c>
      <c r="F459" s="132">
        <v>300000</v>
      </c>
      <c r="G459" s="132">
        <v>2</v>
      </c>
      <c r="H459" s="132">
        <f>R459</f>
        <v>152100.70000000001</v>
      </c>
      <c r="I459" s="132"/>
      <c r="J459" s="132">
        <f>S459</f>
        <v>22881.360000000001</v>
      </c>
      <c r="K459" s="132">
        <f t="shared" si="51"/>
        <v>277118.64</v>
      </c>
      <c r="L459" s="132">
        <f t="shared" ref="L459:L522" si="52">H459-J459</f>
        <v>129219.34000000001</v>
      </c>
      <c r="M459" s="133"/>
      <c r="N459" s="133">
        <f t="shared" si="50"/>
        <v>277118.64</v>
      </c>
      <c r="O459" s="134">
        <v>1</v>
      </c>
      <c r="P459" s="133"/>
      <c r="Q459" s="2" t="s">
        <v>1412</v>
      </c>
      <c r="R459" s="156">
        <f t="shared" ref="R459:R522" si="53">T459+V459+X459+Z459+AB459+AD459+AF459+AH459+AJ459+AL459+AN459+AP459</f>
        <v>152100.70000000001</v>
      </c>
      <c r="S459" s="156">
        <f t="shared" ref="S459:S522" si="54">U459+W459+Y459+AA459+AC459+AE459+AG459+AI459+AK459+AM459+AO459+AQ459</f>
        <v>22881.360000000001</v>
      </c>
      <c r="T459" s="133"/>
      <c r="U459" s="133"/>
      <c r="V459" s="133"/>
      <c r="W459" s="133"/>
      <c r="X459" s="133"/>
      <c r="Y459" s="133"/>
      <c r="Z459" s="133"/>
      <c r="AA459" s="133"/>
      <c r="AB459" s="133"/>
      <c r="AC459" s="133"/>
      <c r="AD459" s="133"/>
      <c r="AE459" s="133"/>
      <c r="AF459" s="133"/>
      <c r="AG459" s="133"/>
      <c r="AH459" s="133"/>
      <c r="AI459" s="133"/>
      <c r="AJ459" s="133"/>
      <c r="AK459" s="133"/>
      <c r="AL459" s="133">
        <v>150000</v>
      </c>
      <c r="AM459" s="133"/>
      <c r="AN459" s="133">
        <v>2100.6999999999998</v>
      </c>
      <c r="AO459" s="133">
        <v>22881.360000000001</v>
      </c>
      <c r="AP459" s="133"/>
      <c r="AQ459" s="133"/>
      <c r="AR459" s="133"/>
      <c r="AS459" s="153">
        <v>0</v>
      </c>
      <c r="AT459" s="153">
        <v>0</v>
      </c>
      <c r="AU459" s="153">
        <v>0</v>
      </c>
      <c r="AV459" s="135"/>
      <c r="AW459" s="135"/>
      <c r="AX459" s="135"/>
      <c r="AY459" s="135"/>
      <c r="AZ459" s="135"/>
      <c r="BA459" s="135"/>
      <c r="BB459" s="135"/>
      <c r="BC459" s="135"/>
      <c r="BD459" s="135"/>
      <c r="BE459" s="135"/>
      <c r="BF459" s="135"/>
      <c r="BG459" s="135"/>
      <c r="BH459" s="135"/>
      <c r="BI459" s="2" t="s">
        <v>11</v>
      </c>
      <c r="BJ459" s="136"/>
      <c r="BK459" s="2">
        <v>0</v>
      </c>
      <c r="BL459" s="136" t="s">
        <v>113</v>
      </c>
      <c r="BM459" s="136">
        <v>44931</v>
      </c>
      <c r="BN459" s="2" t="s">
        <v>1477</v>
      </c>
      <c r="BO459" s="2"/>
      <c r="BP459" s="136"/>
      <c r="BQ459" s="137"/>
      <c r="BR459" s="138"/>
    </row>
    <row r="460" spans="1:70" ht="12.75" customHeight="1" x14ac:dyDescent="0.2">
      <c r="A460" s="2">
        <v>1949</v>
      </c>
      <c r="B460" s="2" t="s">
        <v>108</v>
      </c>
      <c r="C460" s="2" t="s">
        <v>73</v>
      </c>
      <c r="D460" s="2" t="s">
        <v>1366</v>
      </c>
      <c r="E460" s="2" t="s">
        <v>106</v>
      </c>
      <c r="F460" s="132">
        <v>0</v>
      </c>
      <c r="G460" s="132">
        <v>2</v>
      </c>
      <c r="H460" s="132"/>
      <c r="I460" s="132"/>
      <c r="J460" s="132"/>
      <c r="K460" s="132">
        <f t="shared" si="51"/>
        <v>0</v>
      </c>
      <c r="L460" s="132">
        <f t="shared" si="52"/>
        <v>0</v>
      </c>
      <c r="M460" s="133"/>
      <c r="N460" s="133">
        <f t="shared" si="50"/>
        <v>0</v>
      </c>
      <c r="O460" s="134">
        <v>2</v>
      </c>
      <c r="P460" s="133"/>
      <c r="Q460" s="2" t="s">
        <v>1413</v>
      </c>
      <c r="R460" s="156">
        <f t="shared" si="53"/>
        <v>0</v>
      </c>
      <c r="S460" s="156">
        <f t="shared" si="54"/>
        <v>0</v>
      </c>
      <c r="T460" s="133"/>
      <c r="U460" s="133"/>
      <c r="V460" s="133"/>
      <c r="W460" s="133"/>
      <c r="X460" s="133"/>
      <c r="Y460" s="133"/>
      <c r="Z460" s="133"/>
      <c r="AA460" s="133"/>
      <c r="AB460" s="133"/>
      <c r="AC460" s="133"/>
      <c r="AD460" s="133"/>
      <c r="AE460" s="133"/>
      <c r="AF460" s="133"/>
      <c r="AG460" s="133"/>
      <c r="AH460" s="133"/>
      <c r="AI460" s="133"/>
      <c r="AJ460" s="133"/>
      <c r="AK460" s="133"/>
      <c r="AL460" s="133"/>
      <c r="AM460" s="133"/>
      <c r="AN460" s="133"/>
      <c r="AO460" s="133"/>
      <c r="AP460" s="133"/>
      <c r="AQ460" s="133"/>
      <c r="AR460" s="133"/>
      <c r="AS460" s="153">
        <v>0</v>
      </c>
      <c r="AT460" s="153">
        <v>0</v>
      </c>
      <c r="AU460" s="153">
        <v>0</v>
      </c>
      <c r="AV460" s="135"/>
      <c r="AW460" s="135"/>
      <c r="AX460" s="135"/>
      <c r="AY460" s="135"/>
      <c r="AZ460" s="135"/>
      <c r="BA460" s="135"/>
      <c r="BB460" s="135"/>
      <c r="BC460" s="135"/>
      <c r="BD460" s="135"/>
      <c r="BE460" s="135"/>
      <c r="BF460" s="135"/>
      <c r="BG460" s="135"/>
      <c r="BH460" s="135"/>
      <c r="BI460" s="2" t="s">
        <v>112</v>
      </c>
      <c r="BJ460" s="136"/>
      <c r="BK460" s="2">
        <v>0</v>
      </c>
      <c r="BL460" s="136" t="s">
        <v>113</v>
      </c>
      <c r="BM460" s="136">
        <v>44931</v>
      </c>
      <c r="BN460" s="2" t="s">
        <v>1478</v>
      </c>
      <c r="BO460" s="2"/>
      <c r="BP460" s="136"/>
      <c r="BQ460" s="137"/>
      <c r="BR460" s="138"/>
    </row>
    <row r="461" spans="1:70" ht="12.75" customHeight="1" x14ac:dyDescent="0.2">
      <c r="A461" s="2">
        <v>1950</v>
      </c>
      <c r="B461" s="2" t="s">
        <v>108</v>
      </c>
      <c r="C461" s="2" t="s">
        <v>73</v>
      </c>
      <c r="D461" s="2" t="s">
        <v>1367</v>
      </c>
      <c r="E461" s="2" t="s">
        <v>90</v>
      </c>
      <c r="F461" s="132">
        <v>14679.199999999999</v>
      </c>
      <c r="G461" s="132"/>
      <c r="H461" s="132">
        <v>4920.46</v>
      </c>
      <c r="I461" s="132"/>
      <c r="J461" s="132">
        <v>4920.46</v>
      </c>
      <c r="K461" s="132">
        <f t="shared" si="51"/>
        <v>9758.739999999998</v>
      </c>
      <c r="L461" s="132">
        <f t="shared" si="52"/>
        <v>0</v>
      </c>
      <c r="M461" s="133">
        <v>152.1</v>
      </c>
      <c r="N461" s="133">
        <f t="shared" si="50"/>
        <v>0</v>
      </c>
      <c r="O461" s="134">
        <v>0</v>
      </c>
      <c r="P461" s="133"/>
      <c r="Q461" s="2" t="s">
        <v>1413</v>
      </c>
      <c r="R461" s="156">
        <f t="shared" si="53"/>
        <v>0</v>
      </c>
      <c r="S461" s="156">
        <f t="shared" si="54"/>
        <v>0</v>
      </c>
      <c r="T461" s="133"/>
      <c r="U461" s="133"/>
      <c r="V461" s="133"/>
      <c r="W461" s="133"/>
      <c r="X461" s="133"/>
      <c r="Y461" s="133"/>
      <c r="Z461" s="133"/>
      <c r="AA461" s="133"/>
      <c r="AB461" s="133"/>
      <c r="AC461" s="133"/>
      <c r="AD461" s="133"/>
      <c r="AE461" s="133"/>
      <c r="AF461" s="133"/>
      <c r="AG461" s="133"/>
      <c r="AH461" s="133"/>
      <c r="AI461" s="133"/>
      <c r="AJ461" s="133"/>
      <c r="AK461" s="133"/>
      <c r="AL461" s="133"/>
      <c r="AM461" s="133"/>
      <c r="AN461" s="133"/>
      <c r="AO461" s="133"/>
      <c r="AP461" s="133"/>
      <c r="AQ461" s="133"/>
      <c r="AR461" s="133"/>
      <c r="AS461" s="153">
        <v>0</v>
      </c>
      <c r="AT461" s="153">
        <v>0</v>
      </c>
      <c r="AU461" s="153">
        <v>0</v>
      </c>
      <c r="AV461" s="135">
        <v>0</v>
      </c>
      <c r="AW461" s="135">
        <v>0</v>
      </c>
      <c r="AX461" s="142">
        <f>(H461/1.18-AT461-AW461)*0.1</f>
        <v>416.98813559322036</v>
      </c>
      <c r="AY461" s="142"/>
      <c r="AZ461" s="142"/>
      <c r="BA461" s="142"/>
      <c r="BB461" s="142"/>
      <c r="BC461" s="142"/>
      <c r="BD461" s="142"/>
      <c r="BE461" s="142"/>
      <c r="BF461" s="142"/>
      <c r="BG461" s="135"/>
      <c r="BH461" s="135"/>
      <c r="BI461" s="2" t="s">
        <v>11</v>
      </c>
      <c r="BJ461" s="136">
        <v>45289</v>
      </c>
      <c r="BK461" s="2" t="s">
        <v>8</v>
      </c>
      <c r="BL461" s="136" t="s">
        <v>113</v>
      </c>
      <c r="BM461" s="136">
        <v>44931</v>
      </c>
      <c r="BN461" s="2" t="s">
        <v>1479</v>
      </c>
      <c r="BO461" s="2"/>
      <c r="BP461" s="136"/>
      <c r="BQ461" s="137" t="s">
        <v>119</v>
      </c>
      <c r="BR461" s="138"/>
    </row>
    <row r="462" spans="1:70" ht="12.75" customHeight="1" x14ac:dyDescent="0.2">
      <c r="A462" s="2">
        <v>1951</v>
      </c>
      <c r="B462" s="2" t="s">
        <v>39</v>
      </c>
      <c r="C462" s="2" t="s">
        <v>42</v>
      </c>
      <c r="D462" s="2" t="s">
        <v>1368</v>
      </c>
      <c r="E462" s="2" t="s">
        <v>106</v>
      </c>
      <c r="F462" s="132">
        <f>404*1.75</f>
        <v>707</v>
      </c>
      <c r="G462" s="132">
        <v>2</v>
      </c>
      <c r="H462" s="132">
        <f>404*1.75</f>
        <v>707</v>
      </c>
      <c r="I462" s="132"/>
      <c r="J462" s="132">
        <v>707</v>
      </c>
      <c r="K462" s="132">
        <f t="shared" si="51"/>
        <v>0</v>
      </c>
      <c r="L462" s="132">
        <f t="shared" si="52"/>
        <v>0</v>
      </c>
      <c r="M462" s="133"/>
      <c r="N462" s="133">
        <f t="shared" si="50"/>
        <v>0</v>
      </c>
      <c r="O462" s="134">
        <v>0</v>
      </c>
      <c r="P462" s="133"/>
      <c r="Q462" s="2" t="s">
        <v>1414</v>
      </c>
      <c r="R462" s="156">
        <f t="shared" si="53"/>
        <v>0</v>
      </c>
      <c r="S462" s="156">
        <f t="shared" si="54"/>
        <v>0</v>
      </c>
      <c r="T462" s="133"/>
      <c r="U462" s="133"/>
      <c r="V462" s="133"/>
      <c r="W462" s="133"/>
      <c r="X462" s="133"/>
      <c r="Y462" s="133"/>
      <c r="Z462" s="133"/>
      <c r="AA462" s="133"/>
      <c r="AB462" s="133"/>
      <c r="AC462" s="133"/>
      <c r="AD462" s="133"/>
      <c r="AE462" s="133"/>
      <c r="AF462" s="133"/>
      <c r="AG462" s="133"/>
      <c r="AH462" s="133"/>
      <c r="AI462" s="133"/>
      <c r="AJ462" s="133"/>
      <c r="AK462" s="133"/>
      <c r="AL462" s="133"/>
      <c r="AM462" s="133"/>
      <c r="AN462" s="133"/>
      <c r="AO462" s="133"/>
      <c r="AP462" s="133"/>
      <c r="AQ462" s="133"/>
      <c r="AR462" s="133"/>
      <c r="AS462" s="153">
        <v>0</v>
      </c>
      <c r="AT462" s="153">
        <v>0</v>
      </c>
      <c r="AU462" s="153">
        <v>0</v>
      </c>
      <c r="AV462" s="135"/>
      <c r="AW462" s="135"/>
      <c r="AX462" s="135"/>
      <c r="AY462" s="135"/>
      <c r="AZ462" s="135"/>
      <c r="BA462" s="135"/>
      <c r="BB462" s="135"/>
      <c r="BC462" s="135"/>
      <c r="BD462" s="135"/>
      <c r="BE462" s="135"/>
      <c r="BF462" s="135"/>
      <c r="BG462" s="135"/>
      <c r="BH462" s="135"/>
      <c r="BI462" s="2" t="s">
        <v>112</v>
      </c>
      <c r="BJ462" s="136">
        <v>45428</v>
      </c>
      <c r="BK462" s="2" t="s">
        <v>145</v>
      </c>
      <c r="BL462" s="136" t="s">
        <v>113</v>
      </c>
      <c r="BM462" s="136">
        <v>44931</v>
      </c>
      <c r="BN462" s="2" t="s">
        <v>1480</v>
      </c>
      <c r="BO462" s="2"/>
      <c r="BP462" s="136"/>
      <c r="BQ462" s="137" t="s">
        <v>134</v>
      </c>
      <c r="BR462" s="138"/>
    </row>
    <row r="463" spans="1:70" ht="12.75" customHeight="1" x14ac:dyDescent="0.2">
      <c r="A463" s="2">
        <v>1952</v>
      </c>
      <c r="B463" s="2" t="s">
        <v>39</v>
      </c>
      <c r="C463" s="2" t="s">
        <v>42</v>
      </c>
      <c r="D463" s="2" t="s">
        <v>1369</v>
      </c>
      <c r="E463" s="2" t="s">
        <v>90</v>
      </c>
      <c r="F463" s="132">
        <v>13562.92</v>
      </c>
      <c r="G463" s="132">
        <v>2</v>
      </c>
      <c r="H463" s="132">
        <v>20766.09</v>
      </c>
      <c r="I463" s="132">
        <v>20766.09</v>
      </c>
      <c r="J463" s="132">
        <v>20766.09</v>
      </c>
      <c r="K463" s="132">
        <f t="shared" si="51"/>
        <v>-7203.17</v>
      </c>
      <c r="L463" s="132">
        <f t="shared" si="52"/>
        <v>0</v>
      </c>
      <c r="M463" s="133">
        <v>321.8</v>
      </c>
      <c r="N463" s="133">
        <f t="shared" si="50"/>
        <v>0</v>
      </c>
      <c r="O463" s="134">
        <v>0</v>
      </c>
      <c r="P463" s="133"/>
      <c r="Q463" s="2" t="s">
        <v>1414</v>
      </c>
      <c r="R463" s="156">
        <f t="shared" si="53"/>
        <v>0</v>
      </c>
      <c r="S463" s="156">
        <f t="shared" si="54"/>
        <v>0</v>
      </c>
      <c r="T463" s="133"/>
      <c r="U463" s="133"/>
      <c r="V463" s="133"/>
      <c r="W463" s="133"/>
      <c r="X463" s="133"/>
      <c r="Y463" s="133"/>
      <c r="Z463" s="133"/>
      <c r="AA463" s="133"/>
      <c r="AB463" s="133"/>
      <c r="AC463" s="133"/>
      <c r="AD463" s="133"/>
      <c r="AE463" s="133"/>
      <c r="AF463" s="133"/>
      <c r="AG463" s="133"/>
      <c r="AH463" s="133"/>
      <c r="AI463" s="133"/>
      <c r="AJ463" s="133"/>
      <c r="AK463" s="133"/>
      <c r="AL463" s="133"/>
      <c r="AM463" s="133"/>
      <c r="AN463" s="133"/>
      <c r="AO463" s="133"/>
      <c r="AP463" s="133"/>
      <c r="AQ463" s="133"/>
      <c r="AR463" s="133"/>
      <c r="AS463" s="153">
        <v>0</v>
      </c>
      <c r="AT463" s="153">
        <v>0</v>
      </c>
      <c r="AU463" s="153">
        <v>0</v>
      </c>
      <c r="AV463" s="135"/>
      <c r="AW463" s="135"/>
      <c r="AX463" s="135"/>
      <c r="AY463" s="135"/>
      <c r="AZ463" s="135"/>
      <c r="BA463" s="135">
        <v>0</v>
      </c>
      <c r="BB463" s="140">
        <f>(H463/1.18-AT463-AW463-AZ463)*0.1-BA463</f>
        <v>1759.8381355932206</v>
      </c>
      <c r="BC463" s="135"/>
      <c r="BD463" s="135"/>
      <c r="BE463" s="135">
        <f>(H463/1.18-AT463-AW463-AZ463-BD463)*0.1-AU463-AX463-BA463-BB463</f>
        <v>0</v>
      </c>
      <c r="BF463" s="135"/>
      <c r="BG463" s="135"/>
      <c r="BH463" s="135"/>
      <c r="BI463" s="2" t="s">
        <v>11</v>
      </c>
      <c r="BJ463" s="136">
        <v>45504</v>
      </c>
      <c r="BK463" s="2" t="s">
        <v>8</v>
      </c>
      <c r="BL463" s="136" t="s">
        <v>113</v>
      </c>
      <c r="BM463" s="136">
        <v>44931</v>
      </c>
      <c r="BN463" s="2" t="s">
        <v>1481</v>
      </c>
      <c r="BO463" s="2"/>
      <c r="BP463" s="136"/>
      <c r="BQ463" s="137" t="s">
        <v>119</v>
      </c>
      <c r="BR463" s="138"/>
    </row>
    <row r="464" spans="1:70" ht="12.75" customHeight="1" x14ac:dyDescent="0.2">
      <c r="A464" s="2">
        <v>1953</v>
      </c>
      <c r="B464" s="2" t="s">
        <v>108</v>
      </c>
      <c r="C464" s="2" t="s">
        <v>40</v>
      </c>
      <c r="D464" s="2" t="s">
        <v>1370</v>
      </c>
      <c r="E464" s="2" t="s">
        <v>106</v>
      </c>
      <c r="F464" s="132">
        <v>0</v>
      </c>
      <c r="G464" s="132">
        <v>2</v>
      </c>
      <c r="H464" s="132">
        <f>R464</f>
        <v>313.25</v>
      </c>
      <c r="I464" s="132"/>
      <c r="J464" s="132">
        <f>S464</f>
        <v>313.25</v>
      </c>
      <c r="K464" s="132">
        <f t="shared" si="51"/>
        <v>-313.25</v>
      </c>
      <c r="L464" s="132">
        <f t="shared" si="52"/>
        <v>0</v>
      </c>
      <c r="M464" s="133"/>
      <c r="N464" s="133">
        <f t="shared" si="50"/>
        <v>0</v>
      </c>
      <c r="O464" s="134">
        <v>0</v>
      </c>
      <c r="P464" s="133"/>
      <c r="Q464" s="2" t="s">
        <v>1415</v>
      </c>
      <c r="R464" s="156">
        <f t="shared" si="53"/>
        <v>313.25</v>
      </c>
      <c r="S464" s="156">
        <f t="shared" si="54"/>
        <v>313.25</v>
      </c>
      <c r="T464" s="133"/>
      <c r="U464" s="133"/>
      <c r="V464" s="133"/>
      <c r="W464" s="133"/>
      <c r="X464" s="133"/>
      <c r="Y464" s="133"/>
      <c r="Z464" s="133"/>
      <c r="AA464" s="133"/>
      <c r="AB464" s="133">
        <f>179*1.75</f>
        <v>313.25</v>
      </c>
      <c r="AC464" s="133"/>
      <c r="AD464" s="133"/>
      <c r="AE464" s="133">
        <v>313.25</v>
      </c>
      <c r="AF464" s="133"/>
      <c r="AG464" s="133"/>
      <c r="AH464" s="133"/>
      <c r="AI464" s="133"/>
      <c r="AJ464" s="133"/>
      <c r="AK464" s="133"/>
      <c r="AL464" s="133"/>
      <c r="AM464" s="133"/>
      <c r="AN464" s="133"/>
      <c r="AO464" s="133"/>
      <c r="AP464" s="133"/>
      <c r="AQ464" s="133"/>
      <c r="AR464" s="133"/>
      <c r="AS464" s="153">
        <v>0</v>
      </c>
      <c r="AT464" s="153">
        <v>0</v>
      </c>
      <c r="AU464" s="153">
        <v>0</v>
      </c>
      <c r="AV464" s="135"/>
      <c r="AW464" s="135"/>
      <c r="AX464" s="135"/>
      <c r="AY464" s="135"/>
      <c r="AZ464" s="135"/>
      <c r="BA464" s="135"/>
      <c r="BB464" s="135"/>
      <c r="BC464" s="135"/>
      <c r="BD464" s="135"/>
      <c r="BE464" s="135"/>
      <c r="BF464" s="135"/>
      <c r="BG464" s="135"/>
      <c r="BH464" s="135"/>
      <c r="BI464" s="2" t="s">
        <v>112</v>
      </c>
      <c r="BJ464" s="136">
        <v>45778</v>
      </c>
      <c r="BK464" s="2" t="s">
        <v>145</v>
      </c>
      <c r="BL464" s="136" t="s">
        <v>113</v>
      </c>
      <c r="BM464" s="136">
        <v>44931</v>
      </c>
      <c r="BN464" s="2" t="s">
        <v>1482</v>
      </c>
      <c r="BO464" s="2"/>
      <c r="BP464" s="136"/>
      <c r="BQ464" s="137"/>
      <c r="BR464" s="138"/>
    </row>
    <row r="465" spans="1:70" ht="12.75" customHeight="1" x14ac:dyDescent="0.2">
      <c r="A465" s="2">
        <v>1954</v>
      </c>
      <c r="B465" s="2" t="s">
        <v>108</v>
      </c>
      <c r="C465" s="2" t="s">
        <v>40</v>
      </c>
      <c r="D465" s="2" t="s">
        <v>1371</v>
      </c>
      <c r="E465" s="2" t="s">
        <v>90</v>
      </c>
      <c r="F465" s="132">
        <v>10477.8336</v>
      </c>
      <c r="G465" s="132">
        <v>2</v>
      </c>
      <c r="H465" s="132">
        <f>R465</f>
        <v>47327.520000000004</v>
      </c>
      <c r="I465" s="132"/>
      <c r="J465" s="132">
        <f>S465+BC465</f>
        <v>47327.520000000004</v>
      </c>
      <c r="K465" s="132">
        <f t="shared" si="51"/>
        <v>-36849.686400000006</v>
      </c>
      <c r="L465" s="132">
        <f t="shared" si="52"/>
        <v>0</v>
      </c>
      <c r="M465" s="133">
        <v>179</v>
      </c>
      <c r="N465" s="133">
        <f t="shared" si="50"/>
        <v>0</v>
      </c>
      <c r="O465" s="134">
        <v>1</v>
      </c>
      <c r="P465" s="133"/>
      <c r="Q465" s="2" t="s">
        <v>1415</v>
      </c>
      <c r="R465" s="156">
        <f t="shared" si="53"/>
        <v>47327.520000000004</v>
      </c>
      <c r="S465" s="156">
        <f t="shared" si="54"/>
        <v>12581.760000000006</v>
      </c>
      <c r="T465" s="133"/>
      <c r="U465" s="133"/>
      <c r="V465" s="133"/>
      <c r="W465" s="133"/>
      <c r="X465" s="133"/>
      <c r="Y465" s="133"/>
      <c r="Z465" s="133">
        <v>41000</v>
      </c>
      <c r="AA465" s="133"/>
      <c r="AB465" s="133"/>
      <c r="AC465" s="133">
        <v>6254.24</v>
      </c>
      <c r="AD465" s="133">
        <v>6327.52</v>
      </c>
      <c r="AE465" s="133"/>
      <c r="AF465" s="133"/>
      <c r="AG465" s="133">
        <f>965.21</f>
        <v>965.21</v>
      </c>
      <c r="AH465" s="133"/>
      <c r="AI465" s="133"/>
      <c r="AJ465" s="133"/>
      <c r="AK465" s="133">
        <v>5362.3100000000049</v>
      </c>
      <c r="AL465" s="133"/>
      <c r="AM465" s="133"/>
      <c r="AN465" s="133"/>
      <c r="AO465" s="133"/>
      <c r="AP465" s="133"/>
      <c r="AQ465" s="133"/>
      <c r="AR465" s="133"/>
      <c r="AS465" s="153">
        <v>0</v>
      </c>
      <c r="AT465" s="153">
        <v>0</v>
      </c>
      <c r="AU465" s="153">
        <v>0</v>
      </c>
      <c r="AV465" s="135"/>
      <c r="AW465" s="135"/>
      <c r="AX465" s="135"/>
      <c r="AY465" s="135"/>
      <c r="AZ465" s="135"/>
      <c r="BA465" s="135"/>
      <c r="BB465" s="135"/>
      <c r="BC465" s="135">
        <v>34745.760000000002</v>
      </c>
      <c r="BD465" s="135">
        <v>4928.1899999999996</v>
      </c>
      <c r="BE465" s="135">
        <f>(H465/1.18-AT465-AW465-AZ465-BD465)*0.1-AU465-AX465-BA465-BB465</f>
        <v>3517.9877796610172</v>
      </c>
      <c r="BF465" s="135"/>
      <c r="BG465" s="135"/>
      <c r="BH465" s="135"/>
      <c r="BI465" s="2" t="s">
        <v>11</v>
      </c>
      <c r="BJ465" s="136">
        <v>45831</v>
      </c>
      <c r="BK465" s="2" t="s">
        <v>8</v>
      </c>
      <c r="BL465" s="136" t="s">
        <v>113</v>
      </c>
      <c r="BM465" s="136">
        <v>44931</v>
      </c>
      <c r="BN465" s="2" t="s">
        <v>1483</v>
      </c>
      <c r="BO465" s="2"/>
      <c r="BP465" s="136"/>
      <c r="BQ465" s="137" t="s">
        <v>119</v>
      </c>
      <c r="BR465" s="138"/>
    </row>
    <row r="466" spans="1:70" ht="12.75" customHeight="1" x14ac:dyDescent="0.2">
      <c r="A466" s="2">
        <v>1955</v>
      </c>
      <c r="B466" s="2" t="s">
        <v>108</v>
      </c>
      <c r="C466" s="2" t="s">
        <v>40</v>
      </c>
      <c r="D466" s="2" t="s">
        <v>1372</v>
      </c>
      <c r="E466" s="2" t="s">
        <v>106</v>
      </c>
      <c r="F466" s="132">
        <f>152*1.75</f>
        <v>266</v>
      </c>
      <c r="G466" s="132">
        <v>2</v>
      </c>
      <c r="H466" s="132">
        <f>152*1.75</f>
        <v>266</v>
      </c>
      <c r="I466" s="132"/>
      <c r="J466" s="132">
        <v>266</v>
      </c>
      <c r="K466" s="132">
        <f t="shared" si="51"/>
        <v>0</v>
      </c>
      <c r="L466" s="132">
        <f t="shared" si="52"/>
        <v>0</v>
      </c>
      <c r="M466" s="133"/>
      <c r="N466" s="133">
        <f t="shared" si="50"/>
        <v>0</v>
      </c>
      <c r="O466" s="134">
        <v>0</v>
      </c>
      <c r="P466" s="133"/>
      <c r="Q466" s="2" t="s">
        <v>1416</v>
      </c>
      <c r="R466" s="156">
        <f t="shared" si="53"/>
        <v>0</v>
      </c>
      <c r="S466" s="156">
        <f t="shared" si="54"/>
        <v>0</v>
      </c>
      <c r="T466" s="133"/>
      <c r="U466" s="133"/>
      <c r="V466" s="133"/>
      <c r="W466" s="133"/>
      <c r="X466" s="133"/>
      <c r="Y466" s="133"/>
      <c r="Z466" s="133"/>
      <c r="AA466" s="133"/>
      <c r="AB466" s="133"/>
      <c r="AC466" s="133"/>
      <c r="AD466" s="133"/>
      <c r="AE466" s="133"/>
      <c r="AF466" s="133"/>
      <c r="AG466" s="133"/>
      <c r="AH466" s="133"/>
      <c r="AI466" s="133"/>
      <c r="AJ466" s="133"/>
      <c r="AK466" s="133"/>
      <c r="AL466" s="133"/>
      <c r="AM466" s="133"/>
      <c r="AN466" s="133"/>
      <c r="AO466" s="133"/>
      <c r="AP466" s="133"/>
      <c r="AQ466" s="133"/>
      <c r="AR466" s="133"/>
      <c r="AS466" s="153">
        <v>0</v>
      </c>
      <c r="AT466" s="153">
        <v>0</v>
      </c>
      <c r="AU466" s="153">
        <v>0</v>
      </c>
      <c r="AV466" s="135"/>
      <c r="AW466" s="135"/>
      <c r="AX466" s="135"/>
      <c r="AY466" s="135"/>
      <c r="AZ466" s="135"/>
      <c r="BA466" s="135"/>
      <c r="BB466" s="135"/>
      <c r="BC466" s="135"/>
      <c r="BD466" s="135"/>
      <c r="BE466" s="135"/>
      <c r="BF466" s="135"/>
      <c r="BG466" s="135"/>
      <c r="BH466" s="135"/>
      <c r="BI466" s="2" t="s">
        <v>112</v>
      </c>
      <c r="BJ466" s="136">
        <v>45413</v>
      </c>
      <c r="BK466" s="2" t="s">
        <v>145</v>
      </c>
      <c r="BL466" s="136" t="s">
        <v>113</v>
      </c>
      <c r="BM466" s="136">
        <v>44931</v>
      </c>
      <c r="BN466" s="2" t="s">
        <v>1484</v>
      </c>
      <c r="BO466" s="2"/>
      <c r="BP466" s="136"/>
      <c r="BQ466" s="137" t="s">
        <v>134</v>
      </c>
      <c r="BR466" s="138"/>
    </row>
    <row r="467" spans="1:70" ht="12.75" customHeight="1" x14ac:dyDescent="0.2">
      <c r="A467" s="2">
        <v>1956</v>
      </c>
      <c r="B467" s="2" t="s">
        <v>108</v>
      </c>
      <c r="C467" s="2" t="s">
        <v>40</v>
      </c>
      <c r="D467" s="2" t="s">
        <v>1373</v>
      </c>
      <c r="E467" s="2" t="s">
        <v>90</v>
      </c>
      <c r="F467" s="132">
        <v>7009.2</v>
      </c>
      <c r="G467" s="132">
        <v>2</v>
      </c>
      <c r="H467" s="132">
        <f>40000+R467</f>
        <v>42150.51</v>
      </c>
      <c r="I467" s="132"/>
      <c r="J467" s="132">
        <f>6101.69+S467+AY467+BC467</f>
        <v>42150.509999999995</v>
      </c>
      <c r="K467" s="132">
        <f t="shared" si="51"/>
        <v>-35141.31</v>
      </c>
      <c r="L467" s="132">
        <f t="shared" si="52"/>
        <v>0</v>
      </c>
      <c r="M467" s="133">
        <v>147</v>
      </c>
      <c r="N467" s="133">
        <f t="shared" si="50"/>
        <v>7.2759576141834259E-12</v>
      </c>
      <c r="O467" s="134">
        <v>1</v>
      </c>
      <c r="P467" s="133"/>
      <c r="Q467" s="2" t="s">
        <v>1416</v>
      </c>
      <c r="R467" s="156">
        <f t="shared" si="53"/>
        <v>2150.5100000000002</v>
      </c>
      <c r="S467" s="156">
        <f t="shared" si="54"/>
        <v>2150.5100000000002</v>
      </c>
      <c r="T467" s="133"/>
      <c r="U467" s="133"/>
      <c r="V467" s="133"/>
      <c r="W467" s="133"/>
      <c r="X467" s="133">
        <v>2150.5100000000002</v>
      </c>
      <c r="Y467" s="133"/>
      <c r="Z467" s="133"/>
      <c r="AA467" s="133">
        <v>328.04</v>
      </c>
      <c r="AB467" s="133"/>
      <c r="AC467" s="133"/>
      <c r="AD467" s="133"/>
      <c r="AE467" s="133">
        <v>1822.47</v>
      </c>
      <c r="AF467" s="133"/>
      <c r="AG467" s="133"/>
      <c r="AH467" s="133"/>
      <c r="AI467" s="133"/>
      <c r="AJ467" s="133"/>
      <c r="AK467" s="133"/>
      <c r="AL467" s="133"/>
      <c r="AM467" s="133"/>
      <c r="AN467" s="133"/>
      <c r="AO467" s="133"/>
      <c r="AP467" s="133"/>
      <c r="AQ467" s="133"/>
      <c r="AR467" s="133"/>
      <c r="AS467" s="153">
        <v>0</v>
      </c>
      <c r="AT467" s="153">
        <v>0</v>
      </c>
      <c r="AU467" s="153">
        <v>0</v>
      </c>
      <c r="AV467" s="135"/>
      <c r="AW467" s="135"/>
      <c r="AX467" s="135"/>
      <c r="AY467" s="135">
        <v>33898.31</v>
      </c>
      <c r="AZ467" s="135">
        <v>3507.08</v>
      </c>
      <c r="BA467" s="135">
        <f>40000/1.18*0.8*0.1</f>
        <v>2711.8644067796613</v>
      </c>
      <c r="BB467" s="135"/>
      <c r="BC467" s="135"/>
      <c r="BD467" s="135"/>
      <c r="BE467" s="135">
        <f>(H467/1.18-AT467-AW467-AZ467-BD467)*0.1-AU467-AX467-BA467-BB467</f>
        <v>509.504711864407</v>
      </c>
      <c r="BF467" s="135"/>
      <c r="BG467" s="135"/>
      <c r="BH467" s="135"/>
      <c r="BI467" s="2" t="s">
        <v>11</v>
      </c>
      <c r="BJ467" s="136">
        <v>45728</v>
      </c>
      <c r="BK467" s="2" t="s">
        <v>8</v>
      </c>
      <c r="BL467" s="136" t="s">
        <v>113</v>
      </c>
      <c r="BM467" s="136">
        <v>44931</v>
      </c>
      <c r="BN467" s="2" t="s">
        <v>1485</v>
      </c>
      <c r="BO467" s="2"/>
      <c r="BP467" s="136" t="s">
        <v>3380</v>
      </c>
      <c r="BQ467" s="137" t="s">
        <v>119</v>
      </c>
      <c r="BR467" s="138"/>
    </row>
    <row r="468" spans="1:70" ht="12.75" customHeight="1" x14ac:dyDescent="0.2">
      <c r="A468" s="2">
        <v>1957</v>
      </c>
      <c r="B468" s="2" t="s">
        <v>108</v>
      </c>
      <c r="C468" s="2" t="s">
        <v>73</v>
      </c>
      <c r="D468" s="2" t="s">
        <v>1374</v>
      </c>
      <c r="E468" s="2" t="s">
        <v>106</v>
      </c>
      <c r="F468" s="132">
        <v>0</v>
      </c>
      <c r="G468" s="132">
        <v>2</v>
      </c>
      <c r="H468" s="132"/>
      <c r="I468" s="132"/>
      <c r="J468" s="132"/>
      <c r="K468" s="132">
        <f t="shared" si="51"/>
        <v>0</v>
      </c>
      <c r="L468" s="132">
        <f t="shared" si="52"/>
        <v>0</v>
      </c>
      <c r="M468" s="133"/>
      <c r="N468" s="133">
        <f t="shared" si="50"/>
        <v>0</v>
      </c>
      <c r="O468" s="134">
        <v>2</v>
      </c>
      <c r="P468" s="133"/>
      <c r="Q468" s="2" t="s">
        <v>1417</v>
      </c>
      <c r="R468" s="156">
        <f t="shared" si="53"/>
        <v>0</v>
      </c>
      <c r="S468" s="156">
        <f t="shared" si="54"/>
        <v>0</v>
      </c>
      <c r="T468" s="133"/>
      <c r="U468" s="133"/>
      <c r="V468" s="133"/>
      <c r="W468" s="133"/>
      <c r="X468" s="133"/>
      <c r="Y468" s="133"/>
      <c r="Z468" s="133"/>
      <c r="AA468" s="133"/>
      <c r="AB468" s="133"/>
      <c r="AC468" s="133"/>
      <c r="AD468" s="133"/>
      <c r="AE468" s="133"/>
      <c r="AF468" s="133"/>
      <c r="AG468" s="133"/>
      <c r="AH468" s="133"/>
      <c r="AI468" s="133"/>
      <c r="AJ468" s="133"/>
      <c r="AK468" s="133"/>
      <c r="AL468" s="133"/>
      <c r="AM468" s="133"/>
      <c r="AN468" s="133"/>
      <c r="AO468" s="133"/>
      <c r="AP468" s="133"/>
      <c r="AQ468" s="133"/>
      <c r="AR468" s="133"/>
      <c r="AS468" s="153">
        <v>0</v>
      </c>
      <c r="AT468" s="153">
        <v>0</v>
      </c>
      <c r="AU468" s="153">
        <v>0</v>
      </c>
      <c r="AV468" s="135"/>
      <c r="AW468" s="135"/>
      <c r="AX468" s="135"/>
      <c r="AY468" s="135"/>
      <c r="AZ468" s="135"/>
      <c r="BA468" s="135"/>
      <c r="BB468" s="135"/>
      <c r="BC468" s="135"/>
      <c r="BD468" s="135"/>
      <c r="BE468" s="135"/>
      <c r="BF468" s="135"/>
      <c r="BG468" s="135"/>
      <c r="BH468" s="135"/>
      <c r="BI468" s="2" t="s">
        <v>112</v>
      </c>
      <c r="BJ468" s="136"/>
      <c r="BK468" s="2">
        <v>0</v>
      </c>
      <c r="BL468" s="136" t="s">
        <v>113</v>
      </c>
      <c r="BM468" s="136">
        <v>44931</v>
      </c>
      <c r="BN468" s="2" t="s">
        <v>1486</v>
      </c>
      <c r="BO468" s="2"/>
      <c r="BP468" s="136"/>
      <c r="BQ468" s="137"/>
      <c r="BR468" s="138"/>
    </row>
    <row r="469" spans="1:70" ht="12.75" customHeight="1" x14ac:dyDescent="0.2">
      <c r="A469" s="2">
        <v>1958</v>
      </c>
      <c r="B469" s="2" t="s">
        <v>108</v>
      </c>
      <c r="C469" s="2" t="s">
        <v>73</v>
      </c>
      <c r="D469" s="2" t="s">
        <v>1375</v>
      </c>
      <c r="E469" s="2" t="s">
        <v>90</v>
      </c>
      <c r="F469" s="132">
        <v>5616.7999999999993</v>
      </c>
      <c r="G469" s="132"/>
      <c r="H469" s="132">
        <v>687.34</v>
      </c>
      <c r="I469" s="132"/>
      <c r="J469" s="132">
        <v>687.34</v>
      </c>
      <c r="K469" s="132">
        <f t="shared" si="51"/>
        <v>4929.4599999999991</v>
      </c>
      <c r="L469" s="132">
        <f t="shared" si="52"/>
        <v>0</v>
      </c>
      <c r="M469" s="133">
        <v>17.7</v>
      </c>
      <c r="N469" s="133">
        <f t="shared" si="50"/>
        <v>0</v>
      </c>
      <c r="O469" s="134">
        <v>0</v>
      </c>
      <c r="P469" s="133"/>
      <c r="Q469" s="2" t="s">
        <v>1417</v>
      </c>
      <c r="R469" s="156">
        <f t="shared" si="53"/>
        <v>0</v>
      </c>
      <c r="S469" s="156">
        <f t="shared" si="54"/>
        <v>0</v>
      </c>
      <c r="T469" s="133"/>
      <c r="U469" s="133"/>
      <c r="V469" s="133"/>
      <c r="W469" s="133"/>
      <c r="X469" s="133"/>
      <c r="Y469" s="133"/>
      <c r="Z469" s="133"/>
      <c r="AA469" s="133"/>
      <c r="AB469" s="133"/>
      <c r="AC469" s="133"/>
      <c r="AD469" s="133"/>
      <c r="AE469" s="133"/>
      <c r="AF469" s="133"/>
      <c r="AG469" s="133"/>
      <c r="AH469" s="133"/>
      <c r="AI469" s="133"/>
      <c r="AJ469" s="133"/>
      <c r="AK469" s="133"/>
      <c r="AL469" s="133"/>
      <c r="AM469" s="133"/>
      <c r="AN469" s="133"/>
      <c r="AO469" s="133"/>
      <c r="AP469" s="133"/>
      <c r="AQ469" s="133"/>
      <c r="AR469" s="133"/>
      <c r="AS469" s="153">
        <v>0</v>
      </c>
      <c r="AT469" s="153">
        <v>0</v>
      </c>
      <c r="AU469" s="153">
        <v>0</v>
      </c>
      <c r="AV469" s="135">
        <v>0</v>
      </c>
      <c r="AW469" s="135">
        <v>0</v>
      </c>
      <c r="AX469" s="142">
        <f>(H469/1.18-AT469-AW469)*0.1</f>
        <v>58.249152542372883</v>
      </c>
      <c r="AY469" s="142"/>
      <c r="AZ469" s="142"/>
      <c r="BA469" s="142"/>
      <c r="BB469" s="142"/>
      <c r="BC469" s="142"/>
      <c r="BD469" s="142"/>
      <c r="BE469" s="142"/>
      <c r="BF469" s="142"/>
      <c r="BG469" s="135"/>
      <c r="BH469" s="135"/>
      <c r="BI469" s="2" t="s">
        <v>11</v>
      </c>
      <c r="BJ469" s="136">
        <v>45289</v>
      </c>
      <c r="BK469" s="2" t="s">
        <v>8</v>
      </c>
      <c r="BL469" s="136" t="s">
        <v>113</v>
      </c>
      <c r="BM469" s="136">
        <v>44931</v>
      </c>
      <c r="BN469" s="2" t="s">
        <v>1487</v>
      </c>
      <c r="BO469" s="2"/>
      <c r="BP469" s="136"/>
      <c r="BQ469" s="137" t="s">
        <v>119</v>
      </c>
      <c r="BR469" s="138"/>
    </row>
    <row r="470" spans="1:70" ht="12.75" customHeight="1" x14ac:dyDescent="0.2">
      <c r="A470" s="2">
        <v>1959</v>
      </c>
      <c r="B470" s="2" t="s">
        <v>108</v>
      </c>
      <c r="C470" s="2" t="s">
        <v>40</v>
      </c>
      <c r="D470" s="2" t="s">
        <v>1376</v>
      </c>
      <c r="E470" s="2" t="s">
        <v>106</v>
      </c>
      <c r="F470" s="132">
        <f>653*1.75</f>
        <v>1142.75</v>
      </c>
      <c r="G470" s="132">
        <v>2</v>
      </c>
      <c r="H470" s="132">
        <f>653*1.75</f>
        <v>1142.75</v>
      </c>
      <c r="I470" s="132"/>
      <c r="J470" s="132">
        <f>174.32+968.43</f>
        <v>1142.75</v>
      </c>
      <c r="K470" s="132">
        <f t="shared" si="51"/>
        <v>0</v>
      </c>
      <c r="L470" s="132">
        <f t="shared" si="52"/>
        <v>0</v>
      </c>
      <c r="M470" s="133"/>
      <c r="N470" s="133">
        <f t="shared" si="50"/>
        <v>0</v>
      </c>
      <c r="O470" s="134">
        <v>0</v>
      </c>
      <c r="P470" s="133"/>
      <c r="Q470" s="2" t="s">
        <v>1418</v>
      </c>
      <c r="R470" s="156">
        <f t="shared" si="53"/>
        <v>0</v>
      </c>
      <c r="S470" s="156">
        <f t="shared" si="54"/>
        <v>0</v>
      </c>
      <c r="T470" s="133"/>
      <c r="U470" s="133"/>
      <c r="V470" s="133"/>
      <c r="W470" s="133"/>
      <c r="X470" s="133"/>
      <c r="Y470" s="133"/>
      <c r="Z470" s="133"/>
      <c r="AA470" s="133"/>
      <c r="AB470" s="133"/>
      <c r="AC470" s="133"/>
      <c r="AD470" s="133"/>
      <c r="AE470" s="133"/>
      <c r="AF470" s="133"/>
      <c r="AG470" s="133"/>
      <c r="AH470" s="133"/>
      <c r="AI470" s="133"/>
      <c r="AJ470" s="133"/>
      <c r="AK470" s="133"/>
      <c r="AL470" s="133"/>
      <c r="AM470" s="133"/>
      <c r="AN470" s="133"/>
      <c r="AO470" s="133"/>
      <c r="AP470" s="133"/>
      <c r="AQ470" s="133"/>
      <c r="AR470" s="133"/>
      <c r="AS470" s="153">
        <v>0</v>
      </c>
      <c r="AT470" s="153">
        <v>0</v>
      </c>
      <c r="AU470" s="153">
        <v>0</v>
      </c>
      <c r="AV470" s="135"/>
      <c r="AW470" s="135"/>
      <c r="AX470" s="135"/>
      <c r="AY470" s="135"/>
      <c r="AZ470" s="135"/>
      <c r="BA470" s="135"/>
      <c r="BB470" s="135"/>
      <c r="BC470" s="135"/>
      <c r="BD470" s="135"/>
      <c r="BE470" s="135"/>
      <c r="BF470" s="135"/>
      <c r="BG470" s="135"/>
      <c r="BH470" s="135"/>
      <c r="BI470" s="2" t="s">
        <v>112</v>
      </c>
      <c r="BJ470" s="136">
        <v>45413</v>
      </c>
      <c r="BK470" s="2" t="s">
        <v>145</v>
      </c>
      <c r="BL470" s="136" t="s">
        <v>113</v>
      </c>
      <c r="BM470" s="136">
        <v>44931</v>
      </c>
      <c r="BN470" s="2" t="s">
        <v>1488</v>
      </c>
      <c r="BO470" s="2"/>
      <c r="BP470" s="136"/>
      <c r="BQ470" s="137" t="s">
        <v>134</v>
      </c>
      <c r="BR470" s="138"/>
    </row>
    <row r="471" spans="1:70" ht="12.75" customHeight="1" x14ac:dyDescent="0.2">
      <c r="A471" s="2">
        <v>1960</v>
      </c>
      <c r="B471" s="2" t="s">
        <v>108</v>
      </c>
      <c r="C471" s="2" t="s">
        <v>40</v>
      </c>
      <c r="D471" s="2" t="s">
        <v>1377</v>
      </c>
      <c r="E471" s="2" t="s">
        <v>90</v>
      </c>
      <c r="F471" s="132">
        <v>6321.0239999999994</v>
      </c>
      <c r="G471" s="132">
        <v>2</v>
      </c>
      <c r="H471" s="132">
        <f>30000+75000+R471</f>
        <v>116150.73</v>
      </c>
      <c r="I471" s="132"/>
      <c r="J471" s="132">
        <f>4576.27+11440.677+S471+AY471+BC471</f>
        <v>116150.727</v>
      </c>
      <c r="K471" s="132">
        <f t="shared" si="51"/>
        <v>-109829.70299999999</v>
      </c>
      <c r="L471" s="132">
        <f t="shared" si="52"/>
        <v>2.9999999969732016E-3</v>
      </c>
      <c r="M471" s="133">
        <v>649</v>
      </c>
      <c r="N471" s="133">
        <f t="shared" si="50"/>
        <v>2.9999999969732016E-3</v>
      </c>
      <c r="O471" s="134">
        <v>1</v>
      </c>
      <c r="P471" s="133">
        <v>0</v>
      </c>
      <c r="Q471" s="2" t="s">
        <v>1418</v>
      </c>
      <c r="R471" s="156">
        <f t="shared" si="53"/>
        <v>11150.73</v>
      </c>
      <c r="S471" s="156">
        <f t="shared" si="54"/>
        <v>11150.73</v>
      </c>
      <c r="T471" s="133"/>
      <c r="U471" s="133"/>
      <c r="V471" s="133"/>
      <c r="W471" s="133"/>
      <c r="X471" s="133">
        <v>11150.73</v>
      </c>
      <c r="Y471" s="133"/>
      <c r="Z471" s="133"/>
      <c r="AA471" s="133">
        <v>1700.96</v>
      </c>
      <c r="AB471" s="133"/>
      <c r="AC471" s="133"/>
      <c r="AD471" s="133"/>
      <c r="AE471" s="133">
        <v>9449.77</v>
      </c>
      <c r="AF471" s="133"/>
      <c r="AG471" s="133"/>
      <c r="AH471" s="133"/>
      <c r="AI471" s="133"/>
      <c r="AJ471" s="133"/>
      <c r="AK471" s="133"/>
      <c r="AL471" s="133"/>
      <c r="AM471" s="133"/>
      <c r="AN471" s="133"/>
      <c r="AO471" s="133"/>
      <c r="AP471" s="133"/>
      <c r="AQ471" s="133"/>
      <c r="AR471" s="133"/>
      <c r="AS471" s="153">
        <v>0</v>
      </c>
      <c r="AT471" s="153">
        <v>0</v>
      </c>
      <c r="AU471" s="153">
        <v>0</v>
      </c>
      <c r="AV471" s="135"/>
      <c r="AW471" s="135"/>
      <c r="AX471" s="135"/>
      <c r="AY471" s="135">
        <f>25423.73+63559.32</f>
        <v>88983.05</v>
      </c>
      <c r="AZ471" s="135">
        <f>2630.31+4176.2</f>
        <v>6806.51</v>
      </c>
      <c r="BA471" s="135">
        <f>30000/1.18*0.8*0.1</f>
        <v>2033.898305084746</v>
      </c>
      <c r="BB471" s="135"/>
      <c r="BC471" s="135">
        <v>0</v>
      </c>
      <c r="BD471" s="135">
        <v>0</v>
      </c>
      <c r="BE471" s="135">
        <f>(H471/1.18-AT471-AW471-AZ471-BD471)*0.1-AU471-AX471-BA471-BB471</f>
        <v>7128.7328983050866</v>
      </c>
      <c r="BF471" s="135"/>
      <c r="BG471" s="135"/>
      <c r="BH471" s="135"/>
      <c r="BI471" s="2" t="s">
        <v>11</v>
      </c>
      <c r="BJ471" s="136">
        <v>45728</v>
      </c>
      <c r="BK471" s="2" t="s">
        <v>8</v>
      </c>
      <c r="BL471" s="136" t="s">
        <v>113</v>
      </c>
      <c r="BM471" s="136">
        <v>44931</v>
      </c>
      <c r="BN471" s="2" t="s">
        <v>1489</v>
      </c>
      <c r="BO471" s="2"/>
      <c r="BP471" s="136" t="s">
        <v>3380</v>
      </c>
      <c r="BQ471" s="137" t="s">
        <v>119</v>
      </c>
      <c r="BR471" s="138"/>
    </row>
    <row r="472" spans="1:70" ht="12.75" customHeight="1" x14ac:dyDescent="0.2">
      <c r="A472" s="2">
        <v>1961</v>
      </c>
      <c r="B472" s="2" t="s">
        <v>108</v>
      </c>
      <c r="C472" s="2" t="s">
        <v>43</v>
      </c>
      <c r="D472" s="2" t="s">
        <v>1378</v>
      </c>
      <c r="E472" s="2" t="s">
        <v>106</v>
      </c>
      <c r="F472" s="132">
        <v>0</v>
      </c>
      <c r="G472" s="132">
        <v>2</v>
      </c>
      <c r="H472" s="132"/>
      <c r="I472" s="132"/>
      <c r="J472" s="132"/>
      <c r="K472" s="132">
        <f t="shared" si="51"/>
        <v>0</v>
      </c>
      <c r="L472" s="132">
        <f t="shared" si="52"/>
        <v>0</v>
      </c>
      <c r="M472" s="133"/>
      <c r="N472" s="133">
        <f t="shared" si="50"/>
        <v>0</v>
      </c>
      <c r="O472" s="134">
        <v>2</v>
      </c>
      <c r="P472" s="133"/>
      <c r="Q472" s="2" t="s">
        <v>1419</v>
      </c>
      <c r="R472" s="156">
        <f t="shared" si="53"/>
        <v>0</v>
      </c>
      <c r="S472" s="156">
        <f t="shared" si="54"/>
        <v>0</v>
      </c>
      <c r="T472" s="133"/>
      <c r="U472" s="133"/>
      <c r="V472" s="133"/>
      <c r="W472" s="133"/>
      <c r="X472" s="133"/>
      <c r="Y472" s="133"/>
      <c r="Z472" s="133"/>
      <c r="AA472" s="133"/>
      <c r="AB472" s="133"/>
      <c r="AC472" s="133"/>
      <c r="AD472" s="133"/>
      <c r="AE472" s="133"/>
      <c r="AF472" s="133"/>
      <c r="AG472" s="133"/>
      <c r="AH472" s="133"/>
      <c r="AI472" s="133"/>
      <c r="AJ472" s="133"/>
      <c r="AK472" s="133"/>
      <c r="AL472" s="133"/>
      <c r="AM472" s="133"/>
      <c r="AN472" s="133"/>
      <c r="AO472" s="133"/>
      <c r="AP472" s="133"/>
      <c r="AQ472" s="133"/>
      <c r="AR472" s="133"/>
      <c r="AS472" s="153">
        <v>0</v>
      </c>
      <c r="AT472" s="153">
        <v>0</v>
      </c>
      <c r="AU472" s="153">
        <v>0</v>
      </c>
      <c r="AV472" s="135"/>
      <c r="AW472" s="135"/>
      <c r="AX472" s="135"/>
      <c r="AY472" s="135"/>
      <c r="AZ472" s="135"/>
      <c r="BA472" s="135"/>
      <c r="BB472" s="135"/>
      <c r="BC472" s="135"/>
      <c r="BD472" s="135"/>
      <c r="BE472" s="135"/>
      <c r="BF472" s="135"/>
      <c r="BG472" s="135"/>
      <c r="BH472" s="135"/>
      <c r="BI472" s="2" t="s">
        <v>112</v>
      </c>
      <c r="BJ472" s="136"/>
      <c r="BK472" s="2">
        <v>0</v>
      </c>
      <c r="BL472" s="136" t="s">
        <v>113</v>
      </c>
      <c r="BM472" s="136">
        <v>44931</v>
      </c>
      <c r="BN472" s="2" t="s">
        <v>1490</v>
      </c>
      <c r="BO472" s="2"/>
      <c r="BP472" s="136"/>
      <c r="BQ472" s="137"/>
      <c r="BR472" s="138"/>
    </row>
    <row r="473" spans="1:70" ht="12.75" customHeight="1" x14ac:dyDescent="0.2">
      <c r="A473" s="2">
        <v>1962</v>
      </c>
      <c r="B473" s="2" t="s">
        <v>108</v>
      </c>
      <c r="C473" s="2" t="s">
        <v>43</v>
      </c>
      <c r="D473" s="2" t="s">
        <v>1379</v>
      </c>
      <c r="E473" s="2" t="s">
        <v>90</v>
      </c>
      <c r="F473" s="132">
        <v>3000</v>
      </c>
      <c r="G473" s="132"/>
      <c r="H473" s="132">
        <v>555.46</v>
      </c>
      <c r="I473" s="132"/>
      <c r="J473" s="132">
        <v>555.46</v>
      </c>
      <c r="K473" s="132">
        <f t="shared" si="51"/>
        <v>2444.54</v>
      </c>
      <c r="L473" s="132">
        <f t="shared" si="52"/>
        <v>0</v>
      </c>
      <c r="M473" s="133">
        <v>11.1</v>
      </c>
      <c r="N473" s="133">
        <f t="shared" si="50"/>
        <v>0</v>
      </c>
      <c r="O473" s="134">
        <v>0</v>
      </c>
      <c r="P473" s="133"/>
      <c r="Q473" s="2" t="s">
        <v>1419</v>
      </c>
      <c r="R473" s="156">
        <f t="shared" si="53"/>
        <v>0</v>
      </c>
      <c r="S473" s="156">
        <f t="shared" si="54"/>
        <v>0</v>
      </c>
      <c r="T473" s="133"/>
      <c r="U473" s="133"/>
      <c r="V473" s="133"/>
      <c r="W473" s="133"/>
      <c r="X473" s="133"/>
      <c r="Y473" s="133"/>
      <c r="Z473" s="133"/>
      <c r="AA473" s="133"/>
      <c r="AB473" s="133"/>
      <c r="AC473" s="133"/>
      <c r="AD473" s="133"/>
      <c r="AE473" s="133"/>
      <c r="AF473" s="133"/>
      <c r="AG473" s="133"/>
      <c r="AH473" s="133"/>
      <c r="AI473" s="133"/>
      <c r="AJ473" s="133"/>
      <c r="AK473" s="133"/>
      <c r="AL473" s="133"/>
      <c r="AM473" s="133"/>
      <c r="AN473" s="133"/>
      <c r="AO473" s="133"/>
      <c r="AP473" s="133"/>
      <c r="AQ473" s="133"/>
      <c r="AR473" s="133"/>
      <c r="AS473" s="153">
        <v>0</v>
      </c>
      <c r="AT473" s="153">
        <v>0</v>
      </c>
      <c r="AU473" s="153">
        <v>0</v>
      </c>
      <c r="AV473" s="135">
        <v>0</v>
      </c>
      <c r="AW473" s="135">
        <v>0</v>
      </c>
      <c r="AX473" s="142">
        <f>(H473/1.18-AT473-AW473)*0.1</f>
        <v>47.072881355932211</v>
      </c>
      <c r="AY473" s="142"/>
      <c r="AZ473" s="142"/>
      <c r="BA473" s="142"/>
      <c r="BB473" s="142"/>
      <c r="BC473" s="142"/>
      <c r="BD473" s="142"/>
      <c r="BE473" s="142"/>
      <c r="BF473" s="142"/>
      <c r="BG473" s="135"/>
      <c r="BH473" s="135"/>
      <c r="BI473" s="2" t="s">
        <v>11</v>
      </c>
      <c r="BJ473" s="136">
        <v>45289</v>
      </c>
      <c r="BK473" s="2" t="s">
        <v>8</v>
      </c>
      <c r="BL473" s="136" t="s">
        <v>113</v>
      </c>
      <c r="BM473" s="136">
        <v>44931</v>
      </c>
      <c r="BN473" s="2" t="s">
        <v>1491</v>
      </c>
      <c r="BO473" s="2"/>
      <c r="BP473" s="136"/>
      <c r="BQ473" s="137" t="s">
        <v>119</v>
      </c>
      <c r="BR473" s="138"/>
    </row>
    <row r="474" spans="1:70" ht="12.75" customHeight="1" x14ac:dyDescent="0.2">
      <c r="A474" s="2">
        <v>1963</v>
      </c>
      <c r="B474" s="2" t="s">
        <v>108</v>
      </c>
      <c r="C474" s="2" t="s">
        <v>43</v>
      </c>
      <c r="D474" s="2" t="s">
        <v>1380</v>
      </c>
      <c r="E474" s="2" t="s">
        <v>106</v>
      </c>
      <c r="F474" s="132">
        <v>0</v>
      </c>
      <c r="G474" s="132">
        <v>2</v>
      </c>
      <c r="H474" s="132"/>
      <c r="I474" s="132"/>
      <c r="J474" s="132"/>
      <c r="K474" s="132">
        <f t="shared" si="51"/>
        <v>0</v>
      </c>
      <c r="L474" s="132">
        <f t="shared" si="52"/>
        <v>0</v>
      </c>
      <c r="M474" s="133"/>
      <c r="N474" s="133">
        <f t="shared" si="50"/>
        <v>0</v>
      </c>
      <c r="O474" s="134">
        <v>2</v>
      </c>
      <c r="P474" s="133"/>
      <c r="Q474" s="2" t="s">
        <v>1420</v>
      </c>
      <c r="R474" s="156">
        <f t="shared" si="53"/>
        <v>0</v>
      </c>
      <c r="S474" s="156">
        <f t="shared" si="54"/>
        <v>0</v>
      </c>
      <c r="T474" s="133"/>
      <c r="U474" s="133"/>
      <c r="V474" s="133"/>
      <c r="W474" s="133"/>
      <c r="X474" s="133"/>
      <c r="Y474" s="133"/>
      <c r="Z474" s="133"/>
      <c r="AA474" s="133"/>
      <c r="AB474" s="133"/>
      <c r="AC474" s="133"/>
      <c r="AD474" s="133"/>
      <c r="AE474" s="133"/>
      <c r="AF474" s="133"/>
      <c r="AG474" s="133"/>
      <c r="AH474" s="133"/>
      <c r="AI474" s="133"/>
      <c r="AJ474" s="133"/>
      <c r="AK474" s="133"/>
      <c r="AL474" s="133"/>
      <c r="AM474" s="133"/>
      <c r="AN474" s="133"/>
      <c r="AO474" s="133"/>
      <c r="AP474" s="133"/>
      <c r="AQ474" s="133"/>
      <c r="AR474" s="133"/>
      <c r="AS474" s="153">
        <v>0</v>
      </c>
      <c r="AT474" s="153">
        <v>0</v>
      </c>
      <c r="AU474" s="153">
        <v>0</v>
      </c>
      <c r="AV474" s="135"/>
      <c r="AW474" s="135"/>
      <c r="AX474" s="135"/>
      <c r="AY474" s="135"/>
      <c r="AZ474" s="135"/>
      <c r="BA474" s="135"/>
      <c r="BB474" s="135"/>
      <c r="BC474" s="135"/>
      <c r="BD474" s="135"/>
      <c r="BE474" s="135"/>
      <c r="BF474" s="135"/>
      <c r="BG474" s="135"/>
      <c r="BH474" s="135"/>
      <c r="BI474" s="2" t="s">
        <v>112</v>
      </c>
      <c r="BJ474" s="136"/>
      <c r="BK474" s="2">
        <v>0</v>
      </c>
      <c r="BL474" s="136" t="s">
        <v>113</v>
      </c>
      <c r="BM474" s="136">
        <v>44931</v>
      </c>
      <c r="BN474" s="2" t="s">
        <v>1492</v>
      </c>
      <c r="BO474" s="2"/>
      <c r="BP474" s="136"/>
      <c r="BQ474" s="137"/>
      <c r="BR474" s="138"/>
    </row>
    <row r="475" spans="1:70" ht="12.75" customHeight="1" x14ac:dyDescent="0.2">
      <c r="A475" s="2">
        <v>1964</v>
      </c>
      <c r="B475" s="2" t="s">
        <v>108</v>
      </c>
      <c r="C475" s="2" t="s">
        <v>43</v>
      </c>
      <c r="D475" s="2" t="s">
        <v>1381</v>
      </c>
      <c r="E475" s="2" t="s">
        <v>90</v>
      </c>
      <c r="F475" s="132">
        <v>3000</v>
      </c>
      <c r="G475" s="132"/>
      <c r="H475" s="132">
        <v>1138.3699999999999</v>
      </c>
      <c r="I475" s="132"/>
      <c r="J475" s="132">
        <v>1138.3699999999999</v>
      </c>
      <c r="K475" s="132">
        <f t="shared" si="51"/>
        <v>1861.63</v>
      </c>
      <c r="L475" s="132">
        <f t="shared" si="52"/>
        <v>0</v>
      </c>
      <c r="M475" s="133">
        <v>20.399999999999999</v>
      </c>
      <c r="N475" s="133">
        <f t="shared" si="50"/>
        <v>0</v>
      </c>
      <c r="O475" s="134">
        <v>0</v>
      </c>
      <c r="P475" s="133"/>
      <c r="Q475" s="2" t="s">
        <v>1420</v>
      </c>
      <c r="R475" s="156">
        <f t="shared" si="53"/>
        <v>0</v>
      </c>
      <c r="S475" s="156">
        <f t="shared" si="54"/>
        <v>0</v>
      </c>
      <c r="T475" s="133"/>
      <c r="U475" s="133"/>
      <c r="V475" s="133"/>
      <c r="W475" s="133"/>
      <c r="X475" s="133"/>
      <c r="Y475" s="133"/>
      <c r="Z475" s="133"/>
      <c r="AA475" s="133"/>
      <c r="AB475" s="133"/>
      <c r="AC475" s="133"/>
      <c r="AD475" s="133"/>
      <c r="AE475" s="133"/>
      <c r="AF475" s="133"/>
      <c r="AG475" s="133"/>
      <c r="AH475" s="133"/>
      <c r="AI475" s="133"/>
      <c r="AJ475" s="133"/>
      <c r="AK475" s="133"/>
      <c r="AL475" s="133"/>
      <c r="AM475" s="133"/>
      <c r="AN475" s="133"/>
      <c r="AO475" s="133"/>
      <c r="AP475" s="133"/>
      <c r="AQ475" s="133"/>
      <c r="AR475" s="133"/>
      <c r="AS475" s="153">
        <v>0</v>
      </c>
      <c r="AT475" s="153">
        <v>0</v>
      </c>
      <c r="AU475" s="153">
        <v>0</v>
      </c>
      <c r="AV475" s="135">
        <v>0</v>
      </c>
      <c r="AW475" s="135">
        <v>0</v>
      </c>
      <c r="AX475" s="142">
        <f>(H475/1.18-AT475-AW475)*0.1</f>
        <v>96.472033898305085</v>
      </c>
      <c r="AY475" s="142"/>
      <c r="AZ475" s="142"/>
      <c r="BA475" s="142"/>
      <c r="BB475" s="142"/>
      <c r="BC475" s="142"/>
      <c r="BD475" s="142"/>
      <c r="BE475" s="142"/>
      <c r="BF475" s="142"/>
      <c r="BG475" s="135"/>
      <c r="BH475" s="135"/>
      <c r="BI475" s="2" t="s">
        <v>11</v>
      </c>
      <c r="BJ475" s="136">
        <v>45289</v>
      </c>
      <c r="BK475" s="2" t="s">
        <v>8</v>
      </c>
      <c r="BL475" s="136" t="s">
        <v>113</v>
      </c>
      <c r="BM475" s="136">
        <v>44931</v>
      </c>
      <c r="BN475" s="2" t="s">
        <v>1493</v>
      </c>
      <c r="BO475" s="2"/>
      <c r="BP475" s="136"/>
      <c r="BQ475" s="137" t="s">
        <v>119</v>
      </c>
      <c r="BR475" s="138"/>
    </row>
    <row r="476" spans="1:70" ht="12.75" customHeight="1" x14ac:dyDescent="0.2">
      <c r="A476" s="2">
        <v>1965</v>
      </c>
      <c r="B476" s="2" t="s">
        <v>108</v>
      </c>
      <c r="C476" s="2" t="s">
        <v>40</v>
      </c>
      <c r="D476" s="2" t="s">
        <v>1382</v>
      </c>
      <c r="E476" s="2" t="s">
        <v>90</v>
      </c>
      <c r="F476" s="132">
        <v>416304</v>
      </c>
      <c r="G476" s="132">
        <v>2</v>
      </c>
      <c r="H476" s="132">
        <f>450000+75000+360000+750000+2580.86+R476</f>
        <v>1640101.7000000002</v>
      </c>
      <c r="I476" s="132"/>
      <c r="J476" s="132">
        <f>68644.067+AS476+AV476+11440.677+54915.25+114406.78+S476+AY476+BC476</f>
        <v>1567554.274</v>
      </c>
      <c r="K476" s="132">
        <f t="shared" si="51"/>
        <v>-1151250.274</v>
      </c>
      <c r="L476" s="132">
        <f t="shared" si="52"/>
        <v>72547.42600000021</v>
      </c>
      <c r="M476" s="133"/>
      <c r="N476" s="133">
        <f t="shared" si="50"/>
        <v>-1151250.274</v>
      </c>
      <c r="O476" s="134">
        <v>1</v>
      </c>
      <c r="P476" s="133"/>
      <c r="Q476" s="2" t="s">
        <v>1421</v>
      </c>
      <c r="R476" s="156">
        <f t="shared" si="53"/>
        <v>2520.84</v>
      </c>
      <c r="S476" s="156">
        <f t="shared" si="54"/>
        <v>393.69</v>
      </c>
      <c r="T476" s="133"/>
      <c r="U476" s="133">
        <f>393.69</f>
        <v>393.69</v>
      </c>
      <c r="V476" s="133"/>
      <c r="W476" s="133"/>
      <c r="X476" s="133"/>
      <c r="Y476" s="133"/>
      <c r="Z476" s="133"/>
      <c r="AA476" s="133"/>
      <c r="AB476" s="133"/>
      <c r="AC476" s="133"/>
      <c r="AD476" s="133"/>
      <c r="AE476" s="133"/>
      <c r="AF476" s="133"/>
      <c r="AG476" s="133"/>
      <c r="AH476" s="133"/>
      <c r="AI476" s="133"/>
      <c r="AJ476" s="133"/>
      <c r="AK476" s="133"/>
      <c r="AL476" s="133"/>
      <c r="AM476" s="133"/>
      <c r="AN476" s="133">
        <v>2520.84</v>
      </c>
      <c r="AO476" s="133"/>
      <c r="AP476" s="133"/>
      <c r="AQ476" s="133"/>
      <c r="AR476" s="133"/>
      <c r="AS476" s="153">
        <v>0</v>
      </c>
      <c r="AT476" s="153">
        <v>0</v>
      </c>
      <c r="AU476" s="153">
        <v>0</v>
      </c>
      <c r="AV476" s="135">
        <f>381355.93</f>
        <v>381355.93</v>
      </c>
      <c r="AW476" s="135"/>
      <c r="AX476" s="135"/>
      <c r="AY476" s="135">
        <f>631313.13+305084.75</f>
        <v>936397.88</v>
      </c>
      <c r="AZ476" s="135"/>
      <c r="BA476" s="135"/>
      <c r="BB476" s="135"/>
      <c r="BC476" s="135"/>
      <c r="BD476" s="135"/>
      <c r="BE476" s="135"/>
      <c r="BF476" s="135"/>
      <c r="BG476" s="135"/>
      <c r="BH476" s="135"/>
      <c r="BI476" s="2" t="s">
        <v>11</v>
      </c>
      <c r="BJ476" s="136"/>
      <c r="BK476" s="2">
        <v>90</v>
      </c>
      <c r="BL476" s="136" t="s">
        <v>113</v>
      </c>
      <c r="BM476" s="136">
        <v>44931</v>
      </c>
      <c r="BN476" s="2" t="s">
        <v>1494</v>
      </c>
      <c r="BO476" s="2"/>
      <c r="BP476" s="136"/>
      <c r="BQ476" s="137"/>
      <c r="BR476" s="138"/>
    </row>
    <row r="477" spans="1:70" ht="12.75" customHeight="1" x14ac:dyDescent="0.2">
      <c r="A477" s="2">
        <v>1966</v>
      </c>
      <c r="B477" s="2" t="s">
        <v>39</v>
      </c>
      <c r="C477" s="2" t="s">
        <v>42</v>
      </c>
      <c r="D477" s="2" t="s">
        <v>1383</v>
      </c>
      <c r="E477" s="2" t="s">
        <v>90</v>
      </c>
      <c r="F477" s="132">
        <v>12703.88</v>
      </c>
      <c r="G477" s="132">
        <v>2</v>
      </c>
      <c r="H477" s="132">
        <f>R477</f>
        <v>14654.3</v>
      </c>
      <c r="I477" s="132"/>
      <c r="J477" s="132">
        <f>S477+BC477</f>
        <v>14654.3</v>
      </c>
      <c r="K477" s="132">
        <f t="shared" si="51"/>
        <v>-1950.42</v>
      </c>
      <c r="L477" s="132">
        <f t="shared" si="52"/>
        <v>0</v>
      </c>
      <c r="M477" s="133">
        <v>277</v>
      </c>
      <c r="N477" s="133">
        <f t="shared" si="50"/>
        <v>0</v>
      </c>
      <c r="O477" s="134">
        <v>1</v>
      </c>
      <c r="P477" s="133"/>
      <c r="Q477" s="2" t="s">
        <v>1422</v>
      </c>
      <c r="R477" s="156">
        <f t="shared" si="53"/>
        <v>14654.3</v>
      </c>
      <c r="S477" s="156">
        <f t="shared" si="54"/>
        <v>2789.8900000000003</v>
      </c>
      <c r="T477" s="133"/>
      <c r="U477" s="133"/>
      <c r="V477" s="133"/>
      <c r="W477" s="133"/>
      <c r="X477" s="133">
        <v>14000</v>
      </c>
      <c r="Y477" s="133"/>
      <c r="Z477" s="133">
        <v>654.29999999999995</v>
      </c>
      <c r="AA477" s="133">
        <v>2135.59</v>
      </c>
      <c r="AB477" s="133"/>
      <c r="AC477" s="133">
        <v>654.29999999999995</v>
      </c>
      <c r="AD477" s="133"/>
      <c r="AE477" s="133"/>
      <c r="AF477" s="133"/>
      <c r="AG477" s="133"/>
      <c r="AH477" s="133"/>
      <c r="AI477" s="133"/>
      <c r="AJ477" s="133"/>
      <c r="AK477" s="133"/>
      <c r="AL477" s="133"/>
      <c r="AM477" s="133"/>
      <c r="AN477" s="133"/>
      <c r="AO477" s="133"/>
      <c r="AP477" s="133"/>
      <c r="AQ477" s="133"/>
      <c r="AR477" s="133"/>
      <c r="AS477" s="153">
        <v>0</v>
      </c>
      <c r="AT477" s="153">
        <v>0</v>
      </c>
      <c r="AU477" s="153">
        <v>0</v>
      </c>
      <c r="AV477" s="135"/>
      <c r="AW477" s="135"/>
      <c r="AX477" s="135"/>
      <c r="AY477" s="135"/>
      <c r="AZ477" s="135"/>
      <c r="BA477" s="135"/>
      <c r="BB477" s="135"/>
      <c r="BC477" s="135">
        <v>11864.41</v>
      </c>
      <c r="BD477" s="135">
        <v>1768.45</v>
      </c>
      <c r="BE477" s="135">
        <f>(H477/1.18-AT477-AW477-AZ477-BD477)*0.1-AU477-AX477-BA477-BB477</f>
        <v>1065.0448305084744</v>
      </c>
      <c r="BF477" s="135"/>
      <c r="BG477" s="135"/>
      <c r="BH477" s="135"/>
      <c r="BI477" s="2" t="s">
        <v>11</v>
      </c>
      <c r="BJ477" s="136">
        <v>45777</v>
      </c>
      <c r="BK477" s="2" t="s">
        <v>8</v>
      </c>
      <c r="BL477" s="136" t="s">
        <v>113</v>
      </c>
      <c r="BM477" s="136">
        <v>44931</v>
      </c>
      <c r="BN477" s="2" t="s">
        <v>1495</v>
      </c>
      <c r="BO477" s="2"/>
      <c r="BP477" s="136"/>
      <c r="BQ477" s="137" t="s">
        <v>119</v>
      </c>
      <c r="BR477" s="138"/>
    </row>
    <row r="478" spans="1:70" ht="12.75" customHeight="1" x14ac:dyDescent="0.2">
      <c r="A478" s="2">
        <v>1967</v>
      </c>
      <c r="B478" s="2" t="s">
        <v>39</v>
      </c>
      <c r="C478" s="2" t="s">
        <v>42</v>
      </c>
      <c r="D478" s="2" t="s">
        <v>1384</v>
      </c>
      <c r="E478" s="2" t="s">
        <v>90</v>
      </c>
      <c r="F478" s="132">
        <v>7779.8343999999997</v>
      </c>
      <c r="G478" s="132">
        <v>2</v>
      </c>
      <c r="H478" s="132">
        <v>15302.48</v>
      </c>
      <c r="I478" s="132">
        <v>15302.48</v>
      </c>
      <c r="J478" s="132">
        <v>15302.48</v>
      </c>
      <c r="K478" s="132">
        <f t="shared" si="51"/>
        <v>-7522.6455999999998</v>
      </c>
      <c r="L478" s="132">
        <f t="shared" si="52"/>
        <v>0</v>
      </c>
      <c r="M478" s="133">
        <v>284</v>
      </c>
      <c r="N478" s="133">
        <f t="shared" si="50"/>
        <v>0</v>
      </c>
      <c r="O478" s="134">
        <v>0</v>
      </c>
      <c r="P478" s="133"/>
      <c r="Q478" s="2" t="s">
        <v>1423</v>
      </c>
      <c r="R478" s="156">
        <f t="shared" si="53"/>
        <v>0</v>
      </c>
      <c r="S478" s="156">
        <f t="shared" si="54"/>
        <v>0</v>
      </c>
      <c r="T478" s="133"/>
      <c r="U478" s="133"/>
      <c r="V478" s="133"/>
      <c r="W478" s="133"/>
      <c r="X478" s="133"/>
      <c r="Y478" s="133"/>
      <c r="Z478" s="133"/>
      <c r="AA478" s="133"/>
      <c r="AB478" s="133"/>
      <c r="AC478" s="133"/>
      <c r="AD478" s="133"/>
      <c r="AE478" s="133"/>
      <c r="AF478" s="133"/>
      <c r="AG478" s="133"/>
      <c r="AH478" s="133"/>
      <c r="AI478" s="133"/>
      <c r="AJ478" s="133"/>
      <c r="AK478" s="133"/>
      <c r="AL478" s="133"/>
      <c r="AM478" s="133"/>
      <c r="AN478" s="133"/>
      <c r="AO478" s="133"/>
      <c r="AP478" s="133"/>
      <c r="AQ478" s="133"/>
      <c r="AR478" s="133"/>
      <c r="AS478" s="153">
        <v>0</v>
      </c>
      <c r="AT478" s="153">
        <v>0</v>
      </c>
      <c r="AU478" s="153">
        <v>0</v>
      </c>
      <c r="AV478" s="135"/>
      <c r="AW478" s="135"/>
      <c r="AX478" s="135"/>
      <c r="AY478" s="135"/>
      <c r="AZ478" s="135"/>
      <c r="BA478" s="135">
        <v>0</v>
      </c>
      <c r="BB478" s="140">
        <f>(H478/1.18-AT478-AW478-AZ478)*0.1-BA478</f>
        <v>1296.820338983051</v>
      </c>
      <c r="BC478" s="135"/>
      <c r="BD478" s="135"/>
      <c r="BE478" s="135">
        <f>(H478/1.18-AT478-AW478-AZ478-BD478)*0.1-AU478-AX478-BA478-BB478</f>
        <v>0</v>
      </c>
      <c r="BF478" s="135"/>
      <c r="BG478" s="135"/>
      <c r="BH478" s="135"/>
      <c r="BI478" s="2" t="s">
        <v>11</v>
      </c>
      <c r="BJ478" s="136">
        <v>45504</v>
      </c>
      <c r="BK478" s="2" t="s">
        <v>8</v>
      </c>
      <c r="BL478" s="136" t="s">
        <v>113</v>
      </c>
      <c r="BM478" s="136">
        <v>44931</v>
      </c>
      <c r="BN478" s="2" t="s">
        <v>1496</v>
      </c>
      <c r="BO478" s="2"/>
      <c r="BP478" s="136"/>
      <c r="BQ478" s="137" t="s">
        <v>119</v>
      </c>
      <c r="BR478" s="138"/>
    </row>
    <row r="479" spans="1:70" ht="12.75" customHeight="1" x14ac:dyDescent="0.2">
      <c r="A479" s="2">
        <v>1968</v>
      </c>
      <c r="B479" s="2" t="s">
        <v>104</v>
      </c>
      <c r="C479" s="2" t="s">
        <v>104</v>
      </c>
      <c r="D479" s="2" t="s">
        <v>1385</v>
      </c>
      <c r="E479" s="2" t="s">
        <v>90</v>
      </c>
      <c r="F479" s="132">
        <v>5000</v>
      </c>
      <c r="G479" s="132">
        <v>2</v>
      </c>
      <c r="H479" s="132"/>
      <c r="I479" s="132"/>
      <c r="J479" s="132"/>
      <c r="K479" s="132">
        <f t="shared" si="51"/>
        <v>5000</v>
      </c>
      <c r="L479" s="132">
        <f t="shared" si="52"/>
        <v>0</v>
      </c>
      <c r="M479" s="133"/>
      <c r="N479" s="133">
        <f t="shared" si="50"/>
        <v>5000</v>
      </c>
      <c r="O479" s="134">
        <v>1</v>
      </c>
      <c r="P479" s="133"/>
      <c r="Q479" s="2" t="s">
        <v>1424</v>
      </c>
      <c r="R479" s="156">
        <f t="shared" si="53"/>
        <v>0</v>
      </c>
      <c r="S479" s="156">
        <f t="shared" si="54"/>
        <v>0</v>
      </c>
      <c r="T479" s="133"/>
      <c r="U479" s="133"/>
      <c r="V479" s="133"/>
      <c r="W479" s="133"/>
      <c r="X479" s="133"/>
      <c r="Y479" s="133"/>
      <c r="Z479" s="133"/>
      <c r="AA479" s="133"/>
      <c r="AB479" s="133"/>
      <c r="AC479" s="133"/>
      <c r="AD479" s="133"/>
      <c r="AE479" s="133"/>
      <c r="AF479" s="133"/>
      <c r="AG479" s="133"/>
      <c r="AH479" s="133"/>
      <c r="AI479" s="133"/>
      <c r="AJ479" s="133"/>
      <c r="AK479" s="133"/>
      <c r="AL479" s="133"/>
      <c r="AM479" s="133"/>
      <c r="AN479" s="133"/>
      <c r="AO479" s="133"/>
      <c r="AP479" s="133"/>
      <c r="AQ479" s="133"/>
      <c r="AR479" s="133"/>
      <c r="AS479" s="153">
        <v>0</v>
      </c>
      <c r="AT479" s="153">
        <v>0</v>
      </c>
      <c r="AU479" s="153">
        <v>0</v>
      </c>
      <c r="AV479" s="135"/>
      <c r="AW479" s="135"/>
      <c r="AX479" s="135"/>
      <c r="AY479" s="135"/>
      <c r="AZ479" s="135"/>
      <c r="BA479" s="135"/>
      <c r="BB479" s="135"/>
      <c r="BC479" s="135"/>
      <c r="BD479" s="135"/>
      <c r="BE479" s="135"/>
      <c r="BF479" s="135"/>
      <c r="BG479" s="135"/>
      <c r="BH479" s="135"/>
      <c r="BI479" s="2" t="s">
        <v>11</v>
      </c>
      <c r="BJ479" s="136"/>
      <c r="BK479" s="2">
        <v>0</v>
      </c>
      <c r="BL479" s="136" t="s">
        <v>113</v>
      </c>
      <c r="BM479" s="136">
        <v>44931</v>
      </c>
      <c r="BN479" s="2" t="s">
        <v>1497</v>
      </c>
      <c r="BO479" s="2"/>
      <c r="BP479" s="136"/>
      <c r="BQ479" s="137"/>
      <c r="BR479" s="138"/>
    </row>
    <row r="480" spans="1:70" ht="12.75" customHeight="1" x14ac:dyDescent="0.2">
      <c r="A480" s="2">
        <v>1969</v>
      </c>
      <c r="B480" s="2" t="s">
        <v>28</v>
      </c>
      <c r="C480" s="2" t="s">
        <v>91</v>
      </c>
      <c r="D480" s="2" t="s">
        <v>1613</v>
      </c>
      <c r="E480" s="2" t="s">
        <v>701</v>
      </c>
      <c r="F480" s="132">
        <v>770000</v>
      </c>
      <c r="G480" s="132">
        <v>2</v>
      </c>
      <c r="H480" s="132">
        <f>450000+39009.81</f>
        <v>489009.81</v>
      </c>
      <c r="I480" s="132">
        <f>H480</f>
        <v>489009.81</v>
      </c>
      <c r="J480" s="132">
        <f>68644.07+AV480+39009.81+5950.65-5950.65</f>
        <v>489009.81</v>
      </c>
      <c r="K480" s="132">
        <f t="shared" si="51"/>
        <v>280990.19</v>
      </c>
      <c r="L480" s="132">
        <f t="shared" si="52"/>
        <v>0</v>
      </c>
      <c r="M480" s="133">
        <v>6566.7</v>
      </c>
      <c r="N480" s="133">
        <f t="shared" si="50"/>
        <v>0</v>
      </c>
      <c r="O480" s="134">
        <v>0</v>
      </c>
      <c r="P480" s="133"/>
      <c r="Q480" s="2" t="s">
        <v>1605</v>
      </c>
      <c r="R480" s="156">
        <f t="shared" si="53"/>
        <v>0</v>
      </c>
      <c r="S480" s="156">
        <f t="shared" si="54"/>
        <v>0</v>
      </c>
      <c r="T480" s="133"/>
      <c r="U480" s="133"/>
      <c r="V480" s="133"/>
      <c r="W480" s="133"/>
      <c r="X480" s="133"/>
      <c r="Y480" s="133"/>
      <c r="Z480" s="133"/>
      <c r="AA480" s="133"/>
      <c r="AB480" s="133"/>
      <c r="AC480" s="133"/>
      <c r="AD480" s="133"/>
      <c r="AE480" s="133"/>
      <c r="AF480" s="133"/>
      <c r="AG480" s="133"/>
      <c r="AH480" s="133"/>
      <c r="AI480" s="133"/>
      <c r="AJ480" s="133"/>
      <c r="AK480" s="133"/>
      <c r="AL480" s="133"/>
      <c r="AM480" s="133"/>
      <c r="AN480" s="133"/>
      <c r="AO480" s="133"/>
      <c r="AP480" s="133"/>
      <c r="AQ480" s="133"/>
      <c r="AR480" s="133"/>
      <c r="AS480" s="153">
        <v>0</v>
      </c>
      <c r="AT480" s="153">
        <v>0</v>
      </c>
      <c r="AU480" s="153">
        <v>0</v>
      </c>
      <c r="AV480" s="135">
        <f>381355.93</f>
        <v>381355.93</v>
      </c>
      <c r="AW480" s="135">
        <v>44535.06</v>
      </c>
      <c r="AX480" s="135"/>
      <c r="AY480" s="135"/>
      <c r="AZ480" s="135"/>
      <c r="BA480" s="135">
        <f>IF(BK480="Принят",(H480/1.18-AW480)*0.1,H480/1.18*0.8*0.1)</f>
        <v>36988.003322033903</v>
      </c>
      <c r="BB480" s="135">
        <f>(H480/1.18-AT480-AW480-AZ480)*0.1-BA480</f>
        <v>0</v>
      </c>
      <c r="BC480" s="135"/>
      <c r="BD480" s="135"/>
      <c r="BE480" s="135">
        <f>(H480/1.18-AT480-AW480-AZ480-BD480)*0.1-AU480-AX480-BA480-BB480</f>
        <v>0</v>
      </c>
      <c r="BF480" s="135"/>
      <c r="BG480" s="135"/>
      <c r="BH480" s="135"/>
      <c r="BI480" s="2" t="s">
        <v>11</v>
      </c>
      <c r="BJ480" s="136">
        <v>45406</v>
      </c>
      <c r="BK480" s="2" t="s">
        <v>109</v>
      </c>
      <c r="BL480" s="136" t="s">
        <v>18</v>
      </c>
      <c r="BM480" s="136">
        <v>45114</v>
      </c>
      <c r="BN480" s="2" t="s">
        <v>1971</v>
      </c>
      <c r="BO480" s="2"/>
      <c r="BP480" s="136" t="s">
        <v>616</v>
      </c>
      <c r="BQ480" s="137" t="s">
        <v>119</v>
      </c>
      <c r="BR480" s="138"/>
    </row>
    <row r="481" spans="1:70" ht="12.75" customHeight="1" x14ac:dyDescent="0.2">
      <c r="A481" s="2">
        <v>1970</v>
      </c>
      <c r="B481" s="2" t="s">
        <v>28</v>
      </c>
      <c r="C481" s="2" t="s">
        <v>91</v>
      </c>
      <c r="D481" s="2" t="s">
        <v>1614</v>
      </c>
      <c r="E481" s="2" t="s">
        <v>701</v>
      </c>
      <c r="F481" s="132">
        <v>1120000</v>
      </c>
      <c r="G481" s="132">
        <v>2</v>
      </c>
      <c r="H481" s="132">
        <f>1050000+350000+8275</f>
        <v>1408275</v>
      </c>
      <c r="I481" s="132">
        <f>H481</f>
        <v>1408275</v>
      </c>
      <c r="J481" s="132">
        <f>160169.49+AS481+AV481+53389.83+8275+1262.29-1262.29</f>
        <v>1408275</v>
      </c>
      <c r="K481" s="132">
        <f t="shared" si="51"/>
        <v>-288275</v>
      </c>
      <c r="L481" s="132">
        <f t="shared" si="52"/>
        <v>0</v>
      </c>
      <c r="M481" s="133">
        <f>5450+10737.9</f>
        <v>16187.9</v>
      </c>
      <c r="N481" s="133">
        <f t="shared" si="50"/>
        <v>0</v>
      </c>
      <c r="O481" s="134">
        <v>0</v>
      </c>
      <c r="P481" s="133"/>
      <c r="Q481" s="2" t="s">
        <v>1604</v>
      </c>
      <c r="R481" s="156">
        <f t="shared" si="53"/>
        <v>0</v>
      </c>
      <c r="S481" s="156">
        <f t="shared" si="54"/>
        <v>0</v>
      </c>
      <c r="T481" s="133"/>
      <c r="U481" s="133"/>
      <c r="V481" s="133"/>
      <c r="W481" s="133"/>
      <c r="X481" s="133"/>
      <c r="Y481" s="133"/>
      <c r="Z481" s="133"/>
      <c r="AA481" s="133"/>
      <c r="AB481" s="133"/>
      <c r="AC481" s="133"/>
      <c r="AD481" s="133"/>
      <c r="AE481" s="133"/>
      <c r="AF481" s="133"/>
      <c r="AG481" s="133"/>
      <c r="AH481" s="133"/>
      <c r="AI481" s="133"/>
      <c r="AJ481" s="133"/>
      <c r="AK481" s="133"/>
      <c r="AL481" s="133"/>
      <c r="AM481" s="133"/>
      <c r="AN481" s="133"/>
      <c r="AO481" s="133"/>
      <c r="AP481" s="133"/>
      <c r="AQ481" s="133"/>
      <c r="AR481" s="133"/>
      <c r="AS481" s="153">
        <v>0</v>
      </c>
      <c r="AT481" s="153">
        <v>0</v>
      </c>
      <c r="AU481" s="153">
        <v>0</v>
      </c>
      <c r="AV481" s="135">
        <f>889830.51+296610.17</f>
        <v>1186440.68</v>
      </c>
      <c r="AW481" s="135">
        <f>103915.14+17918.5</f>
        <v>121833.64</v>
      </c>
      <c r="AX481" s="135"/>
      <c r="AY481" s="135"/>
      <c r="AZ481" s="135"/>
      <c r="BA481" s="135">
        <f>IF(BK481="Принят",(H481/1.18-AW481)*0.1,H481/1.18*0.8*0.1)</f>
        <v>107161.97498305087</v>
      </c>
      <c r="BB481" s="135">
        <f>(H481/1.18-AT481-AW481-AZ481)*0.1-BA481</f>
        <v>0</v>
      </c>
      <c r="BC481" s="135"/>
      <c r="BD481" s="135"/>
      <c r="BE481" s="135">
        <f>(H481/1.18-AT481-AW481-AZ481-BD481)*0.1-AU481-AX481-BA481-BB481</f>
        <v>0</v>
      </c>
      <c r="BF481" s="135"/>
      <c r="BG481" s="135"/>
      <c r="BH481" s="135"/>
      <c r="BI481" s="2" t="s">
        <v>11</v>
      </c>
      <c r="BJ481" s="136">
        <v>45406</v>
      </c>
      <c r="BK481" s="2" t="s">
        <v>109</v>
      </c>
      <c r="BL481" s="136" t="s">
        <v>18</v>
      </c>
      <c r="BM481" s="136">
        <v>45114</v>
      </c>
      <c r="BN481" s="2" t="s">
        <v>1972</v>
      </c>
      <c r="BO481" s="2"/>
      <c r="BP481" s="136" t="s">
        <v>616</v>
      </c>
      <c r="BQ481" s="137" t="s">
        <v>119</v>
      </c>
      <c r="BR481" s="138"/>
    </row>
    <row r="482" spans="1:70" ht="12.75" customHeight="1" x14ac:dyDescent="0.2">
      <c r="A482" s="2">
        <v>1971</v>
      </c>
      <c r="B482" s="2" t="s">
        <v>28</v>
      </c>
      <c r="C482" s="2" t="s">
        <v>91</v>
      </c>
      <c r="D482" s="2" t="s">
        <v>1615</v>
      </c>
      <c r="E482" s="2" t="s">
        <v>701</v>
      </c>
      <c r="F482" s="132">
        <v>1110000</v>
      </c>
      <c r="G482" s="132">
        <v>2</v>
      </c>
      <c r="H482" s="132">
        <f>1000000+100000+4000+R482</f>
        <v>1670004.05</v>
      </c>
      <c r="I482" s="132">
        <f>H482</f>
        <v>1670004.05</v>
      </c>
      <c r="J482" s="132">
        <f>152542.37+AV482+15254.237+S482+BC482</f>
        <v>1670004.047</v>
      </c>
      <c r="K482" s="132">
        <f t="shared" si="51"/>
        <v>-560004.04700000002</v>
      </c>
      <c r="L482" s="132">
        <f t="shared" si="52"/>
        <v>3.0000000260770321E-3</v>
      </c>
      <c r="M482" s="133">
        <v>27015</v>
      </c>
      <c r="N482" s="133">
        <f t="shared" si="50"/>
        <v>3.0000000260770321E-3</v>
      </c>
      <c r="O482" s="134">
        <v>1</v>
      </c>
      <c r="P482" s="133"/>
      <c r="Q482" s="2" t="s">
        <v>1603</v>
      </c>
      <c r="R482" s="156">
        <f t="shared" si="53"/>
        <v>566004.05000000005</v>
      </c>
      <c r="S482" s="156">
        <f t="shared" si="54"/>
        <v>100512.52</v>
      </c>
      <c r="T482" s="133">
        <v>554000</v>
      </c>
      <c r="U482" s="133">
        <f>610.17</f>
        <v>610.16999999999996</v>
      </c>
      <c r="V482" s="133"/>
      <c r="W482" s="133">
        <f>84508.47</f>
        <v>84508.47</v>
      </c>
      <c r="X482" s="133">
        <v>12004.05</v>
      </c>
      <c r="Y482" s="133"/>
      <c r="Z482" s="133"/>
      <c r="AA482" s="133">
        <f>1830.88+13563</f>
        <v>15393.880000000001</v>
      </c>
      <c r="AB482" s="133"/>
      <c r="AC482" s="133"/>
      <c r="AD482" s="133"/>
      <c r="AE482" s="133"/>
      <c r="AF482" s="133"/>
      <c r="AG482" s="133"/>
      <c r="AH482" s="133"/>
      <c r="AI482" s="133"/>
      <c r="AJ482" s="133"/>
      <c r="AK482" s="133"/>
      <c r="AL482" s="133"/>
      <c r="AM482" s="133"/>
      <c r="AN482" s="133"/>
      <c r="AO482" s="133"/>
      <c r="AP482" s="133"/>
      <c r="AQ482" s="133"/>
      <c r="AR482" s="133" t="s">
        <v>718</v>
      </c>
      <c r="AS482" s="153">
        <v>0</v>
      </c>
      <c r="AT482" s="153">
        <v>0</v>
      </c>
      <c r="AU482" s="153">
        <v>0</v>
      </c>
      <c r="AV482" s="135">
        <f>847457.63+84745.76</f>
        <v>932203.39</v>
      </c>
      <c r="AW482" s="135">
        <f>98966.8+5119.57</f>
        <v>104086.37</v>
      </c>
      <c r="AX482" s="135"/>
      <c r="AY482" s="135"/>
      <c r="AZ482" s="135"/>
      <c r="BA482" s="135">
        <v>0</v>
      </c>
      <c r="BB482" s="140">
        <f>(1658000/1.18-AT482-AW482-AZ482)*0.1-BA482</f>
        <v>130099.83757627118</v>
      </c>
      <c r="BC482" s="135">
        <f>469491.53</f>
        <v>469491.53</v>
      </c>
      <c r="BD482" s="135">
        <v>9544.18</v>
      </c>
      <c r="BE482" s="135">
        <f>(H482/1.18-AT482-AW482-AZ482-BD482)*0.1-AU482-AX482-BA482-BB482</f>
        <v>62.874372881400632</v>
      </c>
      <c r="BF482" s="135"/>
      <c r="BG482" s="135"/>
      <c r="BH482" s="135"/>
      <c r="BI482" s="2" t="s">
        <v>11</v>
      </c>
      <c r="BJ482" s="136">
        <v>45747</v>
      </c>
      <c r="BK482" s="2" t="s">
        <v>8</v>
      </c>
      <c r="BL482" s="136" t="s">
        <v>18</v>
      </c>
      <c r="BM482" s="136">
        <v>45114</v>
      </c>
      <c r="BN482" s="2" t="s">
        <v>1973</v>
      </c>
      <c r="BO482" s="2"/>
      <c r="BP482" s="136"/>
      <c r="BQ482" s="137" t="s">
        <v>119</v>
      </c>
      <c r="BR482" s="138"/>
    </row>
    <row r="483" spans="1:70" ht="12.75" customHeight="1" x14ac:dyDescent="0.2">
      <c r="A483" s="2">
        <v>1972</v>
      </c>
      <c r="B483" s="2" t="s">
        <v>28</v>
      </c>
      <c r="C483" s="2" t="s">
        <v>93</v>
      </c>
      <c r="D483" s="2" t="s">
        <v>1617</v>
      </c>
      <c r="E483" s="2" t="s">
        <v>75</v>
      </c>
      <c r="F483" s="132">
        <v>1820000</v>
      </c>
      <c r="G483" s="132"/>
      <c r="H483" s="132">
        <f>350000+300000+350000+550000+295297</f>
        <v>1845297</v>
      </c>
      <c r="I483" s="132"/>
      <c r="J483" s="132">
        <f>53389.83+AS483+AV483+45762.71+53389.83+83898.305+308856.325</f>
        <v>1845297</v>
      </c>
      <c r="K483" s="132">
        <f t="shared" si="51"/>
        <v>-25297</v>
      </c>
      <c r="L483" s="132">
        <f t="shared" si="52"/>
        <v>0</v>
      </c>
      <c r="M483" s="133">
        <v>13829</v>
      </c>
      <c r="N483" s="133">
        <f t="shared" si="50"/>
        <v>0</v>
      </c>
      <c r="O483" s="134">
        <v>0</v>
      </c>
      <c r="P483" s="133"/>
      <c r="Q483" s="2" t="s">
        <v>769</v>
      </c>
      <c r="R483" s="156">
        <f t="shared" si="53"/>
        <v>0</v>
      </c>
      <c r="S483" s="156">
        <f t="shared" si="54"/>
        <v>0</v>
      </c>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53">
        <v>0</v>
      </c>
      <c r="AT483" s="153">
        <v>0</v>
      </c>
      <c r="AU483" s="153">
        <v>0</v>
      </c>
      <c r="AV483" s="135">
        <f>296610.17+254237.29+296610.17+452542.37</f>
        <v>1300000</v>
      </c>
      <c r="AW483" s="135">
        <f>35520.08+26024.5+25841.65+35335.5</f>
        <v>122721.73000000001</v>
      </c>
      <c r="AX483" s="135">
        <f>(H483/1.18-AW483)*0.1</f>
        <v>144108.92869491526</v>
      </c>
      <c r="AY483" s="135"/>
      <c r="AZ483" s="135"/>
      <c r="BA483" s="135"/>
      <c r="BB483" s="135"/>
      <c r="BC483" s="135"/>
      <c r="BD483" s="135"/>
      <c r="BE483" s="135">
        <f>(H483/1.18-AT483-AW483-AZ483-BD483)*0.1-AU483-AX483-BA483-BB483</f>
        <v>0</v>
      </c>
      <c r="BF483" s="135"/>
      <c r="BG483" s="135"/>
      <c r="BH483" s="135"/>
      <c r="BI483" s="2" t="s">
        <v>11</v>
      </c>
      <c r="BJ483" s="136">
        <v>45287</v>
      </c>
      <c r="BK483" s="2" t="s">
        <v>109</v>
      </c>
      <c r="BL483" s="136" t="s">
        <v>18</v>
      </c>
      <c r="BM483" s="136">
        <v>45107</v>
      </c>
      <c r="BN483" s="2" t="s">
        <v>1616</v>
      </c>
      <c r="BO483" s="2"/>
      <c r="BP483" s="136"/>
      <c r="BQ483" s="137" t="s">
        <v>119</v>
      </c>
      <c r="BR483" s="138"/>
    </row>
    <row r="484" spans="1:70" ht="12.75" customHeight="1" x14ac:dyDescent="0.2">
      <c r="A484" s="2">
        <v>1973</v>
      </c>
      <c r="B484" s="2" t="s">
        <v>44</v>
      </c>
      <c r="C484" s="2" t="s">
        <v>45</v>
      </c>
      <c r="D484" s="2" t="s">
        <v>1619</v>
      </c>
      <c r="E484" s="2" t="s">
        <v>75</v>
      </c>
      <c r="F484" s="132">
        <v>1600000</v>
      </c>
      <c r="G484" s="132">
        <v>2</v>
      </c>
      <c r="H484" s="132">
        <f>15000+650000+700000+605000+200000+300000+800000+229770.12</f>
        <v>3499770.12</v>
      </c>
      <c r="I484" s="132">
        <f>15000+650000+700000+605000+200000+300000+800000+229770.12</f>
        <v>3499770.12</v>
      </c>
      <c r="J484" s="132">
        <f>2288.135+AS484+AV484+99152.54+106779.66+605000+30508.474+45762.71+AY484+364515.881</f>
        <v>3499770.1199999996</v>
      </c>
      <c r="K484" s="132">
        <f t="shared" si="51"/>
        <v>-1899770.1199999996</v>
      </c>
      <c r="L484" s="132">
        <f t="shared" si="52"/>
        <v>0</v>
      </c>
      <c r="M484" s="133">
        <v>1656</v>
      </c>
      <c r="N484" s="133">
        <f t="shared" si="50"/>
        <v>4.6566128730773926E-10</v>
      </c>
      <c r="O484" s="134">
        <v>0</v>
      </c>
      <c r="P484" s="133"/>
      <c r="Q484" s="2" t="s">
        <v>1620</v>
      </c>
      <c r="R484" s="156">
        <f t="shared" si="53"/>
        <v>0</v>
      </c>
      <c r="S484" s="156">
        <f t="shared" si="54"/>
        <v>0</v>
      </c>
      <c r="T484" s="133"/>
      <c r="U484" s="133"/>
      <c r="V484" s="133"/>
      <c r="W484" s="133"/>
      <c r="X484" s="133"/>
      <c r="Y484" s="133"/>
      <c r="Z484" s="133"/>
      <c r="AA484" s="133"/>
      <c r="AB484" s="133"/>
      <c r="AC484" s="133"/>
      <c r="AD484" s="133"/>
      <c r="AE484" s="133"/>
      <c r="AF484" s="133"/>
      <c r="AG484" s="133"/>
      <c r="AH484" s="133"/>
      <c r="AI484" s="133"/>
      <c r="AJ484" s="133"/>
      <c r="AK484" s="133"/>
      <c r="AL484" s="133"/>
      <c r="AM484" s="133"/>
      <c r="AN484" s="133"/>
      <c r="AO484" s="133"/>
      <c r="AP484" s="133"/>
      <c r="AQ484" s="133"/>
      <c r="AR484" s="133"/>
      <c r="AS484" s="153">
        <v>0</v>
      </c>
      <c r="AT484" s="153">
        <v>0</v>
      </c>
      <c r="AU484" s="153">
        <v>0</v>
      </c>
      <c r="AV484" s="135">
        <f>550847.46+593220.34</f>
        <v>1144067.7999999998</v>
      </c>
      <c r="AW484" s="135">
        <f>29765.89+28984.709</f>
        <v>58750.599000000002</v>
      </c>
      <c r="AX484" s="135"/>
      <c r="AY484" s="135">
        <f>169491.53+254237.29+677966.1</f>
        <v>1101694.92</v>
      </c>
      <c r="AZ484" s="135">
        <f>17434.49+22042.59+28548.87</f>
        <v>68025.95</v>
      </c>
      <c r="BA484" s="135">
        <v>0</v>
      </c>
      <c r="BB484" s="140">
        <f>(I484/1.18-AT484-AW484-AZ484)*0.1-BA484</f>
        <v>283913.03323559323</v>
      </c>
      <c r="BC484" s="135"/>
      <c r="BD484" s="135"/>
      <c r="BE484" s="135">
        <f>(H484/1.18-AT484-AW484-AZ484-BD484)*0.1-AU484-AX484-BA484-BB484</f>
        <v>0</v>
      </c>
      <c r="BF484" s="135"/>
      <c r="BG484" s="135"/>
      <c r="BH484" s="135"/>
      <c r="BI484" s="2" t="s">
        <v>11</v>
      </c>
      <c r="BJ484" s="136">
        <v>45645</v>
      </c>
      <c r="BK484" s="2" t="s">
        <v>109</v>
      </c>
      <c r="BL484" s="136" t="s">
        <v>113</v>
      </c>
      <c r="BM484" s="136">
        <v>45107</v>
      </c>
      <c r="BN484" s="2" t="s">
        <v>1618</v>
      </c>
      <c r="BO484" s="2"/>
      <c r="BP484" s="136"/>
      <c r="BQ484" s="137" t="s">
        <v>119</v>
      </c>
      <c r="BR484" s="138"/>
    </row>
    <row r="485" spans="1:70" ht="12.75" customHeight="1" x14ac:dyDescent="0.2">
      <c r="A485" s="2">
        <v>1974</v>
      </c>
      <c r="B485" s="2" t="s">
        <v>28</v>
      </c>
      <c r="C485" s="2" t="s">
        <v>91</v>
      </c>
      <c r="D485" s="2" t="s">
        <v>1621</v>
      </c>
      <c r="E485" s="2" t="s">
        <v>116</v>
      </c>
      <c r="F485" s="132">
        <f>19161*1.75</f>
        <v>33531.75</v>
      </c>
      <c r="G485" s="132"/>
      <c r="H485" s="132">
        <f>19161*1.75</f>
        <v>33531.75</v>
      </c>
      <c r="I485" s="132"/>
      <c r="J485" s="132">
        <f>5115.0127+28416.7373</f>
        <v>33531.75</v>
      </c>
      <c r="K485" s="132">
        <f t="shared" si="51"/>
        <v>0</v>
      </c>
      <c r="L485" s="132">
        <f t="shared" si="52"/>
        <v>0</v>
      </c>
      <c r="M485" s="133"/>
      <c r="N485" s="133">
        <f t="shared" si="50"/>
        <v>0</v>
      </c>
      <c r="O485" s="134">
        <v>0</v>
      </c>
      <c r="P485" s="133"/>
      <c r="Q485" s="2" t="s">
        <v>1603</v>
      </c>
      <c r="R485" s="156">
        <f t="shared" si="53"/>
        <v>0</v>
      </c>
      <c r="S485" s="156">
        <f t="shared" si="54"/>
        <v>0</v>
      </c>
      <c r="T485" s="133"/>
      <c r="U485" s="133"/>
      <c r="V485" s="133"/>
      <c r="W485" s="133"/>
      <c r="X485" s="133"/>
      <c r="Y485" s="133"/>
      <c r="Z485" s="133"/>
      <c r="AA485" s="133"/>
      <c r="AB485" s="133"/>
      <c r="AC485" s="133"/>
      <c r="AD485" s="133"/>
      <c r="AE485" s="133"/>
      <c r="AF485" s="133"/>
      <c r="AG485" s="133"/>
      <c r="AH485" s="133"/>
      <c r="AI485" s="133"/>
      <c r="AJ485" s="133"/>
      <c r="AK485" s="133"/>
      <c r="AL485" s="133"/>
      <c r="AM485" s="133"/>
      <c r="AN485" s="133"/>
      <c r="AO485" s="133"/>
      <c r="AP485" s="133"/>
      <c r="AQ485" s="133"/>
      <c r="AR485" s="133"/>
      <c r="AS485" s="153">
        <v>0</v>
      </c>
      <c r="AT485" s="153">
        <v>0</v>
      </c>
      <c r="AU485" s="153">
        <v>0</v>
      </c>
      <c r="AV485" s="135"/>
      <c r="AW485" s="135"/>
      <c r="AX485" s="135"/>
      <c r="AY485" s="135"/>
      <c r="AZ485" s="135"/>
      <c r="BA485" s="135"/>
      <c r="BB485" s="135"/>
      <c r="BC485" s="135"/>
      <c r="BD485" s="135"/>
      <c r="BE485" s="135"/>
      <c r="BF485" s="135"/>
      <c r="BG485" s="135"/>
      <c r="BH485" s="135"/>
      <c r="BI485" s="2" t="s">
        <v>112</v>
      </c>
      <c r="BJ485" s="136">
        <v>45210</v>
      </c>
      <c r="BK485" s="136" t="s">
        <v>145</v>
      </c>
      <c r="BL485" s="136" t="s">
        <v>18</v>
      </c>
      <c r="BM485" s="136">
        <v>44958</v>
      </c>
      <c r="BN485" s="2" t="s">
        <v>1624</v>
      </c>
      <c r="BO485" s="2"/>
      <c r="BP485" s="136"/>
      <c r="BQ485" s="137" t="s">
        <v>134</v>
      </c>
      <c r="BR485" s="138"/>
    </row>
    <row r="486" spans="1:70" ht="12.75" customHeight="1" x14ac:dyDescent="0.2">
      <c r="A486" s="2">
        <v>1975</v>
      </c>
      <c r="B486" s="2" t="s">
        <v>28</v>
      </c>
      <c r="C486" s="2" t="s">
        <v>91</v>
      </c>
      <c r="D486" s="2" t="s">
        <v>1622</v>
      </c>
      <c r="E486" s="2" t="s">
        <v>116</v>
      </c>
      <c r="F486" s="132">
        <f>6674*1.75</f>
        <v>11679.5</v>
      </c>
      <c r="G486" s="132"/>
      <c r="H486" s="132">
        <f>6674*1.75</f>
        <v>11679.5</v>
      </c>
      <c r="I486" s="132"/>
      <c r="J486" s="132">
        <f>1781.618+9897.882</f>
        <v>11679.5</v>
      </c>
      <c r="K486" s="132">
        <f t="shared" si="51"/>
        <v>0</v>
      </c>
      <c r="L486" s="132">
        <f t="shared" si="52"/>
        <v>0</v>
      </c>
      <c r="M486" s="133"/>
      <c r="N486" s="133">
        <f t="shared" si="50"/>
        <v>0</v>
      </c>
      <c r="O486" s="134">
        <v>0</v>
      </c>
      <c r="P486" s="133"/>
      <c r="Q486" s="2" t="s">
        <v>761</v>
      </c>
      <c r="R486" s="156">
        <f t="shared" si="53"/>
        <v>0</v>
      </c>
      <c r="S486" s="156">
        <f t="shared" si="54"/>
        <v>0</v>
      </c>
      <c r="T486" s="133"/>
      <c r="U486" s="133"/>
      <c r="V486" s="133"/>
      <c r="W486" s="133"/>
      <c r="X486" s="133"/>
      <c r="Y486" s="133"/>
      <c r="Z486" s="133"/>
      <c r="AA486" s="133"/>
      <c r="AB486" s="133"/>
      <c r="AC486" s="133"/>
      <c r="AD486" s="133"/>
      <c r="AE486" s="133"/>
      <c r="AF486" s="133"/>
      <c r="AG486" s="133"/>
      <c r="AH486" s="133"/>
      <c r="AI486" s="133"/>
      <c r="AJ486" s="133"/>
      <c r="AK486" s="133"/>
      <c r="AL486" s="133"/>
      <c r="AM486" s="133"/>
      <c r="AN486" s="133"/>
      <c r="AO486" s="133"/>
      <c r="AP486" s="133"/>
      <c r="AQ486" s="133"/>
      <c r="AR486" s="133"/>
      <c r="AS486" s="153">
        <v>0</v>
      </c>
      <c r="AT486" s="153">
        <v>0</v>
      </c>
      <c r="AU486" s="153">
        <v>0</v>
      </c>
      <c r="AV486" s="135"/>
      <c r="AW486" s="135"/>
      <c r="AX486" s="135"/>
      <c r="AY486" s="135"/>
      <c r="AZ486" s="135"/>
      <c r="BA486" s="135"/>
      <c r="BB486" s="135"/>
      <c r="BC486" s="135"/>
      <c r="BD486" s="135"/>
      <c r="BE486" s="135"/>
      <c r="BF486" s="135"/>
      <c r="BG486" s="135"/>
      <c r="BH486" s="135"/>
      <c r="BI486" s="2" t="s">
        <v>112</v>
      </c>
      <c r="BJ486" s="136">
        <v>45210</v>
      </c>
      <c r="BK486" s="136" t="s">
        <v>145</v>
      </c>
      <c r="BL486" s="136" t="s">
        <v>18</v>
      </c>
      <c r="BM486" s="136">
        <v>44958</v>
      </c>
      <c r="BN486" s="2" t="s">
        <v>1627</v>
      </c>
      <c r="BO486" s="2"/>
      <c r="BP486" s="136"/>
      <c r="BQ486" s="137" t="s">
        <v>134</v>
      </c>
      <c r="BR486" s="138"/>
    </row>
    <row r="487" spans="1:70" ht="12.75" customHeight="1" x14ac:dyDescent="0.2">
      <c r="A487" s="2">
        <v>1976</v>
      </c>
      <c r="B487" s="2" t="s">
        <v>28</v>
      </c>
      <c r="C487" s="2" t="s">
        <v>91</v>
      </c>
      <c r="D487" s="2" t="s">
        <v>1623</v>
      </c>
      <c r="E487" s="2" t="s">
        <v>116</v>
      </c>
      <c r="F487" s="132">
        <f>6011*1.75</f>
        <v>10519.25</v>
      </c>
      <c r="G487" s="132"/>
      <c r="H487" s="132">
        <f>6011*1.75</f>
        <v>10519.25</v>
      </c>
      <c r="I487" s="132"/>
      <c r="J487" s="132">
        <f>1604.63+8914.62</f>
        <v>10519.25</v>
      </c>
      <c r="K487" s="132">
        <f t="shared" si="51"/>
        <v>0</v>
      </c>
      <c r="L487" s="132">
        <f t="shared" si="52"/>
        <v>0</v>
      </c>
      <c r="M487" s="133"/>
      <c r="N487" s="133">
        <f t="shared" si="50"/>
        <v>0</v>
      </c>
      <c r="O487" s="134">
        <v>0</v>
      </c>
      <c r="P487" s="133"/>
      <c r="Q487" s="2" t="s">
        <v>763</v>
      </c>
      <c r="R487" s="156">
        <f t="shared" si="53"/>
        <v>0</v>
      </c>
      <c r="S487" s="156">
        <f t="shared" si="54"/>
        <v>0</v>
      </c>
      <c r="T487" s="133"/>
      <c r="U487" s="133"/>
      <c r="V487" s="133"/>
      <c r="W487" s="133"/>
      <c r="X487" s="133"/>
      <c r="Y487" s="133"/>
      <c r="Z487" s="133"/>
      <c r="AA487" s="133"/>
      <c r="AB487" s="133"/>
      <c r="AC487" s="133"/>
      <c r="AD487" s="133"/>
      <c r="AE487" s="133"/>
      <c r="AF487" s="133"/>
      <c r="AG487" s="133"/>
      <c r="AH487" s="133"/>
      <c r="AI487" s="133"/>
      <c r="AJ487" s="133"/>
      <c r="AK487" s="133"/>
      <c r="AL487" s="133"/>
      <c r="AM487" s="133"/>
      <c r="AN487" s="133"/>
      <c r="AO487" s="133"/>
      <c r="AP487" s="133"/>
      <c r="AQ487" s="133"/>
      <c r="AR487" s="133"/>
      <c r="AS487" s="153">
        <v>0</v>
      </c>
      <c r="AT487" s="153">
        <v>0</v>
      </c>
      <c r="AU487" s="153">
        <v>0</v>
      </c>
      <c r="AV487" s="135"/>
      <c r="AW487" s="135"/>
      <c r="AX487" s="135"/>
      <c r="AY487" s="135"/>
      <c r="AZ487" s="135"/>
      <c r="BA487" s="135"/>
      <c r="BB487" s="135"/>
      <c r="BC487" s="135"/>
      <c r="BD487" s="135"/>
      <c r="BE487" s="135"/>
      <c r="BF487" s="135"/>
      <c r="BG487" s="135"/>
      <c r="BH487" s="135"/>
      <c r="BI487" s="2" t="s">
        <v>112</v>
      </c>
      <c r="BJ487" s="136">
        <v>45210</v>
      </c>
      <c r="BK487" s="136" t="s">
        <v>145</v>
      </c>
      <c r="BL487" s="136" t="s">
        <v>18</v>
      </c>
      <c r="BM487" s="136">
        <v>44958</v>
      </c>
      <c r="BN487" s="2" t="s">
        <v>1626</v>
      </c>
      <c r="BO487" s="2"/>
      <c r="BP487" s="136"/>
      <c r="BQ487" s="137" t="s">
        <v>134</v>
      </c>
      <c r="BR487" s="138"/>
    </row>
    <row r="488" spans="1:70" ht="12.75" customHeight="1" x14ac:dyDescent="0.2">
      <c r="A488" s="2">
        <v>1977</v>
      </c>
      <c r="B488" s="2" t="s">
        <v>28</v>
      </c>
      <c r="C488" s="2" t="s">
        <v>91</v>
      </c>
      <c r="D488" s="2" t="s">
        <v>1631</v>
      </c>
      <c r="E488" s="2" t="s">
        <v>116</v>
      </c>
      <c r="F488" s="132">
        <f>27767*1.75</f>
        <v>48592.25</v>
      </c>
      <c r="G488" s="132"/>
      <c r="H488" s="132">
        <f>27767*1.75</f>
        <v>48592.25</v>
      </c>
      <c r="I488" s="132"/>
      <c r="J488" s="132">
        <f>7412.377+41179.873</f>
        <v>48592.25</v>
      </c>
      <c r="K488" s="132">
        <f t="shared" si="51"/>
        <v>0</v>
      </c>
      <c r="L488" s="132">
        <f t="shared" si="52"/>
        <v>0</v>
      </c>
      <c r="M488" s="133"/>
      <c r="N488" s="133">
        <f t="shared" si="50"/>
        <v>0</v>
      </c>
      <c r="O488" s="134">
        <v>0</v>
      </c>
      <c r="P488" s="133"/>
      <c r="Q488" s="2" t="s">
        <v>765</v>
      </c>
      <c r="R488" s="156">
        <f t="shared" si="53"/>
        <v>0</v>
      </c>
      <c r="S488" s="156">
        <f t="shared" si="54"/>
        <v>0</v>
      </c>
      <c r="T488" s="133"/>
      <c r="U488" s="133"/>
      <c r="V488" s="133"/>
      <c r="W488" s="133"/>
      <c r="X488" s="133"/>
      <c r="Y488" s="133"/>
      <c r="Z488" s="133"/>
      <c r="AA488" s="133"/>
      <c r="AB488" s="133"/>
      <c r="AC488" s="133"/>
      <c r="AD488" s="133"/>
      <c r="AE488" s="133"/>
      <c r="AF488" s="133"/>
      <c r="AG488" s="133"/>
      <c r="AH488" s="133"/>
      <c r="AI488" s="133"/>
      <c r="AJ488" s="133"/>
      <c r="AK488" s="133"/>
      <c r="AL488" s="133"/>
      <c r="AM488" s="133"/>
      <c r="AN488" s="133"/>
      <c r="AO488" s="133"/>
      <c r="AP488" s="133"/>
      <c r="AQ488" s="133"/>
      <c r="AR488" s="133"/>
      <c r="AS488" s="153">
        <v>0</v>
      </c>
      <c r="AT488" s="153">
        <v>0</v>
      </c>
      <c r="AU488" s="153">
        <v>0</v>
      </c>
      <c r="AV488" s="135"/>
      <c r="AW488" s="135"/>
      <c r="AX488" s="135"/>
      <c r="AY488" s="135"/>
      <c r="AZ488" s="135"/>
      <c r="BA488" s="135"/>
      <c r="BB488" s="135"/>
      <c r="BC488" s="135"/>
      <c r="BD488" s="135"/>
      <c r="BE488" s="135"/>
      <c r="BF488" s="135"/>
      <c r="BG488" s="135"/>
      <c r="BH488" s="135"/>
      <c r="BI488" s="2" t="s">
        <v>112</v>
      </c>
      <c r="BJ488" s="136">
        <v>45210</v>
      </c>
      <c r="BK488" s="136" t="s">
        <v>145</v>
      </c>
      <c r="BL488" s="136" t="s">
        <v>18</v>
      </c>
      <c r="BM488" s="136">
        <v>44958</v>
      </c>
      <c r="BN488" s="2" t="s">
        <v>1625</v>
      </c>
      <c r="BO488" s="2"/>
      <c r="BP488" s="136"/>
      <c r="BQ488" s="137" t="s">
        <v>134</v>
      </c>
      <c r="BR488" s="138"/>
    </row>
    <row r="489" spans="1:70" ht="12.75" customHeight="1" x14ac:dyDescent="0.2">
      <c r="A489" s="2">
        <v>1978</v>
      </c>
      <c r="B489" s="2" t="s">
        <v>44</v>
      </c>
      <c r="C489" s="2" t="s">
        <v>45</v>
      </c>
      <c r="D489" s="2" t="s">
        <v>1628</v>
      </c>
      <c r="E489" s="2" t="s">
        <v>77</v>
      </c>
      <c r="F489" s="132">
        <f>1647*1.75</f>
        <v>2882.25</v>
      </c>
      <c r="G489" s="132"/>
      <c r="H489" s="132">
        <f>1647*1.75</f>
        <v>2882.25</v>
      </c>
      <c r="I489" s="132"/>
      <c r="J489" s="132">
        <v>2882.25</v>
      </c>
      <c r="K489" s="132">
        <f t="shared" si="51"/>
        <v>0</v>
      </c>
      <c r="L489" s="132">
        <f t="shared" si="52"/>
        <v>0</v>
      </c>
      <c r="M489" s="133"/>
      <c r="N489" s="133">
        <f t="shared" si="50"/>
        <v>0</v>
      </c>
      <c r="O489" s="134">
        <v>0</v>
      </c>
      <c r="P489" s="133"/>
      <c r="Q489" s="2" t="s">
        <v>1620</v>
      </c>
      <c r="R489" s="156">
        <f t="shared" si="53"/>
        <v>0</v>
      </c>
      <c r="S489" s="156">
        <f t="shared" si="54"/>
        <v>0</v>
      </c>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53">
        <v>0</v>
      </c>
      <c r="AT489" s="153">
        <v>0</v>
      </c>
      <c r="AU489" s="153">
        <v>0</v>
      </c>
      <c r="AV489" s="135"/>
      <c r="AW489" s="135"/>
      <c r="AX489" s="135"/>
      <c r="AY489" s="135"/>
      <c r="AZ489" s="135"/>
      <c r="BA489" s="135"/>
      <c r="BB489" s="135"/>
      <c r="BC489" s="135"/>
      <c r="BD489" s="135"/>
      <c r="BE489" s="135"/>
      <c r="BF489" s="135"/>
      <c r="BG489" s="135"/>
      <c r="BH489" s="135"/>
      <c r="BI489" s="2" t="s">
        <v>112</v>
      </c>
      <c r="BJ489" s="136">
        <v>45289</v>
      </c>
      <c r="BK489" s="136" t="s">
        <v>145</v>
      </c>
      <c r="BL489" s="136" t="s">
        <v>113</v>
      </c>
      <c r="BM489" s="136">
        <v>44959</v>
      </c>
      <c r="BN489" s="2" t="s">
        <v>1716</v>
      </c>
      <c r="BO489" s="2"/>
      <c r="BP489" s="136"/>
      <c r="BQ489" s="137" t="s">
        <v>134</v>
      </c>
      <c r="BR489" s="138"/>
    </row>
    <row r="490" spans="1:70" ht="12.75" customHeight="1" x14ac:dyDescent="0.2">
      <c r="A490" s="2">
        <v>1979</v>
      </c>
      <c r="B490" s="2" t="s">
        <v>28</v>
      </c>
      <c r="C490" s="2" t="s">
        <v>91</v>
      </c>
      <c r="D490" s="2" t="s">
        <v>1632</v>
      </c>
      <c r="E490" s="2" t="s">
        <v>77</v>
      </c>
      <c r="F490" s="132">
        <f>18195*1.75</f>
        <v>31841.25</v>
      </c>
      <c r="G490" s="132"/>
      <c r="H490" s="132">
        <f>18195*1.75</f>
        <v>31841.25</v>
      </c>
      <c r="I490" s="132"/>
      <c r="J490" s="132">
        <f>4857.139+26984.111</f>
        <v>31841.25</v>
      </c>
      <c r="K490" s="132">
        <f t="shared" si="51"/>
        <v>0</v>
      </c>
      <c r="L490" s="132">
        <f t="shared" si="52"/>
        <v>0</v>
      </c>
      <c r="M490" s="133"/>
      <c r="N490" s="133">
        <f t="shared" ref="N490:N553" si="55">IF(OR(BK490="принят",BK490="Завершено",BK490="ПриПро"),H490-J490,F490-J490)</f>
        <v>0</v>
      </c>
      <c r="O490" s="134">
        <v>0</v>
      </c>
      <c r="P490" s="133"/>
      <c r="Q490" s="2" t="s">
        <v>1604</v>
      </c>
      <c r="R490" s="156">
        <f t="shared" si="53"/>
        <v>0</v>
      </c>
      <c r="S490" s="156">
        <f t="shared" si="54"/>
        <v>0</v>
      </c>
      <c r="T490" s="133"/>
      <c r="U490" s="133"/>
      <c r="V490" s="133"/>
      <c r="W490" s="133"/>
      <c r="X490" s="133"/>
      <c r="Y490" s="133"/>
      <c r="Z490" s="133"/>
      <c r="AA490" s="133"/>
      <c r="AB490" s="133"/>
      <c r="AC490" s="133"/>
      <c r="AD490" s="133"/>
      <c r="AE490" s="133"/>
      <c r="AF490" s="133"/>
      <c r="AG490" s="133"/>
      <c r="AH490" s="133"/>
      <c r="AI490" s="133"/>
      <c r="AJ490" s="133"/>
      <c r="AK490" s="133"/>
      <c r="AL490" s="133"/>
      <c r="AM490" s="133"/>
      <c r="AN490" s="133"/>
      <c r="AO490" s="133"/>
      <c r="AP490" s="133"/>
      <c r="AQ490" s="133"/>
      <c r="AR490" s="133"/>
      <c r="AS490" s="153">
        <v>0</v>
      </c>
      <c r="AT490" s="153">
        <v>0</v>
      </c>
      <c r="AU490" s="153">
        <v>0</v>
      </c>
      <c r="AV490" s="135"/>
      <c r="AW490" s="135"/>
      <c r="AX490" s="135"/>
      <c r="AY490" s="135"/>
      <c r="AZ490" s="135"/>
      <c r="BA490" s="135"/>
      <c r="BB490" s="135"/>
      <c r="BC490" s="135"/>
      <c r="BD490" s="135"/>
      <c r="BE490" s="135"/>
      <c r="BF490" s="135"/>
      <c r="BG490" s="135"/>
      <c r="BH490" s="135"/>
      <c r="BI490" s="2" t="s">
        <v>112</v>
      </c>
      <c r="BJ490" s="136">
        <v>45211</v>
      </c>
      <c r="BK490" s="136" t="s">
        <v>145</v>
      </c>
      <c r="BL490" s="136" t="s">
        <v>18</v>
      </c>
      <c r="BM490" s="136">
        <v>44959</v>
      </c>
      <c r="BN490" s="2" t="s">
        <v>1629</v>
      </c>
      <c r="BO490" s="2"/>
      <c r="BP490" s="136"/>
      <c r="BQ490" s="137" t="s">
        <v>134</v>
      </c>
      <c r="BR490" s="138"/>
    </row>
    <row r="491" spans="1:70" ht="12.75" customHeight="1" x14ac:dyDescent="0.2">
      <c r="A491" s="2">
        <v>1980</v>
      </c>
      <c r="B491" s="2" t="s">
        <v>28</v>
      </c>
      <c r="C491" s="2" t="s">
        <v>91</v>
      </c>
      <c r="D491" s="2" t="s">
        <v>1633</v>
      </c>
      <c r="E491" s="2" t="s">
        <v>77</v>
      </c>
      <c r="F491" s="132">
        <f>6747*1.75</f>
        <v>11807.25</v>
      </c>
      <c r="G491" s="132"/>
      <c r="H491" s="132">
        <f>6747*1.75</f>
        <v>11807.25</v>
      </c>
      <c r="I491" s="132"/>
      <c r="J491" s="132">
        <f>1801.105+10006.145</f>
        <v>11807.25</v>
      </c>
      <c r="K491" s="132">
        <f t="shared" si="51"/>
        <v>0</v>
      </c>
      <c r="L491" s="132">
        <f t="shared" si="52"/>
        <v>0</v>
      </c>
      <c r="M491" s="133"/>
      <c r="N491" s="133">
        <f t="shared" si="55"/>
        <v>0</v>
      </c>
      <c r="O491" s="134">
        <v>0</v>
      </c>
      <c r="P491" s="133"/>
      <c r="Q491" s="2" t="s">
        <v>1605</v>
      </c>
      <c r="R491" s="156">
        <f t="shared" si="53"/>
        <v>0</v>
      </c>
      <c r="S491" s="156">
        <f t="shared" si="54"/>
        <v>0</v>
      </c>
      <c r="T491" s="133"/>
      <c r="U491" s="133"/>
      <c r="V491" s="133"/>
      <c r="W491" s="133"/>
      <c r="X491" s="133"/>
      <c r="Y491" s="133"/>
      <c r="Z491" s="133"/>
      <c r="AA491" s="133"/>
      <c r="AB491" s="133"/>
      <c r="AC491" s="133"/>
      <c r="AD491" s="133"/>
      <c r="AE491" s="133"/>
      <c r="AF491" s="133"/>
      <c r="AG491" s="133"/>
      <c r="AH491" s="133"/>
      <c r="AI491" s="133"/>
      <c r="AJ491" s="133"/>
      <c r="AK491" s="133"/>
      <c r="AL491" s="133"/>
      <c r="AM491" s="133"/>
      <c r="AN491" s="133"/>
      <c r="AO491" s="133"/>
      <c r="AP491" s="133"/>
      <c r="AQ491" s="133"/>
      <c r="AR491" s="133"/>
      <c r="AS491" s="153">
        <v>0</v>
      </c>
      <c r="AT491" s="153">
        <v>0</v>
      </c>
      <c r="AU491" s="153">
        <v>0</v>
      </c>
      <c r="AV491" s="135"/>
      <c r="AW491" s="135"/>
      <c r="AX491" s="135"/>
      <c r="AY491" s="135"/>
      <c r="AZ491" s="135"/>
      <c r="BA491" s="135"/>
      <c r="BB491" s="135"/>
      <c r="BC491" s="135"/>
      <c r="BD491" s="135"/>
      <c r="BE491" s="135"/>
      <c r="BF491" s="135"/>
      <c r="BG491" s="135"/>
      <c r="BH491" s="135"/>
      <c r="BI491" s="2" t="s">
        <v>112</v>
      </c>
      <c r="BJ491" s="136">
        <v>45211</v>
      </c>
      <c r="BK491" s="136" t="s">
        <v>145</v>
      </c>
      <c r="BL491" s="136" t="s">
        <v>18</v>
      </c>
      <c r="BM491" s="136">
        <v>44959</v>
      </c>
      <c r="BN491" s="2" t="s">
        <v>1630</v>
      </c>
      <c r="BO491" s="2"/>
      <c r="BP491" s="136"/>
      <c r="BQ491" s="137" t="s">
        <v>134</v>
      </c>
      <c r="BR491" s="138"/>
    </row>
    <row r="492" spans="1:70" ht="12.75" customHeight="1" x14ac:dyDescent="0.2">
      <c r="A492" s="2">
        <v>1981</v>
      </c>
      <c r="B492" s="2" t="s">
        <v>28</v>
      </c>
      <c r="C492" s="2" t="s">
        <v>57</v>
      </c>
      <c r="D492" s="2" t="s">
        <v>1723</v>
      </c>
      <c r="E492" s="2" t="s">
        <v>87</v>
      </c>
      <c r="F492" s="132">
        <v>447135.74</v>
      </c>
      <c r="G492" s="132"/>
      <c r="H492" s="132">
        <v>442653.71</v>
      </c>
      <c r="I492" s="132"/>
      <c r="J492" s="132">
        <f>442653.71</f>
        <v>442653.71</v>
      </c>
      <c r="K492" s="132">
        <f t="shared" si="51"/>
        <v>4482.0299999999697</v>
      </c>
      <c r="L492" s="132">
        <f t="shared" si="52"/>
        <v>0</v>
      </c>
      <c r="M492" s="133">
        <v>0</v>
      </c>
      <c r="N492" s="133">
        <f t="shared" si="55"/>
        <v>0</v>
      </c>
      <c r="O492" s="134">
        <v>0</v>
      </c>
      <c r="P492" s="133"/>
      <c r="Q492" s="2" t="s">
        <v>1666</v>
      </c>
      <c r="R492" s="156">
        <f t="shared" si="53"/>
        <v>0</v>
      </c>
      <c r="S492" s="156">
        <f t="shared" si="54"/>
        <v>0</v>
      </c>
      <c r="T492" s="133"/>
      <c r="U492" s="133"/>
      <c r="V492" s="133"/>
      <c r="W492" s="133"/>
      <c r="X492" s="133"/>
      <c r="Y492" s="133"/>
      <c r="Z492" s="133"/>
      <c r="AA492" s="133"/>
      <c r="AB492" s="133"/>
      <c r="AC492" s="133"/>
      <c r="AD492" s="133"/>
      <c r="AE492" s="133"/>
      <c r="AF492" s="133"/>
      <c r="AG492" s="133"/>
      <c r="AH492" s="133"/>
      <c r="AI492" s="133"/>
      <c r="AJ492" s="133"/>
      <c r="AK492" s="133"/>
      <c r="AL492" s="133"/>
      <c r="AM492" s="133"/>
      <c r="AN492" s="133"/>
      <c r="AO492" s="133"/>
      <c r="AP492" s="133"/>
      <c r="AQ492" s="133"/>
      <c r="AR492" s="133"/>
      <c r="AS492" s="153">
        <v>0</v>
      </c>
      <c r="AT492" s="153">
        <v>0</v>
      </c>
      <c r="AU492" s="153">
        <v>0</v>
      </c>
      <c r="AV492" s="135">
        <v>0</v>
      </c>
      <c r="AW492" s="135">
        <v>0</v>
      </c>
      <c r="AX492" s="135">
        <v>0</v>
      </c>
      <c r="AY492" s="135"/>
      <c r="AZ492" s="135"/>
      <c r="BA492" s="135"/>
      <c r="BB492" s="135"/>
      <c r="BC492" s="135"/>
      <c r="BD492" s="135"/>
      <c r="BE492" s="135"/>
      <c r="BF492" s="135"/>
      <c r="BG492" s="135"/>
      <c r="BH492" s="135"/>
      <c r="BI492" s="2" t="s">
        <v>118</v>
      </c>
      <c r="BJ492" s="136">
        <v>45169</v>
      </c>
      <c r="BK492" s="2" t="s">
        <v>109</v>
      </c>
      <c r="BL492" s="136" t="s">
        <v>113</v>
      </c>
      <c r="BM492" s="136">
        <v>44837</v>
      </c>
      <c r="BN492" s="2" t="s">
        <v>1665</v>
      </c>
      <c r="BO492" s="2"/>
      <c r="BP492" s="136"/>
      <c r="BQ492" s="137" t="s">
        <v>134</v>
      </c>
      <c r="BR492" s="138"/>
    </row>
    <row r="493" spans="1:70" ht="12.75" customHeight="1" x14ac:dyDescent="0.2">
      <c r="A493" s="2">
        <v>1982</v>
      </c>
      <c r="B493" s="2" t="s">
        <v>44</v>
      </c>
      <c r="C493" s="2" t="s">
        <v>47</v>
      </c>
      <c r="D493" s="2" t="s">
        <v>1693</v>
      </c>
      <c r="E493" s="2" t="s">
        <v>115</v>
      </c>
      <c r="F493" s="132">
        <v>700000</v>
      </c>
      <c r="G493" s="132">
        <v>2</v>
      </c>
      <c r="H493" s="132">
        <f>240000+100000+195000+150000+250000+650000+550000+R493</f>
        <v>3935000</v>
      </c>
      <c r="I493" s="132"/>
      <c r="J493" s="132">
        <f>36610.169+15254.237+29745.7627+AS493+AV493+22881.36+38135.59+99152.54+83898.305+S493+AY493+BC493</f>
        <v>3002796.5987</v>
      </c>
      <c r="K493" s="132">
        <f t="shared" si="51"/>
        <v>-2302796.5987</v>
      </c>
      <c r="L493" s="132">
        <f t="shared" si="52"/>
        <v>932203.40130000003</v>
      </c>
      <c r="M493" s="133"/>
      <c r="N493" s="133">
        <f t="shared" si="55"/>
        <v>-2302796.5987</v>
      </c>
      <c r="O493" s="134">
        <v>1</v>
      </c>
      <c r="P493" s="133"/>
      <c r="Q493" s="2" t="s">
        <v>402</v>
      </c>
      <c r="R493" s="156">
        <f t="shared" si="53"/>
        <v>1800000</v>
      </c>
      <c r="S493" s="156">
        <f t="shared" si="54"/>
        <v>274576.27499999997</v>
      </c>
      <c r="T493" s="133">
        <v>150000</v>
      </c>
      <c r="U493" s="133"/>
      <c r="V493" s="133">
        <v>550000</v>
      </c>
      <c r="W493" s="133">
        <f>22881.36</f>
        <v>22881.360000000001</v>
      </c>
      <c r="X493" s="133">
        <v>150000</v>
      </c>
      <c r="Y493" s="133">
        <v>83898.304999999993</v>
      </c>
      <c r="Z493" s="133">
        <v>350000</v>
      </c>
      <c r="AA493" s="133">
        <v>22881.360000000001</v>
      </c>
      <c r="AB493" s="133">
        <v>200000</v>
      </c>
      <c r="AC493" s="133">
        <v>53389.83</v>
      </c>
      <c r="AD493" s="133">
        <v>300000</v>
      </c>
      <c r="AE493" s="133">
        <v>30508.47</v>
      </c>
      <c r="AF493" s="133"/>
      <c r="AG493" s="133">
        <f>45762.71</f>
        <v>45762.71</v>
      </c>
      <c r="AH493" s="133"/>
      <c r="AI493" s="133"/>
      <c r="AJ493" s="133"/>
      <c r="AK493" s="133"/>
      <c r="AL493" s="133">
        <v>100000</v>
      </c>
      <c r="AM493" s="133"/>
      <c r="AN493" s="133"/>
      <c r="AO493" s="133">
        <v>15254.24</v>
      </c>
      <c r="AP493" s="133"/>
      <c r="AQ493" s="133"/>
      <c r="AR493" s="133"/>
      <c r="AS493" s="153">
        <v>0</v>
      </c>
      <c r="AT493" s="153">
        <v>0</v>
      </c>
      <c r="AU493" s="153">
        <v>0</v>
      </c>
      <c r="AV493" s="135">
        <f>203389.83+84745.76+N("ორთავე სილქიდან")</f>
        <v>288135.58999999997</v>
      </c>
      <c r="AW493" s="135">
        <f>15463.85+N("ორთავე სილქიდან")</f>
        <v>15463.85</v>
      </c>
      <c r="AX493" s="135"/>
      <c r="AY493" s="135">
        <f>165254.24+127118.64+211864.41+550847.46+466101.69</f>
        <v>1521186.44</v>
      </c>
      <c r="AZ493" s="135">
        <f>4556.76+15018.37+24555.44+56297.41+47636.28</f>
        <v>148064.26</v>
      </c>
      <c r="BA493" s="135"/>
      <c r="BB493" s="135"/>
      <c r="BC493" s="135">
        <f>127118.64+466101.69</f>
        <v>593220.32999999996</v>
      </c>
      <c r="BD493" s="135"/>
      <c r="BE493" s="135"/>
      <c r="BF493" s="135"/>
      <c r="BG493" s="135">
        <v>2022880.9666676612</v>
      </c>
      <c r="BH493" s="136">
        <v>45630</v>
      </c>
      <c r="BI493" s="2" t="s">
        <v>11</v>
      </c>
      <c r="BJ493" s="136"/>
      <c r="BK493" s="2">
        <v>55</v>
      </c>
      <c r="BL493" s="136" t="s">
        <v>113</v>
      </c>
      <c r="BM493" s="136">
        <v>44991</v>
      </c>
      <c r="BN493" s="2" t="s">
        <v>1694</v>
      </c>
      <c r="BO493" s="2"/>
      <c r="BP493" s="136"/>
      <c r="BQ493" s="137" t="s">
        <v>119</v>
      </c>
      <c r="BR493" s="138"/>
    </row>
    <row r="494" spans="1:70" ht="12.75" customHeight="1" x14ac:dyDescent="0.2">
      <c r="A494" s="2">
        <v>1983</v>
      </c>
      <c r="B494" s="2" t="s">
        <v>108</v>
      </c>
      <c r="C494" s="2" t="s">
        <v>43</v>
      </c>
      <c r="D494" s="2" t="s">
        <v>1695</v>
      </c>
      <c r="E494" s="2" t="s">
        <v>106</v>
      </c>
      <c r="F494" s="132">
        <f>1876*1.75</f>
        <v>3283</v>
      </c>
      <c r="G494" s="132"/>
      <c r="H494" s="132">
        <f>1876*1.75</f>
        <v>3283</v>
      </c>
      <c r="I494" s="132"/>
      <c r="J494" s="132">
        <f>500.8+2782.2</f>
        <v>3283</v>
      </c>
      <c r="K494" s="132">
        <f t="shared" si="51"/>
        <v>0</v>
      </c>
      <c r="L494" s="132">
        <f t="shared" si="52"/>
        <v>0</v>
      </c>
      <c r="M494" s="133"/>
      <c r="N494" s="133">
        <f t="shared" si="55"/>
        <v>0</v>
      </c>
      <c r="O494" s="134">
        <v>0</v>
      </c>
      <c r="P494" s="133"/>
      <c r="Q494" s="2" t="s">
        <v>1699</v>
      </c>
      <c r="R494" s="156">
        <f t="shared" si="53"/>
        <v>0</v>
      </c>
      <c r="S494" s="156">
        <f t="shared" si="54"/>
        <v>0</v>
      </c>
      <c r="T494" s="133"/>
      <c r="U494" s="133"/>
      <c r="V494" s="133"/>
      <c r="W494" s="133"/>
      <c r="X494" s="133"/>
      <c r="Y494" s="133"/>
      <c r="Z494" s="133"/>
      <c r="AA494" s="133"/>
      <c r="AB494" s="133"/>
      <c r="AC494" s="133"/>
      <c r="AD494" s="133"/>
      <c r="AE494" s="133"/>
      <c r="AF494" s="133"/>
      <c r="AG494" s="133"/>
      <c r="AH494" s="133"/>
      <c r="AI494" s="133"/>
      <c r="AJ494" s="133"/>
      <c r="AK494" s="133"/>
      <c r="AL494" s="133"/>
      <c r="AM494" s="133"/>
      <c r="AN494" s="133"/>
      <c r="AO494" s="133"/>
      <c r="AP494" s="133"/>
      <c r="AQ494" s="133"/>
      <c r="AR494" s="133"/>
      <c r="AS494" s="153">
        <v>0</v>
      </c>
      <c r="AT494" s="153">
        <v>0</v>
      </c>
      <c r="AU494" s="153">
        <v>0</v>
      </c>
      <c r="AV494" s="135"/>
      <c r="AW494" s="135"/>
      <c r="AX494" s="135"/>
      <c r="AY494" s="135"/>
      <c r="AZ494" s="135"/>
      <c r="BA494" s="135"/>
      <c r="BB494" s="135"/>
      <c r="BC494" s="135"/>
      <c r="BD494" s="135"/>
      <c r="BE494" s="135"/>
      <c r="BF494" s="135"/>
      <c r="BG494" s="135"/>
      <c r="BH494" s="135"/>
      <c r="BI494" s="2" t="s">
        <v>112</v>
      </c>
      <c r="BJ494" s="136">
        <v>45174</v>
      </c>
      <c r="BK494" s="2" t="s">
        <v>145</v>
      </c>
      <c r="BL494" s="136" t="s">
        <v>18</v>
      </c>
      <c r="BM494" s="136">
        <v>44972</v>
      </c>
      <c r="BN494" s="2" t="s">
        <v>1697</v>
      </c>
      <c r="BO494" s="2"/>
      <c r="BP494" s="136"/>
      <c r="BQ494" s="137" t="s">
        <v>134</v>
      </c>
      <c r="BR494" s="138"/>
    </row>
    <row r="495" spans="1:70" ht="12.75" customHeight="1" x14ac:dyDescent="0.2">
      <c r="A495" s="2">
        <v>1984</v>
      </c>
      <c r="B495" s="2" t="s">
        <v>108</v>
      </c>
      <c r="C495" s="2" t="s">
        <v>43</v>
      </c>
      <c r="D495" s="2" t="s">
        <v>1696</v>
      </c>
      <c r="E495" s="2" t="s">
        <v>90</v>
      </c>
      <c r="F495" s="132">
        <v>45000</v>
      </c>
      <c r="G495" s="132"/>
      <c r="H495" s="132">
        <v>59373.58</v>
      </c>
      <c r="I495" s="132"/>
      <c r="J495" s="132">
        <f>9056.986+50316.594</f>
        <v>59373.58</v>
      </c>
      <c r="K495" s="132">
        <f t="shared" si="51"/>
        <v>-14373.580000000002</v>
      </c>
      <c r="L495" s="132">
        <f t="shared" si="52"/>
        <v>0</v>
      </c>
      <c r="M495" s="133">
        <v>1608</v>
      </c>
      <c r="N495" s="133">
        <f t="shared" si="55"/>
        <v>0</v>
      </c>
      <c r="O495" s="134">
        <v>0</v>
      </c>
      <c r="P495" s="133">
        <v>18</v>
      </c>
      <c r="Q495" s="2" t="s">
        <v>1699</v>
      </c>
      <c r="R495" s="156">
        <f t="shared" si="53"/>
        <v>0</v>
      </c>
      <c r="S495" s="156">
        <f t="shared" si="54"/>
        <v>0</v>
      </c>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53">
        <v>0</v>
      </c>
      <c r="AT495" s="153">
        <v>0</v>
      </c>
      <c r="AU495" s="153">
        <v>0</v>
      </c>
      <c r="AV495" s="135">
        <v>0</v>
      </c>
      <c r="AW495" s="135">
        <v>0</v>
      </c>
      <c r="AX495" s="142">
        <f>(H495/1.18-AT495-AW495)*0.1</f>
        <v>5031.6593220338991</v>
      </c>
      <c r="AY495" s="142"/>
      <c r="AZ495" s="142"/>
      <c r="BA495" s="142"/>
      <c r="BB495" s="142"/>
      <c r="BC495" s="142"/>
      <c r="BD495" s="142"/>
      <c r="BE495" s="142"/>
      <c r="BF495" s="142"/>
      <c r="BG495" s="135"/>
      <c r="BH495" s="135"/>
      <c r="BI495" s="2" t="s">
        <v>10</v>
      </c>
      <c r="BJ495" s="136">
        <v>45260</v>
      </c>
      <c r="BK495" s="2" t="s">
        <v>8</v>
      </c>
      <c r="BL495" s="136" t="s">
        <v>18</v>
      </c>
      <c r="BM495" s="136">
        <v>44972</v>
      </c>
      <c r="BN495" s="2" t="s">
        <v>1698</v>
      </c>
      <c r="BO495" s="2"/>
      <c r="BP495" s="136"/>
      <c r="BQ495" s="137" t="s">
        <v>119</v>
      </c>
      <c r="BR495" s="138"/>
    </row>
    <row r="496" spans="1:70" ht="12.75" customHeight="1" x14ac:dyDescent="0.2">
      <c r="A496" s="2">
        <v>1985</v>
      </c>
      <c r="B496" s="2" t="s">
        <v>28</v>
      </c>
      <c r="C496" s="2" t="s">
        <v>57</v>
      </c>
      <c r="D496" s="2" t="s">
        <v>1704</v>
      </c>
      <c r="E496" s="2" t="s">
        <v>117</v>
      </c>
      <c r="F496" s="132">
        <v>3501.75</v>
      </c>
      <c r="G496" s="132"/>
      <c r="H496" s="132">
        <v>3501.75</v>
      </c>
      <c r="I496" s="132"/>
      <c r="J496" s="132">
        <f>534.165+2967.585</f>
        <v>3501.75</v>
      </c>
      <c r="K496" s="132">
        <f t="shared" si="51"/>
        <v>0</v>
      </c>
      <c r="L496" s="132">
        <f t="shared" si="52"/>
        <v>0</v>
      </c>
      <c r="M496" s="133">
        <v>0</v>
      </c>
      <c r="N496" s="133">
        <f t="shared" si="55"/>
        <v>0</v>
      </c>
      <c r="O496" s="134">
        <v>0</v>
      </c>
      <c r="P496" s="133"/>
      <c r="Q496" s="2" t="s">
        <v>1700</v>
      </c>
      <c r="R496" s="156">
        <f t="shared" si="53"/>
        <v>0</v>
      </c>
      <c r="S496" s="156">
        <f t="shared" si="54"/>
        <v>0</v>
      </c>
      <c r="T496" s="133"/>
      <c r="U496" s="133"/>
      <c r="V496" s="133"/>
      <c r="W496" s="133"/>
      <c r="X496" s="133"/>
      <c r="Y496" s="133"/>
      <c r="Z496" s="133"/>
      <c r="AA496" s="133"/>
      <c r="AB496" s="133"/>
      <c r="AC496" s="133"/>
      <c r="AD496" s="133"/>
      <c r="AE496" s="133"/>
      <c r="AF496" s="133"/>
      <c r="AG496" s="133"/>
      <c r="AH496" s="133"/>
      <c r="AI496" s="133"/>
      <c r="AJ496" s="133"/>
      <c r="AK496" s="133"/>
      <c r="AL496" s="133"/>
      <c r="AM496" s="133"/>
      <c r="AN496" s="133"/>
      <c r="AO496" s="133"/>
      <c r="AP496" s="133"/>
      <c r="AQ496" s="133"/>
      <c r="AR496" s="133"/>
      <c r="AS496" s="153">
        <v>0</v>
      </c>
      <c r="AT496" s="153">
        <v>0</v>
      </c>
      <c r="AU496" s="153">
        <v>0</v>
      </c>
      <c r="AV496" s="135">
        <v>0</v>
      </c>
      <c r="AW496" s="135">
        <v>0</v>
      </c>
      <c r="AX496" s="135"/>
      <c r="AY496" s="135"/>
      <c r="AZ496" s="135"/>
      <c r="BA496" s="135"/>
      <c r="BB496" s="135"/>
      <c r="BC496" s="135"/>
      <c r="BD496" s="135"/>
      <c r="BE496" s="135"/>
      <c r="BF496" s="135"/>
      <c r="BG496" s="135"/>
      <c r="BH496" s="135"/>
      <c r="BI496" s="2" t="s">
        <v>112</v>
      </c>
      <c r="BJ496" s="136">
        <v>45173</v>
      </c>
      <c r="BK496" s="2" t="s">
        <v>145</v>
      </c>
      <c r="BL496" s="136" t="s">
        <v>18</v>
      </c>
      <c r="BM496" s="136">
        <v>45139</v>
      </c>
      <c r="BN496" s="2" t="s">
        <v>1702</v>
      </c>
      <c r="BO496" s="2"/>
      <c r="BP496" s="136"/>
      <c r="BQ496" s="137" t="s">
        <v>134</v>
      </c>
      <c r="BR496" s="138"/>
    </row>
    <row r="497" spans="1:70" ht="12.75" customHeight="1" x14ac:dyDescent="0.2">
      <c r="A497" s="2">
        <v>1986</v>
      </c>
      <c r="B497" s="2" t="s">
        <v>28</v>
      </c>
      <c r="C497" s="2" t="s">
        <v>57</v>
      </c>
      <c r="D497" s="2" t="s">
        <v>1701</v>
      </c>
      <c r="E497" s="2" t="s">
        <v>87</v>
      </c>
      <c r="F497" s="132">
        <v>115000</v>
      </c>
      <c r="G497" s="132"/>
      <c r="H497" s="132">
        <v>106536.44</v>
      </c>
      <c r="I497" s="132"/>
      <c r="J497" s="132">
        <f>16251.32+90285.12</f>
        <v>106536.44</v>
      </c>
      <c r="K497" s="132">
        <f t="shared" si="51"/>
        <v>8463.5599999999977</v>
      </c>
      <c r="L497" s="132">
        <f t="shared" si="52"/>
        <v>0</v>
      </c>
      <c r="M497" s="133">
        <v>1963</v>
      </c>
      <c r="N497" s="133">
        <f t="shared" si="55"/>
        <v>0</v>
      </c>
      <c r="O497" s="134">
        <v>0</v>
      </c>
      <c r="P497" s="133">
        <v>0</v>
      </c>
      <c r="Q497" s="2" t="s">
        <v>1700</v>
      </c>
      <c r="R497" s="156">
        <f t="shared" si="53"/>
        <v>0</v>
      </c>
      <c r="S497" s="156">
        <f t="shared" si="54"/>
        <v>0</v>
      </c>
      <c r="T497" s="133"/>
      <c r="U497" s="133"/>
      <c r="V497" s="133"/>
      <c r="W497" s="133"/>
      <c r="X497" s="133"/>
      <c r="Y497" s="133"/>
      <c r="Z497" s="133"/>
      <c r="AA497" s="133"/>
      <c r="AB497" s="133"/>
      <c r="AC497" s="133"/>
      <c r="AD497" s="133"/>
      <c r="AE497" s="133"/>
      <c r="AF497" s="133"/>
      <c r="AG497" s="133"/>
      <c r="AH497" s="133"/>
      <c r="AI497" s="133"/>
      <c r="AJ497" s="133"/>
      <c r="AK497" s="133"/>
      <c r="AL497" s="133"/>
      <c r="AM497" s="133"/>
      <c r="AN497" s="133"/>
      <c r="AO497" s="133"/>
      <c r="AP497" s="133"/>
      <c r="AQ497" s="133"/>
      <c r="AR497" s="133"/>
      <c r="AS497" s="153">
        <v>0</v>
      </c>
      <c r="AT497" s="153">
        <v>0</v>
      </c>
      <c r="AU497" s="153">
        <v>0</v>
      </c>
      <c r="AV497" s="135">
        <v>0</v>
      </c>
      <c r="AW497" s="135">
        <v>0</v>
      </c>
      <c r="AX497" s="135">
        <f>(H497/1.18-AT497-AW497)*0.1</f>
        <v>9028.5118644067807</v>
      </c>
      <c r="AY497" s="135"/>
      <c r="AZ497" s="135"/>
      <c r="BA497" s="135"/>
      <c r="BB497" s="135"/>
      <c r="BC497" s="135"/>
      <c r="BD497" s="135"/>
      <c r="BE497" s="135"/>
      <c r="BF497" s="135"/>
      <c r="BG497" s="135"/>
      <c r="BH497" s="135"/>
      <c r="BI497" s="2" t="s">
        <v>10</v>
      </c>
      <c r="BJ497" s="136">
        <v>45199</v>
      </c>
      <c r="BK497" s="2" t="s">
        <v>109</v>
      </c>
      <c r="BL497" s="136" t="s">
        <v>18</v>
      </c>
      <c r="BM497" s="136">
        <v>45139</v>
      </c>
      <c r="BN497" s="2" t="s">
        <v>1703</v>
      </c>
      <c r="BO497" s="2"/>
      <c r="BP497" s="136"/>
      <c r="BQ497" s="137" t="s">
        <v>119</v>
      </c>
      <c r="BR497" s="138"/>
    </row>
    <row r="498" spans="1:70" ht="12.75" customHeight="1" x14ac:dyDescent="0.2">
      <c r="A498" s="2">
        <v>1987</v>
      </c>
      <c r="B498" s="2" t="s">
        <v>19</v>
      </c>
      <c r="C498" s="2" t="s">
        <v>21</v>
      </c>
      <c r="D498" s="2" t="s">
        <v>1711</v>
      </c>
      <c r="E498" s="2" t="s">
        <v>77</v>
      </c>
      <c r="F498" s="132">
        <f>6035*1.75</f>
        <v>10561.25</v>
      </c>
      <c r="G498" s="132"/>
      <c r="H498" s="132">
        <f>6035*1.75</f>
        <v>10561.25</v>
      </c>
      <c r="I498" s="132"/>
      <c r="J498" s="132">
        <f>1611.04+8950.21</f>
        <v>10561.25</v>
      </c>
      <c r="K498" s="132">
        <f t="shared" si="51"/>
        <v>0</v>
      </c>
      <c r="L498" s="132">
        <f t="shared" si="52"/>
        <v>0</v>
      </c>
      <c r="M498" s="133"/>
      <c r="N498" s="133">
        <f t="shared" si="55"/>
        <v>0</v>
      </c>
      <c r="O498" s="134">
        <v>0</v>
      </c>
      <c r="P498" s="133"/>
      <c r="Q498" s="2" t="s">
        <v>921</v>
      </c>
      <c r="R498" s="156">
        <f t="shared" si="53"/>
        <v>0</v>
      </c>
      <c r="S498" s="156">
        <f t="shared" si="54"/>
        <v>0</v>
      </c>
      <c r="T498" s="133"/>
      <c r="U498" s="133"/>
      <c r="V498" s="133"/>
      <c r="W498" s="133"/>
      <c r="X498" s="133"/>
      <c r="Y498" s="133"/>
      <c r="Z498" s="133"/>
      <c r="AA498" s="133"/>
      <c r="AB498" s="133"/>
      <c r="AC498" s="133"/>
      <c r="AD498" s="133"/>
      <c r="AE498" s="133"/>
      <c r="AF498" s="133"/>
      <c r="AG498" s="133"/>
      <c r="AH498" s="133"/>
      <c r="AI498" s="133"/>
      <c r="AJ498" s="133"/>
      <c r="AK498" s="133"/>
      <c r="AL498" s="133"/>
      <c r="AM498" s="133"/>
      <c r="AN498" s="133"/>
      <c r="AO498" s="133"/>
      <c r="AP498" s="133"/>
      <c r="AQ498" s="133"/>
      <c r="AR498" s="133"/>
      <c r="AS498" s="153">
        <v>0</v>
      </c>
      <c r="AT498" s="153">
        <v>0</v>
      </c>
      <c r="AU498" s="153">
        <v>0</v>
      </c>
      <c r="AV498" s="135">
        <v>0</v>
      </c>
      <c r="AW498" s="135">
        <v>0</v>
      </c>
      <c r="AX498" s="135"/>
      <c r="AY498" s="135"/>
      <c r="AZ498" s="135"/>
      <c r="BA498" s="135"/>
      <c r="BB498" s="135"/>
      <c r="BC498" s="135"/>
      <c r="BD498" s="135"/>
      <c r="BE498" s="135"/>
      <c r="BF498" s="135"/>
      <c r="BG498" s="135"/>
      <c r="BH498" s="135"/>
      <c r="BI498" s="2" t="s">
        <v>112</v>
      </c>
      <c r="BJ498" s="136">
        <v>45211</v>
      </c>
      <c r="BK498" s="136" t="s">
        <v>145</v>
      </c>
      <c r="BL498" s="136" t="s">
        <v>113</v>
      </c>
      <c r="BM498" s="136">
        <v>44959</v>
      </c>
      <c r="BN498" s="2" t="s">
        <v>1712</v>
      </c>
      <c r="BO498" s="2"/>
      <c r="BP498" s="136"/>
      <c r="BQ498" s="137" t="s">
        <v>134</v>
      </c>
      <c r="BR498" s="138"/>
    </row>
    <row r="499" spans="1:70" ht="12.75" customHeight="1" x14ac:dyDescent="0.2">
      <c r="A499" s="2">
        <v>1988</v>
      </c>
      <c r="B499" s="2" t="s">
        <v>28</v>
      </c>
      <c r="C499" s="2" t="s">
        <v>91</v>
      </c>
      <c r="D499" s="2" t="s">
        <v>1717</v>
      </c>
      <c r="E499" s="2" t="s">
        <v>701</v>
      </c>
      <c r="F499" s="132">
        <v>352053.24</v>
      </c>
      <c r="G499" s="132"/>
      <c r="H499" s="132">
        <v>352053.24</v>
      </c>
      <c r="I499" s="132"/>
      <c r="J499" s="132">
        <v>352053.24</v>
      </c>
      <c r="K499" s="132">
        <f t="shared" si="51"/>
        <v>0</v>
      </c>
      <c r="L499" s="132">
        <f t="shared" si="52"/>
        <v>0</v>
      </c>
      <c r="M499" s="133">
        <v>0</v>
      </c>
      <c r="N499" s="133">
        <f t="shared" si="55"/>
        <v>0</v>
      </c>
      <c r="O499" s="134">
        <v>0</v>
      </c>
      <c r="P499" s="133"/>
      <c r="Q499" s="2"/>
      <c r="R499" s="156">
        <f t="shared" si="53"/>
        <v>0</v>
      </c>
      <c r="S499" s="156">
        <f t="shared" si="54"/>
        <v>0</v>
      </c>
      <c r="T499" s="133"/>
      <c r="U499" s="133"/>
      <c r="V499" s="133"/>
      <c r="W499" s="133"/>
      <c r="X499" s="133"/>
      <c r="Y499" s="133"/>
      <c r="Z499" s="133"/>
      <c r="AA499" s="133"/>
      <c r="AB499" s="133"/>
      <c r="AC499" s="133"/>
      <c r="AD499" s="133"/>
      <c r="AE499" s="133"/>
      <c r="AF499" s="133"/>
      <c r="AG499" s="133"/>
      <c r="AH499" s="133"/>
      <c r="AI499" s="133"/>
      <c r="AJ499" s="133"/>
      <c r="AK499" s="133"/>
      <c r="AL499" s="133"/>
      <c r="AM499" s="133"/>
      <c r="AN499" s="133"/>
      <c r="AO499" s="133"/>
      <c r="AP499" s="133"/>
      <c r="AQ499" s="133"/>
      <c r="AR499" s="133"/>
      <c r="AS499" s="153">
        <v>0</v>
      </c>
      <c r="AT499" s="153">
        <v>0</v>
      </c>
      <c r="AU499" s="153">
        <v>0</v>
      </c>
      <c r="AV499" s="135"/>
      <c r="AW499" s="135"/>
      <c r="AX499" s="135"/>
      <c r="AY499" s="135"/>
      <c r="AZ499" s="135"/>
      <c r="BA499" s="135"/>
      <c r="BB499" s="135"/>
      <c r="BC499" s="135"/>
      <c r="BD499" s="135"/>
      <c r="BE499" s="135"/>
      <c r="BF499" s="135"/>
      <c r="BG499" s="135"/>
      <c r="BH499" s="135"/>
      <c r="BI499" s="2" t="s">
        <v>11</v>
      </c>
      <c r="BJ499" s="136">
        <v>45184</v>
      </c>
      <c r="BK499" s="2" t="s">
        <v>109</v>
      </c>
      <c r="BL499" s="136" t="s">
        <v>18</v>
      </c>
      <c r="BM499" s="136">
        <v>45132</v>
      </c>
      <c r="BN499" s="2" t="s">
        <v>1718</v>
      </c>
      <c r="BO499" s="2"/>
      <c r="BP499" s="136" t="s">
        <v>134</v>
      </c>
      <c r="BQ499" s="137" t="s">
        <v>134</v>
      </c>
      <c r="BR499" s="138"/>
    </row>
    <row r="500" spans="1:70" ht="12.75" customHeight="1" x14ac:dyDescent="0.2">
      <c r="A500" s="2">
        <v>1989</v>
      </c>
      <c r="B500" s="2" t="s">
        <v>137</v>
      </c>
      <c r="C500" s="2" t="s">
        <v>136</v>
      </c>
      <c r="D500" s="2" t="s">
        <v>1764</v>
      </c>
      <c r="E500" s="2" t="s">
        <v>117</v>
      </c>
      <c r="F500" s="132">
        <f>167*1.75</f>
        <v>292.25</v>
      </c>
      <c r="G500" s="132"/>
      <c r="H500" s="132">
        <f>167*1.75</f>
        <v>292.25</v>
      </c>
      <c r="I500" s="132"/>
      <c r="J500" s="132">
        <f>292.25</f>
        <v>292.25</v>
      </c>
      <c r="K500" s="132">
        <f t="shared" si="51"/>
        <v>0</v>
      </c>
      <c r="L500" s="132">
        <f t="shared" si="52"/>
        <v>0</v>
      </c>
      <c r="M500" s="133"/>
      <c r="N500" s="133">
        <f t="shared" si="55"/>
        <v>0</v>
      </c>
      <c r="O500" s="134">
        <v>0</v>
      </c>
      <c r="P500" s="133"/>
      <c r="Q500" s="2"/>
      <c r="R500" s="156">
        <f t="shared" si="53"/>
        <v>0</v>
      </c>
      <c r="S500" s="156">
        <f t="shared" si="54"/>
        <v>0</v>
      </c>
      <c r="T500" s="133"/>
      <c r="U500" s="133"/>
      <c r="V500" s="133"/>
      <c r="W500" s="133"/>
      <c r="X500" s="133"/>
      <c r="Y500" s="133"/>
      <c r="Z500" s="133"/>
      <c r="AA500" s="133"/>
      <c r="AB500" s="133"/>
      <c r="AC500" s="133"/>
      <c r="AD500" s="133"/>
      <c r="AE500" s="133"/>
      <c r="AF500" s="133"/>
      <c r="AG500" s="133"/>
      <c r="AH500" s="133"/>
      <c r="AI500" s="133"/>
      <c r="AJ500" s="133"/>
      <c r="AK500" s="133"/>
      <c r="AL500" s="133"/>
      <c r="AM500" s="133"/>
      <c r="AN500" s="133"/>
      <c r="AO500" s="133"/>
      <c r="AP500" s="133"/>
      <c r="AQ500" s="133"/>
      <c r="AR500" s="133"/>
      <c r="AS500" s="153">
        <v>0</v>
      </c>
      <c r="AT500" s="153">
        <v>0</v>
      </c>
      <c r="AU500" s="153">
        <v>0</v>
      </c>
      <c r="AV500" s="135"/>
      <c r="AW500" s="135"/>
      <c r="AX500" s="135"/>
      <c r="AY500" s="135"/>
      <c r="AZ500" s="135"/>
      <c r="BA500" s="135"/>
      <c r="BB500" s="135"/>
      <c r="BC500" s="135"/>
      <c r="BD500" s="135"/>
      <c r="BE500" s="135"/>
      <c r="BF500" s="135"/>
      <c r="BG500" s="135"/>
      <c r="BH500" s="135"/>
      <c r="BI500" s="2" t="s">
        <v>112</v>
      </c>
      <c r="BJ500" s="136">
        <v>45236</v>
      </c>
      <c r="BK500" s="136" t="s">
        <v>145</v>
      </c>
      <c r="BL500" s="136" t="s">
        <v>18</v>
      </c>
      <c r="BM500" s="136">
        <v>45233</v>
      </c>
      <c r="BN500" s="2" t="s">
        <v>1763</v>
      </c>
      <c r="BO500" s="2"/>
      <c r="BP500" s="136"/>
      <c r="BQ500" s="137" t="s">
        <v>134</v>
      </c>
      <c r="BR500" s="138"/>
    </row>
    <row r="501" spans="1:70" ht="12.75" customHeight="1" x14ac:dyDescent="0.2">
      <c r="A501" s="2">
        <v>1990</v>
      </c>
      <c r="B501" s="2" t="s">
        <v>137</v>
      </c>
      <c r="C501" s="2" t="s">
        <v>136</v>
      </c>
      <c r="D501" s="2" t="s">
        <v>1764</v>
      </c>
      <c r="E501" s="2" t="s">
        <v>87</v>
      </c>
      <c r="F501" s="132">
        <v>57000</v>
      </c>
      <c r="G501" s="132"/>
      <c r="H501" s="132">
        <v>46346.03</v>
      </c>
      <c r="I501" s="132"/>
      <c r="J501" s="132">
        <f>7069.73+39276.3</f>
        <v>46346.03</v>
      </c>
      <c r="K501" s="132">
        <f t="shared" si="51"/>
        <v>10653.970000000001</v>
      </c>
      <c r="L501" s="132">
        <f t="shared" si="52"/>
        <v>0</v>
      </c>
      <c r="M501" s="133">
        <v>154</v>
      </c>
      <c r="N501" s="133">
        <f t="shared" si="55"/>
        <v>0</v>
      </c>
      <c r="O501" s="134">
        <v>0</v>
      </c>
      <c r="P501" s="133">
        <v>0</v>
      </c>
      <c r="Q501" s="2"/>
      <c r="R501" s="156">
        <f t="shared" si="53"/>
        <v>0</v>
      </c>
      <c r="S501" s="156">
        <f t="shared" si="54"/>
        <v>0</v>
      </c>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53">
        <v>0</v>
      </c>
      <c r="AT501" s="153">
        <v>0</v>
      </c>
      <c r="AU501" s="153">
        <v>0</v>
      </c>
      <c r="AV501" s="135">
        <v>0</v>
      </c>
      <c r="AW501" s="135">
        <v>0</v>
      </c>
      <c r="AX501" s="135">
        <v>0</v>
      </c>
      <c r="AY501" s="135"/>
      <c r="AZ501" s="135"/>
      <c r="BA501" s="135"/>
      <c r="BB501" s="135"/>
      <c r="BC501" s="135"/>
      <c r="BD501" s="135"/>
      <c r="BE501" s="135"/>
      <c r="BF501" s="135"/>
      <c r="BG501" s="135"/>
      <c r="BH501" s="135"/>
      <c r="BI501" s="2" t="s">
        <v>142</v>
      </c>
      <c r="BJ501" s="136">
        <v>45246</v>
      </c>
      <c r="BK501" s="2" t="s">
        <v>8</v>
      </c>
      <c r="BL501" s="136" t="s">
        <v>18</v>
      </c>
      <c r="BM501" s="136">
        <v>45243</v>
      </c>
      <c r="BN501" s="2" t="s">
        <v>1765</v>
      </c>
      <c r="BO501" s="2"/>
      <c r="BP501" s="136"/>
      <c r="BQ501" s="137" t="s">
        <v>134</v>
      </c>
      <c r="BR501" s="138"/>
    </row>
    <row r="502" spans="1:70" ht="12.75" customHeight="1" x14ac:dyDescent="0.2">
      <c r="A502" s="2">
        <v>1991</v>
      </c>
      <c r="B502" s="2" t="s">
        <v>31</v>
      </c>
      <c r="C502" s="2" t="s">
        <v>38</v>
      </c>
      <c r="D502" s="2" t="s">
        <v>1782</v>
      </c>
      <c r="E502" s="2" t="s">
        <v>71</v>
      </c>
      <c r="F502" s="132">
        <v>4687.5</v>
      </c>
      <c r="G502" s="132" t="s">
        <v>3646</v>
      </c>
      <c r="H502" s="132"/>
      <c r="I502" s="132"/>
      <c r="J502" s="132"/>
      <c r="K502" s="132">
        <f t="shared" ref="K502:K565" si="56">F502-J502</f>
        <v>4687.5</v>
      </c>
      <c r="L502" s="132">
        <f t="shared" si="52"/>
        <v>0</v>
      </c>
      <c r="M502" s="133"/>
      <c r="N502" s="133">
        <f t="shared" si="55"/>
        <v>4687.5</v>
      </c>
      <c r="O502" s="134">
        <v>2</v>
      </c>
      <c r="P502" s="133"/>
      <c r="Q502" s="2" t="s">
        <v>1798</v>
      </c>
      <c r="R502" s="156">
        <f t="shared" si="53"/>
        <v>0</v>
      </c>
      <c r="S502" s="156">
        <f t="shared" si="54"/>
        <v>0</v>
      </c>
      <c r="T502" s="133"/>
      <c r="U502" s="133"/>
      <c r="V502" s="133"/>
      <c r="W502" s="133"/>
      <c r="X502" s="133"/>
      <c r="Y502" s="133"/>
      <c r="Z502" s="133"/>
      <c r="AA502" s="133"/>
      <c r="AB502" s="133"/>
      <c r="AC502" s="133"/>
      <c r="AD502" s="133"/>
      <c r="AE502" s="133"/>
      <c r="AF502" s="133"/>
      <c r="AG502" s="133"/>
      <c r="AH502" s="133"/>
      <c r="AI502" s="133"/>
      <c r="AJ502" s="133"/>
      <c r="AK502" s="133"/>
      <c r="AL502" s="133"/>
      <c r="AM502" s="133"/>
      <c r="AN502" s="133"/>
      <c r="AO502" s="133"/>
      <c r="AP502" s="133"/>
      <c r="AQ502" s="133"/>
      <c r="AR502" s="133"/>
      <c r="AS502" s="153">
        <v>0</v>
      </c>
      <c r="AT502" s="153">
        <v>0</v>
      </c>
      <c r="AU502" s="153">
        <v>0</v>
      </c>
      <c r="AV502" s="135"/>
      <c r="AW502" s="135"/>
      <c r="AX502" s="135"/>
      <c r="AY502" s="135"/>
      <c r="AZ502" s="135"/>
      <c r="BA502" s="135"/>
      <c r="BB502" s="135"/>
      <c r="BC502" s="135"/>
      <c r="BD502" s="135"/>
      <c r="BE502" s="135"/>
      <c r="BF502" s="135"/>
      <c r="BG502" s="135"/>
      <c r="BH502" s="135"/>
      <c r="BI502" s="2" t="s">
        <v>11</v>
      </c>
      <c r="BJ502" s="136"/>
      <c r="BK502" s="2">
        <v>0</v>
      </c>
      <c r="BL502" s="136" t="s">
        <v>113</v>
      </c>
      <c r="BM502" s="136">
        <v>45231</v>
      </c>
      <c r="BN502" s="2" t="s">
        <v>1766</v>
      </c>
      <c r="BO502" s="2"/>
      <c r="BP502" s="136" t="s">
        <v>1814</v>
      </c>
      <c r="BQ502" s="137" t="s">
        <v>134</v>
      </c>
      <c r="BR502" s="138"/>
    </row>
    <row r="503" spans="1:70" ht="12.75" customHeight="1" x14ac:dyDescent="0.2">
      <c r="A503" s="2">
        <v>1992</v>
      </c>
      <c r="B503" s="2" t="s">
        <v>31</v>
      </c>
      <c r="C503" s="2" t="s">
        <v>38</v>
      </c>
      <c r="D503" s="2" t="s">
        <v>1783</v>
      </c>
      <c r="E503" s="2" t="s">
        <v>71</v>
      </c>
      <c r="F503" s="132">
        <v>4687.5</v>
      </c>
      <c r="G503" s="132" t="s">
        <v>3646</v>
      </c>
      <c r="H503" s="132"/>
      <c r="I503" s="132"/>
      <c r="J503" s="132"/>
      <c r="K503" s="132">
        <f t="shared" si="56"/>
        <v>4687.5</v>
      </c>
      <c r="L503" s="132">
        <f t="shared" si="52"/>
        <v>0</v>
      </c>
      <c r="M503" s="133"/>
      <c r="N503" s="133">
        <f t="shared" si="55"/>
        <v>4687.5</v>
      </c>
      <c r="O503" s="134">
        <v>2</v>
      </c>
      <c r="P503" s="133"/>
      <c r="Q503" s="2" t="s">
        <v>3551</v>
      </c>
      <c r="R503" s="156">
        <f t="shared" si="53"/>
        <v>0</v>
      </c>
      <c r="S503" s="156">
        <f t="shared" si="54"/>
        <v>0</v>
      </c>
      <c r="T503" s="133"/>
      <c r="U503" s="133"/>
      <c r="V503" s="133"/>
      <c r="W503" s="133"/>
      <c r="X503" s="133"/>
      <c r="Y503" s="133"/>
      <c r="Z503" s="133"/>
      <c r="AA503" s="133"/>
      <c r="AB503" s="133"/>
      <c r="AC503" s="133"/>
      <c r="AD503" s="133"/>
      <c r="AE503" s="133"/>
      <c r="AF503" s="133"/>
      <c r="AG503" s="133"/>
      <c r="AH503" s="133"/>
      <c r="AI503" s="133"/>
      <c r="AJ503" s="133"/>
      <c r="AK503" s="133"/>
      <c r="AL503" s="133"/>
      <c r="AM503" s="133"/>
      <c r="AN503" s="133"/>
      <c r="AO503" s="133"/>
      <c r="AP503" s="133"/>
      <c r="AQ503" s="133"/>
      <c r="AR503" s="133"/>
      <c r="AS503" s="153">
        <v>0</v>
      </c>
      <c r="AT503" s="153">
        <v>0</v>
      </c>
      <c r="AU503" s="153">
        <v>0</v>
      </c>
      <c r="AV503" s="135"/>
      <c r="AW503" s="135"/>
      <c r="AX503" s="135"/>
      <c r="AY503" s="135"/>
      <c r="AZ503" s="135"/>
      <c r="BA503" s="135"/>
      <c r="BB503" s="135"/>
      <c r="BC503" s="135"/>
      <c r="BD503" s="135"/>
      <c r="BE503" s="135"/>
      <c r="BF503" s="135"/>
      <c r="BG503" s="135"/>
      <c r="BH503" s="135"/>
      <c r="BI503" s="2" t="s">
        <v>11</v>
      </c>
      <c r="BJ503" s="136"/>
      <c r="BK503" s="2">
        <v>0</v>
      </c>
      <c r="BL503" s="136" t="s">
        <v>113</v>
      </c>
      <c r="BM503" s="136">
        <v>45231</v>
      </c>
      <c r="BN503" s="2" t="s">
        <v>1767</v>
      </c>
      <c r="BO503" s="2"/>
      <c r="BP503" s="136" t="s">
        <v>1814</v>
      </c>
      <c r="BQ503" s="137" t="s">
        <v>134</v>
      </c>
      <c r="BR503" s="138"/>
    </row>
    <row r="504" spans="1:70" ht="12.75" customHeight="1" x14ac:dyDescent="0.2">
      <c r="A504" s="2">
        <v>1993</v>
      </c>
      <c r="B504" s="2" t="s">
        <v>31</v>
      </c>
      <c r="C504" s="2" t="s">
        <v>32</v>
      </c>
      <c r="D504" s="2" t="s">
        <v>1784</v>
      </c>
      <c r="E504" s="2" t="s">
        <v>71</v>
      </c>
      <c r="F504" s="132">
        <v>4687.5</v>
      </c>
      <c r="G504" s="132" t="s">
        <v>3646</v>
      </c>
      <c r="H504" s="132"/>
      <c r="I504" s="132"/>
      <c r="J504" s="132"/>
      <c r="K504" s="132">
        <f t="shared" si="56"/>
        <v>4687.5</v>
      </c>
      <c r="L504" s="132">
        <f t="shared" si="52"/>
        <v>0</v>
      </c>
      <c r="M504" s="133"/>
      <c r="N504" s="133">
        <f t="shared" si="55"/>
        <v>4687.5</v>
      </c>
      <c r="O504" s="134">
        <v>2</v>
      </c>
      <c r="P504" s="133"/>
      <c r="Q504" s="2"/>
      <c r="R504" s="156">
        <f t="shared" si="53"/>
        <v>0</v>
      </c>
      <c r="S504" s="156">
        <f t="shared" si="54"/>
        <v>0</v>
      </c>
      <c r="T504" s="133"/>
      <c r="U504" s="133"/>
      <c r="V504" s="133"/>
      <c r="W504" s="133"/>
      <c r="X504" s="133"/>
      <c r="Y504" s="133"/>
      <c r="Z504" s="133"/>
      <c r="AA504" s="133"/>
      <c r="AB504" s="133"/>
      <c r="AC504" s="133"/>
      <c r="AD504" s="133"/>
      <c r="AE504" s="133"/>
      <c r="AF504" s="133"/>
      <c r="AG504" s="133"/>
      <c r="AH504" s="133"/>
      <c r="AI504" s="133"/>
      <c r="AJ504" s="133"/>
      <c r="AK504" s="133"/>
      <c r="AL504" s="133"/>
      <c r="AM504" s="133"/>
      <c r="AN504" s="133"/>
      <c r="AO504" s="133"/>
      <c r="AP504" s="133"/>
      <c r="AQ504" s="133"/>
      <c r="AR504" s="133"/>
      <c r="AS504" s="153">
        <v>0</v>
      </c>
      <c r="AT504" s="153">
        <v>0</v>
      </c>
      <c r="AU504" s="153">
        <v>0</v>
      </c>
      <c r="AV504" s="135"/>
      <c r="AW504" s="135"/>
      <c r="AX504" s="135"/>
      <c r="AY504" s="135"/>
      <c r="AZ504" s="135"/>
      <c r="BA504" s="135"/>
      <c r="BB504" s="135"/>
      <c r="BC504" s="135"/>
      <c r="BD504" s="135"/>
      <c r="BE504" s="135"/>
      <c r="BF504" s="135"/>
      <c r="BG504" s="135"/>
      <c r="BH504" s="135"/>
      <c r="BI504" s="2" t="s">
        <v>11</v>
      </c>
      <c r="BJ504" s="136"/>
      <c r="BK504" s="2">
        <v>0</v>
      </c>
      <c r="BL504" s="136" t="s">
        <v>113</v>
      </c>
      <c r="BM504" s="136">
        <v>45231</v>
      </c>
      <c r="BN504" s="2" t="s">
        <v>1768</v>
      </c>
      <c r="BO504" s="2"/>
      <c r="BP504" s="136" t="s">
        <v>1814</v>
      </c>
      <c r="BQ504" s="137" t="s">
        <v>134</v>
      </c>
      <c r="BR504" s="138"/>
    </row>
    <row r="505" spans="1:70" ht="12.75" customHeight="1" x14ac:dyDescent="0.2">
      <c r="A505" s="2">
        <v>1994</v>
      </c>
      <c r="B505" s="2" t="s">
        <v>31</v>
      </c>
      <c r="C505" s="2" t="s">
        <v>36</v>
      </c>
      <c r="D505" s="2" t="s">
        <v>1785</v>
      </c>
      <c r="E505" s="2" t="s">
        <v>71</v>
      </c>
      <c r="F505" s="132">
        <v>4687.5</v>
      </c>
      <c r="G505" s="132" t="s">
        <v>3646</v>
      </c>
      <c r="H505" s="132"/>
      <c r="I505" s="132"/>
      <c r="J505" s="132"/>
      <c r="K505" s="132">
        <f t="shared" si="56"/>
        <v>4687.5</v>
      </c>
      <c r="L505" s="132">
        <f t="shared" si="52"/>
        <v>0</v>
      </c>
      <c r="M505" s="133"/>
      <c r="N505" s="133">
        <f t="shared" si="55"/>
        <v>4687.5</v>
      </c>
      <c r="O505" s="134">
        <v>2</v>
      </c>
      <c r="P505" s="133"/>
      <c r="Q505" s="2" t="s">
        <v>1801</v>
      </c>
      <c r="R505" s="156">
        <f t="shared" si="53"/>
        <v>0</v>
      </c>
      <c r="S505" s="156">
        <f t="shared" si="54"/>
        <v>0</v>
      </c>
      <c r="T505" s="133"/>
      <c r="U505" s="133"/>
      <c r="V505" s="133"/>
      <c r="W505" s="133"/>
      <c r="X505" s="133"/>
      <c r="Y505" s="133"/>
      <c r="Z505" s="133"/>
      <c r="AA505" s="133"/>
      <c r="AB505" s="133"/>
      <c r="AC505" s="133"/>
      <c r="AD505" s="133"/>
      <c r="AE505" s="133"/>
      <c r="AF505" s="133"/>
      <c r="AG505" s="133"/>
      <c r="AH505" s="133"/>
      <c r="AI505" s="133"/>
      <c r="AJ505" s="133"/>
      <c r="AK505" s="133"/>
      <c r="AL505" s="133"/>
      <c r="AM505" s="133"/>
      <c r="AN505" s="133"/>
      <c r="AO505" s="133"/>
      <c r="AP505" s="133"/>
      <c r="AQ505" s="133"/>
      <c r="AR505" s="133"/>
      <c r="AS505" s="153">
        <v>0</v>
      </c>
      <c r="AT505" s="153">
        <v>0</v>
      </c>
      <c r="AU505" s="153">
        <v>0</v>
      </c>
      <c r="AV505" s="135"/>
      <c r="AW505" s="135"/>
      <c r="AX505" s="135"/>
      <c r="AY505" s="135"/>
      <c r="AZ505" s="135"/>
      <c r="BA505" s="135"/>
      <c r="BB505" s="135"/>
      <c r="BC505" s="135"/>
      <c r="BD505" s="135"/>
      <c r="BE505" s="135"/>
      <c r="BF505" s="135"/>
      <c r="BG505" s="135"/>
      <c r="BH505" s="135"/>
      <c r="BI505" s="2" t="s">
        <v>11</v>
      </c>
      <c r="BJ505" s="136"/>
      <c r="BK505" s="2">
        <v>0</v>
      </c>
      <c r="BL505" s="136" t="s">
        <v>113</v>
      </c>
      <c r="BM505" s="136">
        <v>45231</v>
      </c>
      <c r="BN505" s="2" t="s">
        <v>1769</v>
      </c>
      <c r="BO505" s="2"/>
      <c r="BP505" s="136" t="s">
        <v>1814</v>
      </c>
      <c r="BQ505" s="137" t="s">
        <v>134</v>
      </c>
      <c r="BR505" s="138"/>
    </row>
    <row r="506" spans="1:70" ht="12.75" customHeight="1" x14ac:dyDescent="0.2">
      <c r="A506" s="2">
        <v>1995</v>
      </c>
      <c r="B506" s="2" t="s">
        <v>54</v>
      </c>
      <c r="C506" s="2" t="s">
        <v>4</v>
      </c>
      <c r="D506" s="2" t="s">
        <v>1786</v>
      </c>
      <c r="E506" s="2" t="s">
        <v>71</v>
      </c>
      <c r="F506" s="132">
        <v>4687.5</v>
      </c>
      <c r="G506" s="132" t="s">
        <v>3646</v>
      </c>
      <c r="H506" s="132"/>
      <c r="I506" s="132"/>
      <c r="J506" s="132"/>
      <c r="K506" s="132">
        <f t="shared" si="56"/>
        <v>4687.5</v>
      </c>
      <c r="L506" s="132">
        <f t="shared" si="52"/>
        <v>0</v>
      </c>
      <c r="M506" s="133"/>
      <c r="N506" s="133">
        <f t="shared" si="55"/>
        <v>4687.5</v>
      </c>
      <c r="O506" s="134">
        <v>2</v>
      </c>
      <c r="P506" s="133"/>
      <c r="Q506" s="2" t="s">
        <v>1802</v>
      </c>
      <c r="R506" s="156">
        <f t="shared" si="53"/>
        <v>0</v>
      </c>
      <c r="S506" s="156">
        <f t="shared" si="54"/>
        <v>0</v>
      </c>
      <c r="T506" s="133"/>
      <c r="U506" s="133"/>
      <c r="V506" s="133"/>
      <c r="W506" s="133"/>
      <c r="X506" s="133"/>
      <c r="Y506" s="133"/>
      <c r="Z506" s="133"/>
      <c r="AA506" s="133"/>
      <c r="AB506" s="133"/>
      <c r="AC506" s="133"/>
      <c r="AD506" s="133"/>
      <c r="AE506" s="133"/>
      <c r="AF506" s="133"/>
      <c r="AG506" s="133"/>
      <c r="AH506" s="133"/>
      <c r="AI506" s="133"/>
      <c r="AJ506" s="133"/>
      <c r="AK506" s="133"/>
      <c r="AL506" s="133"/>
      <c r="AM506" s="133"/>
      <c r="AN506" s="133"/>
      <c r="AO506" s="133"/>
      <c r="AP506" s="133"/>
      <c r="AQ506" s="133"/>
      <c r="AR506" s="133"/>
      <c r="AS506" s="153">
        <v>0</v>
      </c>
      <c r="AT506" s="153">
        <v>0</v>
      </c>
      <c r="AU506" s="153">
        <v>0</v>
      </c>
      <c r="AV506" s="135"/>
      <c r="AW506" s="135"/>
      <c r="AX506" s="135"/>
      <c r="AY506" s="135"/>
      <c r="AZ506" s="135"/>
      <c r="BA506" s="135"/>
      <c r="BB506" s="135"/>
      <c r="BC506" s="135"/>
      <c r="BD506" s="135"/>
      <c r="BE506" s="135"/>
      <c r="BF506" s="135"/>
      <c r="BG506" s="135"/>
      <c r="BH506" s="135"/>
      <c r="BI506" s="2" t="s">
        <v>11</v>
      </c>
      <c r="BJ506" s="136"/>
      <c r="BK506" s="2">
        <v>0</v>
      </c>
      <c r="BL506" s="136" t="s">
        <v>113</v>
      </c>
      <c r="BM506" s="136">
        <v>45231</v>
      </c>
      <c r="BN506" s="2" t="s">
        <v>1770</v>
      </c>
      <c r="BO506" s="2"/>
      <c r="BP506" s="136" t="s">
        <v>1814</v>
      </c>
      <c r="BQ506" s="137" t="s">
        <v>134</v>
      </c>
      <c r="BR506" s="138"/>
    </row>
    <row r="507" spans="1:70" ht="12.75" customHeight="1" x14ac:dyDescent="0.2">
      <c r="A507" s="2">
        <v>1996</v>
      </c>
      <c r="B507" s="2" t="s">
        <v>31</v>
      </c>
      <c r="C507" s="2" t="s">
        <v>32</v>
      </c>
      <c r="D507" s="2" t="s">
        <v>1787</v>
      </c>
      <c r="E507" s="2" t="s">
        <v>71</v>
      </c>
      <c r="F507" s="132">
        <v>4687.5</v>
      </c>
      <c r="G507" s="132" t="s">
        <v>3646</v>
      </c>
      <c r="H507" s="132"/>
      <c r="I507" s="132"/>
      <c r="J507" s="132"/>
      <c r="K507" s="132">
        <f t="shared" si="56"/>
        <v>4687.5</v>
      </c>
      <c r="L507" s="132">
        <f t="shared" si="52"/>
        <v>0</v>
      </c>
      <c r="M507" s="133"/>
      <c r="N507" s="133">
        <f t="shared" si="55"/>
        <v>4687.5</v>
      </c>
      <c r="O507" s="134">
        <v>2</v>
      </c>
      <c r="P507" s="133"/>
      <c r="Q507" s="2" t="s">
        <v>1803</v>
      </c>
      <c r="R507" s="156">
        <f t="shared" si="53"/>
        <v>0</v>
      </c>
      <c r="S507" s="156">
        <f t="shared" si="54"/>
        <v>0</v>
      </c>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53">
        <v>0</v>
      </c>
      <c r="AT507" s="153">
        <v>0</v>
      </c>
      <c r="AU507" s="153">
        <v>0</v>
      </c>
      <c r="AV507" s="135"/>
      <c r="AW507" s="135"/>
      <c r="AX507" s="135"/>
      <c r="AY507" s="135"/>
      <c r="AZ507" s="135"/>
      <c r="BA507" s="135"/>
      <c r="BB507" s="135"/>
      <c r="BC507" s="135"/>
      <c r="BD507" s="135"/>
      <c r="BE507" s="135"/>
      <c r="BF507" s="135"/>
      <c r="BG507" s="135"/>
      <c r="BH507" s="135"/>
      <c r="BI507" s="2" t="s">
        <v>11</v>
      </c>
      <c r="BJ507" s="136"/>
      <c r="BK507" s="2">
        <v>0</v>
      </c>
      <c r="BL507" s="136" t="s">
        <v>113</v>
      </c>
      <c r="BM507" s="136">
        <v>45231</v>
      </c>
      <c r="BN507" s="2" t="s">
        <v>1771</v>
      </c>
      <c r="BO507" s="2"/>
      <c r="BP507" s="136" t="s">
        <v>1814</v>
      </c>
      <c r="BQ507" s="137" t="s">
        <v>134</v>
      </c>
      <c r="BR507" s="138"/>
    </row>
    <row r="508" spans="1:70" ht="12.75" customHeight="1" x14ac:dyDescent="0.2">
      <c r="A508" s="2">
        <v>1997</v>
      </c>
      <c r="B508" s="2" t="s">
        <v>31</v>
      </c>
      <c r="C508" s="2" t="s">
        <v>33</v>
      </c>
      <c r="D508" s="2" t="s">
        <v>1788</v>
      </c>
      <c r="E508" s="2" t="s">
        <v>71</v>
      </c>
      <c r="F508" s="132">
        <v>4687.5</v>
      </c>
      <c r="G508" s="132" t="s">
        <v>3646</v>
      </c>
      <c r="H508" s="132"/>
      <c r="I508" s="132"/>
      <c r="J508" s="132"/>
      <c r="K508" s="132">
        <f t="shared" si="56"/>
        <v>4687.5</v>
      </c>
      <c r="L508" s="132">
        <f t="shared" si="52"/>
        <v>0</v>
      </c>
      <c r="M508" s="133"/>
      <c r="N508" s="133">
        <f t="shared" si="55"/>
        <v>4687.5</v>
      </c>
      <c r="O508" s="134">
        <v>2</v>
      </c>
      <c r="P508" s="133"/>
      <c r="Q508" s="2" t="s">
        <v>1804</v>
      </c>
      <c r="R508" s="156">
        <f t="shared" si="53"/>
        <v>0</v>
      </c>
      <c r="S508" s="156">
        <f t="shared" si="54"/>
        <v>0</v>
      </c>
      <c r="T508" s="133"/>
      <c r="U508" s="133"/>
      <c r="V508" s="133"/>
      <c r="W508" s="133"/>
      <c r="X508" s="133"/>
      <c r="Y508" s="133"/>
      <c r="Z508" s="133"/>
      <c r="AA508" s="133"/>
      <c r="AB508" s="133"/>
      <c r="AC508" s="133"/>
      <c r="AD508" s="133"/>
      <c r="AE508" s="133"/>
      <c r="AF508" s="133"/>
      <c r="AG508" s="133"/>
      <c r="AH508" s="133"/>
      <c r="AI508" s="133"/>
      <c r="AJ508" s="133"/>
      <c r="AK508" s="133"/>
      <c r="AL508" s="133"/>
      <c r="AM508" s="133"/>
      <c r="AN508" s="133"/>
      <c r="AO508" s="133"/>
      <c r="AP508" s="133"/>
      <c r="AQ508" s="133"/>
      <c r="AR508" s="133"/>
      <c r="AS508" s="153">
        <v>0</v>
      </c>
      <c r="AT508" s="153">
        <v>0</v>
      </c>
      <c r="AU508" s="153">
        <v>0</v>
      </c>
      <c r="AV508" s="135"/>
      <c r="AW508" s="135"/>
      <c r="AX508" s="135"/>
      <c r="AY508" s="135"/>
      <c r="AZ508" s="135"/>
      <c r="BA508" s="135"/>
      <c r="BB508" s="135"/>
      <c r="BC508" s="135"/>
      <c r="BD508" s="135"/>
      <c r="BE508" s="135"/>
      <c r="BF508" s="135"/>
      <c r="BG508" s="135"/>
      <c r="BH508" s="135"/>
      <c r="BI508" s="2" t="s">
        <v>11</v>
      </c>
      <c r="BJ508" s="136"/>
      <c r="BK508" s="2">
        <v>0</v>
      </c>
      <c r="BL508" s="136" t="s">
        <v>113</v>
      </c>
      <c r="BM508" s="136">
        <v>45231</v>
      </c>
      <c r="BN508" s="2" t="s">
        <v>1772</v>
      </c>
      <c r="BO508" s="2"/>
      <c r="BP508" s="136" t="s">
        <v>1814</v>
      </c>
      <c r="BQ508" s="137" t="s">
        <v>134</v>
      </c>
      <c r="BR508" s="138"/>
    </row>
    <row r="509" spans="1:70" ht="12.75" customHeight="1" x14ac:dyDescent="0.2">
      <c r="A509" s="2">
        <v>1998</v>
      </c>
      <c r="B509" s="2" t="s">
        <v>54</v>
      </c>
      <c r="C509" s="2" t="s">
        <v>4</v>
      </c>
      <c r="D509" s="2" t="s">
        <v>1789</v>
      </c>
      <c r="E509" s="2" t="s">
        <v>71</v>
      </c>
      <c r="F509" s="132">
        <v>4687.5</v>
      </c>
      <c r="G509" s="132" t="s">
        <v>3646</v>
      </c>
      <c r="H509" s="132"/>
      <c r="I509" s="132"/>
      <c r="J509" s="132"/>
      <c r="K509" s="132">
        <f t="shared" si="56"/>
        <v>4687.5</v>
      </c>
      <c r="L509" s="132">
        <f t="shared" si="52"/>
        <v>0</v>
      </c>
      <c r="M509" s="133"/>
      <c r="N509" s="133">
        <f t="shared" si="55"/>
        <v>4687.5</v>
      </c>
      <c r="O509" s="134">
        <v>2</v>
      </c>
      <c r="P509" s="133"/>
      <c r="Q509" s="2" t="s">
        <v>1805</v>
      </c>
      <c r="R509" s="156">
        <f t="shared" si="53"/>
        <v>0</v>
      </c>
      <c r="S509" s="156">
        <f t="shared" si="54"/>
        <v>0</v>
      </c>
      <c r="T509" s="133"/>
      <c r="U509" s="133"/>
      <c r="V509" s="133"/>
      <c r="W509" s="133"/>
      <c r="X509" s="133"/>
      <c r="Y509" s="133"/>
      <c r="Z509" s="133"/>
      <c r="AA509" s="133"/>
      <c r="AB509" s="133"/>
      <c r="AC509" s="133"/>
      <c r="AD509" s="133"/>
      <c r="AE509" s="133"/>
      <c r="AF509" s="133"/>
      <c r="AG509" s="133"/>
      <c r="AH509" s="133"/>
      <c r="AI509" s="133"/>
      <c r="AJ509" s="133"/>
      <c r="AK509" s="133"/>
      <c r="AL509" s="133"/>
      <c r="AM509" s="133"/>
      <c r="AN509" s="133"/>
      <c r="AO509" s="133"/>
      <c r="AP509" s="133"/>
      <c r="AQ509" s="133"/>
      <c r="AR509" s="133"/>
      <c r="AS509" s="153">
        <v>0</v>
      </c>
      <c r="AT509" s="153">
        <v>0</v>
      </c>
      <c r="AU509" s="153">
        <v>0</v>
      </c>
      <c r="AV509" s="135"/>
      <c r="AW509" s="135"/>
      <c r="AX509" s="135"/>
      <c r="AY509" s="135"/>
      <c r="AZ509" s="135"/>
      <c r="BA509" s="135"/>
      <c r="BB509" s="135"/>
      <c r="BC509" s="135"/>
      <c r="BD509" s="135"/>
      <c r="BE509" s="135"/>
      <c r="BF509" s="135"/>
      <c r="BG509" s="135"/>
      <c r="BH509" s="135"/>
      <c r="BI509" s="2" t="s">
        <v>11</v>
      </c>
      <c r="BJ509" s="136"/>
      <c r="BK509" s="2">
        <v>0</v>
      </c>
      <c r="BL509" s="136" t="s">
        <v>113</v>
      </c>
      <c r="BM509" s="136">
        <v>45231</v>
      </c>
      <c r="BN509" s="2" t="s">
        <v>1773</v>
      </c>
      <c r="BO509" s="2"/>
      <c r="BP509" s="136" t="s">
        <v>1814</v>
      </c>
      <c r="BQ509" s="137" t="s">
        <v>134</v>
      </c>
      <c r="BR509" s="138"/>
    </row>
    <row r="510" spans="1:70" ht="12.75" customHeight="1" x14ac:dyDescent="0.2">
      <c r="A510" s="2">
        <v>1999</v>
      </c>
      <c r="B510" s="2" t="s">
        <v>54</v>
      </c>
      <c r="C510" s="2" t="s">
        <v>16</v>
      </c>
      <c r="D510" s="2" t="s">
        <v>1790</v>
      </c>
      <c r="E510" s="2" t="s">
        <v>71</v>
      </c>
      <c r="F510" s="132">
        <v>4687.5</v>
      </c>
      <c r="G510" s="132" t="s">
        <v>3646</v>
      </c>
      <c r="H510" s="132"/>
      <c r="I510" s="132"/>
      <c r="J510" s="132"/>
      <c r="K510" s="132">
        <f t="shared" si="56"/>
        <v>4687.5</v>
      </c>
      <c r="L510" s="132">
        <f t="shared" si="52"/>
        <v>0</v>
      </c>
      <c r="M510" s="133"/>
      <c r="N510" s="133">
        <f t="shared" si="55"/>
        <v>4687.5</v>
      </c>
      <c r="O510" s="134">
        <v>2</v>
      </c>
      <c r="P510" s="133"/>
      <c r="Q510" s="2" t="s">
        <v>1806</v>
      </c>
      <c r="R510" s="156">
        <f t="shared" si="53"/>
        <v>0</v>
      </c>
      <c r="S510" s="156">
        <f t="shared" si="54"/>
        <v>0</v>
      </c>
      <c r="T510" s="133"/>
      <c r="U510" s="133"/>
      <c r="V510" s="133"/>
      <c r="W510" s="133"/>
      <c r="X510" s="133"/>
      <c r="Y510" s="133"/>
      <c r="Z510" s="133"/>
      <c r="AA510" s="133"/>
      <c r="AB510" s="133"/>
      <c r="AC510" s="133"/>
      <c r="AD510" s="133"/>
      <c r="AE510" s="133"/>
      <c r="AF510" s="133"/>
      <c r="AG510" s="133"/>
      <c r="AH510" s="133"/>
      <c r="AI510" s="133"/>
      <c r="AJ510" s="133"/>
      <c r="AK510" s="133"/>
      <c r="AL510" s="133"/>
      <c r="AM510" s="133"/>
      <c r="AN510" s="133"/>
      <c r="AO510" s="133"/>
      <c r="AP510" s="133"/>
      <c r="AQ510" s="133"/>
      <c r="AR510" s="133"/>
      <c r="AS510" s="153">
        <v>0</v>
      </c>
      <c r="AT510" s="153">
        <v>0</v>
      </c>
      <c r="AU510" s="153">
        <v>0</v>
      </c>
      <c r="AV510" s="135"/>
      <c r="AW510" s="135"/>
      <c r="AX510" s="135"/>
      <c r="AY510" s="135"/>
      <c r="AZ510" s="135"/>
      <c r="BA510" s="135"/>
      <c r="BB510" s="135"/>
      <c r="BC510" s="135"/>
      <c r="BD510" s="135"/>
      <c r="BE510" s="135"/>
      <c r="BF510" s="135"/>
      <c r="BG510" s="135"/>
      <c r="BH510" s="135"/>
      <c r="BI510" s="2" t="s">
        <v>11</v>
      </c>
      <c r="BJ510" s="136"/>
      <c r="BK510" s="2">
        <v>0</v>
      </c>
      <c r="BL510" s="136" t="s">
        <v>113</v>
      </c>
      <c r="BM510" s="136">
        <v>45231</v>
      </c>
      <c r="BN510" s="2" t="s">
        <v>1774</v>
      </c>
      <c r="BO510" s="2"/>
      <c r="BP510" s="136" t="s">
        <v>1814</v>
      </c>
      <c r="BQ510" s="137" t="s">
        <v>134</v>
      </c>
      <c r="BR510" s="138"/>
    </row>
    <row r="511" spans="1:70" ht="12.75" customHeight="1" x14ac:dyDescent="0.2">
      <c r="A511" s="2">
        <v>2000</v>
      </c>
      <c r="B511" s="2" t="s">
        <v>54</v>
      </c>
      <c r="C511" s="2" t="s">
        <v>17</v>
      </c>
      <c r="D511" s="2" t="s">
        <v>1791</v>
      </c>
      <c r="E511" s="2" t="s">
        <v>71</v>
      </c>
      <c r="F511" s="132">
        <v>4687.5</v>
      </c>
      <c r="G511" s="132" t="s">
        <v>3646</v>
      </c>
      <c r="H511" s="132"/>
      <c r="I511" s="132"/>
      <c r="J511" s="132"/>
      <c r="K511" s="132">
        <f t="shared" si="56"/>
        <v>4687.5</v>
      </c>
      <c r="L511" s="132">
        <f t="shared" si="52"/>
        <v>0</v>
      </c>
      <c r="M511" s="133"/>
      <c r="N511" s="133">
        <f t="shared" si="55"/>
        <v>4687.5</v>
      </c>
      <c r="O511" s="134">
        <v>2</v>
      </c>
      <c r="P511" s="133"/>
      <c r="Q511" s="2" t="s">
        <v>1807</v>
      </c>
      <c r="R511" s="156">
        <f t="shared" si="53"/>
        <v>0</v>
      </c>
      <c r="S511" s="156">
        <f t="shared" si="54"/>
        <v>0</v>
      </c>
      <c r="T511" s="133"/>
      <c r="U511" s="133"/>
      <c r="V511" s="133"/>
      <c r="W511" s="133"/>
      <c r="X511" s="133"/>
      <c r="Y511" s="133"/>
      <c r="Z511" s="133"/>
      <c r="AA511" s="133"/>
      <c r="AB511" s="133"/>
      <c r="AC511" s="133"/>
      <c r="AD511" s="133"/>
      <c r="AE511" s="133"/>
      <c r="AF511" s="133"/>
      <c r="AG511" s="133"/>
      <c r="AH511" s="133"/>
      <c r="AI511" s="133"/>
      <c r="AJ511" s="133"/>
      <c r="AK511" s="133"/>
      <c r="AL511" s="133"/>
      <c r="AM511" s="133"/>
      <c r="AN511" s="133"/>
      <c r="AO511" s="133"/>
      <c r="AP511" s="133"/>
      <c r="AQ511" s="133"/>
      <c r="AR511" s="133"/>
      <c r="AS511" s="153">
        <v>0</v>
      </c>
      <c r="AT511" s="153">
        <v>0</v>
      </c>
      <c r="AU511" s="153">
        <v>0</v>
      </c>
      <c r="AV511" s="135"/>
      <c r="AW511" s="135"/>
      <c r="AX511" s="135"/>
      <c r="AY511" s="135"/>
      <c r="AZ511" s="135"/>
      <c r="BA511" s="135"/>
      <c r="BB511" s="135"/>
      <c r="BC511" s="135"/>
      <c r="BD511" s="135"/>
      <c r="BE511" s="135"/>
      <c r="BF511" s="135"/>
      <c r="BG511" s="135"/>
      <c r="BH511" s="135"/>
      <c r="BI511" s="2" t="s">
        <v>11</v>
      </c>
      <c r="BJ511" s="136"/>
      <c r="BK511" s="2">
        <v>0</v>
      </c>
      <c r="BL511" s="136" t="s">
        <v>113</v>
      </c>
      <c r="BM511" s="136">
        <v>45231</v>
      </c>
      <c r="BN511" s="2" t="s">
        <v>1775</v>
      </c>
      <c r="BO511" s="2"/>
      <c r="BP511" s="136" t="s">
        <v>1814</v>
      </c>
      <c r="BQ511" s="137" t="s">
        <v>134</v>
      </c>
      <c r="BR511" s="138"/>
    </row>
    <row r="512" spans="1:70" ht="12.75" customHeight="1" x14ac:dyDescent="0.2">
      <c r="A512" s="2">
        <v>2001</v>
      </c>
      <c r="B512" s="2" t="s">
        <v>54</v>
      </c>
      <c r="C512" s="2" t="s">
        <v>4</v>
      </c>
      <c r="D512" s="2" t="s">
        <v>1792</v>
      </c>
      <c r="E512" s="2" t="s">
        <v>71</v>
      </c>
      <c r="F512" s="132">
        <v>4687.5</v>
      </c>
      <c r="G512" s="132" t="s">
        <v>3646</v>
      </c>
      <c r="H512" s="132"/>
      <c r="I512" s="132"/>
      <c r="J512" s="132"/>
      <c r="K512" s="132">
        <f t="shared" si="56"/>
        <v>4687.5</v>
      </c>
      <c r="L512" s="132">
        <f t="shared" si="52"/>
        <v>0</v>
      </c>
      <c r="M512" s="133"/>
      <c r="N512" s="133">
        <f t="shared" si="55"/>
        <v>4687.5</v>
      </c>
      <c r="O512" s="134">
        <v>2</v>
      </c>
      <c r="P512" s="133"/>
      <c r="Q512" s="2" t="s">
        <v>1808</v>
      </c>
      <c r="R512" s="156">
        <f t="shared" si="53"/>
        <v>0</v>
      </c>
      <c r="S512" s="156">
        <f t="shared" si="54"/>
        <v>0</v>
      </c>
      <c r="T512" s="133"/>
      <c r="U512" s="133"/>
      <c r="V512" s="133"/>
      <c r="W512" s="133"/>
      <c r="X512" s="133"/>
      <c r="Y512" s="133"/>
      <c r="Z512" s="133"/>
      <c r="AA512" s="133"/>
      <c r="AB512" s="133"/>
      <c r="AC512" s="133"/>
      <c r="AD512" s="133"/>
      <c r="AE512" s="133"/>
      <c r="AF512" s="133"/>
      <c r="AG512" s="133"/>
      <c r="AH512" s="133"/>
      <c r="AI512" s="133"/>
      <c r="AJ512" s="133"/>
      <c r="AK512" s="133"/>
      <c r="AL512" s="133"/>
      <c r="AM512" s="133"/>
      <c r="AN512" s="133"/>
      <c r="AO512" s="133"/>
      <c r="AP512" s="133"/>
      <c r="AQ512" s="133"/>
      <c r="AR512" s="133"/>
      <c r="AS512" s="153">
        <v>0</v>
      </c>
      <c r="AT512" s="153">
        <v>0</v>
      </c>
      <c r="AU512" s="153">
        <v>0</v>
      </c>
      <c r="AV512" s="135"/>
      <c r="AW512" s="135"/>
      <c r="AX512" s="135"/>
      <c r="AY512" s="135"/>
      <c r="AZ512" s="135"/>
      <c r="BA512" s="135"/>
      <c r="BB512" s="135"/>
      <c r="BC512" s="135"/>
      <c r="BD512" s="135"/>
      <c r="BE512" s="135"/>
      <c r="BF512" s="135"/>
      <c r="BG512" s="135"/>
      <c r="BH512" s="135"/>
      <c r="BI512" s="2" t="s">
        <v>11</v>
      </c>
      <c r="BJ512" s="136"/>
      <c r="BK512" s="2">
        <v>0</v>
      </c>
      <c r="BL512" s="136" t="s">
        <v>113</v>
      </c>
      <c r="BM512" s="136">
        <v>45231</v>
      </c>
      <c r="BN512" s="2" t="s">
        <v>1776</v>
      </c>
      <c r="BO512" s="2"/>
      <c r="BP512" s="136" t="s">
        <v>1814</v>
      </c>
      <c r="BQ512" s="137" t="s">
        <v>134</v>
      </c>
      <c r="BR512" s="138"/>
    </row>
    <row r="513" spans="1:70" ht="12.75" customHeight="1" x14ac:dyDescent="0.2">
      <c r="A513" s="2">
        <v>2002</v>
      </c>
      <c r="B513" s="2" t="s">
        <v>108</v>
      </c>
      <c r="C513" s="2" t="s">
        <v>76</v>
      </c>
      <c r="D513" s="2" t="s">
        <v>1793</v>
      </c>
      <c r="E513" s="2" t="s">
        <v>71</v>
      </c>
      <c r="F513" s="132">
        <v>4687.5</v>
      </c>
      <c r="G513" s="132" t="s">
        <v>3646</v>
      </c>
      <c r="H513" s="132"/>
      <c r="I513" s="132"/>
      <c r="J513" s="132"/>
      <c r="K513" s="132">
        <f t="shared" si="56"/>
        <v>4687.5</v>
      </c>
      <c r="L513" s="132">
        <f t="shared" si="52"/>
        <v>0</v>
      </c>
      <c r="M513" s="133"/>
      <c r="N513" s="133">
        <f t="shared" si="55"/>
        <v>4687.5</v>
      </c>
      <c r="O513" s="134">
        <v>2</v>
      </c>
      <c r="P513" s="133"/>
      <c r="Q513" s="2" t="s">
        <v>1809</v>
      </c>
      <c r="R513" s="156">
        <f t="shared" si="53"/>
        <v>0</v>
      </c>
      <c r="S513" s="156">
        <f t="shared" si="54"/>
        <v>0</v>
      </c>
      <c r="T513" s="133"/>
      <c r="U513" s="133"/>
      <c r="V513" s="133"/>
      <c r="W513" s="133"/>
      <c r="X513" s="133"/>
      <c r="Y513" s="133"/>
      <c r="Z513" s="133"/>
      <c r="AA513" s="133"/>
      <c r="AB513" s="133"/>
      <c r="AC513" s="133"/>
      <c r="AD513" s="133"/>
      <c r="AE513" s="133"/>
      <c r="AF513" s="133"/>
      <c r="AG513" s="133"/>
      <c r="AH513" s="133"/>
      <c r="AI513" s="133"/>
      <c r="AJ513" s="133"/>
      <c r="AK513" s="133"/>
      <c r="AL513" s="133"/>
      <c r="AM513" s="133"/>
      <c r="AN513" s="133"/>
      <c r="AO513" s="133"/>
      <c r="AP513" s="133"/>
      <c r="AQ513" s="133"/>
      <c r="AR513" s="133"/>
      <c r="AS513" s="153">
        <v>0</v>
      </c>
      <c r="AT513" s="153">
        <v>0</v>
      </c>
      <c r="AU513" s="153">
        <v>0</v>
      </c>
      <c r="AV513" s="135"/>
      <c r="AW513" s="135"/>
      <c r="AX513" s="135"/>
      <c r="AY513" s="135"/>
      <c r="AZ513" s="135"/>
      <c r="BA513" s="135"/>
      <c r="BB513" s="135"/>
      <c r="BC513" s="135"/>
      <c r="BD513" s="135"/>
      <c r="BE513" s="135"/>
      <c r="BF513" s="135"/>
      <c r="BG513" s="135"/>
      <c r="BH513" s="135"/>
      <c r="BI513" s="2" t="s">
        <v>11</v>
      </c>
      <c r="BJ513" s="136"/>
      <c r="BK513" s="2">
        <v>0</v>
      </c>
      <c r="BL513" s="136" t="s">
        <v>113</v>
      </c>
      <c r="BM513" s="136">
        <v>45231</v>
      </c>
      <c r="BN513" s="2" t="s">
        <v>1777</v>
      </c>
      <c r="BO513" s="2"/>
      <c r="BP513" s="136" t="s">
        <v>1814</v>
      </c>
      <c r="BQ513" s="137" t="s">
        <v>134</v>
      </c>
      <c r="BR513" s="138"/>
    </row>
    <row r="514" spans="1:70" ht="12.75" customHeight="1" x14ac:dyDescent="0.2">
      <c r="A514" s="2">
        <v>2003</v>
      </c>
      <c r="B514" s="2" t="s">
        <v>54</v>
      </c>
      <c r="C514" s="2" t="s">
        <v>16</v>
      </c>
      <c r="D514" s="2" t="s">
        <v>1794</v>
      </c>
      <c r="E514" s="2" t="s">
        <v>71</v>
      </c>
      <c r="F514" s="132">
        <v>4687.5</v>
      </c>
      <c r="G514" s="132" t="s">
        <v>3646</v>
      </c>
      <c r="H514" s="132"/>
      <c r="I514" s="132"/>
      <c r="J514" s="132"/>
      <c r="K514" s="132">
        <f t="shared" si="56"/>
        <v>4687.5</v>
      </c>
      <c r="L514" s="132">
        <f t="shared" si="52"/>
        <v>0</v>
      </c>
      <c r="M514" s="133"/>
      <c r="N514" s="133">
        <f t="shared" si="55"/>
        <v>4687.5</v>
      </c>
      <c r="O514" s="134">
        <v>2</v>
      </c>
      <c r="P514" s="133"/>
      <c r="Q514" s="2" t="s">
        <v>1810</v>
      </c>
      <c r="R514" s="156">
        <f t="shared" si="53"/>
        <v>0</v>
      </c>
      <c r="S514" s="156">
        <f t="shared" si="54"/>
        <v>0</v>
      </c>
      <c r="T514" s="133"/>
      <c r="U514" s="133"/>
      <c r="V514" s="133"/>
      <c r="W514" s="133"/>
      <c r="X514" s="133"/>
      <c r="Y514" s="133"/>
      <c r="Z514" s="133"/>
      <c r="AA514" s="133"/>
      <c r="AB514" s="133"/>
      <c r="AC514" s="133"/>
      <c r="AD514" s="133"/>
      <c r="AE514" s="133"/>
      <c r="AF514" s="133"/>
      <c r="AG514" s="133"/>
      <c r="AH514" s="133"/>
      <c r="AI514" s="133"/>
      <c r="AJ514" s="133"/>
      <c r="AK514" s="133"/>
      <c r="AL514" s="133"/>
      <c r="AM514" s="133"/>
      <c r="AN514" s="133"/>
      <c r="AO514" s="133"/>
      <c r="AP514" s="133"/>
      <c r="AQ514" s="133"/>
      <c r="AR514" s="133"/>
      <c r="AS514" s="153">
        <v>0</v>
      </c>
      <c r="AT514" s="153">
        <v>0</v>
      </c>
      <c r="AU514" s="153">
        <v>0</v>
      </c>
      <c r="AV514" s="135"/>
      <c r="AW514" s="135"/>
      <c r="AX514" s="135"/>
      <c r="AY514" s="135"/>
      <c r="AZ514" s="135"/>
      <c r="BA514" s="135"/>
      <c r="BB514" s="135"/>
      <c r="BC514" s="135"/>
      <c r="BD514" s="135"/>
      <c r="BE514" s="135"/>
      <c r="BF514" s="135"/>
      <c r="BG514" s="135"/>
      <c r="BH514" s="135"/>
      <c r="BI514" s="2" t="s">
        <v>11</v>
      </c>
      <c r="BJ514" s="136"/>
      <c r="BK514" s="2">
        <v>0</v>
      </c>
      <c r="BL514" s="136" t="s">
        <v>113</v>
      </c>
      <c r="BM514" s="136">
        <v>45231</v>
      </c>
      <c r="BN514" s="2" t="s">
        <v>1778</v>
      </c>
      <c r="BO514" s="2"/>
      <c r="BP514" s="136" t="s">
        <v>1814</v>
      </c>
      <c r="BQ514" s="137" t="s">
        <v>134</v>
      </c>
      <c r="BR514" s="138"/>
    </row>
    <row r="515" spans="1:70" ht="12.75" customHeight="1" x14ac:dyDescent="0.2">
      <c r="A515" s="2">
        <v>2004</v>
      </c>
      <c r="B515" s="2" t="s">
        <v>54</v>
      </c>
      <c r="C515" s="2" t="s">
        <v>16</v>
      </c>
      <c r="D515" s="2" t="s">
        <v>1795</v>
      </c>
      <c r="E515" s="2" t="s">
        <v>71</v>
      </c>
      <c r="F515" s="132">
        <v>4687.5</v>
      </c>
      <c r="G515" s="132" t="s">
        <v>3646</v>
      </c>
      <c r="H515" s="132"/>
      <c r="I515" s="132"/>
      <c r="J515" s="132"/>
      <c r="K515" s="132">
        <f t="shared" si="56"/>
        <v>4687.5</v>
      </c>
      <c r="L515" s="132">
        <f t="shared" si="52"/>
        <v>0</v>
      </c>
      <c r="M515" s="133"/>
      <c r="N515" s="133">
        <f t="shared" si="55"/>
        <v>4687.5</v>
      </c>
      <c r="O515" s="134">
        <v>2</v>
      </c>
      <c r="P515" s="133"/>
      <c r="Q515" s="2" t="s">
        <v>1811</v>
      </c>
      <c r="R515" s="156">
        <f t="shared" si="53"/>
        <v>0</v>
      </c>
      <c r="S515" s="156">
        <f t="shared" si="54"/>
        <v>0</v>
      </c>
      <c r="T515" s="133"/>
      <c r="U515" s="133"/>
      <c r="V515" s="133"/>
      <c r="W515" s="133"/>
      <c r="X515" s="133"/>
      <c r="Y515" s="133"/>
      <c r="Z515" s="133"/>
      <c r="AA515" s="133"/>
      <c r="AB515" s="133"/>
      <c r="AC515" s="133"/>
      <c r="AD515" s="133"/>
      <c r="AE515" s="133"/>
      <c r="AF515" s="133"/>
      <c r="AG515" s="133"/>
      <c r="AH515" s="133"/>
      <c r="AI515" s="133"/>
      <c r="AJ515" s="133"/>
      <c r="AK515" s="133"/>
      <c r="AL515" s="133"/>
      <c r="AM515" s="133"/>
      <c r="AN515" s="133"/>
      <c r="AO515" s="133"/>
      <c r="AP515" s="133"/>
      <c r="AQ515" s="133"/>
      <c r="AR515" s="133"/>
      <c r="AS515" s="153">
        <v>0</v>
      </c>
      <c r="AT515" s="153">
        <v>0</v>
      </c>
      <c r="AU515" s="153">
        <v>0</v>
      </c>
      <c r="AV515" s="135"/>
      <c r="AW515" s="135"/>
      <c r="AX515" s="135"/>
      <c r="AY515" s="135"/>
      <c r="AZ515" s="135"/>
      <c r="BA515" s="135"/>
      <c r="BB515" s="135"/>
      <c r="BC515" s="135"/>
      <c r="BD515" s="135"/>
      <c r="BE515" s="135"/>
      <c r="BF515" s="135"/>
      <c r="BG515" s="135"/>
      <c r="BH515" s="135"/>
      <c r="BI515" s="2" t="s">
        <v>11</v>
      </c>
      <c r="BJ515" s="136"/>
      <c r="BK515" s="2">
        <v>0</v>
      </c>
      <c r="BL515" s="136" t="s">
        <v>113</v>
      </c>
      <c r="BM515" s="136">
        <v>45231</v>
      </c>
      <c r="BN515" s="2" t="s">
        <v>1779</v>
      </c>
      <c r="BO515" s="2"/>
      <c r="BP515" s="136" t="s">
        <v>1814</v>
      </c>
      <c r="BQ515" s="137" t="s">
        <v>134</v>
      </c>
      <c r="BR515" s="138"/>
    </row>
    <row r="516" spans="1:70" ht="12.75" customHeight="1" x14ac:dyDescent="0.2">
      <c r="A516" s="2">
        <v>2005</v>
      </c>
      <c r="B516" s="2" t="s">
        <v>54</v>
      </c>
      <c r="C516" s="2" t="s">
        <v>4</v>
      </c>
      <c r="D516" s="2" t="s">
        <v>1796</v>
      </c>
      <c r="E516" s="2" t="s">
        <v>71</v>
      </c>
      <c r="F516" s="132">
        <v>4687.5</v>
      </c>
      <c r="G516" s="132" t="s">
        <v>3646</v>
      </c>
      <c r="H516" s="132"/>
      <c r="I516" s="132"/>
      <c r="J516" s="132"/>
      <c r="K516" s="132">
        <f t="shared" si="56"/>
        <v>4687.5</v>
      </c>
      <c r="L516" s="132">
        <f t="shared" si="52"/>
        <v>0</v>
      </c>
      <c r="M516" s="133"/>
      <c r="N516" s="133">
        <f t="shared" si="55"/>
        <v>4687.5</v>
      </c>
      <c r="O516" s="134">
        <v>2</v>
      </c>
      <c r="P516" s="133"/>
      <c r="Q516" s="2" t="s">
        <v>1812</v>
      </c>
      <c r="R516" s="156">
        <f t="shared" si="53"/>
        <v>0</v>
      </c>
      <c r="S516" s="156">
        <f t="shared" si="54"/>
        <v>0</v>
      </c>
      <c r="T516" s="133"/>
      <c r="U516" s="133"/>
      <c r="V516" s="133"/>
      <c r="W516" s="133"/>
      <c r="X516" s="133"/>
      <c r="Y516" s="133"/>
      <c r="Z516" s="133"/>
      <c r="AA516" s="133"/>
      <c r="AB516" s="133"/>
      <c r="AC516" s="133"/>
      <c r="AD516" s="133"/>
      <c r="AE516" s="133"/>
      <c r="AF516" s="133"/>
      <c r="AG516" s="133"/>
      <c r="AH516" s="133"/>
      <c r="AI516" s="133"/>
      <c r="AJ516" s="133"/>
      <c r="AK516" s="133"/>
      <c r="AL516" s="133"/>
      <c r="AM516" s="133"/>
      <c r="AN516" s="133"/>
      <c r="AO516" s="133"/>
      <c r="AP516" s="133"/>
      <c r="AQ516" s="133"/>
      <c r="AR516" s="133"/>
      <c r="AS516" s="153">
        <v>0</v>
      </c>
      <c r="AT516" s="153">
        <v>0</v>
      </c>
      <c r="AU516" s="153">
        <v>0</v>
      </c>
      <c r="AV516" s="135"/>
      <c r="AW516" s="135"/>
      <c r="AX516" s="135"/>
      <c r="AY516" s="135"/>
      <c r="AZ516" s="135"/>
      <c r="BA516" s="135"/>
      <c r="BB516" s="135"/>
      <c r="BC516" s="135"/>
      <c r="BD516" s="135"/>
      <c r="BE516" s="135"/>
      <c r="BF516" s="135"/>
      <c r="BG516" s="135"/>
      <c r="BH516" s="135"/>
      <c r="BI516" s="2" t="s">
        <v>11</v>
      </c>
      <c r="BJ516" s="136"/>
      <c r="BK516" s="2">
        <v>0</v>
      </c>
      <c r="BL516" s="136" t="s">
        <v>113</v>
      </c>
      <c r="BM516" s="136">
        <v>45231</v>
      </c>
      <c r="BN516" s="2" t="s">
        <v>1780</v>
      </c>
      <c r="BO516" s="2"/>
      <c r="BP516" s="136" t="s">
        <v>1814</v>
      </c>
      <c r="BQ516" s="137" t="s">
        <v>134</v>
      </c>
      <c r="BR516" s="138"/>
    </row>
    <row r="517" spans="1:70" ht="12.75" customHeight="1" x14ac:dyDescent="0.2">
      <c r="A517" s="2">
        <v>2006</v>
      </c>
      <c r="B517" s="2" t="s">
        <v>54</v>
      </c>
      <c r="C517" s="2" t="s">
        <v>4</v>
      </c>
      <c r="D517" s="2" t="s">
        <v>1797</v>
      </c>
      <c r="E517" s="2" t="s">
        <v>71</v>
      </c>
      <c r="F517" s="132">
        <v>4687.5</v>
      </c>
      <c r="G517" s="132" t="s">
        <v>3646</v>
      </c>
      <c r="H517" s="132"/>
      <c r="I517" s="132"/>
      <c r="J517" s="132"/>
      <c r="K517" s="132">
        <f t="shared" si="56"/>
        <v>4687.5</v>
      </c>
      <c r="L517" s="132">
        <f t="shared" si="52"/>
        <v>0</v>
      </c>
      <c r="M517" s="133"/>
      <c r="N517" s="133">
        <f t="shared" si="55"/>
        <v>4687.5</v>
      </c>
      <c r="O517" s="134">
        <v>2</v>
      </c>
      <c r="P517" s="133"/>
      <c r="Q517" s="2" t="s">
        <v>1813</v>
      </c>
      <c r="R517" s="156">
        <f t="shared" si="53"/>
        <v>0</v>
      </c>
      <c r="S517" s="156">
        <f t="shared" si="54"/>
        <v>0</v>
      </c>
      <c r="T517" s="133"/>
      <c r="U517" s="133"/>
      <c r="V517" s="133"/>
      <c r="W517" s="133"/>
      <c r="X517" s="133"/>
      <c r="Y517" s="133"/>
      <c r="Z517" s="133"/>
      <c r="AA517" s="133"/>
      <c r="AB517" s="133"/>
      <c r="AC517" s="133"/>
      <c r="AD517" s="133"/>
      <c r="AE517" s="133"/>
      <c r="AF517" s="133"/>
      <c r="AG517" s="133"/>
      <c r="AH517" s="133"/>
      <c r="AI517" s="133"/>
      <c r="AJ517" s="133"/>
      <c r="AK517" s="133"/>
      <c r="AL517" s="133"/>
      <c r="AM517" s="133"/>
      <c r="AN517" s="133"/>
      <c r="AO517" s="133"/>
      <c r="AP517" s="133"/>
      <c r="AQ517" s="133"/>
      <c r="AR517" s="133"/>
      <c r="AS517" s="153">
        <v>0</v>
      </c>
      <c r="AT517" s="153">
        <v>0</v>
      </c>
      <c r="AU517" s="153">
        <v>0</v>
      </c>
      <c r="AV517" s="135"/>
      <c r="AW517" s="135"/>
      <c r="AX517" s="135"/>
      <c r="AY517" s="135"/>
      <c r="AZ517" s="135"/>
      <c r="BA517" s="135"/>
      <c r="BB517" s="135"/>
      <c r="BC517" s="135"/>
      <c r="BD517" s="135"/>
      <c r="BE517" s="135"/>
      <c r="BF517" s="135"/>
      <c r="BG517" s="135"/>
      <c r="BH517" s="135"/>
      <c r="BI517" s="2" t="s">
        <v>11</v>
      </c>
      <c r="BJ517" s="136"/>
      <c r="BK517" s="2">
        <v>0</v>
      </c>
      <c r="BL517" s="136" t="s">
        <v>113</v>
      </c>
      <c r="BM517" s="136">
        <v>45231</v>
      </c>
      <c r="BN517" s="2" t="s">
        <v>1781</v>
      </c>
      <c r="BO517" s="2"/>
      <c r="BP517" s="136" t="s">
        <v>1814</v>
      </c>
      <c r="BQ517" s="137" t="s">
        <v>134</v>
      </c>
      <c r="BR517" s="138"/>
    </row>
    <row r="518" spans="1:70" ht="12.75" customHeight="1" x14ac:dyDescent="0.2">
      <c r="A518" s="2">
        <v>2007</v>
      </c>
      <c r="B518" s="2" t="s">
        <v>54</v>
      </c>
      <c r="C518" s="2" t="s">
        <v>50</v>
      </c>
      <c r="D518" s="2" t="s">
        <v>1820</v>
      </c>
      <c r="E518" s="2" t="s">
        <v>71</v>
      </c>
      <c r="F518" s="132">
        <v>5000</v>
      </c>
      <c r="G518" s="132" t="s">
        <v>3646</v>
      </c>
      <c r="H518" s="132"/>
      <c r="I518" s="132"/>
      <c r="J518" s="132"/>
      <c r="K518" s="132">
        <f t="shared" si="56"/>
        <v>5000</v>
      </c>
      <c r="L518" s="132">
        <f t="shared" si="52"/>
        <v>0</v>
      </c>
      <c r="M518" s="133"/>
      <c r="N518" s="133">
        <f t="shared" si="55"/>
        <v>5000</v>
      </c>
      <c r="O518" s="134">
        <v>2</v>
      </c>
      <c r="P518" s="133"/>
      <c r="Q518" s="2" t="s">
        <v>1819</v>
      </c>
      <c r="R518" s="156">
        <f t="shared" si="53"/>
        <v>0</v>
      </c>
      <c r="S518" s="156">
        <f t="shared" si="54"/>
        <v>0</v>
      </c>
      <c r="T518" s="133"/>
      <c r="U518" s="133"/>
      <c r="V518" s="133"/>
      <c r="W518" s="133"/>
      <c r="X518" s="133"/>
      <c r="Y518" s="133"/>
      <c r="Z518" s="133"/>
      <c r="AA518" s="133"/>
      <c r="AB518" s="133"/>
      <c r="AC518" s="133"/>
      <c r="AD518" s="133"/>
      <c r="AE518" s="133"/>
      <c r="AF518" s="133"/>
      <c r="AG518" s="133"/>
      <c r="AH518" s="133"/>
      <c r="AI518" s="133"/>
      <c r="AJ518" s="133"/>
      <c r="AK518" s="133"/>
      <c r="AL518" s="133"/>
      <c r="AM518" s="133"/>
      <c r="AN518" s="133"/>
      <c r="AO518" s="133"/>
      <c r="AP518" s="133"/>
      <c r="AQ518" s="133"/>
      <c r="AR518" s="133"/>
      <c r="AS518" s="153">
        <v>0</v>
      </c>
      <c r="AT518" s="153">
        <v>0</v>
      </c>
      <c r="AU518" s="153">
        <v>0</v>
      </c>
      <c r="AV518" s="135"/>
      <c r="AW518" s="135"/>
      <c r="AX518" s="135"/>
      <c r="AY518" s="135"/>
      <c r="AZ518" s="135"/>
      <c r="BA518" s="135"/>
      <c r="BB518" s="135"/>
      <c r="BC518" s="135"/>
      <c r="BD518" s="135"/>
      <c r="BE518" s="135"/>
      <c r="BF518" s="135"/>
      <c r="BG518" s="135"/>
      <c r="BH518" s="135"/>
      <c r="BI518" s="2" t="s">
        <v>11</v>
      </c>
      <c r="BJ518" s="136"/>
      <c r="BK518" s="2">
        <v>0</v>
      </c>
      <c r="BL518" s="136" t="s">
        <v>18</v>
      </c>
      <c r="BM518" s="136">
        <v>45231</v>
      </c>
      <c r="BN518" s="2" t="s">
        <v>1818</v>
      </c>
      <c r="BO518" s="2"/>
      <c r="BP518" s="136" t="s">
        <v>1814</v>
      </c>
      <c r="BQ518" s="137" t="s">
        <v>134</v>
      </c>
      <c r="BR518" s="138"/>
    </row>
    <row r="519" spans="1:70" ht="12.75" customHeight="1" x14ac:dyDescent="0.2">
      <c r="A519" s="2">
        <v>2008</v>
      </c>
      <c r="B519" s="2" t="s">
        <v>108</v>
      </c>
      <c r="C519" s="2" t="s">
        <v>40</v>
      </c>
      <c r="D519" s="2" t="s">
        <v>1815</v>
      </c>
      <c r="E519" s="2" t="s">
        <v>90</v>
      </c>
      <c r="F519" s="132">
        <v>7500</v>
      </c>
      <c r="G519" s="132" t="s">
        <v>3646</v>
      </c>
      <c r="H519" s="132">
        <v>4743.76</v>
      </c>
      <c r="I519" s="132">
        <v>4743.76</v>
      </c>
      <c r="J519" s="132">
        <v>4743.76</v>
      </c>
      <c r="K519" s="132">
        <f t="shared" si="56"/>
        <v>2756.24</v>
      </c>
      <c r="L519" s="132">
        <f t="shared" si="52"/>
        <v>0</v>
      </c>
      <c r="M519" s="133"/>
      <c r="N519" s="133">
        <f t="shared" si="55"/>
        <v>0</v>
      </c>
      <c r="O519" s="134">
        <v>0</v>
      </c>
      <c r="P519" s="133"/>
      <c r="Q519" s="2" t="s">
        <v>1823</v>
      </c>
      <c r="R519" s="156">
        <f t="shared" si="53"/>
        <v>0</v>
      </c>
      <c r="S519" s="156">
        <f t="shared" si="54"/>
        <v>0</v>
      </c>
      <c r="T519" s="133"/>
      <c r="U519" s="133"/>
      <c r="V519" s="133"/>
      <c r="W519" s="133"/>
      <c r="X519" s="133"/>
      <c r="Y519" s="133"/>
      <c r="Z519" s="133"/>
      <c r="AA519" s="133"/>
      <c r="AB519" s="133"/>
      <c r="AC519" s="133"/>
      <c r="AD519" s="133"/>
      <c r="AE519" s="133"/>
      <c r="AF519" s="133"/>
      <c r="AG519" s="133"/>
      <c r="AH519" s="133"/>
      <c r="AI519" s="133"/>
      <c r="AJ519" s="133"/>
      <c r="AK519" s="133"/>
      <c r="AL519" s="133"/>
      <c r="AM519" s="133"/>
      <c r="AN519" s="133"/>
      <c r="AO519" s="133"/>
      <c r="AP519" s="133"/>
      <c r="AQ519" s="133"/>
      <c r="AR519" s="133"/>
      <c r="AS519" s="153">
        <v>0</v>
      </c>
      <c r="AT519" s="153">
        <v>0</v>
      </c>
      <c r="AU519" s="153">
        <v>0</v>
      </c>
      <c r="AV519" s="135"/>
      <c r="AW519" s="135"/>
      <c r="AX519" s="135"/>
      <c r="AY519" s="135"/>
      <c r="AZ519" s="135"/>
      <c r="BA519" s="135">
        <v>0</v>
      </c>
      <c r="BB519" s="140">
        <f t="shared" ref="BB519:BB524" si="57">(H519/1.18-AT519-AW519-AZ519)*0.1-BA519</f>
        <v>402.01355932203393</v>
      </c>
      <c r="BC519" s="135"/>
      <c r="BD519" s="135"/>
      <c r="BE519" s="135">
        <f t="shared" ref="BE519:BE534" si="58">(H519/1.18-AT519-AW519-AZ519-BD519)*0.1-AU519-AX519-BA519-BB519</f>
        <v>0</v>
      </c>
      <c r="BF519" s="135"/>
      <c r="BG519" s="135"/>
      <c r="BH519" s="135"/>
      <c r="BI519" s="2" t="s">
        <v>11</v>
      </c>
      <c r="BJ519" s="136">
        <v>45567</v>
      </c>
      <c r="BK519" s="2" t="s">
        <v>8</v>
      </c>
      <c r="BL519" s="136" t="s">
        <v>18</v>
      </c>
      <c r="BM519" s="136">
        <v>45231</v>
      </c>
      <c r="BN519" s="2" t="s">
        <v>1821</v>
      </c>
      <c r="BO519" s="2"/>
      <c r="BP519" s="136" t="s">
        <v>1814</v>
      </c>
      <c r="BQ519" s="137" t="s">
        <v>119</v>
      </c>
      <c r="BR519" s="138"/>
    </row>
    <row r="520" spans="1:70" ht="12.75" customHeight="1" x14ac:dyDescent="0.2">
      <c r="A520" s="2">
        <v>2009</v>
      </c>
      <c r="B520" s="2" t="s">
        <v>104</v>
      </c>
      <c r="C520" s="2" t="s">
        <v>104</v>
      </c>
      <c r="D520" s="2" t="s">
        <v>1816</v>
      </c>
      <c r="E520" s="2" t="s">
        <v>90</v>
      </c>
      <c r="F520" s="132">
        <v>7500</v>
      </c>
      <c r="G520" s="132" t="s">
        <v>3646</v>
      </c>
      <c r="H520" s="132">
        <v>10873.76</v>
      </c>
      <c r="I520" s="132">
        <v>10873.76</v>
      </c>
      <c r="J520" s="132">
        <v>10873.76</v>
      </c>
      <c r="K520" s="132">
        <f t="shared" si="56"/>
        <v>-3373.76</v>
      </c>
      <c r="L520" s="132">
        <f t="shared" si="52"/>
        <v>0</v>
      </c>
      <c r="M520" s="133">
        <v>0</v>
      </c>
      <c r="N520" s="133">
        <f t="shared" si="55"/>
        <v>0</v>
      </c>
      <c r="O520" s="134">
        <v>0</v>
      </c>
      <c r="P520" s="133"/>
      <c r="Q520" s="2" t="s">
        <v>1824</v>
      </c>
      <c r="R520" s="156">
        <f t="shared" si="53"/>
        <v>0</v>
      </c>
      <c r="S520" s="156">
        <f t="shared" si="54"/>
        <v>0</v>
      </c>
      <c r="T520" s="133"/>
      <c r="U520" s="133"/>
      <c r="V520" s="133"/>
      <c r="W520" s="133"/>
      <c r="X520" s="133"/>
      <c r="Y520" s="133"/>
      <c r="Z520" s="133"/>
      <c r="AA520" s="133"/>
      <c r="AB520" s="133"/>
      <c r="AC520" s="133"/>
      <c r="AD520" s="133"/>
      <c r="AE520" s="133"/>
      <c r="AF520" s="133"/>
      <c r="AG520" s="133"/>
      <c r="AH520" s="133"/>
      <c r="AI520" s="133"/>
      <c r="AJ520" s="133"/>
      <c r="AK520" s="133"/>
      <c r="AL520" s="133"/>
      <c r="AM520" s="133"/>
      <c r="AN520" s="133"/>
      <c r="AO520" s="133"/>
      <c r="AP520" s="133"/>
      <c r="AQ520" s="133"/>
      <c r="AR520" s="133"/>
      <c r="AS520" s="153">
        <v>0</v>
      </c>
      <c r="AT520" s="153">
        <v>0</v>
      </c>
      <c r="AU520" s="153">
        <v>0</v>
      </c>
      <c r="AV520" s="135"/>
      <c r="AW520" s="135"/>
      <c r="AX520" s="135"/>
      <c r="AY520" s="135"/>
      <c r="AZ520" s="135"/>
      <c r="BA520" s="135">
        <v>0</v>
      </c>
      <c r="BB520" s="140">
        <f t="shared" si="57"/>
        <v>921.50508474576282</v>
      </c>
      <c r="BC520" s="135"/>
      <c r="BD520" s="135"/>
      <c r="BE520" s="135">
        <f t="shared" si="58"/>
        <v>0</v>
      </c>
      <c r="BF520" s="135"/>
      <c r="BG520" s="135"/>
      <c r="BH520" s="135"/>
      <c r="BI520" s="2" t="s">
        <v>11</v>
      </c>
      <c r="BJ520" s="136">
        <v>45567</v>
      </c>
      <c r="BK520" s="2" t="s">
        <v>8</v>
      </c>
      <c r="BL520" s="136" t="s">
        <v>18</v>
      </c>
      <c r="BM520" s="136">
        <v>45231</v>
      </c>
      <c r="BN520" s="2" t="s">
        <v>1822</v>
      </c>
      <c r="BO520" s="2"/>
      <c r="BP520" s="136" t="s">
        <v>1814</v>
      </c>
      <c r="BQ520" s="137" t="s">
        <v>119</v>
      </c>
      <c r="BR520" s="138"/>
    </row>
    <row r="521" spans="1:70" ht="12.75" customHeight="1" x14ac:dyDescent="0.2">
      <c r="A521" s="2">
        <v>2010</v>
      </c>
      <c r="B521" s="2" t="s">
        <v>39</v>
      </c>
      <c r="C521" s="2" t="s">
        <v>41</v>
      </c>
      <c r="D521" s="2" t="s">
        <v>3554</v>
      </c>
      <c r="E521" s="2" t="s">
        <v>90</v>
      </c>
      <c r="F521" s="132">
        <v>5000</v>
      </c>
      <c r="G521" s="132" t="s">
        <v>3646</v>
      </c>
      <c r="H521" s="132">
        <v>6439.84</v>
      </c>
      <c r="I521" s="132">
        <v>6439.84</v>
      </c>
      <c r="J521" s="132">
        <v>6439.84</v>
      </c>
      <c r="K521" s="132">
        <f t="shared" si="56"/>
        <v>-1439.8400000000001</v>
      </c>
      <c r="L521" s="132">
        <f t="shared" si="52"/>
        <v>0</v>
      </c>
      <c r="M521" s="133">
        <v>0</v>
      </c>
      <c r="N521" s="133">
        <f t="shared" si="55"/>
        <v>0</v>
      </c>
      <c r="O521" s="134">
        <v>0</v>
      </c>
      <c r="P521" s="133"/>
      <c r="Q521" s="2" t="s">
        <v>1825</v>
      </c>
      <c r="R521" s="156">
        <f t="shared" si="53"/>
        <v>0</v>
      </c>
      <c r="S521" s="156">
        <f t="shared" si="54"/>
        <v>0</v>
      </c>
      <c r="T521" s="133"/>
      <c r="U521" s="133"/>
      <c r="V521" s="133"/>
      <c r="W521" s="133"/>
      <c r="X521" s="133"/>
      <c r="Y521" s="133"/>
      <c r="Z521" s="133"/>
      <c r="AA521" s="133"/>
      <c r="AB521" s="133"/>
      <c r="AC521" s="133"/>
      <c r="AD521" s="133"/>
      <c r="AE521" s="133"/>
      <c r="AF521" s="133"/>
      <c r="AG521" s="133"/>
      <c r="AH521" s="133"/>
      <c r="AI521" s="133"/>
      <c r="AJ521" s="133"/>
      <c r="AK521" s="133"/>
      <c r="AL521" s="133"/>
      <c r="AM521" s="133"/>
      <c r="AN521" s="133"/>
      <c r="AO521" s="133"/>
      <c r="AP521" s="133"/>
      <c r="AQ521" s="133"/>
      <c r="AR521" s="133"/>
      <c r="AS521" s="153">
        <v>0</v>
      </c>
      <c r="AT521" s="153">
        <v>0</v>
      </c>
      <c r="AU521" s="153">
        <v>0</v>
      </c>
      <c r="AV521" s="135"/>
      <c r="AW521" s="135"/>
      <c r="AX521" s="135"/>
      <c r="AY521" s="135"/>
      <c r="AZ521" s="135"/>
      <c r="BA521" s="135">
        <v>0</v>
      </c>
      <c r="BB521" s="140">
        <f t="shared" si="57"/>
        <v>545.74915254237294</v>
      </c>
      <c r="BC521" s="135"/>
      <c r="BD521" s="135"/>
      <c r="BE521" s="135">
        <f t="shared" si="58"/>
        <v>0</v>
      </c>
      <c r="BF521" s="135"/>
      <c r="BG521" s="135"/>
      <c r="BH521" s="135"/>
      <c r="BI521" s="2" t="s">
        <v>11</v>
      </c>
      <c r="BJ521" s="136">
        <v>45558</v>
      </c>
      <c r="BK521" s="2" t="s">
        <v>8</v>
      </c>
      <c r="BL521" s="136" t="s">
        <v>113</v>
      </c>
      <c r="BM521" s="136">
        <v>45231</v>
      </c>
      <c r="BN521" s="2" t="s">
        <v>1829</v>
      </c>
      <c r="BO521" s="2"/>
      <c r="BP521" s="136" t="s">
        <v>1814</v>
      </c>
      <c r="BQ521" s="137" t="s">
        <v>119</v>
      </c>
      <c r="BR521" s="138"/>
    </row>
    <row r="522" spans="1:70" ht="12.75" customHeight="1" x14ac:dyDescent="0.2">
      <c r="A522" s="2">
        <v>2011</v>
      </c>
      <c r="B522" s="2" t="s">
        <v>39</v>
      </c>
      <c r="C522" s="2" t="s">
        <v>41</v>
      </c>
      <c r="D522" s="2" t="s">
        <v>3552</v>
      </c>
      <c r="E522" s="2" t="s">
        <v>90</v>
      </c>
      <c r="F522" s="132">
        <v>5000</v>
      </c>
      <c r="G522" s="132" t="s">
        <v>3646</v>
      </c>
      <c r="H522" s="132">
        <v>1911.25</v>
      </c>
      <c r="I522" s="132">
        <v>1911.25</v>
      </c>
      <c r="J522" s="132">
        <v>1911.25</v>
      </c>
      <c r="K522" s="132">
        <f t="shared" si="56"/>
        <v>3088.75</v>
      </c>
      <c r="L522" s="132">
        <f t="shared" si="52"/>
        <v>0</v>
      </c>
      <c r="M522" s="133">
        <v>0</v>
      </c>
      <c r="N522" s="133">
        <f t="shared" si="55"/>
        <v>0</v>
      </c>
      <c r="O522" s="134">
        <v>0</v>
      </c>
      <c r="P522" s="133"/>
      <c r="Q522" s="2" t="s">
        <v>1826</v>
      </c>
      <c r="R522" s="156">
        <f t="shared" si="53"/>
        <v>0</v>
      </c>
      <c r="S522" s="156">
        <f t="shared" si="54"/>
        <v>0</v>
      </c>
      <c r="T522" s="133"/>
      <c r="U522" s="133"/>
      <c r="V522" s="133"/>
      <c r="W522" s="133"/>
      <c r="X522" s="133"/>
      <c r="Y522" s="133"/>
      <c r="Z522" s="133"/>
      <c r="AA522" s="133"/>
      <c r="AB522" s="133"/>
      <c r="AC522" s="133"/>
      <c r="AD522" s="133"/>
      <c r="AE522" s="133"/>
      <c r="AF522" s="133"/>
      <c r="AG522" s="133"/>
      <c r="AH522" s="133"/>
      <c r="AI522" s="133"/>
      <c r="AJ522" s="133"/>
      <c r="AK522" s="133"/>
      <c r="AL522" s="133"/>
      <c r="AM522" s="133"/>
      <c r="AN522" s="133"/>
      <c r="AO522" s="133"/>
      <c r="AP522" s="133"/>
      <c r="AQ522" s="133"/>
      <c r="AR522" s="133"/>
      <c r="AS522" s="153">
        <v>0</v>
      </c>
      <c r="AT522" s="153">
        <v>0</v>
      </c>
      <c r="AU522" s="153">
        <v>0</v>
      </c>
      <c r="AV522" s="135"/>
      <c r="AW522" s="135"/>
      <c r="AX522" s="135"/>
      <c r="AY522" s="135"/>
      <c r="AZ522" s="135"/>
      <c r="BA522" s="135">
        <v>0</v>
      </c>
      <c r="BB522" s="140">
        <f t="shared" si="57"/>
        <v>161.97033898305085</v>
      </c>
      <c r="BC522" s="135"/>
      <c r="BD522" s="135"/>
      <c r="BE522" s="135">
        <f t="shared" si="58"/>
        <v>0</v>
      </c>
      <c r="BF522" s="135"/>
      <c r="BG522" s="135"/>
      <c r="BH522" s="135"/>
      <c r="BI522" s="2" t="s">
        <v>11</v>
      </c>
      <c r="BJ522" s="136">
        <v>45558</v>
      </c>
      <c r="BK522" s="2" t="s">
        <v>8</v>
      </c>
      <c r="BL522" s="136" t="s">
        <v>113</v>
      </c>
      <c r="BM522" s="136">
        <v>45231</v>
      </c>
      <c r="BN522" s="2" t="s">
        <v>1830</v>
      </c>
      <c r="BO522" s="2"/>
      <c r="BP522" s="136" t="s">
        <v>1814</v>
      </c>
      <c r="BQ522" s="137" t="s">
        <v>119</v>
      </c>
      <c r="BR522" s="138"/>
    </row>
    <row r="523" spans="1:70" ht="12.75" customHeight="1" x14ac:dyDescent="0.2">
      <c r="A523" s="2">
        <v>2012</v>
      </c>
      <c r="B523" s="2" t="s">
        <v>39</v>
      </c>
      <c r="C523" s="2" t="s">
        <v>42</v>
      </c>
      <c r="D523" s="2" t="s">
        <v>3555</v>
      </c>
      <c r="E523" s="2" t="s">
        <v>90</v>
      </c>
      <c r="F523" s="132">
        <v>5000</v>
      </c>
      <c r="G523" s="132" t="s">
        <v>3646</v>
      </c>
      <c r="H523" s="132">
        <v>7773.6</v>
      </c>
      <c r="I523" s="132">
        <v>7773.6</v>
      </c>
      <c r="J523" s="132">
        <v>7773.6</v>
      </c>
      <c r="K523" s="132">
        <f t="shared" si="56"/>
        <v>-2773.6000000000004</v>
      </c>
      <c r="L523" s="132">
        <f t="shared" ref="L523:L586" si="59">H523-J523</f>
        <v>0</v>
      </c>
      <c r="M523" s="133">
        <v>0</v>
      </c>
      <c r="N523" s="133">
        <f t="shared" si="55"/>
        <v>0</v>
      </c>
      <c r="O523" s="134">
        <v>0</v>
      </c>
      <c r="P523" s="133"/>
      <c r="Q523" s="2" t="s">
        <v>1827</v>
      </c>
      <c r="R523" s="156">
        <f t="shared" ref="R523:R586" si="60">T523+V523+X523+Z523+AB523+AD523+AF523+AH523+AJ523+AL523+AN523+AP523</f>
        <v>0</v>
      </c>
      <c r="S523" s="156">
        <f t="shared" ref="S523:S586" si="61">U523+W523+Y523+AA523+AC523+AE523+AG523+AI523+AK523+AM523+AO523+AQ523</f>
        <v>0</v>
      </c>
      <c r="T523" s="133"/>
      <c r="U523" s="133"/>
      <c r="V523" s="133"/>
      <c r="W523" s="133"/>
      <c r="X523" s="133"/>
      <c r="Y523" s="133"/>
      <c r="Z523" s="133"/>
      <c r="AA523" s="133"/>
      <c r="AB523" s="133"/>
      <c r="AC523" s="133"/>
      <c r="AD523" s="133"/>
      <c r="AE523" s="133"/>
      <c r="AF523" s="133"/>
      <c r="AG523" s="133"/>
      <c r="AH523" s="133"/>
      <c r="AI523" s="133"/>
      <c r="AJ523" s="133"/>
      <c r="AK523" s="133"/>
      <c r="AL523" s="133"/>
      <c r="AM523" s="133"/>
      <c r="AN523" s="133"/>
      <c r="AO523" s="133"/>
      <c r="AP523" s="133"/>
      <c r="AQ523" s="133"/>
      <c r="AR523" s="133"/>
      <c r="AS523" s="153">
        <v>0</v>
      </c>
      <c r="AT523" s="153">
        <v>0</v>
      </c>
      <c r="AU523" s="153">
        <v>0</v>
      </c>
      <c r="AV523" s="135"/>
      <c r="AW523" s="135"/>
      <c r="AX523" s="135"/>
      <c r="AY523" s="135"/>
      <c r="AZ523" s="135"/>
      <c r="BA523" s="135">
        <v>0</v>
      </c>
      <c r="BB523" s="140">
        <f t="shared" si="57"/>
        <v>658.77966101694926</v>
      </c>
      <c r="BC523" s="135"/>
      <c r="BD523" s="135"/>
      <c r="BE523" s="135">
        <f t="shared" si="58"/>
        <v>0</v>
      </c>
      <c r="BF523" s="135"/>
      <c r="BG523" s="135"/>
      <c r="BH523" s="135"/>
      <c r="BI523" s="2" t="s">
        <v>11</v>
      </c>
      <c r="BJ523" s="136">
        <v>45558</v>
      </c>
      <c r="BK523" s="2" t="s">
        <v>8</v>
      </c>
      <c r="BL523" s="136" t="s">
        <v>113</v>
      </c>
      <c r="BM523" s="136">
        <v>45231</v>
      </c>
      <c r="BN523" s="2" t="s">
        <v>1831</v>
      </c>
      <c r="BO523" s="2"/>
      <c r="BP523" s="136" t="s">
        <v>1814</v>
      </c>
      <c r="BQ523" s="137" t="s">
        <v>119</v>
      </c>
      <c r="BR523" s="138"/>
    </row>
    <row r="524" spans="1:70" ht="12.75" customHeight="1" x14ac:dyDescent="0.2">
      <c r="A524" s="2">
        <v>2013</v>
      </c>
      <c r="B524" s="2" t="s">
        <v>100</v>
      </c>
      <c r="C524" s="2" t="s">
        <v>98</v>
      </c>
      <c r="D524" s="2" t="s">
        <v>3553</v>
      </c>
      <c r="E524" s="2" t="s">
        <v>90</v>
      </c>
      <c r="F524" s="132">
        <v>5000</v>
      </c>
      <c r="G524" s="132" t="s">
        <v>3646</v>
      </c>
      <c r="H524" s="132">
        <v>1337.58</v>
      </c>
      <c r="I524" s="132">
        <v>1337.58</v>
      </c>
      <c r="J524" s="132">
        <v>1337.58</v>
      </c>
      <c r="K524" s="132">
        <f t="shared" si="56"/>
        <v>3662.42</v>
      </c>
      <c r="L524" s="132">
        <f t="shared" si="59"/>
        <v>0</v>
      </c>
      <c r="M524" s="133">
        <v>0</v>
      </c>
      <c r="N524" s="133">
        <f t="shared" si="55"/>
        <v>0</v>
      </c>
      <c r="O524" s="134">
        <v>0</v>
      </c>
      <c r="P524" s="133"/>
      <c r="Q524" s="2" t="s">
        <v>1828</v>
      </c>
      <c r="R524" s="156">
        <f t="shared" si="60"/>
        <v>0</v>
      </c>
      <c r="S524" s="156">
        <f t="shared" si="61"/>
        <v>0</v>
      </c>
      <c r="T524" s="133"/>
      <c r="U524" s="133"/>
      <c r="V524" s="133"/>
      <c r="W524" s="133"/>
      <c r="X524" s="133"/>
      <c r="Y524" s="133"/>
      <c r="Z524" s="133"/>
      <c r="AA524" s="133"/>
      <c r="AB524" s="133"/>
      <c r="AC524" s="133"/>
      <c r="AD524" s="133"/>
      <c r="AE524" s="133"/>
      <c r="AF524" s="133"/>
      <c r="AG524" s="133"/>
      <c r="AH524" s="133"/>
      <c r="AI524" s="133"/>
      <c r="AJ524" s="133"/>
      <c r="AK524" s="133"/>
      <c r="AL524" s="133"/>
      <c r="AM524" s="133"/>
      <c r="AN524" s="133"/>
      <c r="AO524" s="133"/>
      <c r="AP524" s="133"/>
      <c r="AQ524" s="133"/>
      <c r="AR524" s="133"/>
      <c r="AS524" s="153">
        <v>0</v>
      </c>
      <c r="AT524" s="153">
        <v>0</v>
      </c>
      <c r="AU524" s="153">
        <v>0</v>
      </c>
      <c r="AV524" s="135"/>
      <c r="AW524" s="135"/>
      <c r="AX524" s="135"/>
      <c r="AY524" s="135"/>
      <c r="AZ524" s="135"/>
      <c r="BA524" s="135">
        <v>0</v>
      </c>
      <c r="BB524" s="140">
        <f t="shared" si="57"/>
        <v>113.35423728813561</v>
      </c>
      <c r="BC524" s="135"/>
      <c r="BD524" s="135"/>
      <c r="BE524" s="135">
        <f t="shared" si="58"/>
        <v>0</v>
      </c>
      <c r="BF524" s="135"/>
      <c r="BG524" s="135"/>
      <c r="BH524" s="135"/>
      <c r="BI524" s="2" t="s">
        <v>11</v>
      </c>
      <c r="BJ524" s="136">
        <v>45558</v>
      </c>
      <c r="BK524" s="2" t="s">
        <v>8</v>
      </c>
      <c r="BL524" s="136" t="s">
        <v>113</v>
      </c>
      <c r="BM524" s="136">
        <v>45231</v>
      </c>
      <c r="BN524" s="2" t="s">
        <v>1832</v>
      </c>
      <c r="BO524" s="2"/>
      <c r="BP524" s="136" t="s">
        <v>1814</v>
      </c>
      <c r="BQ524" s="137" t="s">
        <v>119</v>
      </c>
      <c r="BR524" s="138"/>
    </row>
    <row r="525" spans="1:70" ht="12.75" customHeight="1" x14ac:dyDescent="0.2">
      <c r="A525" s="2">
        <v>2014</v>
      </c>
      <c r="B525" s="2" t="s">
        <v>19</v>
      </c>
      <c r="C525" s="2" t="s">
        <v>20</v>
      </c>
      <c r="D525" s="2" t="s">
        <v>2044</v>
      </c>
      <c r="E525" s="2" t="s">
        <v>115</v>
      </c>
      <c r="F525" s="132">
        <v>7000</v>
      </c>
      <c r="G525" s="132" t="s">
        <v>3646</v>
      </c>
      <c r="H525" s="132">
        <v>10739</v>
      </c>
      <c r="I525" s="132">
        <f>H525</f>
        <v>10739</v>
      </c>
      <c r="J525" s="132">
        <f>1638.15+9100.85</f>
        <v>10739</v>
      </c>
      <c r="K525" s="132">
        <f t="shared" si="56"/>
        <v>-3739</v>
      </c>
      <c r="L525" s="132">
        <f t="shared" si="59"/>
        <v>0</v>
      </c>
      <c r="M525" s="133">
        <v>0</v>
      </c>
      <c r="N525" s="133">
        <f t="shared" si="55"/>
        <v>0</v>
      </c>
      <c r="O525" s="134">
        <v>0</v>
      </c>
      <c r="P525" s="133"/>
      <c r="Q525" s="2" t="s">
        <v>1833</v>
      </c>
      <c r="R525" s="156">
        <f t="shared" si="60"/>
        <v>0</v>
      </c>
      <c r="S525" s="156">
        <f t="shared" si="61"/>
        <v>0</v>
      </c>
      <c r="T525" s="133"/>
      <c r="U525" s="133"/>
      <c r="V525" s="133"/>
      <c r="W525" s="133"/>
      <c r="X525" s="133"/>
      <c r="Y525" s="133"/>
      <c r="Z525" s="133"/>
      <c r="AA525" s="133"/>
      <c r="AB525" s="133"/>
      <c r="AC525" s="133"/>
      <c r="AD525" s="133"/>
      <c r="AE525" s="133"/>
      <c r="AF525" s="133"/>
      <c r="AG525" s="133"/>
      <c r="AH525" s="133"/>
      <c r="AI525" s="133"/>
      <c r="AJ525" s="133"/>
      <c r="AK525" s="133"/>
      <c r="AL525" s="133"/>
      <c r="AM525" s="133"/>
      <c r="AN525" s="133"/>
      <c r="AO525" s="133"/>
      <c r="AP525" s="133"/>
      <c r="AQ525" s="133"/>
      <c r="AR525" s="133"/>
      <c r="AS525" s="153">
        <v>0</v>
      </c>
      <c r="AT525" s="153">
        <v>0</v>
      </c>
      <c r="AU525" s="153">
        <v>0</v>
      </c>
      <c r="AV525" s="135">
        <v>0</v>
      </c>
      <c r="AW525" s="135">
        <v>0</v>
      </c>
      <c r="AX525" s="135">
        <v>0</v>
      </c>
      <c r="AY525" s="135">
        <v>0</v>
      </c>
      <c r="AZ525" s="135">
        <v>0</v>
      </c>
      <c r="BA525" s="135">
        <f t="shared" ref="BA525:BA534" si="62">IF(BK525="Принят",(H525/1.18-AW525-AZ525)*0.1,H525/1.18*0.8*0.1)</f>
        <v>910.08474576271192</v>
      </c>
      <c r="BB525" s="135">
        <f t="shared" ref="BB525:BB534" si="63">(I525/1.18-AT525-AW525-AZ525)*0.1-BA525</f>
        <v>0</v>
      </c>
      <c r="BC525" s="135"/>
      <c r="BD525" s="135"/>
      <c r="BE525" s="135">
        <f t="shared" si="58"/>
        <v>0</v>
      </c>
      <c r="BF525" s="135"/>
      <c r="BG525" s="135"/>
      <c r="BH525" s="135"/>
      <c r="BI525" s="2" t="s">
        <v>11</v>
      </c>
      <c r="BJ525" s="136">
        <v>45351</v>
      </c>
      <c r="BK525" s="2" t="s">
        <v>109</v>
      </c>
      <c r="BL525" s="136" t="s">
        <v>113</v>
      </c>
      <c r="BM525" s="136">
        <v>45231</v>
      </c>
      <c r="BN525" s="2" t="s">
        <v>1843</v>
      </c>
      <c r="BO525" s="2"/>
      <c r="BP525" s="136" t="s">
        <v>1814</v>
      </c>
      <c r="BQ525" s="137" t="s">
        <v>119</v>
      </c>
      <c r="BR525" s="138"/>
    </row>
    <row r="526" spans="1:70" ht="12.75" customHeight="1" x14ac:dyDescent="0.2">
      <c r="A526" s="2">
        <v>2015</v>
      </c>
      <c r="B526" s="2" t="s">
        <v>19</v>
      </c>
      <c r="C526" s="2" t="s">
        <v>21</v>
      </c>
      <c r="D526" s="2" t="s">
        <v>2045</v>
      </c>
      <c r="E526" s="2" t="s">
        <v>115</v>
      </c>
      <c r="F526" s="132">
        <v>7000</v>
      </c>
      <c r="G526" s="132" t="s">
        <v>3646</v>
      </c>
      <c r="H526" s="132">
        <v>5101</v>
      </c>
      <c r="I526" s="132">
        <v>5101</v>
      </c>
      <c r="J526" s="132">
        <f>778.12+4322.88</f>
        <v>5101</v>
      </c>
      <c r="K526" s="132">
        <f t="shared" si="56"/>
        <v>1899</v>
      </c>
      <c r="L526" s="132">
        <f t="shared" si="59"/>
        <v>0</v>
      </c>
      <c r="M526" s="133">
        <v>0</v>
      </c>
      <c r="N526" s="133">
        <f t="shared" si="55"/>
        <v>0</v>
      </c>
      <c r="O526" s="134">
        <v>0</v>
      </c>
      <c r="P526" s="133"/>
      <c r="Q526" s="2" t="s">
        <v>1834</v>
      </c>
      <c r="R526" s="156">
        <f t="shared" si="60"/>
        <v>0</v>
      </c>
      <c r="S526" s="156">
        <f t="shared" si="61"/>
        <v>0</v>
      </c>
      <c r="T526" s="133"/>
      <c r="U526" s="133"/>
      <c r="V526" s="133"/>
      <c r="W526" s="133"/>
      <c r="X526" s="133"/>
      <c r="Y526" s="133"/>
      <c r="Z526" s="133"/>
      <c r="AA526" s="133"/>
      <c r="AB526" s="133"/>
      <c r="AC526" s="133"/>
      <c r="AD526" s="133"/>
      <c r="AE526" s="133"/>
      <c r="AF526" s="133"/>
      <c r="AG526" s="133"/>
      <c r="AH526" s="133"/>
      <c r="AI526" s="133"/>
      <c r="AJ526" s="133"/>
      <c r="AK526" s="133"/>
      <c r="AL526" s="133"/>
      <c r="AM526" s="133"/>
      <c r="AN526" s="133"/>
      <c r="AO526" s="133"/>
      <c r="AP526" s="133"/>
      <c r="AQ526" s="133"/>
      <c r="AR526" s="133"/>
      <c r="AS526" s="153">
        <v>0</v>
      </c>
      <c r="AT526" s="153">
        <v>0</v>
      </c>
      <c r="AU526" s="153">
        <v>0</v>
      </c>
      <c r="AV526" s="135">
        <v>0</v>
      </c>
      <c r="AW526" s="135">
        <v>0</v>
      </c>
      <c r="AX526" s="135">
        <v>0</v>
      </c>
      <c r="AY526" s="135">
        <v>0</v>
      </c>
      <c r="AZ526" s="135">
        <v>0</v>
      </c>
      <c r="BA526" s="135">
        <f t="shared" si="62"/>
        <v>432.28813559322037</v>
      </c>
      <c r="BB526" s="135">
        <f t="shared" si="63"/>
        <v>0</v>
      </c>
      <c r="BC526" s="135"/>
      <c r="BD526" s="135"/>
      <c r="BE526" s="135">
        <f t="shared" si="58"/>
        <v>0</v>
      </c>
      <c r="BF526" s="135"/>
      <c r="BG526" s="135"/>
      <c r="BH526" s="135"/>
      <c r="BI526" s="2" t="s">
        <v>11</v>
      </c>
      <c r="BJ526" s="136">
        <v>45381</v>
      </c>
      <c r="BK526" s="2" t="s">
        <v>109</v>
      </c>
      <c r="BL526" s="136" t="s">
        <v>113</v>
      </c>
      <c r="BM526" s="136">
        <v>45231</v>
      </c>
      <c r="BN526" s="2" t="s">
        <v>1844</v>
      </c>
      <c r="BO526" s="2"/>
      <c r="BP526" s="136" t="s">
        <v>1814</v>
      </c>
      <c r="BQ526" s="137" t="s">
        <v>119</v>
      </c>
      <c r="BR526" s="138"/>
    </row>
    <row r="527" spans="1:70" ht="12.75" customHeight="1" x14ac:dyDescent="0.2">
      <c r="A527" s="2">
        <v>2016</v>
      </c>
      <c r="B527" s="2" t="s">
        <v>19</v>
      </c>
      <c r="C527" s="2" t="s">
        <v>24</v>
      </c>
      <c r="D527" s="2" t="s">
        <v>2046</v>
      </c>
      <c r="E527" s="2" t="s">
        <v>115</v>
      </c>
      <c r="F527" s="132">
        <v>7000</v>
      </c>
      <c r="G527" s="132" t="s">
        <v>3646</v>
      </c>
      <c r="H527" s="132">
        <v>9821</v>
      </c>
      <c r="I527" s="132">
        <v>9821</v>
      </c>
      <c r="J527" s="132">
        <f>1498.19+8322.81</f>
        <v>9821</v>
      </c>
      <c r="K527" s="132">
        <f t="shared" si="56"/>
        <v>-2821</v>
      </c>
      <c r="L527" s="132">
        <f t="shared" si="59"/>
        <v>0</v>
      </c>
      <c r="M527" s="133">
        <v>0</v>
      </c>
      <c r="N527" s="133">
        <f t="shared" si="55"/>
        <v>0</v>
      </c>
      <c r="O527" s="134">
        <v>0</v>
      </c>
      <c r="P527" s="133"/>
      <c r="Q527" s="2" t="s">
        <v>1835</v>
      </c>
      <c r="R527" s="156">
        <f t="shared" si="60"/>
        <v>0</v>
      </c>
      <c r="S527" s="156">
        <f t="shared" si="61"/>
        <v>0</v>
      </c>
      <c r="T527" s="133"/>
      <c r="U527" s="133"/>
      <c r="V527" s="133"/>
      <c r="W527" s="133"/>
      <c r="X527" s="133"/>
      <c r="Y527" s="133"/>
      <c r="Z527" s="133"/>
      <c r="AA527" s="133"/>
      <c r="AB527" s="133"/>
      <c r="AC527" s="133"/>
      <c r="AD527" s="133"/>
      <c r="AE527" s="133"/>
      <c r="AF527" s="133"/>
      <c r="AG527" s="133"/>
      <c r="AH527" s="133"/>
      <c r="AI527" s="133"/>
      <c r="AJ527" s="133"/>
      <c r="AK527" s="133"/>
      <c r="AL527" s="133"/>
      <c r="AM527" s="133"/>
      <c r="AN527" s="133"/>
      <c r="AO527" s="133"/>
      <c r="AP527" s="133"/>
      <c r="AQ527" s="133"/>
      <c r="AR527" s="133"/>
      <c r="AS527" s="153">
        <v>0</v>
      </c>
      <c r="AT527" s="153">
        <v>0</v>
      </c>
      <c r="AU527" s="153">
        <v>0</v>
      </c>
      <c r="AV527" s="135">
        <v>0</v>
      </c>
      <c r="AW527" s="135">
        <v>0</v>
      </c>
      <c r="AX527" s="135">
        <v>0</v>
      </c>
      <c r="AY527" s="135">
        <v>0</v>
      </c>
      <c r="AZ527" s="135">
        <v>0</v>
      </c>
      <c r="BA527" s="135">
        <f t="shared" si="62"/>
        <v>832.28813559322043</v>
      </c>
      <c r="BB527" s="135">
        <f t="shared" si="63"/>
        <v>0</v>
      </c>
      <c r="BC527" s="135"/>
      <c r="BD527" s="135"/>
      <c r="BE527" s="135">
        <f t="shared" si="58"/>
        <v>0</v>
      </c>
      <c r="BF527" s="135"/>
      <c r="BG527" s="135"/>
      <c r="BH527" s="135"/>
      <c r="BI527" s="2" t="s">
        <v>11</v>
      </c>
      <c r="BJ527" s="136">
        <v>45381</v>
      </c>
      <c r="BK527" s="2" t="s">
        <v>109</v>
      </c>
      <c r="BL527" s="136" t="s">
        <v>113</v>
      </c>
      <c r="BM527" s="136">
        <v>45231</v>
      </c>
      <c r="BN527" s="2" t="s">
        <v>1845</v>
      </c>
      <c r="BO527" s="2"/>
      <c r="BP527" s="136" t="s">
        <v>1814</v>
      </c>
      <c r="BQ527" s="137" t="s">
        <v>119</v>
      </c>
      <c r="BR527" s="138"/>
    </row>
    <row r="528" spans="1:70" ht="12.75" customHeight="1" x14ac:dyDescent="0.2">
      <c r="A528" s="2">
        <v>2017</v>
      </c>
      <c r="B528" s="2" t="s">
        <v>19</v>
      </c>
      <c r="C528" s="2" t="s">
        <v>20</v>
      </c>
      <c r="D528" s="2" t="s">
        <v>2047</v>
      </c>
      <c r="E528" s="2" t="s">
        <v>115</v>
      </c>
      <c r="F528" s="132">
        <v>7000</v>
      </c>
      <c r="G528" s="132" t="s">
        <v>3646</v>
      </c>
      <c r="H528" s="132">
        <v>5451</v>
      </c>
      <c r="I528" s="132">
        <f>H528</f>
        <v>5451</v>
      </c>
      <c r="J528" s="132">
        <f>831.51+4619.49</f>
        <v>5451</v>
      </c>
      <c r="K528" s="132">
        <f t="shared" si="56"/>
        <v>1549</v>
      </c>
      <c r="L528" s="132">
        <f t="shared" si="59"/>
        <v>0</v>
      </c>
      <c r="M528" s="133">
        <v>0</v>
      </c>
      <c r="N528" s="133">
        <f t="shared" si="55"/>
        <v>0</v>
      </c>
      <c r="O528" s="134">
        <v>0</v>
      </c>
      <c r="P528" s="133"/>
      <c r="Q528" s="2" t="s">
        <v>1836</v>
      </c>
      <c r="R528" s="156">
        <f t="shared" si="60"/>
        <v>0</v>
      </c>
      <c r="S528" s="156">
        <f t="shared" si="61"/>
        <v>0</v>
      </c>
      <c r="T528" s="133"/>
      <c r="U528" s="133"/>
      <c r="V528" s="133"/>
      <c r="W528" s="133"/>
      <c r="X528" s="133"/>
      <c r="Y528" s="133"/>
      <c r="Z528" s="133"/>
      <c r="AA528" s="133"/>
      <c r="AB528" s="133"/>
      <c r="AC528" s="133"/>
      <c r="AD528" s="133"/>
      <c r="AE528" s="133"/>
      <c r="AF528" s="133"/>
      <c r="AG528" s="133"/>
      <c r="AH528" s="133"/>
      <c r="AI528" s="133"/>
      <c r="AJ528" s="133"/>
      <c r="AK528" s="133"/>
      <c r="AL528" s="133"/>
      <c r="AM528" s="133"/>
      <c r="AN528" s="133"/>
      <c r="AO528" s="133"/>
      <c r="AP528" s="133"/>
      <c r="AQ528" s="133"/>
      <c r="AR528" s="133"/>
      <c r="AS528" s="153">
        <v>0</v>
      </c>
      <c r="AT528" s="153">
        <v>0</v>
      </c>
      <c r="AU528" s="153">
        <v>0</v>
      </c>
      <c r="AV528" s="135">
        <v>0</v>
      </c>
      <c r="AW528" s="135">
        <v>0</v>
      </c>
      <c r="AX528" s="135">
        <v>0</v>
      </c>
      <c r="AY528" s="135">
        <v>0</v>
      </c>
      <c r="AZ528" s="135">
        <v>0</v>
      </c>
      <c r="BA528" s="135">
        <f t="shared" si="62"/>
        <v>461.94915254237299</v>
      </c>
      <c r="BB528" s="135">
        <f t="shared" si="63"/>
        <v>0</v>
      </c>
      <c r="BC528" s="135"/>
      <c r="BD528" s="135"/>
      <c r="BE528" s="135">
        <f t="shared" si="58"/>
        <v>0</v>
      </c>
      <c r="BF528" s="135"/>
      <c r="BG528" s="135"/>
      <c r="BH528" s="135"/>
      <c r="BI528" s="2" t="s">
        <v>11</v>
      </c>
      <c r="BJ528" s="136">
        <v>45351</v>
      </c>
      <c r="BK528" s="2" t="s">
        <v>109</v>
      </c>
      <c r="BL528" s="136" t="s">
        <v>113</v>
      </c>
      <c r="BM528" s="136">
        <v>45231</v>
      </c>
      <c r="BN528" s="2" t="s">
        <v>1846</v>
      </c>
      <c r="BO528" s="2"/>
      <c r="BP528" s="136" t="s">
        <v>1814</v>
      </c>
      <c r="BQ528" s="137" t="s">
        <v>119</v>
      </c>
      <c r="BR528" s="138"/>
    </row>
    <row r="529" spans="1:70" ht="12.75" customHeight="1" x14ac:dyDescent="0.2">
      <c r="A529" s="2">
        <v>2018</v>
      </c>
      <c r="B529" s="2" t="s">
        <v>44</v>
      </c>
      <c r="C529" s="2" t="s">
        <v>47</v>
      </c>
      <c r="D529" s="2" t="s">
        <v>2176</v>
      </c>
      <c r="E529" s="2" t="s">
        <v>115</v>
      </c>
      <c r="F529" s="132">
        <v>7000</v>
      </c>
      <c r="G529" s="132" t="s">
        <v>3646</v>
      </c>
      <c r="H529" s="132">
        <v>8604</v>
      </c>
      <c r="I529" s="132">
        <v>8604</v>
      </c>
      <c r="J529" s="132">
        <f>1312.47+7291.53</f>
        <v>8604</v>
      </c>
      <c r="K529" s="132">
        <f t="shared" si="56"/>
        <v>-1604</v>
      </c>
      <c r="L529" s="132">
        <f t="shared" si="59"/>
        <v>0</v>
      </c>
      <c r="M529" s="133">
        <v>0</v>
      </c>
      <c r="N529" s="133">
        <f t="shared" si="55"/>
        <v>0</v>
      </c>
      <c r="O529" s="134">
        <v>0</v>
      </c>
      <c r="P529" s="133"/>
      <c r="Q529" s="2" t="s">
        <v>1837</v>
      </c>
      <c r="R529" s="156">
        <f t="shared" si="60"/>
        <v>0</v>
      </c>
      <c r="S529" s="156">
        <f t="shared" si="61"/>
        <v>0</v>
      </c>
      <c r="T529" s="133"/>
      <c r="U529" s="133"/>
      <c r="V529" s="133"/>
      <c r="W529" s="133"/>
      <c r="X529" s="133"/>
      <c r="Y529" s="133"/>
      <c r="Z529" s="133"/>
      <c r="AA529" s="133"/>
      <c r="AB529" s="133"/>
      <c r="AC529" s="133"/>
      <c r="AD529" s="133"/>
      <c r="AE529" s="133"/>
      <c r="AF529" s="133"/>
      <c r="AG529" s="133"/>
      <c r="AH529" s="133"/>
      <c r="AI529" s="133"/>
      <c r="AJ529" s="133"/>
      <c r="AK529" s="133"/>
      <c r="AL529" s="133"/>
      <c r="AM529" s="133"/>
      <c r="AN529" s="133"/>
      <c r="AO529" s="133"/>
      <c r="AP529" s="133"/>
      <c r="AQ529" s="133"/>
      <c r="AR529" s="133"/>
      <c r="AS529" s="153">
        <v>0</v>
      </c>
      <c r="AT529" s="153">
        <v>0</v>
      </c>
      <c r="AU529" s="153">
        <v>0</v>
      </c>
      <c r="AV529" s="135">
        <v>0</v>
      </c>
      <c r="AW529" s="135">
        <v>0</v>
      </c>
      <c r="AX529" s="135">
        <v>0</v>
      </c>
      <c r="AY529" s="135">
        <v>0</v>
      </c>
      <c r="AZ529" s="135">
        <v>0</v>
      </c>
      <c r="BA529" s="135">
        <f t="shared" si="62"/>
        <v>729.15254237288138</v>
      </c>
      <c r="BB529" s="135">
        <f t="shared" si="63"/>
        <v>0</v>
      </c>
      <c r="BC529" s="135"/>
      <c r="BD529" s="135"/>
      <c r="BE529" s="135">
        <f t="shared" si="58"/>
        <v>0</v>
      </c>
      <c r="BF529" s="135"/>
      <c r="BG529" s="135"/>
      <c r="BH529" s="135"/>
      <c r="BI529" s="2" t="s">
        <v>11</v>
      </c>
      <c r="BJ529" s="136">
        <v>45381</v>
      </c>
      <c r="BK529" s="2" t="s">
        <v>109</v>
      </c>
      <c r="BL529" s="136" t="s">
        <v>113</v>
      </c>
      <c r="BM529" s="136">
        <v>45231</v>
      </c>
      <c r="BN529" s="2" t="s">
        <v>1847</v>
      </c>
      <c r="BO529" s="2"/>
      <c r="BP529" s="136" t="s">
        <v>1814</v>
      </c>
      <c r="BQ529" s="137" t="s">
        <v>119</v>
      </c>
      <c r="BR529" s="138"/>
    </row>
    <row r="530" spans="1:70" ht="12.75" customHeight="1" x14ac:dyDescent="0.2">
      <c r="A530" s="2">
        <v>2019</v>
      </c>
      <c r="B530" s="2" t="s">
        <v>55</v>
      </c>
      <c r="C530" s="2" t="s">
        <v>26</v>
      </c>
      <c r="D530" s="2" t="s">
        <v>2171</v>
      </c>
      <c r="E530" s="2" t="s">
        <v>115</v>
      </c>
      <c r="F530" s="132">
        <v>7000</v>
      </c>
      <c r="G530" s="132" t="s">
        <v>3646</v>
      </c>
      <c r="H530" s="132">
        <v>4838</v>
      </c>
      <c r="I530" s="132">
        <v>4838</v>
      </c>
      <c r="J530" s="132">
        <f>738+4100</f>
        <v>4838</v>
      </c>
      <c r="K530" s="132">
        <f t="shared" si="56"/>
        <v>2162</v>
      </c>
      <c r="L530" s="132">
        <f t="shared" si="59"/>
        <v>0</v>
      </c>
      <c r="M530" s="133">
        <v>0</v>
      </c>
      <c r="N530" s="133">
        <f t="shared" si="55"/>
        <v>0</v>
      </c>
      <c r="O530" s="134">
        <v>0</v>
      </c>
      <c r="P530" s="133"/>
      <c r="Q530" s="2" t="s">
        <v>1838</v>
      </c>
      <c r="R530" s="156">
        <f t="shared" si="60"/>
        <v>0</v>
      </c>
      <c r="S530" s="156">
        <f t="shared" si="61"/>
        <v>0</v>
      </c>
      <c r="T530" s="133"/>
      <c r="U530" s="133"/>
      <c r="V530" s="133"/>
      <c r="W530" s="133"/>
      <c r="X530" s="133"/>
      <c r="Y530" s="133"/>
      <c r="Z530" s="133"/>
      <c r="AA530" s="133"/>
      <c r="AB530" s="133"/>
      <c r="AC530" s="133"/>
      <c r="AD530" s="133"/>
      <c r="AE530" s="133"/>
      <c r="AF530" s="133"/>
      <c r="AG530" s="133"/>
      <c r="AH530" s="133"/>
      <c r="AI530" s="133"/>
      <c r="AJ530" s="133"/>
      <c r="AK530" s="133"/>
      <c r="AL530" s="133"/>
      <c r="AM530" s="133"/>
      <c r="AN530" s="133"/>
      <c r="AO530" s="133"/>
      <c r="AP530" s="133"/>
      <c r="AQ530" s="133"/>
      <c r="AR530" s="133"/>
      <c r="AS530" s="153">
        <v>0</v>
      </c>
      <c r="AT530" s="153">
        <v>0</v>
      </c>
      <c r="AU530" s="153">
        <v>0</v>
      </c>
      <c r="AV530" s="135">
        <v>0</v>
      </c>
      <c r="AW530" s="135">
        <v>0</v>
      </c>
      <c r="AX530" s="135">
        <v>0</v>
      </c>
      <c r="AY530" s="135">
        <v>0</v>
      </c>
      <c r="AZ530" s="135">
        <v>0</v>
      </c>
      <c r="BA530" s="135">
        <f t="shared" si="62"/>
        <v>410</v>
      </c>
      <c r="BB530" s="135">
        <f t="shared" si="63"/>
        <v>0</v>
      </c>
      <c r="BC530" s="135"/>
      <c r="BD530" s="135"/>
      <c r="BE530" s="135">
        <f t="shared" si="58"/>
        <v>0</v>
      </c>
      <c r="BF530" s="135"/>
      <c r="BG530" s="135"/>
      <c r="BH530" s="135"/>
      <c r="BI530" s="2" t="s">
        <v>11</v>
      </c>
      <c r="BJ530" s="136">
        <v>45381</v>
      </c>
      <c r="BK530" s="2" t="s">
        <v>109</v>
      </c>
      <c r="BL530" s="136" t="s">
        <v>113</v>
      </c>
      <c r="BM530" s="136">
        <v>45231</v>
      </c>
      <c r="BN530" s="2" t="s">
        <v>1848</v>
      </c>
      <c r="BO530" s="2"/>
      <c r="BP530" s="136" t="s">
        <v>1814</v>
      </c>
      <c r="BQ530" s="137" t="s">
        <v>119</v>
      </c>
      <c r="BR530" s="138"/>
    </row>
    <row r="531" spans="1:70" ht="12.75" customHeight="1" x14ac:dyDescent="0.2">
      <c r="A531" s="2">
        <v>2020</v>
      </c>
      <c r="B531" s="2" t="s">
        <v>55</v>
      </c>
      <c r="C531" s="2" t="s">
        <v>58</v>
      </c>
      <c r="D531" s="2" t="s">
        <v>2048</v>
      </c>
      <c r="E531" s="2" t="s">
        <v>115</v>
      </c>
      <c r="F531" s="132">
        <v>7000</v>
      </c>
      <c r="G531" s="132" t="s">
        <v>3646</v>
      </c>
      <c r="H531" s="132">
        <v>5543</v>
      </c>
      <c r="I531" s="132">
        <v>5543</v>
      </c>
      <c r="J531" s="132">
        <f>845.54+4697.46</f>
        <v>5543</v>
      </c>
      <c r="K531" s="132">
        <f t="shared" si="56"/>
        <v>1457</v>
      </c>
      <c r="L531" s="132">
        <f t="shared" si="59"/>
        <v>0</v>
      </c>
      <c r="M531" s="133">
        <v>0</v>
      </c>
      <c r="N531" s="133">
        <f t="shared" si="55"/>
        <v>0</v>
      </c>
      <c r="O531" s="134">
        <v>0</v>
      </c>
      <c r="P531" s="133"/>
      <c r="Q531" s="2" t="s">
        <v>1839</v>
      </c>
      <c r="R531" s="156">
        <f t="shared" si="60"/>
        <v>0</v>
      </c>
      <c r="S531" s="156">
        <f t="shared" si="61"/>
        <v>0</v>
      </c>
      <c r="T531" s="133"/>
      <c r="U531" s="133"/>
      <c r="V531" s="133"/>
      <c r="W531" s="133"/>
      <c r="X531" s="133"/>
      <c r="Y531" s="133"/>
      <c r="Z531" s="133"/>
      <c r="AA531" s="133"/>
      <c r="AB531" s="133"/>
      <c r="AC531" s="133"/>
      <c r="AD531" s="133"/>
      <c r="AE531" s="133"/>
      <c r="AF531" s="133"/>
      <c r="AG531" s="133"/>
      <c r="AH531" s="133"/>
      <c r="AI531" s="133"/>
      <c r="AJ531" s="133"/>
      <c r="AK531" s="133"/>
      <c r="AL531" s="133"/>
      <c r="AM531" s="133"/>
      <c r="AN531" s="133"/>
      <c r="AO531" s="133"/>
      <c r="AP531" s="133"/>
      <c r="AQ531" s="133"/>
      <c r="AR531" s="133"/>
      <c r="AS531" s="153">
        <v>0</v>
      </c>
      <c r="AT531" s="153">
        <v>0</v>
      </c>
      <c r="AU531" s="153">
        <v>0</v>
      </c>
      <c r="AV531" s="135">
        <v>0</v>
      </c>
      <c r="AW531" s="135">
        <v>0</v>
      </c>
      <c r="AX531" s="135">
        <v>0</v>
      </c>
      <c r="AY531" s="135">
        <v>0</v>
      </c>
      <c r="AZ531" s="135">
        <v>0</v>
      </c>
      <c r="BA531" s="135">
        <f t="shared" si="62"/>
        <v>469.74576271186447</v>
      </c>
      <c r="BB531" s="135">
        <f t="shared" si="63"/>
        <v>0</v>
      </c>
      <c r="BC531" s="135"/>
      <c r="BD531" s="135"/>
      <c r="BE531" s="135">
        <f t="shared" si="58"/>
        <v>0</v>
      </c>
      <c r="BF531" s="135"/>
      <c r="BG531" s="135"/>
      <c r="BH531" s="135"/>
      <c r="BI531" s="2" t="s">
        <v>11</v>
      </c>
      <c r="BJ531" s="136">
        <v>45381</v>
      </c>
      <c r="BK531" s="2" t="s">
        <v>109</v>
      </c>
      <c r="BL531" s="136" t="s">
        <v>113</v>
      </c>
      <c r="BM531" s="136">
        <v>45231</v>
      </c>
      <c r="BN531" s="2" t="s">
        <v>1849</v>
      </c>
      <c r="BO531" s="2"/>
      <c r="BP531" s="136" t="s">
        <v>1814</v>
      </c>
      <c r="BQ531" s="137" t="s">
        <v>119</v>
      </c>
      <c r="BR531" s="138"/>
    </row>
    <row r="532" spans="1:70" ht="12.75" customHeight="1" x14ac:dyDescent="0.2">
      <c r="A532" s="2">
        <v>2021</v>
      </c>
      <c r="B532" s="2" t="s">
        <v>19</v>
      </c>
      <c r="C532" s="2" t="s">
        <v>24</v>
      </c>
      <c r="D532" s="2" t="s">
        <v>2049</v>
      </c>
      <c r="E532" s="2" t="s">
        <v>115</v>
      </c>
      <c r="F532" s="132">
        <v>7000</v>
      </c>
      <c r="G532" s="132" t="s">
        <v>3646</v>
      </c>
      <c r="H532" s="132">
        <v>929</v>
      </c>
      <c r="I532" s="132">
        <v>929</v>
      </c>
      <c r="J532" s="132">
        <f>141.71+787.29</f>
        <v>929</v>
      </c>
      <c r="K532" s="132">
        <f t="shared" si="56"/>
        <v>6071</v>
      </c>
      <c r="L532" s="132">
        <f t="shared" si="59"/>
        <v>0</v>
      </c>
      <c r="M532" s="133">
        <v>0</v>
      </c>
      <c r="N532" s="133">
        <f t="shared" si="55"/>
        <v>0</v>
      </c>
      <c r="O532" s="134">
        <v>0</v>
      </c>
      <c r="P532" s="133"/>
      <c r="Q532" s="2" t="s">
        <v>1840</v>
      </c>
      <c r="R532" s="156">
        <f t="shared" si="60"/>
        <v>0</v>
      </c>
      <c r="S532" s="156">
        <f t="shared" si="61"/>
        <v>0</v>
      </c>
      <c r="T532" s="133"/>
      <c r="U532" s="133"/>
      <c r="V532" s="133"/>
      <c r="W532" s="133"/>
      <c r="X532" s="133"/>
      <c r="Y532" s="133"/>
      <c r="Z532" s="133"/>
      <c r="AA532" s="133"/>
      <c r="AB532" s="133"/>
      <c r="AC532" s="133"/>
      <c r="AD532" s="133"/>
      <c r="AE532" s="133"/>
      <c r="AF532" s="133"/>
      <c r="AG532" s="133"/>
      <c r="AH532" s="133"/>
      <c r="AI532" s="133"/>
      <c r="AJ532" s="133"/>
      <c r="AK532" s="133"/>
      <c r="AL532" s="133"/>
      <c r="AM532" s="133"/>
      <c r="AN532" s="133"/>
      <c r="AO532" s="133"/>
      <c r="AP532" s="133"/>
      <c r="AQ532" s="133"/>
      <c r="AR532" s="133"/>
      <c r="AS532" s="153">
        <v>0</v>
      </c>
      <c r="AT532" s="153">
        <v>0</v>
      </c>
      <c r="AU532" s="153">
        <v>0</v>
      </c>
      <c r="AV532" s="135">
        <v>0</v>
      </c>
      <c r="AW532" s="135">
        <v>0</v>
      </c>
      <c r="AX532" s="135">
        <v>0</v>
      </c>
      <c r="AY532" s="135">
        <v>0</v>
      </c>
      <c r="AZ532" s="135">
        <v>0</v>
      </c>
      <c r="BA532" s="135">
        <f t="shared" si="62"/>
        <v>78.728813559322049</v>
      </c>
      <c r="BB532" s="135">
        <f t="shared" si="63"/>
        <v>0</v>
      </c>
      <c r="BC532" s="135"/>
      <c r="BD532" s="135"/>
      <c r="BE532" s="135">
        <f>(H532/1.18-AT532-AW532-AZ532-BD532)*0.1-AU532-AX532-BA532-BB532</f>
        <v>0</v>
      </c>
      <c r="BF532" s="135"/>
      <c r="BG532" s="135"/>
      <c r="BH532" s="135"/>
      <c r="BI532" s="2" t="s">
        <v>11</v>
      </c>
      <c r="BJ532" s="136">
        <v>45381</v>
      </c>
      <c r="BK532" s="2" t="s">
        <v>109</v>
      </c>
      <c r="BL532" s="136" t="s">
        <v>113</v>
      </c>
      <c r="BM532" s="136">
        <v>45231</v>
      </c>
      <c r="BN532" s="2" t="s">
        <v>1850</v>
      </c>
      <c r="BO532" s="2"/>
      <c r="BP532" s="136" t="s">
        <v>1814</v>
      </c>
      <c r="BQ532" s="137" t="s">
        <v>119</v>
      </c>
      <c r="BR532" s="138"/>
    </row>
    <row r="533" spans="1:70" ht="12.75" customHeight="1" x14ac:dyDescent="0.2">
      <c r="A533" s="2">
        <v>2022</v>
      </c>
      <c r="B533" s="2" t="s">
        <v>19</v>
      </c>
      <c r="C533" s="2" t="s">
        <v>21</v>
      </c>
      <c r="D533" s="2" t="s">
        <v>2043</v>
      </c>
      <c r="E533" s="2" t="s">
        <v>115</v>
      </c>
      <c r="F533" s="132">
        <v>7000</v>
      </c>
      <c r="G533" s="132" t="s">
        <v>3646</v>
      </c>
      <c r="H533" s="132">
        <v>2262</v>
      </c>
      <c r="I533" s="132">
        <f>H533</f>
        <v>2262</v>
      </c>
      <c r="J533" s="132">
        <f>345.05+1916.95</f>
        <v>2262</v>
      </c>
      <c r="K533" s="132">
        <f t="shared" si="56"/>
        <v>4738</v>
      </c>
      <c r="L533" s="132">
        <f t="shared" si="59"/>
        <v>0</v>
      </c>
      <c r="M533" s="133">
        <v>0</v>
      </c>
      <c r="N533" s="133">
        <f t="shared" si="55"/>
        <v>0</v>
      </c>
      <c r="O533" s="134">
        <v>0</v>
      </c>
      <c r="P533" s="133"/>
      <c r="Q533" s="2" t="s">
        <v>1841</v>
      </c>
      <c r="R533" s="156">
        <f t="shared" si="60"/>
        <v>0</v>
      </c>
      <c r="S533" s="156">
        <f t="shared" si="61"/>
        <v>0</v>
      </c>
      <c r="T533" s="133"/>
      <c r="U533" s="133"/>
      <c r="V533" s="133"/>
      <c r="W533" s="133"/>
      <c r="X533" s="133"/>
      <c r="Y533" s="133"/>
      <c r="Z533" s="133"/>
      <c r="AA533" s="133"/>
      <c r="AB533" s="133"/>
      <c r="AC533" s="133"/>
      <c r="AD533" s="133"/>
      <c r="AE533" s="133"/>
      <c r="AF533" s="133"/>
      <c r="AG533" s="133"/>
      <c r="AH533" s="133"/>
      <c r="AI533" s="133"/>
      <c r="AJ533" s="133"/>
      <c r="AK533" s="133"/>
      <c r="AL533" s="133"/>
      <c r="AM533" s="133"/>
      <c r="AN533" s="133"/>
      <c r="AO533" s="133"/>
      <c r="AP533" s="133"/>
      <c r="AQ533" s="133"/>
      <c r="AR533" s="133"/>
      <c r="AS533" s="153">
        <v>0</v>
      </c>
      <c r="AT533" s="153">
        <v>0</v>
      </c>
      <c r="AU533" s="153">
        <v>0</v>
      </c>
      <c r="AV533" s="135">
        <v>0</v>
      </c>
      <c r="AW533" s="135">
        <v>0</v>
      </c>
      <c r="AX533" s="135">
        <v>0</v>
      </c>
      <c r="AY533" s="135">
        <v>0</v>
      </c>
      <c r="AZ533" s="135">
        <v>0</v>
      </c>
      <c r="BA533" s="135">
        <f t="shared" si="62"/>
        <v>191.69491525423732</v>
      </c>
      <c r="BB533" s="135">
        <f t="shared" si="63"/>
        <v>0</v>
      </c>
      <c r="BC533" s="135"/>
      <c r="BD533" s="135"/>
      <c r="BE533" s="135">
        <f t="shared" si="58"/>
        <v>0</v>
      </c>
      <c r="BF533" s="135"/>
      <c r="BG533" s="135"/>
      <c r="BH533" s="135"/>
      <c r="BI533" s="2" t="s">
        <v>11</v>
      </c>
      <c r="BJ533" s="136">
        <v>45351</v>
      </c>
      <c r="BK533" s="2" t="s">
        <v>109</v>
      </c>
      <c r="BL533" s="136" t="s">
        <v>113</v>
      </c>
      <c r="BM533" s="136">
        <v>45231</v>
      </c>
      <c r="BN533" s="2" t="s">
        <v>1851</v>
      </c>
      <c r="BO533" s="2"/>
      <c r="BP533" s="136" t="s">
        <v>1814</v>
      </c>
      <c r="BQ533" s="137" t="s">
        <v>119</v>
      </c>
      <c r="BR533" s="138"/>
    </row>
    <row r="534" spans="1:70" ht="12.75" customHeight="1" x14ac:dyDescent="0.2">
      <c r="A534" s="2">
        <v>2023</v>
      </c>
      <c r="B534" s="2" t="s">
        <v>19</v>
      </c>
      <c r="C534" s="2" t="s">
        <v>20</v>
      </c>
      <c r="D534" s="2" t="s">
        <v>2050</v>
      </c>
      <c r="E534" s="2" t="s">
        <v>115</v>
      </c>
      <c r="F534" s="132">
        <v>7000</v>
      </c>
      <c r="G534" s="132" t="s">
        <v>3646</v>
      </c>
      <c r="H534" s="132">
        <v>13429</v>
      </c>
      <c r="I534" s="132">
        <f>H534</f>
        <v>13429</v>
      </c>
      <c r="J534" s="132">
        <f>2048.49+11380.51</f>
        <v>13429</v>
      </c>
      <c r="K534" s="132">
        <f t="shared" si="56"/>
        <v>-6429</v>
      </c>
      <c r="L534" s="132">
        <f t="shared" si="59"/>
        <v>0</v>
      </c>
      <c r="M534" s="133">
        <v>0</v>
      </c>
      <c r="N534" s="133">
        <f t="shared" si="55"/>
        <v>0</v>
      </c>
      <c r="O534" s="134">
        <v>0</v>
      </c>
      <c r="P534" s="133"/>
      <c r="Q534" s="2" t="s">
        <v>1842</v>
      </c>
      <c r="R534" s="156">
        <f t="shared" si="60"/>
        <v>0</v>
      </c>
      <c r="S534" s="156">
        <f t="shared" si="61"/>
        <v>0</v>
      </c>
      <c r="T534" s="133"/>
      <c r="U534" s="133"/>
      <c r="V534" s="133"/>
      <c r="W534" s="133"/>
      <c r="X534" s="133"/>
      <c r="Y534" s="133"/>
      <c r="Z534" s="133"/>
      <c r="AA534" s="133"/>
      <c r="AB534" s="133"/>
      <c r="AC534" s="133"/>
      <c r="AD534" s="133"/>
      <c r="AE534" s="133"/>
      <c r="AF534" s="133"/>
      <c r="AG534" s="133"/>
      <c r="AH534" s="133"/>
      <c r="AI534" s="133"/>
      <c r="AJ534" s="133"/>
      <c r="AK534" s="133"/>
      <c r="AL534" s="133"/>
      <c r="AM534" s="133"/>
      <c r="AN534" s="133"/>
      <c r="AO534" s="133"/>
      <c r="AP534" s="133"/>
      <c r="AQ534" s="133"/>
      <c r="AR534" s="133"/>
      <c r="AS534" s="153">
        <v>0</v>
      </c>
      <c r="AT534" s="153">
        <v>0</v>
      </c>
      <c r="AU534" s="153">
        <v>0</v>
      </c>
      <c r="AV534" s="135">
        <v>0</v>
      </c>
      <c r="AW534" s="135">
        <v>0</v>
      </c>
      <c r="AX534" s="135">
        <v>0</v>
      </c>
      <c r="AY534" s="135">
        <v>0</v>
      </c>
      <c r="AZ534" s="135">
        <v>0</v>
      </c>
      <c r="BA534" s="135">
        <f t="shared" si="62"/>
        <v>1138.0508474576272</v>
      </c>
      <c r="BB534" s="135">
        <f t="shared" si="63"/>
        <v>0</v>
      </c>
      <c r="BC534" s="135"/>
      <c r="BD534" s="135"/>
      <c r="BE534" s="135">
        <f t="shared" si="58"/>
        <v>0</v>
      </c>
      <c r="BF534" s="135"/>
      <c r="BG534" s="135"/>
      <c r="BH534" s="135"/>
      <c r="BI534" s="2" t="s">
        <v>11</v>
      </c>
      <c r="BJ534" s="136">
        <v>45351</v>
      </c>
      <c r="BK534" s="2" t="s">
        <v>109</v>
      </c>
      <c r="BL534" s="136" t="s">
        <v>113</v>
      </c>
      <c r="BM534" s="136">
        <v>45231</v>
      </c>
      <c r="BN534" s="2" t="s">
        <v>1852</v>
      </c>
      <c r="BO534" s="2"/>
      <c r="BP534" s="136" t="s">
        <v>1814</v>
      </c>
      <c r="BQ534" s="137" t="s">
        <v>119</v>
      </c>
      <c r="BR534" s="138"/>
    </row>
    <row r="535" spans="1:70" ht="12.75" customHeight="1" x14ac:dyDescent="0.2">
      <c r="A535" s="2">
        <v>2024</v>
      </c>
      <c r="B535" s="2" t="s">
        <v>137</v>
      </c>
      <c r="C535" s="2" t="s">
        <v>136</v>
      </c>
      <c r="D535" s="2" t="s">
        <v>3374</v>
      </c>
      <c r="E535" s="2" t="s">
        <v>1853</v>
      </c>
      <c r="F535" s="132">
        <v>6837.25</v>
      </c>
      <c r="G535" s="132"/>
      <c r="H535" s="132">
        <f>3907*1.75</f>
        <v>6837.25</v>
      </c>
      <c r="I535" s="132"/>
      <c r="J535" s="132">
        <v>6837.25</v>
      </c>
      <c r="K535" s="132">
        <f t="shared" si="56"/>
        <v>0</v>
      </c>
      <c r="L535" s="132">
        <f t="shared" si="59"/>
        <v>0</v>
      </c>
      <c r="M535" s="133"/>
      <c r="N535" s="133">
        <f t="shared" si="55"/>
        <v>0</v>
      </c>
      <c r="O535" s="134">
        <v>0</v>
      </c>
      <c r="P535" s="133"/>
      <c r="Q535" s="2" t="s">
        <v>3369</v>
      </c>
      <c r="R535" s="156">
        <f t="shared" si="60"/>
        <v>0</v>
      </c>
      <c r="S535" s="156">
        <f t="shared" si="61"/>
        <v>0</v>
      </c>
      <c r="T535" s="133"/>
      <c r="U535" s="133"/>
      <c r="V535" s="133"/>
      <c r="W535" s="133"/>
      <c r="X535" s="133"/>
      <c r="Y535" s="133"/>
      <c r="Z535" s="133"/>
      <c r="AA535" s="133"/>
      <c r="AB535" s="133"/>
      <c r="AC535" s="133"/>
      <c r="AD535" s="133"/>
      <c r="AE535" s="133"/>
      <c r="AF535" s="133"/>
      <c r="AG535" s="133"/>
      <c r="AH535" s="133"/>
      <c r="AI535" s="133"/>
      <c r="AJ535" s="133"/>
      <c r="AK535" s="133"/>
      <c r="AL535" s="133"/>
      <c r="AM535" s="133"/>
      <c r="AN535" s="133"/>
      <c r="AO535" s="133"/>
      <c r="AP535" s="133"/>
      <c r="AQ535" s="133"/>
      <c r="AR535" s="133"/>
      <c r="AS535" s="153">
        <v>0</v>
      </c>
      <c r="AT535" s="153">
        <v>0</v>
      </c>
      <c r="AU535" s="153">
        <v>0</v>
      </c>
      <c r="AV535" s="135"/>
      <c r="AW535" s="135"/>
      <c r="AX535" s="135"/>
      <c r="AY535" s="135"/>
      <c r="AZ535" s="135"/>
      <c r="BA535" s="135"/>
      <c r="BB535" s="135"/>
      <c r="BC535" s="135"/>
      <c r="BD535" s="135"/>
      <c r="BE535" s="135"/>
      <c r="BF535" s="135"/>
      <c r="BG535" s="135"/>
      <c r="BH535" s="135"/>
      <c r="BI535" s="2" t="s">
        <v>112</v>
      </c>
      <c r="BJ535" s="136">
        <v>45272</v>
      </c>
      <c r="BK535" s="2" t="s">
        <v>145</v>
      </c>
      <c r="BL535" s="136" t="s">
        <v>18</v>
      </c>
      <c r="BM535" s="136">
        <v>45184</v>
      </c>
      <c r="BN535" s="2" t="s">
        <v>1935</v>
      </c>
      <c r="BO535" s="2"/>
      <c r="BP535" s="136" t="s">
        <v>1876</v>
      </c>
      <c r="BQ535" s="137" t="s">
        <v>134</v>
      </c>
      <c r="BR535" s="138"/>
    </row>
    <row r="536" spans="1:70" ht="12.75" customHeight="1" x14ac:dyDescent="0.2">
      <c r="A536" s="2">
        <v>2025</v>
      </c>
      <c r="B536" s="2" t="s">
        <v>137</v>
      </c>
      <c r="C536" s="2" t="s">
        <v>136</v>
      </c>
      <c r="D536" s="2" t="s">
        <v>3373</v>
      </c>
      <c r="E536" s="2" t="s">
        <v>1853</v>
      </c>
      <c r="F536" s="132">
        <v>5911.5</v>
      </c>
      <c r="G536" s="132"/>
      <c r="H536" s="132">
        <f>3378*1.75</f>
        <v>5911.5</v>
      </c>
      <c r="I536" s="132"/>
      <c r="J536" s="132">
        <v>5911.5</v>
      </c>
      <c r="K536" s="132">
        <f t="shared" si="56"/>
        <v>0</v>
      </c>
      <c r="L536" s="132">
        <f t="shared" si="59"/>
        <v>0</v>
      </c>
      <c r="M536" s="133"/>
      <c r="N536" s="133">
        <f t="shared" si="55"/>
        <v>0</v>
      </c>
      <c r="O536" s="134">
        <v>0</v>
      </c>
      <c r="P536" s="133"/>
      <c r="Q536" s="2" t="s">
        <v>3368</v>
      </c>
      <c r="R536" s="156">
        <f t="shared" si="60"/>
        <v>0</v>
      </c>
      <c r="S536" s="156">
        <f t="shared" si="61"/>
        <v>0</v>
      </c>
      <c r="T536" s="133"/>
      <c r="U536" s="133"/>
      <c r="V536" s="133"/>
      <c r="W536" s="133"/>
      <c r="X536" s="133"/>
      <c r="Y536" s="133"/>
      <c r="Z536" s="133"/>
      <c r="AA536" s="133"/>
      <c r="AB536" s="133"/>
      <c r="AC536" s="133"/>
      <c r="AD536" s="133"/>
      <c r="AE536" s="133"/>
      <c r="AF536" s="133"/>
      <c r="AG536" s="133"/>
      <c r="AH536" s="133"/>
      <c r="AI536" s="133"/>
      <c r="AJ536" s="133"/>
      <c r="AK536" s="133"/>
      <c r="AL536" s="133"/>
      <c r="AM536" s="133"/>
      <c r="AN536" s="133"/>
      <c r="AO536" s="133"/>
      <c r="AP536" s="133"/>
      <c r="AQ536" s="133"/>
      <c r="AR536" s="133"/>
      <c r="AS536" s="153">
        <v>0</v>
      </c>
      <c r="AT536" s="153">
        <v>0</v>
      </c>
      <c r="AU536" s="153">
        <v>0</v>
      </c>
      <c r="AV536" s="135"/>
      <c r="AW536" s="135"/>
      <c r="AX536" s="135"/>
      <c r="AY536" s="135"/>
      <c r="AZ536" s="135"/>
      <c r="BA536" s="135"/>
      <c r="BB536" s="135"/>
      <c r="BC536" s="135"/>
      <c r="BD536" s="135"/>
      <c r="BE536" s="135"/>
      <c r="BF536" s="135"/>
      <c r="BG536" s="135"/>
      <c r="BH536" s="135"/>
      <c r="BI536" s="2" t="s">
        <v>112</v>
      </c>
      <c r="BJ536" s="136">
        <v>45272</v>
      </c>
      <c r="BK536" s="2" t="s">
        <v>145</v>
      </c>
      <c r="BL536" s="136" t="s">
        <v>18</v>
      </c>
      <c r="BM536" s="136">
        <v>45184</v>
      </c>
      <c r="BN536" s="2" t="s">
        <v>1934</v>
      </c>
      <c r="BO536" s="2"/>
      <c r="BP536" s="136" t="s">
        <v>1876</v>
      </c>
      <c r="BQ536" s="137" t="s">
        <v>134</v>
      </c>
      <c r="BR536" s="138"/>
    </row>
    <row r="537" spans="1:70" ht="12.75" customHeight="1" x14ac:dyDescent="0.2">
      <c r="A537" s="2">
        <v>2026</v>
      </c>
      <c r="B537" s="2" t="s">
        <v>31</v>
      </c>
      <c r="C537" s="2" t="s">
        <v>32</v>
      </c>
      <c r="D537" s="2" t="s">
        <v>1875</v>
      </c>
      <c r="E537" s="2" t="s">
        <v>71</v>
      </c>
      <c r="F537" s="132">
        <v>45689.919999999998</v>
      </c>
      <c r="G537" s="132"/>
      <c r="H537" s="132">
        <v>45689.919999999998</v>
      </c>
      <c r="I537" s="132">
        <v>0</v>
      </c>
      <c r="J537" s="132">
        <v>45689.919999999998</v>
      </c>
      <c r="K537" s="132">
        <f t="shared" si="56"/>
        <v>0</v>
      </c>
      <c r="L537" s="132">
        <f t="shared" si="59"/>
        <v>0</v>
      </c>
      <c r="M537" s="133">
        <v>0</v>
      </c>
      <c r="N537" s="133">
        <f t="shared" si="55"/>
        <v>0</v>
      </c>
      <c r="O537" s="134">
        <v>0</v>
      </c>
      <c r="P537" s="133"/>
      <c r="Q537" s="2" t="s">
        <v>1877</v>
      </c>
      <c r="R537" s="156">
        <f t="shared" si="60"/>
        <v>0</v>
      </c>
      <c r="S537" s="156">
        <f t="shared" si="61"/>
        <v>0</v>
      </c>
      <c r="T537" s="133"/>
      <c r="U537" s="133"/>
      <c r="V537" s="133"/>
      <c r="W537" s="133"/>
      <c r="X537" s="133"/>
      <c r="Y537" s="133"/>
      <c r="Z537" s="133"/>
      <c r="AA537" s="133"/>
      <c r="AB537" s="133"/>
      <c r="AC537" s="133"/>
      <c r="AD537" s="133"/>
      <c r="AE537" s="133"/>
      <c r="AF537" s="133"/>
      <c r="AG537" s="133"/>
      <c r="AH537" s="133"/>
      <c r="AI537" s="133"/>
      <c r="AJ537" s="133"/>
      <c r="AK537" s="133"/>
      <c r="AL537" s="133"/>
      <c r="AM537" s="133"/>
      <c r="AN537" s="133"/>
      <c r="AO537" s="133"/>
      <c r="AP537" s="133"/>
      <c r="AQ537" s="133"/>
      <c r="AR537" s="133"/>
      <c r="AS537" s="153">
        <v>0</v>
      </c>
      <c r="AT537" s="153">
        <v>0</v>
      </c>
      <c r="AU537" s="153">
        <v>0</v>
      </c>
      <c r="AV537" s="135">
        <v>0</v>
      </c>
      <c r="AW537" s="135">
        <v>0</v>
      </c>
      <c r="AX537" s="135">
        <v>0</v>
      </c>
      <c r="AY537" s="135"/>
      <c r="AZ537" s="135"/>
      <c r="BA537" s="135"/>
      <c r="BB537" s="135"/>
      <c r="BC537" s="135"/>
      <c r="BD537" s="135"/>
      <c r="BE537" s="135">
        <v>0</v>
      </c>
      <c r="BF537" s="135"/>
      <c r="BG537" s="135"/>
      <c r="BH537" s="135"/>
      <c r="BI537" s="2" t="s">
        <v>118</v>
      </c>
      <c r="BJ537" s="136">
        <v>45208</v>
      </c>
      <c r="BK537" s="2" t="s">
        <v>8</v>
      </c>
      <c r="BL537" s="136" t="s">
        <v>113</v>
      </c>
      <c r="BM537" s="136">
        <v>45187</v>
      </c>
      <c r="BN537" s="2" t="s">
        <v>1874</v>
      </c>
      <c r="BO537" s="2"/>
      <c r="BP537" s="136"/>
      <c r="BQ537" s="137" t="s">
        <v>134</v>
      </c>
      <c r="BR537" s="138"/>
    </row>
    <row r="538" spans="1:70" ht="12.75" customHeight="1" x14ac:dyDescent="0.2">
      <c r="A538" s="2">
        <v>2027</v>
      </c>
      <c r="B538" s="2" t="s">
        <v>55</v>
      </c>
      <c r="C538" s="2" t="s">
        <v>27</v>
      </c>
      <c r="D538" s="2" t="s">
        <v>1878</v>
      </c>
      <c r="E538" s="2" t="s">
        <v>115</v>
      </c>
      <c r="F538" s="132">
        <v>2492</v>
      </c>
      <c r="G538" s="132"/>
      <c r="H538" s="132">
        <v>2492</v>
      </c>
      <c r="I538" s="132"/>
      <c r="J538" s="132">
        <f>380.135+2111.865</f>
        <v>2492</v>
      </c>
      <c r="K538" s="132">
        <f t="shared" si="56"/>
        <v>0</v>
      </c>
      <c r="L538" s="132">
        <f t="shared" si="59"/>
        <v>0</v>
      </c>
      <c r="M538" s="133">
        <v>0</v>
      </c>
      <c r="N538" s="133">
        <f t="shared" si="55"/>
        <v>0</v>
      </c>
      <c r="O538" s="134">
        <v>0</v>
      </c>
      <c r="P538" s="133"/>
      <c r="Q538" s="2"/>
      <c r="R538" s="156">
        <f t="shared" si="60"/>
        <v>0</v>
      </c>
      <c r="S538" s="156">
        <f t="shared" si="61"/>
        <v>0</v>
      </c>
      <c r="T538" s="133"/>
      <c r="U538" s="133"/>
      <c r="V538" s="133"/>
      <c r="W538" s="133"/>
      <c r="X538" s="133"/>
      <c r="Y538" s="133"/>
      <c r="Z538" s="133"/>
      <c r="AA538" s="133"/>
      <c r="AB538" s="133"/>
      <c r="AC538" s="133"/>
      <c r="AD538" s="133"/>
      <c r="AE538" s="133"/>
      <c r="AF538" s="133"/>
      <c r="AG538" s="133"/>
      <c r="AH538" s="133"/>
      <c r="AI538" s="133"/>
      <c r="AJ538" s="133"/>
      <c r="AK538" s="133"/>
      <c r="AL538" s="133"/>
      <c r="AM538" s="133"/>
      <c r="AN538" s="133"/>
      <c r="AO538" s="133"/>
      <c r="AP538" s="133"/>
      <c r="AQ538" s="133"/>
      <c r="AR538" s="133"/>
      <c r="AS538" s="153">
        <v>0</v>
      </c>
      <c r="AT538" s="153">
        <v>0</v>
      </c>
      <c r="AU538" s="153">
        <v>0</v>
      </c>
      <c r="AV538" s="135">
        <v>0</v>
      </c>
      <c r="AW538" s="135">
        <v>0</v>
      </c>
      <c r="AX538" s="135">
        <v>0</v>
      </c>
      <c r="AY538" s="135"/>
      <c r="AZ538" s="135"/>
      <c r="BA538" s="135"/>
      <c r="BB538" s="135"/>
      <c r="BC538" s="135"/>
      <c r="BD538" s="135"/>
      <c r="BE538" s="135"/>
      <c r="BF538" s="135"/>
      <c r="BG538" s="135"/>
      <c r="BH538" s="135"/>
      <c r="BI538" s="2" t="s">
        <v>118</v>
      </c>
      <c r="BJ538" s="136">
        <v>45258</v>
      </c>
      <c r="BK538" s="2" t="s">
        <v>8</v>
      </c>
      <c r="BL538" s="136" t="s">
        <v>113</v>
      </c>
      <c r="BM538" s="136">
        <v>45197</v>
      </c>
      <c r="BN538" s="2" t="s">
        <v>1880</v>
      </c>
      <c r="BO538" s="2"/>
      <c r="BP538" s="136"/>
      <c r="BQ538" s="137" t="s">
        <v>134</v>
      </c>
      <c r="BR538" s="138"/>
    </row>
    <row r="539" spans="1:70" ht="12.75" customHeight="1" x14ac:dyDescent="0.2">
      <c r="A539" s="2">
        <v>2028</v>
      </c>
      <c r="B539" s="2" t="s">
        <v>55</v>
      </c>
      <c r="C539" s="2" t="s">
        <v>27</v>
      </c>
      <c r="D539" s="2" t="s">
        <v>1881</v>
      </c>
      <c r="E539" s="2" t="s">
        <v>115</v>
      </c>
      <c r="F539" s="132">
        <v>2486</v>
      </c>
      <c r="G539" s="132"/>
      <c r="H539" s="132">
        <v>2486</v>
      </c>
      <c r="I539" s="132"/>
      <c r="J539" s="132">
        <f>379.22+2106.78</f>
        <v>2486</v>
      </c>
      <c r="K539" s="132">
        <f t="shared" si="56"/>
        <v>0</v>
      </c>
      <c r="L539" s="132">
        <f t="shared" si="59"/>
        <v>0</v>
      </c>
      <c r="M539" s="133">
        <v>0</v>
      </c>
      <c r="N539" s="133">
        <f t="shared" si="55"/>
        <v>0</v>
      </c>
      <c r="O539" s="134">
        <v>0</v>
      </c>
      <c r="P539" s="133"/>
      <c r="Q539" s="2"/>
      <c r="R539" s="156">
        <f t="shared" si="60"/>
        <v>0</v>
      </c>
      <c r="S539" s="156">
        <f t="shared" si="61"/>
        <v>0</v>
      </c>
      <c r="T539" s="133"/>
      <c r="U539" s="133"/>
      <c r="V539" s="133"/>
      <c r="W539" s="133"/>
      <c r="X539" s="133"/>
      <c r="Y539" s="133"/>
      <c r="Z539" s="133"/>
      <c r="AA539" s="133"/>
      <c r="AB539" s="133"/>
      <c r="AC539" s="133"/>
      <c r="AD539" s="133"/>
      <c r="AE539" s="133"/>
      <c r="AF539" s="133"/>
      <c r="AG539" s="133"/>
      <c r="AH539" s="133"/>
      <c r="AI539" s="133"/>
      <c r="AJ539" s="133"/>
      <c r="AK539" s="133"/>
      <c r="AL539" s="133"/>
      <c r="AM539" s="133"/>
      <c r="AN539" s="133"/>
      <c r="AO539" s="133"/>
      <c r="AP539" s="133"/>
      <c r="AQ539" s="133"/>
      <c r="AR539" s="133"/>
      <c r="AS539" s="153">
        <v>0</v>
      </c>
      <c r="AT539" s="153">
        <v>0</v>
      </c>
      <c r="AU539" s="153">
        <v>0</v>
      </c>
      <c r="AV539" s="135">
        <v>0</v>
      </c>
      <c r="AW539" s="135">
        <v>0</v>
      </c>
      <c r="AX539" s="135">
        <v>0</v>
      </c>
      <c r="AY539" s="135"/>
      <c r="AZ539" s="135"/>
      <c r="BA539" s="135"/>
      <c r="BB539" s="135"/>
      <c r="BC539" s="135"/>
      <c r="BD539" s="135"/>
      <c r="BE539" s="135"/>
      <c r="BF539" s="135"/>
      <c r="BG539" s="135"/>
      <c r="BH539" s="135"/>
      <c r="BI539" s="2" t="s">
        <v>118</v>
      </c>
      <c r="BJ539" s="136">
        <v>45258</v>
      </c>
      <c r="BK539" s="2" t="s">
        <v>8</v>
      </c>
      <c r="BL539" s="136" t="s">
        <v>113</v>
      </c>
      <c r="BM539" s="136">
        <v>45197</v>
      </c>
      <c r="BN539" s="2" t="s">
        <v>1879</v>
      </c>
      <c r="BO539" s="2"/>
      <c r="BP539" s="136"/>
      <c r="BQ539" s="137" t="s">
        <v>134</v>
      </c>
      <c r="BR539" s="138"/>
    </row>
    <row r="540" spans="1:70" ht="12.75" customHeight="1" x14ac:dyDescent="0.2">
      <c r="A540" s="2">
        <v>2029</v>
      </c>
      <c r="B540" s="2" t="s">
        <v>100</v>
      </c>
      <c r="C540" s="2" t="s">
        <v>95</v>
      </c>
      <c r="D540" s="2" t="s">
        <v>1937</v>
      </c>
      <c r="E540" s="2" t="s">
        <v>1853</v>
      </c>
      <c r="F540" s="132">
        <v>6928.25</v>
      </c>
      <c r="G540" s="132"/>
      <c r="H540" s="132">
        <f>3959*1.75</f>
        <v>6928.25</v>
      </c>
      <c r="I540" s="132"/>
      <c r="J540" s="132">
        <v>6928.25</v>
      </c>
      <c r="K540" s="132">
        <f t="shared" si="56"/>
        <v>0</v>
      </c>
      <c r="L540" s="132">
        <f t="shared" si="59"/>
        <v>0</v>
      </c>
      <c r="M540" s="133"/>
      <c r="N540" s="133">
        <f t="shared" si="55"/>
        <v>0</v>
      </c>
      <c r="O540" s="134">
        <v>0</v>
      </c>
      <c r="P540" s="133"/>
      <c r="Q540" s="2" t="s">
        <v>2056</v>
      </c>
      <c r="R540" s="156">
        <f t="shared" si="60"/>
        <v>0</v>
      </c>
      <c r="S540" s="156">
        <f t="shared" si="61"/>
        <v>0</v>
      </c>
      <c r="T540" s="133"/>
      <c r="U540" s="133"/>
      <c r="V540" s="133"/>
      <c r="W540" s="133"/>
      <c r="X540" s="133"/>
      <c r="Y540" s="133"/>
      <c r="Z540" s="133"/>
      <c r="AA540" s="133"/>
      <c r="AB540" s="133"/>
      <c r="AC540" s="133"/>
      <c r="AD540" s="133"/>
      <c r="AE540" s="133"/>
      <c r="AF540" s="133"/>
      <c r="AG540" s="133"/>
      <c r="AH540" s="133"/>
      <c r="AI540" s="133"/>
      <c r="AJ540" s="133"/>
      <c r="AK540" s="133"/>
      <c r="AL540" s="133"/>
      <c r="AM540" s="133"/>
      <c r="AN540" s="133"/>
      <c r="AO540" s="133"/>
      <c r="AP540" s="133"/>
      <c r="AQ540" s="133"/>
      <c r="AR540" s="133"/>
      <c r="AS540" s="153">
        <v>0</v>
      </c>
      <c r="AT540" s="153">
        <v>0</v>
      </c>
      <c r="AU540" s="153">
        <v>0</v>
      </c>
      <c r="AV540" s="135"/>
      <c r="AW540" s="135"/>
      <c r="AX540" s="135"/>
      <c r="AY540" s="135"/>
      <c r="AZ540" s="135"/>
      <c r="BA540" s="135"/>
      <c r="BB540" s="135"/>
      <c r="BC540" s="135"/>
      <c r="BD540" s="135"/>
      <c r="BE540" s="135"/>
      <c r="BF540" s="135"/>
      <c r="BG540" s="135"/>
      <c r="BH540" s="135"/>
      <c r="BI540" s="2" t="s">
        <v>112</v>
      </c>
      <c r="BJ540" s="136">
        <v>45279</v>
      </c>
      <c r="BK540" s="2" t="s">
        <v>145</v>
      </c>
      <c r="BL540" s="136" t="s">
        <v>18</v>
      </c>
      <c r="BM540" s="136">
        <v>45184</v>
      </c>
      <c r="BN540" s="2" t="s">
        <v>1936</v>
      </c>
      <c r="BO540" s="2"/>
      <c r="BP540" s="136" t="s">
        <v>1876</v>
      </c>
      <c r="BQ540" s="137" t="s">
        <v>134</v>
      </c>
      <c r="BR540" s="138"/>
    </row>
    <row r="541" spans="1:70" ht="12.75" customHeight="1" x14ac:dyDescent="0.2">
      <c r="A541" s="2">
        <v>2030</v>
      </c>
      <c r="B541" s="2" t="s">
        <v>28</v>
      </c>
      <c r="C541" s="2" t="s">
        <v>88</v>
      </c>
      <c r="D541" s="2" t="s">
        <v>1967</v>
      </c>
      <c r="E541" s="2" t="s">
        <v>87</v>
      </c>
      <c r="F541" s="132">
        <v>302787</v>
      </c>
      <c r="G541" s="132"/>
      <c r="H541" s="132">
        <v>302787</v>
      </c>
      <c r="I541" s="132"/>
      <c r="J541" s="132">
        <v>302787</v>
      </c>
      <c r="K541" s="132">
        <f t="shared" si="56"/>
        <v>0</v>
      </c>
      <c r="L541" s="132">
        <f t="shared" si="59"/>
        <v>0</v>
      </c>
      <c r="M541" s="133">
        <v>0</v>
      </c>
      <c r="N541" s="133">
        <f t="shared" si="55"/>
        <v>0</v>
      </c>
      <c r="O541" s="134">
        <v>0</v>
      </c>
      <c r="P541" s="133"/>
      <c r="Q541" s="2"/>
      <c r="R541" s="156">
        <f t="shared" si="60"/>
        <v>0</v>
      </c>
      <c r="S541" s="156">
        <f t="shared" si="61"/>
        <v>0</v>
      </c>
      <c r="T541" s="133"/>
      <c r="U541" s="133"/>
      <c r="V541" s="133"/>
      <c r="W541" s="133"/>
      <c r="X541" s="133"/>
      <c r="Y541" s="133"/>
      <c r="Z541" s="133"/>
      <c r="AA541" s="133"/>
      <c r="AB541" s="133"/>
      <c r="AC541" s="133"/>
      <c r="AD541" s="133"/>
      <c r="AE541" s="133"/>
      <c r="AF541" s="133"/>
      <c r="AG541" s="133"/>
      <c r="AH541" s="133"/>
      <c r="AI541" s="133"/>
      <c r="AJ541" s="133"/>
      <c r="AK541" s="133"/>
      <c r="AL541" s="133"/>
      <c r="AM541" s="133"/>
      <c r="AN541" s="133"/>
      <c r="AO541" s="133"/>
      <c r="AP541" s="133"/>
      <c r="AQ541" s="133"/>
      <c r="AR541" s="133"/>
      <c r="AS541" s="153">
        <v>0</v>
      </c>
      <c r="AT541" s="153">
        <v>0</v>
      </c>
      <c r="AU541" s="153">
        <v>0</v>
      </c>
      <c r="AV541" s="135">
        <v>0</v>
      </c>
      <c r="AW541" s="135">
        <v>0</v>
      </c>
      <c r="AX541" s="135">
        <v>0</v>
      </c>
      <c r="AY541" s="135"/>
      <c r="AZ541" s="135"/>
      <c r="BA541" s="135"/>
      <c r="BB541" s="135"/>
      <c r="BC541" s="135"/>
      <c r="BD541" s="135"/>
      <c r="BE541" s="135"/>
      <c r="BF541" s="135"/>
      <c r="BG541" s="135"/>
      <c r="BH541" s="135"/>
      <c r="BI541" s="2" t="s">
        <v>118</v>
      </c>
      <c r="BJ541" s="136">
        <v>45288</v>
      </c>
      <c r="BK541" s="2" t="s">
        <v>8</v>
      </c>
      <c r="BL541" s="136" t="s">
        <v>18</v>
      </c>
      <c r="BM541" s="136">
        <v>44837</v>
      </c>
      <c r="BN541" s="2" t="s">
        <v>1968</v>
      </c>
      <c r="BO541" s="2"/>
      <c r="BP541" s="136"/>
      <c r="BQ541" s="137" t="s">
        <v>134</v>
      </c>
      <c r="BR541" s="138"/>
    </row>
    <row r="542" spans="1:70" ht="12.75" customHeight="1" x14ac:dyDescent="0.2">
      <c r="A542" s="2">
        <v>2031</v>
      </c>
      <c r="B542" s="2" t="s">
        <v>28</v>
      </c>
      <c r="C542" s="2" t="s">
        <v>91</v>
      </c>
      <c r="D542" s="2" t="s">
        <v>1969</v>
      </c>
      <c r="E542" s="2" t="s">
        <v>105</v>
      </c>
      <c r="F542" s="132">
        <v>1000000</v>
      </c>
      <c r="G542" s="132">
        <v>2</v>
      </c>
      <c r="H542" s="132">
        <f>850000+3200+R542</f>
        <v>2109481.23</v>
      </c>
      <c r="I542" s="132">
        <f>850000</f>
        <v>850000</v>
      </c>
      <c r="J542" s="132">
        <f>850000+488.135+S542+BC542</f>
        <v>2109480.665</v>
      </c>
      <c r="K542" s="132">
        <f t="shared" si="56"/>
        <v>-1109480.665</v>
      </c>
      <c r="L542" s="132">
        <f t="shared" si="59"/>
        <v>0.56499999994412065</v>
      </c>
      <c r="M542" s="133">
        <v>31627.25</v>
      </c>
      <c r="N542" s="133">
        <f t="shared" si="55"/>
        <v>0.56499999994412065</v>
      </c>
      <c r="O542" s="134">
        <v>1</v>
      </c>
      <c r="P542" s="133"/>
      <c r="Q542" s="2" t="s">
        <v>765</v>
      </c>
      <c r="R542" s="156">
        <f t="shared" si="60"/>
        <v>1256281.23</v>
      </c>
      <c r="S542" s="156">
        <f t="shared" si="61"/>
        <v>747806.09</v>
      </c>
      <c r="T542" s="133"/>
      <c r="U542" s="133"/>
      <c r="V542" s="133"/>
      <c r="W542" s="133"/>
      <c r="X542" s="133">
        <v>600000</v>
      </c>
      <c r="Y542" s="133"/>
      <c r="Z542" s="133"/>
      <c r="AA542" s="133">
        <f>91524.86+N("გადაირიცხა პირდაპირ")</f>
        <v>91524.86</v>
      </c>
      <c r="AB542" s="133"/>
      <c r="AC542" s="133"/>
      <c r="AD542" s="133"/>
      <c r="AE542" s="133"/>
      <c r="AF542" s="133"/>
      <c r="AG542" s="133"/>
      <c r="AH542" s="133"/>
      <c r="AI542" s="133"/>
      <c r="AJ542" s="133">
        <f>500000+156281.23</f>
        <v>656281.23</v>
      </c>
      <c r="AK542" s="133">
        <v>656281.23</v>
      </c>
      <c r="AL542" s="133"/>
      <c r="AM542" s="133"/>
      <c r="AN542" s="133"/>
      <c r="AO542" s="133"/>
      <c r="AP542" s="133"/>
      <c r="AQ542" s="133"/>
      <c r="AR542" s="133"/>
      <c r="AS542" s="153">
        <v>0</v>
      </c>
      <c r="AT542" s="153">
        <v>0</v>
      </c>
      <c r="AU542" s="153">
        <v>0</v>
      </c>
      <c r="AV542" s="135">
        <v>0</v>
      </c>
      <c r="AW542" s="135"/>
      <c r="AX542" s="135"/>
      <c r="AY542" s="135"/>
      <c r="AZ542" s="135"/>
      <c r="BA542" s="135"/>
      <c r="BB542" s="135"/>
      <c r="BC542" s="135">
        <f>508474.58+2711.86</f>
        <v>511186.44</v>
      </c>
      <c r="BD542" s="135">
        <f>75574.65+403.06</f>
        <v>75977.709999999992</v>
      </c>
      <c r="BE542" s="135"/>
      <c r="BF542" s="135"/>
      <c r="BG542" s="135"/>
      <c r="BH542" s="135"/>
      <c r="BI542" s="2" t="s">
        <v>11</v>
      </c>
      <c r="BJ542" s="136">
        <v>45930</v>
      </c>
      <c r="BK542" s="2" t="s">
        <v>109</v>
      </c>
      <c r="BL542" s="136" t="s">
        <v>18</v>
      </c>
      <c r="BM542" s="136">
        <v>45114</v>
      </c>
      <c r="BN542" s="2" t="s">
        <v>1970</v>
      </c>
      <c r="BO542" s="2"/>
      <c r="BP542" s="136"/>
      <c r="BQ542" s="137" t="s">
        <v>119</v>
      </c>
      <c r="BR542" s="138"/>
    </row>
    <row r="543" spans="1:70" ht="12.75" customHeight="1" x14ac:dyDescent="0.2">
      <c r="A543" s="2">
        <v>2032</v>
      </c>
      <c r="B543" s="2" t="s">
        <v>100</v>
      </c>
      <c r="C543" s="2" t="s">
        <v>95</v>
      </c>
      <c r="D543" s="2" t="s">
        <v>2057</v>
      </c>
      <c r="E543" s="2" t="s">
        <v>105</v>
      </c>
      <c r="F543" s="132">
        <v>300000</v>
      </c>
      <c r="G543" s="132">
        <v>2</v>
      </c>
      <c r="H543" s="132">
        <v>212783.98</v>
      </c>
      <c r="I543" s="132">
        <f>H543</f>
        <v>212783.98</v>
      </c>
      <c r="J543" s="132">
        <v>212783.98</v>
      </c>
      <c r="K543" s="132">
        <f t="shared" si="56"/>
        <v>87216.01999999999</v>
      </c>
      <c r="L543" s="132">
        <f t="shared" si="59"/>
        <v>0</v>
      </c>
      <c r="M543" s="133">
        <v>2994.3</v>
      </c>
      <c r="N543" s="133">
        <f t="shared" si="55"/>
        <v>0</v>
      </c>
      <c r="O543" s="134">
        <v>0</v>
      </c>
      <c r="P543" s="133"/>
      <c r="Q543" s="2" t="s">
        <v>2056</v>
      </c>
      <c r="R543" s="156">
        <f t="shared" si="60"/>
        <v>0</v>
      </c>
      <c r="S543" s="156">
        <f t="shared" si="61"/>
        <v>0</v>
      </c>
      <c r="T543" s="133"/>
      <c r="U543" s="133"/>
      <c r="V543" s="133"/>
      <c r="W543" s="133"/>
      <c r="X543" s="133"/>
      <c r="Y543" s="133"/>
      <c r="Z543" s="133"/>
      <c r="AA543" s="133"/>
      <c r="AB543" s="133"/>
      <c r="AC543" s="133"/>
      <c r="AD543" s="133"/>
      <c r="AE543" s="133"/>
      <c r="AF543" s="133"/>
      <c r="AG543" s="133"/>
      <c r="AH543" s="133"/>
      <c r="AI543" s="133"/>
      <c r="AJ543" s="133"/>
      <c r="AK543" s="133"/>
      <c r="AL543" s="133"/>
      <c r="AM543" s="133"/>
      <c r="AN543" s="133"/>
      <c r="AO543" s="133"/>
      <c r="AP543" s="133"/>
      <c r="AQ543" s="133"/>
      <c r="AR543" s="133"/>
      <c r="AS543" s="153">
        <v>0</v>
      </c>
      <c r="AT543" s="153">
        <v>0</v>
      </c>
      <c r="AU543" s="153">
        <v>0</v>
      </c>
      <c r="AV543" s="135"/>
      <c r="AW543" s="135"/>
      <c r="AX543" s="135"/>
      <c r="AY543" s="135"/>
      <c r="AZ543" s="135"/>
      <c r="BA543" s="135">
        <f>IF(BK543="Принят",(H543/1.18-AW543)*0.1,H543/1.18*0.8*0.1)</f>
        <v>18032.540677966106</v>
      </c>
      <c r="BB543" s="135">
        <f>(H543/1.18-AT543-AW543-AZ543)*0.1-BA543</f>
        <v>0</v>
      </c>
      <c r="BC543" s="135"/>
      <c r="BD543" s="135"/>
      <c r="BE543" s="135">
        <f>(H543/1.18-AT543-AW543-AZ543-BD543)*0.1-AU543-AX543-BA543-BB543</f>
        <v>0</v>
      </c>
      <c r="BF543" s="135"/>
      <c r="BG543" s="135"/>
      <c r="BH543" s="135"/>
      <c r="BI543" s="2" t="s">
        <v>10</v>
      </c>
      <c r="BJ543" s="136">
        <v>45351</v>
      </c>
      <c r="BK543" s="2" t="s">
        <v>109</v>
      </c>
      <c r="BL543" s="136" t="s">
        <v>18</v>
      </c>
      <c r="BM543" s="136">
        <v>45114</v>
      </c>
      <c r="BN543" s="2" t="s">
        <v>1974</v>
      </c>
      <c r="BO543" s="2"/>
      <c r="BP543" s="136" t="s">
        <v>616</v>
      </c>
      <c r="BQ543" s="137" t="s">
        <v>119</v>
      </c>
      <c r="BR543" s="138"/>
    </row>
    <row r="544" spans="1:70" ht="12.75" customHeight="1" x14ac:dyDescent="0.2">
      <c r="A544" s="2">
        <v>2033</v>
      </c>
      <c r="B544" s="2" t="s">
        <v>137</v>
      </c>
      <c r="C544" s="2" t="s">
        <v>136</v>
      </c>
      <c r="D544" s="2" t="s">
        <v>3371</v>
      </c>
      <c r="E544" s="2" t="s">
        <v>105</v>
      </c>
      <c r="F544" s="132">
        <v>300000</v>
      </c>
      <c r="G544" s="132">
        <v>2</v>
      </c>
      <c r="H544" s="132">
        <f>140000+21884.47</f>
        <v>161884.47</v>
      </c>
      <c r="I544" s="132">
        <f>140000+21884.47</f>
        <v>161884.47</v>
      </c>
      <c r="J544" s="132">
        <f>140000+N("გადაირიცხა პირდაპირ")+21884.47</f>
        <v>161884.47</v>
      </c>
      <c r="K544" s="132">
        <f t="shared" si="56"/>
        <v>138115.53</v>
      </c>
      <c r="L544" s="132">
        <f t="shared" si="59"/>
        <v>0</v>
      </c>
      <c r="M544" s="133">
        <v>3150</v>
      </c>
      <c r="N544" s="133">
        <f t="shared" si="55"/>
        <v>0</v>
      </c>
      <c r="O544" s="134">
        <v>0</v>
      </c>
      <c r="P544" s="133"/>
      <c r="Q544" s="2" t="s">
        <v>3368</v>
      </c>
      <c r="R544" s="156">
        <f t="shared" si="60"/>
        <v>0</v>
      </c>
      <c r="S544" s="156">
        <f t="shared" si="61"/>
        <v>0</v>
      </c>
      <c r="T544" s="133"/>
      <c r="U544" s="133"/>
      <c r="V544" s="133"/>
      <c r="W544" s="133"/>
      <c r="X544" s="133"/>
      <c r="Y544" s="133"/>
      <c r="Z544" s="133"/>
      <c r="AA544" s="133"/>
      <c r="AB544" s="133"/>
      <c r="AC544" s="133"/>
      <c r="AD544" s="133"/>
      <c r="AE544" s="133"/>
      <c r="AF544" s="133"/>
      <c r="AG544" s="133"/>
      <c r="AH544" s="133"/>
      <c r="AI544" s="133"/>
      <c r="AJ544" s="133"/>
      <c r="AK544" s="133"/>
      <c r="AL544" s="133"/>
      <c r="AM544" s="133"/>
      <c r="AN544" s="133"/>
      <c r="AO544" s="133"/>
      <c r="AP544" s="133"/>
      <c r="AQ544" s="133"/>
      <c r="AR544" s="133"/>
      <c r="AS544" s="153">
        <v>0</v>
      </c>
      <c r="AT544" s="153">
        <v>0</v>
      </c>
      <c r="AU544" s="153">
        <v>0</v>
      </c>
      <c r="AV544" s="135"/>
      <c r="AW544" s="135"/>
      <c r="AX544" s="135"/>
      <c r="AY544" s="135"/>
      <c r="AZ544" s="135"/>
      <c r="BA544" s="135">
        <v>0</v>
      </c>
      <c r="BB544" s="140">
        <f>(H544/1.18-AT544-AW544-AZ544)*0.1-BA544</f>
        <v>13719.022881355935</v>
      </c>
      <c r="BC544" s="135"/>
      <c r="BD544" s="135"/>
      <c r="BE544" s="135">
        <f>(H544/1.18-AT544-AW544-AZ544-BD544)*0.1-AU544-AX544-BA544-BB544</f>
        <v>0</v>
      </c>
      <c r="BF544" s="135"/>
      <c r="BG544" s="135"/>
      <c r="BH544" s="135"/>
      <c r="BI544" s="2" t="s">
        <v>10</v>
      </c>
      <c r="BJ544" s="136">
        <v>45504</v>
      </c>
      <c r="BK544" s="2" t="s">
        <v>8</v>
      </c>
      <c r="BL544" s="136" t="s">
        <v>18</v>
      </c>
      <c r="BM544" s="136">
        <v>44931</v>
      </c>
      <c r="BN544" s="2" t="s">
        <v>1975</v>
      </c>
      <c r="BO544" s="2"/>
      <c r="BP544" s="136" t="s">
        <v>3381</v>
      </c>
      <c r="BQ544" s="137" t="s">
        <v>119</v>
      </c>
      <c r="BR544" s="138"/>
    </row>
    <row r="545" spans="1:70" ht="12.75" customHeight="1" x14ac:dyDescent="0.2">
      <c r="A545" s="2">
        <v>2034</v>
      </c>
      <c r="B545" s="2" t="s">
        <v>137</v>
      </c>
      <c r="C545" s="2" t="s">
        <v>136</v>
      </c>
      <c r="D545" s="2" t="s">
        <v>3372</v>
      </c>
      <c r="E545" s="2" t="s">
        <v>105</v>
      </c>
      <c r="F545" s="132">
        <v>300000</v>
      </c>
      <c r="G545" s="132">
        <v>2</v>
      </c>
      <c r="H545" s="132">
        <f>160000+33543.865</f>
        <v>193543.86499999999</v>
      </c>
      <c r="I545" s="132">
        <f>160000+33543.865</f>
        <v>193543.86499999999</v>
      </c>
      <c r="J545" s="132">
        <f>160000+N("გადაირიცხა პირდაპირ")+33543.865</f>
        <v>193543.86499999999</v>
      </c>
      <c r="K545" s="132">
        <f t="shared" si="56"/>
        <v>106456.13500000001</v>
      </c>
      <c r="L545" s="132">
        <f t="shared" si="59"/>
        <v>0</v>
      </c>
      <c r="M545" s="133">
        <v>3647</v>
      </c>
      <c r="N545" s="133">
        <f t="shared" si="55"/>
        <v>0</v>
      </c>
      <c r="O545" s="134">
        <v>0</v>
      </c>
      <c r="P545" s="133"/>
      <c r="Q545" s="2" t="s">
        <v>3369</v>
      </c>
      <c r="R545" s="156">
        <f t="shared" si="60"/>
        <v>0</v>
      </c>
      <c r="S545" s="156">
        <f t="shared" si="61"/>
        <v>0</v>
      </c>
      <c r="T545" s="133"/>
      <c r="U545" s="133"/>
      <c r="V545" s="133"/>
      <c r="W545" s="133"/>
      <c r="X545" s="133"/>
      <c r="Y545" s="133"/>
      <c r="Z545" s="133"/>
      <c r="AA545" s="133"/>
      <c r="AB545" s="133"/>
      <c r="AC545" s="133"/>
      <c r="AD545" s="133"/>
      <c r="AE545" s="133"/>
      <c r="AF545" s="133"/>
      <c r="AG545" s="133"/>
      <c r="AH545" s="133"/>
      <c r="AI545" s="133"/>
      <c r="AJ545" s="133"/>
      <c r="AK545" s="133"/>
      <c r="AL545" s="133"/>
      <c r="AM545" s="133"/>
      <c r="AN545" s="133"/>
      <c r="AO545" s="133"/>
      <c r="AP545" s="133"/>
      <c r="AQ545" s="133"/>
      <c r="AR545" s="133"/>
      <c r="AS545" s="153">
        <v>0</v>
      </c>
      <c r="AT545" s="153">
        <v>0</v>
      </c>
      <c r="AU545" s="153">
        <v>0</v>
      </c>
      <c r="AV545" s="135">
        <v>0</v>
      </c>
      <c r="AW545" s="135">
        <v>0</v>
      </c>
      <c r="AX545" s="135"/>
      <c r="AY545" s="135">
        <v>0</v>
      </c>
      <c r="AZ545" s="135">
        <v>0</v>
      </c>
      <c r="BA545" s="135">
        <v>0</v>
      </c>
      <c r="BB545" s="140">
        <f>(H545/1.18-AT545-AW545-AZ545)*0.1-BA545</f>
        <v>16402.022457627121</v>
      </c>
      <c r="BC545" s="135"/>
      <c r="BD545" s="135"/>
      <c r="BE545" s="135">
        <f>(H545/1.18-AT545-AW545-AZ545-BD545)*0.1-AU545-AX545-BA545-BB545</f>
        <v>0</v>
      </c>
      <c r="BF545" s="135"/>
      <c r="BG545" s="135"/>
      <c r="BH545" s="135"/>
      <c r="BI545" s="2" t="s">
        <v>10</v>
      </c>
      <c r="BJ545" s="136">
        <v>45504</v>
      </c>
      <c r="BK545" s="2" t="s">
        <v>8</v>
      </c>
      <c r="BL545" s="136" t="s">
        <v>18</v>
      </c>
      <c r="BM545" s="136">
        <v>44931</v>
      </c>
      <c r="BN545" s="2" t="s">
        <v>1976</v>
      </c>
      <c r="BO545" s="2"/>
      <c r="BP545" s="136" t="s">
        <v>3381</v>
      </c>
      <c r="BQ545" s="137" t="s">
        <v>119</v>
      </c>
      <c r="BR545" s="138"/>
    </row>
    <row r="546" spans="1:70" ht="12.75" customHeight="1" x14ac:dyDescent="0.2">
      <c r="A546" s="2">
        <v>2035</v>
      </c>
      <c r="B546" s="2" t="s">
        <v>28</v>
      </c>
      <c r="C546" s="2" t="s">
        <v>92</v>
      </c>
      <c r="D546" s="2" t="s">
        <v>1987</v>
      </c>
      <c r="E546" s="2" t="s">
        <v>117</v>
      </c>
      <c r="F546" s="132">
        <v>2467.5</v>
      </c>
      <c r="G546" s="132"/>
      <c r="H546" s="132">
        <f>1410*1.75</f>
        <v>2467.5</v>
      </c>
      <c r="I546" s="132"/>
      <c r="J546" s="132">
        <v>2467.5</v>
      </c>
      <c r="K546" s="132">
        <f t="shared" si="56"/>
        <v>0</v>
      </c>
      <c r="L546" s="132">
        <f t="shared" si="59"/>
        <v>0</v>
      </c>
      <c r="M546" s="133"/>
      <c r="N546" s="133">
        <f t="shared" si="55"/>
        <v>0</v>
      </c>
      <c r="O546" s="134">
        <v>0</v>
      </c>
      <c r="P546" s="133"/>
      <c r="Q546" s="2" t="s">
        <v>1977</v>
      </c>
      <c r="R546" s="156">
        <f t="shared" si="60"/>
        <v>0</v>
      </c>
      <c r="S546" s="156">
        <f t="shared" si="61"/>
        <v>0</v>
      </c>
      <c r="T546" s="133"/>
      <c r="U546" s="133"/>
      <c r="V546" s="133"/>
      <c r="W546" s="133"/>
      <c r="X546" s="133"/>
      <c r="Y546" s="133"/>
      <c r="Z546" s="133"/>
      <c r="AA546" s="133"/>
      <c r="AB546" s="133"/>
      <c r="AC546" s="133"/>
      <c r="AD546" s="133"/>
      <c r="AE546" s="133"/>
      <c r="AF546" s="133"/>
      <c r="AG546" s="133"/>
      <c r="AH546" s="133"/>
      <c r="AI546" s="133"/>
      <c r="AJ546" s="133"/>
      <c r="AK546" s="133"/>
      <c r="AL546" s="133"/>
      <c r="AM546" s="133"/>
      <c r="AN546" s="133"/>
      <c r="AO546" s="133"/>
      <c r="AP546" s="133"/>
      <c r="AQ546" s="133"/>
      <c r="AR546" s="133"/>
      <c r="AS546" s="153">
        <v>0</v>
      </c>
      <c r="AT546" s="153">
        <v>0</v>
      </c>
      <c r="AU546" s="153">
        <v>0</v>
      </c>
      <c r="AV546" s="135"/>
      <c r="AW546" s="135"/>
      <c r="AX546" s="135"/>
      <c r="AY546" s="135"/>
      <c r="AZ546" s="135"/>
      <c r="BA546" s="135"/>
      <c r="BB546" s="135"/>
      <c r="BC546" s="135"/>
      <c r="BD546" s="135"/>
      <c r="BE546" s="135"/>
      <c r="BF546" s="135"/>
      <c r="BG546" s="135"/>
      <c r="BH546" s="135"/>
      <c r="BI546" s="2" t="s">
        <v>112</v>
      </c>
      <c r="BJ546" s="136">
        <v>45261</v>
      </c>
      <c r="BK546" s="2" t="s">
        <v>145</v>
      </c>
      <c r="BL546" s="136" t="s">
        <v>18</v>
      </c>
      <c r="BM546" s="136">
        <v>44936</v>
      </c>
      <c r="BN546" s="2" t="s">
        <v>1980</v>
      </c>
      <c r="BO546" s="2"/>
      <c r="BP546" s="136"/>
      <c r="BQ546" s="137" t="s">
        <v>134</v>
      </c>
      <c r="BR546" s="138"/>
    </row>
    <row r="547" spans="1:70" ht="12.75" customHeight="1" x14ac:dyDescent="0.2">
      <c r="A547" s="2">
        <v>2036</v>
      </c>
      <c r="B547" s="2" t="s">
        <v>28</v>
      </c>
      <c r="C547" s="2" t="s">
        <v>92</v>
      </c>
      <c r="D547" s="2" t="s">
        <v>1988</v>
      </c>
      <c r="E547" s="2" t="s">
        <v>87</v>
      </c>
      <c r="F547" s="132">
        <v>197443.07</v>
      </c>
      <c r="G547" s="132"/>
      <c r="H547" s="132">
        <v>197443.07</v>
      </c>
      <c r="I547" s="132"/>
      <c r="J547" s="132">
        <v>197443.07</v>
      </c>
      <c r="K547" s="132">
        <f t="shared" si="56"/>
        <v>0</v>
      </c>
      <c r="L547" s="132">
        <f t="shared" si="59"/>
        <v>0</v>
      </c>
      <c r="M547" s="133"/>
      <c r="N547" s="133">
        <f t="shared" si="55"/>
        <v>0</v>
      </c>
      <c r="O547" s="134">
        <v>0</v>
      </c>
      <c r="P547" s="133"/>
      <c r="Q547" s="2" t="s">
        <v>1977</v>
      </c>
      <c r="R547" s="156">
        <f t="shared" si="60"/>
        <v>0</v>
      </c>
      <c r="S547" s="156">
        <f t="shared" si="61"/>
        <v>0</v>
      </c>
      <c r="T547" s="133"/>
      <c r="U547" s="133"/>
      <c r="V547" s="133"/>
      <c r="W547" s="133"/>
      <c r="X547" s="133"/>
      <c r="Y547" s="133"/>
      <c r="Z547" s="133"/>
      <c r="AA547" s="133"/>
      <c r="AB547" s="133"/>
      <c r="AC547" s="133"/>
      <c r="AD547" s="133"/>
      <c r="AE547" s="133"/>
      <c r="AF547" s="133"/>
      <c r="AG547" s="133"/>
      <c r="AH547" s="133"/>
      <c r="AI547" s="133"/>
      <c r="AJ547" s="133"/>
      <c r="AK547" s="133"/>
      <c r="AL547" s="133"/>
      <c r="AM547" s="133"/>
      <c r="AN547" s="133"/>
      <c r="AO547" s="133"/>
      <c r="AP547" s="133"/>
      <c r="AQ547" s="133"/>
      <c r="AR547" s="133"/>
      <c r="AS547" s="153">
        <v>0</v>
      </c>
      <c r="AT547" s="153">
        <v>0</v>
      </c>
      <c r="AU547" s="153">
        <v>0</v>
      </c>
      <c r="AV547" s="135">
        <v>0</v>
      </c>
      <c r="AW547" s="135">
        <v>0</v>
      </c>
      <c r="AX547" s="135">
        <f>(H547/1.18-AT547-AW547)*0.1</f>
        <v>16732.463559322037</v>
      </c>
      <c r="AY547" s="135"/>
      <c r="AZ547" s="135"/>
      <c r="BA547" s="135"/>
      <c r="BB547" s="135"/>
      <c r="BC547" s="135"/>
      <c r="BD547" s="135"/>
      <c r="BE547" s="135"/>
      <c r="BF547" s="135"/>
      <c r="BG547" s="135"/>
      <c r="BH547" s="135"/>
      <c r="BI547" s="2" t="s">
        <v>11</v>
      </c>
      <c r="BJ547" s="136">
        <v>45288</v>
      </c>
      <c r="BK547" s="2" t="s">
        <v>8</v>
      </c>
      <c r="BL547" s="136" t="s">
        <v>18</v>
      </c>
      <c r="BM547" s="136">
        <v>44936</v>
      </c>
      <c r="BN547" s="2" t="s">
        <v>1981</v>
      </c>
      <c r="BO547" s="2"/>
      <c r="BP547" s="136"/>
      <c r="BQ547" s="137" t="s">
        <v>119</v>
      </c>
      <c r="BR547" s="138"/>
    </row>
    <row r="548" spans="1:70" ht="12.75" customHeight="1" x14ac:dyDescent="0.2">
      <c r="A548" s="2">
        <v>2037</v>
      </c>
      <c r="B548" s="2" t="s">
        <v>31</v>
      </c>
      <c r="C548" s="2" t="s">
        <v>33</v>
      </c>
      <c r="D548" s="2" t="s">
        <v>1982</v>
      </c>
      <c r="E548" s="2" t="s">
        <v>71</v>
      </c>
      <c r="F548" s="132">
        <v>109415.35533415565</v>
      </c>
      <c r="G548" s="132">
        <v>2</v>
      </c>
      <c r="H548" s="132">
        <v>99594</v>
      </c>
      <c r="I548" s="132">
        <v>99594</v>
      </c>
      <c r="J548" s="132">
        <v>99594</v>
      </c>
      <c r="K548" s="132">
        <f t="shared" si="56"/>
        <v>9821.3553341556544</v>
      </c>
      <c r="L548" s="132">
        <f t="shared" si="59"/>
        <v>0</v>
      </c>
      <c r="M548" s="133">
        <v>1E-3</v>
      </c>
      <c r="N548" s="133">
        <f t="shared" si="55"/>
        <v>0</v>
      </c>
      <c r="O548" s="134">
        <v>0</v>
      </c>
      <c r="P548" s="133"/>
      <c r="Q548" s="2" t="s">
        <v>1983</v>
      </c>
      <c r="R548" s="156">
        <f t="shared" si="60"/>
        <v>0</v>
      </c>
      <c r="S548" s="156">
        <f t="shared" si="61"/>
        <v>0</v>
      </c>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53">
        <v>0</v>
      </c>
      <c r="AT548" s="153">
        <v>0</v>
      </c>
      <c r="AU548" s="153">
        <v>0</v>
      </c>
      <c r="AV548" s="135">
        <v>0</v>
      </c>
      <c r="AW548" s="135">
        <v>0</v>
      </c>
      <c r="AX548" s="135"/>
      <c r="AY548" s="135"/>
      <c r="AZ548" s="135"/>
      <c r="BA548" s="135">
        <v>0</v>
      </c>
      <c r="BB548" s="135">
        <v>0</v>
      </c>
      <c r="BC548" s="135"/>
      <c r="BD548" s="135"/>
      <c r="BE548" s="135">
        <v>0</v>
      </c>
      <c r="BF548" s="135"/>
      <c r="BG548" s="135"/>
      <c r="BH548" s="135"/>
      <c r="BI548" s="2" t="s">
        <v>118</v>
      </c>
      <c r="BJ548" s="136">
        <v>45337</v>
      </c>
      <c r="BK548" s="2" t="s">
        <v>109</v>
      </c>
      <c r="BL548" s="136" t="s">
        <v>113</v>
      </c>
      <c r="BM548" s="136">
        <v>45264</v>
      </c>
      <c r="BN548" s="2" t="s">
        <v>1984</v>
      </c>
      <c r="BO548" s="2"/>
      <c r="BP548" s="136"/>
      <c r="BQ548" s="137" t="s">
        <v>134</v>
      </c>
      <c r="BR548" s="138"/>
    </row>
    <row r="549" spans="1:70" ht="12.75" customHeight="1" x14ac:dyDescent="0.2">
      <c r="A549" s="2">
        <v>2038</v>
      </c>
      <c r="B549" s="2" t="s">
        <v>44</v>
      </c>
      <c r="C549" s="2" t="s">
        <v>52</v>
      </c>
      <c r="D549" s="2" t="s">
        <v>2053</v>
      </c>
      <c r="E549" s="2" t="s">
        <v>75</v>
      </c>
      <c r="F549" s="132">
        <v>1585000</v>
      </c>
      <c r="G549" s="132">
        <v>2</v>
      </c>
      <c r="H549" s="132">
        <f>95000+500000+500000+300000+100000+82001.62</f>
        <v>1577001.62</v>
      </c>
      <c r="I549" s="132">
        <f>95000+500000+500000+300000+100000+82001.62</f>
        <v>1577001.62</v>
      </c>
      <c r="J549" s="132">
        <f>95000+76271.19+AV549+AY549+76271.19+45762.71+97255.86</f>
        <v>1577001.6199999999</v>
      </c>
      <c r="K549" s="132">
        <f t="shared" si="56"/>
        <v>7998.3800000001211</v>
      </c>
      <c r="L549" s="132">
        <f t="shared" si="59"/>
        <v>0</v>
      </c>
      <c r="M549" s="133">
        <v>368</v>
      </c>
      <c r="N549" s="133">
        <f t="shared" si="55"/>
        <v>2.3283064365386963E-10</v>
      </c>
      <c r="O549" s="134">
        <v>0</v>
      </c>
      <c r="P549" s="133"/>
      <c r="Q549" s="2" t="s">
        <v>2052</v>
      </c>
      <c r="R549" s="156">
        <f t="shared" si="60"/>
        <v>0</v>
      </c>
      <c r="S549" s="156">
        <f t="shared" si="61"/>
        <v>0</v>
      </c>
      <c r="T549" s="133"/>
      <c r="U549" s="133"/>
      <c r="V549" s="133"/>
      <c r="W549" s="133"/>
      <c r="X549" s="133"/>
      <c r="Y549" s="133"/>
      <c r="Z549" s="133"/>
      <c r="AA549" s="133"/>
      <c r="AB549" s="133"/>
      <c r="AC549" s="133"/>
      <c r="AD549" s="133"/>
      <c r="AE549" s="133"/>
      <c r="AF549" s="133"/>
      <c r="AG549" s="133"/>
      <c r="AH549" s="133"/>
      <c r="AI549" s="133"/>
      <c r="AJ549" s="133"/>
      <c r="AK549" s="133"/>
      <c r="AL549" s="133"/>
      <c r="AM549" s="133"/>
      <c r="AN549" s="133"/>
      <c r="AO549" s="133"/>
      <c r="AP549" s="133"/>
      <c r="AQ549" s="133"/>
      <c r="AR549" s="133"/>
      <c r="AS549" s="153">
        <v>0</v>
      </c>
      <c r="AT549" s="153">
        <v>0</v>
      </c>
      <c r="AU549" s="153">
        <v>0</v>
      </c>
      <c r="AV549" s="135"/>
      <c r="AW549" s="135"/>
      <c r="AX549" s="135"/>
      <c r="AY549" s="135">
        <f>423728.81+423728.81+254237.29+84745.76</f>
        <v>1186440.67</v>
      </c>
      <c r="AZ549" s="135">
        <f>44299.98+43586.21+22042.59+3568.61</f>
        <v>113497.39</v>
      </c>
      <c r="BA549" s="135">
        <f>1095000/1.18*0.8*0.1</f>
        <v>74237.288135593233</v>
      </c>
      <c r="BB549" s="140">
        <f>(I549/1.18-AT549-AW549-AZ549)*0.1-BA549</f>
        <v>48057.177949152552</v>
      </c>
      <c r="BC549" s="135"/>
      <c r="BD549" s="135"/>
      <c r="BE549" s="135">
        <f>(H549/1.18-AT549-AW549-AZ549-BD549)*0.1-AU549-AX549-BA549-BB549</f>
        <v>0</v>
      </c>
      <c r="BF549" s="135"/>
      <c r="BG549" s="135"/>
      <c r="BH549" s="135"/>
      <c r="BI549" s="2" t="s">
        <v>11</v>
      </c>
      <c r="BJ549" s="136">
        <v>45645</v>
      </c>
      <c r="BK549" s="2" t="s">
        <v>109</v>
      </c>
      <c r="BL549" s="136" t="s">
        <v>113</v>
      </c>
      <c r="BM549" s="136">
        <v>45268</v>
      </c>
      <c r="BN549" s="2" t="s">
        <v>2051</v>
      </c>
      <c r="BO549" s="2"/>
      <c r="BP549" s="136"/>
      <c r="BQ549" s="137" t="s">
        <v>119</v>
      </c>
      <c r="BR549" s="138"/>
    </row>
    <row r="550" spans="1:70" ht="12.75" customHeight="1" x14ac:dyDescent="0.2">
      <c r="A550" s="2">
        <v>2039</v>
      </c>
      <c r="B550" s="2" t="s">
        <v>54</v>
      </c>
      <c r="C550" s="2" t="s">
        <v>16</v>
      </c>
      <c r="D550" s="2" t="s">
        <v>2070</v>
      </c>
      <c r="E550" s="2" t="s">
        <v>110</v>
      </c>
      <c r="F550" s="132">
        <f>1210*1.75</f>
        <v>2117.5</v>
      </c>
      <c r="G550" s="132">
        <v>2</v>
      </c>
      <c r="H550" s="132">
        <v>2117</v>
      </c>
      <c r="I550" s="132"/>
      <c r="J550" s="132">
        <f>322.93+1794.07</f>
        <v>2117</v>
      </c>
      <c r="K550" s="132">
        <f t="shared" si="56"/>
        <v>0.5</v>
      </c>
      <c r="L550" s="132">
        <f t="shared" si="59"/>
        <v>0</v>
      </c>
      <c r="M550" s="133"/>
      <c r="N550" s="133">
        <f t="shared" si="55"/>
        <v>0</v>
      </c>
      <c r="O550" s="134">
        <v>0</v>
      </c>
      <c r="P550" s="133"/>
      <c r="Q550" s="2" t="s">
        <v>2061</v>
      </c>
      <c r="R550" s="156">
        <f t="shared" si="60"/>
        <v>0</v>
      </c>
      <c r="S550" s="156">
        <f t="shared" si="61"/>
        <v>0</v>
      </c>
      <c r="T550" s="133"/>
      <c r="U550" s="133"/>
      <c r="V550" s="133"/>
      <c r="W550" s="133"/>
      <c r="X550" s="133"/>
      <c r="Y550" s="133"/>
      <c r="Z550" s="133"/>
      <c r="AA550" s="133"/>
      <c r="AB550" s="133"/>
      <c r="AC550" s="133"/>
      <c r="AD550" s="133"/>
      <c r="AE550" s="133"/>
      <c r="AF550" s="133"/>
      <c r="AG550" s="133"/>
      <c r="AH550" s="133"/>
      <c r="AI550" s="133"/>
      <c r="AJ550" s="133"/>
      <c r="AK550" s="133"/>
      <c r="AL550" s="133"/>
      <c r="AM550" s="133"/>
      <c r="AN550" s="133"/>
      <c r="AO550" s="133"/>
      <c r="AP550" s="133"/>
      <c r="AQ550" s="133"/>
      <c r="AR550" s="133"/>
      <c r="AS550" s="153">
        <v>0</v>
      </c>
      <c r="AT550" s="153">
        <v>0</v>
      </c>
      <c r="AU550" s="153">
        <v>0</v>
      </c>
      <c r="AV550" s="135"/>
      <c r="AW550" s="135"/>
      <c r="AX550" s="135"/>
      <c r="AY550" s="135"/>
      <c r="AZ550" s="135"/>
      <c r="BA550" s="135"/>
      <c r="BB550" s="135"/>
      <c r="BC550" s="135"/>
      <c r="BD550" s="135"/>
      <c r="BE550" s="135"/>
      <c r="BF550" s="135"/>
      <c r="BG550" s="135"/>
      <c r="BH550" s="135"/>
      <c r="BI550" s="2" t="s">
        <v>112</v>
      </c>
      <c r="BJ550" s="136">
        <v>45356</v>
      </c>
      <c r="BK550" s="2" t="s">
        <v>145</v>
      </c>
      <c r="BL550" s="136" t="s">
        <v>113</v>
      </c>
      <c r="BM550" s="136">
        <v>44935</v>
      </c>
      <c r="BN550" s="2" t="s">
        <v>2059</v>
      </c>
      <c r="BO550" s="2"/>
      <c r="BP550" s="136"/>
      <c r="BQ550" s="137" t="s">
        <v>119</v>
      </c>
      <c r="BR550" s="138"/>
    </row>
    <row r="551" spans="1:70" ht="12.75" customHeight="1" x14ac:dyDescent="0.2">
      <c r="A551" s="2">
        <v>2040</v>
      </c>
      <c r="B551" s="2" t="s">
        <v>54</v>
      </c>
      <c r="C551" s="2" t="s">
        <v>16</v>
      </c>
      <c r="D551" s="2" t="s">
        <v>2071</v>
      </c>
      <c r="E551" s="2" t="s">
        <v>71</v>
      </c>
      <c r="F551" s="132">
        <v>56000</v>
      </c>
      <c r="G551" s="132">
        <v>2</v>
      </c>
      <c r="H551" s="132">
        <v>59725</v>
      </c>
      <c r="I551" s="132">
        <v>59725</v>
      </c>
      <c r="J551" s="132">
        <v>59725</v>
      </c>
      <c r="K551" s="132">
        <f t="shared" si="56"/>
        <v>-3725</v>
      </c>
      <c r="L551" s="132">
        <f t="shared" si="59"/>
        <v>0</v>
      </c>
      <c r="M551" s="133">
        <v>1063</v>
      </c>
      <c r="N551" s="133">
        <f t="shared" si="55"/>
        <v>0</v>
      </c>
      <c r="O551" s="134">
        <v>0</v>
      </c>
      <c r="P551" s="133"/>
      <c r="Q551" s="2" t="s">
        <v>2061</v>
      </c>
      <c r="R551" s="156">
        <f t="shared" si="60"/>
        <v>0</v>
      </c>
      <c r="S551" s="156">
        <f t="shared" si="61"/>
        <v>0</v>
      </c>
      <c r="T551" s="133"/>
      <c r="U551" s="133"/>
      <c r="V551" s="133"/>
      <c r="W551" s="133"/>
      <c r="X551" s="133"/>
      <c r="Y551" s="133"/>
      <c r="Z551" s="133"/>
      <c r="AA551" s="133"/>
      <c r="AB551" s="133"/>
      <c r="AC551" s="133"/>
      <c r="AD551" s="133"/>
      <c r="AE551" s="133"/>
      <c r="AF551" s="133"/>
      <c r="AG551" s="133"/>
      <c r="AH551" s="133"/>
      <c r="AI551" s="133"/>
      <c r="AJ551" s="133"/>
      <c r="AK551" s="133"/>
      <c r="AL551" s="133"/>
      <c r="AM551" s="133"/>
      <c r="AN551" s="133"/>
      <c r="AO551" s="133"/>
      <c r="AP551" s="133"/>
      <c r="AQ551" s="133"/>
      <c r="AR551" s="133"/>
      <c r="AS551" s="153">
        <v>0</v>
      </c>
      <c r="AT551" s="153">
        <v>0</v>
      </c>
      <c r="AU551" s="153">
        <v>0</v>
      </c>
      <c r="AV551" s="135">
        <v>0</v>
      </c>
      <c r="AW551" s="135">
        <v>0</v>
      </c>
      <c r="AX551" s="135"/>
      <c r="AY551" s="135"/>
      <c r="AZ551" s="135"/>
      <c r="BA551" s="135">
        <f>IF(BK551="Принят",(H551/1.18-AW551)*0.1,H551/1.18*0.8*0.1)</f>
        <v>5061.4406779661022</v>
      </c>
      <c r="BB551" s="135">
        <f>(H551/1.18-AT551-AW551-AZ551)*0.1-AU551-AX551-BA551</f>
        <v>0</v>
      </c>
      <c r="BC551" s="135"/>
      <c r="BD551" s="135"/>
      <c r="BE551" s="135">
        <f>(H551/1.18-AT551-AW551-AZ551-BD551)*0.1-AU551-AX551-BA551-BB551</f>
        <v>0</v>
      </c>
      <c r="BF551" s="135"/>
      <c r="BG551" s="135"/>
      <c r="BH551" s="135"/>
      <c r="BI551" s="2" t="s">
        <v>11</v>
      </c>
      <c r="BJ551" s="136">
        <v>45400</v>
      </c>
      <c r="BK551" s="2" t="s">
        <v>109</v>
      </c>
      <c r="BL551" s="136" t="s">
        <v>113</v>
      </c>
      <c r="BM551" s="136">
        <v>44935</v>
      </c>
      <c r="BN551" s="2" t="s">
        <v>2060</v>
      </c>
      <c r="BO551" s="2"/>
      <c r="BP551" s="136"/>
      <c r="BQ551" s="137" t="s">
        <v>119</v>
      </c>
      <c r="BR551" s="138"/>
    </row>
    <row r="552" spans="1:70" ht="12.75" customHeight="1" x14ac:dyDescent="0.2">
      <c r="A552" s="2">
        <v>2041</v>
      </c>
      <c r="B552" s="2" t="s">
        <v>54</v>
      </c>
      <c r="C552" s="2" t="s">
        <v>96</v>
      </c>
      <c r="D552" s="2" t="s">
        <v>2068</v>
      </c>
      <c r="E552" s="2" t="s">
        <v>110</v>
      </c>
      <c r="F552" s="132">
        <f>337*1.75</f>
        <v>589.75</v>
      </c>
      <c r="G552" s="132">
        <v>2</v>
      </c>
      <c r="H552" s="132">
        <v>589.75</v>
      </c>
      <c r="I552" s="132"/>
      <c r="J552" s="132">
        <v>589.75</v>
      </c>
      <c r="K552" s="132">
        <f t="shared" si="56"/>
        <v>0</v>
      </c>
      <c r="L552" s="132">
        <f t="shared" si="59"/>
        <v>0</v>
      </c>
      <c r="M552" s="133"/>
      <c r="N552" s="133">
        <f t="shared" si="55"/>
        <v>0</v>
      </c>
      <c r="O552" s="134">
        <v>0</v>
      </c>
      <c r="P552" s="133"/>
      <c r="Q552" s="2" t="s">
        <v>2066</v>
      </c>
      <c r="R552" s="156">
        <f t="shared" si="60"/>
        <v>0</v>
      </c>
      <c r="S552" s="156">
        <f t="shared" si="61"/>
        <v>0</v>
      </c>
      <c r="T552" s="133"/>
      <c r="U552" s="133"/>
      <c r="V552" s="133"/>
      <c r="W552" s="133"/>
      <c r="X552" s="133"/>
      <c r="Y552" s="133"/>
      <c r="Z552" s="133"/>
      <c r="AA552" s="133"/>
      <c r="AB552" s="133"/>
      <c r="AC552" s="133"/>
      <c r="AD552" s="133"/>
      <c r="AE552" s="133"/>
      <c r="AF552" s="133"/>
      <c r="AG552" s="133"/>
      <c r="AH552" s="133"/>
      <c r="AI552" s="133"/>
      <c r="AJ552" s="133"/>
      <c r="AK552" s="133"/>
      <c r="AL552" s="133"/>
      <c r="AM552" s="133"/>
      <c r="AN552" s="133"/>
      <c r="AO552" s="133"/>
      <c r="AP552" s="133"/>
      <c r="AQ552" s="133"/>
      <c r="AR552" s="133"/>
      <c r="AS552" s="153">
        <v>0</v>
      </c>
      <c r="AT552" s="153">
        <v>0</v>
      </c>
      <c r="AU552" s="153">
        <v>0</v>
      </c>
      <c r="AV552" s="135"/>
      <c r="AW552" s="135"/>
      <c r="AX552" s="135"/>
      <c r="AY552" s="135"/>
      <c r="AZ552" s="135"/>
      <c r="BA552" s="135"/>
      <c r="BB552" s="135"/>
      <c r="BC552" s="135"/>
      <c r="BD552" s="135"/>
      <c r="BE552" s="135"/>
      <c r="BF552" s="135"/>
      <c r="BG552" s="135"/>
      <c r="BH552" s="135"/>
      <c r="BI552" s="2" t="s">
        <v>112</v>
      </c>
      <c r="BJ552" s="136">
        <v>45366</v>
      </c>
      <c r="BK552" s="2" t="s">
        <v>145</v>
      </c>
      <c r="BL552" s="136" t="s">
        <v>18</v>
      </c>
      <c r="BM552" s="136">
        <v>44935</v>
      </c>
      <c r="BN552" s="2" t="s">
        <v>2062</v>
      </c>
      <c r="BO552" s="2"/>
      <c r="BP552" s="136"/>
      <c r="BQ552" s="137" t="s">
        <v>134</v>
      </c>
      <c r="BR552" s="138"/>
    </row>
    <row r="553" spans="1:70" ht="12.75" customHeight="1" x14ac:dyDescent="0.2">
      <c r="A553" s="2">
        <v>2042</v>
      </c>
      <c r="B553" s="2" t="s">
        <v>54</v>
      </c>
      <c r="C553" s="2" t="s">
        <v>96</v>
      </c>
      <c r="D553" s="2" t="s">
        <v>2069</v>
      </c>
      <c r="E553" s="2" t="s">
        <v>71</v>
      </c>
      <c r="F553" s="132">
        <v>38000</v>
      </c>
      <c r="G553" s="132">
        <v>2</v>
      </c>
      <c r="H553" s="132">
        <v>24014</v>
      </c>
      <c r="I553" s="132">
        <v>24014</v>
      </c>
      <c r="J553" s="132">
        <v>24014</v>
      </c>
      <c r="K553" s="132">
        <f t="shared" si="56"/>
        <v>13986</v>
      </c>
      <c r="L553" s="132">
        <f t="shared" si="59"/>
        <v>0</v>
      </c>
      <c r="M553" s="133">
        <v>259</v>
      </c>
      <c r="N553" s="133">
        <f t="shared" si="55"/>
        <v>0</v>
      </c>
      <c r="O553" s="134">
        <v>0</v>
      </c>
      <c r="P553" s="133"/>
      <c r="Q553" s="2" t="s">
        <v>2066</v>
      </c>
      <c r="R553" s="156">
        <f t="shared" si="60"/>
        <v>0</v>
      </c>
      <c r="S553" s="156">
        <f t="shared" si="61"/>
        <v>0</v>
      </c>
      <c r="T553" s="133"/>
      <c r="U553" s="133"/>
      <c r="V553" s="133"/>
      <c r="W553" s="133"/>
      <c r="X553" s="133"/>
      <c r="Y553" s="133"/>
      <c r="Z553" s="133"/>
      <c r="AA553" s="133"/>
      <c r="AB553" s="133"/>
      <c r="AC553" s="133"/>
      <c r="AD553" s="133"/>
      <c r="AE553" s="133"/>
      <c r="AF553" s="133"/>
      <c r="AG553" s="133"/>
      <c r="AH553" s="133"/>
      <c r="AI553" s="133"/>
      <c r="AJ553" s="133"/>
      <c r="AK553" s="133"/>
      <c r="AL553" s="133"/>
      <c r="AM553" s="133"/>
      <c r="AN553" s="133"/>
      <c r="AO553" s="133"/>
      <c r="AP553" s="133"/>
      <c r="AQ553" s="133"/>
      <c r="AR553" s="133"/>
      <c r="AS553" s="153">
        <v>0</v>
      </c>
      <c r="AT553" s="153">
        <v>0</v>
      </c>
      <c r="AU553" s="153">
        <v>0</v>
      </c>
      <c r="AV553" s="135">
        <v>0</v>
      </c>
      <c r="AW553" s="135">
        <v>0</v>
      </c>
      <c r="AX553" s="135"/>
      <c r="AY553" s="135">
        <v>0</v>
      </c>
      <c r="AZ553" s="135">
        <v>0</v>
      </c>
      <c r="BA553" s="135">
        <f>IF(BK553="Принят",(H553/1.18-AW553)*0.1,H553/1.18*0.8*0.1)</f>
        <v>2035.0847457627119</v>
      </c>
      <c r="BB553" s="135">
        <f>(H553/1.18-AT553-AW553-AZ553)*0.1-AU553-AX553-BA553</f>
        <v>0</v>
      </c>
      <c r="BC553" s="135"/>
      <c r="BD553" s="135"/>
      <c r="BE553" s="135">
        <f>(H553/1.18-AT553-AW553-AZ553-BD553)*0.1-AU553-AX553-BA553-BB553</f>
        <v>0</v>
      </c>
      <c r="BF553" s="135"/>
      <c r="BG553" s="135"/>
      <c r="BH553" s="135"/>
      <c r="BI553" s="2" t="s">
        <v>11</v>
      </c>
      <c r="BJ553" s="136">
        <v>45400</v>
      </c>
      <c r="BK553" s="2" t="s">
        <v>109</v>
      </c>
      <c r="BL553" s="136" t="s">
        <v>18</v>
      </c>
      <c r="BM553" s="136">
        <v>44935</v>
      </c>
      <c r="BN553" s="2" t="s">
        <v>2063</v>
      </c>
      <c r="BO553" s="2"/>
      <c r="BP553" s="136"/>
      <c r="BQ553" s="137" t="s">
        <v>119</v>
      </c>
      <c r="BR553" s="138"/>
    </row>
    <row r="554" spans="1:70" ht="12.75" customHeight="1" x14ac:dyDescent="0.2">
      <c r="A554" s="2">
        <v>2043</v>
      </c>
      <c r="B554" s="2" t="s">
        <v>54</v>
      </c>
      <c r="C554" s="2" t="s">
        <v>97</v>
      </c>
      <c r="D554" s="2" t="s">
        <v>2072</v>
      </c>
      <c r="E554" s="2" t="s">
        <v>110</v>
      </c>
      <c r="F554" s="132">
        <f>3045*1.75</f>
        <v>5328.75</v>
      </c>
      <c r="G554" s="132">
        <v>2</v>
      </c>
      <c r="H554" s="132">
        <f>3045*1.75</f>
        <v>5328.75</v>
      </c>
      <c r="I554" s="132"/>
      <c r="J554" s="132">
        <f>812.86+4515.89</f>
        <v>5328.75</v>
      </c>
      <c r="K554" s="132">
        <f t="shared" si="56"/>
        <v>0</v>
      </c>
      <c r="L554" s="132">
        <f t="shared" si="59"/>
        <v>0</v>
      </c>
      <c r="M554" s="133"/>
      <c r="N554" s="133">
        <f t="shared" ref="N554:N617" si="64">IF(OR(BK554="принят",BK554="Завершено",BK554="ПриПро"),H554-J554,F554-J554)</f>
        <v>0</v>
      </c>
      <c r="O554" s="134">
        <v>0</v>
      </c>
      <c r="P554" s="133"/>
      <c r="Q554" s="2" t="s">
        <v>2067</v>
      </c>
      <c r="R554" s="156">
        <f t="shared" si="60"/>
        <v>0</v>
      </c>
      <c r="S554" s="156">
        <f t="shared" si="61"/>
        <v>0</v>
      </c>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53">
        <v>0</v>
      </c>
      <c r="AT554" s="153">
        <v>0</v>
      </c>
      <c r="AU554" s="153">
        <v>0</v>
      </c>
      <c r="AV554" s="135"/>
      <c r="AW554" s="135"/>
      <c r="AX554" s="135"/>
      <c r="AY554" s="135"/>
      <c r="AZ554" s="135"/>
      <c r="BA554" s="135"/>
      <c r="BB554" s="135"/>
      <c r="BC554" s="135"/>
      <c r="BD554" s="135"/>
      <c r="BE554" s="135"/>
      <c r="BF554" s="135"/>
      <c r="BG554" s="135"/>
      <c r="BH554" s="135"/>
      <c r="BI554" s="2" t="s">
        <v>112</v>
      </c>
      <c r="BJ554" s="136">
        <v>45366</v>
      </c>
      <c r="BK554" s="2" t="s">
        <v>145</v>
      </c>
      <c r="BL554" s="136" t="s">
        <v>18</v>
      </c>
      <c r="BM554" s="136">
        <v>44935</v>
      </c>
      <c r="BN554" s="2" t="s">
        <v>2064</v>
      </c>
      <c r="BO554" s="2"/>
      <c r="BP554" s="136"/>
      <c r="BQ554" s="137" t="s">
        <v>119</v>
      </c>
      <c r="BR554" s="138"/>
    </row>
    <row r="555" spans="1:70" ht="12.75" customHeight="1" x14ac:dyDescent="0.2">
      <c r="A555" s="2">
        <v>2044</v>
      </c>
      <c r="B555" s="2" t="s">
        <v>54</v>
      </c>
      <c r="C555" s="2" t="s">
        <v>97</v>
      </c>
      <c r="D555" s="2" t="s">
        <v>2073</v>
      </c>
      <c r="E555" s="2" t="s">
        <v>71</v>
      </c>
      <c r="F555" s="132">
        <v>116000</v>
      </c>
      <c r="G555" s="132">
        <v>2</v>
      </c>
      <c r="H555" s="132">
        <v>117994</v>
      </c>
      <c r="I555" s="132">
        <v>117994</v>
      </c>
      <c r="J555" s="132">
        <v>117994</v>
      </c>
      <c r="K555" s="132">
        <f t="shared" si="56"/>
        <v>-1994</v>
      </c>
      <c r="L555" s="132">
        <f t="shared" si="59"/>
        <v>0</v>
      </c>
      <c r="M555" s="133">
        <v>3022.5</v>
      </c>
      <c r="N555" s="133">
        <f t="shared" si="64"/>
        <v>0</v>
      </c>
      <c r="O555" s="134">
        <v>0</v>
      </c>
      <c r="P555" s="133">
        <v>23</v>
      </c>
      <c r="Q555" s="2" t="s">
        <v>2067</v>
      </c>
      <c r="R555" s="156">
        <f t="shared" si="60"/>
        <v>0</v>
      </c>
      <c r="S555" s="156">
        <f t="shared" si="61"/>
        <v>0</v>
      </c>
      <c r="T555" s="133"/>
      <c r="U555" s="133"/>
      <c r="V555" s="133"/>
      <c r="W555" s="133"/>
      <c r="X555" s="133"/>
      <c r="Y555" s="133"/>
      <c r="Z555" s="133"/>
      <c r="AA555" s="133"/>
      <c r="AB555" s="133"/>
      <c r="AC555" s="133"/>
      <c r="AD555" s="133"/>
      <c r="AE555" s="133"/>
      <c r="AF555" s="133"/>
      <c r="AG555" s="133"/>
      <c r="AH555" s="133"/>
      <c r="AI555" s="133"/>
      <c r="AJ555" s="133"/>
      <c r="AK555" s="133"/>
      <c r="AL555" s="133"/>
      <c r="AM555" s="133"/>
      <c r="AN555" s="133"/>
      <c r="AO555" s="133"/>
      <c r="AP555" s="133"/>
      <c r="AQ555" s="133"/>
      <c r="AR555" s="133"/>
      <c r="AS555" s="153">
        <v>0</v>
      </c>
      <c r="AT555" s="153">
        <v>0</v>
      </c>
      <c r="AU555" s="153">
        <v>0</v>
      </c>
      <c r="AV555" s="135">
        <v>0</v>
      </c>
      <c r="AW555" s="135">
        <v>0</v>
      </c>
      <c r="AX555" s="135"/>
      <c r="AY555" s="135">
        <v>0</v>
      </c>
      <c r="AZ555" s="135">
        <v>0</v>
      </c>
      <c r="BA555" s="135">
        <f>IF(BK555="Принят",(H555/1.18-AW555)*0.1,H555/1.18*0.8*0.1)</f>
        <v>9999.4915254237294</v>
      </c>
      <c r="BB555" s="135">
        <f>(H555/1.18-AT555-AW555-AZ555)*0.1-AU555-AX555-BA555</f>
        <v>0</v>
      </c>
      <c r="BC555" s="135"/>
      <c r="BD555" s="135"/>
      <c r="BE555" s="135">
        <f>(H555/1.18-AT555-AW555-AZ555-BD555)*0.1-AU555-AX555-BA555-BB555</f>
        <v>0</v>
      </c>
      <c r="BF555" s="135"/>
      <c r="BG555" s="135"/>
      <c r="BH555" s="135"/>
      <c r="BI555" s="2" t="s">
        <v>10</v>
      </c>
      <c r="BJ555" s="136">
        <v>45400</v>
      </c>
      <c r="BK555" s="2" t="s">
        <v>109</v>
      </c>
      <c r="BL555" s="136" t="s">
        <v>18</v>
      </c>
      <c r="BM555" s="136">
        <v>44935</v>
      </c>
      <c r="BN555" s="2" t="s">
        <v>2065</v>
      </c>
      <c r="BO555" s="2"/>
      <c r="BP555" s="136"/>
      <c r="BQ555" s="137" t="s">
        <v>119</v>
      </c>
      <c r="BR555" s="138"/>
    </row>
    <row r="556" spans="1:70" ht="12.75" customHeight="1" x14ac:dyDescent="0.2">
      <c r="A556" s="2">
        <v>2045</v>
      </c>
      <c r="B556" s="2" t="s">
        <v>28</v>
      </c>
      <c r="C556" s="2" t="s">
        <v>56</v>
      </c>
      <c r="D556" s="2" t="s">
        <v>2167</v>
      </c>
      <c r="E556" s="2" t="s">
        <v>117</v>
      </c>
      <c r="F556" s="132">
        <f>1015*1.75</f>
        <v>1776.25</v>
      </c>
      <c r="G556" s="132">
        <v>2</v>
      </c>
      <c r="H556" s="132">
        <f>1015*1.75</f>
        <v>1776.25</v>
      </c>
      <c r="I556" s="132"/>
      <c r="J556" s="132">
        <f>270.95+1505.3</f>
        <v>1776.25</v>
      </c>
      <c r="K556" s="132">
        <f t="shared" si="56"/>
        <v>0</v>
      </c>
      <c r="L556" s="132">
        <f t="shared" si="59"/>
        <v>0</v>
      </c>
      <c r="M556" s="133"/>
      <c r="N556" s="133">
        <f t="shared" si="64"/>
        <v>0</v>
      </c>
      <c r="O556" s="134">
        <v>0</v>
      </c>
      <c r="P556" s="133"/>
      <c r="Q556" s="2" t="s">
        <v>2170</v>
      </c>
      <c r="R556" s="156">
        <f t="shared" si="60"/>
        <v>0</v>
      </c>
      <c r="S556" s="156">
        <f t="shared" si="61"/>
        <v>0</v>
      </c>
      <c r="T556" s="133"/>
      <c r="U556" s="133"/>
      <c r="V556" s="133"/>
      <c r="W556" s="133"/>
      <c r="X556" s="133"/>
      <c r="Y556" s="133"/>
      <c r="Z556" s="133"/>
      <c r="AA556" s="133"/>
      <c r="AB556" s="133"/>
      <c r="AC556" s="133"/>
      <c r="AD556" s="133"/>
      <c r="AE556" s="133"/>
      <c r="AF556" s="133"/>
      <c r="AG556" s="133"/>
      <c r="AH556" s="133"/>
      <c r="AI556" s="133"/>
      <c r="AJ556" s="133"/>
      <c r="AK556" s="133"/>
      <c r="AL556" s="133"/>
      <c r="AM556" s="133"/>
      <c r="AN556" s="133"/>
      <c r="AO556" s="133"/>
      <c r="AP556" s="133"/>
      <c r="AQ556" s="133"/>
      <c r="AR556" s="133"/>
      <c r="AS556" s="153">
        <v>0</v>
      </c>
      <c r="AT556" s="153">
        <v>0</v>
      </c>
      <c r="AU556" s="153">
        <v>0</v>
      </c>
      <c r="AV556" s="153">
        <v>0</v>
      </c>
      <c r="AW556" s="153">
        <v>0</v>
      </c>
      <c r="AX556" s="153">
        <v>0</v>
      </c>
      <c r="AY556" s="135"/>
      <c r="AZ556" s="135"/>
      <c r="BA556" s="135"/>
      <c r="BB556" s="135"/>
      <c r="BC556" s="135"/>
      <c r="BD556" s="135"/>
      <c r="BE556" s="135"/>
      <c r="BF556" s="135"/>
      <c r="BG556" s="135"/>
      <c r="BH556" s="135"/>
      <c r="BI556" s="2" t="s">
        <v>112</v>
      </c>
      <c r="BJ556" s="136">
        <v>45356</v>
      </c>
      <c r="BK556" s="2" t="s">
        <v>145</v>
      </c>
      <c r="BL556" s="136" t="s">
        <v>113</v>
      </c>
      <c r="BM556" s="136">
        <v>45301</v>
      </c>
      <c r="BN556" s="2" t="s">
        <v>2168</v>
      </c>
      <c r="BO556" s="2"/>
      <c r="BP556" s="136"/>
      <c r="BQ556" s="137" t="s">
        <v>134</v>
      </c>
      <c r="BR556" s="138"/>
    </row>
    <row r="557" spans="1:70" ht="12.75" customHeight="1" x14ac:dyDescent="0.2">
      <c r="A557" s="2">
        <v>2046</v>
      </c>
      <c r="B557" s="2" t="s">
        <v>28</v>
      </c>
      <c r="C557" s="2" t="s">
        <v>56</v>
      </c>
      <c r="D557" s="2" t="s">
        <v>2166</v>
      </c>
      <c r="E557" s="2" t="s">
        <v>87</v>
      </c>
      <c r="F557" s="132">
        <v>50000</v>
      </c>
      <c r="G557" s="132">
        <v>2</v>
      </c>
      <c r="H557" s="132">
        <v>49582.89</v>
      </c>
      <c r="I557" s="132">
        <v>49582.89</v>
      </c>
      <c r="J557" s="132">
        <f>7563.49+42019.4</f>
        <v>49582.89</v>
      </c>
      <c r="K557" s="132">
        <f t="shared" si="56"/>
        <v>417.11000000000058</v>
      </c>
      <c r="L557" s="132">
        <f t="shared" si="59"/>
        <v>0</v>
      </c>
      <c r="M557" s="133">
        <v>968</v>
      </c>
      <c r="N557" s="133">
        <f t="shared" si="64"/>
        <v>0</v>
      </c>
      <c r="O557" s="134">
        <v>0</v>
      </c>
      <c r="P557" s="133"/>
      <c r="Q557" s="2" t="s">
        <v>2170</v>
      </c>
      <c r="R557" s="156">
        <f t="shared" si="60"/>
        <v>0</v>
      </c>
      <c r="S557" s="156">
        <f t="shared" si="61"/>
        <v>0</v>
      </c>
      <c r="T557" s="133"/>
      <c r="U557" s="133"/>
      <c r="V557" s="133"/>
      <c r="W557" s="133"/>
      <c r="X557" s="133"/>
      <c r="Y557" s="133"/>
      <c r="Z557" s="133"/>
      <c r="AA557" s="133"/>
      <c r="AB557" s="133"/>
      <c r="AC557" s="133"/>
      <c r="AD557" s="133"/>
      <c r="AE557" s="133"/>
      <c r="AF557" s="133"/>
      <c r="AG557" s="133"/>
      <c r="AH557" s="133"/>
      <c r="AI557" s="133"/>
      <c r="AJ557" s="133"/>
      <c r="AK557" s="133"/>
      <c r="AL557" s="133"/>
      <c r="AM557" s="133"/>
      <c r="AN557" s="133"/>
      <c r="AO557" s="133"/>
      <c r="AP557" s="133"/>
      <c r="AQ557" s="133"/>
      <c r="AR557" s="133"/>
      <c r="AS557" s="153">
        <v>0</v>
      </c>
      <c r="AT557" s="153">
        <v>0</v>
      </c>
      <c r="AU557" s="153">
        <v>0</v>
      </c>
      <c r="AV557" s="153">
        <v>0</v>
      </c>
      <c r="AW557" s="153">
        <v>0</v>
      </c>
      <c r="AX557" s="153">
        <v>0</v>
      </c>
      <c r="AY557" s="135">
        <v>0</v>
      </c>
      <c r="AZ557" s="135">
        <v>0</v>
      </c>
      <c r="BA557" s="135">
        <f>IF(BK557="Принят",(H557/1.18-AW557-AZ557)*0.1,H557/1.18*0.8*0.1)</f>
        <v>4201.9398305084751</v>
      </c>
      <c r="BB557" s="135">
        <f>(H557/1.18-AT557-AW557-AZ557)*0.1-AU557-AX557-BA557</f>
        <v>0</v>
      </c>
      <c r="BC557" s="135"/>
      <c r="BD557" s="135"/>
      <c r="BE557" s="135">
        <f>(H557/1.18-AT557-AW557-AZ557-BD557)*0.1-AU557-AX557-BA557-BB557</f>
        <v>0</v>
      </c>
      <c r="BF557" s="135"/>
      <c r="BG557" s="135"/>
      <c r="BH557" s="135"/>
      <c r="BI557" s="2" t="s">
        <v>11</v>
      </c>
      <c r="BJ557" s="136">
        <v>45382</v>
      </c>
      <c r="BK557" s="2" t="s">
        <v>109</v>
      </c>
      <c r="BL557" s="136" t="s">
        <v>113</v>
      </c>
      <c r="BM557" s="136">
        <v>45301</v>
      </c>
      <c r="BN557" s="2" t="s">
        <v>2169</v>
      </c>
      <c r="BO557" s="2"/>
      <c r="BP557" s="136"/>
      <c r="BQ557" s="137" t="s">
        <v>119</v>
      </c>
      <c r="BR557" s="138"/>
    </row>
    <row r="558" spans="1:70" ht="12.75" customHeight="1" x14ac:dyDescent="0.2">
      <c r="A558" s="2">
        <v>2047</v>
      </c>
      <c r="B558" s="2" t="s">
        <v>19</v>
      </c>
      <c r="C558" s="2" t="s">
        <v>21</v>
      </c>
      <c r="D558" s="2" t="s">
        <v>2173</v>
      </c>
      <c r="E558" s="2" t="s">
        <v>115</v>
      </c>
      <c r="F558" s="132">
        <v>29385</v>
      </c>
      <c r="G558" s="132">
        <v>2</v>
      </c>
      <c r="H558" s="132">
        <v>29385</v>
      </c>
      <c r="I558" s="132">
        <v>29385</v>
      </c>
      <c r="J558" s="132">
        <f>4482.46+24902.54</f>
        <v>29385</v>
      </c>
      <c r="K558" s="132">
        <f t="shared" si="56"/>
        <v>0</v>
      </c>
      <c r="L558" s="132">
        <f t="shared" si="59"/>
        <v>0</v>
      </c>
      <c r="M558" s="133">
        <v>1E-3</v>
      </c>
      <c r="N558" s="133">
        <f t="shared" si="64"/>
        <v>0</v>
      </c>
      <c r="O558" s="134">
        <v>0</v>
      </c>
      <c r="P558" s="133"/>
      <c r="Q558" s="2"/>
      <c r="R558" s="156">
        <f t="shared" si="60"/>
        <v>0</v>
      </c>
      <c r="S558" s="156">
        <f t="shared" si="61"/>
        <v>0</v>
      </c>
      <c r="T558" s="133"/>
      <c r="U558" s="133"/>
      <c r="V558" s="133"/>
      <c r="W558" s="133"/>
      <c r="X558" s="133"/>
      <c r="Y558" s="133"/>
      <c r="Z558" s="133"/>
      <c r="AA558" s="133"/>
      <c r="AB558" s="133"/>
      <c r="AC558" s="133"/>
      <c r="AD558" s="133"/>
      <c r="AE558" s="133"/>
      <c r="AF558" s="133"/>
      <c r="AG558" s="133"/>
      <c r="AH558" s="133"/>
      <c r="AI558" s="133"/>
      <c r="AJ558" s="133"/>
      <c r="AK558" s="133"/>
      <c r="AL558" s="133"/>
      <c r="AM558" s="133"/>
      <c r="AN558" s="133"/>
      <c r="AO558" s="133"/>
      <c r="AP558" s="133"/>
      <c r="AQ558" s="133"/>
      <c r="AR558" s="133"/>
      <c r="AS558" s="153">
        <v>0</v>
      </c>
      <c r="AT558" s="153">
        <v>0</v>
      </c>
      <c r="AU558" s="153">
        <v>0</v>
      </c>
      <c r="AV558" s="153"/>
      <c r="AW558" s="153"/>
      <c r="AX558" s="153"/>
      <c r="AY558" s="135"/>
      <c r="AZ558" s="135"/>
      <c r="BA558" s="135">
        <f>IF(BK558="Принят",(H558/1.18-AW558-AZ558)*0.1,H558/1.18*0.8*0.1)</f>
        <v>2490.2542372881362</v>
      </c>
      <c r="BB558" s="135">
        <f>(I558/1.18-AT558-AW558-AZ558)*0.1-BA558</f>
        <v>0</v>
      </c>
      <c r="BC558" s="135"/>
      <c r="BD558" s="135"/>
      <c r="BE558" s="135">
        <f>(H558/1.18-AT558-AW558-AZ558-BD558)*0.1-AU558-AX558-BA558-BB558</f>
        <v>0</v>
      </c>
      <c r="BF558" s="135"/>
      <c r="BG558" s="135"/>
      <c r="BH558" s="135"/>
      <c r="BI558" s="2" t="s">
        <v>118</v>
      </c>
      <c r="BJ558" s="136">
        <v>45381</v>
      </c>
      <c r="BK558" s="2" t="s">
        <v>109</v>
      </c>
      <c r="BL558" s="136" t="s">
        <v>113</v>
      </c>
      <c r="BM558" s="136">
        <v>45215</v>
      </c>
      <c r="BN558" s="2" t="s">
        <v>2172</v>
      </c>
      <c r="BO558" s="2"/>
      <c r="BP558" s="136"/>
      <c r="BQ558" s="137" t="s">
        <v>119</v>
      </c>
      <c r="BR558" s="138"/>
    </row>
    <row r="559" spans="1:70" ht="12.75" customHeight="1" x14ac:dyDescent="0.2">
      <c r="A559" s="2">
        <v>2048</v>
      </c>
      <c r="B559" s="2" t="s">
        <v>19</v>
      </c>
      <c r="C559" s="2" t="s">
        <v>20</v>
      </c>
      <c r="D559" s="2" t="s">
        <v>2174</v>
      </c>
      <c r="E559" s="2" t="s">
        <v>115</v>
      </c>
      <c r="F559" s="132">
        <v>29272</v>
      </c>
      <c r="G559" s="132">
        <v>2</v>
      </c>
      <c r="H559" s="132">
        <v>29272</v>
      </c>
      <c r="I559" s="132">
        <v>29272</v>
      </c>
      <c r="J559" s="132">
        <f>4465.22+24806.78</f>
        <v>29272</v>
      </c>
      <c r="K559" s="132">
        <f t="shared" si="56"/>
        <v>0</v>
      </c>
      <c r="L559" s="132">
        <f t="shared" si="59"/>
        <v>0</v>
      </c>
      <c r="M559" s="133">
        <v>1E-3</v>
      </c>
      <c r="N559" s="133">
        <f t="shared" si="64"/>
        <v>0</v>
      </c>
      <c r="O559" s="134">
        <v>0</v>
      </c>
      <c r="P559" s="133"/>
      <c r="Q559" s="2"/>
      <c r="R559" s="156">
        <f t="shared" si="60"/>
        <v>0</v>
      </c>
      <c r="S559" s="156">
        <f t="shared" si="61"/>
        <v>0</v>
      </c>
      <c r="T559" s="133"/>
      <c r="U559" s="133"/>
      <c r="V559" s="133"/>
      <c r="W559" s="133"/>
      <c r="X559" s="133"/>
      <c r="Y559" s="133"/>
      <c r="Z559" s="133"/>
      <c r="AA559" s="133"/>
      <c r="AB559" s="133"/>
      <c r="AC559" s="133"/>
      <c r="AD559" s="133"/>
      <c r="AE559" s="133"/>
      <c r="AF559" s="133"/>
      <c r="AG559" s="133"/>
      <c r="AH559" s="133"/>
      <c r="AI559" s="133"/>
      <c r="AJ559" s="133"/>
      <c r="AK559" s="133"/>
      <c r="AL559" s="133"/>
      <c r="AM559" s="133"/>
      <c r="AN559" s="133"/>
      <c r="AO559" s="133"/>
      <c r="AP559" s="133"/>
      <c r="AQ559" s="133"/>
      <c r="AR559" s="133"/>
      <c r="AS559" s="153">
        <v>0</v>
      </c>
      <c r="AT559" s="153">
        <v>0</v>
      </c>
      <c r="AU559" s="153">
        <v>0</v>
      </c>
      <c r="AV559" s="153"/>
      <c r="AW559" s="153"/>
      <c r="AX559" s="153"/>
      <c r="AY559" s="135"/>
      <c r="AZ559" s="135"/>
      <c r="BA559" s="135">
        <f>IF(BK559="Принят",(H559/1.18-AW559-AZ559)*0.1,H559/1.18*0.8*0.1)</f>
        <v>2480.6779661016953</v>
      </c>
      <c r="BB559" s="135">
        <f>(I559/1.18-AT559-AW559-AZ559)*0.1-BA559</f>
        <v>0</v>
      </c>
      <c r="BC559" s="135"/>
      <c r="BD559" s="135"/>
      <c r="BE559" s="135">
        <f>(H559/1.18-AT559-AW559-AZ559-BD559)*0.1-AU559-AX559-BA559-BB559</f>
        <v>0</v>
      </c>
      <c r="BF559" s="135"/>
      <c r="BG559" s="135"/>
      <c r="BH559" s="135"/>
      <c r="BI559" s="2" t="s">
        <v>118</v>
      </c>
      <c r="BJ559" s="136">
        <v>45381</v>
      </c>
      <c r="BK559" s="2" t="s">
        <v>109</v>
      </c>
      <c r="BL559" s="136" t="s">
        <v>113</v>
      </c>
      <c r="BM559" s="136">
        <v>45215</v>
      </c>
      <c r="BN559" s="2" t="s">
        <v>2172</v>
      </c>
      <c r="BO559" s="2"/>
      <c r="BP559" s="136"/>
      <c r="BQ559" s="137" t="s">
        <v>119</v>
      </c>
      <c r="BR559" s="138"/>
    </row>
    <row r="560" spans="1:70" ht="12.75" customHeight="1" x14ac:dyDescent="0.2">
      <c r="A560" s="2">
        <v>2049</v>
      </c>
      <c r="B560" s="2" t="s">
        <v>19</v>
      </c>
      <c r="C560" s="2" t="s">
        <v>24</v>
      </c>
      <c r="D560" s="2" t="s">
        <v>2175</v>
      </c>
      <c r="E560" s="2" t="s">
        <v>115</v>
      </c>
      <c r="F560" s="132">
        <v>19189</v>
      </c>
      <c r="G560" s="132">
        <v>2</v>
      </c>
      <c r="H560" s="132">
        <v>19189</v>
      </c>
      <c r="I560" s="132">
        <v>19189</v>
      </c>
      <c r="J560" s="132">
        <f>2927.14+16261.86</f>
        <v>19189</v>
      </c>
      <c r="K560" s="132">
        <f t="shared" si="56"/>
        <v>0</v>
      </c>
      <c r="L560" s="132">
        <f t="shared" si="59"/>
        <v>0</v>
      </c>
      <c r="M560" s="133">
        <v>1E-3</v>
      </c>
      <c r="N560" s="133">
        <f t="shared" si="64"/>
        <v>0</v>
      </c>
      <c r="O560" s="134">
        <v>0</v>
      </c>
      <c r="P560" s="133"/>
      <c r="Q560" s="2"/>
      <c r="R560" s="156">
        <f t="shared" si="60"/>
        <v>0</v>
      </c>
      <c r="S560" s="156">
        <f t="shared" si="61"/>
        <v>0</v>
      </c>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53">
        <v>0</v>
      </c>
      <c r="AT560" s="153">
        <v>0</v>
      </c>
      <c r="AU560" s="153">
        <v>0</v>
      </c>
      <c r="AV560" s="153"/>
      <c r="AW560" s="153"/>
      <c r="AX560" s="153"/>
      <c r="AY560" s="135"/>
      <c r="AZ560" s="135"/>
      <c r="BA560" s="135">
        <f>IF(BK560="Принят",(H560/1.18-AW560-AZ560)*0.1,H560/1.18*0.8*0.1)</f>
        <v>1626.1864406779662</v>
      </c>
      <c r="BB560" s="135">
        <f>(I560/1.18-AT560-AW560-AZ560)*0.1-BA560</f>
        <v>0</v>
      </c>
      <c r="BC560" s="135"/>
      <c r="BD560" s="135"/>
      <c r="BE560" s="135">
        <f>(H560/1.18-AT560-AW560-AZ560-BD560)*0.1-AU560-AX560-BA560-BB560</f>
        <v>0</v>
      </c>
      <c r="BF560" s="135"/>
      <c r="BG560" s="135"/>
      <c r="BH560" s="135"/>
      <c r="BI560" s="2" t="s">
        <v>118</v>
      </c>
      <c r="BJ560" s="136">
        <v>45381</v>
      </c>
      <c r="BK560" s="2" t="s">
        <v>109</v>
      </c>
      <c r="BL560" s="136" t="s">
        <v>113</v>
      </c>
      <c r="BM560" s="136">
        <v>45215</v>
      </c>
      <c r="BN560" s="2" t="s">
        <v>2172</v>
      </c>
      <c r="BO560" s="2"/>
      <c r="BP560" s="136"/>
      <c r="BQ560" s="137" t="s">
        <v>119</v>
      </c>
      <c r="BR560" s="138"/>
    </row>
    <row r="561" spans="1:70" ht="12.75" customHeight="1" x14ac:dyDescent="0.2">
      <c r="A561" s="2">
        <v>2050</v>
      </c>
      <c r="B561" s="2" t="s">
        <v>28</v>
      </c>
      <c r="C561" s="2" t="s">
        <v>56</v>
      </c>
      <c r="D561" s="2" t="s">
        <v>2178</v>
      </c>
      <c r="E561" s="2" t="s">
        <v>105</v>
      </c>
      <c r="F561" s="132">
        <v>9500000</v>
      </c>
      <c r="G561" s="132"/>
      <c r="H561" s="132">
        <f>1300000+700000+1500000+3400000+500000+R561</f>
        <v>8750000</v>
      </c>
      <c r="I561" s="132">
        <f>1300000+700000+1500000+3400000+500000</f>
        <v>7400000</v>
      </c>
      <c r="J561" s="132">
        <f>500000+500000+550000+500000+N("გადაირ. პირდ.")+500000+N("გადაირ. პირდ.")+500000+N("გადაირ. პირდ.")+300000+N("გადაირ. პირდ.")+150000+250000+N("გადაირ. პირდ.")+750000+N("გადაირ. პირდ.")+300000+N("გადაირ. პირდ.")+350000+N("გადაირ. პირდ.")+400000+N("გადაირ. პირდ.")+700000+N("გადაირ. პირდ.")+350000+N("გადაირ. პირდ.")+175000+N("გადაირ. პირდ.")+S561+AY561+BC561</f>
        <v>8750000</v>
      </c>
      <c r="K561" s="132">
        <f t="shared" si="56"/>
        <v>750000</v>
      </c>
      <c r="L561" s="132">
        <f t="shared" si="59"/>
        <v>0</v>
      </c>
      <c r="M561" s="133"/>
      <c r="N561" s="133">
        <f t="shared" si="64"/>
        <v>750000</v>
      </c>
      <c r="O561" s="134">
        <v>1</v>
      </c>
      <c r="P561" s="133"/>
      <c r="Q561" s="2" t="s">
        <v>2179</v>
      </c>
      <c r="R561" s="156">
        <f t="shared" si="60"/>
        <v>1350000</v>
      </c>
      <c r="S561" s="156">
        <f t="shared" si="61"/>
        <v>1348728.82</v>
      </c>
      <c r="T561" s="133"/>
      <c r="U561" s="133"/>
      <c r="V561" s="133"/>
      <c r="W561" s="133"/>
      <c r="X561" s="133">
        <v>500000</v>
      </c>
      <c r="Y561" s="133"/>
      <c r="Z561" s="133"/>
      <c r="AA561" s="133">
        <f>498728.82+N("გადაირიცხა პირდაპირ")</f>
        <v>498728.82</v>
      </c>
      <c r="AB561" s="133">
        <v>300000</v>
      </c>
      <c r="AC561" s="133"/>
      <c r="AD561" s="133">
        <v>550000</v>
      </c>
      <c r="AE561" s="133">
        <f>170000+680000+N("ორთავე გადაირიცხა პირდაპირ")</f>
        <v>850000</v>
      </c>
      <c r="AF561" s="133"/>
      <c r="AG561" s="133"/>
      <c r="AH561" s="133"/>
      <c r="AI561" s="133"/>
      <c r="AJ561" s="133"/>
      <c r="AK561" s="133"/>
      <c r="AL561" s="133"/>
      <c r="AM561" s="133"/>
      <c r="AN561" s="133"/>
      <c r="AO561" s="133"/>
      <c r="AP561" s="133"/>
      <c r="AQ561" s="133"/>
      <c r="AR561" s="133"/>
      <c r="AS561" s="153">
        <v>0</v>
      </c>
      <c r="AT561" s="153">
        <v>0</v>
      </c>
      <c r="AU561" s="153">
        <v>0</v>
      </c>
      <c r="AV561" s="153">
        <v>0</v>
      </c>
      <c r="AW561" s="153">
        <v>0</v>
      </c>
      <c r="AX561" s="153">
        <v>0</v>
      </c>
      <c r="AY561" s="135">
        <v>423728.81</v>
      </c>
      <c r="AZ561" s="135"/>
      <c r="BA561" s="135"/>
      <c r="BB561" s="135"/>
      <c r="BC561" s="135">
        <f>202542.37</f>
        <v>202542.37</v>
      </c>
      <c r="BD561" s="135">
        <f>30103.9</f>
        <v>30103.9</v>
      </c>
      <c r="BE561" s="135"/>
      <c r="BF561" s="135"/>
      <c r="BG561" s="135"/>
      <c r="BH561" s="135"/>
      <c r="BI561" s="2" t="s">
        <v>10</v>
      </c>
      <c r="BJ561" s="136"/>
      <c r="BK561" s="2">
        <v>80</v>
      </c>
      <c r="BL561" s="136" t="s">
        <v>113</v>
      </c>
      <c r="BM561" s="136">
        <v>45307</v>
      </c>
      <c r="BN561" s="2" t="s">
        <v>2180</v>
      </c>
      <c r="BO561" s="2"/>
      <c r="BP561" s="136"/>
      <c r="BQ561" s="137" t="s">
        <v>119</v>
      </c>
      <c r="BR561" s="138"/>
    </row>
    <row r="562" spans="1:70" ht="12.75" customHeight="1" x14ac:dyDescent="0.2">
      <c r="A562" s="2">
        <v>2051</v>
      </c>
      <c r="B562" s="2" t="s">
        <v>28</v>
      </c>
      <c r="C562" s="2" t="s">
        <v>91</v>
      </c>
      <c r="D562" s="2" t="s">
        <v>3792</v>
      </c>
      <c r="E562" s="2" t="s">
        <v>105</v>
      </c>
      <c r="F562" s="132">
        <v>5560000</v>
      </c>
      <c r="G562" s="132">
        <v>2</v>
      </c>
      <c r="H562" s="132">
        <f>R562</f>
        <v>7030000</v>
      </c>
      <c r="I562" s="132"/>
      <c r="J562" s="132">
        <f>S562+BC562</f>
        <v>6330000</v>
      </c>
      <c r="K562" s="132">
        <f t="shared" si="56"/>
        <v>-770000</v>
      </c>
      <c r="L562" s="132">
        <f t="shared" si="59"/>
        <v>700000</v>
      </c>
      <c r="M562" s="133"/>
      <c r="N562" s="133">
        <f t="shared" si="64"/>
        <v>-770000</v>
      </c>
      <c r="O562" s="134">
        <v>1</v>
      </c>
      <c r="P562" s="133"/>
      <c r="Q562" s="2" t="s">
        <v>2181</v>
      </c>
      <c r="R562" s="156">
        <f t="shared" si="60"/>
        <v>7030000</v>
      </c>
      <c r="S562" s="156">
        <f t="shared" si="61"/>
        <v>2236779.48</v>
      </c>
      <c r="T562" s="133">
        <v>3000000</v>
      </c>
      <c r="U562" s="133"/>
      <c r="V562" s="133">
        <v>1330000</v>
      </c>
      <c r="W562" s="133">
        <f>457627.12</f>
        <v>457627.12</v>
      </c>
      <c r="X562" s="133">
        <v>500000</v>
      </c>
      <c r="Y562" s="133"/>
      <c r="Z562" s="133"/>
      <c r="AA562" s="133">
        <f>279152.36+N("გადახდილია პირდაპირ")</f>
        <v>279152.36</v>
      </c>
      <c r="AB562" s="133">
        <v>1500000</v>
      </c>
      <c r="AC562" s="133"/>
      <c r="AD562" s="133"/>
      <c r="AE562" s="133">
        <f>1500000+N("გადაირიცხა პირდაპირ")</f>
        <v>1500000</v>
      </c>
      <c r="AF562" s="133"/>
      <c r="AG562" s="133"/>
      <c r="AH562" s="133">
        <v>700000</v>
      </c>
      <c r="AI562" s="133"/>
      <c r="AJ562" s="133"/>
      <c r="AK562" s="133"/>
      <c r="AL562" s="133"/>
      <c r="AM562" s="133"/>
      <c r="AN562" s="133"/>
      <c r="AO562" s="133"/>
      <c r="AP562" s="133"/>
      <c r="AQ562" s="133"/>
      <c r="AR562" s="133"/>
      <c r="AS562" s="153">
        <v>0</v>
      </c>
      <c r="AT562" s="153">
        <v>0</v>
      </c>
      <c r="AU562" s="153">
        <v>0</v>
      </c>
      <c r="AV562" s="153">
        <v>0</v>
      </c>
      <c r="AW562" s="153">
        <v>0</v>
      </c>
      <c r="AX562" s="153">
        <v>0</v>
      </c>
      <c r="AY562" s="135"/>
      <c r="AZ562" s="135"/>
      <c r="BA562" s="135"/>
      <c r="BB562" s="135"/>
      <c r="BC562" s="135">
        <f>2542372.88+1127118.64+423729</f>
        <v>4093220.5199999996</v>
      </c>
      <c r="BD562" s="135">
        <f>21685.45+51683.31+62978.87</f>
        <v>136347.63</v>
      </c>
      <c r="BE562" s="135"/>
      <c r="BF562" s="135"/>
      <c r="BG562" s="135"/>
      <c r="BH562" s="135"/>
      <c r="BI562" s="2" t="s">
        <v>11</v>
      </c>
      <c r="BJ562" s="136"/>
      <c r="BK562" s="2">
        <v>0</v>
      </c>
      <c r="BL562" s="136" t="s">
        <v>18</v>
      </c>
      <c r="BM562" s="136">
        <v>45307</v>
      </c>
      <c r="BN562" s="2" t="s">
        <v>2182</v>
      </c>
      <c r="BO562" s="2"/>
      <c r="BP562" s="136"/>
      <c r="BQ562" s="137" t="s">
        <v>119</v>
      </c>
      <c r="BR562" s="138"/>
    </row>
    <row r="563" spans="1:70" ht="12.75" customHeight="1" x14ac:dyDescent="0.2">
      <c r="A563" s="2">
        <v>2052</v>
      </c>
      <c r="B563" s="2" t="s">
        <v>28</v>
      </c>
      <c r="C563" s="2" t="s">
        <v>91</v>
      </c>
      <c r="D563" s="2" t="s">
        <v>3793</v>
      </c>
      <c r="E563" s="2" t="s">
        <v>105</v>
      </c>
      <c r="F563" s="132">
        <f>710000+630000</f>
        <v>1340000</v>
      </c>
      <c r="G563" s="132">
        <v>2</v>
      </c>
      <c r="H563" s="132">
        <f>800000+2000+R563</f>
        <v>1605788.04</v>
      </c>
      <c r="I563" s="132"/>
      <c r="J563" s="132">
        <f>305.084+S563+AY563+BC563</f>
        <v>1605788.044</v>
      </c>
      <c r="K563" s="132">
        <f t="shared" si="56"/>
        <v>-265788.04399999999</v>
      </c>
      <c r="L563" s="132">
        <f t="shared" si="59"/>
        <v>-3.9999999571591616E-3</v>
      </c>
      <c r="M563" s="133">
        <v>22108.75</v>
      </c>
      <c r="N563" s="133">
        <f t="shared" si="64"/>
        <v>-3.9999999571591616E-3</v>
      </c>
      <c r="O563" s="134">
        <v>1</v>
      </c>
      <c r="P563" s="133"/>
      <c r="Q563" s="2" t="s">
        <v>3795</v>
      </c>
      <c r="R563" s="156">
        <f t="shared" si="60"/>
        <v>803788.04</v>
      </c>
      <c r="S563" s="156">
        <f t="shared" si="61"/>
        <v>247855.76</v>
      </c>
      <c r="T563" s="133">
        <v>800000</v>
      </c>
      <c r="U563" s="133"/>
      <c r="V563" s="133"/>
      <c r="W563" s="133">
        <f>122033.9</f>
        <v>122033.9</v>
      </c>
      <c r="X563" s="133"/>
      <c r="Y563" s="133"/>
      <c r="Z563" s="133"/>
      <c r="AA563" s="133">
        <f>122033.82+N("გადაირიცხა პირდაპირ")</f>
        <v>122033.82</v>
      </c>
      <c r="AB563" s="133"/>
      <c r="AC563" s="133"/>
      <c r="AD563" s="133"/>
      <c r="AE563" s="133"/>
      <c r="AF563" s="133"/>
      <c r="AG563" s="133"/>
      <c r="AH563" s="133"/>
      <c r="AI563" s="133"/>
      <c r="AJ563" s="133">
        <v>3788.04</v>
      </c>
      <c r="AK563" s="133">
        <v>3788.04</v>
      </c>
      <c r="AL563" s="133"/>
      <c r="AM563" s="133"/>
      <c r="AN563" s="133"/>
      <c r="AO563" s="133"/>
      <c r="AP563" s="133"/>
      <c r="AQ563" s="133"/>
      <c r="AR563" s="133"/>
      <c r="AS563" s="153">
        <v>0</v>
      </c>
      <c r="AT563" s="153">
        <v>0</v>
      </c>
      <c r="AU563" s="153">
        <v>0</v>
      </c>
      <c r="AV563" s="153">
        <v>0</v>
      </c>
      <c r="AW563" s="153">
        <v>0</v>
      </c>
      <c r="AX563" s="153">
        <v>0</v>
      </c>
      <c r="AY563" s="135">
        <v>677966.1</v>
      </c>
      <c r="AZ563" s="135">
        <v>13782.21</v>
      </c>
      <c r="BA563" s="135"/>
      <c r="BB563" s="135"/>
      <c r="BC563" s="135">
        <f>677966.1+1695</f>
        <v>679661.1</v>
      </c>
      <c r="BD563" s="135">
        <f>44299.98+251.92</f>
        <v>44551.9</v>
      </c>
      <c r="BE563" s="135"/>
      <c r="BF563" s="135"/>
      <c r="BG563" s="135"/>
      <c r="BH563" s="135"/>
      <c r="BI563" s="2" t="s">
        <v>11</v>
      </c>
      <c r="BJ563" s="136">
        <v>45929</v>
      </c>
      <c r="BK563" s="2" t="s">
        <v>8</v>
      </c>
      <c r="BL563" s="136" t="s">
        <v>18</v>
      </c>
      <c r="BM563" s="136">
        <v>45307</v>
      </c>
      <c r="BN563" s="2" t="s">
        <v>3544</v>
      </c>
      <c r="BO563" s="2"/>
      <c r="BP563" s="136"/>
      <c r="BQ563" s="137" t="s">
        <v>119</v>
      </c>
      <c r="BR563" s="138"/>
    </row>
    <row r="564" spans="1:70" ht="12.75" customHeight="1" x14ac:dyDescent="0.2">
      <c r="A564" s="2">
        <v>2053</v>
      </c>
      <c r="B564" s="2" t="s">
        <v>28</v>
      </c>
      <c r="C564" s="2" t="s">
        <v>91</v>
      </c>
      <c r="D564" s="2" t="s">
        <v>3172</v>
      </c>
      <c r="E564" s="2" t="s">
        <v>105</v>
      </c>
      <c r="F564" s="132">
        <v>0</v>
      </c>
      <c r="G564" s="132" t="s">
        <v>3645</v>
      </c>
      <c r="H564" s="132"/>
      <c r="I564" s="132"/>
      <c r="J564" s="132"/>
      <c r="K564" s="132">
        <f t="shared" si="56"/>
        <v>0</v>
      </c>
      <c r="L564" s="132">
        <f t="shared" si="59"/>
        <v>0</v>
      </c>
      <c r="M564" s="133"/>
      <c r="N564" s="133">
        <f t="shared" si="64"/>
        <v>0</v>
      </c>
      <c r="O564" s="134">
        <v>1</v>
      </c>
      <c r="P564" s="133"/>
      <c r="Q564" s="2" t="s">
        <v>3794</v>
      </c>
      <c r="R564" s="156">
        <f t="shared" si="60"/>
        <v>0</v>
      </c>
      <c r="S564" s="156">
        <f t="shared" si="61"/>
        <v>0</v>
      </c>
      <c r="T564" s="133"/>
      <c r="U564" s="133"/>
      <c r="V564" s="133"/>
      <c r="W564" s="133"/>
      <c r="X564" s="133"/>
      <c r="Y564" s="133"/>
      <c r="Z564" s="133"/>
      <c r="AA564" s="133"/>
      <c r="AB564" s="133"/>
      <c r="AC564" s="133"/>
      <c r="AD564" s="133"/>
      <c r="AE564" s="133"/>
      <c r="AF564" s="133"/>
      <c r="AG564" s="133"/>
      <c r="AH564" s="133"/>
      <c r="AI564" s="133"/>
      <c r="AJ564" s="133"/>
      <c r="AK564" s="133"/>
      <c r="AL564" s="133"/>
      <c r="AM564" s="133"/>
      <c r="AN564" s="133"/>
      <c r="AO564" s="133"/>
      <c r="AP564" s="133"/>
      <c r="AQ564" s="133"/>
      <c r="AR564" s="133"/>
      <c r="AS564" s="153">
        <v>0</v>
      </c>
      <c r="AT564" s="153">
        <v>0</v>
      </c>
      <c r="AU564" s="153">
        <v>0</v>
      </c>
      <c r="AV564" s="153">
        <v>0</v>
      </c>
      <c r="AW564" s="153">
        <v>0</v>
      </c>
      <c r="AX564" s="153">
        <v>0</v>
      </c>
      <c r="AY564" s="135"/>
      <c r="AZ564" s="135"/>
      <c r="BA564" s="135"/>
      <c r="BB564" s="135"/>
      <c r="BC564" s="135"/>
      <c r="BD564" s="135"/>
      <c r="BE564" s="135"/>
      <c r="BF564" s="135"/>
      <c r="BG564" s="135"/>
      <c r="BH564" s="135"/>
      <c r="BI564" s="2" t="s">
        <v>11</v>
      </c>
      <c r="BJ564" s="136"/>
      <c r="BK564" s="2">
        <v>0</v>
      </c>
      <c r="BL564" s="136" t="s">
        <v>18</v>
      </c>
      <c r="BM564" s="136">
        <v>45307</v>
      </c>
      <c r="BN564" s="2" t="s">
        <v>2183</v>
      </c>
      <c r="BO564" s="2"/>
      <c r="BP564" s="136"/>
      <c r="BQ564" s="137" t="s">
        <v>119</v>
      </c>
      <c r="BR564" s="138"/>
    </row>
    <row r="565" spans="1:70" ht="12.75" customHeight="1" x14ac:dyDescent="0.2">
      <c r="A565" s="2">
        <v>2054</v>
      </c>
      <c r="B565" s="2" t="s">
        <v>54</v>
      </c>
      <c r="C565" s="2" t="s">
        <v>96</v>
      </c>
      <c r="D565" s="2" t="s">
        <v>2185</v>
      </c>
      <c r="E565" s="2" t="s">
        <v>75</v>
      </c>
      <c r="F565" s="132">
        <v>2300000</v>
      </c>
      <c r="G565" s="132"/>
      <c r="H565" s="132"/>
      <c r="I565" s="132"/>
      <c r="J565" s="132"/>
      <c r="K565" s="132">
        <f t="shared" si="56"/>
        <v>2300000</v>
      </c>
      <c r="L565" s="132">
        <f t="shared" si="59"/>
        <v>0</v>
      </c>
      <c r="M565" s="133"/>
      <c r="N565" s="133">
        <f t="shared" si="64"/>
        <v>2300000</v>
      </c>
      <c r="O565" s="134">
        <v>1</v>
      </c>
      <c r="P565" s="133"/>
      <c r="Q565" s="2" t="s">
        <v>2184</v>
      </c>
      <c r="R565" s="156">
        <f t="shared" si="60"/>
        <v>0</v>
      </c>
      <c r="S565" s="156">
        <f t="shared" si="61"/>
        <v>0</v>
      </c>
      <c r="T565" s="133"/>
      <c r="U565" s="133"/>
      <c r="V565" s="133"/>
      <c r="W565" s="133"/>
      <c r="X565" s="133"/>
      <c r="Y565" s="133"/>
      <c r="Z565" s="133"/>
      <c r="AA565" s="133"/>
      <c r="AB565" s="133"/>
      <c r="AC565" s="133"/>
      <c r="AD565" s="133"/>
      <c r="AE565" s="133"/>
      <c r="AF565" s="133"/>
      <c r="AG565" s="133"/>
      <c r="AH565" s="133"/>
      <c r="AI565" s="133"/>
      <c r="AJ565" s="133"/>
      <c r="AK565" s="133"/>
      <c r="AL565" s="133"/>
      <c r="AM565" s="133"/>
      <c r="AN565" s="133"/>
      <c r="AO565" s="133"/>
      <c r="AP565" s="133"/>
      <c r="AQ565" s="133"/>
      <c r="AR565" s="133"/>
      <c r="AS565" s="153">
        <v>0</v>
      </c>
      <c r="AT565" s="153">
        <v>0</v>
      </c>
      <c r="AU565" s="153">
        <v>0</v>
      </c>
      <c r="AV565" s="153">
        <v>0</v>
      </c>
      <c r="AW565" s="153">
        <v>0</v>
      </c>
      <c r="AX565" s="153">
        <v>0</v>
      </c>
      <c r="AY565" s="135"/>
      <c r="AZ565" s="135"/>
      <c r="BA565" s="135"/>
      <c r="BB565" s="135"/>
      <c r="BC565" s="135"/>
      <c r="BD565" s="135"/>
      <c r="BE565" s="135"/>
      <c r="BF565" s="135"/>
      <c r="BG565" s="135"/>
      <c r="BH565" s="135"/>
      <c r="BI565" s="2" t="s">
        <v>11</v>
      </c>
      <c r="BJ565" s="136"/>
      <c r="BK565" s="2">
        <v>0</v>
      </c>
      <c r="BL565" s="136" t="s">
        <v>18</v>
      </c>
      <c r="BM565" s="136">
        <v>45306</v>
      </c>
      <c r="BN565" s="2" t="s">
        <v>2191</v>
      </c>
      <c r="BO565" s="2"/>
      <c r="BP565" s="136"/>
      <c r="BQ565" s="137" t="s">
        <v>119</v>
      </c>
      <c r="BR565" s="138"/>
    </row>
    <row r="566" spans="1:70" ht="12.75" customHeight="1" x14ac:dyDescent="0.2">
      <c r="A566" s="2">
        <v>2055</v>
      </c>
      <c r="B566" s="2" t="s">
        <v>39</v>
      </c>
      <c r="C566" s="2" t="s">
        <v>41</v>
      </c>
      <c r="D566" s="2" t="s">
        <v>2186</v>
      </c>
      <c r="E566" s="2" t="s">
        <v>75</v>
      </c>
      <c r="F566" s="132">
        <v>1700000</v>
      </c>
      <c r="G566" s="132">
        <v>2</v>
      </c>
      <c r="H566" s="132">
        <f>500000</f>
        <v>500000</v>
      </c>
      <c r="I566" s="132"/>
      <c r="J566" s="132">
        <f>76271.186+S566+AY566+BC566</f>
        <v>499999.99599999998</v>
      </c>
      <c r="K566" s="132">
        <f t="shared" ref="K566:K629" si="65">F566-J566</f>
        <v>1200000.004</v>
      </c>
      <c r="L566" s="132">
        <f t="shared" si="59"/>
        <v>4.0000000153668225E-3</v>
      </c>
      <c r="M566" s="133"/>
      <c r="N566" s="133">
        <f t="shared" si="64"/>
        <v>1200000.004</v>
      </c>
      <c r="O566" s="134">
        <v>1</v>
      </c>
      <c r="P566" s="133"/>
      <c r="Q566" s="2" t="s">
        <v>3182</v>
      </c>
      <c r="R566" s="156">
        <f t="shared" si="60"/>
        <v>0</v>
      </c>
      <c r="S566" s="156">
        <f t="shared" si="61"/>
        <v>0</v>
      </c>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53">
        <v>0</v>
      </c>
      <c r="AT566" s="153">
        <v>0</v>
      </c>
      <c r="AU566" s="153">
        <v>0</v>
      </c>
      <c r="AV566" s="153">
        <v>0</v>
      </c>
      <c r="AW566" s="153">
        <v>0</v>
      </c>
      <c r="AX566" s="153">
        <v>0</v>
      </c>
      <c r="AY566" s="135">
        <v>423728.81</v>
      </c>
      <c r="AZ566" s="135"/>
      <c r="BA566" s="135"/>
      <c r="BB566" s="135"/>
      <c r="BC566" s="135"/>
      <c r="BD566" s="135"/>
      <c r="BE566" s="135"/>
      <c r="BF566" s="135"/>
      <c r="BG566" s="135"/>
      <c r="BH566" s="135"/>
      <c r="BI566" s="2" t="s">
        <v>11</v>
      </c>
      <c r="BJ566" s="136"/>
      <c r="BK566" s="2">
        <v>30</v>
      </c>
      <c r="BL566" s="136" t="s">
        <v>113</v>
      </c>
      <c r="BM566" s="136">
        <v>45306</v>
      </c>
      <c r="BN566" s="2" t="s">
        <v>2192</v>
      </c>
      <c r="BO566" s="2"/>
      <c r="BP566" s="136"/>
      <c r="BQ566" s="137" t="s">
        <v>119</v>
      </c>
      <c r="BR566" s="138"/>
    </row>
    <row r="567" spans="1:70" ht="12.75" customHeight="1" x14ac:dyDescent="0.2">
      <c r="A567" s="2">
        <v>2056</v>
      </c>
      <c r="B567" s="2" t="s">
        <v>108</v>
      </c>
      <c r="C567" s="2" t="s">
        <v>40</v>
      </c>
      <c r="D567" s="2" t="s">
        <v>3883</v>
      </c>
      <c r="E567" s="2" t="s">
        <v>75</v>
      </c>
      <c r="F567" s="132">
        <v>1500000</v>
      </c>
      <c r="G567" s="132">
        <v>2</v>
      </c>
      <c r="H567" s="132">
        <f>300000+R567</f>
        <v>3271405.57</v>
      </c>
      <c r="I567" s="132"/>
      <c r="J567" s="132">
        <f>45762.71+S567+AY567+BC567</f>
        <v>3271405.5700000003</v>
      </c>
      <c r="K567" s="132">
        <f t="shared" si="65"/>
        <v>-1771405.5700000003</v>
      </c>
      <c r="L567" s="132">
        <f t="shared" si="59"/>
        <v>0</v>
      </c>
      <c r="M567" s="133">
        <v>15491</v>
      </c>
      <c r="N567" s="133">
        <f t="shared" si="64"/>
        <v>-4.6566128730773926E-10</v>
      </c>
      <c r="O567" s="134">
        <v>1</v>
      </c>
      <c r="P567" s="133"/>
      <c r="Q567" s="2" t="s">
        <v>2187</v>
      </c>
      <c r="R567" s="156">
        <f t="shared" si="60"/>
        <v>2971405.57</v>
      </c>
      <c r="S567" s="156">
        <f t="shared" si="61"/>
        <v>581575.07000000007</v>
      </c>
      <c r="T567" s="133">
        <v>500000</v>
      </c>
      <c r="U567" s="133"/>
      <c r="V567" s="133">
        <f>480000+880000</f>
        <v>1360000</v>
      </c>
      <c r="W567" s="133">
        <f>76271.19</f>
        <v>76271.19</v>
      </c>
      <c r="X567" s="133">
        <v>960000</v>
      </c>
      <c r="Y567" s="133">
        <f>73220.34+134237.29</f>
        <v>207457.63</v>
      </c>
      <c r="Z567" s="133">
        <v>151405.57</v>
      </c>
      <c r="AA567" s="133">
        <v>146440.68</v>
      </c>
      <c r="AB567" s="133"/>
      <c r="AC567" s="133">
        <v>23095.759999999998</v>
      </c>
      <c r="AD567" s="133"/>
      <c r="AE567" s="133">
        <v>128309.81</v>
      </c>
      <c r="AF567" s="133"/>
      <c r="AG567" s="133"/>
      <c r="AH567" s="133"/>
      <c r="AI567" s="133"/>
      <c r="AJ567" s="133"/>
      <c r="AK567" s="133"/>
      <c r="AL567" s="133"/>
      <c r="AM567" s="133"/>
      <c r="AN567" s="133"/>
      <c r="AO567" s="133"/>
      <c r="AP567" s="133"/>
      <c r="AQ567" s="133"/>
      <c r="AR567" s="133"/>
      <c r="AS567" s="153">
        <v>0</v>
      </c>
      <c r="AT567" s="153">
        <v>0</v>
      </c>
      <c r="AU567" s="153">
        <v>0</v>
      </c>
      <c r="AV567" s="153">
        <v>0</v>
      </c>
      <c r="AW567" s="153">
        <v>0</v>
      </c>
      <c r="AX567" s="153">
        <v>0</v>
      </c>
      <c r="AY567" s="135">
        <v>254237.29</v>
      </c>
      <c r="AZ567" s="135">
        <v>16797.07</v>
      </c>
      <c r="BA567" s="135"/>
      <c r="BB567" s="135"/>
      <c r="BC567" s="135">
        <f>423728.81+406779.66+745762.71+813559.32</f>
        <v>2389830.5</v>
      </c>
      <c r="BD567" s="135">
        <f>9536.8+7826.33+9153.47+120919.43</f>
        <v>147436.03</v>
      </c>
      <c r="BE567" s="135">
        <f>(H567/1.18-AT567-AW567-AZ567-BD567)*0.1-AU567-AX567-BA567-BB567</f>
        <v>260814.45016949158</v>
      </c>
      <c r="BF567" s="135"/>
      <c r="BG567" s="135"/>
      <c r="BH567" s="135"/>
      <c r="BI567" s="2" t="s">
        <v>11</v>
      </c>
      <c r="BJ567" s="136">
        <v>45775</v>
      </c>
      <c r="BK567" s="2" t="s">
        <v>8</v>
      </c>
      <c r="BL567" s="136" t="s">
        <v>113</v>
      </c>
      <c r="BM567" s="136">
        <v>45306</v>
      </c>
      <c r="BN567" s="2" t="s">
        <v>2193</v>
      </c>
      <c r="BO567" s="2"/>
      <c r="BP567" s="136"/>
      <c r="BQ567" s="137" t="s">
        <v>119</v>
      </c>
      <c r="BR567" s="138"/>
    </row>
    <row r="568" spans="1:70" ht="12.75" customHeight="1" x14ac:dyDescent="0.2">
      <c r="A568" s="2">
        <v>2057</v>
      </c>
      <c r="B568" s="2" t="s">
        <v>55</v>
      </c>
      <c r="C568" s="2" t="s">
        <v>68</v>
      </c>
      <c r="D568" s="2" t="s">
        <v>2189</v>
      </c>
      <c r="E568" s="2" t="s">
        <v>75</v>
      </c>
      <c r="F568" s="132">
        <v>450000</v>
      </c>
      <c r="G568" s="132">
        <v>2</v>
      </c>
      <c r="H568" s="132">
        <f>300000+200000+119091.15</f>
        <v>619091.15</v>
      </c>
      <c r="I568" s="132">
        <f>300000+200000+119091.15</f>
        <v>619091.15</v>
      </c>
      <c r="J568" s="132">
        <f>AY568+45762.712+30508.47+119091.148</f>
        <v>619091.15</v>
      </c>
      <c r="K568" s="132">
        <f t="shared" si="65"/>
        <v>-169091.15000000002</v>
      </c>
      <c r="L568" s="132">
        <f t="shared" si="59"/>
        <v>0</v>
      </c>
      <c r="M568" s="133">
        <v>1814.5</v>
      </c>
      <c r="N568" s="133">
        <f t="shared" si="64"/>
        <v>0</v>
      </c>
      <c r="O568" s="134">
        <v>0</v>
      </c>
      <c r="P568" s="133"/>
      <c r="Q568" s="2" t="s">
        <v>2190</v>
      </c>
      <c r="R568" s="156">
        <f t="shared" si="60"/>
        <v>0</v>
      </c>
      <c r="S568" s="156">
        <f t="shared" si="61"/>
        <v>0</v>
      </c>
      <c r="T568" s="133"/>
      <c r="U568" s="133"/>
      <c r="V568" s="133"/>
      <c r="W568" s="133"/>
      <c r="X568" s="133"/>
      <c r="Y568" s="133"/>
      <c r="Z568" s="133"/>
      <c r="AA568" s="133"/>
      <c r="AB568" s="133"/>
      <c r="AC568" s="133"/>
      <c r="AD568" s="133"/>
      <c r="AE568" s="133"/>
      <c r="AF568" s="133"/>
      <c r="AG568" s="133"/>
      <c r="AH568" s="133"/>
      <c r="AI568" s="133"/>
      <c r="AJ568" s="133"/>
      <c r="AK568" s="133"/>
      <c r="AL568" s="133"/>
      <c r="AM568" s="133"/>
      <c r="AN568" s="133"/>
      <c r="AO568" s="133"/>
      <c r="AP568" s="133"/>
      <c r="AQ568" s="133"/>
      <c r="AR568" s="133"/>
      <c r="AS568" s="153">
        <v>0</v>
      </c>
      <c r="AT568" s="153">
        <v>0</v>
      </c>
      <c r="AU568" s="153">
        <v>0</v>
      </c>
      <c r="AV568" s="153">
        <v>0</v>
      </c>
      <c r="AW568" s="153">
        <v>0</v>
      </c>
      <c r="AX568" s="153">
        <v>0</v>
      </c>
      <c r="AY568" s="135">
        <f>254237.29+169491.53</f>
        <v>423728.82</v>
      </c>
      <c r="AZ568" s="135">
        <f>26151.73+14695.06</f>
        <v>40846.79</v>
      </c>
      <c r="BA568" s="135">
        <f>300000/1.18*0.8*0.1</f>
        <v>20338.983050847462</v>
      </c>
      <c r="BB568" s="140">
        <f>(I568/1.18-AT568-AW568-AZ568)*0.1-BA568</f>
        <v>28041.689644067803</v>
      </c>
      <c r="BC568" s="135"/>
      <c r="BD568" s="135"/>
      <c r="BE568" s="135">
        <f>(H568/1.18-AT568-AW568-AZ568-BD568)*0.1-AU568-AX568-BA568-BB568</f>
        <v>0</v>
      </c>
      <c r="BF568" s="135"/>
      <c r="BG568" s="135"/>
      <c r="BH568" s="135"/>
      <c r="BI568" s="2" t="s">
        <v>11</v>
      </c>
      <c r="BJ568" s="136">
        <v>45580</v>
      </c>
      <c r="BK568" s="2" t="s">
        <v>8</v>
      </c>
      <c r="BL568" s="136" t="s">
        <v>113</v>
      </c>
      <c r="BM568" s="136">
        <v>45306</v>
      </c>
      <c r="BN568" s="2" t="s">
        <v>2194</v>
      </c>
      <c r="BO568" s="2"/>
      <c r="BP568" s="136"/>
      <c r="BQ568" s="137" t="s">
        <v>119</v>
      </c>
      <c r="BR568" s="138"/>
    </row>
    <row r="569" spans="1:70" ht="12.75" customHeight="1" x14ac:dyDescent="0.2">
      <c r="A569" s="2">
        <v>2058</v>
      </c>
      <c r="B569" s="2" t="s">
        <v>28</v>
      </c>
      <c r="C569" s="2" t="s">
        <v>29</v>
      </c>
      <c r="D569" s="2" t="s">
        <v>2200</v>
      </c>
      <c r="E569" s="2" t="s">
        <v>141</v>
      </c>
      <c r="F569" s="132">
        <v>1700000</v>
      </c>
      <c r="G569" s="132">
        <v>2</v>
      </c>
      <c r="H569" s="132">
        <f>230000+300000+500000+300000+R569</f>
        <v>2139393.7800000003</v>
      </c>
      <c r="I569" s="132"/>
      <c r="J569" s="132">
        <f>AY569+35084.745+45762.71+N("გადაირ. პირდ.")+76271.19+45762.71+S569+BC569</f>
        <v>2139393.4849999999</v>
      </c>
      <c r="K569" s="132">
        <f t="shared" si="65"/>
        <v>-439393.48499999987</v>
      </c>
      <c r="L569" s="132">
        <f t="shared" si="59"/>
        <v>0.29500000039115548</v>
      </c>
      <c r="M569" s="133">
        <v>28104</v>
      </c>
      <c r="N569" s="133">
        <f t="shared" si="64"/>
        <v>0.29500000039115548</v>
      </c>
      <c r="O569" s="134">
        <v>1</v>
      </c>
      <c r="P569" s="133"/>
      <c r="Q569" s="2" t="s">
        <v>2195</v>
      </c>
      <c r="R569" s="156">
        <f t="shared" si="60"/>
        <v>809393.78</v>
      </c>
      <c r="S569" s="156">
        <f t="shared" si="61"/>
        <v>285664.95999999996</v>
      </c>
      <c r="T569" s="133">
        <f>300000</f>
        <v>300000</v>
      </c>
      <c r="U569" s="133"/>
      <c r="V569" s="133"/>
      <c r="W569" s="133">
        <f>45762.71</f>
        <v>45762.71</v>
      </c>
      <c r="X569" s="133">
        <v>400000</v>
      </c>
      <c r="Y569" s="133"/>
      <c r="Z569" s="318">
        <v>109393.78</v>
      </c>
      <c r="AA569" s="133">
        <v>61016.95</v>
      </c>
      <c r="AB569" s="133"/>
      <c r="AC569" s="133">
        <v>16687.189999999999</v>
      </c>
      <c r="AD569" s="133"/>
      <c r="AE569" s="133">
        <v>162198.10999999999</v>
      </c>
      <c r="AF569" s="133"/>
      <c r="AG569" s="133"/>
      <c r="AH569" s="133"/>
      <c r="AI569" s="133"/>
      <c r="AJ569" s="133"/>
      <c r="AK569" s="133"/>
      <c r="AL569" s="133"/>
      <c r="AM569" s="133"/>
      <c r="AN569" s="133"/>
      <c r="AO569" s="133"/>
      <c r="AP569" s="133"/>
      <c r="AQ569" s="133"/>
      <c r="AR569" s="133"/>
      <c r="AS569" s="153">
        <v>0</v>
      </c>
      <c r="AT569" s="153">
        <v>0</v>
      </c>
      <c r="AU569" s="153">
        <v>0</v>
      </c>
      <c r="AV569" s="153">
        <v>0</v>
      </c>
      <c r="AW569" s="153">
        <v>0</v>
      </c>
      <c r="AX569" s="153">
        <v>0</v>
      </c>
      <c r="AY569" s="135">
        <f>194915.25+254237.29+354237+254237.29</f>
        <v>1057626.83</v>
      </c>
      <c r="AZ569" s="135">
        <f>19599.66+23626.65+29319.2+15874.16</f>
        <v>88419.67</v>
      </c>
      <c r="BA569" s="135"/>
      <c r="BB569" s="135"/>
      <c r="BC569" s="135">
        <f>254237.29+338983.05</f>
        <v>593220.34</v>
      </c>
      <c r="BD569" s="135">
        <f>5722.08+50527.05</f>
        <v>56249.130000000005</v>
      </c>
      <c r="BE569" s="135"/>
      <c r="BF569" s="135"/>
      <c r="BG569" s="135"/>
      <c r="BH569" s="135"/>
      <c r="BI569" s="2" t="s">
        <v>11</v>
      </c>
      <c r="BJ569" s="136">
        <v>45775</v>
      </c>
      <c r="BK569" s="2" t="s">
        <v>8</v>
      </c>
      <c r="BL569" s="136" t="s">
        <v>113</v>
      </c>
      <c r="BM569" s="136">
        <v>45308</v>
      </c>
      <c r="BN569" s="2" t="s">
        <v>2197</v>
      </c>
      <c r="BO569" s="2"/>
      <c r="BP569" s="136"/>
      <c r="BQ569" s="137" t="s">
        <v>134</v>
      </c>
      <c r="BR569" s="138"/>
    </row>
    <row r="570" spans="1:70" ht="12.75" customHeight="1" x14ac:dyDescent="0.2">
      <c r="A570" s="2">
        <v>2059</v>
      </c>
      <c r="B570" s="2" t="s">
        <v>108</v>
      </c>
      <c r="C570" s="2" t="s">
        <v>40</v>
      </c>
      <c r="D570" s="2" t="s">
        <v>2217</v>
      </c>
      <c r="E570" s="2" t="s">
        <v>141</v>
      </c>
      <c r="F570" s="132">
        <v>1700000</v>
      </c>
      <c r="G570" s="132">
        <v>2</v>
      </c>
      <c r="H570" s="132">
        <f>350000+R570</f>
        <v>565000</v>
      </c>
      <c r="I570" s="132"/>
      <c r="J570" s="132">
        <f>AY570+53389.83+S570+BC570</f>
        <v>565000</v>
      </c>
      <c r="K570" s="132">
        <f t="shared" si="65"/>
        <v>1135000</v>
      </c>
      <c r="L570" s="292">
        <f t="shared" si="59"/>
        <v>0</v>
      </c>
      <c r="M570" s="133"/>
      <c r="N570" s="133">
        <f t="shared" si="64"/>
        <v>1135000</v>
      </c>
      <c r="O570" s="134">
        <v>1</v>
      </c>
      <c r="P570" s="133"/>
      <c r="Q570" s="2" t="s">
        <v>2196</v>
      </c>
      <c r="R570" s="156">
        <f t="shared" si="60"/>
        <v>215000</v>
      </c>
      <c r="S570" s="156">
        <f t="shared" si="61"/>
        <v>32796.61</v>
      </c>
      <c r="T570" s="133"/>
      <c r="U570" s="133"/>
      <c r="V570" s="133">
        <v>215000</v>
      </c>
      <c r="W570" s="133"/>
      <c r="X570" s="133"/>
      <c r="Y570" s="133">
        <v>32796.61</v>
      </c>
      <c r="Z570" s="133"/>
      <c r="AA570" s="133"/>
      <c r="AB570" s="133"/>
      <c r="AC570" s="133"/>
      <c r="AD570" s="133"/>
      <c r="AE570" s="133"/>
      <c r="AF570" s="133"/>
      <c r="AG570" s="133"/>
      <c r="AH570" s="133"/>
      <c r="AI570" s="133"/>
      <c r="AJ570" s="133"/>
      <c r="AK570" s="133"/>
      <c r="AL570" s="133"/>
      <c r="AM570" s="133"/>
      <c r="AN570" s="133"/>
      <c r="AO570" s="133"/>
      <c r="AP570" s="133"/>
      <c r="AQ570" s="133"/>
      <c r="AR570" s="133"/>
      <c r="AS570" s="153">
        <v>0</v>
      </c>
      <c r="AT570" s="153">
        <v>0</v>
      </c>
      <c r="AU570" s="153">
        <v>0</v>
      </c>
      <c r="AV570" s="153">
        <v>0</v>
      </c>
      <c r="AW570" s="153">
        <v>0</v>
      </c>
      <c r="AX570" s="153">
        <v>0</v>
      </c>
      <c r="AY570" s="135">
        <f>296610.17</f>
        <v>296610.17</v>
      </c>
      <c r="AZ570" s="135"/>
      <c r="BA570" s="135"/>
      <c r="BB570" s="135"/>
      <c r="BC570" s="135">
        <f>182203.39</f>
        <v>182203.39</v>
      </c>
      <c r="BD570" s="135"/>
      <c r="BE570" s="135"/>
      <c r="BF570" s="135"/>
      <c r="BG570" s="135"/>
      <c r="BH570" s="135"/>
      <c r="BI570" s="2" t="s">
        <v>11</v>
      </c>
      <c r="BJ570" s="136"/>
      <c r="BK570" s="2">
        <v>30</v>
      </c>
      <c r="BL570" s="136" t="s">
        <v>113</v>
      </c>
      <c r="BM570" s="136">
        <v>45308</v>
      </c>
      <c r="BN570" s="2" t="s">
        <v>2199</v>
      </c>
      <c r="BO570" s="2"/>
      <c r="BP570" s="136"/>
      <c r="BQ570" s="137" t="s">
        <v>134</v>
      </c>
      <c r="BR570" s="138"/>
    </row>
    <row r="571" spans="1:70" ht="12.75" customHeight="1" x14ac:dyDescent="0.2">
      <c r="A571" s="2">
        <v>2060</v>
      </c>
      <c r="B571" s="2"/>
      <c r="C571" s="2"/>
      <c r="D571" s="2"/>
      <c r="E571" s="2"/>
      <c r="F571" s="132">
        <v>0</v>
      </c>
      <c r="G571" s="132"/>
      <c r="H571" s="132"/>
      <c r="I571" s="132"/>
      <c r="J571" s="132">
        <f>S571</f>
        <v>0</v>
      </c>
      <c r="K571" s="132">
        <f t="shared" si="65"/>
        <v>0</v>
      </c>
      <c r="L571" s="132">
        <f t="shared" si="59"/>
        <v>0</v>
      </c>
      <c r="M571" s="133"/>
      <c r="N571" s="133">
        <f t="shared" si="64"/>
        <v>0</v>
      </c>
      <c r="O571" s="134"/>
      <c r="P571" s="133"/>
      <c r="Q571" s="2"/>
      <c r="R571" s="156">
        <f t="shared" si="60"/>
        <v>0</v>
      </c>
      <c r="S571" s="156">
        <f t="shared" si="61"/>
        <v>0</v>
      </c>
      <c r="T571" s="133"/>
      <c r="U571" s="133"/>
      <c r="V571" s="133"/>
      <c r="W571" s="133"/>
      <c r="X571" s="133"/>
      <c r="Y571" s="133"/>
      <c r="Z571" s="133"/>
      <c r="AA571" s="133"/>
      <c r="AB571" s="133"/>
      <c r="AC571" s="133"/>
      <c r="AD571" s="133"/>
      <c r="AE571" s="133"/>
      <c r="AF571" s="133"/>
      <c r="AG571" s="133"/>
      <c r="AH571" s="133"/>
      <c r="AI571" s="133"/>
      <c r="AJ571" s="133"/>
      <c r="AK571" s="133"/>
      <c r="AL571" s="133"/>
      <c r="AM571" s="133"/>
      <c r="AN571" s="133"/>
      <c r="AO571" s="133"/>
      <c r="AP571" s="133"/>
      <c r="AQ571" s="133"/>
      <c r="AR571" s="133"/>
      <c r="AS571" s="153">
        <v>0</v>
      </c>
      <c r="AT571" s="153">
        <v>0</v>
      </c>
      <c r="AU571" s="153">
        <v>0</v>
      </c>
      <c r="AV571" s="153">
        <v>0</v>
      </c>
      <c r="AW571" s="153">
        <v>0</v>
      </c>
      <c r="AX571" s="153">
        <v>0</v>
      </c>
      <c r="AY571" s="135"/>
      <c r="AZ571" s="135"/>
      <c r="BA571" s="135"/>
      <c r="BB571" s="135"/>
      <c r="BC571" s="135"/>
      <c r="BD571" s="135"/>
      <c r="BE571" s="135"/>
      <c r="BF571" s="135"/>
      <c r="BG571" s="135"/>
      <c r="BH571" s="135"/>
      <c r="BI571" s="2"/>
      <c r="BJ571" s="136"/>
      <c r="BK571" s="2"/>
      <c r="BL571" s="136"/>
      <c r="BM571" s="136"/>
      <c r="BN571" s="2"/>
      <c r="BO571" s="2"/>
      <c r="BP571" s="136"/>
      <c r="BQ571" s="137"/>
      <c r="BR571" s="138"/>
    </row>
    <row r="572" spans="1:70" ht="12.75" customHeight="1" x14ac:dyDescent="0.2">
      <c r="A572" s="2">
        <v>2061</v>
      </c>
      <c r="B572" s="2" t="s">
        <v>19</v>
      </c>
      <c r="C572" s="2" t="s">
        <v>20</v>
      </c>
      <c r="D572" s="2" t="s">
        <v>2213</v>
      </c>
      <c r="E572" s="2" t="s">
        <v>115</v>
      </c>
      <c r="F572" s="132">
        <v>1560000</v>
      </c>
      <c r="G572" s="132">
        <v>2</v>
      </c>
      <c r="H572" s="132"/>
      <c r="I572" s="132"/>
      <c r="J572" s="132"/>
      <c r="K572" s="132">
        <f t="shared" si="65"/>
        <v>1560000</v>
      </c>
      <c r="L572" s="132">
        <f t="shared" si="59"/>
        <v>0</v>
      </c>
      <c r="M572" s="133"/>
      <c r="N572" s="133">
        <f t="shared" si="64"/>
        <v>1560000</v>
      </c>
      <c r="O572" s="134">
        <v>1</v>
      </c>
      <c r="P572" s="133"/>
      <c r="Q572" s="2" t="s">
        <v>2201</v>
      </c>
      <c r="R572" s="156">
        <f t="shared" si="60"/>
        <v>0</v>
      </c>
      <c r="S572" s="156">
        <f t="shared" si="61"/>
        <v>0</v>
      </c>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53">
        <v>0</v>
      </c>
      <c r="AT572" s="153">
        <v>0</v>
      </c>
      <c r="AU572" s="153">
        <v>0</v>
      </c>
      <c r="AV572" s="153">
        <v>0</v>
      </c>
      <c r="AW572" s="153">
        <v>0</v>
      </c>
      <c r="AX572" s="153">
        <v>0</v>
      </c>
      <c r="AY572" s="135"/>
      <c r="AZ572" s="135"/>
      <c r="BA572" s="135"/>
      <c r="BB572" s="135"/>
      <c r="BC572" s="135"/>
      <c r="BD572" s="135"/>
      <c r="BE572" s="135"/>
      <c r="BF572" s="135"/>
      <c r="BG572" s="135"/>
      <c r="BH572" s="135"/>
      <c r="BI572" s="2" t="s">
        <v>11</v>
      </c>
      <c r="BJ572" s="136"/>
      <c r="BK572" s="2">
        <v>0</v>
      </c>
      <c r="BL572" s="136" t="s">
        <v>113</v>
      </c>
      <c r="BM572" s="136">
        <v>45302</v>
      </c>
      <c r="BN572" s="2" t="s">
        <v>2232</v>
      </c>
      <c r="BO572" s="2"/>
      <c r="BP572" s="136"/>
      <c r="BQ572" s="137" t="s">
        <v>119</v>
      </c>
      <c r="BR572" s="138"/>
    </row>
    <row r="573" spans="1:70" ht="12.75" customHeight="1" x14ac:dyDescent="0.2">
      <c r="A573" s="2">
        <v>2062</v>
      </c>
      <c r="B573" s="2" t="s">
        <v>44</v>
      </c>
      <c r="C573" s="2" t="s">
        <v>52</v>
      </c>
      <c r="D573" s="2" t="s">
        <v>2214</v>
      </c>
      <c r="E573" s="2" t="s">
        <v>115</v>
      </c>
      <c r="F573" s="132">
        <v>880000</v>
      </c>
      <c r="G573" s="132">
        <v>2</v>
      </c>
      <c r="H573" s="132"/>
      <c r="I573" s="132"/>
      <c r="J573" s="132"/>
      <c r="K573" s="132">
        <f t="shared" si="65"/>
        <v>880000</v>
      </c>
      <c r="L573" s="132">
        <f t="shared" si="59"/>
        <v>0</v>
      </c>
      <c r="M573" s="133"/>
      <c r="N573" s="133">
        <f t="shared" si="64"/>
        <v>880000</v>
      </c>
      <c r="O573" s="134">
        <v>1</v>
      </c>
      <c r="P573" s="133"/>
      <c r="Q573" s="2" t="s">
        <v>2202</v>
      </c>
      <c r="R573" s="156">
        <f t="shared" si="60"/>
        <v>0</v>
      </c>
      <c r="S573" s="156">
        <f t="shared" si="61"/>
        <v>0</v>
      </c>
      <c r="T573" s="133"/>
      <c r="U573" s="133"/>
      <c r="V573" s="133"/>
      <c r="W573" s="133"/>
      <c r="X573" s="133"/>
      <c r="Y573" s="133"/>
      <c r="Z573" s="133"/>
      <c r="AA573" s="133"/>
      <c r="AB573" s="133"/>
      <c r="AC573" s="133"/>
      <c r="AD573" s="133"/>
      <c r="AE573" s="133"/>
      <c r="AF573" s="133"/>
      <c r="AG573" s="133"/>
      <c r="AH573" s="133"/>
      <c r="AI573" s="133"/>
      <c r="AJ573" s="133"/>
      <c r="AK573" s="133"/>
      <c r="AL573" s="133"/>
      <c r="AM573" s="133"/>
      <c r="AN573" s="133"/>
      <c r="AO573" s="133"/>
      <c r="AP573" s="133"/>
      <c r="AQ573" s="133"/>
      <c r="AR573" s="133"/>
      <c r="AS573" s="153">
        <v>0</v>
      </c>
      <c r="AT573" s="153">
        <v>0</v>
      </c>
      <c r="AU573" s="153">
        <v>0</v>
      </c>
      <c r="AV573" s="153">
        <v>0</v>
      </c>
      <c r="AW573" s="153">
        <v>0</v>
      </c>
      <c r="AX573" s="153">
        <v>0</v>
      </c>
      <c r="AY573" s="135"/>
      <c r="AZ573" s="135"/>
      <c r="BA573" s="135"/>
      <c r="BB573" s="135"/>
      <c r="BC573" s="135"/>
      <c r="BD573" s="135"/>
      <c r="BE573" s="135"/>
      <c r="BF573" s="135"/>
      <c r="BG573" s="135"/>
      <c r="BH573" s="135"/>
      <c r="BI573" s="2" t="s">
        <v>10</v>
      </c>
      <c r="BJ573" s="136"/>
      <c r="BK573" s="2">
        <v>0</v>
      </c>
      <c r="BL573" s="136" t="s">
        <v>113</v>
      </c>
      <c r="BM573" s="136">
        <v>45302</v>
      </c>
      <c r="BN573" s="2" t="s">
        <v>2233</v>
      </c>
      <c r="BO573" s="2"/>
      <c r="BP573" s="136"/>
      <c r="BQ573" s="137" t="s">
        <v>119</v>
      </c>
      <c r="BR573" s="138"/>
    </row>
    <row r="574" spans="1:70" ht="12.75" customHeight="1" x14ac:dyDescent="0.2">
      <c r="A574" s="2">
        <v>2063</v>
      </c>
      <c r="B574" s="2" t="s">
        <v>44</v>
      </c>
      <c r="C574" s="2" t="s">
        <v>45</v>
      </c>
      <c r="D574" s="2" t="s">
        <v>2215</v>
      </c>
      <c r="E574" s="2" t="s">
        <v>115</v>
      </c>
      <c r="F574" s="132">
        <v>520000</v>
      </c>
      <c r="G574" s="132">
        <v>2</v>
      </c>
      <c r="H574" s="132">
        <f>150000+R574</f>
        <v>500000</v>
      </c>
      <c r="I574" s="132"/>
      <c r="J574" s="132">
        <f>S574+AY574+BC574</f>
        <v>265254.24</v>
      </c>
      <c r="K574" s="132">
        <f t="shared" si="65"/>
        <v>254745.76</v>
      </c>
      <c r="L574" s="132">
        <f t="shared" si="59"/>
        <v>234745.76</v>
      </c>
      <c r="M574" s="133"/>
      <c r="N574" s="133">
        <f t="shared" si="64"/>
        <v>254745.76</v>
      </c>
      <c r="O574" s="134">
        <v>1</v>
      </c>
      <c r="P574" s="133"/>
      <c r="Q574" s="2" t="s">
        <v>2203</v>
      </c>
      <c r="R574" s="156">
        <f t="shared" si="60"/>
        <v>350000</v>
      </c>
      <c r="S574" s="156">
        <f t="shared" si="61"/>
        <v>53389.840000000004</v>
      </c>
      <c r="T574" s="133">
        <v>50000</v>
      </c>
      <c r="U574" s="133"/>
      <c r="V574" s="133">
        <v>50000</v>
      </c>
      <c r="W574" s="133">
        <f>7627.12</f>
        <v>7627.12</v>
      </c>
      <c r="X574" s="133">
        <v>100000</v>
      </c>
      <c r="Y574" s="133">
        <v>7627.12</v>
      </c>
      <c r="Z574" s="133">
        <v>100000</v>
      </c>
      <c r="AA574" s="133">
        <v>15254.24</v>
      </c>
      <c r="AB574" s="319"/>
      <c r="AC574" s="133">
        <v>15254.24</v>
      </c>
      <c r="AD574" s="133"/>
      <c r="AE574" s="133"/>
      <c r="AF574" s="133"/>
      <c r="AG574" s="133"/>
      <c r="AH574" s="133"/>
      <c r="AI574" s="133"/>
      <c r="AJ574" s="133"/>
      <c r="AK574" s="133"/>
      <c r="AL574" s="133">
        <v>50000</v>
      </c>
      <c r="AM574" s="133"/>
      <c r="AN574" s="133"/>
      <c r="AO574" s="133">
        <v>7627.12</v>
      </c>
      <c r="AP574" s="133"/>
      <c r="AQ574" s="133"/>
      <c r="AR574" s="133"/>
      <c r="AS574" s="153">
        <v>0</v>
      </c>
      <c r="AT574" s="153">
        <v>0</v>
      </c>
      <c r="AU574" s="153">
        <v>0</v>
      </c>
      <c r="AV574" s="153">
        <v>0</v>
      </c>
      <c r="AW574" s="153">
        <v>0</v>
      </c>
      <c r="AX574" s="153">
        <v>0</v>
      </c>
      <c r="AY574" s="135">
        <v>127118.64</v>
      </c>
      <c r="AZ574" s="135"/>
      <c r="BA574" s="135"/>
      <c r="BB574" s="135"/>
      <c r="BC574" s="135">
        <f>42372.88+42372.88</f>
        <v>84745.76</v>
      </c>
      <c r="BD574" s="135"/>
      <c r="BE574" s="135"/>
      <c r="BF574" s="135"/>
      <c r="BG574" s="135"/>
      <c r="BH574" s="135"/>
      <c r="BI574" s="2" t="s">
        <v>11</v>
      </c>
      <c r="BJ574" s="136"/>
      <c r="BK574" s="2">
        <v>75</v>
      </c>
      <c r="BL574" s="136" t="s">
        <v>113</v>
      </c>
      <c r="BM574" s="136">
        <v>45302</v>
      </c>
      <c r="BN574" s="2" t="s">
        <v>2234</v>
      </c>
      <c r="BO574" s="2"/>
      <c r="BP574" s="136"/>
      <c r="BQ574" s="137" t="s">
        <v>119</v>
      </c>
      <c r="BR574" s="138"/>
    </row>
    <row r="575" spans="1:70" ht="12.75" customHeight="1" x14ac:dyDescent="0.2">
      <c r="A575" s="2">
        <v>2064</v>
      </c>
      <c r="B575" s="2" t="s">
        <v>19</v>
      </c>
      <c r="C575" s="2" t="s">
        <v>20</v>
      </c>
      <c r="D575" s="2" t="s">
        <v>2218</v>
      </c>
      <c r="E575" s="2" t="s">
        <v>115</v>
      </c>
      <c r="F575" s="132">
        <v>230000</v>
      </c>
      <c r="G575" s="132">
        <v>2</v>
      </c>
      <c r="H575" s="132"/>
      <c r="I575" s="132"/>
      <c r="J575" s="132"/>
      <c r="K575" s="132">
        <f t="shared" si="65"/>
        <v>230000</v>
      </c>
      <c r="L575" s="132">
        <f t="shared" si="59"/>
        <v>0</v>
      </c>
      <c r="M575" s="133"/>
      <c r="N575" s="133">
        <f t="shared" si="64"/>
        <v>230000</v>
      </c>
      <c r="O575" s="134">
        <v>1</v>
      </c>
      <c r="P575" s="133"/>
      <c r="Q575" s="2" t="s">
        <v>2204</v>
      </c>
      <c r="R575" s="156">
        <f t="shared" si="60"/>
        <v>0</v>
      </c>
      <c r="S575" s="156">
        <f t="shared" si="61"/>
        <v>0</v>
      </c>
      <c r="T575" s="133"/>
      <c r="U575" s="133"/>
      <c r="V575" s="133"/>
      <c r="W575" s="133"/>
      <c r="X575" s="133"/>
      <c r="Y575" s="133"/>
      <c r="Z575" s="133"/>
      <c r="AA575" s="133"/>
      <c r="AB575" s="133"/>
      <c r="AC575" s="133"/>
      <c r="AD575" s="133"/>
      <c r="AE575" s="133"/>
      <c r="AF575" s="133"/>
      <c r="AG575" s="133"/>
      <c r="AH575" s="133"/>
      <c r="AI575" s="133"/>
      <c r="AJ575" s="133"/>
      <c r="AK575" s="133"/>
      <c r="AL575" s="133"/>
      <c r="AM575" s="133"/>
      <c r="AN575" s="133"/>
      <c r="AO575" s="133"/>
      <c r="AP575" s="133"/>
      <c r="AQ575" s="133"/>
      <c r="AR575" s="133"/>
      <c r="AS575" s="153">
        <v>0</v>
      </c>
      <c r="AT575" s="153">
        <v>0</v>
      </c>
      <c r="AU575" s="153">
        <v>0</v>
      </c>
      <c r="AV575" s="153">
        <v>0</v>
      </c>
      <c r="AW575" s="153">
        <v>0</v>
      </c>
      <c r="AX575" s="153">
        <v>0</v>
      </c>
      <c r="AY575" s="135"/>
      <c r="AZ575" s="135"/>
      <c r="BA575" s="135"/>
      <c r="BB575" s="135"/>
      <c r="BC575" s="135"/>
      <c r="BD575" s="135"/>
      <c r="BE575" s="135"/>
      <c r="BF575" s="135"/>
      <c r="BG575" s="135"/>
      <c r="BH575" s="135"/>
      <c r="BI575" s="2" t="s">
        <v>11</v>
      </c>
      <c r="BJ575" s="136"/>
      <c r="BK575" s="2">
        <v>0</v>
      </c>
      <c r="BL575" s="136" t="s">
        <v>113</v>
      </c>
      <c r="BM575" s="136">
        <v>45302</v>
      </c>
      <c r="BN575" s="2" t="s">
        <v>2235</v>
      </c>
      <c r="BO575" s="2"/>
      <c r="BP575" s="136"/>
      <c r="BQ575" s="137" t="s">
        <v>119</v>
      </c>
      <c r="BR575" s="138"/>
    </row>
    <row r="576" spans="1:70" ht="12.75" customHeight="1" x14ac:dyDescent="0.2">
      <c r="A576" s="2">
        <v>2065</v>
      </c>
      <c r="B576" s="2" t="s">
        <v>44</v>
      </c>
      <c r="C576" s="2" t="s">
        <v>45</v>
      </c>
      <c r="D576" s="2" t="s">
        <v>2219</v>
      </c>
      <c r="E576" s="2" t="s">
        <v>123</v>
      </c>
      <c r="F576" s="132">
        <v>0</v>
      </c>
      <c r="G576" s="132">
        <v>2</v>
      </c>
      <c r="H576" s="132"/>
      <c r="I576" s="132"/>
      <c r="J576" s="132"/>
      <c r="K576" s="132">
        <f t="shared" si="65"/>
        <v>0</v>
      </c>
      <c r="L576" s="132">
        <f t="shared" si="59"/>
        <v>0</v>
      </c>
      <c r="M576" s="133"/>
      <c r="N576" s="133">
        <f t="shared" si="64"/>
        <v>0</v>
      </c>
      <c r="O576" s="134">
        <v>2</v>
      </c>
      <c r="P576" s="133"/>
      <c r="Q576" s="2" t="s">
        <v>2205</v>
      </c>
      <c r="R576" s="156">
        <f t="shared" si="60"/>
        <v>0</v>
      </c>
      <c r="S576" s="156">
        <f t="shared" si="61"/>
        <v>0</v>
      </c>
      <c r="T576" s="133"/>
      <c r="U576" s="133"/>
      <c r="V576" s="133"/>
      <c r="W576" s="133"/>
      <c r="X576" s="133"/>
      <c r="Y576" s="133"/>
      <c r="Z576" s="133"/>
      <c r="AA576" s="133"/>
      <c r="AB576" s="133"/>
      <c r="AC576" s="133"/>
      <c r="AD576" s="133"/>
      <c r="AE576" s="133"/>
      <c r="AF576" s="133"/>
      <c r="AG576" s="133"/>
      <c r="AH576" s="133"/>
      <c r="AI576" s="133"/>
      <c r="AJ576" s="133"/>
      <c r="AK576" s="133"/>
      <c r="AL576" s="133"/>
      <c r="AM576" s="133"/>
      <c r="AN576" s="133"/>
      <c r="AO576" s="133"/>
      <c r="AP576" s="133"/>
      <c r="AQ576" s="133"/>
      <c r="AR576" s="133"/>
      <c r="AS576" s="153">
        <v>0</v>
      </c>
      <c r="AT576" s="153">
        <v>0</v>
      </c>
      <c r="AU576" s="153">
        <v>0</v>
      </c>
      <c r="AV576" s="153">
        <v>0</v>
      </c>
      <c r="AW576" s="153">
        <v>0</v>
      </c>
      <c r="AX576" s="153">
        <v>0</v>
      </c>
      <c r="AY576" s="135"/>
      <c r="AZ576" s="135"/>
      <c r="BA576" s="135"/>
      <c r="BB576" s="135"/>
      <c r="BC576" s="135"/>
      <c r="BD576" s="135"/>
      <c r="BE576" s="135"/>
      <c r="BF576" s="135"/>
      <c r="BG576" s="135"/>
      <c r="BH576" s="135"/>
      <c r="BI576" s="2" t="s">
        <v>112</v>
      </c>
      <c r="BJ576" s="136"/>
      <c r="BK576" s="2">
        <v>0</v>
      </c>
      <c r="BL576" s="136" t="s">
        <v>113</v>
      </c>
      <c r="BM576" s="136">
        <v>45302</v>
      </c>
      <c r="BN576" s="2" t="s">
        <v>2236</v>
      </c>
      <c r="BO576" s="2"/>
      <c r="BP576" s="136"/>
      <c r="BQ576" s="137" t="s">
        <v>134</v>
      </c>
      <c r="BR576" s="138"/>
    </row>
    <row r="577" spans="1:70" ht="12.75" customHeight="1" x14ac:dyDescent="0.2">
      <c r="A577" s="2">
        <v>2066</v>
      </c>
      <c r="B577" s="2" t="s">
        <v>44</v>
      </c>
      <c r="C577" s="2" t="s">
        <v>45</v>
      </c>
      <c r="D577" s="2" t="s">
        <v>2220</v>
      </c>
      <c r="E577" s="2" t="s">
        <v>115</v>
      </c>
      <c r="F577" s="132">
        <v>220000</v>
      </c>
      <c r="G577" s="132">
        <v>2</v>
      </c>
      <c r="H577" s="132"/>
      <c r="I577" s="132"/>
      <c r="J577" s="132"/>
      <c r="K577" s="132">
        <f t="shared" si="65"/>
        <v>220000</v>
      </c>
      <c r="L577" s="132">
        <f t="shared" si="59"/>
        <v>0</v>
      </c>
      <c r="M577" s="133"/>
      <c r="N577" s="133">
        <f t="shared" si="64"/>
        <v>220000</v>
      </c>
      <c r="O577" s="134">
        <v>1</v>
      </c>
      <c r="P577" s="133"/>
      <c r="Q577" s="2" t="s">
        <v>2205</v>
      </c>
      <c r="R577" s="156">
        <f t="shared" si="60"/>
        <v>0</v>
      </c>
      <c r="S577" s="156">
        <f t="shared" si="61"/>
        <v>0</v>
      </c>
      <c r="T577" s="133"/>
      <c r="U577" s="133"/>
      <c r="V577" s="133"/>
      <c r="W577" s="133"/>
      <c r="X577" s="133"/>
      <c r="Y577" s="133"/>
      <c r="Z577" s="133"/>
      <c r="AA577" s="133"/>
      <c r="AB577" s="133"/>
      <c r="AC577" s="133"/>
      <c r="AD577" s="133"/>
      <c r="AE577" s="133"/>
      <c r="AF577" s="133"/>
      <c r="AG577" s="133"/>
      <c r="AH577" s="133"/>
      <c r="AI577" s="133"/>
      <c r="AJ577" s="133"/>
      <c r="AK577" s="133"/>
      <c r="AL577" s="133"/>
      <c r="AM577" s="133"/>
      <c r="AN577" s="133"/>
      <c r="AO577" s="133"/>
      <c r="AP577" s="133"/>
      <c r="AQ577" s="133"/>
      <c r="AR577" s="133"/>
      <c r="AS577" s="153">
        <v>0</v>
      </c>
      <c r="AT577" s="153">
        <v>0</v>
      </c>
      <c r="AU577" s="153">
        <v>0</v>
      </c>
      <c r="AV577" s="153">
        <v>0</v>
      </c>
      <c r="AW577" s="153">
        <v>0</v>
      </c>
      <c r="AX577" s="153">
        <v>0</v>
      </c>
      <c r="AY577" s="135"/>
      <c r="AZ577" s="135"/>
      <c r="BA577" s="135"/>
      <c r="BB577" s="135"/>
      <c r="BC577" s="135"/>
      <c r="BD577" s="135"/>
      <c r="BE577" s="135"/>
      <c r="BF577" s="135"/>
      <c r="BG577" s="135"/>
      <c r="BH577" s="135"/>
      <c r="BI577" s="2" t="s">
        <v>11</v>
      </c>
      <c r="BJ577" s="136"/>
      <c r="BK577" s="2">
        <v>0</v>
      </c>
      <c r="BL577" s="136" t="s">
        <v>113</v>
      </c>
      <c r="BM577" s="136">
        <v>45302</v>
      </c>
      <c r="BN577" s="2" t="s">
        <v>2237</v>
      </c>
      <c r="BO577" s="2"/>
      <c r="BP577" s="136"/>
      <c r="BQ577" s="137" t="s">
        <v>119</v>
      </c>
      <c r="BR577" s="138"/>
    </row>
    <row r="578" spans="1:70" ht="12.75" customHeight="1" x14ac:dyDescent="0.2">
      <c r="A578" s="2">
        <v>2067</v>
      </c>
      <c r="B578" s="2" t="s">
        <v>44</v>
      </c>
      <c r="C578" s="2" t="s">
        <v>45</v>
      </c>
      <c r="D578" s="2" t="s">
        <v>2221</v>
      </c>
      <c r="E578" s="2" t="s">
        <v>123</v>
      </c>
      <c r="F578" s="132">
        <v>1522.5</v>
      </c>
      <c r="G578" s="132">
        <v>2</v>
      </c>
      <c r="H578" s="132">
        <f>870*1.75</f>
        <v>1522.5</v>
      </c>
      <c r="I578" s="132"/>
      <c r="J578" s="132">
        <v>1522.5</v>
      </c>
      <c r="K578" s="132">
        <f t="shared" si="65"/>
        <v>0</v>
      </c>
      <c r="L578" s="132">
        <f t="shared" si="59"/>
        <v>0</v>
      </c>
      <c r="M578" s="133"/>
      <c r="N578" s="133">
        <f t="shared" si="64"/>
        <v>0</v>
      </c>
      <c r="O578" s="134">
        <v>0</v>
      </c>
      <c r="P578" s="133"/>
      <c r="Q578" s="2" t="s">
        <v>2206</v>
      </c>
      <c r="R578" s="156">
        <f t="shared" si="60"/>
        <v>0</v>
      </c>
      <c r="S578" s="156">
        <f t="shared" si="61"/>
        <v>0</v>
      </c>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53">
        <v>0</v>
      </c>
      <c r="AT578" s="153">
        <v>0</v>
      </c>
      <c r="AU578" s="153">
        <v>0</v>
      </c>
      <c r="AV578" s="153">
        <v>0</v>
      </c>
      <c r="AW578" s="153">
        <v>0</v>
      </c>
      <c r="AX578" s="153">
        <v>0</v>
      </c>
      <c r="AY578" s="135"/>
      <c r="AZ578" s="135"/>
      <c r="BA578" s="135"/>
      <c r="BB578" s="135"/>
      <c r="BC578" s="135"/>
      <c r="BD578" s="135"/>
      <c r="BE578" s="135"/>
      <c r="BF578" s="135"/>
      <c r="BG578" s="135"/>
      <c r="BH578" s="135"/>
      <c r="BI578" s="2" t="s">
        <v>112</v>
      </c>
      <c r="BJ578" s="136">
        <v>45590</v>
      </c>
      <c r="BK578" s="2" t="s">
        <v>145</v>
      </c>
      <c r="BL578" s="136" t="s">
        <v>113</v>
      </c>
      <c r="BM578" s="136">
        <v>45302</v>
      </c>
      <c r="BN578" s="2" t="s">
        <v>2238</v>
      </c>
      <c r="BO578" s="2"/>
      <c r="BP578" s="136"/>
      <c r="BQ578" s="137" t="s">
        <v>134</v>
      </c>
      <c r="BR578" s="138"/>
    </row>
    <row r="579" spans="1:70" ht="12.75" customHeight="1" x14ac:dyDescent="0.2">
      <c r="A579" s="2">
        <v>2068</v>
      </c>
      <c r="B579" s="2" t="s">
        <v>44</v>
      </c>
      <c r="C579" s="2" t="s">
        <v>45</v>
      </c>
      <c r="D579" s="2" t="s">
        <v>2222</v>
      </c>
      <c r="E579" s="2" t="s">
        <v>115</v>
      </c>
      <c r="F579" s="132">
        <v>170000</v>
      </c>
      <c r="G579" s="132">
        <v>2</v>
      </c>
      <c r="H579" s="132"/>
      <c r="I579" s="132"/>
      <c r="J579" s="132"/>
      <c r="K579" s="132">
        <f t="shared" si="65"/>
        <v>170000</v>
      </c>
      <c r="L579" s="132">
        <f t="shared" si="59"/>
        <v>0</v>
      </c>
      <c r="M579" s="133"/>
      <c r="N579" s="133">
        <f t="shared" si="64"/>
        <v>170000</v>
      </c>
      <c r="O579" s="134">
        <v>1</v>
      </c>
      <c r="P579" s="133"/>
      <c r="Q579" s="2" t="s">
        <v>2206</v>
      </c>
      <c r="R579" s="156">
        <f t="shared" si="60"/>
        <v>0</v>
      </c>
      <c r="S579" s="156">
        <f t="shared" si="61"/>
        <v>0</v>
      </c>
      <c r="T579" s="133"/>
      <c r="U579" s="133"/>
      <c r="V579" s="133"/>
      <c r="W579" s="133"/>
      <c r="X579" s="133"/>
      <c r="Y579" s="133"/>
      <c r="Z579" s="133"/>
      <c r="AA579" s="133"/>
      <c r="AB579" s="133"/>
      <c r="AC579" s="133"/>
      <c r="AD579" s="133"/>
      <c r="AE579" s="133"/>
      <c r="AF579" s="133"/>
      <c r="AG579" s="133"/>
      <c r="AH579" s="133"/>
      <c r="AI579" s="133"/>
      <c r="AJ579" s="133"/>
      <c r="AK579" s="133"/>
      <c r="AL579" s="133"/>
      <c r="AM579" s="133"/>
      <c r="AN579" s="133"/>
      <c r="AO579" s="133"/>
      <c r="AP579" s="133"/>
      <c r="AQ579" s="133"/>
      <c r="AR579" s="133"/>
      <c r="AS579" s="153">
        <v>0</v>
      </c>
      <c r="AT579" s="153">
        <v>0</v>
      </c>
      <c r="AU579" s="153">
        <v>0</v>
      </c>
      <c r="AV579" s="153">
        <v>0</v>
      </c>
      <c r="AW579" s="153">
        <v>0</v>
      </c>
      <c r="AX579" s="153">
        <v>0</v>
      </c>
      <c r="AY579" s="135"/>
      <c r="AZ579" s="135"/>
      <c r="BA579" s="135"/>
      <c r="BB579" s="135"/>
      <c r="BC579" s="135"/>
      <c r="BD579" s="135"/>
      <c r="BE579" s="135"/>
      <c r="BF579" s="135"/>
      <c r="BG579" s="135"/>
      <c r="BH579" s="135"/>
      <c r="BI579" s="2" t="s">
        <v>11</v>
      </c>
      <c r="BJ579" s="136"/>
      <c r="BK579" s="2">
        <v>0</v>
      </c>
      <c r="BL579" s="136" t="s">
        <v>113</v>
      </c>
      <c r="BM579" s="136">
        <v>45302</v>
      </c>
      <c r="BN579" s="2" t="s">
        <v>2239</v>
      </c>
      <c r="BO579" s="2"/>
      <c r="BP579" s="136"/>
      <c r="BQ579" s="137" t="s">
        <v>119</v>
      </c>
      <c r="BR579" s="138"/>
    </row>
    <row r="580" spans="1:70" ht="12.75" customHeight="1" x14ac:dyDescent="0.2">
      <c r="A580" s="2">
        <v>2069</v>
      </c>
      <c r="B580" s="2" t="s">
        <v>44</v>
      </c>
      <c r="C580" s="2" t="s">
        <v>45</v>
      </c>
      <c r="D580" s="2" t="s">
        <v>2223</v>
      </c>
      <c r="E580" s="2" t="s">
        <v>123</v>
      </c>
      <c r="F580" s="132">
        <v>2590</v>
      </c>
      <c r="G580" s="132">
        <v>2</v>
      </c>
      <c r="H580" s="132">
        <f>1480*1.75</f>
        <v>2590</v>
      </c>
      <c r="I580" s="132"/>
      <c r="J580" s="132">
        <v>2590</v>
      </c>
      <c r="K580" s="132">
        <f t="shared" si="65"/>
        <v>0</v>
      </c>
      <c r="L580" s="132">
        <f t="shared" si="59"/>
        <v>0</v>
      </c>
      <c r="M580" s="133"/>
      <c r="N580" s="133">
        <f t="shared" si="64"/>
        <v>0</v>
      </c>
      <c r="O580" s="134">
        <v>0</v>
      </c>
      <c r="P580" s="133"/>
      <c r="Q580" s="2" t="s">
        <v>2207</v>
      </c>
      <c r="R580" s="156">
        <f t="shared" si="60"/>
        <v>0</v>
      </c>
      <c r="S580" s="156">
        <f t="shared" si="61"/>
        <v>0</v>
      </c>
      <c r="T580" s="133"/>
      <c r="U580" s="133"/>
      <c r="V580" s="133"/>
      <c r="W580" s="133"/>
      <c r="X580" s="133"/>
      <c r="Y580" s="133"/>
      <c r="Z580" s="133"/>
      <c r="AA580" s="133"/>
      <c r="AB580" s="133"/>
      <c r="AC580" s="133"/>
      <c r="AD580" s="133"/>
      <c r="AE580" s="133"/>
      <c r="AF580" s="133"/>
      <c r="AG580" s="133"/>
      <c r="AH580" s="133"/>
      <c r="AI580" s="133"/>
      <c r="AJ580" s="133"/>
      <c r="AK580" s="133"/>
      <c r="AL580" s="133"/>
      <c r="AM580" s="133"/>
      <c r="AN580" s="133"/>
      <c r="AO580" s="133"/>
      <c r="AP580" s="133"/>
      <c r="AQ580" s="133"/>
      <c r="AR580" s="133"/>
      <c r="AS580" s="153">
        <v>0</v>
      </c>
      <c r="AT580" s="153">
        <v>0</v>
      </c>
      <c r="AU580" s="153">
        <v>0</v>
      </c>
      <c r="AV580" s="153">
        <v>0</v>
      </c>
      <c r="AW580" s="153">
        <v>0</v>
      </c>
      <c r="AX580" s="153">
        <v>0</v>
      </c>
      <c r="AY580" s="135"/>
      <c r="AZ580" s="135"/>
      <c r="BA580" s="135"/>
      <c r="BB580" s="135"/>
      <c r="BC580" s="135"/>
      <c r="BD580" s="135"/>
      <c r="BE580" s="135"/>
      <c r="BF580" s="135"/>
      <c r="BG580" s="135"/>
      <c r="BH580" s="135"/>
      <c r="BI580" s="2" t="s">
        <v>112</v>
      </c>
      <c r="BJ580" s="136">
        <v>45590</v>
      </c>
      <c r="BK580" s="2" t="s">
        <v>145</v>
      </c>
      <c r="BL580" s="136" t="s">
        <v>113</v>
      </c>
      <c r="BM580" s="136">
        <v>45302</v>
      </c>
      <c r="BN580" s="2" t="s">
        <v>2240</v>
      </c>
      <c r="BO580" s="2"/>
      <c r="BP580" s="136"/>
      <c r="BQ580" s="137" t="s">
        <v>134</v>
      </c>
      <c r="BR580" s="138"/>
    </row>
    <row r="581" spans="1:70" ht="12.75" customHeight="1" x14ac:dyDescent="0.2">
      <c r="A581" s="2">
        <v>2070</v>
      </c>
      <c r="B581" s="2" t="s">
        <v>44</v>
      </c>
      <c r="C581" s="2" t="s">
        <v>45</v>
      </c>
      <c r="D581" s="2" t="s">
        <v>2224</v>
      </c>
      <c r="E581" s="2" t="s">
        <v>115</v>
      </c>
      <c r="F581" s="132">
        <v>160000</v>
      </c>
      <c r="G581" s="132">
        <v>2</v>
      </c>
      <c r="H581" s="132"/>
      <c r="I581" s="132"/>
      <c r="J581" s="132"/>
      <c r="K581" s="132">
        <f t="shared" si="65"/>
        <v>160000</v>
      </c>
      <c r="L581" s="132">
        <f t="shared" si="59"/>
        <v>0</v>
      </c>
      <c r="M581" s="133"/>
      <c r="N581" s="133">
        <f t="shared" si="64"/>
        <v>160000</v>
      </c>
      <c r="O581" s="134">
        <v>1</v>
      </c>
      <c r="P581" s="133"/>
      <c r="Q581" s="2" t="s">
        <v>2207</v>
      </c>
      <c r="R581" s="156">
        <f t="shared" si="60"/>
        <v>0</v>
      </c>
      <c r="S581" s="156">
        <f t="shared" si="61"/>
        <v>0</v>
      </c>
      <c r="T581" s="133"/>
      <c r="U581" s="133"/>
      <c r="V581" s="133"/>
      <c r="W581" s="133"/>
      <c r="X581" s="133"/>
      <c r="Y581" s="133"/>
      <c r="Z581" s="133"/>
      <c r="AA581" s="133"/>
      <c r="AB581" s="133"/>
      <c r="AC581" s="133"/>
      <c r="AD581" s="133"/>
      <c r="AE581" s="133"/>
      <c r="AF581" s="133"/>
      <c r="AG581" s="133"/>
      <c r="AH581" s="133"/>
      <c r="AI581" s="133"/>
      <c r="AJ581" s="133"/>
      <c r="AK581" s="133"/>
      <c r="AL581" s="133"/>
      <c r="AM581" s="133"/>
      <c r="AN581" s="133"/>
      <c r="AO581" s="133"/>
      <c r="AP581" s="133"/>
      <c r="AQ581" s="133"/>
      <c r="AR581" s="133"/>
      <c r="AS581" s="153">
        <v>0</v>
      </c>
      <c r="AT581" s="153">
        <v>0</v>
      </c>
      <c r="AU581" s="153">
        <v>0</v>
      </c>
      <c r="AV581" s="153">
        <v>0</v>
      </c>
      <c r="AW581" s="153">
        <v>0</v>
      </c>
      <c r="AX581" s="153">
        <v>0</v>
      </c>
      <c r="AY581" s="135"/>
      <c r="AZ581" s="135"/>
      <c r="BA581" s="135"/>
      <c r="BB581" s="135"/>
      <c r="BC581" s="135"/>
      <c r="BD581" s="135"/>
      <c r="BE581" s="135"/>
      <c r="BF581" s="135"/>
      <c r="BG581" s="135"/>
      <c r="BH581" s="135"/>
      <c r="BI581" s="2" t="s">
        <v>11</v>
      </c>
      <c r="BJ581" s="136"/>
      <c r="BK581" s="2">
        <v>0</v>
      </c>
      <c r="BL581" s="136" t="s">
        <v>113</v>
      </c>
      <c r="BM581" s="136">
        <v>45302</v>
      </c>
      <c r="BN581" s="2" t="s">
        <v>2241</v>
      </c>
      <c r="BO581" s="2"/>
      <c r="BP581" s="136"/>
      <c r="BQ581" s="137" t="s">
        <v>119</v>
      </c>
      <c r="BR581" s="138"/>
    </row>
    <row r="582" spans="1:70" ht="12.75" customHeight="1" x14ac:dyDescent="0.2">
      <c r="A582" s="2">
        <v>2071</v>
      </c>
      <c r="B582" s="2" t="s">
        <v>44</v>
      </c>
      <c r="C582" s="2" t="s">
        <v>45</v>
      </c>
      <c r="D582" s="2" t="s">
        <v>2225</v>
      </c>
      <c r="E582" s="2" t="s">
        <v>123</v>
      </c>
      <c r="F582" s="132">
        <v>728</v>
      </c>
      <c r="G582" s="132">
        <v>2</v>
      </c>
      <c r="H582" s="132">
        <f>416*1.75</f>
        <v>728</v>
      </c>
      <c r="I582" s="132"/>
      <c r="J582" s="132">
        <f>111.05+616.95</f>
        <v>728</v>
      </c>
      <c r="K582" s="132">
        <f t="shared" si="65"/>
        <v>0</v>
      </c>
      <c r="L582" s="132">
        <f t="shared" si="59"/>
        <v>0</v>
      </c>
      <c r="M582" s="133"/>
      <c r="N582" s="133">
        <f t="shared" si="64"/>
        <v>0</v>
      </c>
      <c r="O582" s="134">
        <v>0</v>
      </c>
      <c r="P582" s="133"/>
      <c r="Q582" s="2" t="s">
        <v>2208</v>
      </c>
      <c r="R582" s="156">
        <f t="shared" si="60"/>
        <v>0</v>
      </c>
      <c r="S582" s="156">
        <f t="shared" si="61"/>
        <v>0</v>
      </c>
      <c r="T582" s="133"/>
      <c r="U582" s="133"/>
      <c r="V582" s="133"/>
      <c r="W582" s="133"/>
      <c r="X582" s="133"/>
      <c r="Y582" s="133"/>
      <c r="Z582" s="133"/>
      <c r="AA582" s="133"/>
      <c r="AB582" s="133"/>
      <c r="AC582" s="133"/>
      <c r="AD582" s="133"/>
      <c r="AE582" s="133"/>
      <c r="AF582" s="133"/>
      <c r="AG582" s="133"/>
      <c r="AH582" s="133"/>
      <c r="AI582" s="133"/>
      <c r="AJ582" s="133"/>
      <c r="AK582" s="133"/>
      <c r="AL582" s="133"/>
      <c r="AM582" s="133"/>
      <c r="AN582" s="133"/>
      <c r="AO582" s="133"/>
      <c r="AP582" s="133"/>
      <c r="AQ582" s="133"/>
      <c r="AR582" s="133"/>
      <c r="AS582" s="153">
        <v>0</v>
      </c>
      <c r="AT582" s="153">
        <v>0</v>
      </c>
      <c r="AU582" s="153">
        <v>0</v>
      </c>
      <c r="AV582" s="153">
        <v>0</v>
      </c>
      <c r="AW582" s="153">
        <v>0</v>
      </c>
      <c r="AX582" s="153">
        <v>0</v>
      </c>
      <c r="AY582" s="135"/>
      <c r="AZ582" s="135"/>
      <c r="BA582" s="135"/>
      <c r="BB582" s="135"/>
      <c r="BC582" s="135"/>
      <c r="BD582" s="135"/>
      <c r="BE582" s="135"/>
      <c r="BF582" s="135"/>
      <c r="BG582" s="135"/>
      <c r="BH582" s="135"/>
      <c r="BI582" s="2" t="s">
        <v>112</v>
      </c>
      <c r="BJ582" s="136">
        <v>45626</v>
      </c>
      <c r="BK582" s="2" t="s">
        <v>145</v>
      </c>
      <c r="BL582" s="136" t="s">
        <v>113</v>
      </c>
      <c r="BM582" s="136">
        <v>45302</v>
      </c>
      <c r="BN582" s="2" t="s">
        <v>2242</v>
      </c>
      <c r="BO582" s="2"/>
      <c r="BP582" s="136"/>
      <c r="BQ582" s="137" t="s">
        <v>134</v>
      </c>
      <c r="BR582" s="138"/>
    </row>
    <row r="583" spans="1:70" ht="12.75" customHeight="1" x14ac:dyDescent="0.2">
      <c r="A583" s="2">
        <v>2072</v>
      </c>
      <c r="B583" s="2" t="s">
        <v>44</v>
      </c>
      <c r="C583" s="2" t="s">
        <v>45</v>
      </c>
      <c r="D583" s="2" t="s">
        <v>2226</v>
      </c>
      <c r="E583" s="2" t="s">
        <v>115</v>
      </c>
      <c r="F583" s="132">
        <v>140000</v>
      </c>
      <c r="G583" s="132">
        <v>2</v>
      </c>
      <c r="H583" s="132"/>
      <c r="I583" s="132"/>
      <c r="J583" s="132"/>
      <c r="K583" s="132">
        <f t="shared" si="65"/>
        <v>140000</v>
      </c>
      <c r="L583" s="132">
        <f t="shared" si="59"/>
        <v>0</v>
      </c>
      <c r="M583" s="133"/>
      <c r="N583" s="133">
        <f t="shared" si="64"/>
        <v>140000</v>
      </c>
      <c r="O583" s="134">
        <v>1</v>
      </c>
      <c r="P583" s="133"/>
      <c r="Q583" s="2" t="s">
        <v>2208</v>
      </c>
      <c r="R583" s="156">
        <f t="shared" si="60"/>
        <v>0</v>
      </c>
      <c r="S583" s="156">
        <f t="shared" si="61"/>
        <v>0</v>
      </c>
      <c r="T583" s="133"/>
      <c r="U583" s="133"/>
      <c r="V583" s="133"/>
      <c r="W583" s="133"/>
      <c r="X583" s="133"/>
      <c r="Y583" s="133"/>
      <c r="Z583" s="133"/>
      <c r="AA583" s="133"/>
      <c r="AB583" s="133"/>
      <c r="AC583" s="133"/>
      <c r="AD583" s="133"/>
      <c r="AE583" s="133"/>
      <c r="AF583" s="133"/>
      <c r="AG583" s="133"/>
      <c r="AH583" s="133"/>
      <c r="AI583" s="133"/>
      <c r="AJ583" s="133"/>
      <c r="AK583" s="133"/>
      <c r="AL583" s="133"/>
      <c r="AM583" s="133"/>
      <c r="AN583" s="133"/>
      <c r="AO583" s="133"/>
      <c r="AP583" s="133"/>
      <c r="AQ583" s="133"/>
      <c r="AR583" s="133"/>
      <c r="AS583" s="153">
        <v>0</v>
      </c>
      <c r="AT583" s="153">
        <v>0</v>
      </c>
      <c r="AU583" s="153">
        <v>0</v>
      </c>
      <c r="AV583" s="153">
        <v>0</v>
      </c>
      <c r="AW583" s="153">
        <v>0</v>
      </c>
      <c r="AX583" s="153">
        <v>0</v>
      </c>
      <c r="AY583" s="135"/>
      <c r="AZ583" s="135"/>
      <c r="BA583" s="135"/>
      <c r="BB583" s="135"/>
      <c r="BC583" s="135"/>
      <c r="BD583" s="135"/>
      <c r="BE583" s="135"/>
      <c r="BF583" s="135"/>
      <c r="BG583" s="135"/>
      <c r="BH583" s="135"/>
      <c r="BI583" s="2" t="s">
        <v>11</v>
      </c>
      <c r="BJ583" s="136"/>
      <c r="BK583" s="2">
        <v>0</v>
      </c>
      <c r="BL583" s="136" t="s">
        <v>113</v>
      </c>
      <c r="BM583" s="136">
        <v>45302</v>
      </c>
      <c r="BN583" s="2" t="s">
        <v>2243</v>
      </c>
      <c r="BO583" s="2"/>
      <c r="BP583" s="136"/>
      <c r="BQ583" s="137" t="s">
        <v>119</v>
      </c>
      <c r="BR583" s="138"/>
    </row>
    <row r="584" spans="1:70" ht="12.75" customHeight="1" x14ac:dyDescent="0.2">
      <c r="A584" s="2">
        <v>2073</v>
      </c>
      <c r="B584" s="2" t="s">
        <v>44</v>
      </c>
      <c r="C584" s="2" t="s">
        <v>45</v>
      </c>
      <c r="D584" s="2" t="s">
        <v>2227</v>
      </c>
      <c r="E584" s="2" t="s">
        <v>123</v>
      </c>
      <c r="F584" s="132">
        <v>385</v>
      </c>
      <c r="G584" s="132">
        <v>2</v>
      </c>
      <c r="H584" s="132">
        <f>220*1.75</f>
        <v>385</v>
      </c>
      <c r="I584" s="132"/>
      <c r="J584" s="132">
        <f>58.728+326.272</f>
        <v>385</v>
      </c>
      <c r="K584" s="132">
        <f t="shared" si="65"/>
        <v>0</v>
      </c>
      <c r="L584" s="132">
        <f t="shared" si="59"/>
        <v>0</v>
      </c>
      <c r="M584" s="133"/>
      <c r="N584" s="133">
        <f t="shared" si="64"/>
        <v>0</v>
      </c>
      <c r="O584" s="134">
        <v>0</v>
      </c>
      <c r="P584" s="133"/>
      <c r="Q584" s="2" t="s">
        <v>2209</v>
      </c>
      <c r="R584" s="156">
        <f t="shared" si="60"/>
        <v>0</v>
      </c>
      <c r="S584" s="156">
        <f t="shared" si="61"/>
        <v>0</v>
      </c>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53">
        <v>0</v>
      </c>
      <c r="AT584" s="153">
        <v>0</v>
      </c>
      <c r="AU584" s="153">
        <v>0</v>
      </c>
      <c r="AV584" s="153">
        <v>0</v>
      </c>
      <c r="AW584" s="153">
        <v>0</v>
      </c>
      <c r="AX584" s="153">
        <v>0</v>
      </c>
      <c r="AY584" s="135"/>
      <c r="AZ584" s="135"/>
      <c r="BA584" s="135"/>
      <c r="BB584" s="135"/>
      <c r="BC584" s="135"/>
      <c r="BD584" s="135"/>
      <c r="BE584" s="135"/>
      <c r="BF584" s="135"/>
      <c r="BG584" s="135"/>
      <c r="BH584" s="135"/>
      <c r="BI584" s="2" t="s">
        <v>112</v>
      </c>
      <c r="BJ584" s="136">
        <v>45626</v>
      </c>
      <c r="BK584" s="2" t="s">
        <v>145</v>
      </c>
      <c r="BL584" s="136" t="s">
        <v>113</v>
      </c>
      <c r="BM584" s="136">
        <v>45302</v>
      </c>
      <c r="BN584" s="2" t="s">
        <v>2244</v>
      </c>
      <c r="BO584" s="2"/>
      <c r="BP584" s="136"/>
      <c r="BQ584" s="137" t="s">
        <v>134</v>
      </c>
      <c r="BR584" s="138"/>
    </row>
    <row r="585" spans="1:70" ht="12.75" customHeight="1" x14ac:dyDescent="0.2">
      <c r="A585" s="2">
        <v>2074</v>
      </c>
      <c r="B585" s="2" t="s">
        <v>44</v>
      </c>
      <c r="C585" s="2" t="s">
        <v>45</v>
      </c>
      <c r="D585" s="2" t="s">
        <v>2228</v>
      </c>
      <c r="E585" s="2" t="s">
        <v>115</v>
      </c>
      <c r="F585" s="132">
        <v>100000</v>
      </c>
      <c r="G585" s="132">
        <v>2</v>
      </c>
      <c r="H585" s="132"/>
      <c r="I585" s="132"/>
      <c r="J585" s="132"/>
      <c r="K585" s="132">
        <f t="shared" si="65"/>
        <v>100000</v>
      </c>
      <c r="L585" s="132">
        <f t="shared" si="59"/>
        <v>0</v>
      </c>
      <c r="M585" s="133"/>
      <c r="N585" s="133">
        <f t="shared" si="64"/>
        <v>100000</v>
      </c>
      <c r="O585" s="134">
        <v>1</v>
      </c>
      <c r="P585" s="133"/>
      <c r="Q585" s="2" t="s">
        <v>2209</v>
      </c>
      <c r="R585" s="156">
        <f t="shared" si="60"/>
        <v>0</v>
      </c>
      <c r="S585" s="156">
        <f t="shared" si="61"/>
        <v>0</v>
      </c>
      <c r="T585" s="133"/>
      <c r="U585" s="133"/>
      <c r="V585" s="133"/>
      <c r="W585" s="133"/>
      <c r="X585" s="133"/>
      <c r="Y585" s="133"/>
      <c r="Z585" s="133"/>
      <c r="AA585" s="133"/>
      <c r="AB585" s="133"/>
      <c r="AC585" s="133"/>
      <c r="AD585" s="133"/>
      <c r="AE585" s="133"/>
      <c r="AF585" s="133"/>
      <c r="AG585" s="133"/>
      <c r="AH585" s="133"/>
      <c r="AI585" s="133"/>
      <c r="AJ585" s="133"/>
      <c r="AK585" s="133"/>
      <c r="AL585" s="133"/>
      <c r="AM585" s="133"/>
      <c r="AN585" s="133"/>
      <c r="AO585" s="133"/>
      <c r="AP585" s="133"/>
      <c r="AQ585" s="133"/>
      <c r="AR585" s="133"/>
      <c r="AS585" s="153">
        <v>0</v>
      </c>
      <c r="AT585" s="153">
        <v>0</v>
      </c>
      <c r="AU585" s="153">
        <v>0</v>
      </c>
      <c r="AV585" s="153">
        <v>0</v>
      </c>
      <c r="AW585" s="153">
        <v>0</v>
      </c>
      <c r="AX585" s="153">
        <v>0</v>
      </c>
      <c r="AY585" s="135"/>
      <c r="AZ585" s="135"/>
      <c r="BA585" s="135"/>
      <c r="BB585" s="135"/>
      <c r="BC585" s="135"/>
      <c r="BD585" s="135"/>
      <c r="BE585" s="135"/>
      <c r="BF585" s="135"/>
      <c r="BG585" s="135"/>
      <c r="BH585" s="135"/>
      <c r="BI585" s="2" t="s">
        <v>11</v>
      </c>
      <c r="BJ585" s="136"/>
      <c r="BK585" s="2">
        <v>0</v>
      </c>
      <c r="BL585" s="136" t="s">
        <v>113</v>
      </c>
      <c r="BM585" s="136">
        <v>45302</v>
      </c>
      <c r="BN585" s="2" t="s">
        <v>2245</v>
      </c>
      <c r="BO585" s="2"/>
      <c r="BP585" s="136"/>
      <c r="BQ585" s="137" t="s">
        <v>119</v>
      </c>
      <c r="BR585" s="138"/>
    </row>
    <row r="586" spans="1:70" ht="12.75" customHeight="1" x14ac:dyDescent="0.2">
      <c r="A586" s="2">
        <v>2075</v>
      </c>
      <c r="B586" s="2" t="s">
        <v>19</v>
      </c>
      <c r="C586" s="2" t="s">
        <v>24</v>
      </c>
      <c r="D586" s="2" t="s">
        <v>2229</v>
      </c>
      <c r="E586" s="2" t="s">
        <v>115</v>
      </c>
      <c r="F586" s="132">
        <v>80000</v>
      </c>
      <c r="G586" s="132">
        <v>2</v>
      </c>
      <c r="H586" s="132"/>
      <c r="I586" s="132"/>
      <c r="J586" s="132"/>
      <c r="K586" s="132">
        <f t="shared" si="65"/>
        <v>80000</v>
      </c>
      <c r="L586" s="132">
        <f t="shared" si="59"/>
        <v>0</v>
      </c>
      <c r="M586" s="133"/>
      <c r="N586" s="133">
        <f t="shared" si="64"/>
        <v>80000</v>
      </c>
      <c r="O586" s="134">
        <v>1</v>
      </c>
      <c r="P586" s="133"/>
      <c r="Q586" s="2" t="s">
        <v>2210</v>
      </c>
      <c r="R586" s="156">
        <f t="shared" si="60"/>
        <v>0</v>
      </c>
      <c r="S586" s="156">
        <f t="shared" si="61"/>
        <v>0</v>
      </c>
      <c r="T586" s="133"/>
      <c r="U586" s="133"/>
      <c r="V586" s="133"/>
      <c r="W586" s="133"/>
      <c r="X586" s="133"/>
      <c r="Y586" s="133"/>
      <c r="Z586" s="133"/>
      <c r="AA586" s="133"/>
      <c r="AB586" s="133"/>
      <c r="AC586" s="133"/>
      <c r="AD586" s="133"/>
      <c r="AE586" s="133"/>
      <c r="AF586" s="133"/>
      <c r="AG586" s="133"/>
      <c r="AH586" s="133"/>
      <c r="AI586" s="133"/>
      <c r="AJ586" s="133"/>
      <c r="AK586" s="133"/>
      <c r="AL586" s="133"/>
      <c r="AM586" s="133"/>
      <c r="AN586" s="133"/>
      <c r="AO586" s="133"/>
      <c r="AP586" s="133"/>
      <c r="AQ586" s="133"/>
      <c r="AR586" s="133"/>
      <c r="AS586" s="153">
        <v>0</v>
      </c>
      <c r="AT586" s="153">
        <v>0</v>
      </c>
      <c r="AU586" s="153">
        <v>0</v>
      </c>
      <c r="AV586" s="153">
        <v>0</v>
      </c>
      <c r="AW586" s="153">
        <v>0</v>
      </c>
      <c r="AX586" s="153">
        <v>0</v>
      </c>
      <c r="AY586" s="135"/>
      <c r="AZ586" s="135"/>
      <c r="BA586" s="135"/>
      <c r="BB586" s="135"/>
      <c r="BC586" s="135"/>
      <c r="BD586" s="135"/>
      <c r="BE586" s="135"/>
      <c r="BF586" s="135"/>
      <c r="BG586" s="135"/>
      <c r="BH586" s="135"/>
      <c r="BI586" s="2" t="s">
        <v>11</v>
      </c>
      <c r="BJ586" s="136"/>
      <c r="BK586" s="2">
        <v>0</v>
      </c>
      <c r="BL586" s="136" t="s">
        <v>113</v>
      </c>
      <c r="BM586" s="136">
        <v>45302</v>
      </c>
      <c r="BN586" s="2" t="s">
        <v>2246</v>
      </c>
      <c r="BO586" s="2"/>
      <c r="BP586" s="136"/>
      <c r="BQ586" s="137" t="s">
        <v>119</v>
      </c>
      <c r="BR586" s="138"/>
    </row>
    <row r="587" spans="1:70" ht="12.75" customHeight="1" x14ac:dyDescent="0.2">
      <c r="A587" s="2">
        <v>2076</v>
      </c>
      <c r="B587" s="2" t="s">
        <v>19</v>
      </c>
      <c r="C587" s="2" t="s">
        <v>21</v>
      </c>
      <c r="D587" s="2" t="s">
        <v>2230</v>
      </c>
      <c r="E587" s="2" t="s">
        <v>115</v>
      </c>
      <c r="F587" s="132">
        <v>45000</v>
      </c>
      <c r="G587" s="132">
        <v>2</v>
      </c>
      <c r="H587" s="132">
        <f>28000+38576</f>
        <v>66576</v>
      </c>
      <c r="I587" s="132">
        <f>28000+38576</f>
        <v>66576</v>
      </c>
      <c r="J587" s="132">
        <f>4271.19+AY587+5884.47+32691.53</f>
        <v>66576</v>
      </c>
      <c r="K587" s="132">
        <f t="shared" si="65"/>
        <v>-21576</v>
      </c>
      <c r="L587" s="132">
        <f t="shared" ref="L587:L650" si="66">H587-J587</f>
        <v>0</v>
      </c>
      <c r="M587" s="153">
        <v>0</v>
      </c>
      <c r="N587" s="133">
        <f t="shared" si="64"/>
        <v>0</v>
      </c>
      <c r="O587" s="134">
        <v>0</v>
      </c>
      <c r="P587" s="133"/>
      <c r="Q587" s="2" t="s">
        <v>2211</v>
      </c>
      <c r="R587" s="156">
        <f t="shared" ref="R587:R650" si="67">T587+V587+X587+Z587+AB587+AD587+AF587+AH587+AJ587+AL587+AN587+AP587</f>
        <v>0</v>
      </c>
      <c r="S587" s="156">
        <f t="shared" ref="S587:S650" si="68">U587+W587+Y587+AA587+AC587+AE587+AG587+AI587+AK587+AM587+AO587+AQ587</f>
        <v>0</v>
      </c>
      <c r="T587" s="133"/>
      <c r="U587" s="133"/>
      <c r="V587" s="133"/>
      <c r="W587" s="133"/>
      <c r="X587" s="133"/>
      <c r="Y587" s="133"/>
      <c r="Z587" s="133"/>
      <c r="AA587" s="133"/>
      <c r="AB587" s="133"/>
      <c r="AC587" s="133"/>
      <c r="AD587" s="133"/>
      <c r="AE587" s="133"/>
      <c r="AF587" s="133"/>
      <c r="AG587" s="133"/>
      <c r="AH587" s="133"/>
      <c r="AI587" s="133"/>
      <c r="AJ587" s="133"/>
      <c r="AK587" s="133"/>
      <c r="AL587" s="133"/>
      <c r="AM587" s="133"/>
      <c r="AN587" s="133"/>
      <c r="AO587" s="133"/>
      <c r="AP587" s="133"/>
      <c r="AQ587" s="133"/>
      <c r="AR587" s="133"/>
      <c r="AS587" s="153">
        <v>0</v>
      </c>
      <c r="AT587" s="153">
        <v>0</v>
      </c>
      <c r="AU587" s="153">
        <v>0</v>
      </c>
      <c r="AV587" s="153">
        <v>0</v>
      </c>
      <c r="AW587" s="153">
        <v>0</v>
      </c>
      <c r="AX587" s="153">
        <v>0</v>
      </c>
      <c r="AY587" s="135">
        <v>23728.81</v>
      </c>
      <c r="AZ587" s="135">
        <v>1885.14</v>
      </c>
      <c r="BA587" s="135">
        <v>0</v>
      </c>
      <c r="BB587" s="140">
        <f>(H587/1.18-AT587-AW587-AZ587)*0.1-BA587</f>
        <v>5453.5198983050859</v>
      </c>
      <c r="BC587" s="135"/>
      <c r="BD587" s="135"/>
      <c r="BE587" s="135">
        <f>(H587/1.18-AT587-AW587-AZ587-BD587)*0.1-AU587-AX587-BA587-BB587</f>
        <v>0</v>
      </c>
      <c r="BF587" s="135"/>
      <c r="BG587" s="135"/>
      <c r="BH587" s="135"/>
      <c r="BI587" s="2" t="s">
        <v>11</v>
      </c>
      <c r="BJ587" s="136">
        <v>45622</v>
      </c>
      <c r="BK587" s="2" t="s">
        <v>8</v>
      </c>
      <c r="BL587" s="136" t="s">
        <v>113</v>
      </c>
      <c r="BM587" s="136">
        <v>45302</v>
      </c>
      <c r="BN587" s="2" t="s">
        <v>2247</v>
      </c>
      <c r="BO587" s="2"/>
      <c r="BP587" s="136"/>
      <c r="BQ587" s="137" t="s">
        <v>119</v>
      </c>
      <c r="BR587" s="138"/>
    </row>
    <row r="588" spans="1:70" ht="12.75" customHeight="1" x14ac:dyDescent="0.2">
      <c r="A588" s="2">
        <v>2077</v>
      </c>
      <c r="B588" s="2" t="s">
        <v>19</v>
      </c>
      <c r="C588" s="2" t="s">
        <v>21</v>
      </c>
      <c r="D588" s="2" t="s">
        <v>2231</v>
      </c>
      <c r="E588" s="2" t="s">
        <v>115</v>
      </c>
      <c r="F588" s="132">
        <v>15000</v>
      </c>
      <c r="G588" s="132">
        <v>2</v>
      </c>
      <c r="H588" s="132">
        <f>5000+26907</f>
        <v>31907</v>
      </c>
      <c r="I588" s="132">
        <f>H588</f>
        <v>31907</v>
      </c>
      <c r="J588" s="132">
        <f>4104.46+27802.54</f>
        <v>31907</v>
      </c>
      <c r="K588" s="132">
        <f t="shared" si="65"/>
        <v>-16907</v>
      </c>
      <c r="L588" s="132">
        <f t="shared" si="66"/>
        <v>0</v>
      </c>
      <c r="M588" s="133">
        <v>1E-3</v>
      </c>
      <c r="N588" s="133">
        <f t="shared" si="64"/>
        <v>0</v>
      </c>
      <c r="O588" s="134">
        <v>0</v>
      </c>
      <c r="P588" s="133"/>
      <c r="Q588" s="2" t="s">
        <v>2212</v>
      </c>
      <c r="R588" s="156">
        <f t="shared" si="67"/>
        <v>0</v>
      </c>
      <c r="S588" s="156">
        <f t="shared" si="68"/>
        <v>0</v>
      </c>
      <c r="T588" s="133"/>
      <c r="U588" s="133"/>
      <c r="V588" s="133"/>
      <c r="W588" s="133"/>
      <c r="X588" s="133"/>
      <c r="Y588" s="133"/>
      <c r="Z588" s="133"/>
      <c r="AA588" s="133"/>
      <c r="AB588" s="133"/>
      <c r="AC588" s="133"/>
      <c r="AD588" s="133"/>
      <c r="AE588" s="133"/>
      <c r="AF588" s="133"/>
      <c r="AG588" s="133"/>
      <c r="AH588" s="133"/>
      <c r="AI588" s="133"/>
      <c r="AJ588" s="133"/>
      <c r="AK588" s="133"/>
      <c r="AL588" s="133"/>
      <c r="AM588" s="133"/>
      <c r="AN588" s="133"/>
      <c r="AO588" s="133"/>
      <c r="AP588" s="133"/>
      <c r="AQ588" s="133"/>
      <c r="AR588" s="133"/>
      <c r="AS588" s="153">
        <v>0</v>
      </c>
      <c r="AT588" s="153">
        <v>0</v>
      </c>
      <c r="AU588" s="153">
        <v>0</v>
      </c>
      <c r="AV588" s="153">
        <v>0</v>
      </c>
      <c r="AW588" s="153">
        <v>0</v>
      </c>
      <c r="AX588" s="153">
        <v>0</v>
      </c>
      <c r="AY588" s="135"/>
      <c r="AZ588" s="135"/>
      <c r="BA588" s="135">
        <v>0</v>
      </c>
      <c r="BB588" s="140">
        <f>(H588/1.18-AT588-AW588-AZ588)*0.1-BA588</f>
        <v>2703.9830508474579</v>
      </c>
      <c r="BC588" s="135"/>
      <c r="BD588" s="135"/>
      <c r="BE588" s="135">
        <f>(H588/1.18-AT588-AW588-AZ588-BD588)*0.1-AU588-AX588-BA588-BB588</f>
        <v>0</v>
      </c>
      <c r="BF588" s="135"/>
      <c r="BG588" s="135"/>
      <c r="BH588" s="135"/>
      <c r="BI588" s="2" t="s">
        <v>11</v>
      </c>
      <c r="BJ588" s="136">
        <v>45530</v>
      </c>
      <c r="BK588" s="2" t="s">
        <v>8</v>
      </c>
      <c r="BL588" s="136" t="s">
        <v>113</v>
      </c>
      <c r="BM588" s="136">
        <v>45302</v>
      </c>
      <c r="BN588" s="2" t="s">
        <v>2248</v>
      </c>
      <c r="BO588" s="2"/>
      <c r="BP588" s="136"/>
      <c r="BQ588" s="137" t="s">
        <v>119</v>
      </c>
      <c r="BR588" s="138"/>
    </row>
    <row r="589" spans="1:70" ht="12.75" customHeight="1" x14ac:dyDescent="0.2">
      <c r="A589" s="2">
        <v>2078</v>
      </c>
      <c r="B589" s="2" t="s">
        <v>39</v>
      </c>
      <c r="C589" s="2" t="s">
        <v>94</v>
      </c>
      <c r="D589" s="2" t="s">
        <v>2257</v>
      </c>
      <c r="E589" s="2" t="s">
        <v>114</v>
      </c>
      <c r="F589" s="132">
        <v>500000</v>
      </c>
      <c r="G589" s="132"/>
      <c r="H589" s="132">
        <f>350000+60000+5696.97</f>
        <v>415696.97</v>
      </c>
      <c r="I589" s="132">
        <f>350000+60000+5696.97</f>
        <v>415696.97</v>
      </c>
      <c r="J589" s="132">
        <f>53389.83+9152.54+AY589+5696.97</f>
        <v>415696.97</v>
      </c>
      <c r="K589" s="132">
        <f t="shared" si="65"/>
        <v>84303.030000000028</v>
      </c>
      <c r="L589" s="132">
        <f t="shared" si="66"/>
        <v>0</v>
      </c>
      <c r="M589" s="133">
        <v>1210</v>
      </c>
      <c r="N589" s="133">
        <f t="shared" si="64"/>
        <v>0</v>
      </c>
      <c r="O589" s="134">
        <v>0</v>
      </c>
      <c r="P589" s="133"/>
      <c r="Q589" s="2" t="s">
        <v>2249</v>
      </c>
      <c r="R589" s="156">
        <f t="shared" si="67"/>
        <v>0</v>
      </c>
      <c r="S589" s="156">
        <f t="shared" si="68"/>
        <v>0</v>
      </c>
      <c r="T589" s="133"/>
      <c r="U589" s="133"/>
      <c r="V589" s="133"/>
      <c r="W589" s="133"/>
      <c r="X589" s="133"/>
      <c r="Y589" s="133"/>
      <c r="Z589" s="133"/>
      <c r="AA589" s="133"/>
      <c r="AB589" s="133"/>
      <c r="AC589" s="133"/>
      <c r="AD589" s="133"/>
      <c r="AE589" s="133"/>
      <c r="AF589" s="133"/>
      <c r="AG589" s="133"/>
      <c r="AH589" s="133"/>
      <c r="AI589" s="133"/>
      <c r="AJ589" s="133"/>
      <c r="AK589" s="133"/>
      <c r="AL589" s="133"/>
      <c r="AM589" s="133"/>
      <c r="AN589" s="133"/>
      <c r="AO589" s="133"/>
      <c r="AP589" s="133"/>
      <c r="AQ589" s="133"/>
      <c r="AR589" s="133"/>
      <c r="AS589" s="153">
        <v>0</v>
      </c>
      <c r="AT589" s="153">
        <v>0</v>
      </c>
      <c r="AU589" s="153">
        <v>0</v>
      </c>
      <c r="AV589" s="153">
        <v>0</v>
      </c>
      <c r="AW589" s="153">
        <v>0</v>
      </c>
      <c r="AX589" s="153">
        <v>0</v>
      </c>
      <c r="AY589" s="135">
        <f>296610.17+50847.46</f>
        <v>347457.63</v>
      </c>
      <c r="AZ589" s="135">
        <f>29287.21+3968.54</f>
        <v>33255.75</v>
      </c>
      <c r="BA589" s="135">
        <v>0</v>
      </c>
      <c r="BB589" s="140">
        <f>(H589/1.18-AT589-AW589-AZ589)*0.1-BA589</f>
        <v>31902.981779661019</v>
      </c>
      <c r="BC589" s="135"/>
      <c r="BD589" s="135"/>
      <c r="BE589" s="135">
        <f>(H589/1.18-AT589-AW589-AZ589-BD589)*0.1-AU589-AX589-BA589-BB589</f>
        <v>0</v>
      </c>
      <c r="BF589" s="135"/>
      <c r="BG589" s="135"/>
      <c r="BH589" s="135"/>
      <c r="BI589" s="2" t="s">
        <v>11</v>
      </c>
      <c r="BJ589" s="136">
        <v>45561</v>
      </c>
      <c r="BK589" s="2" t="s">
        <v>8</v>
      </c>
      <c r="BL589" s="136" t="s">
        <v>18</v>
      </c>
      <c r="BM589" s="136">
        <v>45313</v>
      </c>
      <c r="BN589" s="2" t="s">
        <v>2253</v>
      </c>
      <c r="BO589" s="2"/>
      <c r="BP589" s="136"/>
      <c r="BQ589" s="137" t="s">
        <v>119</v>
      </c>
      <c r="BR589" s="138"/>
    </row>
    <row r="590" spans="1:70" ht="12.75" customHeight="1" x14ac:dyDescent="0.2">
      <c r="A590" s="2">
        <v>2079</v>
      </c>
      <c r="B590" s="2" t="s">
        <v>39</v>
      </c>
      <c r="C590" s="2" t="s">
        <v>74</v>
      </c>
      <c r="D590" s="2" t="s">
        <v>2258</v>
      </c>
      <c r="E590" s="2" t="s">
        <v>114</v>
      </c>
      <c r="F590" s="132">
        <v>500000</v>
      </c>
      <c r="G590" s="132"/>
      <c r="H590" s="132">
        <f>70000+140000+171083.27</f>
        <v>381083.27</v>
      </c>
      <c r="I590" s="132">
        <f>70000+140000+171083.27</f>
        <v>381083.27</v>
      </c>
      <c r="J590" s="132">
        <f>10677.966+21355.93+AY590+171083.284</f>
        <v>381083.27</v>
      </c>
      <c r="K590" s="132">
        <f t="shared" si="65"/>
        <v>118916.72999999998</v>
      </c>
      <c r="L590" s="132">
        <f t="shared" si="66"/>
        <v>0</v>
      </c>
      <c r="M590" s="133">
        <v>5542</v>
      </c>
      <c r="N590" s="133">
        <f t="shared" si="64"/>
        <v>0</v>
      </c>
      <c r="O590" s="134">
        <v>0</v>
      </c>
      <c r="P590" s="133"/>
      <c r="Q590" s="2" t="s">
        <v>2250</v>
      </c>
      <c r="R590" s="156">
        <f t="shared" si="67"/>
        <v>0</v>
      </c>
      <c r="S590" s="156">
        <f t="shared" si="68"/>
        <v>0</v>
      </c>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53">
        <v>0</v>
      </c>
      <c r="AT590" s="153">
        <v>0</v>
      </c>
      <c r="AU590" s="153">
        <v>0</v>
      </c>
      <c r="AV590" s="153">
        <v>0</v>
      </c>
      <c r="AW590" s="153">
        <v>0</v>
      </c>
      <c r="AX590" s="153">
        <v>0</v>
      </c>
      <c r="AY590" s="135">
        <f>59322.03+118644.06</f>
        <v>177966.09</v>
      </c>
      <c r="AZ590" s="135">
        <f>4629.96+7407.94</f>
        <v>12037.9</v>
      </c>
      <c r="BA590" s="135">
        <v>0</v>
      </c>
      <c r="BB590" s="140">
        <f>(H590/1.18-AT590-AW590-AZ590)*0.1-BA590</f>
        <v>31091.402372881359</v>
      </c>
      <c r="BC590" s="135"/>
      <c r="BD590" s="135"/>
      <c r="BE590" s="135">
        <f>(H590/1.18-AT590-AW590-AZ590-BD590)*0.1-AU590-AX590-BA590-BB590</f>
        <v>0</v>
      </c>
      <c r="BF590" s="135"/>
      <c r="BG590" s="135"/>
      <c r="BH590" s="135"/>
      <c r="BI590" s="2" t="s">
        <v>11</v>
      </c>
      <c r="BJ590" s="136">
        <v>45643</v>
      </c>
      <c r="BK590" s="2" t="s">
        <v>8</v>
      </c>
      <c r="BL590" s="136" t="s">
        <v>18</v>
      </c>
      <c r="BM590" s="136">
        <v>45313</v>
      </c>
      <c r="BN590" s="2" t="s">
        <v>2254</v>
      </c>
      <c r="BO590" s="2"/>
      <c r="BP590" s="136"/>
      <c r="BQ590" s="137" t="s">
        <v>119</v>
      </c>
      <c r="BR590" s="138"/>
    </row>
    <row r="591" spans="1:70" ht="12.75" customHeight="1" x14ac:dyDescent="0.2">
      <c r="A591" s="2">
        <v>2080</v>
      </c>
      <c r="B591" s="2" t="s">
        <v>39</v>
      </c>
      <c r="C591" s="2" t="s">
        <v>94</v>
      </c>
      <c r="D591" s="2" t="s">
        <v>2259</v>
      </c>
      <c r="E591" s="2" t="s">
        <v>114</v>
      </c>
      <c r="F591" s="132">
        <v>400000</v>
      </c>
      <c r="G591" s="132"/>
      <c r="H591" s="132">
        <f>100000+180000+155000+100000+110000+R591</f>
        <v>1039439</v>
      </c>
      <c r="I591" s="132"/>
      <c r="J591" s="132">
        <f>27457.627+23644.067+AY591+15254.237+S591+BC591</f>
        <v>890355.86100000003</v>
      </c>
      <c r="K591" s="132">
        <f t="shared" si="65"/>
        <v>-490355.86100000003</v>
      </c>
      <c r="L591" s="132">
        <f t="shared" si="66"/>
        <v>149083.13899999997</v>
      </c>
      <c r="M591" s="133">
        <v>8921</v>
      </c>
      <c r="N591" s="133">
        <f t="shared" si="64"/>
        <v>149083.13899999997</v>
      </c>
      <c r="O591" s="134">
        <v>1</v>
      </c>
      <c r="P591" s="133"/>
      <c r="Q591" s="2" t="s">
        <v>2251</v>
      </c>
      <c r="R591" s="156">
        <f t="shared" si="67"/>
        <v>394439</v>
      </c>
      <c r="S591" s="156">
        <f t="shared" si="68"/>
        <v>49423.73</v>
      </c>
      <c r="T591" s="133">
        <v>100000</v>
      </c>
      <c r="U591" s="133">
        <f>16779.66</f>
        <v>16779.66</v>
      </c>
      <c r="V591" s="133"/>
      <c r="W591" s="133">
        <f>15254.24</f>
        <v>15254.24</v>
      </c>
      <c r="X591" s="133">
        <v>44000</v>
      </c>
      <c r="Y591" s="133"/>
      <c r="Z591" s="133"/>
      <c r="AA591" s="133">
        <v>6711.86</v>
      </c>
      <c r="AB591" s="133"/>
      <c r="AC591" s="133"/>
      <c r="AD591" s="133"/>
      <c r="AE591" s="133"/>
      <c r="AF591" s="133">
        <v>70000</v>
      </c>
      <c r="AG591" s="133"/>
      <c r="AH591" s="133"/>
      <c r="AI591" s="133">
        <v>10677.97</v>
      </c>
      <c r="AJ591" s="133">
        <v>55000</v>
      </c>
      <c r="AK591" s="133"/>
      <c r="AL591" s="133"/>
      <c r="AM591" s="133"/>
      <c r="AN591" s="133">
        <f>20000+105439</f>
        <v>125439</v>
      </c>
      <c r="AO591" s="133"/>
      <c r="AP591" s="133"/>
      <c r="AQ591" s="133"/>
      <c r="AR591" s="133"/>
      <c r="AS591" s="288">
        <v>0</v>
      </c>
      <c r="AT591" s="288">
        <v>0</v>
      </c>
      <c r="AU591" s="288">
        <v>0</v>
      </c>
      <c r="AV591" s="288">
        <v>0</v>
      </c>
      <c r="AW591" s="288">
        <v>0</v>
      </c>
      <c r="AX591" s="288">
        <v>0</v>
      </c>
      <c r="AY591" s="289">
        <f>84745.46+58474.58+131355.93+84746+93220.34</f>
        <v>452542.30999999994</v>
      </c>
      <c r="AZ591" s="289">
        <f>7506.38+4563.82+8201.65+4430+3553.23</f>
        <v>28255.079999999998</v>
      </c>
      <c r="BA591" s="289"/>
      <c r="BB591" s="289"/>
      <c r="BC591" s="289">
        <f>84745.76+131355.93+59322.03+46610.17</f>
        <v>322033.88999999996</v>
      </c>
      <c r="BD591" s="289">
        <f>1753.54+13981.31+5542.14+6020.78+3582.6</f>
        <v>30880.369999999995</v>
      </c>
      <c r="BE591" s="289"/>
      <c r="BF591" s="289"/>
      <c r="BG591" s="289"/>
      <c r="BH591" s="289"/>
      <c r="BI591" s="2" t="s">
        <v>11</v>
      </c>
      <c r="BJ591" s="136">
        <v>45978</v>
      </c>
      <c r="BK591" s="2" t="s">
        <v>8</v>
      </c>
      <c r="BL591" s="136" t="s">
        <v>18</v>
      </c>
      <c r="BM591" s="136">
        <v>45313</v>
      </c>
      <c r="BN591" s="2" t="s">
        <v>2255</v>
      </c>
      <c r="BO591" s="2"/>
      <c r="BP591" s="136"/>
      <c r="BQ591" s="137" t="s">
        <v>119</v>
      </c>
      <c r="BR591" s="138"/>
    </row>
    <row r="592" spans="1:70" ht="12.75" customHeight="1" x14ac:dyDescent="0.2">
      <c r="A592" s="2">
        <v>2081</v>
      </c>
      <c r="B592" s="2" t="s">
        <v>39</v>
      </c>
      <c r="C592" s="2" t="s">
        <v>94</v>
      </c>
      <c r="D592" s="2" t="s">
        <v>2260</v>
      </c>
      <c r="E592" s="2" t="s">
        <v>114</v>
      </c>
      <c r="F592" s="132">
        <v>300000</v>
      </c>
      <c r="G592" s="132"/>
      <c r="H592" s="132">
        <f>R592</f>
        <v>76000</v>
      </c>
      <c r="I592" s="132"/>
      <c r="J592" s="132">
        <f>S592+BC592</f>
        <v>76000</v>
      </c>
      <c r="K592" s="132">
        <f t="shared" si="65"/>
        <v>224000</v>
      </c>
      <c r="L592" s="132">
        <f t="shared" si="66"/>
        <v>0</v>
      </c>
      <c r="M592" s="133"/>
      <c r="N592" s="133">
        <f t="shared" si="64"/>
        <v>224000</v>
      </c>
      <c r="O592" s="134">
        <v>1</v>
      </c>
      <c r="P592" s="133"/>
      <c r="Q592" s="2" t="s">
        <v>2252</v>
      </c>
      <c r="R592" s="156">
        <f t="shared" si="67"/>
        <v>76000</v>
      </c>
      <c r="S592" s="156">
        <f t="shared" si="68"/>
        <v>11593.22</v>
      </c>
      <c r="T592" s="133"/>
      <c r="U592" s="133"/>
      <c r="V592" s="133">
        <v>76000</v>
      </c>
      <c r="W592" s="133"/>
      <c r="X592" s="133"/>
      <c r="Y592" s="133">
        <v>11593.22</v>
      </c>
      <c r="Z592" s="133"/>
      <c r="AA592" s="133"/>
      <c r="AB592" s="133"/>
      <c r="AC592" s="133"/>
      <c r="AD592" s="133"/>
      <c r="AE592" s="133"/>
      <c r="AF592" s="133"/>
      <c r="AG592" s="133"/>
      <c r="AH592" s="133"/>
      <c r="AI592" s="133"/>
      <c r="AJ592" s="133"/>
      <c r="AK592" s="133"/>
      <c r="AL592" s="133"/>
      <c r="AM592" s="133"/>
      <c r="AN592" s="133"/>
      <c r="AO592" s="133"/>
      <c r="AP592" s="133"/>
      <c r="AQ592" s="133"/>
      <c r="AR592" s="133"/>
      <c r="AS592" s="153">
        <v>0</v>
      </c>
      <c r="AT592" s="153">
        <v>0</v>
      </c>
      <c r="AU592" s="153">
        <v>0</v>
      </c>
      <c r="AV592" s="153">
        <v>0</v>
      </c>
      <c r="AW592" s="153">
        <v>0</v>
      </c>
      <c r="AX592" s="153">
        <v>0</v>
      </c>
      <c r="AY592" s="135"/>
      <c r="AZ592" s="135"/>
      <c r="BA592" s="135"/>
      <c r="BB592" s="135"/>
      <c r="BC592" s="135">
        <f>64406.78</f>
        <v>64406.78</v>
      </c>
      <c r="BD592" s="135"/>
      <c r="BE592" s="135"/>
      <c r="BF592" s="135"/>
      <c r="BG592" s="135"/>
      <c r="BH592" s="135"/>
      <c r="BI592" s="2" t="s">
        <v>11</v>
      </c>
      <c r="BJ592" s="136"/>
      <c r="BK592" s="2">
        <v>50</v>
      </c>
      <c r="BL592" s="136" t="s">
        <v>18</v>
      </c>
      <c r="BM592" s="136">
        <v>45313</v>
      </c>
      <c r="BN592" s="2" t="s">
        <v>2256</v>
      </c>
      <c r="BO592" s="2"/>
      <c r="BP592" s="136"/>
      <c r="BQ592" s="137" t="s">
        <v>119</v>
      </c>
      <c r="BR592" s="138"/>
    </row>
    <row r="593" spans="1:70" ht="12.75" customHeight="1" x14ac:dyDescent="0.2">
      <c r="A593" s="2">
        <v>2082</v>
      </c>
      <c r="B593" s="2" t="s">
        <v>31</v>
      </c>
      <c r="C593" s="2" t="s">
        <v>38</v>
      </c>
      <c r="D593" s="2" t="s">
        <v>2277</v>
      </c>
      <c r="E593" s="2" t="s">
        <v>114</v>
      </c>
      <c r="F593" s="132">
        <v>1900000</v>
      </c>
      <c r="G593" s="132"/>
      <c r="H593" s="132">
        <f>950000+450000+200000+36723.67</f>
        <v>1636723.67</v>
      </c>
      <c r="I593" s="132">
        <f>950000+450000+200000+36723.67</f>
        <v>1636723.67</v>
      </c>
      <c r="J593" s="132">
        <f>AY593+144915.254+68644.07+N("გადაირ. პირდ.")+30508.47+36723.67</f>
        <v>1636723.6739999999</v>
      </c>
      <c r="K593" s="132">
        <f t="shared" si="65"/>
        <v>263276.32600000012</v>
      </c>
      <c r="L593" s="132">
        <f t="shared" si="66"/>
        <v>-3.9999999571591616E-3</v>
      </c>
      <c r="M593" s="133">
        <v>8608</v>
      </c>
      <c r="N593" s="133">
        <f t="shared" si="64"/>
        <v>-3.9999999571591616E-3</v>
      </c>
      <c r="O593" s="134">
        <v>0</v>
      </c>
      <c r="P593" s="133"/>
      <c r="Q593" s="2" t="s">
        <v>2261</v>
      </c>
      <c r="R593" s="156">
        <f t="shared" si="67"/>
        <v>0</v>
      </c>
      <c r="S593" s="156">
        <f t="shared" si="68"/>
        <v>0</v>
      </c>
      <c r="T593" s="133"/>
      <c r="U593" s="133"/>
      <c r="V593" s="133"/>
      <c r="W593" s="133"/>
      <c r="X593" s="133"/>
      <c r="Y593" s="133"/>
      <c r="Z593" s="133"/>
      <c r="AA593" s="133"/>
      <c r="AB593" s="133"/>
      <c r="AC593" s="133"/>
      <c r="AD593" s="133"/>
      <c r="AE593" s="133"/>
      <c r="AF593" s="133"/>
      <c r="AG593" s="133"/>
      <c r="AH593" s="133"/>
      <c r="AI593" s="133"/>
      <c r="AJ593" s="133"/>
      <c r="AK593" s="133"/>
      <c r="AL593" s="133"/>
      <c r="AM593" s="133"/>
      <c r="AN593" s="133"/>
      <c r="AO593" s="133"/>
      <c r="AP593" s="133"/>
      <c r="AQ593" s="133"/>
      <c r="AR593" s="133"/>
      <c r="AS593" s="153">
        <v>0</v>
      </c>
      <c r="AT593" s="153">
        <v>0</v>
      </c>
      <c r="AU593" s="153">
        <v>0</v>
      </c>
      <c r="AV593" s="153">
        <v>0</v>
      </c>
      <c r="AW593" s="153">
        <v>0</v>
      </c>
      <c r="AX593" s="153">
        <v>0</v>
      </c>
      <c r="AY593" s="135">
        <f>805084.75+381355.93+169491.53</f>
        <v>1355932.21</v>
      </c>
      <c r="AZ593" s="135">
        <f>79493.85+33778.73+13228.47</f>
        <v>126501.05000000002</v>
      </c>
      <c r="BA593" s="135">
        <v>0</v>
      </c>
      <c r="BB593" s="140">
        <f>(H593/1.18-AT593-AW593-AZ593)*0.1-BA593</f>
        <v>126055.29076271185</v>
      </c>
      <c r="BC593" s="135"/>
      <c r="BD593" s="135"/>
      <c r="BE593" s="135">
        <f>(H593/1.18-AT593-AW593-AZ593-BD593)*0.1-AU593-AX593-BA593-BB593</f>
        <v>0</v>
      </c>
      <c r="BF593" s="135"/>
      <c r="BG593" s="135"/>
      <c r="BH593" s="135"/>
      <c r="BI593" s="2" t="s">
        <v>11</v>
      </c>
      <c r="BJ593" s="136">
        <v>45560</v>
      </c>
      <c r="BK593" s="2" t="s">
        <v>109</v>
      </c>
      <c r="BL593" s="136" t="s">
        <v>113</v>
      </c>
      <c r="BM593" s="136">
        <v>45313</v>
      </c>
      <c r="BN593" s="2" t="s">
        <v>2295</v>
      </c>
      <c r="BO593" s="2"/>
      <c r="BP593" s="205"/>
      <c r="BQ593" s="137" t="s">
        <v>119</v>
      </c>
      <c r="BR593" s="138"/>
    </row>
    <row r="594" spans="1:70" ht="12.75" customHeight="1" x14ac:dyDescent="0.2">
      <c r="A594" s="2">
        <v>2083</v>
      </c>
      <c r="B594" s="2" t="s">
        <v>108</v>
      </c>
      <c r="C594" s="2" t="s">
        <v>40</v>
      </c>
      <c r="D594" s="2" t="s">
        <v>2278</v>
      </c>
      <c r="E594" s="2" t="s">
        <v>114</v>
      </c>
      <c r="F594" s="132">
        <v>850000</v>
      </c>
      <c r="G594" s="132"/>
      <c r="H594" s="132">
        <f>145000+R594</f>
        <v>805000</v>
      </c>
      <c r="I594" s="132"/>
      <c r="J594" s="132">
        <f>22118.64+S594+AY594+BC594</f>
        <v>433813.54</v>
      </c>
      <c r="K594" s="132">
        <f t="shared" si="65"/>
        <v>416186.46</v>
      </c>
      <c r="L594" s="132">
        <f t="shared" si="66"/>
        <v>371186.46</v>
      </c>
      <c r="M594" s="133"/>
      <c r="N594" s="133">
        <f t="shared" si="64"/>
        <v>416186.46</v>
      </c>
      <c r="O594" s="134">
        <v>1</v>
      </c>
      <c r="P594" s="133"/>
      <c r="Q594" s="2" t="s">
        <v>2262</v>
      </c>
      <c r="R594" s="156">
        <f t="shared" si="67"/>
        <v>660000</v>
      </c>
      <c r="S594" s="156">
        <f t="shared" si="68"/>
        <v>77796.599999999991</v>
      </c>
      <c r="T594" s="133">
        <f>250000</f>
        <v>250000</v>
      </c>
      <c r="U594" s="133"/>
      <c r="V594" s="133">
        <v>225000</v>
      </c>
      <c r="W594" s="133">
        <v>38135.589999999997</v>
      </c>
      <c r="X594" s="133">
        <v>35000</v>
      </c>
      <c r="Y594" s="133">
        <v>34322.03</v>
      </c>
      <c r="Z594" s="133"/>
      <c r="AA594" s="133">
        <v>5338.98</v>
      </c>
      <c r="AB594" s="133"/>
      <c r="AC594" s="133"/>
      <c r="AD594" s="133"/>
      <c r="AE594" s="133"/>
      <c r="AF594" s="133"/>
      <c r="AG594" s="133"/>
      <c r="AH594" s="133"/>
      <c r="AI594" s="133"/>
      <c r="AJ594" s="133"/>
      <c r="AK594" s="133"/>
      <c r="AL594" s="133"/>
      <c r="AM594" s="133"/>
      <c r="AN594" s="133">
        <v>150000</v>
      </c>
      <c r="AO594" s="133"/>
      <c r="AP594" s="133"/>
      <c r="AQ594" s="133"/>
      <c r="AR594" s="133"/>
      <c r="AS594" s="153">
        <v>0</v>
      </c>
      <c r="AT594" s="153">
        <v>0</v>
      </c>
      <c r="AU594" s="153">
        <v>0</v>
      </c>
      <c r="AV594" s="153">
        <v>0</v>
      </c>
      <c r="AW594" s="153">
        <v>0</v>
      </c>
      <c r="AX594" s="153">
        <v>0</v>
      </c>
      <c r="AY594" s="135">
        <v>122881.36</v>
      </c>
      <c r="AZ594" s="135"/>
      <c r="BA594" s="135"/>
      <c r="BB594" s="135"/>
      <c r="BC594" s="135">
        <f>211016.94</f>
        <v>211016.94</v>
      </c>
      <c r="BD594" s="135"/>
      <c r="BE594" s="135"/>
      <c r="BF594" s="135"/>
      <c r="BG594" s="135"/>
      <c r="BH594" s="135"/>
      <c r="BI594" s="2" t="s">
        <v>11</v>
      </c>
      <c r="BJ594" s="136"/>
      <c r="BK594" s="2">
        <v>60</v>
      </c>
      <c r="BL594" s="136" t="s">
        <v>113</v>
      </c>
      <c r="BM594" s="136">
        <v>45313</v>
      </c>
      <c r="BN594" s="2" t="s">
        <v>2296</v>
      </c>
      <c r="BO594" s="2"/>
      <c r="BP594" s="205"/>
      <c r="BQ594" s="137" t="s">
        <v>119</v>
      </c>
      <c r="BR594" s="138"/>
    </row>
    <row r="595" spans="1:70" ht="12.75" customHeight="1" x14ac:dyDescent="0.2">
      <c r="A595" s="2">
        <v>2084</v>
      </c>
      <c r="B595" s="2" t="s">
        <v>31</v>
      </c>
      <c r="C595" s="2" t="s">
        <v>37</v>
      </c>
      <c r="D595" s="2" t="s">
        <v>2279</v>
      </c>
      <c r="E595" s="2" t="s">
        <v>114</v>
      </c>
      <c r="F595" s="132">
        <v>710000</v>
      </c>
      <c r="G595" s="132"/>
      <c r="H595" s="132">
        <f>R595</f>
        <v>1750000</v>
      </c>
      <c r="I595" s="132"/>
      <c r="J595" s="132">
        <f>S595+BC595</f>
        <v>1082197.1099999999</v>
      </c>
      <c r="K595" s="132">
        <f t="shared" si="65"/>
        <v>-372197.10999999987</v>
      </c>
      <c r="L595" s="132">
        <f t="shared" si="66"/>
        <v>667802.89000000013</v>
      </c>
      <c r="M595" s="133"/>
      <c r="N595" s="133">
        <f t="shared" si="64"/>
        <v>-372197.10999999987</v>
      </c>
      <c r="O595" s="134">
        <v>1</v>
      </c>
      <c r="P595" s="133"/>
      <c r="Q595" s="2" t="s">
        <v>2263</v>
      </c>
      <c r="R595" s="156">
        <f t="shared" si="67"/>
        <v>1750000</v>
      </c>
      <c r="S595" s="156">
        <f t="shared" si="68"/>
        <v>234739.47999999998</v>
      </c>
      <c r="T595" s="133">
        <v>400000</v>
      </c>
      <c r="U595" s="133"/>
      <c r="V595" s="133">
        <v>300000</v>
      </c>
      <c r="W595" s="133">
        <f>61016.95</f>
        <v>61016.95</v>
      </c>
      <c r="X595" s="133">
        <v>300000</v>
      </c>
      <c r="Y595" s="133">
        <v>45762.71</v>
      </c>
      <c r="Z595" s="133">
        <v>200000</v>
      </c>
      <c r="AA595" s="133">
        <v>45762.71</v>
      </c>
      <c r="AB595" s="133">
        <v>200000</v>
      </c>
      <c r="AC595" s="133">
        <v>30508.47</v>
      </c>
      <c r="AD595" s="133"/>
      <c r="AE595" s="133">
        <v>30508.47</v>
      </c>
      <c r="AF595" s="133">
        <v>80000</v>
      </c>
      <c r="AG595" s="133"/>
      <c r="AH595" s="133"/>
      <c r="AI595" s="133">
        <v>5925.93</v>
      </c>
      <c r="AJ595" s="133"/>
      <c r="AK595" s="133"/>
      <c r="AL595" s="133">
        <v>100000</v>
      </c>
      <c r="AM595" s="133"/>
      <c r="AN595" s="133">
        <v>170000</v>
      </c>
      <c r="AO595" s="133">
        <v>15254.24</v>
      </c>
      <c r="AP595" s="133"/>
      <c r="AQ595" s="133"/>
      <c r="AR595" s="133"/>
      <c r="AS595" s="153">
        <v>0</v>
      </c>
      <c r="AT595" s="153">
        <v>0</v>
      </c>
      <c r="AU595" s="153">
        <v>0</v>
      </c>
      <c r="AV595" s="153">
        <v>0</v>
      </c>
      <c r="AW595" s="153">
        <v>0</v>
      </c>
      <c r="AX595" s="153">
        <v>0</v>
      </c>
      <c r="AY595" s="135"/>
      <c r="AZ595" s="135"/>
      <c r="BA595" s="135"/>
      <c r="BB595" s="135"/>
      <c r="BC595" s="135">
        <f>338983.05+254237.29+254237.29</f>
        <v>847457.63</v>
      </c>
      <c r="BD595" s="135"/>
      <c r="BE595" s="135"/>
      <c r="BF595" s="135"/>
      <c r="BG595" s="135"/>
      <c r="BH595" s="135"/>
      <c r="BI595" s="2" t="s">
        <v>11</v>
      </c>
      <c r="BJ595" s="136"/>
      <c r="BK595" s="2">
        <v>80</v>
      </c>
      <c r="BL595" s="136" t="s">
        <v>113</v>
      </c>
      <c r="BM595" s="136">
        <v>45313</v>
      </c>
      <c r="BN595" s="2" t="s">
        <v>2297</v>
      </c>
      <c r="BO595" s="2"/>
      <c r="BP595" s="205"/>
      <c r="BQ595" s="137" t="s">
        <v>119</v>
      </c>
      <c r="BR595" s="138"/>
    </row>
    <row r="596" spans="1:70" ht="12.75" customHeight="1" x14ac:dyDescent="0.2">
      <c r="A596" s="2">
        <v>2085</v>
      </c>
      <c r="B596" s="2" t="s">
        <v>31</v>
      </c>
      <c r="C596" s="2" t="s">
        <v>37</v>
      </c>
      <c r="D596" s="2" t="s">
        <v>2280</v>
      </c>
      <c r="E596" s="2" t="s">
        <v>114</v>
      </c>
      <c r="F596" s="132">
        <v>680000</v>
      </c>
      <c r="G596" s="132"/>
      <c r="H596" s="132">
        <f>200000+92096.45</f>
        <v>292096.45</v>
      </c>
      <c r="I596" s="132">
        <f>200000+92096.45</f>
        <v>292096.45</v>
      </c>
      <c r="J596" s="132">
        <f>30508.47+AY596+14048.61+78047.84</f>
        <v>292096.44999999995</v>
      </c>
      <c r="K596" s="132">
        <f t="shared" si="65"/>
        <v>387903.55000000005</v>
      </c>
      <c r="L596" s="132">
        <f t="shared" si="66"/>
        <v>0</v>
      </c>
      <c r="M596" s="133">
        <v>1874.7</v>
      </c>
      <c r="N596" s="133">
        <f t="shared" si="64"/>
        <v>5.8207660913467407E-11</v>
      </c>
      <c r="O596" s="134">
        <v>0</v>
      </c>
      <c r="P596" s="133"/>
      <c r="Q596" s="2" t="s">
        <v>2264</v>
      </c>
      <c r="R596" s="156">
        <f t="shared" si="67"/>
        <v>0</v>
      </c>
      <c r="S596" s="156">
        <f t="shared" si="68"/>
        <v>0</v>
      </c>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53">
        <v>0</v>
      </c>
      <c r="AT596" s="153">
        <v>0</v>
      </c>
      <c r="AU596" s="153">
        <v>0</v>
      </c>
      <c r="AV596" s="153">
        <v>0</v>
      </c>
      <c r="AW596" s="153">
        <v>0</v>
      </c>
      <c r="AX596" s="153">
        <v>0</v>
      </c>
      <c r="AY596" s="153">
        <v>169491.53</v>
      </c>
      <c r="AZ596" s="135">
        <v>11136.52</v>
      </c>
      <c r="BA596" s="135">
        <v>0</v>
      </c>
      <c r="BB596" s="140">
        <f>(H596/1.18-AT596-AW596-AZ596)*0.1-BA596</f>
        <v>23640.28444067797</v>
      </c>
      <c r="BC596" s="135"/>
      <c r="BD596" s="135"/>
      <c r="BE596" s="135">
        <f>(H596/1.18-AT596-AW596-AZ596-BD596)*0.1-AU596-AX596-BA596-BB596</f>
        <v>0</v>
      </c>
      <c r="BF596" s="135"/>
      <c r="BG596" s="135"/>
      <c r="BH596" s="135"/>
      <c r="BI596" s="2" t="s">
        <v>11</v>
      </c>
      <c r="BJ596" s="136">
        <v>45623</v>
      </c>
      <c r="BK596" s="2" t="s">
        <v>8</v>
      </c>
      <c r="BL596" s="136" t="s">
        <v>113</v>
      </c>
      <c r="BM596" s="136">
        <v>45313</v>
      </c>
      <c r="BN596" s="2" t="s">
        <v>2298</v>
      </c>
      <c r="BO596" s="2"/>
      <c r="BP596" s="205"/>
      <c r="BQ596" s="137" t="s">
        <v>119</v>
      </c>
      <c r="BR596" s="138"/>
    </row>
    <row r="597" spans="1:70" ht="12.75" customHeight="1" x14ac:dyDescent="0.2">
      <c r="A597" s="2">
        <v>2086</v>
      </c>
      <c r="B597" s="2" t="s">
        <v>108</v>
      </c>
      <c r="C597" s="2" t="s">
        <v>40</v>
      </c>
      <c r="D597" s="2" t="s">
        <v>2281</v>
      </c>
      <c r="E597" s="2" t="s">
        <v>114</v>
      </c>
      <c r="F597" s="132">
        <v>550000</v>
      </c>
      <c r="G597" s="132"/>
      <c r="H597" s="132">
        <f>R597</f>
        <v>460000</v>
      </c>
      <c r="I597" s="132"/>
      <c r="J597" s="132">
        <f>S597+BC597</f>
        <v>65461.380000000005</v>
      </c>
      <c r="K597" s="132">
        <f t="shared" si="65"/>
        <v>484538.62</v>
      </c>
      <c r="L597" s="132">
        <f t="shared" si="66"/>
        <v>394538.62</v>
      </c>
      <c r="M597" s="133"/>
      <c r="N597" s="133">
        <f t="shared" si="64"/>
        <v>484538.62</v>
      </c>
      <c r="O597" s="134">
        <v>1</v>
      </c>
      <c r="P597" s="133"/>
      <c r="Q597" s="2" t="s">
        <v>2265</v>
      </c>
      <c r="R597" s="156">
        <f t="shared" si="67"/>
        <v>460000</v>
      </c>
      <c r="S597" s="156">
        <f t="shared" si="68"/>
        <v>65461.380000000005</v>
      </c>
      <c r="T597" s="133"/>
      <c r="U597" s="133"/>
      <c r="V597" s="133"/>
      <c r="W597" s="133"/>
      <c r="X597" s="133"/>
      <c r="Y597" s="133"/>
      <c r="Z597" s="133">
        <v>120000</v>
      </c>
      <c r="AA597" s="133"/>
      <c r="AB597" s="133">
        <v>180000</v>
      </c>
      <c r="AC597" s="133">
        <v>18305.080000000002</v>
      </c>
      <c r="AD597" s="133">
        <v>100000</v>
      </c>
      <c r="AE597" s="133">
        <v>27457.63</v>
      </c>
      <c r="AF597" s="133">
        <v>60000</v>
      </c>
      <c r="AG597" s="133">
        <f>15254.23</f>
        <v>15254.23</v>
      </c>
      <c r="AH597" s="133"/>
      <c r="AI597" s="133">
        <v>4444.4399999999996</v>
      </c>
      <c r="AJ597" s="133"/>
      <c r="AK597" s="133"/>
      <c r="AL597" s="133"/>
      <c r="AM597" s="133"/>
      <c r="AN597" s="133"/>
      <c r="AO597" s="133"/>
      <c r="AP597" s="133"/>
      <c r="AQ597" s="133"/>
      <c r="AR597" s="133"/>
      <c r="AS597" s="153">
        <v>0</v>
      </c>
      <c r="AT597" s="153">
        <v>0</v>
      </c>
      <c r="AU597" s="153">
        <v>0</v>
      </c>
      <c r="AV597" s="153">
        <v>0</v>
      </c>
      <c r="AW597" s="153">
        <v>0</v>
      </c>
      <c r="AX597" s="153">
        <v>0</v>
      </c>
      <c r="AY597" s="135"/>
      <c r="AZ597" s="135"/>
      <c r="BA597" s="135"/>
      <c r="BB597" s="135"/>
      <c r="BC597" s="135"/>
      <c r="BD597" s="135"/>
      <c r="BE597" s="135"/>
      <c r="BF597" s="135"/>
      <c r="BG597" s="135"/>
      <c r="BH597" s="135"/>
      <c r="BI597" s="2" t="s">
        <v>11</v>
      </c>
      <c r="BJ597" s="136"/>
      <c r="BK597" s="2">
        <v>0</v>
      </c>
      <c r="BL597" s="136" t="s">
        <v>113</v>
      </c>
      <c r="BM597" s="136">
        <v>45313</v>
      </c>
      <c r="BN597" s="2" t="s">
        <v>2299</v>
      </c>
      <c r="BO597" s="2"/>
      <c r="BP597" s="205"/>
      <c r="BQ597" s="137" t="s">
        <v>119</v>
      </c>
      <c r="BR597" s="138"/>
    </row>
    <row r="598" spans="1:70" ht="12.75" customHeight="1" x14ac:dyDescent="0.2">
      <c r="A598" s="2">
        <v>2087</v>
      </c>
      <c r="B598" s="2" t="s">
        <v>31</v>
      </c>
      <c r="C598" s="2" t="s">
        <v>35</v>
      </c>
      <c r="D598" s="2" t="s">
        <v>2292</v>
      </c>
      <c r="E598" s="2" t="s">
        <v>114</v>
      </c>
      <c r="F598" s="132">
        <v>550000</v>
      </c>
      <c r="G598" s="132"/>
      <c r="H598" s="132"/>
      <c r="I598" s="132"/>
      <c r="J598" s="132"/>
      <c r="K598" s="132">
        <f t="shared" si="65"/>
        <v>550000</v>
      </c>
      <c r="L598" s="132">
        <f t="shared" si="66"/>
        <v>0</v>
      </c>
      <c r="M598" s="133"/>
      <c r="N598" s="133">
        <f t="shared" si="64"/>
        <v>550000</v>
      </c>
      <c r="O598" s="134">
        <v>1</v>
      </c>
      <c r="P598" s="133"/>
      <c r="Q598" s="2" t="s">
        <v>2266</v>
      </c>
      <c r="R598" s="156">
        <f t="shared" si="67"/>
        <v>0</v>
      </c>
      <c r="S598" s="156">
        <f t="shared" si="68"/>
        <v>0</v>
      </c>
      <c r="T598" s="133"/>
      <c r="U598" s="133"/>
      <c r="V598" s="133"/>
      <c r="W598" s="133"/>
      <c r="X598" s="133"/>
      <c r="Y598" s="133"/>
      <c r="Z598" s="133"/>
      <c r="AA598" s="133"/>
      <c r="AB598" s="133"/>
      <c r="AC598" s="133"/>
      <c r="AD598" s="133"/>
      <c r="AE598" s="133"/>
      <c r="AF598" s="133"/>
      <c r="AG598" s="133"/>
      <c r="AH598" s="133"/>
      <c r="AI598" s="133"/>
      <c r="AJ598" s="133"/>
      <c r="AK598" s="133"/>
      <c r="AL598" s="133"/>
      <c r="AM598" s="133"/>
      <c r="AN598" s="133"/>
      <c r="AO598" s="133"/>
      <c r="AP598" s="133"/>
      <c r="AQ598" s="133"/>
      <c r="AR598" s="133"/>
      <c r="AS598" s="153">
        <v>0</v>
      </c>
      <c r="AT598" s="153">
        <v>0</v>
      </c>
      <c r="AU598" s="153">
        <v>0</v>
      </c>
      <c r="AV598" s="153">
        <v>0</v>
      </c>
      <c r="AW598" s="153">
        <v>0</v>
      </c>
      <c r="AX598" s="153">
        <v>0</v>
      </c>
      <c r="AY598" s="135"/>
      <c r="AZ598" s="135"/>
      <c r="BA598" s="135"/>
      <c r="BB598" s="135"/>
      <c r="BC598" s="135"/>
      <c r="BD598" s="135"/>
      <c r="BE598" s="135"/>
      <c r="BF598" s="135"/>
      <c r="BG598" s="135"/>
      <c r="BH598" s="135"/>
      <c r="BI598" s="2" t="s">
        <v>11</v>
      </c>
      <c r="BJ598" s="136"/>
      <c r="BK598" s="2">
        <v>0</v>
      </c>
      <c r="BL598" s="136" t="s">
        <v>113</v>
      </c>
      <c r="BM598" s="136">
        <v>45313</v>
      </c>
      <c r="BN598" s="2" t="s">
        <v>2300</v>
      </c>
      <c r="BO598" s="2"/>
      <c r="BP598" s="205"/>
      <c r="BQ598" s="137" t="s">
        <v>119</v>
      </c>
      <c r="BR598" s="138"/>
    </row>
    <row r="599" spans="1:70" ht="12.75" customHeight="1" x14ac:dyDescent="0.2">
      <c r="A599" s="2">
        <v>2088</v>
      </c>
      <c r="B599" s="2" t="s">
        <v>39</v>
      </c>
      <c r="C599" s="2" t="s">
        <v>42</v>
      </c>
      <c r="D599" s="2" t="s">
        <v>2282</v>
      </c>
      <c r="E599" s="2" t="s">
        <v>114</v>
      </c>
      <c r="F599" s="132">
        <v>540000</v>
      </c>
      <c r="G599" s="132"/>
      <c r="H599" s="132">
        <f>120000+R599</f>
        <v>470000</v>
      </c>
      <c r="I599" s="132"/>
      <c r="J599" s="132">
        <f>18305.08+S599+AY599+BC599</f>
        <v>173389.83000000002</v>
      </c>
      <c r="K599" s="132">
        <f t="shared" si="65"/>
        <v>366610.17</v>
      </c>
      <c r="L599" s="132">
        <f t="shared" si="66"/>
        <v>296610.17</v>
      </c>
      <c r="M599" s="133"/>
      <c r="N599" s="133">
        <f t="shared" si="64"/>
        <v>366610.17</v>
      </c>
      <c r="O599" s="134">
        <v>1</v>
      </c>
      <c r="P599" s="133"/>
      <c r="Q599" s="2" t="s">
        <v>2267</v>
      </c>
      <c r="R599" s="156">
        <f t="shared" si="67"/>
        <v>350000</v>
      </c>
      <c r="S599" s="156">
        <f t="shared" si="68"/>
        <v>53389.829999999994</v>
      </c>
      <c r="T599" s="133">
        <v>130000</v>
      </c>
      <c r="U599" s="133"/>
      <c r="V599" s="133"/>
      <c r="W599" s="133">
        <f>19830.51</f>
        <v>19830.509999999998</v>
      </c>
      <c r="X599" s="133"/>
      <c r="Y599" s="133"/>
      <c r="Z599" s="133"/>
      <c r="AA599" s="133"/>
      <c r="AB599" s="133"/>
      <c r="AC599" s="133"/>
      <c r="AD599" s="133">
        <v>120000</v>
      </c>
      <c r="AE599" s="133"/>
      <c r="AF599" s="133"/>
      <c r="AG599" s="133">
        <f>18305.08</f>
        <v>18305.080000000002</v>
      </c>
      <c r="AH599" s="133"/>
      <c r="AI599" s="133"/>
      <c r="AJ599" s="133"/>
      <c r="AK599" s="133"/>
      <c r="AL599" s="133">
        <v>100000</v>
      </c>
      <c r="AM599" s="133"/>
      <c r="AN599" s="133"/>
      <c r="AO599" s="133">
        <v>15254.24</v>
      </c>
      <c r="AP599" s="133"/>
      <c r="AQ599" s="133"/>
      <c r="AR599" s="133"/>
      <c r="AS599" s="153">
        <v>0</v>
      </c>
      <c r="AT599" s="153">
        <v>0</v>
      </c>
      <c r="AU599" s="153">
        <v>0</v>
      </c>
      <c r="AV599" s="153">
        <v>0</v>
      </c>
      <c r="AW599" s="153">
        <v>0</v>
      </c>
      <c r="AX599" s="153">
        <v>0</v>
      </c>
      <c r="AY599" s="135">
        <v>101694.92</v>
      </c>
      <c r="AZ599" s="135"/>
      <c r="BA599" s="135"/>
      <c r="BB599" s="135"/>
      <c r="BC599" s="135"/>
      <c r="BD599" s="135"/>
      <c r="BE599" s="135"/>
      <c r="BF599" s="135"/>
      <c r="BG599" s="135"/>
      <c r="BH599" s="135"/>
      <c r="BI599" s="2" t="s">
        <v>11</v>
      </c>
      <c r="BJ599" s="136"/>
      <c r="BK599" s="2">
        <v>0</v>
      </c>
      <c r="BL599" s="136" t="s">
        <v>113</v>
      </c>
      <c r="BM599" s="136">
        <v>45313</v>
      </c>
      <c r="BN599" s="2" t="s">
        <v>2301</v>
      </c>
      <c r="BO599" s="2"/>
      <c r="BP599" s="205"/>
      <c r="BQ599" s="137" t="s">
        <v>119</v>
      </c>
      <c r="BR599" s="138"/>
    </row>
    <row r="600" spans="1:70" ht="12.75" customHeight="1" x14ac:dyDescent="0.2">
      <c r="A600" s="2">
        <v>2089</v>
      </c>
      <c r="B600" s="2" t="s">
        <v>31</v>
      </c>
      <c r="C600" s="2" t="s">
        <v>35</v>
      </c>
      <c r="D600" s="2" t="s">
        <v>2293</v>
      </c>
      <c r="E600" s="2" t="s">
        <v>114</v>
      </c>
      <c r="F600" s="132">
        <v>230000</v>
      </c>
      <c r="G600" s="132"/>
      <c r="H600" s="132">
        <f>R600</f>
        <v>360000</v>
      </c>
      <c r="I600" s="132"/>
      <c r="J600" s="132">
        <f>S600+BC600</f>
        <v>272372.87</v>
      </c>
      <c r="K600" s="132">
        <f t="shared" si="65"/>
        <v>-42372.869999999995</v>
      </c>
      <c r="L600" s="132">
        <f t="shared" si="66"/>
        <v>87627.13</v>
      </c>
      <c r="M600" s="133"/>
      <c r="N600" s="133">
        <f t="shared" si="64"/>
        <v>-42372.869999999995</v>
      </c>
      <c r="O600" s="134">
        <v>1</v>
      </c>
      <c r="P600" s="133"/>
      <c r="Q600" s="2" t="s">
        <v>2268</v>
      </c>
      <c r="R600" s="156">
        <f t="shared" si="67"/>
        <v>360000</v>
      </c>
      <c r="S600" s="156">
        <f t="shared" si="68"/>
        <v>28807.279999999999</v>
      </c>
      <c r="T600" s="133"/>
      <c r="U600" s="133"/>
      <c r="V600" s="133"/>
      <c r="W600" s="133"/>
      <c r="X600" s="133"/>
      <c r="Y600" s="133"/>
      <c r="Z600" s="133"/>
      <c r="AA600" s="133"/>
      <c r="AB600" s="133"/>
      <c r="AC600" s="133"/>
      <c r="AD600" s="133">
        <v>150000</v>
      </c>
      <c r="AE600" s="133"/>
      <c r="AF600" s="133">
        <v>80000</v>
      </c>
      <c r="AG600" s="133">
        <f>22881.35</f>
        <v>22881.35</v>
      </c>
      <c r="AH600" s="133"/>
      <c r="AI600" s="133">
        <v>5925.93</v>
      </c>
      <c r="AJ600" s="133"/>
      <c r="AK600" s="133"/>
      <c r="AL600" s="133"/>
      <c r="AM600" s="133"/>
      <c r="AN600" s="133">
        <f>50000+80000</f>
        <v>130000</v>
      </c>
      <c r="AO600" s="133"/>
      <c r="AP600" s="133"/>
      <c r="AQ600" s="133"/>
      <c r="AR600" s="133"/>
      <c r="AS600" s="153">
        <v>0</v>
      </c>
      <c r="AT600" s="153">
        <v>0</v>
      </c>
      <c r="AU600" s="153">
        <v>0</v>
      </c>
      <c r="AV600" s="153">
        <v>0</v>
      </c>
      <c r="AW600" s="153">
        <v>0</v>
      </c>
      <c r="AX600" s="153">
        <v>0</v>
      </c>
      <c r="AY600" s="135"/>
      <c r="AZ600" s="135"/>
      <c r="BA600" s="135"/>
      <c r="BB600" s="135"/>
      <c r="BC600" s="135">
        <f>127118.64+74074.07+42372.88</f>
        <v>243565.59000000003</v>
      </c>
      <c r="BD600" s="135"/>
      <c r="BE600" s="135"/>
      <c r="BF600" s="135"/>
      <c r="BG600" s="135"/>
      <c r="BH600" s="135"/>
      <c r="BI600" s="2" t="s">
        <v>11</v>
      </c>
      <c r="BJ600" s="136"/>
      <c r="BK600" s="2">
        <v>99</v>
      </c>
      <c r="BL600" s="136" t="s">
        <v>113</v>
      </c>
      <c r="BM600" s="136">
        <v>45313</v>
      </c>
      <c r="BN600" s="2" t="s">
        <v>2302</v>
      </c>
      <c r="BO600" s="2"/>
      <c r="BP600" s="205"/>
      <c r="BQ600" s="137" t="s">
        <v>119</v>
      </c>
      <c r="BR600" s="138"/>
    </row>
    <row r="601" spans="1:70" ht="12.75" customHeight="1" x14ac:dyDescent="0.2">
      <c r="A601" s="2">
        <v>2090</v>
      </c>
      <c r="B601" s="2" t="s">
        <v>31</v>
      </c>
      <c r="C601" s="2" t="s">
        <v>36</v>
      </c>
      <c r="D601" s="2" t="s">
        <v>2283</v>
      </c>
      <c r="E601" s="2" t="s">
        <v>114</v>
      </c>
      <c r="F601" s="132">
        <v>210000</v>
      </c>
      <c r="G601" s="132"/>
      <c r="H601" s="132">
        <f>130000+50000+35316.94</f>
        <v>215316.94</v>
      </c>
      <c r="I601" s="132">
        <f>130000+50000+35316.94</f>
        <v>215316.94</v>
      </c>
      <c r="J601" s="132">
        <f>19830.51+7627.118+AY601+5387.329+29929.613</f>
        <v>215316.94</v>
      </c>
      <c r="K601" s="132">
        <f t="shared" si="65"/>
        <v>-5316.9400000000023</v>
      </c>
      <c r="L601" s="132">
        <f t="shared" si="66"/>
        <v>0</v>
      </c>
      <c r="M601" s="133">
        <v>2922</v>
      </c>
      <c r="N601" s="133">
        <f t="shared" si="64"/>
        <v>0</v>
      </c>
      <c r="O601" s="134">
        <v>0</v>
      </c>
      <c r="P601" s="133"/>
      <c r="Q601" s="2" t="s">
        <v>2269</v>
      </c>
      <c r="R601" s="156">
        <f t="shared" si="67"/>
        <v>0</v>
      </c>
      <c r="S601" s="156">
        <f t="shared" si="68"/>
        <v>0</v>
      </c>
      <c r="T601" s="133"/>
      <c r="U601" s="133"/>
      <c r="V601" s="133"/>
      <c r="W601" s="133"/>
      <c r="X601" s="133"/>
      <c r="Y601" s="133"/>
      <c r="Z601" s="133"/>
      <c r="AA601" s="133"/>
      <c r="AB601" s="133"/>
      <c r="AC601" s="133"/>
      <c r="AD601" s="133"/>
      <c r="AE601" s="133"/>
      <c r="AF601" s="133"/>
      <c r="AG601" s="133"/>
      <c r="AH601" s="133"/>
      <c r="AI601" s="133"/>
      <c r="AJ601" s="133"/>
      <c r="AK601" s="133"/>
      <c r="AL601" s="133"/>
      <c r="AM601" s="133"/>
      <c r="AN601" s="133"/>
      <c r="AO601" s="133"/>
      <c r="AP601" s="133"/>
      <c r="AQ601" s="133"/>
      <c r="AR601" s="133"/>
      <c r="AS601" s="153">
        <v>0</v>
      </c>
      <c r="AT601" s="153">
        <v>0</v>
      </c>
      <c r="AU601" s="153">
        <v>0</v>
      </c>
      <c r="AV601" s="153">
        <v>0</v>
      </c>
      <c r="AW601" s="153">
        <v>0</v>
      </c>
      <c r="AX601" s="153">
        <v>0</v>
      </c>
      <c r="AY601" s="135">
        <f>110169.49+42372.88</f>
        <v>152542.37</v>
      </c>
      <c r="AZ601" s="135">
        <f>8598.5+2784.13</f>
        <v>11382.630000000001</v>
      </c>
      <c r="BA601" s="135">
        <v>0</v>
      </c>
      <c r="BB601" s="140">
        <f>(H601/1.18-AT601-AW601-AZ601)*0.1-BA601</f>
        <v>17108.935305084746</v>
      </c>
      <c r="BC601" s="135"/>
      <c r="BD601" s="135"/>
      <c r="BE601" s="135">
        <f>(H601/1.18-AT601-AW601-AZ601-BD601)*0.1-AU601-AX601-BA601-BB601</f>
        <v>0</v>
      </c>
      <c r="BF601" s="135"/>
      <c r="BG601" s="135"/>
      <c r="BH601" s="135"/>
      <c r="BI601" s="2" t="s">
        <v>11</v>
      </c>
      <c r="BJ601" s="136">
        <v>45625</v>
      </c>
      <c r="BK601" s="2" t="s">
        <v>109</v>
      </c>
      <c r="BL601" s="136" t="s">
        <v>113</v>
      </c>
      <c r="BM601" s="136">
        <v>45313</v>
      </c>
      <c r="BN601" s="2" t="s">
        <v>2303</v>
      </c>
      <c r="BO601" s="2"/>
      <c r="BP601" s="205"/>
      <c r="BQ601" s="137" t="s">
        <v>119</v>
      </c>
      <c r="BR601" s="138"/>
    </row>
    <row r="602" spans="1:70" ht="12.75" customHeight="1" x14ac:dyDescent="0.2">
      <c r="A602" s="2">
        <v>2091</v>
      </c>
      <c r="B602" s="2" t="s">
        <v>31</v>
      </c>
      <c r="C602" s="2" t="s">
        <v>4</v>
      </c>
      <c r="D602" s="2" t="s">
        <v>2284</v>
      </c>
      <c r="E602" s="2" t="s">
        <v>114</v>
      </c>
      <c r="F602" s="132">
        <v>200000</v>
      </c>
      <c r="G602" s="132"/>
      <c r="H602" s="132">
        <f>R602</f>
        <v>196706.76</v>
      </c>
      <c r="I602" s="132"/>
      <c r="J602" s="132">
        <f>S602+BC602</f>
        <v>196706.75999999998</v>
      </c>
      <c r="K602" s="132">
        <f t="shared" si="65"/>
        <v>3293.2400000000198</v>
      </c>
      <c r="L602" s="132">
        <f t="shared" si="66"/>
        <v>0</v>
      </c>
      <c r="M602" s="133">
        <v>2497</v>
      </c>
      <c r="N602" s="133">
        <f t="shared" si="64"/>
        <v>2.9103830456733704E-11</v>
      </c>
      <c r="O602" s="134">
        <v>1</v>
      </c>
      <c r="P602" s="133"/>
      <c r="Q602" s="2" t="s">
        <v>2270</v>
      </c>
      <c r="R602" s="156">
        <f t="shared" si="67"/>
        <v>196706.76</v>
      </c>
      <c r="S602" s="156">
        <f t="shared" si="68"/>
        <v>39927.100000000006</v>
      </c>
      <c r="T602" s="133">
        <v>150000</v>
      </c>
      <c r="U602" s="133"/>
      <c r="V602" s="133">
        <v>25000</v>
      </c>
      <c r="W602" s="133">
        <f>22881.36</f>
        <v>22881.360000000001</v>
      </c>
      <c r="X602" s="133">
        <v>10000</v>
      </c>
      <c r="Y602" s="133">
        <v>3813.56</v>
      </c>
      <c r="Z602" s="133">
        <v>11706.76</v>
      </c>
      <c r="AA602" s="133">
        <v>1525.42</v>
      </c>
      <c r="AB602" s="133"/>
      <c r="AC602" s="133">
        <v>1785.78</v>
      </c>
      <c r="AD602" s="133"/>
      <c r="AE602" s="133">
        <v>9920.98</v>
      </c>
      <c r="AF602" s="133"/>
      <c r="AG602" s="133"/>
      <c r="AH602" s="133"/>
      <c r="AI602" s="133"/>
      <c r="AJ602" s="133"/>
      <c r="AK602" s="133"/>
      <c r="AL602" s="133"/>
      <c r="AM602" s="133"/>
      <c r="AN602" s="133"/>
      <c r="AO602" s="133"/>
      <c r="AP602" s="133"/>
      <c r="AQ602" s="133"/>
      <c r="AR602" s="133"/>
      <c r="AS602" s="153">
        <v>0</v>
      </c>
      <c r="AT602" s="153">
        <v>0</v>
      </c>
      <c r="AU602" s="153">
        <v>0</v>
      </c>
      <c r="AV602" s="153">
        <v>0</v>
      </c>
      <c r="AW602" s="153">
        <v>0</v>
      </c>
      <c r="AX602" s="153">
        <v>0</v>
      </c>
      <c r="AY602" s="135"/>
      <c r="AZ602" s="135"/>
      <c r="BA602" s="135"/>
      <c r="BB602" s="135"/>
      <c r="BC602" s="135">
        <f>127118.64+21186.44+8474.58</f>
        <v>156779.65999999997</v>
      </c>
      <c r="BD602" s="135">
        <f>1894.59+241.47+1259.58</f>
        <v>3395.64</v>
      </c>
      <c r="BE602" s="135">
        <f>(H602/1.18-AT602-AW602-AZ602-BD602)*0.1-AU602-AX602-BA602-BB602</f>
        <v>16330.500406779662</v>
      </c>
      <c r="BF602" s="135"/>
      <c r="BG602" s="135"/>
      <c r="BH602" s="135"/>
      <c r="BI602" s="2" t="s">
        <v>11</v>
      </c>
      <c r="BJ602" s="136">
        <v>45769</v>
      </c>
      <c r="BK602" s="2" t="s">
        <v>109</v>
      </c>
      <c r="BL602" s="136" t="s">
        <v>113</v>
      </c>
      <c r="BM602" s="136">
        <v>45313</v>
      </c>
      <c r="BN602" s="2" t="s">
        <v>2304</v>
      </c>
      <c r="BO602" s="2"/>
      <c r="BP602" s="205"/>
      <c r="BQ602" s="137" t="s">
        <v>119</v>
      </c>
      <c r="BR602" s="320">
        <v>16300</v>
      </c>
    </row>
    <row r="603" spans="1:70" ht="12.75" customHeight="1" x14ac:dyDescent="0.2">
      <c r="A603" s="2">
        <v>2092</v>
      </c>
      <c r="B603" s="2" t="s">
        <v>54</v>
      </c>
      <c r="C603" s="2" t="s">
        <v>4</v>
      </c>
      <c r="D603" s="2" t="s">
        <v>2285</v>
      </c>
      <c r="E603" s="2" t="s">
        <v>114</v>
      </c>
      <c r="F603" s="132">
        <v>190000</v>
      </c>
      <c r="G603" s="132"/>
      <c r="H603" s="132">
        <f>R603</f>
        <v>450000</v>
      </c>
      <c r="I603" s="132"/>
      <c r="J603" s="132">
        <f>S603+BC603</f>
        <v>53389.829999999994</v>
      </c>
      <c r="K603" s="132">
        <f t="shared" si="65"/>
        <v>136610.17000000001</v>
      </c>
      <c r="L603" s="132">
        <f t="shared" si="66"/>
        <v>396610.17</v>
      </c>
      <c r="M603" s="133"/>
      <c r="N603" s="133">
        <f t="shared" si="64"/>
        <v>136610.17000000001</v>
      </c>
      <c r="O603" s="134">
        <v>1</v>
      </c>
      <c r="P603" s="133"/>
      <c r="Q603" s="2" t="s">
        <v>2271</v>
      </c>
      <c r="R603" s="156">
        <f t="shared" si="67"/>
        <v>450000</v>
      </c>
      <c r="S603" s="156">
        <f t="shared" si="68"/>
        <v>53389.829999999994</v>
      </c>
      <c r="T603" s="133"/>
      <c r="U603" s="133"/>
      <c r="V603" s="133"/>
      <c r="W603" s="133"/>
      <c r="X603" s="133"/>
      <c r="Y603" s="133"/>
      <c r="Z603" s="133"/>
      <c r="AA603" s="133"/>
      <c r="AB603" s="133"/>
      <c r="AC603" s="133"/>
      <c r="AD603" s="133"/>
      <c r="AE603" s="133"/>
      <c r="AF603" s="133"/>
      <c r="AG603" s="133"/>
      <c r="AH603" s="133">
        <v>250000</v>
      </c>
      <c r="AI603" s="133"/>
      <c r="AJ603" s="133">
        <v>100000</v>
      </c>
      <c r="AK603" s="133">
        <v>38135.589999999997</v>
      </c>
      <c r="AL603" s="133">
        <v>100000</v>
      </c>
      <c r="AM603" s="133"/>
      <c r="AN603" s="133"/>
      <c r="AO603" s="133">
        <v>15254.24</v>
      </c>
      <c r="AP603" s="133"/>
      <c r="AQ603" s="133"/>
      <c r="AR603" s="133"/>
      <c r="AS603" s="153">
        <v>0</v>
      </c>
      <c r="AT603" s="153">
        <v>0</v>
      </c>
      <c r="AU603" s="153">
        <v>0</v>
      </c>
      <c r="AV603" s="153">
        <v>0</v>
      </c>
      <c r="AW603" s="153">
        <v>0</v>
      </c>
      <c r="AX603" s="153">
        <v>0</v>
      </c>
      <c r="AY603" s="135"/>
      <c r="AZ603" s="135"/>
      <c r="BA603" s="135"/>
      <c r="BB603" s="135"/>
      <c r="BC603" s="135"/>
      <c r="BD603" s="135"/>
      <c r="BE603" s="135"/>
      <c r="BF603" s="135"/>
      <c r="BG603" s="135"/>
      <c r="BH603" s="135"/>
      <c r="BI603" s="2" t="s">
        <v>11</v>
      </c>
      <c r="BJ603" s="136"/>
      <c r="BK603" s="2">
        <v>99</v>
      </c>
      <c r="BL603" s="136" t="s">
        <v>113</v>
      </c>
      <c r="BM603" s="136">
        <v>45313</v>
      </c>
      <c r="BN603" s="2" t="s">
        <v>2305</v>
      </c>
      <c r="BO603" s="2"/>
      <c r="BP603" s="205"/>
      <c r="BQ603" s="137" t="s">
        <v>119</v>
      </c>
      <c r="BR603" s="138"/>
    </row>
    <row r="604" spans="1:70" ht="12.75" customHeight="1" x14ac:dyDescent="0.2">
      <c r="A604" s="2">
        <v>2093</v>
      </c>
      <c r="B604" s="2" t="s">
        <v>31</v>
      </c>
      <c r="C604" s="2" t="s">
        <v>38</v>
      </c>
      <c r="D604" s="2" t="s">
        <v>2286</v>
      </c>
      <c r="E604" s="2" t="s">
        <v>114</v>
      </c>
      <c r="F604" s="132">
        <v>180000</v>
      </c>
      <c r="G604" s="132"/>
      <c r="H604" s="132">
        <f>150000+25161.75</f>
        <v>175161.75</v>
      </c>
      <c r="I604" s="132">
        <f>150000+25161.75</f>
        <v>175161.75</v>
      </c>
      <c r="J604" s="132">
        <f>22881.36+AY604+25161.75</f>
        <v>175161.75</v>
      </c>
      <c r="K604" s="132">
        <f t="shared" si="65"/>
        <v>4838.25</v>
      </c>
      <c r="L604" s="132">
        <f t="shared" si="66"/>
        <v>0</v>
      </c>
      <c r="M604" s="133">
        <v>2104.5</v>
      </c>
      <c r="N604" s="133">
        <f t="shared" si="64"/>
        <v>0</v>
      </c>
      <c r="O604" s="134">
        <v>0</v>
      </c>
      <c r="P604" s="133"/>
      <c r="Q604" s="2" t="s">
        <v>2272</v>
      </c>
      <c r="R604" s="156">
        <f t="shared" si="67"/>
        <v>0</v>
      </c>
      <c r="S604" s="156">
        <f t="shared" si="68"/>
        <v>0</v>
      </c>
      <c r="T604" s="133"/>
      <c r="U604" s="133"/>
      <c r="V604" s="133"/>
      <c r="W604" s="133"/>
      <c r="X604" s="133"/>
      <c r="Y604" s="133"/>
      <c r="Z604" s="133"/>
      <c r="AA604" s="133"/>
      <c r="AB604" s="133"/>
      <c r="AC604" s="133"/>
      <c r="AD604" s="133"/>
      <c r="AE604" s="133"/>
      <c r="AF604" s="133"/>
      <c r="AG604" s="133"/>
      <c r="AH604" s="133"/>
      <c r="AI604" s="133"/>
      <c r="AJ604" s="133"/>
      <c r="AK604" s="133"/>
      <c r="AL604" s="133"/>
      <c r="AM604" s="133"/>
      <c r="AN604" s="133"/>
      <c r="AO604" s="133"/>
      <c r="AP604" s="133"/>
      <c r="AQ604" s="133"/>
      <c r="AR604" s="133"/>
      <c r="AS604" s="153">
        <v>0</v>
      </c>
      <c r="AT604" s="153">
        <v>0</v>
      </c>
      <c r="AU604" s="153">
        <v>0</v>
      </c>
      <c r="AV604" s="153">
        <v>0</v>
      </c>
      <c r="AW604" s="153">
        <v>0</v>
      </c>
      <c r="AX604" s="153">
        <v>0</v>
      </c>
      <c r="AY604" s="135">
        <v>127118.64</v>
      </c>
      <c r="AZ604" s="135">
        <v>9921.35</v>
      </c>
      <c r="BA604" s="135">
        <v>0</v>
      </c>
      <c r="BB604" s="140">
        <f>(H604/1.18-AT604-AW604-AZ604)*0.1-BA604</f>
        <v>13852.081101694916</v>
      </c>
      <c r="BC604" s="135"/>
      <c r="BD604" s="135"/>
      <c r="BE604" s="135">
        <f>(H604/1.18-AT604-AW604-AZ604-BD604)*0.1-AU604-AX604-BA604-BB604</f>
        <v>0</v>
      </c>
      <c r="BF604" s="135"/>
      <c r="BG604" s="135"/>
      <c r="BH604" s="135"/>
      <c r="BI604" s="2" t="s">
        <v>11</v>
      </c>
      <c r="BJ604" s="136">
        <v>45561</v>
      </c>
      <c r="BK604" s="2" t="s">
        <v>109</v>
      </c>
      <c r="BL604" s="136" t="s">
        <v>113</v>
      </c>
      <c r="BM604" s="136">
        <v>45313</v>
      </c>
      <c r="BN604" s="2" t="s">
        <v>2306</v>
      </c>
      <c r="BO604" s="2"/>
      <c r="BP604" s="205"/>
      <c r="BQ604" s="137" t="s">
        <v>119</v>
      </c>
      <c r="BR604" s="138"/>
    </row>
    <row r="605" spans="1:70" ht="12.75" customHeight="1" x14ac:dyDescent="0.2">
      <c r="A605" s="2">
        <v>2094</v>
      </c>
      <c r="B605" s="2" t="s">
        <v>31</v>
      </c>
      <c r="C605" s="2" t="s">
        <v>35</v>
      </c>
      <c r="D605" s="2" t="s">
        <v>2294</v>
      </c>
      <c r="E605" s="2" t="s">
        <v>114</v>
      </c>
      <c r="F605" s="132">
        <v>120000</v>
      </c>
      <c r="G605" s="132"/>
      <c r="H605" s="132">
        <f>R605</f>
        <v>206972.22</v>
      </c>
      <c r="I605" s="132"/>
      <c r="J605" s="132">
        <f>S605+BC605</f>
        <v>188351.69999999998</v>
      </c>
      <c r="K605" s="132">
        <f t="shared" si="65"/>
        <v>-68351.699999999983</v>
      </c>
      <c r="L605" s="132">
        <f t="shared" si="66"/>
        <v>18620.520000000019</v>
      </c>
      <c r="M605" s="133">
        <v>2422</v>
      </c>
      <c r="N605" s="133">
        <f t="shared" si="64"/>
        <v>18620.520000000019</v>
      </c>
      <c r="O605" s="134">
        <v>1</v>
      </c>
      <c r="P605" s="133"/>
      <c r="Q605" s="2" t="s">
        <v>2273</v>
      </c>
      <c r="R605" s="156">
        <f t="shared" si="67"/>
        <v>206972.22</v>
      </c>
      <c r="S605" s="156">
        <f t="shared" si="68"/>
        <v>31572.030000000002</v>
      </c>
      <c r="T605" s="133"/>
      <c r="U605" s="133"/>
      <c r="V605" s="133"/>
      <c r="W605" s="133"/>
      <c r="X605" s="133"/>
      <c r="Y605" s="133"/>
      <c r="Z605" s="133"/>
      <c r="AA605" s="133"/>
      <c r="AB605" s="133">
        <v>120000</v>
      </c>
      <c r="AC605" s="133"/>
      <c r="AD605" s="133">
        <v>30000</v>
      </c>
      <c r="AE605" s="133">
        <v>18305.080000000002</v>
      </c>
      <c r="AF605" s="133"/>
      <c r="AG605" s="133">
        <f>4576.27</f>
        <v>4576.2700000000004</v>
      </c>
      <c r="AH605" s="133"/>
      <c r="AI605" s="133"/>
      <c r="AJ605" s="133"/>
      <c r="AK605" s="133"/>
      <c r="AL605" s="133">
        <f>35000+21972.22</f>
        <v>56972.22</v>
      </c>
      <c r="AM605" s="133"/>
      <c r="AN605" s="133"/>
      <c r="AO605" s="133">
        <v>8690.68</v>
      </c>
      <c r="AP605" s="133"/>
      <c r="AQ605" s="133"/>
      <c r="AR605" s="133"/>
      <c r="AS605" s="153">
        <v>0</v>
      </c>
      <c r="AT605" s="153">
        <v>0</v>
      </c>
      <c r="AU605" s="153">
        <v>0</v>
      </c>
      <c r="AV605" s="153">
        <v>0</v>
      </c>
      <c r="AW605" s="153">
        <v>0</v>
      </c>
      <c r="AX605" s="153">
        <v>0</v>
      </c>
      <c r="AY605" s="135"/>
      <c r="AZ605" s="135"/>
      <c r="BA605" s="135"/>
      <c r="BB605" s="135"/>
      <c r="BC605" s="135">
        <f>101694.92+25423.73+29661.02</f>
        <v>156779.66999999998</v>
      </c>
      <c r="BD605" s="135">
        <f>13214.77+2969+2216.86</f>
        <v>18400.63</v>
      </c>
      <c r="BE605" s="135"/>
      <c r="BF605" s="135"/>
      <c r="BG605" s="135"/>
      <c r="BH605" s="135"/>
      <c r="BI605" s="2" t="s">
        <v>11</v>
      </c>
      <c r="BJ605" s="136">
        <v>45946</v>
      </c>
      <c r="BK605" s="2" t="s">
        <v>109</v>
      </c>
      <c r="BL605" s="136" t="s">
        <v>113</v>
      </c>
      <c r="BM605" s="136">
        <v>45313</v>
      </c>
      <c r="BN605" s="2" t="s">
        <v>2307</v>
      </c>
      <c r="BO605" s="2"/>
      <c r="BP605" s="205"/>
      <c r="BQ605" s="137" t="s">
        <v>119</v>
      </c>
      <c r="BR605" s="138"/>
    </row>
    <row r="606" spans="1:70" ht="12.75" customHeight="1" x14ac:dyDescent="0.2">
      <c r="A606" s="2">
        <v>2095</v>
      </c>
      <c r="B606" s="2" t="s">
        <v>54</v>
      </c>
      <c r="C606" s="2" t="s">
        <v>4</v>
      </c>
      <c r="D606" s="2" t="s">
        <v>2287</v>
      </c>
      <c r="E606" s="2" t="s">
        <v>114</v>
      </c>
      <c r="F606" s="132">
        <v>110000</v>
      </c>
      <c r="G606" s="132"/>
      <c r="H606" s="132">
        <f>R606</f>
        <v>263134.28999999998</v>
      </c>
      <c r="I606" s="132"/>
      <c r="J606" s="132">
        <f>S606+BC606</f>
        <v>263134.28999999998</v>
      </c>
      <c r="K606" s="132">
        <f t="shared" si="65"/>
        <v>-153134.28999999998</v>
      </c>
      <c r="L606" s="132">
        <f t="shared" si="66"/>
        <v>0</v>
      </c>
      <c r="M606" s="133">
        <v>2628</v>
      </c>
      <c r="N606" s="133">
        <f t="shared" si="64"/>
        <v>0</v>
      </c>
      <c r="O606" s="134">
        <v>1</v>
      </c>
      <c r="P606" s="133"/>
      <c r="Q606" s="2" t="s">
        <v>1800</v>
      </c>
      <c r="R606" s="156">
        <f t="shared" si="67"/>
        <v>263134.28999999998</v>
      </c>
      <c r="S606" s="156">
        <f t="shared" si="68"/>
        <v>68219.039999999979</v>
      </c>
      <c r="T606" s="133"/>
      <c r="U606" s="133"/>
      <c r="V606" s="133"/>
      <c r="W606" s="133"/>
      <c r="X606" s="133">
        <v>75000</v>
      </c>
      <c r="Y606" s="133"/>
      <c r="Z606" s="133">
        <v>80000</v>
      </c>
      <c r="AA606" s="133">
        <v>11440.68</v>
      </c>
      <c r="AB606" s="133"/>
      <c r="AC606" s="133">
        <v>12203.39</v>
      </c>
      <c r="AD606" s="133"/>
      <c r="AE606" s="133"/>
      <c r="AF606" s="133">
        <v>75000</v>
      </c>
      <c r="AG606" s="133"/>
      <c r="AH606" s="133">
        <v>33134.29</v>
      </c>
      <c r="AI606" s="133">
        <v>11440.68</v>
      </c>
      <c r="AJ606" s="133"/>
      <c r="AK606" s="133">
        <v>33134.289999999979</v>
      </c>
      <c r="AL606" s="133"/>
      <c r="AM606" s="133"/>
      <c r="AN606" s="133"/>
      <c r="AO606" s="133"/>
      <c r="AP606" s="133"/>
      <c r="AQ606" s="133"/>
      <c r="AR606" s="133"/>
      <c r="AS606" s="153">
        <v>0</v>
      </c>
      <c r="AT606" s="153">
        <v>0</v>
      </c>
      <c r="AU606" s="153">
        <v>0</v>
      </c>
      <c r="AV606" s="153">
        <v>0</v>
      </c>
      <c r="AW606" s="153">
        <v>0</v>
      </c>
      <c r="AX606" s="153">
        <v>0</v>
      </c>
      <c r="AY606" s="135"/>
      <c r="AZ606" s="135"/>
      <c r="BA606" s="135"/>
      <c r="BB606" s="135"/>
      <c r="BC606" s="135">
        <f>63559.32+67796.61+63559.32</f>
        <v>194915.25</v>
      </c>
      <c r="BD606" s="135">
        <f>9446.83+9644.76+6477.83</f>
        <v>25569.42</v>
      </c>
      <c r="BE606" s="135"/>
      <c r="BF606" s="135"/>
      <c r="BG606" s="135"/>
      <c r="BH606" s="135"/>
      <c r="BI606" s="2" t="s">
        <v>11</v>
      </c>
      <c r="BJ606" s="136">
        <v>45874</v>
      </c>
      <c r="BK606" s="2" t="s">
        <v>109</v>
      </c>
      <c r="BL606" s="136" t="s">
        <v>113</v>
      </c>
      <c r="BM606" s="136">
        <v>45313</v>
      </c>
      <c r="BN606" s="2" t="s">
        <v>2308</v>
      </c>
      <c r="BO606" s="2"/>
      <c r="BP606" s="205"/>
      <c r="BQ606" s="137" t="s">
        <v>119</v>
      </c>
      <c r="BR606" s="138"/>
    </row>
    <row r="607" spans="1:70" ht="12.75" customHeight="1" x14ac:dyDescent="0.2">
      <c r="A607" s="2">
        <v>2096</v>
      </c>
      <c r="B607" s="2" t="s">
        <v>54</v>
      </c>
      <c r="C607" s="2" t="s">
        <v>4</v>
      </c>
      <c r="D607" s="2" t="s">
        <v>2288</v>
      </c>
      <c r="E607" s="2" t="s">
        <v>114</v>
      </c>
      <c r="F607" s="132">
        <v>80000</v>
      </c>
      <c r="G607" s="132"/>
      <c r="H607" s="132">
        <f>70000+12746.14</f>
        <v>82746.14</v>
      </c>
      <c r="I607" s="132">
        <f>70000+12746.14</f>
        <v>82746.14</v>
      </c>
      <c r="J607" s="132">
        <f>10677.97+AY607+12746.14</f>
        <v>82746.14</v>
      </c>
      <c r="K607" s="132">
        <f t="shared" si="65"/>
        <v>-2746.1399999999994</v>
      </c>
      <c r="L607" s="132">
        <f t="shared" si="66"/>
        <v>0</v>
      </c>
      <c r="M607" s="133">
        <v>731</v>
      </c>
      <c r="N607" s="133">
        <f t="shared" si="64"/>
        <v>0</v>
      </c>
      <c r="O607" s="134">
        <v>0</v>
      </c>
      <c r="P607" s="133"/>
      <c r="Q607" s="2" t="s">
        <v>1799</v>
      </c>
      <c r="R607" s="156">
        <f t="shared" si="67"/>
        <v>0</v>
      </c>
      <c r="S607" s="156">
        <f t="shared" si="68"/>
        <v>0</v>
      </c>
      <c r="T607" s="133"/>
      <c r="U607" s="133"/>
      <c r="V607" s="133"/>
      <c r="W607" s="133"/>
      <c r="X607" s="133"/>
      <c r="Y607" s="133"/>
      <c r="Z607" s="133"/>
      <c r="AA607" s="133"/>
      <c r="AB607" s="133"/>
      <c r="AC607" s="133"/>
      <c r="AD607" s="133"/>
      <c r="AE607" s="133"/>
      <c r="AF607" s="133"/>
      <c r="AG607" s="133"/>
      <c r="AH607" s="133"/>
      <c r="AI607" s="133"/>
      <c r="AJ607" s="133"/>
      <c r="AK607" s="133"/>
      <c r="AL607" s="133"/>
      <c r="AM607" s="133"/>
      <c r="AN607" s="133"/>
      <c r="AO607" s="133"/>
      <c r="AP607" s="133"/>
      <c r="AQ607" s="133"/>
      <c r="AR607" s="133"/>
      <c r="AS607" s="153">
        <v>0</v>
      </c>
      <c r="AT607" s="153">
        <v>0</v>
      </c>
      <c r="AU607" s="153">
        <v>0</v>
      </c>
      <c r="AV607" s="153">
        <v>0</v>
      </c>
      <c r="AW607" s="153">
        <v>0</v>
      </c>
      <c r="AX607" s="153">
        <v>0</v>
      </c>
      <c r="AY607" s="135">
        <v>59322.03</v>
      </c>
      <c r="AZ607" s="135">
        <v>4974.5200000000004</v>
      </c>
      <c r="BA607" s="135">
        <v>0</v>
      </c>
      <c r="BB607" s="140">
        <f>(H607/1.18-AT607-AW607-AZ607)*0.1-BA607</f>
        <v>6514.9327457627123</v>
      </c>
      <c r="BC607" s="135"/>
      <c r="BD607" s="135"/>
      <c r="BE607" s="135">
        <f>(H607/1.18-AT607-AW607-AZ607-BD607)*0.1-AU607-AX607-BA607-BB607</f>
        <v>0</v>
      </c>
      <c r="BF607" s="135"/>
      <c r="BG607" s="135"/>
      <c r="BH607" s="135"/>
      <c r="BI607" s="2" t="s">
        <v>11</v>
      </c>
      <c r="BJ607" s="136">
        <v>45561</v>
      </c>
      <c r="BK607" s="2" t="s">
        <v>109</v>
      </c>
      <c r="BL607" s="136" t="s">
        <v>113</v>
      </c>
      <c r="BM607" s="136">
        <v>45313</v>
      </c>
      <c r="BN607" s="2" t="s">
        <v>2309</v>
      </c>
      <c r="BO607" s="2"/>
      <c r="BP607" s="205"/>
      <c r="BQ607" s="137" t="s">
        <v>119</v>
      </c>
      <c r="BR607" s="138"/>
    </row>
    <row r="608" spans="1:70" ht="12.75" customHeight="1" x14ac:dyDescent="0.2">
      <c r="A608" s="2">
        <v>2097</v>
      </c>
      <c r="B608" s="2" t="s">
        <v>54</v>
      </c>
      <c r="C608" s="2" t="s">
        <v>4</v>
      </c>
      <c r="D608" s="2" t="s">
        <v>2289</v>
      </c>
      <c r="E608" s="2" t="s">
        <v>114</v>
      </c>
      <c r="F608" s="132">
        <v>70000</v>
      </c>
      <c r="G608" s="132"/>
      <c r="H608" s="132"/>
      <c r="I608" s="132"/>
      <c r="J608" s="132"/>
      <c r="K608" s="132">
        <f t="shared" si="65"/>
        <v>70000</v>
      </c>
      <c r="L608" s="132">
        <f t="shared" si="66"/>
        <v>0</v>
      </c>
      <c r="M608" s="133"/>
      <c r="N608" s="133">
        <f t="shared" si="64"/>
        <v>70000</v>
      </c>
      <c r="O608" s="134">
        <v>1</v>
      </c>
      <c r="P608" s="133"/>
      <c r="Q608" s="2" t="s">
        <v>2274</v>
      </c>
      <c r="R608" s="156">
        <f t="shared" si="67"/>
        <v>0</v>
      </c>
      <c r="S608" s="156">
        <f t="shared" si="68"/>
        <v>0</v>
      </c>
      <c r="T608" s="133"/>
      <c r="U608" s="133"/>
      <c r="V608" s="133"/>
      <c r="W608" s="133"/>
      <c r="X608" s="133"/>
      <c r="Y608" s="133"/>
      <c r="Z608" s="133"/>
      <c r="AA608" s="133"/>
      <c r="AB608" s="133"/>
      <c r="AC608" s="133"/>
      <c r="AD608" s="133"/>
      <c r="AE608" s="133"/>
      <c r="AF608" s="133"/>
      <c r="AG608" s="133"/>
      <c r="AH608" s="133"/>
      <c r="AI608" s="133"/>
      <c r="AJ608" s="133"/>
      <c r="AK608" s="133"/>
      <c r="AL608" s="133"/>
      <c r="AM608" s="133"/>
      <c r="AN608" s="133"/>
      <c r="AO608" s="133"/>
      <c r="AP608" s="133"/>
      <c r="AQ608" s="133"/>
      <c r="AR608" s="133"/>
      <c r="AS608" s="153">
        <v>0</v>
      </c>
      <c r="AT608" s="153">
        <v>0</v>
      </c>
      <c r="AU608" s="153">
        <v>0</v>
      </c>
      <c r="AV608" s="153">
        <v>0</v>
      </c>
      <c r="AW608" s="153">
        <v>0</v>
      </c>
      <c r="AX608" s="153">
        <v>0</v>
      </c>
      <c r="AY608" s="135"/>
      <c r="AZ608" s="135"/>
      <c r="BA608" s="135"/>
      <c r="BB608" s="135"/>
      <c r="BC608" s="135"/>
      <c r="BD608" s="135"/>
      <c r="BE608" s="135"/>
      <c r="BF608" s="135"/>
      <c r="BG608" s="135"/>
      <c r="BH608" s="135"/>
      <c r="BI608" s="2" t="s">
        <v>11</v>
      </c>
      <c r="BJ608" s="136"/>
      <c r="BK608" s="2">
        <v>0</v>
      </c>
      <c r="BL608" s="136" t="s">
        <v>113</v>
      </c>
      <c r="BM608" s="136">
        <v>45313</v>
      </c>
      <c r="BN608" s="2" t="s">
        <v>2310</v>
      </c>
      <c r="BO608" s="2"/>
      <c r="BP608" s="205"/>
      <c r="BQ608" s="137" t="s">
        <v>119</v>
      </c>
      <c r="BR608" s="138"/>
    </row>
    <row r="609" spans="1:70" ht="12.75" customHeight="1" x14ac:dyDescent="0.2">
      <c r="A609" s="2">
        <v>2098</v>
      </c>
      <c r="B609" s="2" t="s">
        <v>31</v>
      </c>
      <c r="C609" s="2" t="s">
        <v>38</v>
      </c>
      <c r="D609" s="2" t="s">
        <v>2290</v>
      </c>
      <c r="E609" s="2" t="s">
        <v>114</v>
      </c>
      <c r="F609" s="132">
        <v>50000</v>
      </c>
      <c r="G609" s="132"/>
      <c r="H609" s="132">
        <f>R609</f>
        <v>50918.94</v>
      </c>
      <c r="I609" s="132"/>
      <c r="J609" s="132">
        <f>S609+BC609</f>
        <v>50918.939999999995</v>
      </c>
      <c r="K609" s="132">
        <f t="shared" si="65"/>
        <v>-918.93999999999505</v>
      </c>
      <c r="L609" s="132">
        <f t="shared" si="66"/>
        <v>0</v>
      </c>
      <c r="M609" s="133">
        <v>684</v>
      </c>
      <c r="N609" s="133">
        <f t="shared" si="64"/>
        <v>7.2759576141834259E-12</v>
      </c>
      <c r="O609" s="134">
        <v>1</v>
      </c>
      <c r="P609" s="133"/>
      <c r="Q609" s="2" t="s">
        <v>2275</v>
      </c>
      <c r="R609" s="156">
        <f t="shared" si="67"/>
        <v>50918.94</v>
      </c>
      <c r="S609" s="156">
        <f t="shared" si="68"/>
        <v>12783.35</v>
      </c>
      <c r="T609" s="133"/>
      <c r="U609" s="133"/>
      <c r="V609" s="133"/>
      <c r="W609" s="133"/>
      <c r="X609" s="133">
        <v>45000</v>
      </c>
      <c r="Y609" s="133"/>
      <c r="Z609" s="133">
        <v>5918.94</v>
      </c>
      <c r="AA609" s="133">
        <v>6864.41</v>
      </c>
      <c r="AB609" s="133"/>
      <c r="AC609" s="133">
        <v>902.89</v>
      </c>
      <c r="AD609" s="133"/>
      <c r="AE609" s="133">
        <v>5016.05</v>
      </c>
      <c r="AF609" s="133"/>
      <c r="AG609" s="133"/>
      <c r="AH609" s="133"/>
      <c r="AI609" s="133"/>
      <c r="AJ609" s="133"/>
      <c r="AK609" s="133"/>
      <c r="AL609" s="133"/>
      <c r="AM609" s="133"/>
      <c r="AN609" s="133"/>
      <c r="AO609" s="133"/>
      <c r="AP609" s="133"/>
      <c r="AQ609" s="133"/>
      <c r="AR609" s="133"/>
      <c r="AS609" s="153">
        <v>0</v>
      </c>
      <c r="AT609" s="153">
        <v>0</v>
      </c>
      <c r="AU609" s="153">
        <v>0</v>
      </c>
      <c r="AV609" s="153">
        <v>0</v>
      </c>
      <c r="AW609" s="153">
        <v>0</v>
      </c>
      <c r="AX609" s="153">
        <v>0</v>
      </c>
      <c r="AY609" s="135"/>
      <c r="AZ609" s="135"/>
      <c r="BA609" s="135"/>
      <c r="BB609" s="135"/>
      <c r="BC609" s="135">
        <v>38135.589999999997</v>
      </c>
      <c r="BD609" s="135">
        <v>5668.1</v>
      </c>
      <c r="BE609" s="135">
        <f>(H609/1.18-AT609-AW609-AZ609-BD609)*0.1-AU609-AX609-BA609-BB609</f>
        <v>3748.354406779662</v>
      </c>
      <c r="BF609" s="135"/>
      <c r="BG609" s="135"/>
      <c r="BH609" s="135"/>
      <c r="BI609" s="2" t="s">
        <v>11</v>
      </c>
      <c r="BJ609" s="136">
        <v>45769</v>
      </c>
      <c r="BK609" s="2" t="s">
        <v>109</v>
      </c>
      <c r="BL609" s="136" t="s">
        <v>113</v>
      </c>
      <c r="BM609" s="136">
        <v>45313</v>
      </c>
      <c r="BN609" s="2" t="s">
        <v>2311</v>
      </c>
      <c r="BO609" s="2"/>
      <c r="BP609" s="205"/>
      <c r="BQ609" s="137" t="s">
        <v>119</v>
      </c>
      <c r="BR609" s="320">
        <v>3800</v>
      </c>
    </row>
    <row r="610" spans="1:70" ht="12.75" customHeight="1" x14ac:dyDescent="0.2">
      <c r="A610" s="2">
        <v>2099</v>
      </c>
      <c r="B610" s="2" t="s">
        <v>54</v>
      </c>
      <c r="C610" s="2" t="s">
        <v>4</v>
      </c>
      <c r="D610" s="2" t="s">
        <v>2291</v>
      </c>
      <c r="E610" s="2" t="s">
        <v>114</v>
      </c>
      <c r="F610" s="132">
        <v>50000</v>
      </c>
      <c r="G610" s="132"/>
      <c r="H610" s="132">
        <f>R610</f>
        <v>60352.42</v>
      </c>
      <c r="I610" s="132"/>
      <c r="J610" s="132">
        <f>S610+BC610</f>
        <v>60352.42</v>
      </c>
      <c r="K610" s="132">
        <f t="shared" si="65"/>
        <v>-10352.419999999998</v>
      </c>
      <c r="L610" s="132">
        <f t="shared" si="66"/>
        <v>0</v>
      </c>
      <c r="M610" s="133">
        <v>1382</v>
      </c>
      <c r="N610" s="133">
        <f t="shared" si="64"/>
        <v>0</v>
      </c>
      <c r="O610" s="134">
        <v>1</v>
      </c>
      <c r="P610" s="133"/>
      <c r="Q610" s="2" t="s">
        <v>2276</v>
      </c>
      <c r="R610" s="156">
        <f t="shared" si="67"/>
        <v>60352.42</v>
      </c>
      <c r="S610" s="156">
        <f t="shared" si="68"/>
        <v>13742.25</v>
      </c>
      <c r="T610" s="133"/>
      <c r="U610" s="133"/>
      <c r="V610" s="133">
        <v>50000</v>
      </c>
      <c r="W610" s="133"/>
      <c r="X610" s="133">
        <v>5000</v>
      </c>
      <c r="Y610" s="133">
        <v>7627.12</v>
      </c>
      <c r="Z610" s="133">
        <v>5352.42</v>
      </c>
      <c r="AA610" s="133">
        <v>762.71</v>
      </c>
      <c r="AB610" s="133"/>
      <c r="AC610" s="133">
        <v>816.47</v>
      </c>
      <c r="AD610" s="133"/>
      <c r="AE610" s="133">
        <v>4535.95</v>
      </c>
      <c r="AF610" s="133"/>
      <c r="AG610" s="133"/>
      <c r="AH610" s="133"/>
      <c r="AI610" s="133"/>
      <c r="AJ610" s="133"/>
      <c r="AK610" s="133"/>
      <c r="AL610" s="133"/>
      <c r="AM610" s="133"/>
      <c r="AN610" s="133"/>
      <c r="AO610" s="133"/>
      <c r="AP610" s="133"/>
      <c r="AQ610" s="133"/>
      <c r="AR610" s="133"/>
      <c r="AS610" s="153">
        <v>0</v>
      </c>
      <c r="AT610" s="153">
        <v>0</v>
      </c>
      <c r="AU610" s="153">
        <v>0</v>
      </c>
      <c r="AV610" s="153">
        <v>0</v>
      </c>
      <c r="AW610" s="153">
        <v>0</v>
      </c>
      <c r="AX610" s="153">
        <v>0</v>
      </c>
      <c r="AY610" s="135"/>
      <c r="AZ610" s="135"/>
      <c r="BA610" s="135"/>
      <c r="BB610" s="135"/>
      <c r="BC610" s="135">
        <f>42372.88+4237.29</f>
        <v>46610.17</v>
      </c>
      <c r="BD610" s="135">
        <f>482.93+629.79</f>
        <v>1112.72</v>
      </c>
      <c r="BE610" s="135">
        <f>(H610/1.18-AT610-AW610-AZ610-BD610)*0.1-AU610-AX610-BA610-BB610</f>
        <v>5003.3398644067802</v>
      </c>
      <c r="BF610" s="135"/>
      <c r="BG610" s="135"/>
      <c r="BH610" s="135"/>
      <c r="BI610" s="2" t="s">
        <v>11</v>
      </c>
      <c r="BJ610" s="136">
        <v>45771</v>
      </c>
      <c r="BK610" s="2" t="s">
        <v>109</v>
      </c>
      <c r="BL610" s="136" t="s">
        <v>113</v>
      </c>
      <c r="BM610" s="136">
        <v>45313</v>
      </c>
      <c r="BN610" s="2" t="s">
        <v>2312</v>
      </c>
      <c r="BO610" s="2"/>
      <c r="BP610" s="205"/>
      <c r="BQ610" s="137" t="s">
        <v>119</v>
      </c>
      <c r="BR610" s="320">
        <v>4900</v>
      </c>
    </row>
    <row r="611" spans="1:70" ht="12.75" customHeight="1" x14ac:dyDescent="0.2">
      <c r="A611" s="2">
        <v>2100</v>
      </c>
      <c r="B611" s="2" t="s">
        <v>28</v>
      </c>
      <c r="C611" s="2" t="s">
        <v>56</v>
      </c>
      <c r="D611" s="2" t="s">
        <v>2356</v>
      </c>
      <c r="E611" s="2" t="s">
        <v>117</v>
      </c>
      <c r="F611" s="132">
        <f>618*1.75</f>
        <v>1081.5</v>
      </c>
      <c r="G611" s="132">
        <v>2</v>
      </c>
      <c r="H611" s="132">
        <f>618*1.75</f>
        <v>1081.5</v>
      </c>
      <c r="I611" s="132"/>
      <c r="J611" s="132">
        <f>164.97+916.53</f>
        <v>1081.5</v>
      </c>
      <c r="K611" s="132">
        <f t="shared" si="65"/>
        <v>0</v>
      </c>
      <c r="L611" s="132">
        <f t="shared" si="66"/>
        <v>0</v>
      </c>
      <c r="M611" s="133"/>
      <c r="N611" s="133">
        <f t="shared" si="64"/>
        <v>0</v>
      </c>
      <c r="O611" s="134">
        <v>0</v>
      </c>
      <c r="P611" s="133"/>
      <c r="Q611" s="2" t="s">
        <v>2313</v>
      </c>
      <c r="R611" s="156">
        <f t="shared" si="67"/>
        <v>0</v>
      </c>
      <c r="S611" s="156">
        <f t="shared" si="68"/>
        <v>0</v>
      </c>
      <c r="T611" s="133"/>
      <c r="U611" s="133"/>
      <c r="V611" s="133"/>
      <c r="W611" s="133"/>
      <c r="X611" s="133"/>
      <c r="Y611" s="133"/>
      <c r="Z611" s="133"/>
      <c r="AA611" s="133"/>
      <c r="AB611" s="133"/>
      <c r="AC611" s="133"/>
      <c r="AD611" s="133"/>
      <c r="AE611" s="133"/>
      <c r="AF611" s="133"/>
      <c r="AG611" s="133"/>
      <c r="AH611" s="133"/>
      <c r="AI611" s="133"/>
      <c r="AJ611" s="133"/>
      <c r="AK611" s="133"/>
      <c r="AL611" s="133"/>
      <c r="AM611" s="133"/>
      <c r="AN611" s="133"/>
      <c r="AO611" s="133"/>
      <c r="AP611" s="133"/>
      <c r="AQ611" s="133"/>
      <c r="AR611" s="133"/>
      <c r="AS611" s="153">
        <v>0</v>
      </c>
      <c r="AT611" s="153">
        <v>0</v>
      </c>
      <c r="AU611" s="153">
        <v>0</v>
      </c>
      <c r="AV611" s="153">
        <v>0</v>
      </c>
      <c r="AW611" s="153">
        <v>0</v>
      </c>
      <c r="AX611" s="153">
        <v>0</v>
      </c>
      <c r="AY611" s="135"/>
      <c r="AZ611" s="135"/>
      <c r="BA611" s="135"/>
      <c r="BB611" s="135"/>
      <c r="BC611" s="135"/>
      <c r="BD611" s="135"/>
      <c r="BE611" s="135"/>
      <c r="BF611" s="135"/>
      <c r="BG611" s="135"/>
      <c r="BH611" s="135"/>
      <c r="BI611" s="2" t="s">
        <v>112</v>
      </c>
      <c r="BJ611" s="136">
        <v>45419</v>
      </c>
      <c r="BK611" s="2" t="s">
        <v>145</v>
      </c>
      <c r="BL611" s="136" t="s">
        <v>113</v>
      </c>
      <c r="BM611" s="136">
        <v>45301</v>
      </c>
      <c r="BN611" s="2" t="s">
        <v>2380</v>
      </c>
      <c r="BO611" s="2"/>
      <c r="BP611" s="205"/>
      <c r="BQ611" s="137" t="s">
        <v>134</v>
      </c>
      <c r="BR611" s="138"/>
    </row>
    <row r="612" spans="1:70" ht="12.75" customHeight="1" x14ac:dyDescent="0.2">
      <c r="A612" s="2">
        <v>2101</v>
      </c>
      <c r="B612" s="2" t="s">
        <v>28</v>
      </c>
      <c r="C612" s="2" t="s">
        <v>56</v>
      </c>
      <c r="D612" s="2" t="s">
        <v>2336</v>
      </c>
      <c r="E612" s="2" t="s">
        <v>87</v>
      </c>
      <c r="F612" s="132">
        <v>60000</v>
      </c>
      <c r="G612" s="132">
        <v>2</v>
      </c>
      <c r="H612" s="132">
        <f>50000+49468.2</f>
        <v>99468.2</v>
      </c>
      <c r="I612" s="132">
        <f>50000+49468.2</f>
        <v>99468.2</v>
      </c>
      <c r="J612" s="132">
        <f>7627.12+AY612+49468.2</f>
        <v>99468.2</v>
      </c>
      <c r="K612" s="132">
        <f t="shared" si="65"/>
        <v>-39468.199999999997</v>
      </c>
      <c r="L612" s="132">
        <f t="shared" si="66"/>
        <v>0</v>
      </c>
      <c r="M612" s="133">
        <v>693</v>
      </c>
      <c r="N612" s="133">
        <f t="shared" si="64"/>
        <v>0</v>
      </c>
      <c r="O612" s="134">
        <v>0</v>
      </c>
      <c r="P612" s="133"/>
      <c r="Q612" s="2" t="s">
        <v>2313</v>
      </c>
      <c r="R612" s="156">
        <f t="shared" si="67"/>
        <v>0</v>
      </c>
      <c r="S612" s="156">
        <f t="shared" si="68"/>
        <v>0</v>
      </c>
      <c r="T612" s="133"/>
      <c r="U612" s="133"/>
      <c r="V612" s="133"/>
      <c r="W612" s="133"/>
      <c r="X612" s="133"/>
      <c r="Y612" s="133"/>
      <c r="Z612" s="133"/>
      <c r="AA612" s="133"/>
      <c r="AB612" s="133"/>
      <c r="AC612" s="133"/>
      <c r="AD612" s="133"/>
      <c r="AE612" s="133"/>
      <c r="AF612" s="133"/>
      <c r="AG612" s="133"/>
      <c r="AH612" s="133"/>
      <c r="AI612" s="133"/>
      <c r="AJ612" s="133"/>
      <c r="AK612" s="133"/>
      <c r="AL612" s="133"/>
      <c r="AM612" s="133"/>
      <c r="AN612" s="133"/>
      <c r="AO612" s="133"/>
      <c r="AP612" s="133"/>
      <c r="AQ612" s="133"/>
      <c r="AR612" s="133"/>
      <c r="AS612" s="153">
        <v>0</v>
      </c>
      <c r="AT612" s="153">
        <v>0</v>
      </c>
      <c r="AU612" s="153">
        <v>0</v>
      </c>
      <c r="AV612" s="153">
        <v>0</v>
      </c>
      <c r="AW612" s="153">
        <v>0</v>
      </c>
      <c r="AX612" s="153">
        <v>0</v>
      </c>
      <c r="AY612" s="135">
        <v>42372.88</v>
      </c>
      <c r="AZ612" s="135">
        <v>4372.63</v>
      </c>
      <c r="BA612" s="135">
        <f>50000/1.18*0.8*0.1</f>
        <v>3389.8305084745771</v>
      </c>
      <c r="BB612" s="140">
        <f>(H612/1.18-AT612-AW612-AZ612)*0.1-AU612-AX612-BA612</f>
        <v>4602.4149661016936</v>
      </c>
      <c r="BC612" s="135"/>
      <c r="BD612" s="135"/>
      <c r="BE612" s="135">
        <f>(H612/1.18-AT612-AW612-AZ612-BD612)*0.1-AU612-AX612-BA612-BB612</f>
        <v>0</v>
      </c>
      <c r="BF612" s="135"/>
      <c r="BG612" s="135"/>
      <c r="BH612" s="135"/>
      <c r="BI612" s="2" t="s">
        <v>11</v>
      </c>
      <c r="BJ612" s="136">
        <v>45495</v>
      </c>
      <c r="BK612" s="2" t="s">
        <v>109</v>
      </c>
      <c r="BL612" s="136" t="s">
        <v>113</v>
      </c>
      <c r="BM612" s="136">
        <v>45301</v>
      </c>
      <c r="BN612" s="2" t="s">
        <v>2381</v>
      </c>
      <c r="BO612" s="2"/>
      <c r="BP612" s="205"/>
      <c r="BQ612" s="137" t="s">
        <v>119</v>
      </c>
      <c r="BR612" s="138"/>
    </row>
    <row r="613" spans="1:70" ht="12.75" customHeight="1" x14ac:dyDescent="0.2">
      <c r="A613" s="2">
        <v>2102</v>
      </c>
      <c r="B613" s="2" t="s">
        <v>28</v>
      </c>
      <c r="C613" s="2" t="s">
        <v>56</v>
      </c>
      <c r="D613" s="2" t="s">
        <v>2357</v>
      </c>
      <c r="E613" s="2" t="s">
        <v>117</v>
      </c>
      <c r="F613" s="132">
        <f>32575*1.75</f>
        <v>57006.25</v>
      </c>
      <c r="G613" s="132">
        <v>2</v>
      </c>
      <c r="H613" s="132">
        <f>32575*1.75</f>
        <v>57006.25</v>
      </c>
      <c r="I613" s="132"/>
      <c r="J613" s="132">
        <f>8695.87+48310.38</f>
        <v>57006.25</v>
      </c>
      <c r="K613" s="132">
        <f t="shared" si="65"/>
        <v>0</v>
      </c>
      <c r="L613" s="132">
        <f t="shared" si="66"/>
        <v>0</v>
      </c>
      <c r="M613" s="133"/>
      <c r="N613" s="133">
        <f t="shared" si="64"/>
        <v>0</v>
      </c>
      <c r="O613" s="134">
        <v>0</v>
      </c>
      <c r="P613" s="133"/>
      <c r="Q613" s="2" t="s">
        <v>2314</v>
      </c>
      <c r="R613" s="156">
        <f t="shared" si="67"/>
        <v>0</v>
      </c>
      <c r="S613" s="156">
        <f t="shared" si="68"/>
        <v>0</v>
      </c>
      <c r="T613" s="133"/>
      <c r="U613" s="133"/>
      <c r="V613" s="133"/>
      <c r="W613" s="133"/>
      <c r="X613" s="133"/>
      <c r="Y613" s="133"/>
      <c r="Z613" s="133"/>
      <c r="AA613" s="133"/>
      <c r="AB613" s="133"/>
      <c r="AC613" s="133"/>
      <c r="AD613" s="133"/>
      <c r="AE613" s="133"/>
      <c r="AF613" s="133"/>
      <c r="AG613" s="133"/>
      <c r="AH613" s="133"/>
      <c r="AI613" s="133"/>
      <c r="AJ613" s="133"/>
      <c r="AK613" s="133"/>
      <c r="AL613" s="133"/>
      <c r="AM613" s="133"/>
      <c r="AN613" s="133"/>
      <c r="AO613" s="133"/>
      <c r="AP613" s="133"/>
      <c r="AQ613" s="133"/>
      <c r="AR613" s="133"/>
      <c r="AS613" s="153">
        <v>0</v>
      </c>
      <c r="AT613" s="153">
        <v>0</v>
      </c>
      <c r="AU613" s="153">
        <v>0</v>
      </c>
      <c r="AV613" s="153">
        <v>0</v>
      </c>
      <c r="AW613" s="153">
        <v>0</v>
      </c>
      <c r="AX613" s="153">
        <v>0</v>
      </c>
      <c r="AY613" s="135"/>
      <c r="AZ613" s="135"/>
      <c r="BA613" s="135"/>
      <c r="BB613" s="135"/>
      <c r="BC613" s="135"/>
      <c r="BD613" s="135"/>
      <c r="BE613" s="135"/>
      <c r="BF613" s="135"/>
      <c r="BG613" s="135"/>
      <c r="BH613" s="135"/>
      <c r="BI613" s="2" t="s">
        <v>112</v>
      </c>
      <c r="BJ613" s="136">
        <v>45413</v>
      </c>
      <c r="BK613" s="2" t="s">
        <v>145</v>
      </c>
      <c r="BL613" s="136" t="s">
        <v>113</v>
      </c>
      <c r="BM613" s="136">
        <v>45301</v>
      </c>
      <c r="BN613" s="2" t="s">
        <v>2382</v>
      </c>
      <c r="BO613" s="2"/>
      <c r="BP613" s="205"/>
      <c r="BQ613" s="137" t="s">
        <v>134</v>
      </c>
      <c r="BR613" s="138"/>
    </row>
    <row r="614" spans="1:70" ht="12.75" customHeight="1" x14ac:dyDescent="0.2">
      <c r="A614" s="2">
        <v>2103</v>
      </c>
      <c r="B614" s="2" t="s">
        <v>28</v>
      </c>
      <c r="C614" s="2" t="s">
        <v>56</v>
      </c>
      <c r="D614" s="2" t="s">
        <v>2337</v>
      </c>
      <c r="E614" s="2" t="s">
        <v>87</v>
      </c>
      <c r="F614" s="132">
        <v>1660000</v>
      </c>
      <c r="G614" s="132">
        <v>2</v>
      </c>
      <c r="H614" s="132">
        <f>400000+400000+50000+R614</f>
        <v>2201421.1799999997</v>
      </c>
      <c r="I614" s="132"/>
      <c r="J614" s="132">
        <f>61016.95+7627.118+S614+AY614+BC614</f>
        <v>2201421.1799999997</v>
      </c>
      <c r="K614" s="132">
        <f t="shared" si="65"/>
        <v>-541421.1799999997</v>
      </c>
      <c r="L614" s="132">
        <f t="shared" si="66"/>
        <v>0</v>
      </c>
      <c r="M614" s="133">
        <v>31426</v>
      </c>
      <c r="N614" s="133">
        <f t="shared" si="64"/>
        <v>0</v>
      </c>
      <c r="O614" s="134">
        <v>1</v>
      </c>
      <c r="P614" s="133"/>
      <c r="Q614" s="2" t="s">
        <v>2314</v>
      </c>
      <c r="R614" s="156">
        <f t="shared" si="67"/>
        <v>1351421.18</v>
      </c>
      <c r="S614" s="156">
        <f t="shared" si="68"/>
        <v>437861.86199999962</v>
      </c>
      <c r="T614" s="133"/>
      <c r="U614" s="133"/>
      <c r="V614" s="133">
        <v>1150000</v>
      </c>
      <c r="W614" s="133"/>
      <c r="X614" s="133"/>
      <c r="Y614" s="133">
        <v>175423.728</v>
      </c>
      <c r="Z614" s="133"/>
      <c r="AA614" s="133"/>
      <c r="AB614" s="133"/>
      <c r="AC614" s="133"/>
      <c r="AD614" s="133"/>
      <c r="AE614" s="133"/>
      <c r="AF614" s="133">
        <f>100000+101421.18</f>
        <v>201421.18</v>
      </c>
      <c r="AG614" s="133"/>
      <c r="AH614" s="133"/>
      <c r="AI614" s="133">
        <f>15254.24+15471.03</f>
        <v>30725.27</v>
      </c>
      <c r="AJ614" s="133"/>
      <c r="AK614" s="133">
        <v>231712.86399999959</v>
      </c>
      <c r="AL614" s="133"/>
      <c r="AM614" s="133"/>
      <c r="AN614" s="133"/>
      <c r="AO614" s="133"/>
      <c r="AP614" s="133"/>
      <c r="AQ614" s="133"/>
      <c r="AR614" s="133"/>
      <c r="AS614" s="153">
        <v>0</v>
      </c>
      <c r="AT614" s="153">
        <v>0</v>
      </c>
      <c r="AU614" s="153">
        <v>0</v>
      </c>
      <c r="AV614" s="153">
        <v>0</v>
      </c>
      <c r="AW614" s="153">
        <v>0</v>
      </c>
      <c r="AX614" s="153">
        <v>0</v>
      </c>
      <c r="AY614" s="135">
        <f>338983.05+338983.05+42372.88</f>
        <v>720338.98</v>
      </c>
      <c r="AZ614" s="135">
        <f>34981.05+31008.41+2799.51</f>
        <v>68788.97</v>
      </c>
      <c r="BA614" s="135"/>
      <c r="BB614" s="135"/>
      <c r="BC614" s="135">
        <f>974576.27</f>
        <v>974576.27</v>
      </c>
      <c r="BD614" s="135">
        <v>18750.580000000002</v>
      </c>
      <c r="BE614" s="135"/>
      <c r="BF614" s="135"/>
      <c r="BG614" s="135"/>
      <c r="BH614" s="135"/>
      <c r="BI614" s="2" t="s">
        <v>11</v>
      </c>
      <c r="BJ614" s="136">
        <v>45863</v>
      </c>
      <c r="BK614" s="2" t="s">
        <v>8</v>
      </c>
      <c r="BL614" s="136" t="s">
        <v>113</v>
      </c>
      <c r="BM614" s="136">
        <v>45301</v>
      </c>
      <c r="BN614" s="2" t="s">
        <v>2383</v>
      </c>
      <c r="BO614" s="2"/>
      <c r="BP614" s="205"/>
      <c r="BQ614" s="137" t="s">
        <v>119</v>
      </c>
      <c r="BR614" s="138"/>
    </row>
    <row r="615" spans="1:70" ht="12.75" customHeight="1" x14ac:dyDescent="0.2">
      <c r="A615" s="2">
        <v>2104</v>
      </c>
      <c r="B615" s="2" t="s">
        <v>28</v>
      </c>
      <c r="C615" s="2" t="s">
        <v>56</v>
      </c>
      <c r="D615" s="2" t="s">
        <v>2358</v>
      </c>
      <c r="E615" s="2" t="s">
        <v>117</v>
      </c>
      <c r="F615" s="132">
        <v>0</v>
      </c>
      <c r="G615" s="132">
        <v>2</v>
      </c>
      <c r="H615" s="132"/>
      <c r="I615" s="132"/>
      <c r="J615" s="132"/>
      <c r="K615" s="132">
        <f t="shared" si="65"/>
        <v>0</v>
      </c>
      <c r="L615" s="132">
        <f t="shared" si="66"/>
        <v>0</v>
      </c>
      <c r="M615" s="133"/>
      <c r="N615" s="133">
        <f t="shared" si="64"/>
        <v>0</v>
      </c>
      <c r="O615" s="134">
        <v>2</v>
      </c>
      <c r="P615" s="133"/>
      <c r="Q615" s="2" t="s">
        <v>2315</v>
      </c>
      <c r="R615" s="156">
        <f t="shared" si="67"/>
        <v>0</v>
      </c>
      <c r="S615" s="156">
        <f t="shared" si="68"/>
        <v>0</v>
      </c>
      <c r="T615" s="133"/>
      <c r="U615" s="133"/>
      <c r="V615" s="133"/>
      <c r="W615" s="133"/>
      <c r="X615" s="133"/>
      <c r="Y615" s="133"/>
      <c r="Z615" s="133"/>
      <c r="AA615" s="133"/>
      <c r="AB615" s="133"/>
      <c r="AC615" s="133"/>
      <c r="AD615" s="133"/>
      <c r="AE615" s="133"/>
      <c r="AF615" s="133"/>
      <c r="AG615" s="133"/>
      <c r="AH615" s="133"/>
      <c r="AI615" s="133"/>
      <c r="AJ615" s="133"/>
      <c r="AK615" s="133"/>
      <c r="AL615" s="133"/>
      <c r="AM615" s="133"/>
      <c r="AN615" s="133"/>
      <c r="AO615" s="133"/>
      <c r="AP615" s="133"/>
      <c r="AQ615" s="133"/>
      <c r="AR615" s="133"/>
      <c r="AS615" s="153">
        <v>0</v>
      </c>
      <c r="AT615" s="153">
        <v>0</v>
      </c>
      <c r="AU615" s="153">
        <v>0</v>
      </c>
      <c r="AV615" s="153">
        <v>0</v>
      </c>
      <c r="AW615" s="153">
        <v>0</v>
      </c>
      <c r="AX615" s="153">
        <v>0</v>
      </c>
      <c r="AY615" s="135"/>
      <c r="AZ615" s="135"/>
      <c r="BA615" s="135"/>
      <c r="BB615" s="135"/>
      <c r="BC615" s="135"/>
      <c r="BD615" s="135"/>
      <c r="BE615" s="135"/>
      <c r="BF615" s="135"/>
      <c r="BG615" s="135"/>
      <c r="BH615" s="135"/>
      <c r="BI615" s="2" t="s">
        <v>112</v>
      </c>
      <c r="BJ615" s="136"/>
      <c r="BK615" s="2">
        <v>0</v>
      </c>
      <c r="BL615" s="136" t="s">
        <v>113</v>
      </c>
      <c r="BM615" s="136">
        <v>45301</v>
      </c>
      <c r="BN615" s="2" t="s">
        <v>2384</v>
      </c>
      <c r="BO615" s="2"/>
      <c r="BP615" s="205" t="s">
        <v>3858</v>
      </c>
      <c r="BQ615" s="137" t="s">
        <v>134</v>
      </c>
      <c r="BR615" s="138"/>
    </row>
    <row r="616" spans="1:70" ht="12.75" customHeight="1" x14ac:dyDescent="0.2">
      <c r="A616" s="2">
        <v>2105</v>
      </c>
      <c r="B616" s="2" t="s">
        <v>28</v>
      </c>
      <c r="C616" s="2" t="s">
        <v>56</v>
      </c>
      <c r="D616" s="2" t="s">
        <v>2359</v>
      </c>
      <c r="E616" s="2" t="s">
        <v>87</v>
      </c>
      <c r="F616" s="132">
        <v>459930.09</v>
      </c>
      <c r="G616" s="132">
        <v>2</v>
      </c>
      <c r="H616" s="150">
        <f>300000+150000+R616</f>
        <v>459930.09</v>
      </c>
      <c r="I616" s="132"/>
      <c r="J616" s="150">
        <f>45762.712+S616+AY616+BC616</f>
        <v>459930.08199999999</v>
      </c>
      <c r="K616" s="132">
        <f t="shared" si="65"/>
        <v>8.000000030733645E-3</v>
      </c>
      <c r="L616" s="132">
        <f t="shared" si="66"/>
        <v>8.000000030733645E-3</v>
      </c>
      <c r="M616" s="133">
        <v>6052</v>
      </c>
      <c r="N616" s="133">
        <f t="shared" si="64"/>
        <v>8.000000030733645E-3</v>
      </c>
      <c r="O616" s="134">
        <v>1</v>
      </c>
      <c r="P616" s="133"/>
      <c r="Q616" s="2" t="s">
        <v>2315</v>
      </c>
      <c r="R616" s="156">
        <f t="shared" si="67"/>
        <v>9930.09</v>
      </c>
      <c r="S616" s="156">
        <f t="shared" si="68"/>
        <v>32811.440000000002</v>
      </c>
      <c r="T616" s="133"/>
      <c r="U616" s="133"/>
      <c r="V616" s="133">
        <v>9930.09</v>
      </c>
      <c r="W616" s="133"/>
      <c r="X616" s="133"/>
      <c r="Y616" s="133">
        <v>1514.76</v>
      </c>
      <c r="Z616" s="133"/>
      <c r="AA616" s="133"/>
      <c r="AB616" s="133"/>
      <c r="AC616" s="133"/>
      <c r="AD616" s="133"/>
      <c r="AE616" s="133">
        <v>31296.68</v>
      </c>
      <c r="AF616" s="133"/>
      <c r="AG616" s="133"/>
      <c r="AH616" s="133"/>
      <c r="AI616" s="133"/>
      <c r="AJ616" s="133"/>
      <c r="AK616" s="133"/>
      <c r="AL616" s="133"/>
      <c r="AM616" s="133"/>
      <c r="AN616" s="133"/>
      <c r="AO616" s="133"/>
      <c r="AP616" s="133"/>
      <c r="AQ616" s="133"/>
      <c r="AR616" s="133"/>
      <c r="AS616" s="153">
        <v>0</v>
      </c>
      <c r="AT616" s="153">
        <v>0</v>
      </c>
      <c r="AU616" s="153">
        <v>0</v>
      </c>
      <c r="AV616" s="153">
        <v>0</v>
      </c>
      <c r="AW616" s="153">
        <v>0</v>
      </c>
      <c r="AX616" s="153">
        <v>0</v>
      </c>
      <c r="AY616" s="135">
        <f>254237.29+127118.64</f>
        <v>381355.93</v>
      </c>
      <c r="AZ616" s="135">
        <f>26235.79+11628.15</f>
        <v>37863.94</v>
      </c>
      <c r="BA616" s="135">
        <f>300000/1.18*0.8*0.1</f>
        <v>20338.983050847462</v>
      </c>
      <c r="BB616" s="135"/>
      <c r="BC616" s="135"/>
      <c r="BD616" s="135"/>
      <c r="BE616" s="264">
        <f>(H616/1.18-AT616-AW616-AZ616-BD616)*0.1-AU616-AX616-BA616-BB616</f>
        <v>14851.749220338985</v>
      </c>
      <c r="BF616" s="264"/>
      <c r="BG616" s="135"/>
      <c r="BH616" s="135"/>
      <c r="BI616" s="2" t="s">
        <v>11</v>
      </c>
      <c r="BJ616" s="136">
        <v>45712</v>
      </c>
      <c r="BK616" s="2" t="s">
        <v>8</v>
      </c>
      <c r="BL616" s="136" t="s">
        <v>113</v>
      </c>
      <c r="BM616" s="136">
        <v>45301</v>
      </c>
      <c r="BN616" s="2" t="s">
        <v>2385</v>
      </c>
      <c r="BO616" s="2"/>
      <c r="BP616" s="205"/>
      <c r="BQ616" s="137" t="s">
        <v>119</v>
      </c>
      <c r="BR616" s="138"/>
    </row>
    <row r="617" spans="1:70" ht="12.75" customHeight="1" x14ac:dyDescent="0.2">
      <c r="A617" s="2">
        <v>2106</v>
      </c>
      <c r="B617" s="2" t="s">
        <v>28</v>
      </c>
      <c r="C617" s="2" t="s">
        <v>29</v>
      </c>
      <c r="D617" s="2" t="s">
        <v>2360</v>
      </c>
      <c r="E617" s="2" t="s">
        <v>117</v>
      </c>
      <c r="F617" s="132">
        <f>28357*1.75</f>
        <v>49624.75</v>
      </c>
      <c r="G617" s="132">
        <v>2</v>
      </c>
      <c r="H617" s="132">
        <f>28357*1.75</f>
        <v>49624.75</v>
      </c>
      <c r="I617" s="132"/>
      <c r="J617" s="132">
        <f>7569.88+42054.87</f>
        <v>49624.75</v>
      </c>
      <c r="K617" s="132">
        <f t="shared" si="65"/>
        <v>0</v>
      </c>
      <c r="L617" s="132">
        <f t="shared" si="66"/>
        <v>0</v>
      </c>
      <c r="M617" s="133"/>
      <c r="N617" s="133">
        <f t="shared" si="64"/>
        <v>0</v>
      </c>
      <c r="O617" s="134">
        <v>0</v>
      </c>
      <c r="P617" s="133"/>
      <c r="Q617" s="2" t="s">
        <v>2195</v>
      </c>
      <c r="R617" s="156">
        <f t="shared" si="67"/>
        <v>0</v>
      </c>
      <c r="S617" s="156">
        <f t="shared" si="68"/>
        <v>0</v>
      </c>
      <c r="T617" s="133"/>
      <c r="U617" s="133"/>
      <c r="V617" s="133"/>
      <c r="W617" s="133"/>
      <c r="X617" s="133"/>
      <c r="Y617" s="133"/>
      <c r="Z617" s="133"/>
      <c r="AA617" s="133"/>
      <c r="AB617" s="133"/>
      <c r="AC617" s="133"/>
      <c r="AD617" s="133"/>
      <c r="AE617" s="133"/>
      <c r="AF617" s="133"/>
      <c r="AG617" s="133"/>
      <c r="AH617" s="133"/>
      <c r="AI617" s="133"/>
      <c r="AJ617" s="133"/>
      <c r="AK617" s="133"/>
      <c r="AL617" s="133"/>
      <c r="AM617" s="133"/>
      <c r="AN617" s="133"/>
      <c r="AO617" s="133"/>
      <c r="AP617" s="133"/>
      <c r="AQ617" s="133"/>
      <c r="AR617" s="133"/>
      <c r="AS617" s="153">
        <v>0</v>
      </c>
      <c r="AT617" s="153">
        <v>0</v>
      </c>
      <c r="AU617" s="153">
        <v>0</v>
      </c>
      <c r="AV617" s="153">
        <v>0</v>
      </c>
      <c r="AW617" s="153">
        <v>0</v>
      </c>
      <c r="AX617" s="153">
        <v>0</v>
      </c>
      <c r="AY617" s="135"/>
      <c r="AZ617" s="135"/>
      <c r="BA617" s="135"/>
      <c r="BB617" s="135"/>
      <c r="BC617" s="135"/>
      <c r="BD617" s="135"/>
      <c r="BE617" s="135"/>
      <c r="BF617" s="135"/>
      <c r="BG617" s="135"/>
      <c r="BH617" s="135"/>
      <c r="BI617" s="2" t="s">
        <v>112</v>
      </c>
      <c r="BJ617" s="136">
        <v>45413</v>
      </c>
      <c r="BK617" s="2" t="s">
        <v>145</v>
      </c>
      <c r="BL617" s="136" t="s">
        <v>113</v>
      </c>
      <c r="BM617" s="136">
        <v>45301</v>
      </c>
      <c r="BN617" s="2" t="s">
        <v>2386</v>
      </c>
      <c r="BO617" s="2"/>
      <c r="BP617" s="205"/>
      <c r="BQ617" s="137" t="s">
        <v>134</v>
      </c>
      <c r="BR617" s="138"/>
    </row>
    <row r="618" spans="1:70" ht="12.75" customHeight="1" x14ac:dyDescent="0.2">
      <c r="A618" s="2">
        <v>2107</v>
      </c>
      <c r="B618" s="2" t="s">
        <v>28</v>
      </c>
      <c r="C618" s="2" t="s">
        <v>29</v>
      </c>
      <c r="D618" s="2" t="s">
        <v>2361</v>
      </c>
      <c r="E618" s="2" t="s">
        <v>117</v>
      </c>
      <c r="F618" s="132">
        <v>0</v>
      </c>
      <c r="G618" s="132">
        <v>2</v>
      </c>
      <c r="H618" s="132">
        <f>2376*1.75</f>
        <v>4158</v>
      </c>
      <c r="I618" s="132"/>
      <c r="J618" s="132">
        <v>4158</v>
      </c>
      <c r="K618" s="132">
        <f t="shared" si="65"/>
        <v>-4158</v>
      </c>
      <c r="L618" s="132">
        <f t="shared" si="66"/>
        <v>0</v>
      </c>
      <c r="M618" s="133"/>
      <c r="N618" s="133">
        <f t="shared" ref="N618:N681" si="69">IF(OR(BK618="принят",BK618="Завершено",BK618="ПриПро"),H618-J618,F618-J618)</f>
        <v>0</v>
      </c>
      <c r="O618" s="134">
        <v>0</v>
      </c>
      <c r="P618" s="133"/>
      <c r="Q618" s="2" t="s">
        <v>2316</v>
      </c>
      <c r="R618" s="156">
        <f t="shared" si="67"/>
        <v>0</v>
      </c>
      <c r="S618" s="156">
        <f t="shared" si="68"/>
        <v>0</v>
      </c>
      <c r="T618" s="133"/>
      <c r="U618" s="133"/>
      <c r="V618" s="133"/>
      <c r="W618" s="133"/>
      <c r="X618" s="133"/>
      <c r="Y618" s="133"/>
      <c r="Z618" s="133"/>
      <c r="AA618" s="133"/>
      <c r="AB618" s="133"/>
      <c r="AC618" s="133"/>
      <c r="AD618" s="133"/>
      <c r="AE618" s="133"/>
      <c r="AF618" s="133"/>
      <c r="AG618" s="133"/>
      <c r="AH618" s="133"/>
      <c r="AI618" s="133"/>
      <c r="AJ618" s="133"/>
      <c r="AK618" s="133"/>
      <c r="AL618" s="133"/>
      <c r="AM618" s="133"/>
      <c r="AN618" s="133"/>
      <c r="AO618" s="133"/>
      <c r="AP618" s="133"/>
      <c r="AQ618" s="133"/>
      <c r="AR618" s="133"/>
      <c r="AS618" s="153">
        <v>0</v>
      </c>
      <c r="AT618" s="153">
        <v>0</v>
      </c>
      <c r="AU618" s="153">
        <v>0</v>
      </c>
      <c r="AV618" s="153">
        <v>0</v>
      </c>
      <c r="AW618" s="153">
        <v>0</v>
      </c>
      <c r="AX618" s="153">
        <v>0</v>
      </c>
      <c r="AY618" s="135"/>
      <c r="AZ618" s="135"/>
      <c r="BA618" s="135"/>
      <c r="BB618" s="135"/>
      <c r="BC618" s="135"/>
      <c r="BD618" s="135"/>
      <c r="BE618" s="135"/>
      <c r="BF618" s="135"/>
      <c r="BG618" s="135"/>
      <c r="BH618" s="135"/>
      <c r="BI618" s="2" t="s">
        <v>112</v>
      </c>
      <c r="BJ618" s="136">
        <v>45524</v>
      </c>
      <c r="BK618" s="2" t="s">
        <v>145</v>
      </c>
      <c r="BL618" s="136" t="s">
        <v>113</v>
      </c>
      <c r="BM618" s="136">
        <v>45301</v>
      </c>
      <c r="BN618" s="2" t="s">
        <v>2387</v>
      </c>
      <c r="BO618" s="2"/>
      <c r="BP618" s="205"/>
      <c r="BQ618" s="137" t="s">
        <v>134</v>
      </c>
      <c r="BR618" s="138"/>
    </row>
    <row r="619" spans="1:70" ht="12.75" customHeight="1" x14ac:dyDescent="0.2">
      <c r="A619" s="2">
        <v>2108</v>
      </c>
      <c r="B619" s="2" t="s">
        <v>28</v>
      </c>
      <c r="C619" s="2" t="s">
        <v>29</v>
      </c>
      <c r="D619" s="2" t="s">
        <v>2338</v>
      </c>
      <c r="E619" s="2" t="s">
        <v>87</v>
      </c>
      <c r="F619" s="132">
        <v>400000</v>
      </c>
      <c r="G619" s="132">
        <v>2</v>
      </c>
      <c r="H619" s="132">
        <f>R619</f>
        <v>0</v>
      </c>
      <c r="I619" s="132"/>
      <c r="J619" s="132">
        <f>S619</f>
        <v>0</v>
      </c>
      <c r="K619" s="132">
        <f t="shared" si="65"/>
        <v>400000</v>
      </c>
      <c r="L619" s="132">
        <f t="shared" si="66"/>
        <v>0</v>
      </c>
      <c r="M619" s="133"/>
      <c r="N619" s="133">
        <f t="shared" si="69"/>
        <v>400000</v>
      </c>
      <c r="O619" s="134">
        <v>1</v>
      </c>
      <c r="P619" s="133"/>
      <c r="Q619" s="2" t="s">
        <v>2316</v>
      </c>
      <c r="R619" s="156">
        <f t="shared" si="67"/>
        <v>0</v>
      </c>
      <c r="S619" s="156">
        <f t="shared" si="68"/>
        <v>0</v>
      </c>
      <c r="T619" s="133"/>
      <c r="U619" s="133"/>
      <c r="V619" s="133"/>
      <c r="W619" s="133"/>
      <c r="X619" s="133"/>
      <c r="Y619" s="133"/>
      <c r="Z619" s="133"/>
      <c r="AA619" s="133"/>
      <c r="AB619" s="133"/>
      <c r="AC619" s="133"/>
      <c r="AD619" s="133"/>
      <c r="AE619" s="133"/>
      <c r="AF619" s="133"/>
      <c r="AG619" s="133"/>
      <c r="AH619" s="133"/>
      <c r="AI619" s="133"/>
      <c r="AJ619" s="133"/>
      <c r="AK619" s="133"/>
      <c r="AL619" s="133"/>
      <c r="AM619" s="133"/>
      <c r="AN619" s="133"/>
      <c r="AO619" s="133"/>
      <c r="AP619" s="133"/>
      <c r="AQ619" s="133"/>
      <c r="AR619" s="133"/>
      <c r="AS619" s="153">
        <v>0</v>
      </c>
      <c r="AT619" s="153">
        <v>0</v>
      </c>
      <c r="AU619" s="153">
        <v>0</v>
      </c>
      <c r="AV619" s="153">
        <v>0</v>
      </c>
      <c r="AW619" s="153">
        <v>0</v>
      </c>
      <c r="AX619" s="153">
        <v>0</v>
      </c>
      <c r="AY619" s="135"/>
      <c r="AZ619" s="135"/>
      <c r="BA619" s="135"/>
      <c r="BB619" s="135"/>
      <c r="BC619" s="135"/>
      <c r="BD619" s="135"/>
      <c r="BE619" s="135"/>
      <c r="BF619" s="135"/>
      <c r="BG619" s="135"/>
      <c r="BH619" s="135"/>
      <c r="BI619" s="2" t="s">
        <v>11</v>
      </c>
      <c r="BJ619" s="136"/>
      <c r="BK619" s="2">
        <v>0</v>
      </c>
      <c r="BL619" s="136" t="s">
        <v>113</v>
      </c>
      <c r="BM619" s="136">
        <v>45301</v>
      </c>
      <c r="BN619" s="2" t="s">
        <v>2388</v>
      </c>
      <c r="BO619" s="2"/>
      <c r="BP619" s="205"/>
      <c r="BQ619" s="137" t="s">
        <v>119</v>
      </c>
      <c r="BR619" s="138"/>
    </row>
    <row r="620" spans="1:70" ht="12.75" customHeight="1" x14ac:dyDescent="0.2">
      <c r="A620" s="2">
        <v>2109</v>
      </c>
      <c r="B620" s="2" t="s">
        <v>28</v>
      </c>
      <c r="C620" s="2" t="s">
        <v>30</v>
      </c>
      <c r="D620" s="2" t="s">
        <v>2362</v>
      </c>
      <c r="E620" s="2" t="s">
        <v>117</v>
      </c>
      <c r="F620" s="132">
        <f>2059*1.75</f>
        <v>3603.25</v>
      </c>
      <c r="G620" s="132">
        <v>2</v>
      </c>
      <c r="H620" s="132">
        <f>2059*1.75</f>
        <v>3603.25</v>
      </c>
      <c r="I620" s="132"/>
      <c r="J620" s="132">
        <f>549.65+3053.6</f>
        <v>3603.25</v>
      </c>
      <c r="K620" s="132">
        <f t="shared" si="65"/>
        <v>0</v>
      </c>
      <c r="L620" s="132">
        <f t="shared" si="66"/>
        <v>0</v>
      </c>
      <c r="M620" s="133"/>
      <c r="N620" s="133">
        <f t="shared" si="69"/>
        <v>0</v>
      </c>
      <c r="O620" s="134">
        <v>0</v>
      </c>
      <c r="P620" s="133"/>
      <c r="Q620" s="2" t="s">
        <v>2317</v>
      </c>
      <c r="R620" s="156">
        <f t="shared" si="67"/>
        <v>0</v>
      </c>
      <c r="S620" s="156">
        <f t="shared" si="68"/>
        <v>0</v>
      </c>
      <c r="T620" s="133"/>
      <c r="U620" s="133"/>
      <c r="V620" s="133"/>
      <c r="W620" s="133"/>
      <c r="X620" s="133"/>
      <c r="Y620" s="133"/>
      <c r="Z620" s="133"/>
      <c r="AA620" s="133"/>
      <c r="AB620" s="133"/>
      <c r="AC620" s="133"/>
      <c r="AD620" s="133"/>
      <c r="AE620" s="133"/>
      <c r="AF620" s="133"/>
      <c r="AG620" s="133"/>
      <c r="AH620" s="133"/>
      <c r="AI620" s="133"/>
      <c r="AJ620" s="133"/>
      <c r="AK620" s="133"/>
      <c r="AL620" s="133"/>
      <c r="AM620" s="133"/>
      <c r="AN620" s="133"/>
      <c r="AO620" s="133"/>
      <c r="AP620" s="133"/>
      <c r="AQ620" s="133"/>
      <c r="AR620" s="133"/>
      <c r="AS620" s="153">
        <v>0</v>
      </c>
      <c r="AT620" s="153">
        <v>0</v>
      </c>
      <c r="AU620" s="153">
        <v>0</v>
      </c>
      <c r="AV620" s="153">
        <v>0</v>
      </c>
      <c r="AW620" s="153">
        <v>0</v>
      </c>
      <c r="AX620" s="153">
        <v>0</v>
      </c>
      <c r="AY620" s="135"/>
      <c r="AZ620" s="135"/>
      <c r="BA620" s="135"/>
      <c r="BB620" s="135"/>
      <c r="BC620" s="135"/>
      <c r="BD620" s="135"/>
      <c r="BE620" s="135"/>
      <c r="BF620" s="135"/>
      <c r="BG620" s="135"/>
      <c r="BH620" s="135"/>
      <c r="BI620" s="2" t="s">
        <v>112</v>
      </c>
      <c r="BJ620" s="136">
        <v>45428</v>
      </c>
      <c r="BK620" s="2" t="s">
        <v>145</v>
      </c>
      <c r="BL620" s="136" t="s">
        <v>113</v>
      </c>
      <c r="BM620" s="136">
        <v>45301</v>
      </c>
      <c r="BN620" s="2" t="s">
        <v>2389</v>
      </c>
      <c r="BO620" s="2"/>
      <c r="BP620" s="205"/>
      <c r="BQ620" s="137" t="s">
        <v>134</v>
      </c>
      <c r="BR620" s="138"/>
    </row>
    <row r="621" spans="1:70" ht="12.75" customHeight="1" x14ac:dyDescent="0.2">
      <c r="A621" s="2">
        <v>2110</v>
      </c>
      <c r="B621" s="2" t="s">
        <v>28</v>
      </c>
      <c r="C621" s="2" t="s">
        <v>30</v>
      </c>
      <c r="D621" s="2" t="s">
        <v>2339</v>
      </c>
      <c r="E621" s="2" t="s">
        <v>87</v>
      </c>
      <c r="F621" s="132">
        <v>220000</v>
      </c>
      <c r="G621" s="132">
        <v>2</v>
      </c>
      <c r="H621" s="132">
        <f>100000+49880.63</f>
        <v>149880.63</v>
      </c>
      <c r="I621" s="132">
        <f>100000+49880.63</f>
        <v>149880.63</v>
      </c>
      <c r="J621" s="132">
        <f>AY621+7608.91+57525.96</f>
        <v>149880.63</v>
      </c>
      <c r="K621" s="132">
        <f t="shared" si="65"/>
        <v>70119.37</v>
      </c>
      <c r="L621" s="132">
        <f t="shared" si="66"/>
        <v>0</v>
      </c>
      <c r="M621" s="133">
        <v>1956</v>
      </c>
      <c r="N621" s="133">
        <f t="shared" si="69"/>
        <v>0</v>
      </c>
      <c r="O621" s="134">
        <v>0</v>
      </c>
      <c r="P621" s="133"/>
      <c r="Q621" s="2" t="s">
        <v>2317</v>
      </c>
      <c r="R621" s="156">
        <f t="shared" si="67"/>
        <v>0</v>
      </c>
      <c r="S621" s="156">
        <f t="shared" si="68"/>
        <v>0</v>
      </c>
      <c r="T621" s="133"/>
      <c r="U621" s="133"/>
      <c r="V621" s="133"/>
      <c r="W621" s="133"/>
      <c r="X621" s="133"/>
      <c r="Y621" s="133"/>
      <c r="Z621" s="133"/>
      <c r="AA621" s="133"/>
      <c r="AB621" s="133"/>
      <c r="AC621" s="133"/>
      <c r="AD621" s="133"/>
      <c r="AE621" s="133"/>
      <c r="AF621" s="133"/>
      <c r="AG621" s="133"/>
      <c r="AH621" s="133"/>
      <c r="AI621" s="133"/>
      <c r="AJ621" s="133"/>
      <c r="AK621" s="133"/>
      <c r="AL621" s="133"/>
      <c r="AM621" s="133"/>
      <c r="AN621" s="133"/>
      <c r="AO621" s="133"/>
      <c r="AP621" s="133"/>
      <c r="AQ621" s="133"/>
      <c r="AR621" s="133"/>
      <c r="AS621" s="153">
        <v>0</v>
      </c>
      <c r="AT621" s="153">
        <v>0</v>
      </c>
      <c r="AU621" s="153">
        <v>0</v>
      </c>
      <c r="AV621" s="153">
        <v>0</v>
      </c>
      <c r="AW621" s="153">
        <v>0</v>
      </c>
      <c r="AX621" s="153">
        <v>0</v>
      </c>
      <c r="AY621" s="135">
        <v>84745.76</v>
      </c>
      <c r="AZ621" s="135">
        <v>7721.73</v>
      </c>
      <c r="BA621" s="135">
        <v>0</v>
      </c>
      <c r="BB621" s="140">
        <f>(H621/1.18-AT621-AW621-AZ621)*0.1-AU621-AX621-BA621</f>
        <v>11929.575305084749</v>
      </c>
      <c r="BC621" s="135"/>
      <c r="BD621" s="135"/>
      <c r="BE621" s="135">
        <f>(H621/1.18-AT621-AW621-AZ621-BD621)*0.1-AU621-AX621-BA621-BB621</f>
        <v>0</v>
      </c>
      <c r="BF621" s="135"/>
      <c r="BG621" s="135"/>
      <c r="BH621" s="135"/>
      <c r="BI621" s="2" t="s">
        <v>11</v>
      </c>
      <c r="BJ621" s="136">
        <v>45531</v>
      </c>
      <c r="BK621" s="2" t="s">
        <v>8</v>
      </c>
      <c r="BL621" s="136" t="s">
        <v>113</v>
      </c>
      <c r="BM621" s="136">
        <v>45301</v>
      </c>
      <c r="BN621" s="2" t="s">
        <v>2390</v>
      </c>
      <c r="BO621" s="2"/>
      <c r="BP621" s="205"/>
      <c r="BQ621" s="137" t="s">
        <v>119</v>
      </c>
      <c r="BR621" s="138"/>
    </row>
    <row r="622" spans="1:70" ht="12.75" customHeight="1" x14ac:dyDescent="0.2">
      <c r="A622" s="2">
        <v>2111</v>
      </c>
      <c r="B622" s="2" t="s">
        <v>28</v>
      </c>
      <c r="C622" s="2" t="s">
        <v>57</v>
      </c>
      <c r="D622" s="2" t="s">
        <v>2363</v>
      </c>
      <c r="E622" s="2" t="s">
        <v>117</v>
      </c>
      <c r="F622" s="132">
        <v>5484.5</v>
      </c>
      <c r="G622" s="132">
        <v>2</v>
      </c>
      <c r="H622" s="132">
        <f>3134*1.75</f>
        <v>5484.5</v>
      </c>
      <c r="I622" s="132"/>
      <c r="J622" s="132">
        <v>5484.5</v>
      </c>
      <c r="K622" s="132">
        <f t="shared" si="65"/>
        <v>0</v>
      </c>
      <c r="L622" s="132">
        <f t="shared" si="66"/>
        <v>0</v>
      </c>
      <c r="M622" s="133"/>
      <c r="N622" s="133">
        <f t="shared" si="69"/>
        <v>0</v>
      </c>
      <c r="O622" s="134">
        <v>0</v>
      </c>
      <c r="P622" s="133"/>
      <c r="Q622" s="2" t="s">
        <v>2318</v>
      </c>
      <c r="R622" s="156">
        <f t="shared" si="67"/>
        <v>0</v>
      </c>
      <c r="S622" s="156">
        <f t="shared" si="68"/>
        <v>0</v>
      </c>
      <c r="T622" s="133"/>
      <c r="U622" s="133"/>
      <c r="V622" s="133"/>
      <c r="W622" s="133"/>
      <c r="X622" s="133"/>
      <c r="Y622" s="133"/>
      <c r="Z622" s="133"/>
      <c r="AA622" s="133"/>
      <c r="AB622" s="133"/>
      <c r="AC622" s="133"/>
      <c r="AD622" s="133"/>
      <c r="AE622" s="133"/>
      <c r="AF622" s="133"/>
      <c r="AG622" s="133"/>
      <c r="AH622" s="133"/>
      <c r="AI622" s="133"/>
      <c r="AJ622" s="133"/>
      <c r="AK622" s="133"/>
      <c r="AL622" s="133"/>
      <c r="AM622" s="133"/>
      <c r="AN622" s="133"/>
      <c r="AO622" s="133"/>
      <c r="AP622" s="133"/>
      <c r="AQ622" s="133"/>
      <c r="AR622" s="133"/>
      <c r="AS622" s="153">
        <v>0</v>
      </c>
      <c r="AT622" s="153">
        <v>0</v>
      </c>
      <c r="AU622" s="153">
        <v>0</v>
      </c>
      <c r="AV622" s="153">
        <v>0</v>
      </c>
      <c r="AW622" s="153">
        <v>0</v>
      </c>
      <c r="AX622" s="153">
        <v>0</v>
      </c>
      <c r="AY622" s="135"/>
      <c r="AZ622" s="135"/>
      <c r="BA622" s="135"/>
      <c r="BB622" s="135"/>
      <c r="BC622" s="135"/>
      <c r="BD622" s="135"/>
      <c r="BE622" s="135"/>
      <c r="BF622" s="135"/>
      <c r="BG622" s="135"/>
      <c r="BH622" s="135"/>
      <c r="BI622" s="2" t="s">
        <v>112</v>
      </c>
      <c r="BJ622" s="136">
        <v>45580</v>
      </c>
      <c r="BK622" s="2" t="s">
        <v>145</v>
      </c>
      <c r="BL622" s="136" t="s">
        <v>113</v>
      </c>
      <c r="BM622" s="136">
        <v>45301</v>
      </c>
      <c r="BN622" s="2" t="s">
        <v>2391</v>
      </c>
      <c r="BO622" s="2"/>
      <c r="BP622" s="205"/>
      <c r="BQ622" s="137" t="s">
        <v>134</v>
      </c>
      <c r="BR622" s="138"/>
    </row>
    <row r="623" spans="1:70" ht="12.75" customHeight="1" x14ac:dyDescent="0.2">
      <c r="A623" s="2">
        <v>2112</v>
      </c>
      <c r="B623" s="2" t="s">
        <v>28</v>
      </c>
      <c r="C623" s="2" t="s">
        <v>57</v>
      </c>
      <c r="D623" s="2" t="s">
        <v>2340</v>
      </c>
      <c r="E623" s="2" t="s">
        <v>87</v>
      </c>
      <c r="F623" s="132">
        <v>170000</v>
      </c>
      <c r="G623" s="132">
        <v>2</v>
      </c>
      <c r="H623" s="132">
        <f>R623</f>
        <v>0</v>
      </c>
      <c r="I623" s="132"/>
      <c r="J623" s="132">
        <f>S623</f>
        <v>0</v>
      </c>
      <c r="K623" s="132">
        <f t="shared" si="65"/>
        <v>170000</v>
      </c>
      <c r="L623" s="132">
        <f t="shared" si="66"/>
        <v>0</v>
      </c>
      <c r="M623" s="133"/>
      <c r="N623" s="133">
        <f t="shared" si="69"/>
        <v>170000</v>
      </c>
      <c r="O623" s="134">
        <v>1</v>
      </c>
      <c r="P623" s="133"/>
      <c r="Q623" s="2" t="s">
        <v>2318</v>
      </c>
      <c r="R623" s="156">
        <f t="shared" si="67"/>
        <v>0</v>
      </c>
      <c r="S623" s="156">
        <f t="shared" si="68"/>
        <v>0</v>
      </c>
      <c r="T623" s="133"/>
      <c r="U623" s="133"/>
      <c r="V623" s="133"/>
      <c r="W623" s="133"/>
      <c r="X623" s="133"/>
      <c r="Y623" s="133"/>
      <c r="Z623" s="133"/>
      <c r="AA623" s="133"/>
      <c r="AB623" s="133"/>
      <c r="AC623" s="133"/>
      <c r="AD623" s="133"/>
      <c r="AE623" s="133"/>
      <c r="AF623" s="133"/>
      <c r="AG623" s="133"/>
      <c r="AH623" s="133"/>
      <c r="AI623" s="133"/>
      <c r="AJ623" s="133"/>
      <c r="AK623" s="133"/>
      <c r="AL623" s="133"/>
      <c r="AM623" s="133"/>
      <c r="AN623" s="133"/>
      <c r="AO623" s="133"/>
      <c r="AP623" s="133"/>
      <c r="AQ623" s="133"/>
      <c r="AR623" s="133"/>
      <c r="AS623" s="153">
        <v>0</v>
      </c>
      <c r="AT623" s="153">
        <v>0</v>
      </c>
      <c r="AU623" s="153">
        <v>0</v>
      </c>
      <c r="AV623" s="153">
        <v>0</v>
      </c>
      <c r="AW623" s="153">
        <v>0</v>
      </c>
      <c r="AX623" s="153">
        <v>0</v>
      </c>
      <c r="AY623" s="135"/>
      <c r="AZ623" s="135"/>
      <c r="BA623" s="135"/>
      <c r="BB623" s="135"/>
      <c r="BC623" s="135"/>
      <c r="BD623" s="135"/>
      <c r="BE623" s="135"/>
      <c r="BF623" s="135"/>
      <c r="BG623" s="135"/>
      <c r="BH623" s="135"/>
      <c r="BI623" s="2" t="s">
        <v>11</v>
      </c>
      <c r="BJ623" s="136"/>
      <c r="BK623" s="2">
        <v>0</v>
      </c>
      <c r="BL623" s="136" t="s">
        <v>113</v>
      </c>
      <c r="BM623" s="136">
        <v>45301</v>
      </c>
      <c r="BN623" s="2" t="s">
        <v>2392</v>
      </c>
      <c r="BO623" s="2"/>
      <c r="BP623" s="205"/>
      <c r="BQ623" s="137" t="s">
        <v>119</v>
      </c>
      <c r="BR623" s="138"/>
    </row>
    <row r="624" spans="1:70" ht="12.75" customHeight="1" x14ac:dyDescent="0.2">
      <c r="A624" s="2">
        <v>2113</v>
      </c>
      <c r="B624" s="2" t="s">
        <v>28</v>
      </c>
      <c r="C624" s="2" t="s">
        <v>29</v>
      </c>
      <c r="D624" s="2" t="s">
        <v>2364</v>
      </c>
      <c r="E624" s="2" t="s">
        <v>117</v>
      </c>
      <c r="F624" s="132">
        <v>0</v>
      </c>
      <c r="G624" s="132">
        <v>2</v>
      </c>
      <c r="H624" s="132">
        <f>1607*1.75</f>
        <v>2812.25</v>
      </c>
      <c r="I624" s="132"/>
      <c r="J624" s="132">
        <v>2812.25</v>
      </c>
      <c r="K624" s="132">
        <f t="shared" si="65"/>
        <v>-2812.25</v>
      </c>
      <c r="L624" s="132">
        <f t="shared" si="66"/>
        <v>0</v>
      </c>
      <c r="M624" s="133"/>
      <c r="N624" s="133">
        <f t="shared" si="69"/>
        <v>0</v>
      </c>
      <c r="O624" s="134">
        <v>0</v>
      </c>
      <c r="P624" s="133"/>
      <c r="Q624" s="2" t="s">
        <v>2319</v>
      </c>
      <c r="R624" s="156">
        <f t="shared" si="67"/>
        <v>0</v>
      </c>
      <c r="S624" s="156">
        <f t="shared" si="68"/>
        <v>0</v>
      </c>
      <c r="T624" s="133"/>
      <c r="U624" s="133"/>
      <c r="V624" s="133"/>
      <c r="W624" s="133"/>
      <c r="X624" s="133"/>
      <c r="Y624" s="133"/>
      <c r="Z624" s="133"/>
      <c r="AA624" s="133"/>
      <c r="AB624" s="133"/>
      <c r="AC624" s="133"/>
      <c r="AD624" s="133"/>
      <c r="AE624" s="133"/>
      <c r="AF624" s="133"/>
      <c r="AG624" s="133"/>
      <c r="AH624" s="133"/>
      <c r="AI624" s="133"/>
      <c r="AJ624" s="133"/>
      <c r="AK624" s="133"/>
      <c r="AL624" s="133"/>
      <c r="AM624" s="133"/>
      <c r="AN624" s="133"/>
      <c r="AO624" s="133"/>
      <c r="AP624" s="133"/>
      <c r="AQ624" s="133"/>
      <c r="AR624" s="133"/>
      <c r="AS624" s="153">
        <v>0</v>
      </c>
      <c r="AT624" s="153">
        <v>0</v>
      </c>
      <c r="AU624" s="153">
        <v>0</v>
      </c>
      <c r="AV624" s="153">
        <v>0</v>
      </c>
      <c r="AW624" s="153">
        <v>0</v>
      </c>
      <c r="AX624" s="153">
        <v>0</v>
      </c>
      <c r="AY624" s="135"/>
      <c r="AZ624" s="135"/>
      <c r="BA624" s="135"/>
      <c r="BB624" s="135"/>
      <c r="BC624" s="135"/>
      <c r="BD624" s="135"/>
      <c r="BE624" s="135"/>
      <c r="BF624" s="135"/>
      <c r="BG624" s="135"/>
      <c r="BH624" s="135"/>
      <c r="BI624" s="2" t="s">
        <v>112</v>
      </c>
      <c r="BJ624" s="136">
        <v>45524</v>
      </c>
      <c r="BK624" s="2" t="s">
        <v>145</v>
      </c>
      <c r="BL624" s="136" t="s">
        <v>113</v>
      </c>
      <c r="BM624" s="136">
        <v>45301</v>
      </c>
      <c r="BN624" s="2" t="s">
        <v>2393</v>
      </c>
      <c r="BO624" s="2"/>
      <c r="BP624" s="205"/>
      <c r="BQ624" s="137" t="s">
        <v>134</v>
      </c>
      <c r="BR624" s="138"/>
    </row>
    <row r="625" spans="1:70" ht="12.75" customHeight="1" x14ac:dyDescent="0.2">
      <c r="A625" s="2">
        <v>2114</v>
      </c>
      <c r="B625" s="2" t="s">
        <v>28</v>
      </c>
      <c r="C625" s="2" t="s">
        <v>29</v>
      </c>
      <c r="D625" s="2" t="s">
        <v>2341</v>
      </c>
      <c r="E625" s="2" t="s">
        <v>87</v>
      </c>
      <c r="F625" s="132">
        <v>195016.378</v>
      </c>
      <c r="G625" s="132" t="s">
        <v>3836</v>
      </c>
      <c r="H625" s="132">
        <f>R625</f>
        <v>195016.378</v>
      </c>
      <c r="I625" s="132">
        <v>195016.378</v>
      </c>
      <c r="J625" s="132">
        <f>S625+BC625</f>
        <v>195016.37</v>
      </c>
      <c r="K625" s="132">
        <f t="shared" si="65"/>
        <v>8.0000000016298145E-3</v>
      </c>
      <c r="L625" s="132">
        <f t="shared" si="66"/>
        <v>8.0000000016298145E-3</v>
      </c>
      <c r="M625" s="133">
        <v>1542</v>
      </c>
      <c r="N625" s="133">
        <f t="shared" si="69"/>
        <v>8.0000000016298145E-3</v>
      </c>
      <c r="O625" s="134">
        <v>1</v>
      </c>
      <c r="P625" s="133"/>
      <c r="Q625" s="2" t="s">
        <v>2319</v>
      </c>
      <c r="R625" s="156">
        <f t="shared" si="67"/>
        <v>195016.378</v>
      </c>
      <c r="S625" s="156">
        <f t="shared" si="68"/>
        <v>33999.42</v>
      </c>
      <c r="T625" s="133">
        <v>190000</v>
      </c>
      <c r="U625" s="133"/>
      <c r="V625" s="297">
        <v>5016.3779999999997</v>
      </c>
      <c r="W625" s="133">
        <f>28983.05</f>
        <v>28983.05</v>
      </c>
      <c r="X625" s="133"/>
      <c r="Y625" s="133">
        <v>765.21</v>
      </c>
      <c r="Z625" s="133"/>
      <c r="AA625" s="133"/>
      <c r="AB625" s="133"/>
      <c r="AC625" s="133"/>
      <c r="AD625" s="133"/>
      <c r="AE625" s="133">
        <v>4251.16</v>
      </c>
      <c r="AF625" s="133"/>
      <c r="AG625" s="133"/>
      <c r="AH625" s="133"/>
      <c r="AI625" s="133"/>
      <c r="AJ625" s="133"/>
      <c r="AK625" s="133"/>
      <c r="AL625" s="133"/>
      <c r="AM625" s="133"/>
      <c r="AN625" s="133"/>
      <c r="AO625" s="133"/>
      <c r="AP625" s="133"/>
      <c r="AQ625" s="133"/>
      <c r="AR625" s="133" t="s">
        <v>718</v>
      </c>
      <c r="AS625" s="153">
        <v>0</v>
      </c>
      <c r="AT625" s="153">
        <v>0</v>
      </c>
      <c r="AU625" s="153">
        <v>0</v>
      </c>
      <c r="AV625" s="153">
        <v>0</v>
      </c>
      <c r="AW625" s="153">
        <v>0</v>
      </c>
      <c r="AX625" s="153">
        <v>0</v>
      </c>
      <c r="AY625" s="135">
        <v>0</v>
      </c>
      <c r="AZ625" s="135">
        <v>0</v>
      </c>
      <c r="BA625" s="135">
        <v>0</v>
      </c>
      <c r="BB625" s="140">
        <f>(190000/1.18-AT625-AW625-AZ625)*0.1-AU625-AX625-BA625</f>
        <v>16101.69491525424</v>
      </c>
      <c r="BC625" s="135">
        <f>161016.95</f>
        <v>161016.95000000001</v>
      </c>
      <c r="BD625" s="135">
        <v>3214.82</v>
      </c>
      <c r="BE625" s="264">
        <f>(H625/1.18-AT625-AW625-AZ625-BD625)*0.1-AU625-AX625-BA625-BB625</f>
        <v>103.63477966101527</v>
      </c>
      <c r="BF625" s="264"/>
      <c r="BG625" s="135"/>
      <c r="BH625" s="135"/>
      <c r="BI625" s="2" t="s">
        <v>11</v>
      </c>
      <c r="BJ625" s="136">
        <v>45713</v>
      </c>
      <c r="BK625" s="2" t="s">
        <v>8</v>
      </c>
      <c r="BL625" s="136" t="s">
        <v>113</v>
      </c>
      <c r="BM625" s="136">
        <v>45301</v>
      </c>
      <c r="BN625" s="2" t="s">
        <v>2394</v>
      </c>
      <c r="BO625" s="2"/>
      <c r="BP625" s="205"/>
      <c r="BQ625" s="137" t="s">
        <v>119</v>
      </c>
      <c r="BR625" s="138"/>
    </row>
    <row r="626" spans="1:70" ht="12.75" customHeight="1" x14ac:dyDescent="0.2">
      <c r="A626" s="2">
        <v>2115</v>
      </c>
      <c r="B626" s="2" t="s">
        <v>28</v>
      </c>
      <c r="C626" s="2" t="s">
        <v>57</v>
      </c>
      <c r="D626" s="2" t="s">
        <v>2365</v>
      </c>
      <c r="E626" s="2" t="s">
        <v>117</v>
      </c>
      <c r="F626" s="132">
        <v>2572.5</v>
      </c>
      <c r="G626" s="132">
        <v>2</v>
      </c>
      <c r="H626" s="132">
        <f>1470*1.75</f>
        <v>2572.5</v>
      </c>
      <c r="I626" s="132"/>
      <c r="J626" s="132">
        <v>2572.5</v>
      </c>
      <c r="K626" s="132">
        <f t="shared" si="65"/>
        <v>0</v>
      </c>
      <c r="L626" s="132">
        <f t="shared" si="66"/>
        <v>0</v>
      </c>
      <c r="M626" s="133"/>
      <c r="N626" s="133">
        <f t="shared" si="69"/>
        <v>0</v>
      </c>
      <c r="O626" s="134">
        <v>0</v>
      </c>
      <c r="P626" s="133"/>
      <c r="Q626" s="2" t="s">
        <v>2320</v>
      </c>
      <c r="R626" s="156">
        <f t="shared" si="67"/>
        <v>0</v>
      </c>
      <c r="S626" s="156">
        <f t="shared" si="68"/>
        <v>0</v>
      </c>
      <c r="T626" s="133"/>
      <c r="U626" s="133"/>
      <c r="V626" s="133"/>
      <c r="W626" s="133"/>
      <c r="X626" s="133"/>
      <c r="Y626" s="133"/>
      <c r="Z626" s="133"/>
      <c r="AA626" s="133"/>
      <c r="AB626" s="133"/>
      <c r="AC626" s="133"/>
      <c r="AD626" s="133"/>
      <c r="AE626" s="133"/>
      <c r="AF626" s="133"/>
      <c r="AG626" s="133"/>
      <c r="AH626" s="133"/>
      <c r="AI626" s="133"/>
      <c r="AJ626" s="133"/>
      <c r="AK626" s="133"/>
      <c r="AL626" s="133"/>
      <c r="AM626" s="133"/>
      <c r="AN626" s="133"/>
      <c r="AO626" s="133"/>
      <c r="AP626" s="133"/>
      <c r="AQ626" s="133"/>
      <c r="AR626" s="133"/>
      <c r="AS626" s="153">
        <v>0</v>
      </c>
      <c r="AT626" s="153">
        <v>0</v>
      </c>
      <c r="AU626" s="153">
        <v>0</v>
      </c>
      <c r="AV626" s="153">
        <v>0</v>
      </c>
      <c r="AW626" s="153">
        <v>0</v>
      </c>
      <c r="AX626" s="153">
        <v>0</v>
      </c>
      <c r="AY626" s="135"/>
      <c r="AZ626" s="135"/>
      <c r="BA626" s="135"/>
      <c r="BB626" s="135"/>
      <c r="BC626" s="135"/>
      <c r="BD626" s="135"/>
      <c r="BE626" s="135"/>
      <c r="BF626" s="135"/>
      <c r="BG626" s="135"/>
      <c r="BH626" s="135"/>
      <c r="BI626" s="2" t="s">
        <v>112</v>
      </c>
      <c r="BJ626" s="136">
        <v>45580</v>
      </c>
      <c r="BK626" s="2" t="s">
        <v>145</v>
      </c>
      <c r="BL626" s="136" t="s">
        <v>113</v>
      </c>
      <c r="BM626" s="136">
        <v>45301</v>
      </c>
      <c r="BN626" s="2" t="s">
        <v>2395</v>
      </c>
      <c r="BO626" s="2"/>
      <c r="BP626" s="205"/>
      <c r="BQ626" s="137" t="s">
        <v>134</v>
      </c>
      <c r="BR626" s="138"/>
    </row>
    <row r="627" spans="1:70" ht="12.75" customHeight="1" x14ac:dyDescent="0.2">
      <c r="A627" s="2">
        <v>2116</v>
      </c>
      <c r="B627" s="2" t="s">
        <v>28</v>
      </c>
      <c r="C627" s="2" t="s">
        <v>57</v>
      </c>
      <c r="D627" s="2" t="s">
        <v>2342</v>
      </c>
      <c r="E627" s="2" t="s">
        <v>87</v>
      </c>
      <c r="F627" s="132">
        <v>110000</v>
      </c>
      <c r="G627" s="132">
        <v>2</v>
      </c>
      <c r="H627" s="132">
        <f>R627</f>
        <v>0</v>
      </c>
      <c r="I627" s="132"/>
      <c r="J627" s="132">
        <f>S627</f>
        <v>0</v>
      </c>
      <c r="K627" s="132">
        <f t="shared" si="65"/>
        <v>110000</v>
      </c>
      <c r="L627" s="132">
        <f t="shared" si="66"/>
        <v>0</v>
      </c>
      <c r="M627" s="133"/>
      <c r="N627" s="133">
        <f t="shared" si="69"/>
        <v>110000</v>
      </c>
      <c r="O627" s="134">
        <v>1</v>
      </c>
      <c r="P627" s="133"/>
      <c r="Q627" s="2" t="s">
        <v>2320</v>
      </c>
      <c r="R627" s="156">
        <f t="shared" si="67"/>
        <v>0</v>
      </c>
      <c r="S627" s="156">
        <f t="shared" si="68"/>
        <v>0</v>
      </c>
      <c r="T627" s="133"/>
      <c r="U627" s="133"/>
      <c r="V627" s="133"/>
      <c r="W627" s="133"/>
      <c r="X627" s="133"/>
      <c r="Y627" s="133"/>
      <c r="Z627" s="133"/>
      <c r="AA627" s="133"/>
      <c r="AB627" s="133"/>
      <c r="AC627" s="133"/>
      <c r="AD627" s="133"/>
      <c r="AE627" s="133"/>
      <c r="AF627" s="133"/>
      <c r="AG627" s="133"/>
      <c r="AH627" s="133"/>
      <c r="AI627" s="133"/>
      <c r="AJ627" s="133"/>
      <c r="AK627" s="133"/>
      <c r="AL627" s="133"/>
      <c r="AM627" s="133"/>
      <c r="AN627" s="133"/>
      <c r="AO627" s="133"/>
      <c r="AP627" s="133"/>
      <c r="AQ627" s="133"/>
      <c r="AR627" s="133"/>
      <c r="AS627" s="153">
        <v>0</v>
      </c>
      <c r="AT627" s="153">
        <v>0</v>
      </c>
      <c r="AU627" s="153">
        <v>0</v>
      </c>
      <c r="AV627" s="153">
        <v>0</v>
      </c>
      <c r="AW627" s="153">
        <v>0</v>
      </c>
      <c r="AX627" s="153">
        <v>0</v>
      </c>
      <c r="AY627" s="135"/>
      <c r="AZ627" s="135"/>
      <c r="BA627" s="135"/>
      <c r="BB627" s="135"/>
      <c r="BC627" s="135"/>
      <c r="BD627" s="135"/>
      <c r="BE627" s="135"/>
      <c r="BF627" s="135"/>
      <c r="BG627" s="135"/>
      <c r="BH627" s="135"/>
      <c r="BI627" s="2" t="s">
        <v>11</v>
      </c>
      <c r="BJ627" s="136"/>
      <c r="BK627" s="2">
        <v>0</v>
      </c>
      <c r="BL627" s="136" t="s">
        <v>113</v>
      </c>
      <c r="BM627" s="136">
        <v>45301</v>
      </c>
      <c r="BN627" s="2" t="s">
        <v>2396</v>
      </c>
      <c r="BO627" s="2"/>
      <c r="BP627" s="205"/>
      <c r="BQ627" s="137" t="s">
        <v>119</v>
      </c>
      <c r="BR627" s="138"/>
    </row>
    <row r="628" spans="1:70" ht="12.75" customHeight="1" x14ac:dyDescent="0.2">
      <c r="A628" s="2">
        <v>2117</v>
      </c>
      <c r="B628" s="2" t="s">
        <v>28</v>
      </c>
      <c r="C628" s="2" t="s">
        <v>29</v>
      </c>
      <c r="D628" s="2" t="s">
        <v>2366</v>
      </c>
      <c r="E628" s="2" t="s">
        <v>117</v>
      </c>
      <c r="F628" s="132">
        <f>34*5</f>
        <v>170</v>
      </c>
      <c r="G628" s="132">
        <v>2</v>
      </c>
      <c r="H628" s="132">
        <f>34*5</f>
        <v>170</v>
      </c>
      <c r="I628" s="132"/>
      <c r="J628" s="132">
        <f>25.93+144.07</f>
        <v>170</v>
      </c>
      <c r="K628" s="132">
        <f t="shared" si="65"/>
        <v>0</v>
      </c>
      <c r="L628" s="132">
        <f t="shared" si="66"/>
        <v>0</v>
      </c>
      <c r="M628" s="133"/>
      <c r="N628" s="133">
        <f t="shared" si="69"/>
        <v>0</v>
      </c>
      <c r="O628" s="134">
        <v>0</v>
      </c>
      <c r="P628" s="133"/>
      <c r="Q628" s="2" t="s">
        <v>2321</v>
      </c>
      <c r="R628" s="156">
        <f t="shared" si="67"/>
        <v>0</v>
      </c>
      <c r="S628" s="156">
        <f t="shared" si="68"/>
        <v>0</v>
      </c>
      <c r="T628" s="133"/>
      <c r="U628" s="133"/>
      <c r="V628" s="133"/>
      <c r="W628" s="133"/>
      <c r="X628" s="133"/>
      <c r="Y628" s="133"/>
      <c r="Z628" s="133"/>
      <c r="AA628" s="133"/>
      <c r="AB628" s="133"/>
      <c r="AC628" s="133"/>
      <c r="AD628" s="133"/>
      <c r="AE628" s="133"/>
      <c r="AF628" s="133"/>
      <c r="AG628" s="133"/>
      <c r="AH628" s="133"/>
      <c r="AI628" s="133"/>
      <c r="AJ628" s="133"/>
      <c r="AK628" s="133"/>
      <c r="AL628" s="133"/>
      <c r="AM628" s="133"/>
      <c r="AN628" s="133"/>
      <c r="AO628" s="133"/>
      <c r="AP628" s="133"/>
      <c r="AQ628" s="133"/>
      <c r="AR628" s="133"/>
      <c r="AS628" s="153">
        <v>0</v>
      </c>
      <c r="AT628" s="153">
        <v>0</v>
      </c>
      <c r="AU628" s="153">
        <v>0</v>
      </c>
      <c r="AV628" s="153">
        <v>0</v>
      </c>
      <c r="AW628" s="153">
        <v>0</v>
      </c>
      <c r="AX628" s="153">
        <v>0</v>
      </c>
      <c r="AY628" s="135"/>
      <c r="AZ628" s="135"/>
      <c r="BA628" s="135"/>
      <c r="BB628" s="135"/>
      <c r="BC628" s="135"/>
      <c r="BD628" s="135"/>
      <c r="BE628" s="135"/>
      <c r="BF628" s="135"/>
      <c r="BG628" s="135"/>
      <c r="BH628" s="135"/>
      <c r="BI628" s="2" t="s">
        <v>112</v>
      </c>
      <c r="BJ628" s="136">
        <v>45600</v>
      </c>
      <c r="BK628" s="2" t="s">
        <v>145</v>
      </c>
      <c r="BL628" s="136" t="s">
        <v>113</v>
      </c>
      <c r="BM628" s="136">
        <v>45301</v>
      </c>
      <c r="BN628" s="2" t="s">
        <v>2397</v>
      </c>
      <c r="BO628" s="2"/>
      <c r="BP628" s="205"/>
      <c r="BQ628" s="137" t="s">
        <v>134</v>
      </c>
      <c r="BR628" s="138"/>
    </row>
    <row r="629" spans="1:70" ht="12.75" customHeight="1" x14ac:dyDescent="0.2">
      <c r="A629" s="2">
        <v>2118</v>
      </c>
      <c r="B629" s="2" t="s">
        <v>28</v>
      </c>
      <c r="C629" s="2" t="s">
        <v>29</v>
      </c>
      <c r="D629" s="2" t="s">
        <v>2343</v>
      </c>
      <c r="E629" s="2" t="s">
        <v>87</v>
      </c>
      <c r="F629" s="132">
        <v>100000</v>
      </c>
      <c r="G629" s="132">
        <v>2</v>
      </c>
      <c r="H629" s="132">
        <v>21025.5</v>
      </c>
      <c r="I629" s="132">
        <v>21025.5</v>
      </c>
      <c r="J629" s="132">
        <f>3207.279+17818.221</f>
        <v>21025.5</v>
      </c>
      <c r="K629" s="132">
        <f t="shared" si="65"/>
        <v>78974.5</v>
      </c>
      <c r="L629" s="132">
        <f t="shared" si="66"/>
        <v>0</v>
      </c>
      <c r="M629" s="153">
        <v>0</v>
      </c>
      <c r="N629" s="133">
        <f t="shared" si="69"/>
        <v>0</v>
      </c>
      <c r="O629" s="134">
        <v>0</v>
      </c>
      <c r="P629" s="133"/>
      <c r="Q629" s="2" t="s">
        <v>2321</v>
      </c>
      <c r="R629" s="156">
        <f t="shared" si="67"/>
        <v>0</v>
      </c>
      <c r="S629" s="156">
        <f t="shared" si="68"/>
        <v>0</v>
      </c>
      <c r="T629" s="133"/>
      <c r="U629" s="133"/>
      <c r="V629" s="133"/>
      <c r="W629" s="133"/>
      <c r="X629" s="133"/>
      <c r="Y629" s="133"/>
      <c r="Z629" s="133"/>
      <c r="AA629" s="133"/>
      <c r="AB629" s="133"/>
      <c r="AC629" s="133"/>
      <c r="AD629" s="133"/>
      <c r="AE629" s="133"/>
      <c r="AF629" s="133"/>
      <c r="AG629" s="133"/>
      <c r="AH629" s="133"/>
      <c r="AI629" s="133"/>
      <c r="AJ629" s="133"/>
      <c r="AK629" s="133"/>
      <c r="AL629" s="133"/>
      <c r="AM629" s="133"/>
      <c r="AN629" s="133"/>
      <c r="AO629" s="133"/>
      <c r="AP629" s="133"/>
      <c r="AQ629" s="133"/>
      <c r="AR629" s="133"/>
      <c r="AS629" s="153">
        <v>0</v>
      </c>
      <c r="AT629" s="153">
        <v>0</v>
      </c>
      <c r="AU629" s="153">
        <v>0</v>
      </c>
      <c r="AV629" s="153">
        <v>0</v>
      </c>
      <c r="AW629" s="153">
        <v>0</v>
      </c>
      <c r="AX629" s="153">
        <v>0</v>
      </c>
      <c r="AY629" s="135"/>
      <c r="AZ629" s="135"/>
      <c r="BA629" s="135">
        <v>0</v>
      </c>
      <c r="BB629" s="140">
        <f>(H629/1.18-AT629-AW629-AZ629)*0.1-AU629-AX629-BA629</f>
        <v>1781.8220338983051</v>
      </c>
      <c r="BC629" s="135"/>
      <c r="BD629" s="135"/>
      <c r="BE629" s="135">
        <f>(H629/1.18-AT629-AW629-AZ629-BD629)*0.1-AU629-AX629-BA629-BB629</f>
        <v>0</v>
      </c>
      <c r="BF629" s="135"/>
      <c r="BG629" s="135"/>
      <c r="BH629" s="135"/>
      <c r="BI629" s="2" t="s">
        <v>11</v>
      </c>
      <c r="BJ629" s="136">
        <v>45624</v>
      </c>
      <c r="BK629" s="2" t="s">
        <v>8</v>
      </c>
      <c r="BL629" s="136" t="s">
        <v>113</v>
      </c>
      <c r="BM629" s="136">
        <v>45301</v>
      </c>
      <c r="BN629" s="2" t="s">
        <v>2398</v>
      </c>
      <c r="BO629" s="2"/>
      <c r="BP629" s="205"/>
      <c r="BQ629" s="137" t="s">
        <v>119</v>
      </c>
      <c r="BR629" s="138"/>
    </row>
    <row r="630" spans="1:70" ht="12.75" customHeight="1" x14ac:dyDescent="0.2">
      <c r="A630" s="2">
        <v>2119</v>
      </c>
      <c r="B630" s="2" t="s">
        <v>28</v>
      </c>
      <c r="C630" s="2" t="s">
        <v>57</v>
      </c>
      <c r="D630" s="2" t="s">
        <v>2344</v>
      </c>
      <c r="E630" s="2" t="s">
        <v>87</v>
      </c>
      <c r="F630" s="132">
        <v>60000</v>
      </c>
      <c r="G630" s="132">
        <v>2</v>
      </c>
      <c r="H630" s="132">
        <f>R630</f>
        <v>0</v>
      </c>
      <c r="I630" s="132"/>
      <c r="J630" s="132">
        <f>S630</f>
        <v>0</v>
      </c>
      <c r="K630" s="132">
        <f t="shared" ref="K630:K693" si="70">F630-J630</f>
        <v>60000</v>
      </c>
      <c r="L630" s="132">
        <f t="shared" si="66"/>
        <v>0</v>
      </c>
      <c r="M630" s="133"/>
      <c r="N630" s="133">
        <f t="shared" si="69"/>
        <v>60000</v>
      </c>
      <c r="O630" s="134">
        <v>1</v>
      </c>
      <c r="P630" s="133"/>
      <c r="Q630" s="2" t="s">
        <v>2322</v>
      </c>
      <c r="R630" s="156">
        <f t="shared" si="67"/>
        <v>0</v>
      </c>
      <c r="S630" s="156">
        <f t="shared" si="68"/>
        <v>0</v>
      </c>
      <c r="T630" s="133"/>
      <c r="U630" s="133"/>
      <c r="V630" s="133"/>
      <c r="W630" s="133"/>
      <c r="X630" s="133"/>
      <c r="Y630" s="133"/>
      <c r="Z630" s="133"/>
      <c r="AA630" s="133"/>
      <c r="AB630" s="133"/>
      <c r="AC630" s="133"/>
      <c r="AD630" s="133"/>
      <c r="AE630" s="133"/>
      <c r="AF630" s="133"/>
      <c r="AG630" s="133"/>
      <c r="AH630" s="133"/>
      <c r="AI630" s="133"/>
      <c r="AJ630" s="133"/>
      <c r="AK630" s="133"/>
      <c r="AL630" s="133"/>
      <c r="AM630" s="133"/>
      <c r="AN630" s="133"/>
      <c r="AO630" s="133"/>
      <c r="AP630" s="133"/>
      <c r="AQ630" s="133"/>
      <c r="AR630" s="133"/>
      <c r="AS630" s="153">
        <v>0</v>
      </c>
      <c r="AT630" s="153">
        <v>0</v>
      </c>
      <c r="AU630" s="153">
        <v>0</v>
      </c>
      <c r="AV630" s="153">
        <v>0</v>
      </c>
      <c r="AW630" s="153">
        <v>0</v>
      </c>
      <c r="AX630" s="153">
        <v>0</v>
      </c>
      <c r="AY630" s="135"/>
      <c r="AZ630" s="135"/>
      <c r="BA630" s="135"/>
      <c r="BB630" s="135"/>
      <c r="BC630" s="135"/>
      <c r="BD630" s="135"/>
      <c r="BE630" s="135"/>
      <c r="BF630" s="135"/>
      <c r="BG630" s="135"/>
      <c r="BH630" s="135"/>
      <c r="BI630" s="2" t="s">
        <v>11</v>
      </c>
      <c r="BJ630" s="136"/>
      <c r="BK630" s="2">
        <v>0</v>
      </c>
      <c r="BL630" s="136" t="s">
        <v>113</v>
      </c>
      <c r="BM630" s="136">
        <v>45301</v>
      </c>
      <c r="BN630" s="2" t="s">
        <v>2399</v>
      </c>
      <c r="BO630" s="2"/>
      <c r="BP630" s="205"/>
      <c r="BQ630" s="137" t="s">
        <v>119</v>
      </c>
      <c r="BR630" s="138"/>
    </row>
    <row r="631" spans="1:70" ht="12.75" customHeight="1" x14ac:dyDescent="0.2">
      <c r="A631" s="2">
        <v>2120</v>
      </c>
      <c r="B631" s="2" t="s">
        <v>28</v>
      </c>
      <c r="C631" s="2" t="s">
        <v>56</v>
      </c>
      <c r="D631" s="2" t="s">
        <v>2345</v>
      </c>
      <c r="E631" s="2" t="s">
        <v>87</v>
      </c>
      <c r="F631" s="132">
        <v>91435.81</v>
      </c>
      <c r="G631" s="132">
        <v>2</v>
      </c>
      <c r="H631" s="132">
        <f>R631</f>
        <v>91435.81</v>
      </c>
      <c r="I631" s="132">
        <v>91435.81</v>
      </c>
      <c r="J631" s="132">
        <f>S631+BC631</f>
        <v>91435.81</v>
      </c>
      <c r="K631" s="132">
        <f t="shared" si="70"/>
        <v>0</v>
      </c>
      <c r="L631" s="132">
        <f t="shared" si="66"/>
        <v>0</v>
      </c>
      <c r="M631" s="133">
        <v>0</v>
      </c>
      <c r="N631" s="133">
        <f t="shared" si="69"/>
        <v>0</v>
      </c>
      <c r="O631" s="134">
        <v>1</v>
      </c>
      <c r="P631" s="133">
        <v>0</v>
      </c>
      <c r="Q631" s="2" t="s">
        <v>2323</v>
      </c>
      <c r="R631" s="156">
        <f t="shared" si="67"/>
        <v>91435.81</v>
      </c>
      <c r="S631" s="156">
        <f t="shared" si="68"/>
        <v>40588.350000000006</v>
      </c>
      <c r="T631" s="133">
        <v>60000</v>
      </c>
      <c r="U631" s="133"/>
      <c r="V631" s="133">
        <v>31435.81</v>
      </c>
      <c r="W631" s="133">
        <f>9152.54</f>
        <v>9152.5400000000009</v>
      </c>
      <c r="X631" s="133"/>
      <c r="Y631" s="133">
        <v>4795.29</v>
      </c>
      <c r="Z631" s="133"/>
      <c r="AA631" s="133"/>
      <c r="AB631" s="133"/>
      <c r="AC631" s="133"/>
      <c r="AD631" s="133"/>
      <c r="AE631" s="133">
        <v>26640.52</v>
      </c>
      <c r="AF631" s="133"/>
      <c r="AG631" s="133"/>
      <c r="AH631" s="133"/>
      <c r="AI631" s="133"/>
      <c r="AJ631" s="133"/>
      <c r="AK631" s="133"/>
      <c r="AL631" s="133"/>
      <c r="AM631" s="133"/>
      <c r="AN631" s="133"/>
      <c r="AO631" s="133"/>
      <c r="AP631" s="133"/>
      <c r="AQ631" s="133"/>
      <c r="AR631" s="133"/>
      <c r="AS631" s="153">
        <v>0</v>
      </c>
      <c r="AT631" s="153">
        <v>0</v>
      </c>
      <c r="AU631" s="153">
        <v>0</v>
      </c>
      <c r="AV631" s="153">
        <v>0</v>
      </c>
      <c r="AW631" s="153">
        <v>0</v>
      </c>
      <c r="AX631" s="153">
        <v>0</v>
      </c>
      <c r="AY631" s="135">
        <v>0</v>
      </c>
      <c r="AZ631" s="135">
        <v>0</v>
      </c>
      <c r="BA631" s="135">
        <v>0</v>
      </c>
      <c r="BB631" s="283">
        <v>0</v>
      </c>
      <c r="BC631" s="135">
        <f>50847.46</f>
        <v>50847.46</v>
      </c>
      <c r="BD631" s="135">
        <v>1015.21</v>
      </c>
      <c r="BE631" s="264">
        <f>(H631/1.18-AT631-AW631-AZ631-BD631)*0.1-AU631-AX631-BA631-BB631</f>
        <v>7647.2764576271184</v>
      </c>
      <c r="BF631" s="264"/>
      <c r="BG631" s="135"/>
      <c r="BH631" s="135"/>
      <c r="BI631" s="2" t="s">
        <v>11</v>
      </c>
      <c r="BJ631" s="136">
        <v>45713</v>
      </c>
      <c r="BK631" s="2" t="s">
        <v>8</v>
      </c>
      <c r="BL631" s="136" t="s">
        <v>113</v>
      </c>
      <c r="BM631" s="136">
        <v>45301</v>
      </c>
      <c r="BN631" s="2" t="s">
        <v>2400</v>
      </c>
      <c r="BO631" s="2"/>
      <c r="BP631" s="205"/>
      <c r="BQ631" s="137" t="s">
        <v>119</v>
      </c>
      <c r="BR631" s="138"/>
    </row>
    <row r="632" spans="1:70" ht="12.75" customHeight="1" x14ac:dyDescent="0.2">
      <c r="A632" s="2">
        <v>2121</v>
      </c>
      <c r="B632" s="2" t="s">
        <v>28</v>
      </c>
      <c r="C632" s="2" t="s">
        <v>29</v>
      </c>
      <c r="D632" s="2" t="s">
        <v>2346</v>
      </c>
      <c r="E632" s="2" t="s">
        <v>87</v>
      </c>
      <c r="F632" s="132">
        <v>50000</v>
      </c>
      <c r="G632" s="132">
        <v>2</v>
      </c>
      <c r="H632" s="132">
        <f>R632</f>
        <v>0</v>
      </c>
      <c r="I632" s="132"/>
      <c r="J632" s="132">
        <f>S632</f>
        <v>0</v>
      </c>
      <c r="K632" s="132">
        <f t="shared" si="70"/>
        <v>50000</v>
      </c>
      <c r="L632" s="132">
        <f t="shared" si="66"/>
        <v>0</v>
      </c>
      <c r="M632" s="133"/>
      <c r="N632" s="133">
        <f t="shared" si="69"/>
        <v>50000</v>
      </c>
      <c r="O632" s="134">
        <v>1</v>
      </c>
      <c r="P632" s="133"/>
      <c r="Q632" s="2" t="s">
        <v>2324</v>
      </c>
      <c r="R632" s="156">
        <f t="shared" si="67"/>
        <v>0</v>
      </c>
      <c r="S632" s="156">
        <f t="shared" si="68"/>
        <v>0</v>
      </c>
      <c r="T632" s="133"/>
      <c r="U632" s="133"/>
      <c r="V632" s="133"/>
      <c r="W632" s="133"/>
      <c r="X632" s="133"/>
      <c r="Y632" s="133"/>
      <c r="Z632" s="133"/>
      <c r="AA632" s="133"/>
      <c r="AB632" s="133"/>
      <c r="AC632" s="133"/>
      <c r="AD632" s="133"/>
      <c r="AE632" s="133"/>
      <c r="AF632" s="133"/>
      <c r="AG632" s="133"/>
      <c r="AH632" s="133"/>
      <c r="AI632" s="133"/>
      <c r="AJ632" s="133"/>
      <c r="AK632" s="133"/>
      <c r="AL632" s="133"/>
      <c r="AM632" s="133"/>
      <c r="AN632" s="133"/>
      <c r="AO632" s="133"/>
      <c r="AP632" s="133"/>
      <c r="AQ632" s="133"/>
      <c r="AR632" s="133"/>
      <c r="AS632" s="153">
        <v>0</v>
      </c>
      <c r="AT632" s="153">
        <v>0</v>
      </c>
      <c r="AU632" s="153">
        <v>0</v>
      </c>
      <c r="AV632" s="153">
        <v>0</v>
      </c>
      <c r="AW632" s="153">
        <v>0</v>
      </c>
      <c r="AX632" s="153">
        <v>0</v>
      </c>
      <c r="AY632" s="135"/>
      <c r="AZ632" s="135"/>
      <c r="BA632" s="135"/>
      <c r="BB632" s="135"/>
      <c r="BC632" s="135"/>
      <c r="BD632" s="135"/>
      <c r="BE632" s="135"/>
      <c r="BF632" s="135"/>
      <c r="BG632" s="135"/>
      <c r="BH632" s="135"/>
      <c r="BI632" s="2" t="s">
        <v>11</v>
      </c>
      <c r="BJ632" s="136"/>
      <c r="BK632" s="2">
        <v>0</v>
      </c>
      <c r="BL632" s="136" t="s">
        <v>113</v>
      </c>
      <c r="BM632" s="136">
        <v>45301</v>
      </c>
      <c r="BN632" s="2" t="s">
        <v>2401</v>
      </c>
      <c r="BO632" s="2"/>
      <c r="BP632" s="205"/>
      <c r="BQ632" s="137" t="s">
        <v>119</v>
      </c>
      <c r="BR632" s="138"/>
    </row>
    <row r="633" spans="1:70" ht="12.75" customHeight="1" x14ac:dyDescent="0.2">
      <c r="A633" s="2">
        <v>2122</v>
      </c>
      <c r="B633" s="2" t="s">
        <v>28</v>
      </c>
      <c r="C633" s="2" t="s">
        <v>72</v>
      </c>
      <c r="D633" s="2" t="s">
        <v>2367</v>
      </c>
      <c r="E633" s="2" t="s">
        <v>117</v>
      </c>
      <c r="F633" s="132">
        <v>0</v>
      </c>
      <c r="G633" s="132">
        <v>2</v>
      </c>
      <c r="H633" s="132">
        <f>741*1.75</f>
        <v>1296.75</v>
      </c>
      <c r="I633" s="132"/>
      <c r="J633" s="132">
        <v>1296.75</v>
      </c>
      <c r="K633" s="132">
        <f t="shared" si="70"/>
        <v>-1296.75</v>
      </c>
      <c r="L633" s="132">
        <f t="shared" si="66"/>
        <v>0</v>
      </c>
      <c r="M633" s="133"/>
      <c r="N633" s="133">
        <f t="shared" si="69"/>
        <v>0</v>
      </c>
      <c r="O633" s="134">
        <v>0</v>
      </c>
      <c r="P633" s="133"/>
      <c r="Q633" s="2" t="s">
        <v>2325</v>
      </c>
      <c r="R633" s="156">
        <f t="shared" si="67"/>
        <v>0</v>
      </c>
      <c r="S633" s="156">
        <f t="shared" si="68"/>
        <v>0</v>
      </c>
      <c r="T633" s="133"/>
      <c r="U633" s="133"/>
      <c r="V633" s="133"/>
      <c r="W633" s="133"/>
      <c r="X633" s="133"/>
      <c r="Y633" s="133"/>
      <c r="Z633" s="133"/>
      <c r="AA633" s="133"/>
      <c r="AB633" s="133"/>
      <c r="AC633" s="133"/>
      <c r="AD633" s="133"/>
      <c r="AE633" s="133"/>
      <c r="AF633" s="133"/>
      <c r="AG633" s="133"/>
      <c r="AH633" s="133"/>
      <c r="AI633" s="133"/>
      <c r="AJ633" s="133"/>
      <c r="AK633" s="133"/>
      <c r="AL633" s="133"/>
      <c r="AM633" s="133"/>
      <c r="AN633" s="133"/>
      <c r="AO633" s="133"/>
      <c r="AP633" s="133"/>
      <c r="AQ633" s="133"/>
      <c r="AR633" s="133"/>
      <c r="AS633" s="153">
        <v>0</v>
      </c>
      <c r="AT633" s="153">
        <v>0</v>
      </c>
      <c r="AU633" s="153">
        <v>0</v>
      </c>
      <c r="AV633" s="153">
        <v>0</v>
      </c>
      <c r="AW633" s="153">
        <v>0</v>
      </c>
      <c r="AX633" s="153">
        <v>0</v>
      </c>
      <c r="AY633" s="135"/>
      <c r="AZ633" s="135"/>
      <c r="BA633" s="135"/>
      <c r="BB633" s="135"/>
      <c r="BC633" s="135"/>
      <c r="BD633" s="135"/>
      <c r="BE633" s="135"/>
      <c r="BF633" s="135"/>
      <c r="BG633" s="135"/>
      <c r="BH633" s="135"/>
      <c r="BI633" s="2" t="s">
        <v>112</v>
      </c>
      <c r="BJ633" s="136">
        <v>45524</v>
      </c>
      <c r="BK633" s="2" t="s">
        <v>145</v>
      </c>
      <c r="BL633" s="136" t="s">
        <v>113</v>
      </c>
      <c r="BM633" s="136">
        <v>45301</v>
      </c>
      <c r="BN633" s="2" t="s">
        <v>2402</v>
      </c>
      <c r="BO633" s="2"/>
      <c r="BP633" s="205"/>
      <c r="BQ633" s="137" t="s">
        <v>134</v>
      </c>
      <c r="BR633" s="138"/>
    </row>
    <row r="634" spans="1:70" ht="12.75" customHeight="1" x14ac:dyDescent="0.2">
      <c r="A634" s="2">
        <v>2123</v>
      </c>
      <c r="B634" s="2" t="s">
        <v>28</v>
      </c>
      <c r="C634" s="2" t="s">
        <v>72</v>
      </c>
      <c r="D634" s="2" t="s">
        <v>2347</v>
      </c>
      <c r="E634" s="2" t="s">
        <v>87</v>
      </c>
      <c r="F634" s="132">
        <v>40000</v>
      </c>
      <c r="G634" s="132">
        <v>2</v>
      </c>
      <c r="H634" s="132">
        <v>51627.58</v>
      </c>
      <c r="I634" s="132">
        <v>51627.58</v>
      </c>
      <c r="J634" s="132">
        <f>7875.39+43752.19</f>
        <v>51627.58</v>
      </c>
      <c r="K634" s="132">
        <f t="shared" si="70"/>
        <v>-11627.580000000002</v>
      </c>
      <c r="L634" s="132">
        <f t="shared" si="66"/>
        <v>0</v>
      </c>
      <c r="M634" s="133">
        <v>696</v>
      </c>
      <c r="N634" s="133">
        <f t="shared" si="69"/>
        <v>0</v>
      </c>
      <c r="O634" s="134">
        <v>0</v>
      </c>
      <c r="P634" s="133"/>
      <c r="Q634" s="2" t="s">
        <v>2325</v>
      </c>
      <c r="R634" s="156">
        <f t="shared" si="67"/>
        <v>0</v>
      </c>
      <c r="S634" s="156">
        <f t="shared" si="68"/>
        <v>0</v>
      </c>
      <c r="T634" s="133"/>
      <c r="U634" s="133"/>
      <c r="V634" s="133"/>
      <c r="W634" s="133"/>
      <c r="X634" s="133"/>
      <c r="Y634" s="133"/>
      <c r="Z634" s="133"/>
      <c r="AA634" s="133"/>
      <c r="AB634" s="133"/>
      <c r="AC634" s="133"/>
      <c r="AD634" s="133"/>
      <c r="AE634" s="133"/>
      <c r="AF634" s="133"/>
      <c r="AG634" s="133"/>
      <c r="AH634" s="133"/>
      <c r="AI634" s="133"/>
      <c r="AJ634" s="133"/>
      <c r="AK634" s="133"/>
      <c r="AL634" s="133"/>
      <c r="AM634" s="133"/>
      <c r="AN634" s="133"/>
      <c r="AO634" s="133"/>
      <c r="AP634" s="133"/>
      <c r="AQ634" s="133"/>
      <c r="AR634" s="133"/>
      <c r="AS634" s="153">
        <v>0</v>
      </c>
      <c r="AT634" s="153">
        <v>0</v>
      </c>
      <c r="AU634" s="153">
        <v>0</v>
      </c>
      <c r="AV634" s="153">
        <v>0</v>
      </c>
      <c r="AW634" s="153">
        <v>0</v>
      </c>
      <c r="AX634" s="153">
        <v>0</v>
      </c>
      <c r="AY634" s="135"/>
      <c r="AZ634" s="135"/>
      <c r="BA634" s="135">
        <v>0</v>
      </c>
      <c r="BB634" s="140">
        <f>(H634/1.18-AT634-AW634-AZ634)*0.1-AU634-AX634-BA634</f>
        <v>4375.218644067797</v>
      </c>
      <c r="BC634" s="135"/>
      <c r="BD634" s="135"/>
      <c r="BE634" s="135">
        <f>(H634/1.18-AT634-AW634-AZ634-BD634)*0.1-AU634-AX634-BA634-BB634</f>
        <v>0</v>
      </c>
      <c r="BF634" s="135"/>
      <c r="BG634" s="135"/>
      <c r="BH634" s="135"/>
      <c r="BI634" s="2" t="s">
        <v>11</v>
      </c>
      <c r="BJ634" s="136">
        <v>45624</v>
      </c>
      <c r="BK634" s="2" t="s">
        <v>8</v>
      </c>
      <c r="BL634" s="136" t="s">
        <v>113</v>
      </c>
      <c r="BM634" s="136">
        <v>45301</v>
      </c>
      <c r="BN634" s="2" t="s">
        <v>2403</v>
      </c>
      <c r="BO634" s="2"/>
      <c r="BP634" s="205"/>
      <c r="BQ634" s="137" t="s">
        <v>119</v>
      </c>
      <c r="BR634" s="138"/>
    </row>
    <row r="635" spans="1:70" ht="12.75" customHeight="1" x14ac:dyDescent="0.2">
      <c r="A635" s="2">
        <v>2124</v>
      </c>
      <c r="B635" s="2" t="s">
        <v>28</v>
      </c>
      <c r="C635" s="2" t="s">
        <v>29</v>
      </c>
      <c r="D635" s="2" t="s">
        <v>2368</v>
      </c>
      <c r="E635" s="2" t="s">
        <v>117</v>
      </c>
      <c r="F635" s="132">
        <f>450*1.75</f>
        <v>787.5</v>
      </c>
      <c r="G635" s="132">
        <v>2</v>
      </c>
      <c r="H635" s="132">
        <f>450*1.75</f>
        <v>787.5</v>
      </c>
      <c r="I635" s="132"/>
      <c r="J635" s="132">
        <v>787.5</v>
      </c>
      <c r="K635" s="132">
        <f t="shared" si="70"/>
        <v>0</v>
      </c>
      <c r="L635" s="132">
        <f t="shared" si="66"/>
        <v>0</v>
      </c>
      <c r="M635" s="133"/>
      <c r="N635" s="133">
        <f t="shared" si="69"/>
        <v>0</v>
      </c>
      <c r="O635" s="134">
        <v>0</v>
      </c>
      <c r="P635" s="133"/>
      <c r="Q635" s="2" t="s">
        <v>2326</v>
      </c>
      <c r="R635" s="156">
        <f t="shared" si="67"/>
        <v>0</v>
      </c>
      <c r="S635" s="156">
        <f t="shared" si="68"/>
        <v>0</v>
      </c>
      <c r="T635" s="133"/>
      <c r="U635" s="133"/>
      <c r="V635" s="133"/>
      <c r="W635" s="133"/>
      <c r="X635" s="133"/>
      <c r="Y635" s="133"/>
      <c r="Z635" s="133"/>
      <c r="AA635" s="133"/>
      <c r="AB635" s="133"/>
      <c r="AC635" s="133"/>
      <c r="AD635" s="133"/>
      <c r="AE635" s="133"/>
      <c r="AF635" s="133"/>
      <c r="AG635" s="133"/>
      <c r="AH635" s="133"/>
      <c r="AI635" s="133"/>
      <c r="AJ635" s="133"/>
      <c r="AK635" s="133"/>
      <c r="AL635" s="133"/>
      <c r="AM635" s="133"/>
      <c r="AN635" s="133"/>
      <c r="AO635" s="133"/>
      <c r="AP635" s="133"/>
      <c r="AQ635" s="133"/>
      <c r="AR635" s="133"/>
      <c r="AS635" s="153">
        <v>0</v>
      </c>
      <c r="AT635" s="153">
        <v>0</v>
      </c>
      <c r="AU635" s="153">
        <v>0</v>
      </c>
      <c r="AV635" s="153">
        <v>0</v>
      </c>
      <c r="AW635" s="153">
        <v>0</v>
      </c>
      <c r="AX635" s="153">
        <v>0</v>
      </c>
      <c r="AY635" s="135"/>
      <c r="AZ635" s="135"/>
      <c r="BA635" s="135"/>
      <c r="BB635" s="135"/>
      <c r="BC635" s="135"/>
      <c r="BD635" s="135"/>
      <c r="BE635" s="135"/>
      <c r="BF635" s="135"/>
      <c r="BG635" s="135"/>
      <c r="BH635" s="135"/>
      <c r="BI635" s="2" t="s">
        <v>112</v>
      </c>
      <c r="BJ635" s="136">
        <v>45413</v>
      </c>
      <c r="BK635" s="2" t="s">
        <v>145</v>
      </c>
      <c r="BL635" s="136" t="s">
        <v>113</v>
      </c>
      <c r="BM635" s="136">
        <v>45301</v>
      </c>
      <c r="BN635" s="2" t="s">
        <v>2404</v>
      </c>
      <c r="BO635" s="2"/>
      <c r="BP635" s="205"/>
      <c r="BQ635" s="137" t="s">
        <v>134</v>
      </c>
      <c r="BR635" s="138"/>
    </row>
    <row r="636" spans="1:70" ht="12.75" customHeight="1" x14ac:dyDescent="0.2">
      <c r="A636" s="2">
        <v>2125</v>
      </c>
      <c r="B636" s="2" t="s">
        <v>28</v>
      </c>
      <c r="C636" s="2" t="s">
        <v>29</v>
      </c>
      <c r="D636" s="2" t="s">
        <v>2348</v>
      </c>
      <c r="E636" s="2" t="s">
        <v>87</v>
      </c>
      <c r="F636" s="132">
        <v>40000</v>
      </c>
      <c r="G636" s="132">
        <v>2</v>
      </c>
      <c r="H636" s="132">
        <v>34696.699999999997</v>
      </c>
      <c r="I636" s="132">
        <v>34696.699999999997</v>
      </c>
      <c r="J636" s="132">
        <v>34696.699999999997</v>
      </c>
      <c r="K636" s="132">
        <f t="shared" si="70"/>
        <v>5303.3000000000029</v>
      </c>
      <c r="L636" s="132">
        <f t="shared" si="66"/>
        <v>0</v>
      </c>
      <c r="M636" s="133"/>
      <c r="N636" s="133">
        <f t="shared" si="69"/>
        <v>0</v>
      </c>
      <c r="O636" s="134">
        <v>0</v>
      </c>
      <c r="P636" s="133"/>
      <c r="Q636" s="2" t="s">
        <v>2326</v>
      </c>
      <c r="R636" s="156">
        <f t="shared" si="67"/>
        <v>0</v>
      </c>
      <c r="S636" s="156">
        <f t="shared" si="68"/>
        <v>0</v>
      </c>
      <c r="T636" s="133"/>
      <c r="U636" s="133"/>
      <c r="V636" s="133"/>
      <c r="W636" s="133"/>
      <c r="X636" s="133"/>
      <c r="Y636" s="133"/>
      <c r="Z636" s="133"/>
      <c r="AA636" s="133"/>
      <c r="AB636" s="133"/>
      <c r="AC636" s="133"/>
      <c r="AD636" s="133"/>
      <c r="AE636" s="133"/>
      <c r="AF636" s="133"/>
      <c r="AG636" s="133"/>
      <c r="AH636" s="133"/>
      <c r="AI636" s="133"/>
      <c r="AJ636" s="133"/>
      <c r="AK636" s="133"/>
      <c r="AL636" s="133"/>
      <c r="AM636" s="133"/>
      <c r="AN636" s="133"/>
      <c r="AO636" s="133"/>
      <c r="AP636" s="133"/>
      <c r="AQ636" s="133"/>
      <c r="AR636" s="133"/>
      <c r="AS636" s="153">
        <v>0</v>
      </c>
      <c r="AT636" s="153">
        <v>0</v>
      </c>
      <c r="AU636" s="153">
        <v>0</v>
      </c>
      <c r="AV636" s="153">
        <v>0</v>
      </c>
      <c r="AW636" s="153">
        <v>0</v>
      </c>
      <c r="AX636" s="153">
        <v>0</v>
      </c>
      <c r="AY636" s="135">
        <v>0</v>
      </c>
      <c r="AZ636" s="135">
        <v>0</v>
      </c>
      <c r="BA636" s="135">
        <v>0</v>
      </c>
      <c r="BB636" s="140">
        <f>(H636/1.18-AT636-AW636-AZ636)*0.1-AU636-AX636-BA636</f>
        <v>2940.3983050847455</v>
      </c>
      <c r="BC636" s="135"/>
      <c r="BD636" s="135"/>
      <c r="BE636" s="135">
        <f>(H636/1.18-AT636-AW636-AZ636-BD636)*0.1-AU636-AX636-BA636-BB636</f>
        <v>0</v>
      </c>
      <c r="BF636" s="135"/>
      <c r="BG636" s="135"/>
      <c r="BH636" s="135"/>
      <c r="BI636" s="2" t="s">
        <v>11</v>
      </c>
      <c r="BJ636" s="136">
        <v>45488</v>
      </c>
      <c r="BK636" s="2" t="s">
        <v>109</v>
      </c>
      <c r="BL636" s="136" t="s">
        <v>113</v>
      </c>
      <c r="BM636" s="136">
        <v>45301</v>
      </c>
      <c r="BN636" s="2" t="s">
        <v>2405</v>
      </c>
      <c r="BO636" s="2"/>
      <c r="BP636" s="205"/>
      <c r="BQ636" s="137" t="s">
        <v>119</v>
      </c>
      <c r="BR636" s="138"/>
    </row>
    <row r="637" spans="1:70" ht="12.75" customHeight="1" x14ac:dyDescent="0.2">
      <c r="A637" s="2">
        <v>2126</v>
      </c>
      <c r="B637" s="2" t="s">
        <v>28</v>
      </c>
      <c r="C637" s="2" t="s">
        <v>29</v>
      </c>
      <c r="D637" s="2" t="s">
        <v>2369</v>
      </c>
      <c r="E637" s="2" t="s">
        <v>117</v>
      </c>
      <c r="F637" s="132">
        <v>1051.75</v>
      </c>
      <c r="G637" s="132">
        <v>2</v>
      </c>
      <c r="H637" s="132">
        <f>601*1.75</f>
        <v>1051.75</v>
      </c>
      <c r="I637" s="132"/>
      <c r="J637" s="132">
        <v>1051.75</v>
      </c>
      <c r="K637" s="132">
        <f t="shared" si="70"/>
        <v>0</v>
      </c>
      <c r="L637" s="132">
        <f t="shared" si="66"/>
        <v>0</v>
      </c>
      <c r="M637" s="133"/>
      <c r="N637" s="133">
        <f t="shared" si="69"/>
        <v>0</v>
      </c>
      <c r="O637" s="134">
        <v>0</v>
      </c>
      <c r="P637" s="133"/>
      <c r="Q637" s="2" t="s">
        <v>2327</v>
      </c>
      <c r="R637" s="156">
        <f t="shared" si="67"/>
        <v>0</v>
      </c>
      <c r="S637" s="156">
        <f t="shared" si="68"/>
        <v>0</v>
      </c>
      <c r="T637" s="133"/>
      <c r="U637" s="133"/>
      <c r="V637" s="133"/>
      <c r="W637" s="133"/>
      <c r="X637" s="133"/>
      <c r="Y637" s="133"/>
      <c r="Z637" s="133"/>
      <c r="AA637" s="133"/>
      <c r="AB637" s="133"/>
      <c r="AC637" s="133"/>
      <c r="AD637" s="133"/>
      <c r="AE637" s="133"/>
      <c r="AF637" s="133"/>
      <c r="AG637" s="133"/>
      <c r="AH637" s="133"/>
      <c r="AI637" s="133"/>
      <c r="AJ637" s="133"/>
      <c r="AK637" s="133"/>
      <c r="AL637" s="133"/>
      <c r="AM637" s="133"/>
      <c r="AN637" s="133"/>
      <c r="AO637" s="133"/>
      <c r="AP637" s="133"/>
      <c r="AQ637" s="133"/>
      <c r="AR637" s="133"/>
      <c r="AS637" s="153">
        <v>0</v>
      </c>
      <c r="AT637" s="153">
        <v>0</v>
      </c>
      <c r="AU637" s="153">
        <v>0</v>
      </c>
      <c r="AV637" s="153">
        <v>0</v>
      </c>
      <c r="AW637" s="153">
        <v>0</v>
      </c>
      <c r="AX637" s="153">
        <v>0</v>
      </c>
      <c r="AY637" s="135"/>
      <c r="AZ637" s="135"/>
      <c r="BA637" s="135"/>
      <c r="BB637" s="135"/>
      <c r="BC637" s="135"/>
      <c r="BD637" s="135"/>
      <c r="BE637" s="135"/>
      <c r="BF637" s="135"/>
      <c r="BG637" s="135"/>
      <c r="BH637" s="135"/>
      <c r="BI637" s="2" t="s">
        <v>112</v>
      </c>
      <c r="BJ637" s="136">
        <v>45580</v>
      </c>
      <c r="BK637" s="2" t="s">
        <v>145</v>
      </c>
      <c r="BL637" s="136" t="s">
        <v>113</v>
      </c>
      <c r="BM637" s="136">
        <v>45301</v>
      </c>
      <c r="BN637" s="2" t="s">
        <v>2406</v>
      </c>
      <c r="BO637" s="2"/>
      <c r="BP637" s="205"/>
      <c r="BQ637" s="137" t="s">
        <v>134</v>
      </c>
      <c r="BR637" s="138"/>
    </row>
    <row r="638" spans="1:70" ht="12.75" customHeight="1" x14ac:dyDescent="0.2">
      <c r="A638" s="2">
        <v>2127</v>
      </c>
      <c r="B638" s="2" t="s">
        <v>28</v>
      </c>
      <c r="C638" s="2" t="s">
        <v>29</v>
      </c>
      <c r="D638" s="2" t="s">
        <v>2349</v>
      </c>
      <c r="E638" s="2" t="s">
        <v>87</v>
      </c>
      <c r="F638" s="132">
        <v>35000</v>
      </c>
      <c r="G638" s="132">
        <v>2</v>
      </c>
      <c r="H638" s="132">
        <f>R638</f>
        <v>0</v>
      </c>
      <c r="I638" s="132"/>
      <c r="J638" s="132">
        <f>S638</f>
        <v>0</v>
      </c>
      <c r="K638" s="132">
        <f t="shared" si="70"/>
        <v>35000</v>
      </c>
      <c r="L638" s="132">
        <f t="shared" si="66"/>
        <v>0</v>
      </c>
      <c r="M638" s="133"/>
      <c r="N638" s="133">
        <f t="shared" si="69"/>
        <v>35000</v>
      </c>
      <c r="O638" s="134">
        <v>1</v>
      </c>
      <c r="P638" s="133"/>
      <c r="Q638" s="2" t="s">
        <v>2327</v>
      </c>
      <c r="R638" s="156">
        <f t="shared" si="67"/>
        <v>0</v>
      </c>
      <c r="S638" s="156">
        <f t="shared" si="68"/>
        <v>0</v>
      </c>
      <c r="T638" s="133"/>
      <c r="U638" s="133"/>
      <c r="V638" s="133"/>
      <c r="W638" s="133"/>
      <c r="X638" s="133"/>
      <c r="Y638" s="133"/>
      <c r="Z638" s="133"/>
      <c r="AA638" s="133"/>
      <c r="AB638" s="133"/>
      <c r="AC638" s="133"/>
      <c r="AD638" s="133"/>
      <c r="AE638" s="133"/>
      <c r="AF638" s="133"/>
      <c r="AG638" s="133"/>
      <c r="AH638" s="133"/>
      <c r="AI638" s="133"/>
      <c r="AJ638" s="133"/>
      <c r="AK638" s="133"/>
      <c r="AL638" s="133"/>
      <c r="AM638" s="133"/>
      <c r="AN638" s="133"/>
      <c r="AO638" s="133"/>
      <c r="AP638" s="133"/>
      <c r="AQ638" s="133"/>
      <c r="AR638" s="133"/>
      <c r="AS638" s="153">
        <v>0</v>
      </c>
      <c r="AT638" s="153">
        <v>0</v>
      </c>
      <c r="AU638" s="153">
        <v>0</v>
      </c>
      <c r="AV638" s="153">
        <v>0</v>
      </c>
      <c r="AW638" s="153">
        <v>0</v>
      </c>
      <c r="AX638" s="153">
        <v>0</v>
      </c>
      <c r="AY638" s="135"/>
      <c r="AZ638" s="135"/>
      <c r="BA638" s="135"/>
      <c r="BB638" s="135"/>
      <c r="BC638" s="135"/>
      <c r="BD638" s="135"/>
      <c r="BE638" s="135"/>
      <c r="BF638" s="135"/>
      <c r="BG638" s="135"/>
      <c r="BH638" s="135"/>
      <c r="BI638" s="2" t="s">
        <v>11</v>
      </c>
      <c r="BJ638" s="136"/>
      <c r="BK638" s="2">
        <v>0</v>
      </c>
      <c r="BL638" s="136" t="s">
        <v>113</v>
      </c>
      <c r="BM638" s="136">
        <v>45301</v>
      </c>
      <c r="BN638" s="2" t="s">
        <v>2407</v>
      </c>
      <c r="BO638" s="2"/>
      <c r="BP638" s="205"/>
      <c r="BQ638" s="137" t="s">
        <v>119</v>
      </c>
      <c r="BR638" s="138"/>
    </row>
    <row r="639" spans="1:70" ht="12.75" customHeight="1" x14ac:dyDescent="0.2">
      <c r="A639" s="2">
        <v>2128</v>
      </c>
      <c r="B639" s="2" t="s">
        <v>28</v>
      </c>
      <c r="C639" s="2" t="s">
        <v>29</v>
      </c>
      <c r="D639" s="2" t="s">
        <v>2370</v>
      </c>
      <c r="E639" s="2" t="s">
        <v>117</v>
      </c>
      <c r="F639" s="132">
        <v>428.75</v>
      </c>
      <c r="G639" s="132">
        <v>2</v>
      </c>
      <c r="H639" s="132">
        <f>245*1.75</f>
        <v>428.75</v>
      </c>
      <c r="I639" s="132"/>
      <c r="J639" s="132">
        <v>428.75</v>
      </c>
      <c r="K639" s="132">
        <f t="shared" si="70"/>
        <v>0</v>
      </c>
      <c r="L639" s="132">
        <f t="shared" si="66"/>
        <v>0</v>
      </c>
      <c r="M639" s="133"/>
      <c r="N639" s="133">
        <f t="shared" si="69"/>
        <v>0</v>
      </c>
      <c r="O639" s="134">
        <v>0</v>
      </c>
      <c r="P639" s="133"/>
      <c r="Q639" s="2" t="s">
        <v>2328</v>
      </c>
      <c r="R639" s="156">
        <f t="shared" si="67"/>
        <v>0</v>
      </c>
      <c r="S639" s="156">
        <f t="shared" si="68"/>
        <v>0</v>
      </c>
      <c r="T639" s="133"/>
      <c r="U639" s="133"/>
      <c r="V639" s="133"/>
      <c r="W639" s="133"/>
      <c r="X639" s="133"/>
      <c r="Y639" s="133"/>
      <c r="Z639" s="133"/>
      <c r="AA639" s="133"/>
      <c r="AB639" s="133"/>
      <c r="AC639" s="133"/>
      <c r="AD639" s="133"/>
      <c r="AE639" s="133"/>
      <c r="AF639" s="133"/>
      <c r="AG639" s="133"/>
      <c r="AH639" s="133"/>
      <c r="AI639" s="133"/>
      <c r="AJ639" s="133"/>
      <c r="AK639" s="133"/>
      <c r="AL639" s="133"/>
      <c r="AM639" s="133"/>
      <c r="AN639" s="133"/>
      <c r="AO639" s="133"/>
      <c r="AP639" s="133"/>
      <c r="AQ639" s="133"/>
      <c r="AR639" s="133"/>
      <c r="AS639" s="153">
        <v>0</v>
      </c>
      <c r="AT639" s="153">
        <v>0</v>
      </c>
      <c r="AU639" s="153">
        <v>0</v>
      </c>
      <c r="AV639" s="153">
        <v>0</v>
      </c>
      <c r="AW639" s="153">
        <v>0</v>
      </c>
      <c r="AX639" s="153">
        <v>0</v>
      </c>
      <c r="AY639" s="135"/>
      <c r="AZ639" s="135"/>
      <c r="BA639" s="135"/>
      <c r="BB639" s="135"/>
      <c r="BC639" s="135"/>
      <c r="BD639" s="135"/>
      <c r="BE639" s="135"/>
      <c r="BF639" s="135"/>
      <c r="BG639" s="135"/>
      <c r="BH639" s="135"/>
      <c r="BI639" s="2" t="s">
        <v>112</v>
      </c>
      <c r="BJ639" s="136">
        <v>45580</v>
      </c>
      <c r="BK639" s="2" t="s">
        <v>145</v>
      </c>
      <c r="BL639" s="136" t="s">
        <v>113</v>
      </c>
      <c r="BM639" s="136">
        <v>45301</v>
      </c>
      <c r="BN639" s="2" t="s">
        <v>2408</v>
      </c>
      <c r="BO639" s="2"/>
      <c r="BP639" s="205"/>
      <c r="BQ639" s="137" t="s">
        <v>134</v>
      </c>
      <c r="BR639" s="138"/>
    </row>
    <row r="640" spans="1:70" ht="12.75" customHeight="1" x14ac:dyDescent="0.2">
      <c r="A640" s="2">
        <v>2129</v>
      </c>
      <c r="B640" s="2" t="s">
        <v>28</v>
      </c>
      <c r="C640" s="2" t="s">
        <v>29</v>
      </c>
      <c r="D640" s="2" t="s">
        <v>2350</v>
      </c>
      <c r="E640" s="2" t="s">
        <v>87</v>
      </c>
      <c r="F640" s="132">
        <v>30920.49</v>
      </c>
      <c r="G640" s="132">
        <v>2</v>
      </c>
      <c r="H640" s="150">
        <f>R640</f>
        <v>30920.49</v>
      </c>
      <c r="I640" s="150">
        <v>30920.49</v>
      </c>
      <c r="J640" s="132">
        <f>S640</f>
        <v>30920.49</v>
      </c>
      <c r="K640" s="132">
        <f t="shared" si="70"/>
        <v>0</v>
      </c>
      <c r="L640" s="132">
        <f t="shared" si="66"/>
        <v>0</v>
      </c>
      <c r="M640" s="133">
        <v>296</v>
      </c>
      <c r="N640" s="133">
        <f t="shared" si="69"/>
        <v>0</v>
      </c>
      <c r="O640" s="134">
        <v>1</v>
      </c>
      <c r="P640" s="133"/>
      <c r="Q640" s="2" t="s">
        <v>2328</v>
      </c>
      <c r="R640" s="156">
        <f t="shared" si="67"/>
        <v>30920.49</v>
      </c>
      <c r="S640" s="156">
        <f t="shared" si="68"/>
        <v>30920.49</v>
      </c>
      <c r="T640" s="133"/>
      <c r="U640" s="133"/>
      <c r="V640" s="133">
        <v>30920.49</v>
      </c>
      <c r="W640" s="133"/>
      <c r="X640" s="133"/>
      <c r="Y640" s="133">
        <v>4716.68</v>
      </c>
      <c r="Z640" s="133"/>
      <c r="AA640" s="133"/>
      <c r="AB640" s="133"/>
      <c r="AC640" s="133"/>
      <c r="AD640" s="133"/>
      <c r="AE640" s="133">
        <v>26203.81</v>
      </c>
      <c r="AF640" s="133"/>
      <c r="AG640" s="133"/>
      <c r="AH640" s="133"/>
      <c r="AI640" s="133"/>
      <c r="AJ640" s="133"/>
      <c r="AK640" s="133"/>
      <c r="AL640" s="133"/>
      <c r="AM640" s="133"/>
      <c r="AN640" s="133"/>
      <c r="AO640" s="133"/>
      <c r="AP640" s="133"/>
      <c r="AQ640" s="133"/>
      <c r="AR640" s="133"/>
      <c r="AS640" s="153">
        <v>0</v>
      </c>
      <c r="AT640" s="153">
        <v>0</v>
      </c>
      <c r="AU640" s="153">
        <v>0</v>
      </c>
      <c r="AV640" s="153">
        <v>0</v>
      </c>
      <c r="AW640" s="153">
        <v>0</v>
      </c>
      <c r="AX640" s="153">
        <v>0</v>
      </c>
      <c r="AY640" s="135"/>
      <c r="AZ640" s="135"/>
      <c r="BA640" s="135"/>
      <c r="BB640" s="283">
        <v>0</v>
      </c>
      <c r="BC640" s="135"/>
      <c r="BD640" s="135"/>
      <c r="BE640" s="264">
        <f>(H640/1.18-AT640-AW640-AZ640-BD640)*0.1-AU640-AX640-BA640-BB640</f>
        <v>2620.3805084745768</v>
      </c>
      <c r="BF640" s="264"/>
      <c r="BG640" s="135"/>
      <c r="BH640" s="135"/>
      <c r="BI640" s="2" t="s">
        <v>11</v>
      </c>
      <c r="BJ640" s="136">
        <v>45706</v>
      </c>
      <c r="BK640" s="2" t="s">
        <v>8</v>
      </c>
      <c r="BL640" s="136" t="s">
        <v>113</v>
      </c>
      <c r="BM640" s="136">
        <v>45301</v>
      </c>
      <c r="BN640" s="2" t="s">
        <v>2409</v>
      </c>
      <c r="BO640" s="2"/>
      <c r="BP640" s="205"/>
      <c r="BQ640" s="137" t="s">
        <v>119</v>
      </c>
      <c r="BR640" s="138"/>
    </row>
    <row r="641" spans="1:70" ht="12.75" customHeight="1" x14ac:dyDescent="0.2">
      <c r="A641" s="2">
        <v>2130</v>
      </c>
      <c r="B641" s="2" t="s">
        <v>28</v>
      </c>
      <c r="C641" s="2" t="s">
        <v>30</v>
      </c>
      <c r="D641" s="2" t="s">
        <v>2371</v>
      </c>
      <c r="E641" s="2" t="s">
        <v>87</v>
      </c>
      <c r="F641" s="132">
        <v>25000</v>
      </c>
      <c r="G641" s="132">
        <v>2</v>
      </c>
      <c r="H641" s="132">
        <f>R641</f>
        <v>0</v>
      </c>
      <c r="I641" s="132"/>
      <c r="J641" s="132">
        <f>S641</f>
        <v>0</v>
      </c>
      <c r="K641" s="132">
        <f t="shared" si="70"/>
        <v>25000</v>
      </c>
      <c r="L641" s="132">
        <f t="shared" si="66"/>
        <v>0</v>
      </c>
      <c r="M641" s="133"/>
      <c r="N641" s="133">
        <f t="shared" si="69"/>
        <v>25000</v>
      </c>
      <c r="O641" s="134">
        <v>1</v>
      </c>
      <c r="P641" s="133"/>
      <c r="Q641" s="2" t="s">
        <v>2329</v>
      </c>
      <c r="R641" s="156">
        <f t="shared" si="67"/>
        <v>0</v>
      </c>
      <c r="S641" s="156">
        <f t="shared" si="68"/>
        <v>0</v>
      </c>
      <c r="T641" s="133"/>
      <c r="U641" s="133"/>
      <c r="V641" s="133"/>
      <c r="W641" s="133"/>
      <c r="X641" s="133"/>
      <c r="Y641" s="133"/>
      <c r="Z641" s="133"/>
      <c r="AA641" s="133"/>
      <c r="AB641" s="133"/>
      <c r="AC641" s="133"/>
      <c r="AD641" s="133"/>
      <c r="AE641" s="133"/>
      <c r="AF641" s="133"/>
      <c r="AG641" s="133"/>
      <c r="AH641" s="133"/>
      <c r="AI641" s="133"/>
      <c r="AJ641" s="133"/>
      <c r="AK641" s="133"/>
      <c r="AL641" s="133"/>
      <c r="AM641" s="133"/>
      <c r="AN641" s="133"/>
      <c r="AO641" s="133"/>
      <c r="AP641" s="133"/>
      <c r="AQ641" s="133"/>
      <c r="AR641" s="133"/>
      <c r="AS641" s="153">
        <v>0</v>
      </c>
      <c r="AT641" s="153">
        <v>0</v>
      </c>
      <c r="AU641" s="153">
        <v>0</v>
      </c>
      <c r="AV641" s="153">
        <v>0</v>
      </c>
      <c r="AW641" s="153">
        <v>0</v>
      </c>
      <c r="AX641" s="153">
        <v>0</v>
      </c>
      <c r="AY641" s="135"/>
      <c r="AZ641" s="135"/>
      <c r="BA641" s="135"/>
      <c r="BB641" s="135"/>
      <c r="BC641" s="135"/>
      <c r="BD641" s="135"/>
      <c r="BE641" s="135"/>
      <c r="BF641" s="135"/>
      <c r="BG641" s="135"/>
      <c r="BH641" s="135"/>
      <c r="BI641" s="2" t="s">
        <v>11</v>
      </c>
      <c r="BJ641" s="136"/>
      <c r="BK641" s="2">
        <v>0</v>
      </c>
      <c r="BL641" s="136" t="s">
        <v>113</v>
      </c>
      <c r="BM641" s="136">
        <v>45301</v>
      </c>
      <c r="BN641" s="2" t="s">
        <v>2410</v>
      </c>
      <c r="BO641" s="2"/>
      <c r="BP641" s="205"/>
      <c r="BQ641" s="137" t="s">
        <v>119</v>
      </c>
      <c r="BR641" s="138"/>
    </row>
    <row r="642" spans="1:70" ht="12.75" customHeight="1" x14ac:dyDescent="0.2">
      <c r="A642" s="2">
        <v>2131</v>
      </c>
      <c r="B642" s="2" t="s">
        <v>28</v>
      </c>
      <c r="C642" s="2" t="s">
        <v>57</v>
      </c>
      <c r="D642" s="2" t="s">
        <v>3361</v>
      </c>
      <c r="E642" s="2" t="s">
        <v>117</v>
      </c>
      <c r="F642" s="132">
        <f>1021*1.75</f>
        <v>1786.75</v>
      </c>
      <c r="G642" s="132">
        <v>2</v>
      </c>
      <c r="H642" s="132">
        <f>1021*1.75</f>
        <v>1786.75</v>
      </c>
      <c r="I642" s="132"/>
      <c r="J642" s="132">
        <f>272.555+1514.195</f>
        <v>1786.75</v>
      </c>
      <c r="K642" s="132">
        <f t="shared" si="70"/>
        <v>0</v>
      </c>
      <c r="L642" s="132">
        <f t="shared" si="66"/>
        <v>0</v>
      </c>
      <c r="M642" s="133"/>
      <c r="N642" s="133">
        <f t="shared" si="69"/>
        <v>0</v>
      </c>
      <c r="O642" s="134">
        <v>0</v>
      </c>
      <c r="P642" s="133"/>
      <c r="Q642" s="2" t="s">
        <v>3366</v>
      </c>
      <c r="R642" s="156">
        <f t="shared" si="67"/>
        <v>0</v>
      </c>
      <c r="S642" s="156">
        <f t="shared" si="68"/>
        <v>0</v>
      </c>
      <c r="T642" s="133"/>
      <c r="U642" s="133"/>
      <c r="V642" s="133"/>
      <c r="W642" s="133"/>
      <c r="X642" s="133"/>
      <c r="Y642" s="133"/>
      <c r="Z642" s="133"/>
      <c r="AA642" s="133"/>
      <c r="AB642" s="133"/>
      <c r="AC642" s="133"/>
      <c r="AD642" s="133"/>
      <c r="AE642" s="133"/>
      <c r="AF642" s="133"/>
      <c r="AG642" s="133"/>
      <c r="AH642" s="133"/>
      <c r="AI642" s="133"/>
      <c r="AJ642" s="133"/>
      <c r="AK642" s="133"/>
      <c r="AL642" s="133"/>
      <c r="AM642" s="133"/>
      <c r="AN642" s="133"/>
      <c r="AO642" s="133"/>
      <c r="AP642" s="133"/>
      <c r="AQ642" s="133"/>
      <c r="AR642" s="133"/>
      <c r="AS642" s="153">
        <v>0</v>
      </c>
      <c r="AT642" s="153">
        <v>0</v>
      </c>
      <c r="AU642" s="153">
        <v>0</v>
      </c>
      <c r="AV642" s="153">
        <v>0</v>
      </c>
      <c r="AW642" s="153">
        <v>0</v>
      </c>
      <c r="AX642" s="153">
        <v>0</v>
      </c>
      <c r="AY642" s="135"/>
      <c r="AZ642" s="135"/>
      <c r="BA642" s="135"/>
      <c r="BB642" s="135"/>
      <c r="BC642" s="135"/>
      <c r="BD642" s="135"/>
      <c r="BE642" s="135"/>
      <c r="BF642" s="135"/>
      <c r="BG642" s="135"/>
      <c r="BH642" s="135"/>
      <c r="BI642" s="2" t="s">
        <v>112</v>
      </c>
      <c r="BJ642" s="136">
        <v>45413</v>
      </c>
      <c r="BK642" s="2" t="s">
        <v>145</v>
      </c>
      <c r="BL642" s="136" t="s">
        <v>113</v>
      </c>
      <c r="BM642" s="136">
        <v>45301</v>
      </c>
      <c r="BN642" s="2" t="s">
        <v>2411</v>
      </c>
      <c r="BO642" s="2"/>
      <c r="BP642" s="205"/>
      <c r="BQ642" s="137" t="s">
        <v>134</v>
      </c>
      <c r="BR642" s="138"/>
    </row>
    <row r="643" spans="1:70" ht="12.75" customHeight="1" x14ac:dyDescent="0.2">
      <c r="A643" s="2">
        <v>2132</v>
      </c>
      <c r="B643" s="2" t="s">
        <v>28</v>
      </c>
      <c r="C643" s="2" t="s">
        <v>57</v>
      </c>
      <c r="D643" s="2" t="s">
        <v>3364</v>
      </c>
      <c r="E643" s="2" t="s">
        <v>87</v>
      </c>
      <c r="F643" s="132">
        <v>20000</v>
      </c>
      <c r="G643" s="132">
        <v>2</v>
      </c>
      <c r="H643" s="132">
        <v>44620.47</v>
      </c>
      <c r="I643" s="132">
        <v>44620.47</v>
      </c>
      <c r="J643" s="132">
        <v>44620.46</v>
      </c>
      <c r="K643" s="132">
        <f t="shared" si="70"/>
        <v>-24620.46</v>
      </c>
      <c r="L643" s="132">
        <f t="shared" si="66"/>
        <v>1.0000000002037268E-2</v>
      </c>
      <c r="M643" s="133">
        <v>969</v>
      </c>
      <c r="N643" s="133">
        <f t="shared" si="69"/>
        <v>1.0000000002037268E-2</v>
      </c>
      <c r="O643" s="134">
        <v>0</v>
      </c>
      <c r="P643" s="133"/>
      <c r="Q643" s="2" t="s">
        <v>3366</v>
      </c>
      <c r="R643" s="156">
        <f t="shared" si="67"/>
        <v>0</v>
      </c>
      <c r="S643" s="156">
        <f t="shared" si="68"/>
        <v>0</v>
      </c>
      <c r="T643" s="133"/>
      <c r="U643" s="133"/>
      <c r="V643" s="133"/>
      <c r="W643" s="133"/>
      <c r="X643" s="133"/>
      <c r="Y643" s="133"/>
      <c r="Z643" s="133"/>
      <c r="AA643" s="133"/>
      <c r="AB643" s="133"/>
      <c r="AC643" s="133"/>
      <c r="AD643" s="133"/>
      <c r="AE643" s="133"/>
      <c r="AF643" s="133"/>
      <c r="AG643" s="133"/>
      <c r="AH643" s="133"/>
      <c r="AI643" s="133"/>
      <c r="AJ643" s="133"/>
      <c r="AK643" s="133"/>
      <c r="AL643" s="133"/>
      <c r="AM643" s="133"/>
      <c r="AN643" s="133"/>
      <c r="AO643" s="133"/>
      <c r="AP643" s="133"/>
      <c r="AQ643" s="133"/>
      <c r="AR643" s="133"/>
      <c r="AS643" s="153">
        <v>0</v>
      </c>
      <c r="AT643" s="153">
        <v>0</v>
      </c>
      <c r="AU643" s="153">
        <v>0</v>
      </c>
      <c r="AV643" s="153">
        <v>0</v>
      </c>
      <c r="AW643" s="153">
        <v>0</v>
      </c>
      <c r="AX643" s="153">
        <v>0</v>
      </c>
      <c r="AY643" s="135"/>
      <c r="AZ643" s="135"/>
      <c r="BA643" s="135">
        <v>0</v>
      </c>
      <c r="BB643" s="140">
        <f>(H643/1.18-AT643-AW643-AZ643)*0.1-AU643-AX643-BA643</f>
        <v>3781.3957627118648</v>
      </c>
      <c r="BC643" s="135"/>
      <c r="BD643" s="135"/>
      <c r="BE643" s="135">
        <f>(H643/1.18-AT643-AW643-AZ643-BD643)*0.1-AU643-AX643-BA643-BB643</f>
        <v>0</v>
      </c>
      <c r="BF643" s="135"/>
      <c r="BG643" s="135"/>
      <c r="BH643" s="135"/>
      <c r="BI643" s="2" t="s">
        <v>11</v>
      </c>
      <c r="BJ643" s="136">
        <v>45488</v>
      </c>
      <c r="BK643" s="2" t="s">
        <v>109</v>
      </c>
      <c r="BL643" s="136" t="s">
        <v>113</v>
      </c>
      <c r="BM643" s="136">
        <v>45301</v>
      </c>
      <c r="BN643" s="2" t="s">
        <v>2412</v>
      </c>
      <c r="BO643" s="2"/>
      <c r="BP643" s="205"/>
      <c r="BQ643" s="137" t="s">
        <v>119</v>
      </c>
      <c r="BR643" s="138"/>
    </row>
    <row r="644" spans="1:70" ht="12.75" customHeight="1" x14ac:dyDescent="0.2">
      <c r="A644" s="2">
        <v>2133</v>
      </c>
      <c r="B644" s="2" t="s">
        <v>28</v>
      </c>
      <c r="C644" s="2" t="s">
        <v>29</v>
      </c>
      <c r="D644" s="2" t="s">
        <v>2373</v>
      </c>
      <c r="E644" s="2" t="s">
        <v>117</v>
      </c>
      <c r="F644" s="132">
        <f>349*1.75</f>
        <v>610.75</v>
      </c>
      <c r="G644" s="132">
        <v>2</v>
      </c>
      <c r="H644" s="132">
        <f>272*1.75</f>
        <v>476</v>
      </c>
      <c r="I644" s="132"/>
      <c r="J644" s="132">
        <v>476</v>
      </c>
      <c r="K644" s="132">
        <f t="shared" si="70"/>
        <v>134.75</v>
      </c>
      <c r="L644" s="132">
        <f t="shared" si="66"/>
        <v>0</v>
      </c>
      <c r="M644" s="133"/>
      <c r="N644" s="133">
        <f t="shared" si="69"/>
        <v>0</v>
      </c>
      <c r="O644" s="134">
        <v>0</v>
      </c>
      <c r="P644" s="133"/>
      <c r="Q644" s="2" t="s">
        <v>2330</v>
      </c>
      <c r="R644" s="156">
        <f t="shared" si="67"/>
        <v>0</v>
      </c>
      <c r="S644" s="156">
        <f t="shared" si="68"/>
        <v>0</v>
      </c>
      <c r="T644" s="133"/>
      <c r="U644" s="133"/>
      <c r="V644" s="133"/>
      <c r="W644" s="133"/>
      <c r="X644" s="133"/>
      <c r="Y644" s="133"/>
      <c r="Z644" s="133"/>
      <c r="AA644" s="133"/>
      <c r="AB644" s="133"/>
      <c r="AC644" s="133"/>
      <c r="AD644" s="133"/>
      <c r="AE644" s="133"/>
      <c r="AF644" s="133"/>
      <c r="AG644" s="133"/>
      <c r="AH644" s="133"/>
      <c r="AI644" s="133"/>
      <c r="AJ644" s="133"/>
      <c r="AK644" s="133"/>
      <c r="AL644" s="133"/>
      <c r="AM644" s="133"/>
      <c r="AN644" s="133"/>
      <c r="AO644" s="133"/>
      <c r="AP644" s="133"/>
      <c r="AQ644" s="133"/>
      <c r="AR644" s="133"/>
      <c r="AS644" s="153">
        <v>0</v>
      </c>
      <c r="AT644" s="153">
        <v>0</v>
      </c>
      <c r="AU644" s="153">
        <v>0</v>
      </c>
      <c r="AV644" s="153">
        <v>0</v>
      </c>
      <c r="AW644" s="153">
        <v>0</v>
      </c>
      <c r="AX644" s="153">
        <v>0</v>
      </c>
      <c r="AY644" s="135"/>
      <c r="AZ644" s="135"/>
      <c r="BA644" s="135"/>
      <c r="BB644" s="135"/>
      <c r="BC644" s="135"/>
      <c r="BD644" s="135"/>
      <c r="BE644" s="135"/>
      <c r="BF644" s="135"/>
      <c r="BG644" s="135"/>
      <c r="BH644" s="135"/>
      <c r="BI644" s="2" t="s">
        <v>112</v>
      </c>
      <c r="BJ644" s="136">
        <v>45475</v>
      </c>
      <c r="BK644" s="2" t="s">
        <v>145</v>
      </c>
      <c r="BL644" s="136" t="s">
        <v>113</v>
      </c>
      <c r="BM644" s="136">
        <v>45301</v>
      </c>
      <c r="BN644" s="2" t="s">
        <v>2413</v>
      </c>
      <c r="BO644" s="2"/>
      <c r="BP644" s="205"/>
      <c r="BQ644" s="137" t="s">
        <v>134</v>
      </c>
      <c r="BR644" s="138"/>
    </row>
    <row r="645" spans="1:70" ht="12.75" customHeight="1" x14ac:dyDescent="0.2">
      <c r="A645" s="2">
        <v>2134</v>
      </c>
      <c r="B645" s="2" t="s">
        <v>28</v>
      </c>
      <c r="C645" s="2" t="s">
        <v>29</v>
      </c>
      <c r="D645" s="2" t="s">
        <v>2351</v>
      </c>
      <c r="E645" s="2" t="s">
        <v>87</v>
      </c>
      <c r="F645" s="132">
        <v>20000</v>
      </c>
      <c r="G645" s="132">
        <v>2</v>
      </c>
      <c r="H645" s="132">
        <v>14677.97</v>
      </c>
      <c r="I645" s="132">
        <v>14677.97</v>
      </c>
      <c r="J645" s="132">
        <f>2239.01+12438.96</f>
        <v>14677.97</v>
      </c>
      <c r="K645" s="132">
        <f t="shared" si="70"/>
        <v>5322.0300000000007</v>
      </c>
      <c r="L645" s="132">
        <f t="shared" si="66"/>
        <v>0</v>
      </c>
      <c r="M645" s="133">
        <v>261</v>
      </c>
      <c r="N645" s="133">
        <f t="shared" si="69"/>
        <v>0</v>
      </c>
      <c r="O645" s="134">
        <v>0</v>
      </c>
      <c r="P645" s="133"/>
      <c r="Q645" s="2" t="s">
        <v>2330</v>
      </c>
      <c r="R645" s="156">
        <f t="shared" si="67"/>
        <v>0</v>
      </c>
      <c r="S645" s="156">
        <f t="shared" si="68"/>
        <v>0</v>
      </c>
      <c r="T645" s="133"/>
      <c r="U645" s="133"/>
      <c r="V645" s="133"/>
      <c r="W645" s="133"/>
      <c r="X645" s="133"/>
      <c r="Y645" s="133"/>
      <c r="Z645" s="133"/>
      <c r="AA645" s="133"/>
      <c r="AB645" s="133"/>
      <c r="AC645" s="133"/>
      <c r="AD645" s="133"/>
      <c r="AE645" s="133"/>
      <c r="AF645" s="133"/>
      <c r="AG645" s="133"/>
      <c r="AH645" s="133"/>
      <c r="AI645" s="133"/>
      <c r="AJ645" s="133"/>
      <c r="AK645" s="133"/>
      <c r="AL645" s="133"/>
      <c r="AM645" s="133"/>
      <c r="AN645" s="133"/>
      <c r="AO645" s="133"/>
      <c r="AP645" s="133"/>
      <c r="AQ645" s="133"/>
      <c r="AR645" s="133"/>
      <c r="AS645" s="153">
        <v>0</v>
      </c>
      <c r="AT645" s="153">
        <v>0</v>
      </c>
      <c r="AU645" s="153">
        <v>0</v>
      </c>
      <c r="AV645" s="153">
        <v>0</v>
      </c>
      <c r="AW645" s="153">
        <v>0</v>
      </c>
      <c r="AX645" s="153">
        <v>0</v>
      </c>
      <c r="AY645" s="135"/>
      <c r="AZ645" s="135"/>
      <c r="BA645" s="135">
        <v>0</v>
      </c>
      <c r="BB645" s="140">
        <f>(H645/1.18-AT645-AW645-AZ645)*0.1-AU645-AX645-BA645</f>
        <v>1243.8957627118643</v>
      </c>
      <c r="BC645" s="135"/>
      <c r="BD645" s="135"/>
      <c r="BE645" s="135">
        <f>(H645/1.18-AT645-AW645-AZ645-BD645)*0.1-AU645-AX645-BA645-BB645</f>
        <v>0</v>
      </c>
      <c r="BF645" s="135"/>
      <c r="BG645" s="135"/>
      <c r="BH645" s="135"/>
      <c r="BI645" s="2" t="s">
        <v>11</v>
      </c>
      <c r="BJ645" s="136">
        <v>45531</v>
      </c>
      <c r="BK645" s="2" t="s">
        <v>109</v>
      </c>
      <c r="BL645" s="136" t="s">
        <v>113</v>
      </c>
      <c r="BM645" s="136">
        <v>45301</v>
      </c>
      <c r="BN645" s="2" t="s">
        <v>2414</v>
      </c>
      <c r="BO645" s="2"/>
      <c r="BP645" s="205"/>
      <c r="BQ645" s="137" t="s">
        <v>119</v>
      </c>
      <c r="BR645" s="138"/>
    </row>
    <row r="646" spans="1:70" ht="12.75" customHeight="1" x14ac:dyDescent="0.2">
      <c r="A646" s="2">
        <v>2135</v>
      </c>
      <c r="B646" s="2" t="s">
        <v>28</v>
      </c>
      <c r="C646" s="2" t="s">
        <v>57</v>
      </c>
      <c r="D646" s="2" t="s">
        <v>3362</v>
      </c>
      <c r="E646" s="2" t="s">
        <v>117</v>
      </c>
      <c r="F646" s="132">
        <v>0</v>
      </c>
      <c r="G646" s="132">
        <v>2</v>
      </c>
      <c r="H646" s="132"/>
      <c r="I646" s="132"/>
      <c r="J646" s="132"/>
      <c r="K646" s="132">
        <f t="shared" si="70"/>
        <v>0</v>
      </c>
      <c r="L646" s="132">
        <f t="shared" si="66"/>
        <v>0</v>
      </c>
      <c r="M646" s="133"/>
      <c r="N646" s="133">
        <f t="shared" si="69"/>
        <v>0</v>
      </c>
      <c r="O646" s="134">
        <v>2</v>
      </c>
      <c r="P646" s="133"/>
      <c r="Q646" s="2" t="s">
        <v>3363</v>
      </c>
      <c r="R646" s="156">
        <f t="shared" si="67"/>
        <v>0</v>
      </c>
      <c r="S646" s="156">
        <f t="shared" si="68"/>
        <v>0</v>
      </c>
      <c r="T646" s="133"/>
      <c r="U646" s="133"/>
      <c r="V646" s="133"/>
      <c r="W646" s="133"/>
      <c r="X646" s="133"/>
      <c r="Y646" s="133"/>
      <c r="Z646" s="133"/>
      <c r="AA646" s="133"/>
      <c r="AB646" s="133"/>
      <c r="AC646" s="133"/>
      <c r="AD646" s="133"/>
      <c r="AE646" s="133"/>
      <c r="AF646" s="133"/>
      <c r="AG646" s="133"/>
      <c r="AH646" s="133"/>
      <c r="AI646" s="133"/>
      <c r="AJ646" s="133"/>
      <c r="AK646" s="133"/>
      <c r="AL646" s="133"/>
      <c r="AM646" s="133"/>
      <c r="AN646" s="133"/>
      <c r="AO646" s="133"/>
      <c r="AP646" s="133"/>
      <c r="AQ646" s="133"/>
      <c r="AR646" s="133"/>
      <c r="AS646" s="153">
        <v>0</v>
      </c>
      <c r="AT646" s="153">
        <v>0</v>
      </c>
      <c r="AU646" s="153">
        <v>0</v>
      </c>
      <c r="AV646" s="153">
        <v>0</v>
      </c>
      <c r="AW646" s="153">
        <v>0</v>
      </c>
      <c r="AX646" s="153">
        <v>0</v>
      </c>
      <c r="AY646" s="135"/>
      <c r="AZ646" s="135"/>
      <c r="BA646" s="135"/>
      <c r="BB646" s="135"/>
      <c r="BC646" s="135"/>
      <c r="BD646" s="135"/>
      <c r="BE646" s="135"/>
      <c r="BF646" s="135"/>
      <c r="BG646" s="135"/>
      <c r="BH646" s="135"/>
      <c r="BI646" s="2" t="s">
        <v>112</v>
      </c>
      <c r="BJ646" s="136"/>
      <c r="BK646" s="2">
        <v>0</v>
      </c>
      <c r="BL646" s="136" t="s">
        <v>113</v>
      </c>
      <c r="BM646" s="136">
        <v>45301</v>
      </c>
      <c r="BN646" s="2" t="s">
        <v>2415</v>
      </c>
      <c r="BO646" s="2"/>
      <c r="BP646" s="205"/>
      <c r="BQ646" s="137" t="s">
        <v>134</v>
      </c>
      <c r="BR646" s="138"/>
    </row>
    <row r="647" spans="1:70" ht="12.75" customHeight="1" x14ac:dyDescent="0.2">
      <c r="A647" s="2">
        <v>2136</v>
      </c>
      <c r="B647" s="2" t="s">
        <v>28</v>
      </c>
      <c r="C647" s="2" t="s">
        <v>57</v>
      </c>
      <c r="D647" s="2" t="s">
        <v>3365</v>
      </c>
      <c r="E647" s="2" t="s">
        <v>87</v>
      </c>
      <c r="F647" s="132">
        <v>20000</v>
      </c>
      <c r="G647" s="132">
        <v>2</v>
      </c>
      <c r="H647" s="132">
        <f>R647</f>
        <v>0</v>
      </c>
      <c r="I647" s="132"/>
      <c r="J647" s="132">
        <f>S647</f>
        <v>0</v>
      </c>
      <c r="K647" s="132">
        <f t="shared" si="70"/>
        <v>20000</v>
      </c>
      <c r="L647" s="132">
        <f t="shared" si="66"/>
        <v>0</v>
      </c>
      <c r="M647" s="133"/>
      <c r="N647" s="133">
        <f t="shared" si="69"/>
        <v>20000</v>
      </c>
      <c r="O647" s="134">
        <v>1</v>
      </c>
      <c r="P647" s="133"/>
      <c r="Q647" s="2" t="s">
        <v>3363</v>
      </c>
      <c r="R647" s="156">
        <f t="shared" si="67"/>
        <v>0</v>
      </c>
      <c r="S647" s="156">
        <f t="shared" si="68"/>
        <v>0</v>
      </c>
      <c r="T647" s="133"/>
      <c r="U647" s="133"/>
      <c r="V647" s="133"/>
      <c r="W647" s="133"/>
      <c r="X647" s="133"/>
      <c r="Y647" s="133"/>
      <c r="Z647" s="133"/>
      <c r="AA647" s="133"/>
      <c r="AB647" s="133"/>
      <c r="AC647" s="133"/>
      <c r="AD647" s="133"/>
      <c r="AE647" s="133"/>
      <c r="AF647" s="133"/>
      <c r="AG647" s="133"/>
      <c r="AH647" s="133"/>
      <c r="AI647" s="133"/>
      <c r="AJ647" s="133"/>
      <c r="AK647" s="133"/>
      <c r="AL647" s="133"/>
      <c r="AM647" s="133"/>
      <c r="AN647" s="133"/>
      <c r="AO647" s="133"/>
      <c r="AP647" s="133"/>
      <c r="AQ647" s="133"/>
      <c r="AR647" s="133"/>
      <c r="AS647" s="153">
        <v>0</v>
      </c>
      <c r="AT647" s="153">
        <v>0</v>
      </c>
      <c r="AU647" s="153">
        <v>0</v>
      </c>
      <c r="AV647" s="153">
        <v>0</v>
      </c>
      <c r="AW647" s="153">
        <v>0</v>
      </c>
      <c r="AX647" s="153">
        <v>0</v>
      </c>
      <c r="AY647" s="135"/>
      <c r="AZ647" s="135"/>
      <c r="BA647" s="135"/>
      <c r="BB647" s="135"/>
      <c r="BC647" s="135"/>
      <c r="BD647" s="135"/>
      <c r="BE647" s="135"/>
      <c r="BF647" s="135"/>
      <c r="BG647" s="135"/>
      <c r="BH647" s="135"/>
      <c r="BI647" s="2" t="s">
        <v>11</v>
      </c>
      <c r="BJ647" s="136"/>
      <c r="BK647" s="2">
        <v>0</v>
      </c>
      <c r="BL647" s="136" t="s">
        <v>113</v>
      </c>
      <c r="BM647" s="136">
        <v>45301</v>
      </c>
      <c r="BN647" s="2" t="s">
        <v>2416</v>
      </c>
      <c r="BO647" s="2"/>
      <c r="BP647" s="205"/>
      <c r="BQ647" s="137" t="s">
        <v>119</v>
      </c>
      <c r="BR647" s="138"/>
    </row>
    <row r="648" spans="1:70" ht="12.75" customHeight="1" x14ac:dyDescent="0.2">
      <c r="A648" s="2">
        <v>2137</v>
      </c>
      <c r="B648" s="2" t="s">
        <v>28</v>
      </c>
      <c r="C648" s="2" t="s">
        <v>29</v>
      </c>
      <c r="D648" s="2" t="s">
        <v>2374</v>
      </c>
      <c r="E648" s="2" t="s">
        <v>117</v>
      </c>
      <c r="F648" s="132">
        <f>244*1.75</f>
        <v>427</v>
      </c>
      <c r="G648" s="132">
        <v>2</v>
      </c>
      <c r="H648" s="132">
        <f>244*1.75</f>
        <v>427</v>
      </c>
      <c r="I648" s="132"/>
      <c r="J648" s="132">
        <v>427</v>
      </c>
      <c r="K648" s="132">
        <f t="shared" si="70"/>
        <v>0</v>
      </c>
      <c r="L648" s="132">
        <f t="shared" si="66"/>
        <v>0</v>
      </c>
      <c r="M648" s="133"/>
      <c r="N648" s="133">
        <f t="shared" si="69"/>
        <v>0</v>
      </c>
      <c r="O648" s="134">
        <v>0</v>
      </c>
      <c r="P648" s="133"/>
      <c r="Q648" s="2" t="s">
        <v>2331</v>
      </c>
      <c r="R648" s="156">
        <f t="shared" si="67"/>
        <v>0</v>
      </c>
      <c r="S648" s="156">
        <f t="shared" si="68"/>
        <v>0</v>
      </c>
      <c r="T648" s="133"/>
      <c r="U648" s="133"/>
      <c r="V648" s="133"/>
      <c r="W648" s="133"/>
      <c r="X648" s="133"/>
      <c r="Y648" s="133"/>
      <c r="Z648" s="133"/>
      <c r="AA648" s="133"/>
      <c r="AB648" s="133"/>
      <c r="AC648" s="133"/>
      <c r="AD648" s="133"/>
      <c r="AE648" s="133"/>
      <c r="AF648" s="133"/>
      <c r="AG648" s="133"/>
      <c r="AH648" s="133"/>
      <c r="AI648" s="133"/>
      <c r="AJ648" s="133"/>
      <c r="AK648" s="133"/>
      <c r="AL648" s="133"/>
      <c r="AM648" s="133"/>
      <c r="AN648" s="133"/>
      <c r="AO648" s="133"/>
      <c r="AP648" s="133"/>
      <c r="AQ648" s="133"/>
      <c r="AR648" s="133"/>
      <c r="AS648" s="153">
        <v>0</v>
      </c>
      <c r="AT648" s="153">
        <v>0</v>
      </c>
      <c r="AU648" s="153">
        <v>0</v>
      </c>
      <c r="AV648" s="153">
        <v>0</v>
      </c>
      <c r="AW648" s="153">
        <v>0</v>
      </c>
      <c r="AX648" s="153">
        <v>0</v>
      </c>
      <c r="AY648" s="135"/>
      <c r="AZ648" s="135"/>
      <c r="BA648" s="135"/>
      <c r="BB648" s="135"/>
      <c r="BC648" s="135"/>
      <c r="BD648" s="135"/>
      <c r="BE648" s="135"/>
      <c r="BF648" s="135"/>
      <c r="BG648" s="135"/>
      <c r="BH648" s="135"/>
      <c r="BI648" s="2" t="s">
        <v>112</v>
      </c>
      <c r="BJ648" s="136">
        <v>45475</v>
      </c>
      <c r="BK648" s="2" t="s">
        <v>145</v>
      </c>
      <c r="BL648" s="136" t="s">
        <v>113</v>
      </c>
      <c r="BM648" s="136">
        <v>45301</v>
      </c>
      <c r="BN648" s="2" t="s">
        <v>2417</v>
      </c>
      <c r="BO648" s="2"/>
      <c r="BP648" s="205"/>
      <c r="BQ648" s="137" t="s">
        <v>134</v>
      </c>
      <c r="BR648" s="138"/>
    </row>
    <row r="649" spans="1:70" ht="12.75" customHeight="1" x14ac:dyDescent="0.2">
      <c r="A649" s="2">
        <v>2138</v>
      </c>
      <c r="B649" s="2" t="s">
        <v>28</v>
      </c>
      <c r="C649" s="2" t="s">
        <v>29</v>
      </c>
      <c r="D649" s="2" t="s">
        <v>2352</v>
      </c>
      <c r="E649" s="2" t="s">
        <v>87</v>
      </c>
      <c r="F649" s="132">
        <v>20000</v>
      </c>
      <c r="G649" s="132">
        <v>2</v>
      </c>
      <c r="H649" s="132">
        <v>23485.83</v>
      </c>
      <c r="I649" s="132">
        <v>23485.83</v>
      </c>
      <c r="J649" s="132">
        <f>3582.58+19903.25</f>
        <v>23485.83</v>
      </c>
      <c r="K649" s="132">
        <f t="shared" si="70"/>
        <v>-3485.8300000000017</v>
      </c>
      <c r="L649" s="132">
        <f t="shared" si="66"/>
        <v>0</v>
      </c>
      <c r="M649" s="133">
        <v>245</v>
      </c>
      <c r="N649" s="133">
        <f t="shared" si="69"/>
        <v>0</v>
      </c>
      <c r="O649" s="134">
        <v>0</v>
      </c>
      <c r="P649" s="133"/>
      <c r="Q649" s="2" t="s">
        <v>2331</v>
      </c>
      <c r="R649" s="156">
        <f t="shared" si="67"/>
        <v>0</v>
      </c>
      <c r="S649" s="156">
        <f t="shared" si="68"/>
        <v>0</v>
      </c>
      <c r="T649" s="133"/>
      <c r="U649" s="133"/>
      <c r="V649" s="133"/>
      <c r="W649" s="133"/>
      <c r="X649" s="133"/>
      <c r="Y649" s="133"/>
      <c r="Z649" s="133"/>
      <c r="AA649" s="133"/>
      <c r="AB649" s="133"/>
      <c r="AC649" s="133"/>
      <c r="AD649" s="133"/>
      <c r="AE649" s="133"/>
      <c r="AF649" s="133"/>
      <c r="AG649" s="133"/>
      <c r="AH649" s="133"/>
      <c r="AI649" s="133"/>
      <c r="AJ649" s="133"/>
      <c r="AK649" s="133"/>
      <c r="AL649" s="133"/>
      <c r="AM649" s="133"/>
      <c r="AN649" s="133"/>
      <c r="AO649" s="133"/>
      <c r="AP649" s="133"/>
      <c r="AQ649" s="133"/>
      <c r="AR649" s="133"/>
      <c r="AS649" s="153">
        <v>0</v>
      </c>
      <c r="AT649" s="153">
        <v>0</v>
      </c>
      <c r="AU649" s="153">
        <v>0</v>
      </c>
      <c r="AV649" s="153">
        <v>0</v>
      </c>
      <c r="AW649" s="153">
        <v>0</v>
      </c>
      <c r="AX649" s="153">
        <v>0</v>
      </c>
      <c r="AY649" s="135"/>
      <c r="AZ649" s="135"/>
      <c r="BA649" s="135">
        <v>0</v>
      </c>
      <c r="BB649" s="140">
        <f>(H649/1.18-AT649-AW649-AZ649)*0.1-AU649-AX649-BA649</f>
        <v>1990.3245762711867</v>
      </c>
      <c r="BC649" s="135"/>
      <c r="BD649" s="135"/>
      <c r="BE649" s="135">
        <f>(H649/1.18-AT649-AW649-AZ649-BD649)*0.1-AU649-AX649-BA649-BB649</f>
        <v>0</v>
      </c>
      <c r="BF649" s="135"/>
      <c r="BG649" s="135"/>
      <c r="BH649" s="135"/>
      <c r="BI649" s="2" t="s">
        <v>11</v>
      </c>
      <c r="BJ649" s="136">
        <v>45531</v>
      </c>
      <c r="BK649" s="2" t="s">
        <v>109</v>
      </c>
      <c r="BL649" s="136" t="s">
        <v>113</v>
      </c>
      <c r="BM649" s="136">
        <v>45301</v>
      </c>
      <c r="BN649" s="2" t="s">
        <v>2418</v>
      </c>
      <c r="BO649" s="2"/>
      <c r="BP649" s="205"/>
      <c r="BQ649" s="137" t="s">
        <v>119</v>
      </c>
      <c r="BR649" s="138"/>
    </row>
    <row r="650" spans="1:70" ht="12.75" customHeight="1" x14ac:dyDescent="0.2">
      <c r="A650" s="2">
        <v>2139</v>
      </c>
      <c r="B650" s="2" t="s">
        <v>28</v>
      </c>
      <c r="C650" s="2" t="s">
        <v>57</v>
      </c>
      <c r="D650" s="2" t="s">
        <v>2375</v>
      </c>
      <c r="E650" s="2" t="s">
        <v>117</v>
      </c>
      <c r="F650" s="132">
        <v>0</v>
      </c>
      <c r="G650" s="132">
        <v>2</v>
      </c>
      <c r="H650" s="132">
        <f>395*1.75</f>
        <v>691.25</v>
      </c>
      <c r="I650" s="132"/>
      <c r="J650" s="132">
        <v>691.25</v>
      </c>
      <c r="K650" s="132">
        <f t="shared" si="70"/>
        <v>-691.25</v>
      </c>
      <c r="L650" s="132">
        <f t="shared" si="66"/>
        <v>0</v>
      </c>
      <c r="M650" s="133"/>
      <c r="N650" s="133">
        <f t="shared" si="69"/>
        <v>0</v>
      </c>
      <c r="O650" s="134">
        <v>0</v>
      </c>
      <c r="P650" s="133"/>
      <c r="Q650" s="2" t="s">
        <v>2332</v>
      </c>
      <c r="R650" s="156">
        <f t="shared" si="67"/>
        <v>0</v>
      </c>
      <c r="S650" s="156">
        <f t="shared" si="68"/>
        <v>0</v>
      </c>
      <c r="T650" s="133"/>
      <c r="U650" s="133"/>
      <c r="V650" s="133"/>
      <c r="W650" s="133"/>
      <c r="X650" s="133"/>
      <c r="Y650" s="133"/>
      <c r="Z650" s="133"/>
      <c r="AA650" s="133"/>
      <c r="AB650" s="133"/>
      <c r="AC650" s="133"/>
      <c r="AD650" s="133"/>
      <c r="AE650" s="133"/>
      <c r="AF650" s="133"/>
      <c r="AG650" s="133"/>
      <c r="AH650" s="133"/>
      <c r="AI650" s="133"/>
      <c r="AJ650" s="133"/>
      <c r="AK650" s="133"/>
      <c r="AL650" s="133"/>
      <c r="AM650" s="133"/>
      <c r="AN650" s="133"/>
      <c r="AO650" s="133"/>
      <c r="AP650" s="133"/>
      <c r="AQ650" s="133"/>
      <c r="AR650" s="133"/>
      <c r="AS650" s="153">
        <v>0</v>
      </c>
      <c r="AT650" s="153">
        <v>0</v>
      </c>
      <c r="AU650" s="153">
        <v>0</v>
      </c>
      <c r="AV650" s="153">
        <v>0</v>
      </c>
      <c r="AW650" s="153">
        <v>0</v>
      </c>
      <c r="AX650" s="153">
        <v>0</v>
      </c>
      <c r="AY650" s="135"/>
      <c r="AZ650" s="135"/>
      <c r="BA650" s="135"/>
      <c r="BB650" s="135"/>
      <c r="BC650" s="135"/>
      <c r="BD650" s="135"/>
      <c r="BE650" s="135"/>
      <c r="BF650" s="135"/>
      <c r="BG650" s="135"/>
      <c r="BH650" s="135"/>
      <c r="BI650" s="2" t="s">
        <v>112</v>
      </c>
      <c r="BJ650" s="136">
        <v>45524</v>
      </c>
      <c r="BK650" s="2" t="s">
        <v>145</v>
      </c>
      <c r="BL650" s="136" t="s">
        <v>113</v>
      </c>
      <c r="BM650" s="136">
        <v>45301</v>
      </c>
      <c r="BN650" s="2" t="s">
        <v>2419</v>
      </c>
      <c r="BO650" s="2"/>
      <c r="BP650" s="205"/>
      <c r="BQ650" s="137" t="s">
        <v>134</v>
      </c>
      <c r="BR650" s="138"/>
    </row>
    <row r="651" spans="1:70" ht="12.75" customHeight="1" x14ac:dyDescent="0.2">
      <c r="A651" s="2">
        <v>2140</v>
      </c>
      <c r="B651" s="2" t="s">
        <v>28</v>
      </c>
      <c r="C651" s="2" t="s">
        <v>57</v>
      </c>
      <c r="D651" s="2" t="s">
        <v>2353</v>
      </c>
      <c r="E651" s="2" t="s">
        <v>87</v>
      </c>
      <c r="F651" s="132">
        <v>15000</v>
      </c>
      <c r="G651" s="132">
        <v>2</v>
      </c>
      <c r="H651" s="132">
        <v>41972.44</v>
      </c>
      <c r="I651" s="132">
        <v>41972.44</v>
      </c>
      <c r="J651" s="132">
        <v>41972.44</v>
      </c>
      <c r="K651" s="132">
        <f t="shared" si="70"/>
        <v>-26972.440000000002</v>
      </c>
      <c r="L651" s="132">
        <f t="shared" ref="L651:L714" si="71">H651-J651</f>
        <v>0</v>
      </c>
      <c r="M651" s="133">
        <v>397</v>
      </c>
      <c r="N651" s="133">
        <f t="shared" si="69"/>
        <v>0</v>
      </c>
      <c r="O651" s="134">
        <v>0</v>
      </c>
      <c r="P651" s="133"/>
      <c r="Q651" s="2" t="s">
        <v>2332</v>
      </c>
      <c r="R651" s="156">
        <f t="shared" ref="R651:R714" si="72">T651+V651+X651+Z651+AB651+AD651+AF651+AH651+AJ651+AL651+AN651+AP651</f>
        <v>0</v>
      </c>
      <c r="S651" s="156">
        <f t="shared" ref="S651:S714" si="73">U651+W651+Y651+AA651+AC651+AE651+AG651+AI651+AK651+AM651+AO651+AQ651</f>
        <v>0</v>
      </c>
      <c r="T651" s="133"/>
      <c r="U651" s="133"/>
      <c r="V651" s="133"/>
      <c r="W651" s="133"/>
      <c r="X651" s="133"/>
      <c r="Y651" s="133"/>
      <c r="Z651" s="133"/>
      <c r="AA651" s="133"/>
      <c r="AB651" s="133"/>
      <c r="AC651" s="133"/>
      <c r="AD651" s="133"/>
      <c r="AE651" s="133"/>
      <c r="AF651" s="133"/>
      <c r="AG651" s="133"/>
      <c r="AH651" s="133"/>
      <c r="AI651" s="133"/>
      <c r="AJ651" s="133"/>
      <c r="AK651" s="133"/>
      <c r="AL651" s="133"/>
      <c r="AM651" s="133"/>
      <c r="AN651" s="133"/>
      <c r="AO651" s="133"/>
      <c r="AP651" s="133"/>
      <c r="AQ651" s="133"/>
      <c r="AR651" s="133"/>
      <c r="AS651" s="153">
        <v>0</v>
      </c>
      <c r="AT651" s="153">
        <v>0</v>
      </c>
      <c r="AU651" s="153">
        <v>0</v>
      </c>
      <c r="AV651" s="153">
        <v>0</v>
      </c>
      <c r="AW651" s="153">
        <v>0</v>
      </c>
      <c r="AX651" s="153">
        <v>0</v>
      </c>
      <c r="AY651" s="135"/>
      <c r="AZ651" s="135"/>
      <c r="BA651" s="135">
        <v>0</v>
      </c>
      <c r="BB651" s="140">
        <f>(H651/1.18-AT651-AW651-AZ651)*0.1-AU651-AX651-BA651</f>
        <v>3556.9864406779666</v>
      </c>
      <c r="BC651" s="135"/>
      <c r="BD651" s="135"/>
      <c r="BE651" s="135">
        <f>(H651/1.18-AT651-AW651-AZ651-BD651)*0.1-AU651-AX651-BA651-BB651</f>
        <v>0</v>
      </c>
      <c r="BF651" s="135"/>
      <c r="BG651" s="135"/>
      <c r="BH651" s="135"/>
      <c r="BI651" s="2" t="s">
        <v>11</v>
      </c>
      <c r="BJ651" s="136">
        <v>45594</v>
      </c>
      <c r="BK651" s="2" t="s">
        <v>109</v>
      </c>
      <c r="BL651" s="136" t="s">
        <v>113</v>
      </c>
      <c r="BM651" s="136">
        <v>45301</v>
      </c>
      <c r="BN651" s="2" t="s">
        <v>2420</v>
      </c>
      <c r="BO651" s="2"/>
      <c r="BP651" s="205"/>
      <c r="BQ651" s="137" t="s">
        <v>119</v>
      </c>
      <c r="BR651" s="138"/>
    </row>
    <row r="652" spans="1:70" ht="12.75" customHeight="1" x14ac:dyDescent="0.2">
      <c r="A652" s="2">
        <v>2141</v>
      </c>
      <c r="B652" s="2" t="s">
        <v>28</v>
      </c>
      <c r="C652" s="2" t="s">
        <v>29</v>
      </c>
      <c r="D652" s="2" t="s">
        <v>2376</v>
      </c>
      <c r="E652" s="2" t="s">
        <v>117</v>
      </c>
      <c r="F652" s="132">
        <f>820*1.75</f>
        <v>1435</v>
      </c>
      <c r="G652" s="132">
        <v>2</v>
      </c>
      <c r="H652" s="132">
        <f>820*1.75</f>
        <v>1435</v>
      </c>
      <c r="I652" s="132"/>
      <c r="J652" s="132">
        <f>218.9+1216.1</f>
        <v>1435</v>
      </c>
      <c r="K652" s="132">
        <f t="shared" si="70"/>
        <v>0</v>
      </c>
      <c r="L652" s="132">
        <f t="shared" si="71"/>
        <v>0</v>
      </c>
      <c r="M652" s="133"/>
      <c r="N652" s="133">
        <f t="shared" si="69"/>
        <v>0</v>
      </c>
      <c r="O652" s="134">
        <v>0</v>
      </c>
      <c r="P652" s="133"/>
      <c r="Q652" s="2" t="s">
        <v>2333</v>
      </c>
      <c r="R652" s="156">
        <f t="shared" si="72"/>
        <v>0</v>
      </c>
      <c r="S652" s="156">
        <f t="shared" si="73"/>
        <v>0</v>
      </c>
      <c r="T652" s="133"/>
      <c r="U652" s="133"/>
      <c r="V652" s="133"/>
      <c r="W652" s="133"/>
      <c r="X652" s="133"/>
      <c r="Y652" s="133"/>
      <c r="Z652" s="133"/>
      <c r="AA652" s="133"/>
      <c r="AB652" s="133"/>
      <c r="AC652" s="133"/>
      <c r="AD652" s="133"/>
      <c r="AE652" s="133"/>
      <c r="AF652" s="133"/>
      <c r="AG652" s="133"/>
      <c r="AH652" s="133"/>
      <c r="AI652" s="133"/>
      <c r="AJ652" s="133"/>
      <c r="AK652" s="133"/>
      <c r="AL652" s="133"/>
      <c r="AM652" s="133"/>
      <c r="AN652" s="133"/>
      <c r="AO652" s="133"/>
      <c r="AP652" s="133"/>
      <c r="AQ652" s="133"/>
      <c r="AR652" s="133"/>
      <c r="AS652" s="153">
        <v>0</v>
      </c>
      <c r="AT652" s="153">
        <v>0</v>
      </c>
      <c r="AU652" s="153">
        <v>0</v>
      </c>
      <c r="AV652" s="153">
        <v>0</v>
      </c>
      <c r="AW652" s="153">
        <v>0</v>
      </c>
      <c r="AX652" s="153">
        <v>0</v>
      </c>
      <c r="AY652" s="135"/>
      <c r="AZ652" s="135"/>
      <c r="BA652" s="135"/>
      <c r="BB652" s="135"/>
      <c r="BC652" s="135"/>
      <c r="BD652" s="135"/>
      <c r="BE652" s="135"/>
      <c r="BF652" s="135"/>
      <c r="BG652" s="135"/>
      <c r="BH652" s="135"/>
      <c r="BI652" s="2" t="s">
        <v>112</v>
      </c>
      <c r="BJ652" s="136">
        <v>45413</v>
      </c>
      <c r="BK652" s="2" t="s">
        <v>145</v>
      </c>
      <c r="BL652" s="136" t="s">
        <v>113</v>
      </c>
      <c r="BM652" s="136">
        <v>45301</v>
      </c>
      <c r="BN652" s="2" t="s">
        <v>2421</v>
      </c>
      <c r="BO652" s="2"/>
      <c r="BP652" s="205"/>
      <c r="BQ652" s="137" t="s">
        <v>134</v>
      </c>
      <c r="BR652" s="138"/>
    </row>
    <row r="653" spans="1:70" ht="12.75" customHeight="1" x14ac:dyDescent="0.2">
      <c r="A653" s="2">
        <v>2142</v>
      </c>
      <c r="B653" s="2" t="s">
        <v>28</v>
      </c>
      <c r="C653" s="2" t="s">
        <v>29</v>
      </c>
      <c r="D653" s="2" t="s">
        <v>2354</v>
      </c>
      <c r="E653" s="2" t="s">
        <v>87</v>
      </c>
      <c r="F653" s="132">
        <v>80000</v>
      </c>
      <c r="G653" s="132">
        <v>2</v>
      </c>
      <c r="H653" s="132">
        <v>68824.58</v>
      </c>
      <c r="I653" s="132">
        <v>68824.58</v>
      </c>
      <c r="J653" s="132">
        <v>68824.58</v>
      </c>
      <c r="K653" s="132">
        <f t="shared" si="70"/>
        <v>11175.419999999998</v>
      </c>
      <c r="L653" s="132">
        <f t="shared" si="71"/>
        <v>0</v>
      </c>
      <c r="M653" s="133">
        <v>855</v>
      </c>
      <c r="N653" s="133">
        <f t="shared" si="69"/>
        <v>0</v>
      </c>
      <c r="O653" s="134">
        <v>0</v>
      </c>
      <c r="P653" s="133"/>
      <c r="Q653" s="2" t="s">
        <v>2333</v>
      </c>
      <c r="R653" s="156">
        <f t="shared" si="72"/>
        <v>0</v>
      </c>
      <c r="S653" s="156">
        <f t="shared" si="73"/>
        <v>0</v>
      </c>
      <c r="T653" s="133"/>
      <c r="U653" s="133"/>
      <c r="V653" s="133"/>
      <c r="W653" s="133"/>
      <c r="X653" s="133"/>
      <c r="Y653" s="133"/>
      <c r="Z653" s="133"/>
      <c r="AA653" s="133"/>
      <c r="AB653" s="133"/>
      <c r="AC653" s="133"/>
      <c r="AD653" s="133"/>
      <c r="AE653" s="133"/>
      <c r="AF653" s="133"/>
      <c r="AG653" s="133"/>
      <c r="AH653" s="133"/>
      <c r="AI653" s="133"/>
      <c r="AJ653" s="133"/>
      <c r="AK653" s="133"/>
      <c r="AL653" s="133"/>
      <c r="AM653" s="133"/>
      <c r="AN653" s="133"/>
      <c r="AO653" s="133"/>
      <c r="AP653" s="133"/>
      <c r="AQ653" s="133"/>
      <c r="AR653" s="133"/>
      <c r="AS653" s="153">
        <v>0</v>
      </c>
      <c r="AT653" s="153">
        <v>0</v>
      </c>
      <c r="AU653" s="153">
        <v>0</v>
      </c>
      <c r="AV653" s="153">
        <v>0</v>
      </c>
      <c r="AW653" s="153">
        <v>0</v>
      </c>
      <c r="AX653" s="153">
        <v>0</v>
      </c>
      <c r="AY653" s="135"/>
      <c r="AZ653" s="135"/>
      <c r="BA653" s="135">
        <v>0</v>
      </c>
      <c r="BB653" s="140">
        <f>(H653/1.18-AT653-AW653-AZ653)*0.1-AU653-AX653-BA653</f>
        <v>5832.5915254237298</v>
      </c>
      <c r="BC653" s="135"/>
      <c r="BD653" s="135"/>
      <c r="BE653" s="135">
        <f>(H653/1.18-AT653-AW653-AZ653-BD653)*0.1-AU653-AX653-BA653-BB653</f>
        <v>0</v>
      </c>
      <c r="BF653" s="135"/>
      <c r="BG653" s="135"/>
      <c r="BH653" s="135"/>
      <c r="BI653" s="2" t="s">
        <v>11</v>
      </c>
      <c r="BJ653" s="136">
        <v>45488</v>
      </c>
      <c r="BK653" s="2" t="s">
        <v>109</v>
      </c>
      <c r="BL653" s="136" t="s">
        <v>113</v>
      </c>
      <c r="BM653" s="136">
        <v>45301</v>
      </c>
      <c r="BN653" s="2" t="s">
        <v>2422</v>
      </c>
      <c r="BO653" s="2"/>
      <c r="BP653" s="205"/>
      <c r="BQ653" s="137" t="s">
        <v>119</v>
      </c>
      <c r="BR653" s="138"/>
    </row>
    <row r="654" spans="1:70" ht="12.75" customHeight="1" x14ac:dyDescent="0.2">
      <c r="A654" s="2">
        <v>2143</v>
      </c>
      <c r="B654" s="2" t="s">
        <v>28</v>
      </c>
      <c r="C654" s="2" t="s">
        <v>29</v>
      </c>
      <c r="D654" s="2" t="s">
        <v>2377</v>
      </c>
      <c r="E654" s="2" t="s">
        <v>117</v>
      </c>
      <c r="F654" s="132">
        <f>272*1.75</f>
        <v>476</v>
      </c>
      <c r="G654" s="132">
        <v>2</v>
      </c>
      <c r="H654" s="132">
        <f>349*1.75</f>
        <v>610.75</v>
      </c>
      <c r="I654" s="132"/>
      <c r="J654" s="132">
        <v>610.75</v>
      </c>
      <c r="K654" s="132">
        <f t="shared" si="70"/>
        <v>-134.75</v>
      </c>
      <c r="L654" s="132">
        <f t="shared" si="71"/>
        <v>0</v>
      </c>
      <c r="M654" s="133"/>
      <c r="N654" s="133">
        <f t="shared" si="69"/>
        <v>0</v>
      </c>
      <c r="O654" s="134">
        <v>0</v>
      </c>
      <c r="P654" s="133"/>
      <c r="Q654" s="2" t="s">
        <v>2334</v>
      </c>
      <c r="R654" s="156">
        <f t="shared" si="72"/>
        <v>0</v>
      </c>
      <c r="S654" s="156">
        <f t="shared" si="73"/>
        <v>0</v>
      </c>
      <c r="T654" s="133"/>
      <c r="U654" s="133"/>
      <c r="V654" s="133"/>
      <c r="W654" s="133"/>
      <c r="X654" s="133"/>
      <c r="Y654" s="133"/>
      <c r="Z654" s="133"/>
      <c r="AA654" s="133"/>
      <c r="AB654" s="133"/>
      <c r="AC654" s="133"/>
      <c r="AD654" s="133"/>
      <c r="AE654" s="133"/>
      <c r="AF654" s="133"/>
      <c r="AG654" s="133"/>
      <c r="AH654" s="133"/>
      <c r="AI654" s="133"/>
      <c r="AJ654" s="133"/>
      <c r="AK654" s="133"/>
      <c r="AL654" s="133"/>
      <c r="AM654" s="133"/>
      <c r="AN654" s="133"/>
      <c r="AO654" s="133"/>
      <c r="AP654" s="133"/>
      <c r="AQ654" s="133"/>
      <c r="AR654" s="133"/>
      <c r="AS654" s="153">
        <v>0</v>
      </c>
      <c r="AT654" s="153">
        <v>0</v>
      </c>
      <c r="AU654" s="153">
        <v>0</v>
      </c>
      <c r="AV654" s="153">
        <v>0</v>
      </c>
      <c r="AW654" s="153">
        <v>0</v>
      </c>
      <c r="AX654" s="153">
        <v>0</v>
      </c>
      <c r="AY654" s="135"/>
      <c r="AZ654" s="135"/>
      <c r="BA654" s="135"/>
      <c r="BB654" s="135"/>
      <c r="BC654" s="135"/>
      <c r="BD654" s="135"/>
      <c r="BE654" s="135"/>
      <c r="BF654" s="135"/>
      <c r="BG654" s="135"/>
      <c r="BH654" s="135"/>
      <c r="BI654" s="2" t="s">
        <v>112</v>
      </c>
      <c r="BJ654" s="136">
        <v>45475</v>
      </c>
      <c r="BK654" s="2" t="s">
        <v>145</v>
      </c>
      <c r="BL654" s="136" t="s">
        <v>113</v>
      </c>
      <c r="BM654" s="136">
        <v>45301</v>
      </c>
      <c r="BN654" s="2" t="s">
        <v>2423</v>
      </c>
      <c r="BO654" s="2"/>
      <c r="BP654" s="205"/>
      <c r="BQ654" s="137" t="s">
        <v>134</v>
      </c>
      <c r="BR654" s="138"/>
    </row>
    <row r="655" spans="1:70" ht="12.75" customHeight="1" x14ac:dyDescent="0.2">
      <c r="A655" s="2">
        <v>2144</v>
      </c>
      <c r="B655" s="2" t="s">
        <v>28</v>
      </c>
      <c r="C655" s="2" t="s">
        <v>29</v>
      </c>
      <c r="D655" s="2" t="s">
        <v>2355</v>
      </c>
      <c r="E655" s="2" t="s">
        <v>87</v>
      </c>
      <c r="F655" s="132">
        <v>15000</v>
      </c>
      <c r="G655" s="132">
        <v>2</v>
      </c>
      <c r="H655" s="132">
        <v>28137.17</v>
      </c>
      <c r="I655" s="132">
        <v>28137.17</v>
      </c>
      <c r="J655" s="132">
        <f>4292.11+23845.06</f>
        <v>28137.170000000002</v>
      </c>
      <c r="K655" s="132">
        <f t="shared" si="70"/>
        <v>-13137.170000000002</v>
      </c>
      <c r="L655" s="132">
        <f t="shared" si="71"/>
        <v>0</v>
      </c>
      <c r="M655" s="133">
        <v>318</v>
      </c>
      <c r="N655" s="133">
        <f t="shared" si="69"/>
        <v>-3.637978807091713E-12</v>
      </c>
      <c r="O655" s="134">
        <v>0</v>
      </c>
      <c r="P655" s="133"/>
      <c r="Q655" s="2" t="s">
        <v>2334</v>
      </c>
      <c r="R655" s="156">
        <f t="shared" si="72"/>
        <v>0</v>
      </c>
      <c r="S655" s="156">
        <f t="shared" si="73"/>
        <v>0</v>
      </c>
      <c r="T655" s="133"/>
      <c r="U655" s="133"/>
      <c r="V655" s="133"/>
      <c r="W655" s="133"/>
      <c r="X655" s="133"/>
      <c r="Y655" s="133"/>
      <c r="Z655" s="133"/>
      <c r="AA655" s="133"/>
      <c r="AB655" s="133"/>
      <c r="AC655" s="133"/>
      <c r="AD655" s="133"/>
      <c r="AE655" s="133"/>
      <c r="AF655" s="133"/>
      <c r="AG655" s="133"/>
      <c r="AH655" s="133"/>
      <c r="AI655" s="133"/>
      <c r="AJ655" s="133"/>
      <c r="AK655" s="133"/>
      <c r="AL655" s="133"/>
      <c r="AM655" s="133"/>
      <c r="AN655" s="133"/>
      <c r="AO655" s="133"/>
      <c r="AP655" s="133"/>
      <c r="AQ655" s="133"/>
      <c r="AR655" s="133"/>
      <c r="AS655" s="153">
        <v>0</v>
      </c>
      <c r="AT655" s="153">
        <v>0</v>
      </c>
      <c r="AU655" s="153">
        <v>0</v>
      </c>
      <c r="AV655" s="153">
        <v>0</v>
      </c>
      <c r="AW655" s="153">
        <v>0</v>
      </c>
      <c r="AX655" s="153">
        <v>0</v>
      </c>
      <c r="AY655" s="135"/>
      <c r="AZ655" s="135"/>
      <c r="BA655" s="135">
        <v>0</v>
      </c>
      <c r="BB655" s="140">
        <f>(H655/1.18-AT655-AW655-AZ655)*0.1-AU655-AX655-BA655</f>
        <v>2384.5059322033899</v>
      </c>
      <c r="BC655" s="135"/>
      <c r="BD655" s="135"/>
      <c r="BE655" s="135">
        <f>(H655/1.18-AT655-AW655-AZ655-BD655)*0.1-AU655-AX655-BA655-BB655</f>
        <v>0</v>
      </c>
      <c r="BF655" s="135"/>
      <c r="BG655" s="135"/>
      <c r="BH655" s="135"/>
      <c r="BI655" s="2" t="s">
        <v>11</v>
      </c>
      <c r="BJ655" s="136">
        <v>45531</v>
      </c>
      <c r="BK655" s="2" t="s">
        <v>109</v>
      </c>
      <c r="BL655" s="136" t="s">
        <v>113</v>
      </c>
      <c r="BM655" s="136">
        <v>45301</v>
      </c>
      <c r="BN655" s="2" t="s">
        <v>2424</v>
      </c>
      <c r="BO655" s="2"/>
      <c r="BP655" s="205"/>
      <c r="BQ655" s="137" t="s">
        <v>119</v>
      </c>
      <c r="BR655" s="138"/>
    </row>
    <row r="656" spans="1:70" ht="12.75" customHeight="1" x14ac:dyDescent="0.2">
      <c r="A656" s="2">
        <v>2145</v>
      </c>
      <c r="B656" s="2" t="s">
        <v>28</v>
      </c>
      <c r="C656" s="2" t="s">
        <v>57</v>
      </c>
      <c r="D656" s="2" t="s">
        <v>2378</v>
      </c>
      <c r="E656" s="2" t="s">
        <v>117</v>
      </c>
      <c r="F656" s="132">
        <f>7503*1.75</f>
        <v>13130.25</v>
      </c>
      <c r="G656" s="132">
        <v>2</v>
      </c>
      <c r="H656" s="132">
        <f>7503*1.75</f>
        <v>13130.25</v>
      </c>
      <c r="I656" s="132"/>
      <c r="J656" s="132">
        <f>2002.92+11127.33</f>
        <v>13130.25</v>
      </c>
      <c r="K656" s="132">
        <f t="shared" si="70"/>
        <v>0</v>
      </c>
      <c r="L656" s="132">
        <f t="shared" si="71"/>
        <v>0</v>
      </c>
      <c r="M656" s="133"/>
      <c r="N656" s="133">
        <f t="shared" si="69"/>
        <v>0</v>
      </c>
      <c r="O656" s="134">
        <v>0</v>
      </c>
      <c r="P656" s="133"/>
      <c r="Q656" s="2" t="s">
        <v>2335</v>
      </c>
      <c r="R656" s="156">
        <f t="shared" si="72"/>
        <v>0</v>
      </c>
      <c r="S656" s="156">
        <f t="shared" si="73"/>
        <v>0</v>
      </c>
      <c r="T656" s="133"/>
      <c r="U656" s="133"/>
      <c r="V656" s="133"/>
      <c r="W656" s="133"/>
      <c r="X656" s="133"/>
      <c r="Y656" s="133"/>
      <c r="Z656" s="133"/>
      <c r="AA656" s="133"/>
      <c r="AB656" s="133"/>
      <c r="AC656" s="133"/>
      <c r="AD656" s="133"/>
      <c r="AE656" s="133"/>
      <c r="AF656" s="133"/>
      <c r="AG656" s="133"/>
      <c r="AH656" s="133"/>
      <c r="AI656" s="133"/>
      <c r="AJ656" s="133"/>
      <c r="AK656" s="133"/>
      <c r="AL656" s="133"/>
      <c r="AM656" s="133"/>
      <c r="AN656" s="133"/>
      <c r="AO656" s="133"/>
      <c r="AP656" s="133"/>
      <c r="AQ656" s="133"/>
      <c r="AR656" s="133"/>
      <c r="AS656" s="153">
        <v>0</v>
      </c>
      <c r="AT656" s="153">
        <v>0</v>
      </c>
      <c r="AU656" s="153">
        <v>0</v>
      </c>
      <c r="AV656" s="153">
        <v>0</v>
      </c>
      <c r="AW656" s="153">
        <v>0</v>
      </c>
      <c r="AX656" s="153">
        <v>0</v>
      </c>
      <c r="AY656" s="135"/>
      <c r="AZ656" s="135"/>
      <c r="BA656" s="135"/>
      <c r="BB656" s="135"/>
      <c r="BC656" s="135"/>
      <c r="BD656" s="135"/>
      <c r="BE656" s="135"/>
      <c r="BF656" s="135"/>
      <c r="BG656" s="135"/>
      <c r="BH656" s="135"/>
      <c r="BI656" s="2" t="s">
        <v>112</v>
      </c>
      <c r="BJ656" s="136">
        <v>45413</v>
      </c>
      <c r="BK656" s="2" t="s">
        <v>145</v>
      </c>
      <c r="BL656" s="136" t="s">
        <v>113</v>
      </c>
      <c r="BM656" s="136">
        <v>45301</v>
      </c>
      <c r="BN656" s="2" t="s">
        <v>2425</v>
      </c>
      <c r="BO656" s="2"/>
      <c r="BP656" s="205"/>
      <c r="BQ656" s="137" t="s">
        <v>134</v>
      </c>
      <c r="BR656" s="138"/>
    </row>
    <row r="657" spans="1:70" ht="12.75" customHeight="1" x14ac:dyDescent="0.2">
      <c r="A657" s="2">
        <v>2146</v>
      </c>
      <c r="B657" s="2" t="s">
        <v>28</v>
      </c>
      <c r="C657" s="2" t="s">
        <v>57</v>
      </c>
      <c r="D657" s="2" t="s">
        <v>2379</v>
      </c>
      <c r="E657" s="2" t="s">
        <v>87</v>
      </c>
      <c r="F657" s="132">
        <v>890000</v>
      </c>
      <c r="G657" s="132">
        <v>2</v>
      </c>
      <c r="H657" s="132">
        <f>300000+200000+78913.34</f>
        <v>578913.34</v>
      </c>
      <c r="I657" s="132">
        <f>300000+200000+78913.34</f>
        <v>578913.34</v>
      </c>
      <c r="J657" s="132">
        <f>30508.474+AY657+124676.046</f>
        <v>578913.34</v>
      </c>
      <c r="K657" s="132">
        <f t="shared" si="70"/>
        <v>311086.66000000003</v>
      </c>
      <c r="L657" s="132">
        <f t="shared" si="71"/>
        <v>0</v>
      </c>
      <c r="M657" s="133">
        <v>7519</v>
      </c>
      <c r="N657" s="133">
        <f t="shared" si="69"/>
        <v>0</v>
      </c>
      <c r="O657" s="134">
        <v>0</v>
      </c>
      <c r="P657" s="133"/>
      <c r="Q657" s="2" t="s">
        <v>2335</v>
      </c>
      <c r="R657" s="156">
        <f t="shared" si="72"/>
        <v>0</v>
      </c>
      <c r="S657" s="156">
        <f t="shared" si="73"/>
        <v>0</v>
      </c>
      <c r="T657" s="133"/>
      <c r="U657" s="133"/>
      <c r="V657" s="133"/>
      <c r="W657" s="133"/>
      <c r="X657" s="133"/>
      <c r="Y657" s="133"/>
      <c r="Z657" s="133"/>
      <c r="AA657" s="133"/>
      <c r="AB657" s="133"/>
      <c r="AC657" s="133"/>
      <c r="AD657" s="133"/>
      <c r="AE657" s="133"/>
      <c r="AF657" s="133"/>
      <c r="AG657" s="133"/>
      <c r="AH657" s="133"/>
      <c r="AI657" s="133"/>
      <c r="AJ657" s="133"/>
      <c r="AK657" s="133"/>
      <c r="AL657" s="133"/>
      <c r="AM657" s="133"/>
      <c r="AN657" s="133"/>
      <c r="AO657" s="133"/>
      <c r="AP657" s="133"/>
      <c r="AQ657" s="133"/>
      <c r="AR657" s="133"/>
      <c r="AS657" s="153">
        <v>0</v>
      </c>
      <c r="AT657" s="153">
        <v>0</v>
      </c>
      <c r="AU657" s="153">
        <v>0</v>
      </c>
      <c r="AV657" s="153">
        <v>0</v>
      </c>
      <c r="AW657" s="153">
        <v>0</v>
      </c>
      <c r="AX657" s="153">
        <v>0</v>
      </c>
      <c r="AY657" s="135">
        <f>254237.29+169491.53</f>
        <v>423728.82</v>
      </c>
      <c r="AZ657" s="135">
        <f>23165.2+11198.05</f>
        <v>34363.25</v>
      </c>
      <c r="BA657" s="135">
        <v>0</v>
      </c>
      <c r="BB657" s="140">
        <f>(H657/1.18-AT657-AW657-AZ657)*0.1-AU657-AX657-BA657</f>
        <v>45624.12754237288</v>
      </c>
      <c r="BC657" s="135"/>
      <c r="BD657" s="135"/>
      <c r="BE657" s="135">
        <f>(H657/1.18-AT657-AW657-AZ657-BD657)*0.1-AU657-AX657-BA657-BB657</f>
        <v>0</v>
      </c>
      <c r="BF657" s="135"/>
      <c r="BG657" s="135"/>
      <c r="BH657" s="135"/>
      <c r="BI657" s="2" t="s">
        <v>10</v>
      </c>
      <c r="BJ657" s="136">
        <v>45594</v>
      </c>
      <c r="BK657" s="2" t="s">
        <v>109</v>
      </c>
      <c r="BL657" s="136" t="s">
        <v>113</v>
      </c>
      <c r="BM657" s="136">
        <v>45301</v>
      </c>
      <c r="BN657" s="2" t="s">
        <v>2426</v>
      </c>
      <c r="BO657" s="2"/>
      <c r="BP657" s="205"/>
      <c r="BQ657" s="137" t="s">
        <v>119</v>
      </c>
      <c r="BR657" s="138"/>
    </row>
    <row r="658" spans="1:70" ht="12.75" customHeight="1" x14ac:dyDescent="0.2">
      <c r="A658" s="2">
        <v>2147</v>
      </c>
      <c r="B658" s="2" t="s">
        <v>28</v>
      </c>
      <c r="C658" s="2" t="s">
        <v>88</v>
      </c>
      <c r="D658" s="2" t="s">
        <v>2456</v>
      </c>
      <c r="E658" s="2" t="s">
        <v>117</v>
      </c>
      <c r="F658" s="132">
        <v>0</v>
      </c>
      <c r="G658" s="132">
        <v>2</v>
      </c>
      <c r="H658" s="132"/>
      <c r="I658" s="132"/>
      <c r="J658" s="132">
        <f>S658+BC658</f>
        <v>0</v>
      </c>
      <c r="K658" s="132">
        <f t="shared" si="70"/>
        <v>0</v>
      </c>
      <c r="L658" s="132">
        <f t="shared" si="71"/>
        <v>0</v>
      </c>
      <c r="M658" s="133"/>
      <c r="N658" s="133">
        <f t="shared" si="69"/>
        <v>0</v>
      </c>
      <c r="O658" s="134">
        <v>2</v>
      </c>
      <c r="P658" s="133"/>
      <c r="Q658" s="2" t="s">
        <v>2427</v>
      </c>
      <c r="R658" s="156">
        <f t="shared" si="72"/>
        <v>0</v>
      </c>
      <c r="S658" s="156">
        <f t="shared" si="73"/>
        <v>0</v>
      </c>
      <c r="T658" s="133"/>
      <c r="U658" s="133"/>
      <c r="V658" s="133"/>
      <c r="W658" s="133"/>
      <c r="X658" s="133"/>
      <c r="Y658" s="133"/>
      <c r="Z658" s="133"/>
      <c r="AA658" s="133"/>
      <c r="AB658" s="133"/>
      <c r="AC658" s="133"/>
      <c r="AD658" s="133"/>
      <c r="AE658" s="133"/>
      <c r="AF658" s="133"/>
      <c r="AG658" s="133"/>
      <c r="AH658" s="133"/>
      <c r="AI658" s="133"/>
      <c r="AJ658" s="133"/>
      <c r="AK658" s="133"/>
      <c r="AL658" s="133"/>
      <c r="AM658" s="133"/>
      <c r="AN658" s="133"/>
      <c r="AO658" s="133"/>
      <c r="AP658" s="133"/>
      <c r="AQ658" s="133"/>
      <c r="AR658" s="133"/>
      <c r="AS658" s="153">
        <v>0</v>
      </c>
      <c r="AT658" s="153">
        <v>0</v>
      </c>
      <c r="AU658" s="153">
        <v>0</v>
      </c>
      <c r="AV658" s="153">
        <v>0</v>
      </c>
      <c r="AW658" s="153">
        <v>0</v>
      </c>
      <c r="AX658" s="153">
        <v>0</v>
      </c>
      <c r="AY658" s="135"/>
      <c r="AZ658" s="135"/>
      <c r="BA658" s="135"/>
      <c r="BB658" s="135"/>
      <c r="BC658" s="135"/>
      <c r="BD658" s="135"/>
      <c r="BE658" s="135"/>
      <c r="BF658" s="135"/>
      <c r="BG658" s="135"/>
      <c r="BH658" s="135"/>
      <c r="BI658" s="2" t="s">
        <v>112</v>
      </c>
      <c r="BJ658" s="136"/>
      <c r="BK658" s="2">
        <v>0</v>
      </c>
      <c r="BL658" s="136" t="s">
        <v>18</v>
      </c>
      <c r="BM658" s="136">
        <v>45301</v>
      </c>
      <c r="BN658" s="2" t="s">
        <v>2514</v>
      </c>
      <c r="BO658" s="2"/>
      <c r="BP658" s="205" t="s">
        <v>3426</v>
      </c>
      <c r="BQ658" s="137" t="s">
        <v>134</v>
      </c>
      <c r="BR658" s="138"/>
    </row>
    <row r="659" spans="1:70" ht="12.75" customHeight="1" x14ac:dyDescent="0.2">
      <c r="A659" s="2">
        <v>2148</v>
      </c>
      <c r="B659" s="2" t="s">
        <v>28</v>
      </c>
      <c r="C659" s="2" t="s">
        <v>88</v>
      </c>
      <c r="D659" s="2" t="s">
        <v>2457</v>
      </c>
      <c r="E659" s="2" t="s">
        <v>87</v>
      </c>
      <c r="F659" s="132">
        <v>8000000</v>
      </c>
      <c r="G659" s="132">
        <v>2</v>
      </c>
      <c r="H659" s="132">
        <f>81746+N("ჯამურად კორპუსების ჩანართიდან")</f>
        <v>81746</v>
      </c>
      <c r="I659" s="132"/>
      <c r="J659" s="132">
        <f>81746+N("ჯამურად კორპუსების ჩანართიდან")+S659</f>
        <v>81746</v>
      </c>
      <c r="K659" s="132">
        <f t="shared" si="70"/>
        <v>7918254</v>
      </c>
      <c r="L659" s="132">
        <f t="shared" si="71"/>
        <v>0</v>
      </c>
      <c r="M659" s="133"/>
      <c r="N659" s="133">
        <f t="shared" si="69"/>
        <v>7918254</v>
      </c>
      <c r="O659" s="134">
        <v>1</v>
      </c>
      <c r="P659" s="133"/>
      <c r="Q659" s="2" t="s">
        <v>2427</v>
      </c>
      <c r="R659" s="156">
        <f t="shared" si="72"/>
        <v>0</v>
      </c>
      <c r="S659" s="156">
        <f t="shared" si="73"/>
        <v>0</v>
      </c>
      <c r="T659" s="133"/>
      <c r="U659" s="133"/>
      <c r="V659" s="133"/>
      <c r="W659" s="133"/>
      <c r="X659" s="133"/>
      <c r="Y659" s="133"/>
      <c r="Z659" s="133"/>
      <c r="AA659" s="133"/>
      <c r="AB659" s="133"/>
      <c r="AC659" s="133"/>
      <c r="AD659" s="133"/>
      <c r="AE659" s="133"/>
      <c r="AF659" s="133"/>
      <c r="AG659" s="133"/>
      <c r="AH659" s="133"/>
      <c r="AI659" s="133"/>
      <c r="AJ659" s="133"/>
      <c r="AK659" s="133"/>
      <c r="AL659" s="133"/>
      <c r="AM659" s="133"/>
      <c r="AN659" s="133"/>
      <c r="AO659" s="133"/>
      <c r="AP659" s="133"/>
      <c r="AQ659" s="133"/>
      <c r="AR659" s="133"/>
      <c r="AS659" s="153">
        <v>0</v>
      </c>
      <c r="AT659" s="153">
        <v>0</v>
      </c>
      <c r="AU659" s="153">
        <v>0</v>
      </c>
      <c r="AV659" s="153">
        <v>0</v>
      </c>
      <c r="AW659" s="153">
        <v>0</v>
      </c>
      <c r="AX659" s="153">
        <v>0</v>
      </c>
      <c r="AY659" s="135"/>
      <c r="AZ659" s="135"/>
      <c r="BA659" s="135"/>
      <c r="BB659" s="135"/>
      <c r="BC659" s="135"/>
      <c r="BD659" s="135"/>
      <c r="BE659" s="135"/>
      <c r="BF659" s="135"/>
      <c r="BG659" s="135"/>
      <c r="BH659" s="135"/>
      <c r="BI659" s="2" t="s">
        <v>11</v>
      </c>
      <c r="BJ659" s="136"/>
      <c r="BK659" s="2">
        <v>0</v>
      </c>
      <c r="BL659" s="136" t="s">
        <v>18</v>
      </c>
      <c r="BM659" s="136">
        <v>45301</v>
      </c>
      <c r="BN659" s="2" t="s">
        <v>2515</v>
      </c>
      <c r="BO659" s="2"/>
      <c r="BP659" s="205" t="s">
        <v>3426</v>
      </c>
      <c r="BQ659" s="137" t="s">
        <v>119</v>
      </c>
      <c r="BR659" s="138"/>
    </row>
    <row r="660" spans="1:70" ht="12.75" customHeight="1" x14ac:dyDescent="0.2">
      <c r="A660" s="2">
        <v>2149</v>
      </c>
      <c r="B660" s="2" t="s">
        <v>28</v>
      </c>
      <c r="C660" s="2" t="s">
        <v>93</v>
      </c>
      <c r="D660" s="2" t="s">
        <v>2458</v>
      </c>
      <c r="E660" s="2" t="s">
        <v>117</v>
      </c>
      <c r="F660" s="132">
        <v>0</v>
      </c>
      <c r="G660" s="132">
        <v>2</v>
      </c>
      <c r="H660" s="132"/>
      <c r="I660" s="132"/>
      <c r="J660" s="132"/>
      <c r="K660" s="132">
        <f t="shared" si="70"/>
        <v>0</v>
      </c>
      <c r="L660" s="132">
        <f t="shared" si="71"/>
        <v>0</v>
      </c>
      <c r="M660" s="133"/>
      <c r="N660" s="133">
        <f t="shared" si="69"/>
        <v>0</v>
      </c>
      <c r="O660" s="134">
        <v>2</v>
      </c>
      <c r="P660" s="133"/>
      <c r="Q660" s="2" t="s">
        <v>2428</v>
      </c>
      <c r="R660" s="156">
        <f t="shared" si="72"/>
        <v>0</v>
      </c>
      <c r="S660" s="156">
        <f t="shared" si="73"/>
        <v>0</v>
      </c>
      <c r="T660" s="133"/>
      <c r="U660" s="133"/>
      <c r="V660" s="133"/>
      <c r="W660" s="133"/>
      <c r="X660" s="133"/>
      <c r="Y660" s="133"/>
      <c r="Z660" s="133"/>
      <c r="AA660" s="133"/>
      <c r="AB660" s="133"/>
      <c r="AC660" s="133"/>
      <c r="AD660" s="133"/>
      <c r="AE660" s="133"/>
      <c r="AF660" s="133"/>
      <c r="AG660" s="133"/>
      <c r="AH660" s="133"/>
      <c r="AI660" s="133"/>
      <c r="AJ660" s="133"/>
      <c r="AK660" s="133"/>
      <c r="AL660" s="133"/>
      <c r="AM660" s="133"/>
      <c r="AN660" s="133"/>
      <c r="AO660" s="133"/>
      <c r="AP660" s="133"/>
      <c r="AQ660" s="133"/>
      <c r="AR660" s="133"/>
      <c r="AS660" s="153">
        <v>0</v>
      </c>
      <c r="AT660" s="153">
        <v>0</v>
      </c>
      <c r="AU660" s="153">
        <v>0</v>
      </c>
      <c r="AV660" s="153">
        <v>0</v>
      </c>
      <c r="AW660" s="153">
        <v>0</v>
      </c>
      <c r="AX660" s="153">
        <v>0</v>
      </c>
      <c r="AY660" s="135"/>
      <c r="AZ660" s="135"/>
      <c r="BA660" s="135"/>
      <c r="BB660" s="135"/>
      <c r="BC660" s="135"/>
      <c r="BD660" s="135"/>
      <c r="BE660" s="135"/>
      <c r="BF660" s="135"/>
      <c r="BG660" s="135"/>
      <c r="BH660" s="135"/>
      <c r="BI660" s="2" t="s">
        <v>112</v>
      </c>
      <c r="BJ660" s="136"/>
      <c r="BK660" s="2">
        <v>0</v>
      </c>
      <c r="BL660" s="136" t="s">
        <v>18</v>
      </c>
      <c r="BM660" s="136">
        <v>45301</v>
      </c>
      <c r="BN660" s="2" t="s">
        <v>2516</v>
      </c>
      <c r="BO660" s="2"/>
      <c r="BP660" s="205"/>
      <c r="BQ660" s="137" t="s">
        <v>134</v>
      </c>
      <c r="BR660" s="138"/>
    </row>
    <row r="661" spans="1:70" ht="12.75" customHeight="1" x14ac:dyDescent="0.2">
      <c r="A661" s="2">
        <v>2150</v>
      </c>
      <c r="B661" s="2" t="s">
        <v>28</v>
      </c>
      <c r="C661" s="2" t="s">
        <v>93</v>
      </c>
      <c r="D661" s="2" t="s">
        <v>2459</v>
      </c>
      <c r="E661" s="2" t="s">
        <v>87</v>
      </c>
      <c r="F661" s="132">
        <v>1500000</v>
      </c>
      <c r="G661" s="132">
        <v>2</v>
      </c>
      <c r="H661" s="132">
        <f>R661</f>
        <v>0</v>
      </c>
      <c r="I661" s="132"/>
      <c r="J661" s="132">
        <f>S661</f>
        <v>0</v>
      </c>
      <c r="K661" s="132">
        <f t="shared" si="70"/>
        <v>1500000</v>
      </c>
      <c r="L661" s="132">
        <f t="shared" si="71"/>
        <v>0</v>
      </c>
      <c r="M661" s="133"/>
      <c r="N661" s="133">
        <f t="shared" si="69"/>
        <v>1500000</v>
      </c>
      <c r="O661" s="134">
        <v>1</v>
      </c>
      <c r="P661" s="133"/>
      <c r="Q661" s="2" t="s">
        <v>2428</v>
      </c>
      <c r="R661" s="156">
        <f t="shared" si="72"/>
        <v>0</v>
      </c>
      <c r="S661" s="156">
        <f t="shared" si="73"/>
        <v>0</v>
      </c>
      <c r="T661" s="133"/>
      <c r="U661" s="133"/>
      <c r="V661" s="133"/>
      <c r="W661" s="133"/>
      <c r="X661" s="133"/>
      <c r="Y661" s="133"/>
      <c r="Z661" s="133"/>
      <c r="AA661" s="133"/>
      <c r="AB661" s="133"/>
      <c r="AC661" s="133"/>
      <c r="AD661" s="133"/>
      <c r="AE661" s="133"/>
      <c r="AF661" s="133"/>
      <c r="AG661" s="133"/>
      <c r="AH661" s="133"/>
      <c r="AI661" s="133"/>
      <c r="AJ661" s="133"/>
      <c r="AK661" s="133"/>
      <c r="AL661" s="133"/>
      <c r="AM661" s="133"/>
      <c r="AN661" s="133"/>
      <c r="AO661" s="133"/>
      <c r="AP661" s="133"/>
      <c r="AQ661" s="133"/>
      <c r="AR661" s="133"/>
      <c r="AS661" s="153">
        <v>0</v>
      </c>
      <c r="AT661" s="153">
        <v>0</v>
      </c>
      <c r="AU661" s="153">
        <v>0</v>
      </c>
      <c r="AV661" s="153">
        <v>0</v>
      </c>
      <c r="AW661" s="153">
        <v>0</v>
      </c>
      <c r="AX661" s="153">
        <v>0</v>
      </c>
      <c r="AY661" s="135"/>
      <c r="AZ661" s="135"/>
      <c r="BA661" s="135"/>
      <c r="BB661" s="135"/>
      <c r="BC661" s="135"/>
      <c r="BD661" s="135"/>
      <c r="BE661" s="135"/>
      <c r="BF661" s="135"/>
      <c r="BG661" s="135"/>
      <c r="BH661" s="135"/>
      <c r="BI661" s="2" t="s">
        <v>11</v>
      </c>
      <c r="BJ661" s="136"/>
      <c r="BK661" s="2">
        <v>0</v>
      </c>
      <c r="BL661" s="136" t="s">
        <v>18</v>
      </c>
      <c r="BM661" s="136">
        <v>45301</v>
      </c>
      <c r="BN661" s="2" t="s">
        <v>2517</v>
      </c>
      <c r="BO661" s="2"/>
      <c r="BP661" s="205"/>
      <c r="BQ661" s="137" t="s">
        <v>119</v>
      </c>
      <c r="BR661" s="138"/>
    </row>
    <row r="662" spans="1:70" ht="12.75" customHeight="1" x14ac:dyDescent="0.2">
      <c r="A662" s="2">
        <v>2151</v>
      </c>
      <c r="B662" s="2" t="s">
        <v>28</v>
      </c>
      <c r="C662" s="2" t="s">
        <v>88</v>
      </c>
      <c r="D662" s="2" t="s">
        <v>2460</v>
      </c>
      <c r="E662" s="2" t="s">
        <v>117</v>
      </c>
      <c r="F662" s="132">
        <v>0</v>
      </c>
      <c r="G662" s="132">
        <v>2</v>
      </c>
      <c r="H662" s="132">
        <f>4001*1.75</f>
        <v>7001.75</v>
      </c>
      <c r="I662" s="132"/>
      <c r="J662" s="132">
        <v>7001.75</v>
      </c>
      <c r="K662" s="132">
        <f t="shared" si="70"/>
        <v>-7001.75</v>
      </c>
      <c r="L662" s="132">
        <f t="shared" si="71"/>
        <v>0</v>
      </c>
      <c r="M662" s="133"/>
      <c r="N662" s="133">
        <f t="shared" si="69"/>
        <v>0</v>
      </c>
      <c r="O662" s="134">
        <v>0</v>
      </c>
      <c r="P662" s="133"/>
      <c r="Q662" s="2" t="s">
        <v>2429</v>
      </c>
      <c r="R662" s="156">
        <f t="shared" si="72"/>
        <v>0</v>
      </c>
      <c r="S662" s="156">
        <f t="shared" si="73"/>
        <v>0</v>
      </c>
      <c r="T662" s="133"/>
      <c r="U662" s="133"/>
      <c r="V662" s="133"/>
      <c r="W662" s="133"/>
      <c r="X662" s="133"/>
      <c r="Y662" s="133"/>
      <c r="Z662" s="133"/>
      <c r="AA662" s="133"/>
      <c r="AB662" s="133"/>
      <c r="AC662" s="133"/>
      <c r="AD662" s="133"/>
      <c r="AE662" s="133"/>
      <c r="AF662" s="133"/>
      <c r="AG662" s="133"/>
      <c r="AH662" s="133"/>
      <c r="AI662" s="133"/>
      <c r="AJ662" s="133"/>
      <c r="AK662" s="133"/>
      <c r="AL662" s="133"/>
      <c r="AM662" s="133"/>
      <c r="AN662" s="133"/>
      <c r="AO662" s="133"/>
      <c r="AP662" s="133"/>
      <c r="AQ662" s="133"/>
      <c r="AR662" s="133"/>
      <c r="AS662" s="153">
        <v>0</v>
      </c>
      <c r="AT662" s="153">
        <v>0</v>
      </c>
      <c r="AU662" s="153">
        <v>0</v>
      </c>
      <c r="AV662" s="153">
        <v>0</v>
      </c>
      <c r="AW662" s="153">
        <v>0</v>
      </c>
      <c r="AX662" s="153">
        <v>0</v>
      </c>
      <c r="AY662" s="135"/>
      <c r="AZ662" s="135"/>
      <c r="BA662" s="135"/>
      <c r="BB662" s="135"/>
      <c r="BC662" s="135"/>
      <c r="BD662" s="135"/>
      <c r="BE662" s="135"/>
      <c r="BF662" s="135"/>
      <c r="BG662" s="135"/>
      <c r="BH662" s="135"/>
      <c r="BI662" s="2" t="s">
        <v>112</v>
      </c>
      <c r="BJ662" s="136">
        <v>45524</v>
      </c>
      <c r="BK662" s="2" t="s">
        <v>145</v>
      </c>
      <c r="BL662" s="136" t="s">
        <v>18</v>
      </c>
      <c r="BM662" s="136">
        <v>45301</v>
      </c>
      <c r="BN662" s="2" t="s">
        <v>2518</v>
      </c>
      <c r="BO662" s="2"/>
      <c r="BP662" s="205"/>
      <c r="BQ662" s="137" t="s">
        <v>134</v>
      </c>
      <c r="BR662" s="138"/>
    </row>
    <row r="663" spans="1:70" ht="12.75" customHeight="1" x14ac:dyDescent="0.2">
      <c r="A663" s="2">
        <v>2152</v>
      </c>
      <c r="B663" s="2" t="s">
        <v>28</v>
      </c>
      <c r="C663" s="2" t="s">
        <v>88</v>
      </c>
      <c r="D663" s="2" t="s">
        <v>2461</v>
      </c>
      <c r="E663" s="2" t="s">
        <v>87</v>
      </c>
      <c r="F663" s="132">
        <v>4300000</v>
      </c>
      <c r="G663" s="132">
        <v>2</v>
      </c>
      <c r="H663" s="132">
        <f>1000000+R663</f>
        <v>4868640</v>
      </c>
      <c r="I663" s="132"/>
      <c r="J663" s="132">
        <f>152542.37+S663+AY663+BC663</f>
        <v>4868640</v>
      </c>
      <c r="K663" s="132">
        <f t="shared" si="70"/>
        <v>-568640</v>
      </c>
      <c r="L663" s="132">
        <f t="shared" si="71"/>
        <v>0</v>
      </c>
      <c r="M663" s="133">
        <v>3909</v>
      </c>
      <c r="N663" s="133">
        <f t="shared" si="69"/>
        <v>0</v>
      </c>
      <c r="O663" s="134">
        <v>1</v>
      </c>
      <c r="P663" s="133"/>
      <c r="Q663" s="2" t="s">
        <v>2429</v>
      </c>
      <c r="R663" s="156">
        <f t="shared" si="72"/>
        <v>3868640</v>
      </c>
      <c r="S663" s="156">
        <f t="shared" si="73"/>
        <v>936436.6</v>
      </c>
      <c r="T663" s="133">
        <v>1700000</v>
      </c>
      <c r="U663" s="133"/>
      <c r="V663" s="133">
        <v>760000</v>
      </c>
      <c r="W663" s="133">
        <f>259322.03</f>
        <v>259322.03</v>
      </c>
      <c r="X663" s="133">
        <v>1000000</v>
      </c>
      <c r="Y663" s="133">
        <v>115932.2</v>
      </c>
      <c r="Z663" s="133"/>
      <c r="AA663" s="133">
        <v>152542.37</v>
      </c>
      <c r="AB663" s="133">
        <v>408640</v>
      </c>
      <c r="AC663" s="133"/>
      <c r="AD663" s="133"/>
      <c r="AE663" s="133">
        <f>62334.92+346305.08</f>
        <v>408640</v>
      </c>
      <c r="AF663" s="133"/>
      <c r="AG663" s="133"/>
      <c r="AH663" s="133"/>
      <c r="AI663" s="133"/>
      <c r="AJ663" s="133"/>
      <c r="AK663" s="133"/>
      <c r="AL663" s="133"/>
      <c r="AM663" s="133"/>
      <c r="AN663" s="133"/>
      <c r="AO663" s="133"/>
      <c r="AP663" s="133"/>
      <c r="AQ663" s="133"/>
      <c r="AR663" s="133"/>
      <c r="AS663" s="153">
        <v>0</v>
      </c>
      <c r="AT663" s="153">
        <v>0</v>
      </c>
      <c r="AU663" s="153">
        <v>0</v>
      </c>
      <c r="AV663" s="153">
        <v>0</v>
      </c>
      <c r="AW663" s="153">
        <v>0</v>
      </c>
      <c r="AX663" s="153">
        <v>0</v>
      </c>
      <c r="AY663" s="135">
        <f>847457.63</f>
        <v>847457.63</v>
      </c>
      <c r="AZ663" s="135">
        <v>55990.25</v>
      </c>
      <c r="BA663" s="135"/>
      <c r="BB663" s="135"/>
      <c r="BC663" s="135">
        <f>1440677.97+847457.63+644067.8</f>
        <v>2932203.4000000004</v>
      </c>
      <c r="BD663" s="135">
        <f>29287.21+93539.82+123078.71</f>
        <v>245905.74</v>
      </c>
      <c r="BE663" s="264">
        <f>(H663/1.18-AT663-AW663-AZ663-BD663)*0.1-AU663-AX663-BA663-BB663</f>
        <v>382407.01116949157</v>
      </c>
      <c r="BF663" s="264"/>
      <c r="BG663" s="135"/>
      <c r="BH663" s="135"/>
      <c r="BI663" s="2" t="s">
        <v>11</v>
      </c>
      <c r="BJ663" s="136">
        <v>45800</v>
      </c>
      <c r="BK663" s="2" t="s">
        <v>8</v>
      </c>
      <c r="BL663" s="136" t="s">
        <v>18</v>
      </c>
      <c r="BM663" s="136">
        <v>45301</v>
      </c>
      <c r="BN663" s="2" t="s">
        <v>2519</v>
      </c>
      <c r="BO663" s="2"/>
      <c r="BP663" s="205"/>
      <c r="BQ663" s="137" t="s">
        <v>119</v>
      </c>
      <c r="BR663" s="138"/>
    </row>
    <row r="664" spans="1:70" ht="12.75" customHeight="1" x14ac:dyDescent="0.2">
      <c r="A664" s="2">
        <v>2153</v>
      </c>
      <c r="B664" s="2" t="s">
        <v>28</v>
      </c>
      <c r="C664" s="2" t="s">
        <v>88</v>
      </c>
      <c r="D664" s="2" t="s">
        <v>2462</v>
      </c>
      <c r="E664" s="2" t="s">
        <v>117</v>
      </c>
      <c r="F664" s="132">
        <v>0</v>
      </c>
      <c r="G664" s="132">
        <v>2</v>
      </c>
      <c r="H664" s="132">
        <f>3275*1.75</f>
        <v>5731.25</v>
      </c>
      <c r="I664" s="132"/>
      <c r="J664" s="132">
        <v>5731.25</v>
      </c>
      <c r="K664" s="132">
        <f t="shared" si="70"/>
        <v>-5731.25</v>
      </c>
      <c r="L664" s="132">
        <f t="shared" si="71"/>
        <v>0</v>
      </c>
      <c r="M664" s="133"/>
      <c r="N664" s="133">
        <f t="shared" si="69"/>
        <v>0</v>
      </c>
      <c r="O664" s="134">
        <v>0</v>
      </c>
      <c r="P664" s="133"/>
      <c r="Q664" s="2" t="s">
        <v>2430</v>
      </c>
      <c r="R664" s="156">
        <f t="shared" si="72"/>
        <v>0</v>
      </c>
      <c r="S664" s="156">
        <f t="shared" si="73"/>
        <v>0</v>
      </c>
      <c r="T664" s="133"/>
      <c r="U664" s="133"/>
      <c r="V664" s="133"/>
      <c r="W664" s="133"/>
      <c r="X664" s="133"/>
      <c r="Y664" s="133"/>
      <c r="Z664" s="133"/>
      <c r="AA664" s="133"/>
      <c r="AB664" s="133"/>
      <c r="AC664" s="133"/>
      <c r="AD664" s="133"/>
      <c r="AE664" s="133"/>
      <c r="AF664" s="133"/>
      <c r="AG664" s="133"/>
      <c r="AH664" s="133"/>
      <c r="AI664" s="133"/>
      <c r="AJ664" s="133"/>
      <c r="AK664" s="133"/>
      <c r="AL664" s="133"/>
      <c r="AM664" s="133"/>
      <c r="AN664" s="133"/>
      <c r="AO664" s="133"/>
      <c r="AP664" s="133"/>
      <c r="AQ664" s="133"/>
      <c r="AR664" s="133"/>
      <c r="AS664" s="153">
        <v>0</v>
      </c>
      <c r="AT664" s="153">
        <v>0</v>
      </c>
      <c r="AU664" s="153">
        <v>0</v>
      </c>
      <c r="AV664" s="153">
        <v>0</v>
      </c>
      <c r="AW664" s="153">
        <v>0</v>
      </c>
      <c r="AX664" s="153">
        <v>0</v>
      </c>
      <c r="AY664" s="135"/>
      <c r="AZ664" s="135"/>
      <c r="BA664" s="135"/>
      <c r="BB664" s="135"/>
      <c r="BC664" s="135"/>
      <c r="BD664" s="135"/>
      <c r="BE664" s="135"/>
      <c r="BF664" s="135"/>
      <c r="BG664" s="135"/>
      <c r="BH664" s="135"/>
      <c r="BI664" s="2" t="s">
        <v>112</v>
      </c>
      <c r="BJ664" s="136">
        <v>45524</v>
      </c>
      <c r="BK664" s="2" t="s">
        <v>145</v>
      </c>
      <c r="BL664" s="136" t="s">
        <v>18</v>
      </c>
      <c r="BM664" s="136">
        <v>45301</v>
      </c>
      <c r="BN664" s="2" t="s">
        <v>2520</v>
      </c>
      <c r="BO664" s="2"/>
      <c r="BP664" s="205"/>
      <c r="BQ664" s="137" t="s">
        <v>134</v>
      </c>
      <c r="BR664" s="138"/>
    </row>
    <row r="665" spans="1:70" ht="12.75" customHeight="1" x14ac:dyDescent="0.2">
      <c r="A665" s="2">
        <v>2154</v>
      </c>
      <c r="B665" s="2" t="s">
        <v>28</v>
      </c>
      <c r="C665" s="2" t="s">
        <v>88</v>
      </c>
      <c r="D665" s="2" t="s">
        <v>2463</v>
      </c>
      <c r="E665" s="2" t="s">
        <v>87</v>
      </c>
      <c r="F665" s="132">
        <v>2350000</v>
      </c>
      <c r="G665" s="132">
        <v>2</v>
      </c>
      <c r="H665" s="132">
        <f>R665</f>
        <v>0</v>
      </c>
      <c r="I665" s="132"/>
      <c r="J665" s="132">
        <f>S665</f>
        <v>0</v>
      </c>
      <c r="K665" s="132">
        <f t="shared" si="70"/>
        <v>2350000</v>
      </c>
      <c r="L665" s="132">
        <f t="shared" si="71"/>
        <v>0</v>
      </c>
      <c r="M665" s="133"/>
      <c r="N665" s="133">
        <f t="shared" si="69"/>
        <v>2350000</v>
      </c>
      <c r="O665" s="134">
        <v>1</v>
      </c>
      <c r="P665" s="133"/>
      <c r="Q665" s="2" t="s">
        <v>2430</v>
      </c>
      <c r="R665" s="156">
        <f t="shared" si="72"/>
        <v>0</v>
      </c>
      <c r="S665" s="156">
        <f t="shared" si="73"/>
        <v>0</v>
      </c>
      <c r="T665" s="133"/>
      <c r="U665" s="133"/>
      <c r="V665" s="133"/>
      <c r="W665" s="133"/>
      <c r="X665" s="133"/>
      <c r="Y665" s="133"/>
      <c r="Z665" s="133"/>
      <c r="AA665" s="133"/>
      <c r="AB665" s="133"/>
      <c r="AC665" s="133"/>
      <c r="AD665" s="133"/>
      <c r="AE665" s="133"/>
      <c r="AF665" s="133"/>
      <c r="AG665" s="133"/>
      <c r="AH665" s="133"/>
      <c r="AI665" s="133"/>
      <c r="AJ665" s="133"/>
      <c r="AK665" s="133"/>
      <c r="AL665" s="133"/>
      <c r="AM665" s="133"/>
      <c r="AN665" s="133"/>
      <c r="AO665" s="133"/>
      <c r="AP665" s="133"/>
      <c r="AQ665" s="133"/>
      <c r="AR665" s="133"/>
      <c r="AS665" s="153">
        <v>0</v>
      </c>
      <c r="AT665" s="153">
        <v>0</v>
      </c>
      <c r="AU665" s="153">
        <v>0</v>
      </c>
      <c r="AV665" s="153">
        <v>0</v>
      </c>
      <c r="AW665" s="153">
        <v>0</v>
      </c>
      <c r="AX665" s="153">
        <v>0</v>
      </c>
      <c r="AY665" s="135"/>
      <c r="AZ665" s="135"/>
      <c r="BA665" s="135"/>
      <c r="BB665" s="135"/>
      <c r="BC665" s="135"/>
      <c r="BD665" s="135"/>
      <c r="BE665" s="135"/>
      <c r="BF665" s="135"/>
      <c r="BG665" s="135"/>
      <c r="BH665" s="135"/>
      <c r="BI665" s="2" t="s">
        <v>11</v>
      </c>
      <c r="BJ665" s="136"/>
      <c r="BK665" s="2">
        <v>0</v>
      </c>
      <c r="BL665" s="136" t="s">
        <v>18</v>
      </c>
      <c r="BM665" s="136">
        <v>45301</v>
      </c>
      <c r="BN665" s="2" t="s">
        <v>2521</v>
      </c>
      <c r="BO665" s="2"/>
      <c r="BP665" s="205"/>
      <c r="BQ665" s="137" t="s">
        <v>119</v>
      </c>
      <c r="BR665" s="138"/>
    </row>
    <row r="666" spans="1:70" ht="12.75" customHeight="1" x14ac:dyDescent="0.2">
      <c r="A666" s="2">
        <v>2155</v>
      </c>
      <c r="B666" s="2" t="s">
        <v>28</v>
      </c>
      <c r="C666" s="2" t="s">
        <v>92</v>
      </c>
      <c r="D666" s="2" t="s">
        <v>2464</v>
      </c>
      <c r="E666" s="2" t="s">
        <v>117</v>
      </c>
      <c r="F666" s="132">
        <f>1650*1.75</f>
        <v>2887.5</v>
      </c>
      <c r="G666" s="132">
        <v>2</v>
      </c>
      <c r="H666" s="132">
        <f>1650*1.75</f>
        <v>2887.5</v>
      </c>
      <c r="I666" s="132"/>
      <c r="J666" s="132">
        <f>440.47+2447.03</f>
        <v>2887.5</v>
      </c>
      <c r="K666" s="132">
        <f t="shared" si="70"/>
        <v>0</v>
      </c>
      <c r="L666" s="132">
        <f t="shared" si="71"/>
        <v>0</v>
      </c>
      <c r="M666" s="133"/>
      <c r="N666" s="133">
        <f t="shared" si="69"/>
        <v>0</v>
      </c>
      <c r="O666" s="134">
        <v>0</v>
      </c>
      <c r="P666" s="133"/>
      <c r="Q666" s="2" t="s">
        <v>2431</v>
      </c>
      <c r="R666" s="156">
        <f t="shared" si="72"/>
        <v>0</v>
      </c>
      <c r="S666" s="156">
        <f t="shared" si="73"/>
        <v>0</v>
      </c>
      <c r="T666" s="133"/>
      <c r="U666" s="133"/>
      <c r="V666" s="133"/>
      <c r="W666" s="133"/>
      <c r="X666" s="133"/>
      <c r="Y666" s="133"/>
      <c r="Z666" s="133"/>
      <c r="AA666" s="133"/>
      <c r="AB666" s="133"/>
      <c r="AC666" s="133"/>
      <c r="AD666" s="133"/>
      <c r="AE666" s="133"/>
      <c r="AF666" s="133"/>
      <c r="AG666" s="133"/>
      <c r="AH666" s="133"/>
      <c r="AI666" s="133"/>
      <c r="AJ666" s="133"/>
      <c r="AK666" s="133"/>
      <c r="AL666" s="133"/>
      <c r="AM666" s="133"/>
      <c r="AN666" s="133"/>
      <c r="AO666" s="133"/>
      <c r="AP666" s="133"/>
      <c r="AQ666" s="133"/>
      <c r="AR666" s="133"/>
      <c r="AS666" s="153">
        <v>0</v>
      </c>
      <c r="AT666" s="153">
        <v>0</v>
      </c>
      <c r="AU666" s="153">
        <v>0</v>
      </c>
      <c r="AV666" s="153">
        <v>0</v>
      </c>
      <c r="AW666" s="153">
        <v>0</v>
      </c>
      <c r="AX666" s="153">
        <v>0</v>
      </c>
      <c r="AY666" s="135"/>
      <c r="AZ666" s="135"/>
      <c r="BA666" s="135"/>
      <c r="BB666" s="135"/>
      <c r="BC666" s="135"/>
      <c r="BD666" s="135"/>
      <c r="BE666" s="135"/>
      <c r="BF666" s="135"/>
      <c r="BG666" s="135"/>
      <c r="BH666" s="135"/>
      <c r="BI666" s="2" t="s">
        <v>112</v>
      </c>
      <c r="BJ666" s="136">
        <v>45428</v>
      </c>
      <c r="BK666" s="2" t="s">
        <v>145</v>
      </c>
      <c r="BL666" s="136" t="s">
        <v>18</v>
      </c>
      <c r="BM666" s="136">
        <v>45301</v>
      </c>
      <c r="BN666" s="2" t="s">
        <v>2522</v>
      </c>
      <c r="BO666" s="2"/>
      <c r="BP666" s="205"/>
      <c r="BQ666" s="137" t="s">
        <v>134</v>
      </c>
      <c r="BR666" s="138"/>
    </row>
    <row r="667" spans="1:70" ht="12.75" customHeight="1" x14ac:dyDescent="0.2">
      <c r="A667" s="2">
        <v>2156</v>
      </c>
      <c r="B667" s="2" t="s">
        <v>28</v>
      </c>
      <c r="C667" s="2" t="s">
        <v>92</v>
      </c>
      <c r="D667" s="2" t="s">
        <v>2465</v>
      </c>
      <c r="E667" s="2" t="s">
        <v>87</v>
      </c>
      <c r="F667" s="132">
        <v>460000</v>
      </c>
      <c r="G667" s="132">
        <v>2</v>
      </c>
      <c r="H667" s="132">
        <f>200000+412909.52</f>
        <v>612909.52</v>
      </c>
      <c r="I667" s="132">
        <f>200000+412909.52</f>
        <v>612909.52</v>
      </c>
      <c r="J667" s="132">
        <f>AY667+62986.197+380431.793</f>
        <v>612909.52</v>
      </c>
      <c r="K667" s="132">
        <f t="shared" si="70"/>
        <v>-152909.52000000002</v>
      </c>
      <c r="L667" s="132">
        <f t="shared" si="71"/>
        <v>0</v>
      </c>
      <c r="M667" s="133">
        <v>1650</v>
      </c>
      <c r="N667" s="133">
        <f t="shared" si="69"/>
        <v>0</v>
      </c>
      <c r="O667" s="134">
        <v>0</v>
      </c>
      <c r="P667" s="133"/>
      <c r="Q667" s="2" t="s">
        <v>2431</v>
      </c>
      <c r="R667" s="156">
        <f t="shared" si="72"/>
        <v>0</v>
      </c>
      <c r="S667" s="156">
        <f t="shared" si="73"/>
        <v>0</v>
      </c>
      <c r="T667" s="133"/>
      <c r="U667" s="133"/>
      <c r="V667" s="133"/>
      <c r="W667" s="133"/>
      <c r="X667" s="133"/>
      <c r="Y667" s="133"/>
      <c r="Z667" s="133"/>
      <c r="AA667" s="133"/>
      <c r="AB667" s="133"/>
      <c r="AC667" s="133"/>
      <c r="AD667" s="133"/>
      <c r="AE667" s="133"/>
      <c r="AF667" s="133"/>
      <c r="AG667" s="133"/>
      <c r="AH667" s="133"/>
      <c r="AI667" s="133"/>
      <c r="AJ667" s="133"/>
      <c r="AK667" s="133"/>
      <c r="AL667" s="133"/>
      <c r="AM667" s="133"/>
      <c r="AN667" s="133"/>
      <c r="AO667" s="133"/>
      <c r="AP667" s="133"/>
      <c r="AQ667" s="133"/>
      <c r="AR667" s="133"/>
      <c r="AS667" s="153">
        <v>0</v>
      </c>
      <c r="AT667" s="153">
        <v>0</v>
      </c>
      <c r="AU667" s="153">
        <v>0</v>
      </c>
      <c r="AV667" s="153">
        <v>0</v>
      </c>
      <c r="AW667" s="153">
        <v>0</v>
      </c>
      <c r="AX667" s="153">
        <v>0</v>
      </c>
      <c r="AY667" s="135">
        <v>169491.53</v>
      </c>
      <c r="AZ667" s="135">
        <v>15504.99</v>
      </c>
      <c r="BA667" s="135">
        <v>0</v>
      </c>
      <c r="BB667" s="140">
        <f>(H667/1.18-AT667-AW667-AZ667)*0.1-AU667-AX667-BA667</f>
        <v>50390.985745762722</v>
      </c>
      <c r="BC667" s="135"/>
      <c r="BD667" s="135"/>
      <c r="BE667" s="135">
        <f>(H667/1.18-AT667-AW667-AZ667-BD667)*0.1-AU667-AX667-BA667-BB667</f>
        <v>0</v>
      </c>
      <c r="BF667" s="135"/>
      <c r="BG667" s="135"/>
      <c r="BH667" s="135"/>
      <c r="BI667" s="2" t="s">
        <v>11</v>
      </c>
      <c r="BJ667" s="136">
        <v>45624</v>
      </c>
      <c r="BK667" s="2" t="s">
        <v>8</v>
      </c>
      <c r="BL667" s="136" t="s">
        <v>18</v>
      </c>
      <c r="BM667" s="136">
        <v>45301</v>
      </c>
      <c r="BN667" s="2" t="s">
        <v>2523</v>
      </c>
      <c r="BO667" s="2"/>
      <c r="BP667" s="205"/>
      <c r="BQ667" s="137" t="s">
        <v>119</v>
      </c>
      <c r="BR667" s="138"/>
    </row>
    <row r="668" spans="1:70" ht="12.75" customHeight="1" x14ac:dyDescent="0.2">
      <c r="A668" s="2">
        <v>2157</v>
      </c>
      <c r="B668" s="2" t="s">
        <v>28</v>
      </c>
      <c r="C668" s="2" t="s">
        <v>93</v>
      </c>
      <c r="D668" s="2" t="s">
        <v>2466</v>
      </c>
      <c r="E668" s="2" t="s">
        <v>117</v>
      </c>
      <c r="F668" s="132">
        <f>6924.5*1.75</f>
        <v>12117.875</v>
      </c>
      <c r="G668" s="132">
        <v>2</v>
      </c>
      <c r="H668" s="132">
        <f>6924.5*1.75</f>
        <v>12117.875</v>
      </c>
      <c r="I668" s="132"/>
      <c r="J668" s="132">
        <f>1848.49+10269.385</f>
        <v>12117.875</v>
      </c>
      <c r="K668" s="132">
        <f t="shared" si="70"/>
        <v>0</v>
      </c>
      <c r="L668" s="132">
        <f t="shared" si="71"/>
        <v>0</v>
      </c>
      <c r="M668" s="133"/>
      <c r="N668" s="133">
        <f t="shared" si="69"/>
        <v>0</v>
      </c>
      <c r="O668" s="134">
        <v>0</v>
      </c>
      <c r="P668" s="133"/>
      <c r="Q668" s="2" t="s">
        <v>2432</v>
      </c>
      <c r="R668" s="156">
        <f t="shared" si="72"/>
        <v>0</v>
      </c>
      <c r="S668" s="156">
        <f t="shared" si="73"/>
        <v>0</v>
      </c>
      <c r="T668" s="133"/>
      <c r="U668" s="133"/>
      <c r="V668" s="133"/>
      <c r="W668" s="133"/>
      <c r="X668" s="133"/>
      <c r="Y668" s="133"/>
      <c r="Z668" s="133"/>
      <c r="AA668" s="133"/>
      <c r="AB668" s="133"/>
      <c r="AC668" s="133"/>
      <c r="AD668" s="133"/>
      <c r="AE668" s="133"/>
      <c r="AF668" s="133"/>
      <c r="AG668" s="133"/>
      <c r="AH668" s="133"/>
      <c r="AI668" s="133"/>
      <c r="AJ668" s="133"/>
      <c r="AK668" s="133"/>
      <c r="AL668" s="133"/>
      <c r="AM668" s="133"/>
      <c r="AN668" s="133"/>
      <c r="AO668" s="133"/>
      <c r="AP668" s="133"/>
      <c r="AQ668" s="133"/>
      <c r="AR668" s="133"/>
      <c r="AS668" s="153">
        <v>0</v>
      </c>
      <c r="AT668" s="153">
        <v>0</v>
      </c>
      <c r="AU668" s="153">
        <v>0</v>
      </c>
      <c r="AV668" s="153">
        <v>0</v>
      </c>
      <c r="AW668" s="153">
        <v>0</v>
      </c>
      <c r="AX668" s="153">
        <v>0</v>
      </c>
      <c r="AY668" s="135"/>
      <c r="AZ668" s="135"/>
      <c r="BA668" s="135"/>
      <c r="BB668" s="135"/>
      <c r="BC668" s="135"/>
      <c r="BD668" s="135"/>
      <c r="BE668" s="135"/>
      <c r="BF668" s="135"/>
      <c r="BG668" s="135"/>
      <c r="BH668" s="135"/>
      <c r="BI668" s="2" t="s">
        <v>112</v>
      </c>
      <c r="BJ668" s="136">
        <v>45413</v>
      </c>
      <c r="BK668" s="2" t="s">
        <v>145</v>
      </c>
      <c r="BL668" s="136" t="s">
        <v>18</v>
      </c>
      <c r="BM668" s="136">
        <v>45301</v>
      </c>
      <c r="BN668" s="2" t="s">
        <v>2524</v>
      </c>
      <c r="BO668" s="2"/>
      <c r="BP668" s="205"/>
      <c r="BQ668" s="137" t="s">
        <v>134</v>
      </c>
      <c r="BR668" s="138"/>
    </row>
    <row r="669" spans="1:70" ht="12.75" customHeight="1" x14ac:dyDescent="0.2">
      <c r="A669" s="2">
        <v>2158</v>
      </c>
      <c r="B669" s="2" t="s">
        <v>28</v>
      </c>
      <c r="C669" s="2" t="s">
        <v>93</v>
      </c>
      <c r="D669" s="2" t="s">
        <v>2467</v>
      </c>
      <c r="E669" s="2" t="s">
        <v>87</v>
      </c>
      <c r="F669" s="132">
        <v>450000</v>
      </c>
      <c r="G669" s="132">
        <v>2</v>
      </c>
      <c r="H669" s="132">
        <f>350000+100000+166648.26</f>
        <v>616648.26</v>
      </c>
      <c r="I669" s="132">
        <f>350000+100000+166648.26</f>
        <v>616648.26</v>
      </c>
      <c r="J669" s="132">
        <f>53389.83+AY669+166648.26+15254.16</f>
        <v>616648.18000000005</v>
      </c>
      <c r="K669" s="132">
        <f t="shared" si="70"/>
        <v>-166648.18000000005</v>
      </c>
      <c r="L669" s="132">
        <f t="shared" si="71"/>
        <v>7.9999999958090484E-2</v>
      </c>
      <c r="M669" s="133">
        <v>6901</v>
      </c>
      <c r="N669" s="133">
        <f t="shared" si="69"/>
        <v>7.9999999958090484E-2</v>
      </c>
      <c r="O669" s="134">
        <v>0</v>
      </c>
      <c r="P669" s="133"/>
      <c r="Q669" s="2" t="s">
        <v>2432</v>
      </c>
      <c r="R669" s="156">
        <f t="shared" si="72"/>
        <v>0</v>
      </c>
      <c r="S669" s="156">
        <f t="shared" si="73"/>
        <v>0</v>
      </c>
      <c r="T669" s="133"/>
      <c r="U669" s="133"/>
      <c r="V669" s="133"/>
      <c r="W669" s="133"/>
      <c r="X669" s="133"/>
      <c r="Y669" s="133"/>
      <c r="Z669" s="133"/>
      <c r="AA669" s="133"/>
      <c r="AB669" s="133"/>
      <c r="AC669" s="133"/>
      <c r="AD669" s="133"/>
      <c r="AE669" s="133"/>
      <c r="AF669" s="133"/>
      <c r="AG669" s="133"/>
      <c r="AH669" s="133"/>
      <c r="AI669" s="133"/>
      <c r="AJ669" s="133"/>
      <c r="AK669" s="133"/>
      <c r="AL669" s="133"/>
      <c r="AM669" s="133"/>
      <c r="AN669" s="133"/>
      <c r="AO669" s="133"/>
      <c r="AP669" s="133"/>
      <c r="AQ669" s="133"/>
      <c r="AR669" s="133"/>
      <c r="AS669" s="153">
        <v>0</v>
      </c>
      <c r="AT669" s="153">
        <v>0</v>
      </c>
      <c r="AU669" s="153">
        <v>0</v>
      </c>
      <c r="AV669" s="153">
        <v>0</v>
      </c>
      <c r="AW669" s="153">
        <v>0</v>
      </c>
      <c r="AX669" s="153">
        <v>0</v>
      </c>
      <c r="AY669" s="135">
        <f>296610.17+84745.76</f>
        <v>381355.93</v>
      </c>
      <c r="AZ669" s="135">
        <f>30256.27+7752.5</f>
        <v>38008.770000000004</v>
      </c>
      <c r="BA669" s="135">
        <f>350000/1.18*0.8*0.1</f>
        <v>23728.813559322036</v>
      </c>
      <c r="BB669" s="140">
        <f>(H669/1.18-AT669-AW669-AZ669)*0.1-AU669-AX669-BA669</f>
        <v>24728.63655932204</v>
      </c>
      <c r="BC669" s="135"/>
      <c r="BD669" s="135"/>
      <c r="BE669" s="135">
        <f>(H669/1.18-AT669-AW669-AZ669-BD669)*0.1-AU669-AX669-BA669-BB669</f>
        <v>0</v>
      </c>
      <c r="BF669" s="135"/>
      <c r="BG669" s="135"/>
      <c r="BH669" s="135"/>
      <c r="BI669" s="2" t="s">
        <v>11</v>
      </c>
      <c r="BJ669" s="136">
        <v>45562</v>
      </c>
      <c r="BK669" s="2" t="s">
        <v>8</v>
      </c>
      <c r="BL669" s="136" t="s">
        <v>18</v>
      </c>
      <c r="BM669" s="136">
        <v>45301</v>
      </c>
      <c r="BN669" s="2" t="s">
        <v>2525</v>
      </c>
      <c r="BO669" s="2"/>
      <c r="BP669" s="205"/>
      <c r="BQ669" s="137" t="s">
        <v>119</v>
      </c>
      <c r="BR669" s="138"/>
    </row>
    <row r="670" spans="1:70" ht="12.75" customHeight="1" x14ac:dyDescent="0.2">
      <c r="A670" s="2">
        <v>2159</v>
      </c>
      <c r="B670" s="2" t="s">
        <v>28</v>
      </c>
      <c r="C670" s="2" t="s">
        <v>88</v>
      </c>
      <c r="D670" s="2" t="s">
        <v>2468</v>
      </c>
      <c r="E670" s="2" t="s">
        <v>117</v>
      </c>
      <c r="F670" s="132">
        <v>0</v>
      </c>
      <c r="G670" s="132">
        <v>2</v>
      </c>
      <c r="H670" s="132">
        <f>5551*1.75</f>
        <v>9714.25</v>
      </c>
      <c r="I670" s="132"/>
      <c r="J670" s="132">
        <v>9714.25</v>
      </c>
      <c r="K670" s="132">
        <f t="shared" si="70"/>
        <v>-9714.25</v>
      </c>
      <c r="L670" s="132">
        <f t="shared" si="71"/>
        <v>0</v>
      </c>
      <c r="M670" s="133"/>
      <c r="N670" s="133">
        <f t="shared" si="69"/>
        <v>0</v>
      </c>
      <c r="O670" s="134">
        <v>0</v>
      </c>
      <c r="P670" s="133"/>
      <c r="Q670" s="2" t="s">
        <v>2433</v>
      </c>
      <c r="R670" s="156">
        <f t="shared" si="72"/>
        <v>0</v>
      </c>
      <c r="S670" s="156">
        <f t="shared" si="73"/>
        <v>0</v>
      </c>
      <c r="T670" s="133"/>
      <c r="U670" s="133"/>
      <c r="V670" s="133"/>
      <c r="W670" s="133"/>
      <c r="X670" s="133"/>
      <c r="Y670" s="133"/>
      <c r="Z670" s="133"/>
      <c r="AA670" s="133"/>
      <c r="AB670" s="133"/>
      <c r="AC670" s="133"/>
      <c r="AD670" s="133"/>
      <c r="AE670" s="133"/>
      <c r="AF670" s="133"/>
      <c r="AG670" s="133"/>
      <c r="AH670" s="133"/>
      <c r="AI670" s="133"/>
      <c r="AJ670" s="133"/>
      <c r="AK670" s="133"/>
      <c r="AL670" s="133"/>
      <c r="AM670" s="133"/>
      <c r="AN670" s="133"/>
      <c r="AO670" s="133"/>
      <c r="AP670" s="133"/>
      <c r="AQ670" s="133"/>
      <c r="AR670" s="133"/>
      <c r="AS670" s="153">
        <v>0</v>
      </c>
      <c r="AT670" s="153">
        <v>0</v>
      </c>
      <c r="AU670" s="153">
        <v>0</v>
      </c>
      <c r="AV670" s="153">
        <v>0</v>
      </c>
      <c r="AW670" s="153">
        <v>0</v>
      </c>
      <c r="AX670" s="153">
        <v>0</v>
      </c>
      <c r="AY670" s="135"/>
      <c r="AZ670" s="135"/>
      <c r="BA670" s="135"/>
      <c r="BB670" s="135"/>
      <c r="BC670" s="135"/>
      <c r="BD670" s="135"/>
      <c r="BE670" s="135"/>
      <c r="BF670" s="135"/>
      <c r="BG670" s="135"/>
      <c r="BH670" s="135"/>
      <c r="BI670" s="2" t="s">
        <v>112</v>
      </c>
      <c r="BJ670" s="136">
        <v>45524</v>
      </c>
      <c r="BK670" s="2" t="s">
        <v>145</v>
      </c>
      <c r="BL670" s="136" t="s">
        <v>18</v>
      </c>
      <c r="BM670" s="136">
        <v>45301</v>
      </c>
      <c r="BN670" s="2" t="s">
        <v>2526</v>
      </c>
      <c r="BO670" s="2"/>
      <c r="BP670" s="205"/>
      <c r="BQ670" s="137" t="s">
        <v>134</v>
      </c>
      <c r="BR670" s="138"/>
    </row>
    <row r="671" spans="1:70" ht="12.75" customHeight="1" x14ac:dyDescent="0.2">
      <c r="A671" s="2">
        <v>2160</v>
      </c>
      <c r="B671" s="2" t="s">
        <v>28</v>
      </c>
      <c r="C671" s="2" t="s">
        <v>88</v>
      </c>
      <c r="D671" s="2" t="s">
        <v>2469</v>
      </c>
      <c r="E671" s="2" t="s">
        <v>87</v>
      </c>
      <c r="F671" s="132">
        <v>360000</v>
      </c>
      <c r="G671" s="132">
        <v>2</v>
      </c>
      <c r="H671" s="132">
        <f>R671</f>
        <v>0</v>
      </c>
      <c r="I671" s="132"/>
      <c r="J671" s="132">
        <f>S671</f>
        <v>0</v>
      </c>
      <c r="K671" s="132">
        <f t="shared" si="70"/>
        <v>360000</v>
      </c>
      <c r="L671" s="132">
        <f t="shared" si="71"/>
        <v>0</v>
      </c>
      <c r="M671" s="133"/>
      <c r="N671" s="133">
        <f t="shared" si="69"/>
        <v>360000</v>
      </c>
      <c r="O671" s="134">
        <v>1</v>
      </c>
      <c r="P671" s="133"/>
      <c r="Q671" s="2" t="s">
        <v>2433</v>
      </c>
      <c r="R671" s="156">
        <f t="shared" si="72"/>
        <v>0</v>
      </c>
      <c r="S671" s="156">
        <f t="shared" si="73"/>
        <v>0</v>
      </c>
      <c r="T671" s="133"/>
      <c r="U671" s="133"/>
      <c r="V671" s="133"/>
      <c r="W671" s="133"/>
      <c r="X671" s="133"/>
      <c r="Y671" s="133"/>
      <c r="Z671" s="133"/>
      <c r="AA671" s="133"/>
      <c r="AB671" s="133"/>
      <c r="AC671" s="133"/>
      <c r="AD671" s="133"/>
      <c r="AE671" s="133"/>
      <c r="AF671" s="133"/>
      <c r="AG671" s="133"/>
      <c r="AH671" s="133"/>
      <c r="AI671" s="133"/>
      <c r="AJ671" s="133"/>
      <c r="AK671" s="133"/>
      <c r="AL671" s="133"/>
      <c r="AM671" s="133"/>
      <c r="AN671" s="133"/>
      <c r="AO671" s="133"/>
      <c r="AP671" s="133"/>
      <c r="AQ671" s="133"/>
      <c r="AR671" s="133"/>
      <c r="AS671" s="153">
        <v>0</v>
      </c>
      <c r="AT671" s="153">
        <v>0</v>
      </c>
      <c r="AU671" s="153">
        <v>0</v>
      </c>
      <c r="AV671" s="153">
        <v>0</v>
      </c>
      <c r="AW671" s="153">
        <v>0</v>
      </c>
      <c r="AX671" s="153">
        <v>0</v>
      </c>
      <c r="AY671" s="135"/>
      <c r="AZ671" s="135"/>
      <c r="BA671" s="135"/>
      <c r="BB671" s="135"/>
      <c r="BC671" s="135"/>
      <c r="BD671" s="135"/>
      <c r="BE671" s="135"/>
      <c r="BF671" s="135"/>
      <c r="BG671" s="135"/>
      <c r="BH671" s="135"/>
      <c r="BI671" s="2" t="s">
        <v>11</v>
      </c>
      <c r="BJ671" s="136"/>
      <c r="BK671" s="2">
        <v>0</v>
      </c>
      <c r="BL671" s="136" t="s">
        <v>18</v>
      </c>
      <c r="BM671" s="136">
        <v>45301</v>
      </c>
      <c r="BN671" s="2" t="s">
        <v>2527</v>
      </c>
      <c r="BO671" s="2"/>
      <c r="BP671" s="205"/>
      <c r="BQ671" s="137" t="s">
        <v>119</v>
      </c>
      <c r="BR671" s="138"/>
    </row>
    <row r="672" spans="1:70" ht="12.75" customHeight="1" x14ac:dyDescent="0.2">
      <c r="A672" s="2">
        <v>2161</v>
      </c>
      <c r="B672" s="2" t="s">
        <v>28</v>
      </c>
      <c r="C672" s="2" t="s">
        <v>93</v>
      </c>
      <c r="D672" s="2" t="s">
        <v>2470</v>
      </c>
      <c r="E672" s="2" t="s">
        <v>117</v>
      </c>
      <c r="F672" s="132">
        <v>0</v>
      </c>
      <c r="G672" s="132">
        <v>2</v>
      </c>
      <c r="H672" s="132"/>
      <c r="I672" s="132"/>
      <c r="J672" s="132"/>
      <c r="K672" s="132">
        <f t="shared" si="70"/>
        <v>0</v>
      </c>
      <c r="L672" s="132">
        <f t="shared" si="71"/>
        <v>0</v>
      </c>
      <c r="M672" s="133"/>
      <c r="N672" s="133">
        <f t="shared" si="69"/>
        <v>0</v>
      </c>
      <c r="O672" s="134">
        <v>2</v>
      </c>
      <c r="P672" s="133"/>
      <c r="Q672" s="2" t="s">
        <v>2434</v>
      </c>
      <c r="R672" s="156">
        <f t="shared" si="72"/>
        <v>0</v>
      </c>
      <c r="S672" s="156">
        <f t="shared" si="73"/>
        <v>0</v>
      </c>
      <c r="T672" s="133"/>
      <c r="U672" s="133"/>
      <c r="V672" s="133"/>
      <c r="W672" s="133"/>
      <c r="X672" s="133"/>
      <c r="Y672" s="133"/>
      <c r="Z672" s="133"/>
      <c r="AA672" s="133"/>
      <c r="AB672" s="133"/>
      <c r="AC672" s="133"/>
      <c r="AD672" s="133"/>
      <c r="AE672" s="133"/>
      <c r="AF672" s="133"/>
      <c r="AG672" s="133"/>
      <c r="AH672" s="133"/>
      <c r="AI672" s="133"/>
      <c r="AJ672" s="133"/>
      <c r="AK672" s="133"/>
      <c r="AL672" s="133"/>
      <c r="AM672" s="133"/>
      <c r="AN672" s="133"/>
      <c r="AO672" s="133"/>
      <c r="AP672" s="133"/>
      <c r="AQ672" s="133"/>
      <c r="AR672" s="133"/>
      <c r="AS672" s="153">
        <v>0</v>
      </c>
      <c r="AT672" s="153">
        <v>0</v>
      </c>
      <c r="AU672" s="153">
        <v>0</v>
      </c>
      <c r="AV672" s="153">
        <v>0</v>
      </c>
      <c r="AW672" s="153">
        <v>0</v>
      </c>
      <c r="AX672" s="153">
        <v>0</v>
      </c>
      <c r="AY672" s="135"/>
      <c r="AZ672" s="135"/>
      <c r="BA672" s="135"/>
      <c r="BB672" s="135"/>
      <c r="BC672" s="135"/>
      <c r="BD672" s="135"/>
      <c r="BE672" s="135"/>
      <c r="BF672" s="135"/>
      <c r="BG672" s="135"/>
      <c r="BH672" s="135"/>
      <c r="BI672" s="2" t="s">
        <v>112</v>
      </c>
      <c r="BJ672" s="136"/>
      <c r="BK672" s="2">
        <v>0</v>
      </c>
      <c r="BL672" s="136" t="s">
        <v>18</v>
      </c>
      <c r="BM672" s="136">
        <v>45301</v>
      </c>
      <c r="BN672" s="2" t="s">
        <v>2528</v>
      </c>
      <c r="BO672" s="2"/>
      <c r="BP672" s="205"/>
      <c r="BQ672" s="137" t="s">
        <v>134</v>
      </c>
      <c r="BR672" s="138"/>
    </row>
    <row r="673" spans="1:70" ht="12.75" customHeight="1" x14ac:dyDescent="0.2">
      <c r="A673" s="2">
        <v>2162</v>
      </c>
      <c r="B673" s="2" t="s">
        <v>28</v>
      </c>
      <c r="C673" s="2" t="s">
        <v>93</v>
      </c>
      <c r="D673" s="2" t="s">
        <v>2471</v>
      </c>
      <c r="E673" s="2" t="s">
        <v>87</v>
      </c>
      <c r="F673" s="132">
        <v>280000</v>
      </c>
      <c r="G673" s="132">
        <v>2</v>
      </c>
      <c r="H673" s="132">
        <f>R673</f>
        <v>0</v>
      </c>
      <c r="I673" s="132"/>
      <c r="J673" s="132">
        <f>S673</f>
        <v>0</v>
      </c>
      <c r="K673" s="132">
        <f t="shared" si="70"/>
        <v>280000</v>
      </c>
      <c r="L673" s="132">
        <f t="shared" si="71"/>
        <v>0</v>
      </c>
      <c r="M673" s="133"/>
      <c r="N673" s="133">
        <f t="shared" si="69"/>
        <v>280000</v>
      </c>
      <c r="O673" s="134">
        <v>1</v>
      </c>
      <c r="P673" s="133"/>
      <c r="Q673" s="2" t="s">
        <v>2434</v>
      </c>
      <c r="R673" s="156">
        <f t="shared" si="72"/>
        <v>0</v>
      </c>
      <c r="S673" s="156">
        <f t="shared" si="73"/>
        <v>0</v>
      </c>
      <c r="T673" s="133"/>
      <c r="U673" s="133"/>
      <c r="V673" s="133"/>
      <c r="W673" s="133"/>
      <c r="X673" s="133"/>
      <c r="Y673" s="133"/>
      <c r="Z673" s="133"/>
      <c r="AA673" s="133"/>
      <c r="AB673" s="133"/>
      <c r="AC673" s="133"/>
      <c r="AD673" s="133"/>
      <c r="AE673" s="133"/>
      <c r="AF673" s="133"/>
      <c r="AG673" s="133"/>
      <c r="AH673" s="133"/>
      <c r="AI673" s="133"/>
      <c r="AJ673" s="133"/>
      <c r="AK673" s="133"/>
      <c r="AL673" s="133"/>
      <c r="AM673" s="133"/>
      <c r="AN673" s="133"/>
      <c r="AO673" s="133"/>
      <c r="AP673" s="133"/>
      <c r="AQ673" s="133"/>
      <c r="AR673" s="133"/>
      <c r="AS673" s="153">
        <v>0</v>
      </c>
      <c r="AT673" s="153">
        <v>0</v>
      </c>
      <c r="AU673" s="153">
        <v>0</v>
      </c>
      <c r="AV673" s="153">
        <v>0</v>
      </c>
      <c r="AW673" s="153">
        <v>0</v>
      </c>
      <c r="AX673" s="153">
        <v>0</v>
      </c>
      <c r="AY673" s="135"/>
      <c r="AZ673" s="135"/>
      <c r="BA673" s="135"/>
      <c r="BB673" s="135"/>
      <c r="BC673" s="135"/>
      <c r="BD673" s="135"/>
      <c r="BE673" s="135"/>
      <c r="BF673" s="135"/>
      <c r="BG673" s="135"/>
      <c r="BH673" s="135"/>
      <c r="BI673" s="2" t="s">
        <v>11</v>
      </c>
      <c r="BJ673" s="136"/>
      <c r="BK673" s="2">
        <v>0</v>
      </c>
      <c r="BL673" s="136" t="s">
        <v>18</v>
      </c>
      <c r="BM673" s="136">
        <v>45301</v>
      </c>
      <c r="BN673" s="2" t="s">
        <v>2529</v>
      </c>
      <c r="BO673" s="2"/>
      <c r="BP673" s="205"/>
      <c r="BQ673" s="137" t="s">
        <v>119</v>
      </c>
      <c r="BR673" s="138"/>
    </row>
    <row r="674" spans="1:70" ht="12.75" customHeight="1" x14ac:dyDescent="0.2">
      <c r="A674" s="2">
        <v>2163</v>
      </c>
      <c r="B674" s="2" t="s">
        <v>28</v>
      </c>
      <c r="C674" s="2" t="s">
        <v>88</v>
      </c>
      <c r="D674" s="2" t="s">
        <v>2472</v>
      </c>
      <c r="E674" s="2" t="s">
        <v>117</v>
      </c>
      <c r="F674" s="132">
        <v>7707</v>
      </c>
      <c r="G674" s="132">
        <v>2</v>
      </c>
      <c r="H674" s="132">
        <f>4404*1.75</f>
        <v>7707</v>
      </c>
      <c r="I674" s="132"/>
      <c r="J674" s="132">
        <v>7707</v>
      </c>
      <c r="K674" s="132">
        <f t="shared" si="70"/>
        <v>0</v>
      </c>
      <c r="L674" s="132">
        <f t="shared" si="71"/>
        <v>0</v>
      </c>
      <c r="M674" s="133"/>
      <c r="N674" s="133">
        <f t="shared" si="69"/>
        <v>0</v>
      </c>
      <c r="O674" s="134">
        <v>0</v>
      </c>
      <c r="P674" s="133"/>
      <c r="Q674" s="2" t="s">
        <v>2435</v>
      </c>
      <c r="R674" s="156">
        <f t="shared" si="72"/>
        <v>0</v>
      </c>
      <c r="S674" s="156">
        <f t="shared" si="73"/>
        <v>0</v>
      </c>
      <c r="T674" s="133"/>
      <c r="U674" s="133"/>
      <c r="V674" s="133"/>
      <c r="W674" s="133"/>
      <c r="X674" s="133"/>
      <c r="Y674" s="133"/>
      <c r="Z674" s="133"/>
      <c r="AA674" s="133"/>
      <c r="AB674" s="133"/>
      <c r="AC674" s="133"/>
      <c r="AD674" s="133"/>
      <c r="AE674" s="133"/>
      <c r="AF674" s="133"/>
      <c r="AG674" s="133"/>
      <c r="AH674" s="133"/>
      <c r="AI674" s="133"/>
      <c r="AJ674" s="133"/>
      <c r="AK674" s="133"/>
      <c r="AL674" s="133"/>
      <c r="AM674" s="133"/>
      <c r="AN674" s="133"/>
      <c r="AO674" s="133"/>
      <c r="AP674" s="133"/>
      <c r="AQ674" s="133"/>
      <c r="AR674" s="133"/>
      <c r="AS674" s="153">
        <v>0</v>
      </c>
      <c r="AT674" s="153">
        <v>0</v>
      </c>
      <c r="AU674" s="153">
        <v>0</v>
      </c>
      <c r="AV674" s="153">
        <v>0</v>
      </c>
      <c r="AW674" s="153">
        <v>0</v>
      </c>
      <c r="AX674" s="153">
        <v>0</v>
      </c>
      <c r="AY674" s="135"/>
      <c r="AZ674" s="135"/>
      <c r="BA674" s="135"/>
      <c r="BB674" s="135"/>
      <c r="BC674" s="135"/>
      <c r="BD674" s="135"/>
      <c r="BE674" s="135"/>
      <c r="BF674" s="135"/>
      <c r="BG674" s="135"/>
      <c r="BH674" s="135"/>
      <c r="BI674" s="2" t="s">
        <v>112</v>
      </c>
      <c r="BJ674" s="136">
        <v>45639</v>
      </c>
      <c r="BK674" s="2" t="s">
        <v>145</v>
      </c>
      <c r="BL674" s="136" t="s">
        <v>18</v>
      </c>
      <c r="BM674" s="136">
        <v>45301</v>
      </c>
      <c r="BN674" s="2" t="s">
        <v>2530</v>
      </c>
      <c r="BO674" s="2"/>
      <c r="BP674" s="205"/>
      <c r="BQ674" s="137" t="s">
        <v>134</v>
      </c>
      <c r="BR674" s="138"/>
    </row>
    <row r="675" spans="1:70" ht="12.75" customHeight="1" x14ac:dyDescent="0.2">
      <c r="A675" s="2">
        <v>2164</v>
      </c>
      <c r="B675" s="2" t="s">
        <v>28</v>
      </c>
      <c r="C675" s="2" t="s">
        <v>88</v>
      </c>
      <c r="D675" s="2" t="s">
        <v>2473</v>
      </c>
      <c r="E675" s="2" t="s">
        <v>87</v>
      </c>
      <c r="F675" s="132">
        <v>280000</v>
      </c>
      <c r="G675" s="132">
        <v>2</v>
      </c>
      <c r="H675" s="132">
        <f>R675</f>
        <v>12000</v>
      </c>
      <c r="I675" s="132"/>
      <c r="J675" s="132">
        <f>S675</f>
        <v>1830.51</v>
      </c>
      <c r="K675" s="132">
        <f t="shared" si="70"/>
        <v>278169.49</v>
      </c>
      <c r="L675" s="132">
        <f t="shared" si="71"/>
        <v>10169.49</v>
      </c>
      <c r="M675" s="133"/>
      <c r="N675" s="133">
        <f t="shared" si="69"/>
        <v>278169.49</v>
      </c>
      <c r="O675" s="134">
        <v>1</v>
      </c>
      <c r="P675" s="133"/>
      <c r="Q675" s="2" t="s">
        <v>2435</v>
      </c>
      <c r="R675" s="156">
        <f t="shared" si="72"/>
        <v>12000</v>
      </c>
      <c r="S675" s="156">
        <f t="shared" si="73"/>
        <v>1830.51</v>
      </c>
      <c r="T675" s="133"/>
      <c r="U675" s="133"/>
      <c r="V675" s="133"/>
      <c r="W675" s="133"/>
      <c r="X675" s="133"/>
      <c r="Y675" s="133"/>
      <c r="Z675" s="133"/>
      <c r="AA675" s="133"/>
      <c r="AB675" s="133"/>
      <c r="AC675" s="133"/>
      <c r="AD675" s="133"/>
      <c r="AE675" s="133"/>
      <c r="AF675" s="133"/>
      <c r="AG675" s="133"/>
      <c r="AH675" s="133"/>
      <c r="AI675" s="133"/>
      <c r="AJ675" s="133"/>
      <c r="AK675" s="133"/>
      <c r="AL675" s="133">
        <v>12000</v>
      </c>
      <c r="AM675" s="133"/>
      <c r="AN675" s="133"/>
      <c r="AO675" s="133">
        <v>1830.51</v>
      </c>
      <c r="AP675" s="133"/>
      <c r="AQ675" s="133"/>
      <c r="AR675" s="133"/>
      <c r="AS675" s="153">
        <v>0</v>
      </c>
      <c r="AT675" s="153">
        <v>0</v>
      </c>
      <c r="AU675" s="153">
        <v>0</v>
      </c>
      <c r="AV675" s="153">
        <v>0</v>
      </c>
      <c r="AW675" s="153">
        <v>0</v>
      </c>
      <c r="AX675" s="153">
        <v>0</v>
      </c>
      <c r="AY675" s="135"/>
      <c r="AZ675" s="135"/>
      <c r="BA675" s="135"/>
      <c r="BB675" s="135"/>
      <c r="BC675" s="135"/>
      <c r="BD675" s="135"/>
      <c r="BE675" s="135"/>
      <c r="BF675" s="135"/>
      <c r="BG675" s="135"/>
      <c r="BH675" s="135"/>
      <c r="BI675" s="2" t="s">
        <v>11</v>
      </c>
      <c r="BJ675" s="136"/>
      <c r="BK675" s="2">
        <v>10</v>
      </c>
      <c r="BL675" s="136" t="s">
        <v>18</v>
      </c>
      <c r="BM675" s="136">
        <v>45301</v>
      </c>
      <c r="BN675" s="2" t="s">
        <v>2531</v>
      </c>
      <c r="BO675" s="2"/>
      <c r="BP675" s="205"/>
      <c r="BQ675" s="137" t="s">
        <v>119</v>
      </c>
      <c r="BR675" s="138"/>
    </row>
    <row r="676" spans="1:70" ht="12.75" customHeight="1" x14ac:dyDescent="0.2">
      <c r="A676" s="2">
        <v>2165</v>
      </c>
      <c r="B676" s="2" t="s">
        <v>28</v>
      </c>
      <c r="C676" s="2" t="s">
        <v>92</v>
      </c>
      <c r="D676" s="2" t="s">
        <v>2474</v>
      </c>
      <c r="E676" s="2" t="s">
        <v>117</v>
      </c>
      <c r="F676" s="132">
        <v>0</v>
      </c>
      <c r="G676" s="132" t="s">
        <v>3670</v>
      </c>
      <c r="H676" s="132"/>
      <c r="I676" s="132"/>
      <c r="J676" s="132"/>
      <c r="K676" s="132">
        <f t="shared" si="70"/>
        <v>0</v>
      </c>
      <c r="L676" s="132">
        <f t="shared" si="71"/>
        <v>0</v>
      </c>
      <c r="M676" s="133"/>
      <c r="N676" s="133">
        <f t="shared" si="69"/>
        <v>0</v>
      </c>
      <c r="O676" s="134">
        <v>2</v>
      </c>
      <c r="P676" s="133"/>
      <c r="Q676" s="2" t="s">
        <v>3486</v>
      </c>
      <c r="R676" s="156">
        <f t="shared" si="72"/>
        <v>0</v>
      </c>
      <c r="S676" s="156">
        <f t="shared" si="73"/>
        <v>0</v>
      </c>
      <c r="T676" s="133"/>
      <c r="U676" s="133"/>
      <c r="V676" s="133"/>
      <c r="W676" s="133"/>
      <c r="X676" s="133"/>
      <c r="Y676" s="133"/>
      <c r="Z676" s="133"/>
      <c r="AA676" s="133"/>
      <c r="AB676" s="133"/>
      <c r="AC676" s="133"/>
      <c r="AD676" s="133"/>
      <c r="AE676" s="133"/>
      <c r="AF676" s="133"/>
      <c r="AG676" s="133"/>
      <c r="AH676" s="133"/>
      <c r="AI676" s="133"/>
      <c r="AJ676" s="133"/>
      <c r="AK676" s="133"/>
      <c r="AL676" s="133"/>
      <c r="AM676" s="133"/>
      <c r="AN676" s="133"/>
      <c r="AO676" s="133"/>
      <c r="AP676" s="133"/>
      <c r="AQ676" s="133"/>
      <c r="AR676" s="133"/>
      <c r="AS676" s="153">
        <v>0</v>
      </c>
      <c r="AT676" s="153">
        <v>0</v>
      </c>
      <c r="AU676" s="153">
        <v>0</v>
      </c>
      <c r="AV676" s="153">
        <v>0</v>
      </c>
      <c r="AW676" s="153">
        <v>0</v>
      </c>
      <c r="AX676" s="153">
        <v>0</v>
      </c>
      <c r="AY676" s="135"/>
      <c r="AZ676" s="135"/>
      <c r="BA676" s="135"/>
      <c r="BB676" s="135"/>
      <c r="BC676" s="135"/>
      <c r="BD676" s="135"/>
      <c r="BE676" s="135"/>
      <c r="BF676" s="135"/>
      <c r="BG676" s="135"/>
      <c r="BH676" s="135"/>
      <c r="BI676" s="2" t="s">
        <v>112</v>
      </c>
      <c r="BJ676" s="136"/>
      <c r="BK676" s="2">
        <v>0</v>
      </c>
      <c r="BL676" s="136" t="s">
        <v>18</v>
      </c>
      <c r="BM676" s="136">
        <v>45301</v>
      </c>
      <c r="BN676" s="2" t="s">
        <v>2532</v>
      </c>
      <c r="BO676" s="2"/>
      <c r="BP676" s="205"/>
      <c r="BQ676" s="137" t="s">
        <v>134</v>
      </c>
      <c r="BR676" s="138"/>
    </row>
    <row r="677" spans="1:70" ht="12.75" customHeight="1" x14ac:dyDescent="0.2">
      <c r="A677" s="2">
        <v>2166</v>
      </c>
      <c r="B677" s="2" t="s">
        <v>28</v>
      </c>
      <c r="C677" s="2" t="s">
        <v>92</v>
      </c>
      <c r="D677" s="2" t="s">
        <v>2475</v>
      </c>
      <c r="E677" s="2" t="s">
        <v>87</v>
      </c>
      <c r="F677" s="132">
        <v>200000</v>
      </c>
      <c r="G677" s="132" t="s">
        <v>3670</v>
      </c>
      <c r="H677" s="132">
        <f>R677</f>
        <v>0</v>
      </c>
      <c r="I677" s="132"/>
      <c r="J677" s="132">
        <f>S677</f>
        <v>0</v>
      </c>
      <c r="K677" s="132">
        <f t="shared" si="70"/>
        <v>200000</v>
      </c>
      <c r="L677" s="132">
        <f t="shared" si="71"/>
        <v>0</v>
      </c>
      <c r="M677" s="133"/>
      <c r="N677" s="133">
        <f t="shared" si="69"/>
        <v>200000</v>
      </c>
      <c r="O677" s="134">
        <v>1</v>
      </c>
      <c r="P677" s="133"/>
      <c r="Q677" s="2" t="s">
        <v>3486</v>
      </c>
      <c r="R677" s="156">
        <f t="shared" si="72"/>
        <v>0</v>
      </c>
      <c r="S677" s="156">
        <f t="shared" si="73"/>
        <v>0</v>
      </c>
      <c r="T677" s="133"/>
      <c r="U677" s="133"/>
      <c r="V677" s="133"/>
      <c r="W677" s="133"/>
      <c r="X677" s="133"/>
      <c r="Y677" s="133"/>
      <c r="Z677" s="133"/>
      <c r="AA677" s="133"/>
      <c r="AB677" s="133"/>
      <c r="AC677" s="133"/>
      <c r="AD677" s="133"/>
      <c r="AE677" s="133"/>
      <c r="AF677" s="133"/>
      <c r="AG677" s="133"/>
      <c r="AH677" s="133"/>
      <c r="AI677" s="133"/>
      <c r="AJ677" s="133"/>
      <c r="AK677" s="133"/>
      <c r="AL677" s="133"/>
      <c r="AM677" s="133"/>
      <c r="AN677" s="133"/>
      <c r="AO677" s="133"/>
      <c r="AP677" s="133"/>
      <c r="AQ677" s="133"/>
      <c r="AR677" s="133"/>
      <c r="AS677" s="153">
        <v>0</v>
      </c>
      <c r="AT677" s="153">
        <v>0</v>
      </c>
      <c r="AU677" s="153">
        <v>0</v>
      </c>
      <c r="AV677" s="153">
        <v>0</v>
      </c>
      <c r="AW677" s="153">
        <v>0</v>
      </c>
      <c r="AX677" s="153">
        <v>0</v>
      </c>
      <c r="AY677" s="135"/>
      <c r="AZ677" s="135"/>
      <c r="BA677" s="135"/>
      <c r="BB677" s="135"/>
      <c r="BC677" s="135"/>
      <c r="BD677" s="135"/>
      <c r="BE677" s="135"/>
      <c r="BF677" s="135"/>
      <c r="BG677" s="135"/>
      <c r="BH677" s="135"/>
      <c r="BI677" s="2" t="s">
        <v>11</v>
      </c>
      <c r="BJ677" s="136"/>
      <c r="BK677" s="2">
        <v>0</v>
      </c>
      <c r="BL677" s="136" t="s">
        <v>18</v>
      </c>
      <c r="BM677" s="136">
        <v>45301</v>
      </c>
      <c r="BN677" s="2" t="s">
        <v>2533</v>
      </c>
      <c r="BO677" s="2"/>
      <c r="BP677" s="205"/>
      <c r="BQ677" s="137" t="s">
        <v>119</v>
      </c>
      <c r="BR677" s="138"/>
    </row>
    <row r="678" spans="1:70" ht="12.75" customHeight="1" x14ac:dyDescent="0.2">
      <c r="A678" s="2">
        <v>2167</v>
      </c>
      <c r="B678" s="2" t="s">
        <v>28</v>
      </c>
      <c r="C678" s="2" t="s">
        <v>88</v>
      </c>
      <c r="D678" s="2" t="s">
        <v>2476</v>
      </c>
      <c r="E678" s="2" t="s">
        <v>117</v>
      </c>
      <c r="F678" s="132">
        <v>0</v>
      </c>
      <c r="G678" s="132" t="s">
        <v>3666</v>
      </c>
      <c r="H678" s="132"/>
      <c r="I678" s="132"/>
      <c r="J678" s="132"/>
      <c r="K678" s="132">
        <f t="shared" si="70"/>
        <v>0</v>
      </c>
      <c r="L678" s="132">
        <f t="shared" si="71"/>
        <v>0</v>
      </c>
      <c r="M678" s="133"/>
      <c r="N678" s="133">
        <f t="shared" si="69"/>
        <v>0</v>
      </c>
      <c r="O678" s="134">
        <v>2</v>
      </c>
      <c r="P678" s="133"/>
      <c r="Q678" s="2" t="s">
        <v>2436</v>
      </c>
      <c r="R678" s="156">
        <f t="shared" si="72"/>
        <v>0</v>
      </c>
      <c r="S678" s="156">
        <f t="shared" si="73"/>
        <v>0</v>
      </c>
      <c r="T678" s="133"/>
      <c r="U678" s="133"/>
      <c r="V678" s="133"/>
      <c r="W678" s="133"/>
      <c r="X678" s="133"/>
      <c r="Y678" s="133"/>
      <c r="Z678" s="133"/>
      <c r="AA678" s="133"/>
      <c r="AB678" s="133"/>
      <c r="AC678" s="133"/>
      <c r="AD678" s="133"/>
      <c r="AE678" s="133"/>
      <c r="AF678" s="133"/>
      <c r="AG678" s="133"/>
      <c r="AH678" s="133"/>
      <c r="AI678" s="133"/>
      <c r="AJ678" s="133"/>
      <c r="AK678" s="133"/>
      <c r="AL678" s="133"/>
      <c r="AM678" s="133"/>
      <c r="AN678" s="133"/>
      <c r="AO678" s="133"/>
      <c r="AP678" s="133"/>
      <c r="AQ678" s="133"/>
      <c r="AR678" s="133"/>
      <c r="AS678" s="153">
        <v>0</v>
      </c>
      <c r="AT678" s="153">
        <v>0</v>
      </c>
      <c r="AU678" s="153">
        <v>0</v>
      </c>
      <c r="AV678" s="153">
        <v>0</v>
      </c>
      <c r="AW678" s="153">
        <v>0</v>
      </c>
      <c r="AX678" s="153">
        <v>0</v>
      </c>
      <c r="AY678" s="135"/>
      <c r="AZ678" s="135"/>
      <c r="BA678" s="135"/>
      <c r="BB678" s="135"/>
      <c r="BC678" s="135"/>
      <c r="BD678" s="135"/>
      <c r="BE678" s="135"/>
      <c r="BF678" s="135"/>
      <c r="BG678" s="135"/>
      <c r="BH678" s="135"/>
      <c r="BI678" s="2" t="s">
        <v>112</v>
      </c>
      <c r="BJ678" s="136"/>
      <c r="BK678" s="2">
        <v>0</v>
      </c>
      <c r="BL678" s="136" t="s">
        <v>18</v>
      </c>
      <c r="BM678" s="136">
        <v>45301</v>
      </c>
      <c r="BN678" s="2" t="s">
        <v>2534</v>
      </c>
      <c r="BO678" s="2"/>
      <c r="BP678" s="205"/>
      <c r="BQ678" s="137" t="s">
        <v>134</v>
      </c>
      <c r="BR678" s="138"/>
    </row>
    <row r="679" spans="1:70" ht="12.75" customHeight="1" x14ac:dyDescent="0.2">
      <c r="A679" s="2">
        <v>2168</v>
      </c>
      <c r="B679" s="2" t="s">
        <v>28</v>
      </c>
      <c r="C679" s="2" t="s">
        <v>88</v>
      </c>
      <c r="D679" s="2" t="s">
        <v>2477</v>
      </c>
      <c r="E679" s="2" t="s">
        <v>87</v>
      </c>
      <c r="F679" s="132">
        <v>180000</v>
      </c>
      <c r="G679" s="132">
        <v>2</v>
      </c>
      <c r="H679" s="132">
        <f>R679</f>
        <v>30000</v>
      </c>
      <c r="I679" s="132"/>
      <c r="J679" s="132">
        <f>S679</f>
        <v>4576.2700000000004</v>
      </c>
      <c r="K679" s="132">
        <f t="shared" si="70"/>
        <v>175423.73</v>
      </c>
      <c r="L679" s="132">
        <f t="shared" si="71"/>
        <v>25423.73</v>
      </c>
      <c r="M679" s="133"/>
      <c r="N679" s="133">
        <f t="shared" si="69"/>
        <v>175423.73</v>
      </c>
      <c r="O679" s="134">
        <v>1</v>
      </c>
      <c r="P679" s="133"/>
      <c r="Q679" s="2" t="s">
        <v>2436</v>
      </c>
      <c r="R679" s="156">
        <f t="shared" si="72"/>
        <v>30000</v>
      </c>
      <c r="S679" s="156">
        <f t="shared" si="73"/>
        <v>4576.2700000000004</v>
      </c>
      <c r="T679" s="133"/>
      <c r="U679" s="133"/>
      <c r="V679" s="133"/>
      <c r="W679" s="133"/>
      <c r="X679" s="133"/>
      <c r="Y679" s="133"/>
      <c r="Z679" s="133"/>
      <c r="AA679" s="133"/>
      <c r="AB679" s="133"/>
      <c r="AC679" s="133"/>
      <c r="AD679" s="133"/>
      <c r="AE679" s="133"/>
      <c r="AF679" s="133"/>
      <c r="AG679" s="133"/>
      <c r="AH679" s="133"/>
      <c r="AI679" s="133"/>
      <c r="AJ679" s="133"/>
      <c r="AK679" s="133"/>
      <c r="AL679" s="133">
        <v>30000</v>
      </c>
      <c r="AM679" s="133"/>
      <c r="AN679" s="133"/>
      <c r="AO679" s="133">
        <v>4576.2700000000004</v>
      </c>
      <c r="AP679" s="133"/>
      <c r="AQ679" s="133"/>
      <c r="AR679" s="133"/>
      <c r="AS679" s="153">
        <v>0</v>
      </c>
      <c r="AT679" s="153">
        <v>0</v>
      </c>
      <c r="AU679" s="153">
        <v>0</v>
      </c>
      <c r="AV679" s="153">
        <v>0</v>
      </c>
      <c r="AW679" s="153">
        <v>0</v>
      </c>
      <c r="AX679" s="153">
        <v>0</v>
      </c>
      <c r="AY679" s="135"/>
      <c r="AZ679" s="135"/>
      <c r="BA679" s="135"/>
      <c r="BB679" s="135"/>
      <c r="BC679" s="135"/>
      <c r="BD679" s="135"/>
      <c r="BE679" s="135"/>
      <c r="BF679" s="135"/>
      <c r="BG679" s="135"/>
      <c r="BH679" s="135"/>
      <c r="BI679" s="2" t="s">
        <v>11</v>
      </c>
      <c r="BJ679" s="136"/>
      <c r="BK679" s="2">
        <v>30</v>
      </c>
      <c r="BL679" s="136" t="s">
        <v>18</v>
      </c>
      <c r="BM679" s="136">
        <v>45301</v>
      </c>
      <c r="BN679" s="2" t="s">
        <v>2535</v>
      </c>
      <c r="BO679" s="2"/>
      <c r="BP679" s="205"/>
      <c r="BQ679" s="137" t="s">
        <v>119</v>
      </c>
      <c r="BR679" s="138"/>
    </row>
    <row r="680" spans="1:70" ht="12.75" customHeight="1" x14ac:dyDescent="0.2">
      <c r="A680" s="2">
        <v>2169</v>
      </c>
      <c r="B680" s="2" t="s">
        <v>28</v>
      </c>
      <c r="C680" s="2" t="s">
        <v>88</v>
      </c>
      <c r="D680" s="2" t="s">
        <v>2478</v>
      </c>
      <c r="E680" s="2" t="s">
        <v>117</v>
      </c>
      <c r="F680" s="132">
        <v>0</v>
      </c>
      <c r="G680" s="132">
        <v>2</v>
      </c>
      <c r="H680" s="132">
        <f>2498*1.75</f>
        <v>4371.5</v>
      </c>
      <c r="I680" s="132"/>
      <c r="J680" s="132">
        <v>4371.5</v>
      </c>
      <c r="K680" s="132">
        <f t="shared" si="70"/>
        <v>-4371.5</v>
      </c>
      <c r="L680" s="132">
        <f t="shared" si="71"/>
        <v>0</v>
      </c>
      <c r="M680" s="133"/>
      <c r="N680" s="133">
        <f t="shared" si="69"/>
        <v>0</v>
      </c>
      <c r="O680" s="134">
        <v>0</v>
      </c>
      <c r="P680" s="133"/>
      <c r="Q680" s="2" t="s">
        <v>2437</v>
      </c>
      <c r="R680" s="156">
        <f t="shared" si="72"/>
        <v>0</v>
      </c>
      <c r="S680" s="156">
        <f t="shared" si="73"/>
        <v>0</v>
      </c>
      <c r="T680" s="133"/>
      <c r="U680" s="133"/>
      <c r="V680" s="133"/>
      <c r="W680" s="133"/>
      <c r="X680" s="133"/>
      <c r="Y680" s="133"/>
      <c r="Z680" s="133"/>
      <c r="AA680" s="133"/>
      <c r="AB680" s="133"/>
      <c r="AC680" s="133"/>
      <c r="AD680" s="133"/>
      <c r="AE680" s="133"/>
      <c r="AF680" s="133"/>
      <c r="AG680" s="133"/>
      <c r="AH680" s="133"/>
      <c r="AI680" s="133"/>
      <c r="AJ680" s="133"/>
      <c r="AK680" s="133"/>
      <c r="AL680" s="133"/>
      <c r="AM680" s="133"/>
      <c r="AN680" s="133"/>
      <c r="AO680" s="133"/>
      <c r="AP680" s="133"/>
      <c r="AQ680" s="133"/>
      <c r="AR680" s="133"/>
      <c r="AS680" s="153">
        <v>0</v>
      </c>
      <c r="AT680" s="153">
        <v>0</v>
      </c>
      <c r="AU680" s="153">
        <v>0</v>
      </c>
      <c r="AV680" s="153">
        <v>0</v>
      </c>
      <c r="AW680" s="153">
        <v>0</v>
      </c>
      <c r="AX680" s="153">
        <v>0</v>
      </c>
      <c r="AY680" s="135"/>
      <c r="AZ680" s="135"/>
      <c r="BA680" s="135"/>
      <c r="BB680" s="135"/>
      <c r="BC680" s="135"/>
      <c r="BD680" s="135"/>
      <c r="BE680" s="135"/>
      <c r="BF680" s="135"/>
      <c r="BG680" s="135"/>
      <c r="BH680" s="135"/>
      <c r="BI680" s="2" t="s">
        <v>112</v>
      </c>
      <c r="BJ680" s="136">
        <v>45524</v>
      </c>
      <c r="BK680" s="2" t="s">
        <v>145</v>
      </c>
      <c r="BL680" s="136" t="s">
        <v>18</v>
      </c>
      <c r="BM680" s="136">
        <v>45301</v>
      </c>
      <c r="BN680" s="2" t="s">
        <v>2536</v>
      </c>
      <c r="BO680" s="2"/>
      <c r="BP680" s="205"/>
      <c r="BQ680" s="137" t="s">
        <v>134</v>
      </c>
      <c r="BR680" s="138"/>
    </row>
    <row r="681" spans="1:70" ht="12.75" customHeight="1" x14ac:dyDescent="0.2">
      <c r="A681" s="2">
        <v>2170</v>
      </c>
      <c r="B681" s="2" t="s">
        <v>28</v>
      </c>
      <c r="C681" s="2" t="s">
        <v>88</v>
      </c>
      <c r="D681" s="2" t="s">
        <v>2479</v>
      </c>
      <c r="E681" s="2" t="s">
        <v>87</v>
      </c>
      <c r="F681" s="132">
        <v>180000</v>
      </c>
      <c r="G681" s="132">
        <v>2</v>
      </c>
      <c r="H681" s="132">
        <f>R681</f>
        <v>0</v>
      </c>
      <c r="I681" s="132"/>
      <c r="J681" s="132">
        <f>S681</f>
        <v>0</v>
      </c>
      <c r="K681" s="132">
        <f t="shared" si="70"/>
        <v>180000</v>
      </c>
      <c r="L681" s="132">
        <f t="shared" si="71"/>
        <v>0</v>
      </c>
      <c r="M681" s="133"/>
      <c r="N681" s="133">
        <f t="shared" si="69"/>
        <v>180000</v>
      </c>
      <c r="O681" s="134">
        <v>1</v>
      </c>
      <c r="P681" s="133"/>
      <c r="Q681" s="2" t="s">
        <v>2437</v>
      </c>
      <c r="R681" s="156">
        <f t="shared" si="72"/>
        <v>0</v>
      </c>
      <c r="S681" s="156">
        <f t="shared" si="73"/>
        <v>0</v>
      </c>
      <c r="T681" s="133"/>
      <c r="U681" s="133"/>
      <c r="V681" s="133"/>
      <c r="W681" s="133"/>
      <c r="X681" s="133"/>
      <c r="Y681" s="133"/>
      <c r="Z681" s="133"/>
      <c r="AA681" s="133"/>
      <c r="AB681" s="133"/>
      <c r="AC681" s="133"/>
      <c r="AD681" s="133"/>
      <c r="AE681" s="133"/>
      <c r="AF681" s="133"/>
      <c r="AG681" s="133"/>
      <c r="AH681" s="133"/>
      <c r="AI681" s="133"/>
      <c r="AJ681" s="133"/>
      <c r="AK681" s="133"/>
      <c r="AL681" s="133"/>
      <c r="AM681" s="133"/>
      <c r="AN681" s="133"/>
      <c r="AO681" s="133"/>
      <c r="AP681" s="133"/>
      <c r="AQ681" s="133"/>
      <c r="AR681" s="133"/>
      <c r="AS681" s="153">
        <v>0</v>
      </c>
      <c r="AT681" s="153">
        <v>0</v>
      </c>
      <c r="AU681" s="153">
        <v>0</v>
      </c>
      <c r="AV681" s="153">
        <v>0</v>
      </c>
      <c r="AW681" s="153">
        <v>0</v>
      </c>
      <c r="AX681" s="153">
        <v>0</v>
      </c>
      <c r="AY681" s="135"/>
      <c r="AZ681" s="135"/>
      <c r="BA681" s="135"/>
      <c r="BB681" s="135"/>
      <c r="BC681" s="135"/>
      <c r="BD681" s="135"/>
      <c r="BE681" s="135"/>
      <c r="BF681" s="135"/>
      <c r="BG681" s="135"/>
      <c r="BH681" s="135"/>
      <c r="BI681" s="2" t="s">
        <v>11</v>
      </c>
      <c r="BJ681" s="136"/>
      <c r="BK681" s="2">
        <v>0</v>
      </c>
      <c r="BL681" s="136" t="s">
        <v>18</v>
      </c>
      <c r="BM681" s="136">
        <v>45301</v>
      </c>
      <c r="BN681" s="2" t="s">
        <v>2537</v>
      </c>
      <c r="BO681" s="2"/>
      <c r="BP681" s="205"/>
      <c r="BQ681" s="137" t="s">
        <v>119</v>
      </c>
      <c r="BR681" s="138"/>
    </row>
    <row r="682" spans="1:70" ht="12.75" customHeight="1" x14ac:dyDescent="0.2">
      <c r="A682" s="2">
        <v>2171</v>
      </c>
      <c r="B682" s="2" t="s">
        <v>28</v>
      </c>
      <c r="C682" s="2" t="s">
        <v>92</v>
      </c>
      <c r="D682" s="2" t="s">
        <v>2480</v>
      </c>
      <c r="E682" s="2" t="s">
        <v>117</v>
      </c>
      <c r="F682" s="132">
        <v>0</v>
      </c>
      <c r="G682" s="132">
        <v>2</v>
      </c>
      <c r="H682" s="132">
        <f>6861*1.75</f>
        <v>12006.75</v>
      </c>
      <c r="I682" s="132"/>
      <c r="J682" s="132">
        <v>12006.75</v>
      </c>
      <c r="K682" s="132">
        <f t="shared" si="70"/>
        <v>-12006.75</v>
      </c>
      <c r="L682" s="132">
        <f t="shared" si="71"/>
        <v>0</v>
      </c>
      <c r="M682" s="133"/>
      <c r="N682" s="133">
        <f t="shared" ref="N682:N745" si="74">IF(OR(BK682="принят",BK682="Завершено",BK682="ПриПро"),H682-J682,F682-J682)</f>
        <v>0</v>
      </c>
      <c r="O682" s="134">
        <v>0</v>
      </c>
      <c r="P682" s="133"/>
      <c r="Q682" s="2" t="s">
        <v>3485</v>
      </c>
      <c r="R682" s="156">
        <f t="shared" si="72"/>
        <v>0</v>
      </c>
      <c r="S682" s="156">
        <f t="shared" si="73"/>
        <v>0</v>
      </c>
      <c r="T682" s="133"/>
      <c r="U682" s="133"/>
      <c r="V682" s="133"/>
      <c r="W682" s="133"/>
      <c r="X682" s="133"/>
      <c r="Y682" s="133"/>
      <c r="Z682" s="133"/>
      <c r="AA682" s="133"/>
      <c r="AB682" s="133"/>
      <c r="AC682" s="133"/>
      <c r="AD682" s="133"/>
      <c r="AE682" s="133"/>
      <c r="AF682" s="133"/>
      <c r="AG682" s="133"/>
      <c r="AH682" s="133"/>
      <c r="AI682" s="133"/>
      <c r="AJ682" s="133"/>
      <c r="AK682" s="133"/>
      <c r="AL682" s="133"/>
      <c r="AM682" s="133"/>
      <c r="AN682" s="133"/>
      <c r="AO682" s="133"/>
      <c r="AP682" s="133"/>
      <c r="AQ682" s="133"/>
      <c r="AR682" s="133"/>
      <c r="AS682" s="153">
        <v>0</v>
      </c>
      <c r="AT682" s="153">
        <v>0</v>
      </c>
      <c r="AU682" s="153">
        <v>0</v>
      </c>
      <c r="AV682" s="153">
        <v>0</v>
      </c>
      <c r="AW682" s="153">
        <v>0</v>
      </c>
      <c r="AX682" s="153">
        <v>0</v>
      </c>
      <c r="AY682" s="135"/>
      <c r="AZ682" s="135"/>
      <c r="BA682" s="135"/>
      <c r="BB682" s="135"/>
      <c r="BC682" s="135"/>
      <c r="BD682" s="135"/>
      <c r="BE682" s="135"/>
      <c r="BF682" s="135"/>
      <c r="BG682" s="135"/>
      <c r="BH682" s="135"/>
      <c r="BI682" s="2" t="s">
        <v>112</v>
      </c>
      <c r="BJ682" s="136">
        <v>45524</v>
      </c>
      <c r="BK682" s="2" t="s">
        <v>145</v>
      </c>
      <c r="BL682" s="136" t="s">
        <v>18</v>
      </c>
      <c r="BM682" s="136">
        <v>45301</v>
      </c>
      <c r="BN682" s="2" t="s">
        <v>2538</v>
      </c>
      <c r="BO682" s="2"/>
      <c r="BP682" s="205"/>
      <c r="BQ682" s="137" t="s">
        <v>134</v>
      </c>
      <c r="BR682" s="138"/>
    </row>
    <row r="683" spans="1:70" ht="12.75" customHeight="1" x14ac:dyDescent="0.2">
      <c r="A683" s="2">
        <v>2172</v>
      </c>
      <c r="B683" s="2" t="s">
        <v>28</v>
      </c>
      <c r="C683" s="2" t="s">
        <v>92</v>
      </c>
      <c r="D683" s="2" t="s">
        <v>2481</v>
      </c>
      <c r="E683" s="2" t="s">
        <v>87</v>
      </c>
      <c r="F683" s="132">
        <v>160000</v>
      </c>
      <c r="G683" s="132">
        <v>2</v>
      </c>
      <c r="H683" s="132">
        <f>130000+397746</f>
        <v>527746</v>
      </c>
      <c r="I683" s="132">
        <f>130000+397746</f>
        <v>527746</v>
      </c>
      <c r="J683" s="132">
        <f>19830.508+AY683+397746.002</f>
        <v>527746</v>
      </c>
      <c r="K683" s="132">
        <f t="shared" si="70"/>
        <v>-367746</v>
      </c>
      <c r="L683" s="132">
        <f t="shared" si="71"/>
        <v>0</v>
      </c>
      <c r="M683" s="133">
        <v>6927</v>
      </c>
      <c r="N683" s="133">
        <f t="shared" si="74"/>
        <v>0</v>
      </c>
      <c r="O683" s="134">
        <v>0</v>
      </c>
      <c r="P683" s="133"/>
      <c r="Q683" s="2" t="s">
        <v>3485</v>
      </c>
      <c r="R683" s="156">
        <f t="shared" si="72"/>
        <v>0</v>
      </c>
      <c r="S683" s="156">
        <f t="shared" si="73"/>
        <v>0</v>
      </c>
      <c r="T683" s="133"/>
      <c r="U683" s="133"/>
      <c r="V683" s="133"/>
      <c r="W683" s="133"/>
      <c r="X683" s="133"/>
      <c r="Y683" s="133"/>
      <c r="Z683" s="133"/>
      <c r="AA683" s="133"/>
      <c r="AB683" s="133"/>
      <c r="AC683" s="133"/>
      <c r="AD683" s="133"/>
      <c r="AE683" s="133"/>
      <c r="AF683" s="133"/>
      <c r="AG683" s="133"/>
      <c r="AH683" s="133"/>
      <c r="AI683" s="133"/>
      <c r="AJ683" s="133"/>
      <c r="AK683" s="133"/>
      <c r="AL683" s="133"/>
      <c r="AM683" s="133"/>
      <c r="AN683" s="133"/>
      <c r="AO683" s="133"/>
      <c r="AP683" s="133"/>
      <c r="AQ683" s="133"/>
      <c r="AR683" s="133"/>
      <c r="AS683" s="153">
        <v>0</v>
      </c>
      <c r="AT683" s="153">
        <v>0</v>
      </c>
      <c r="AU683" s="153">
        <v>0</v>
      </c>
      <c r="AV683" s="153">
        <v>0</v>
      </c>
      <c r="AW683" s="153">
        <v>0</v>
      </c>
      <c r="AX683" s="153">
        <v>0</v>
      </c>
      <c r="AY683" s="135">
        <v>110169.49</v>
      </c>
      <c r="AZ683" s="135">
        <v>7278.73</v>
      </c>
      <c r="BA683" s="135">
        <v>0</v>
      </c>
      <c r="BB683" s="140">
        <f>(H683/1.18-AT683-AW683-AZ683)*0.1-AU683-AX683-BA683</f>
        <v>43996.364288135599</v>
      </c>
      <c r="BC683" s="135"/>
      <c r="BD683" s="135"/>
      <c r="BE683" s="135">
        <f>(H683/1.18-AT683-AW683-AZ683-BD683)*0.1-AU683-AX683-BA683-BB683</f>
        <v>0</v>
      </c>
      <c r="BF683" s="135"/>
      <c r="BG683" s="135"/>
      <c r="BH683" s="135"/>
      <c r="BI683" s="2" t="s">
        <v>11</v>
      </c>
      <c r="BJ683" s="136">
        <v>45594</v>
      </c>
      <c r="BK683" s="2" t="s">
        <v>109</v>
      </c>
      <c r="BL683" s="136" t="s">
        <v>18</v>
      </c>
      <c r="BM683" s="136">
        <v>45301</v>
      </c>
      <c r="BN683" s="2" t="s">
        <v>2539</v>
      </c>
      <c r="BO683" s="2"/>
      <c r="BP683" s="205"/>
      <c r="BQ683" s="137" t="s">
        <v>119</v>
      </c>
      <c r="BR683" s="138"/>
    </row>
    <row r="684" spans="1:70" ht="12.75" customHeight="1" x14ac:dyDescent="0.2">
      <c r="A684" s="2">
        <v>2173</v>
      </c>
      <c r="B684" s="2" t="s">
        <v>28</v>
      </c>
      <c r="C684" s="2" t="s">
        <v>88</v>
      </c>
      <c r="D684" s="2" t="s">
        <v>2482</v>
      </c>
      <c r="E684" s="2" t="s">
        <v>117</v>
      </c>
      <c r="F684" s="132">
        <v>0</v>
      </c>
      <c r="G684" s="132">
        <v>2</v>
      </c>
      <c r="H684" s="132"/>
      <c r="I684" s="132"/>
      <c r="J684" s="132"/>
      <c r="K684" s="132">
        <f t="shared" si="70"/>
        <v>0</v>
      </c>
      <c r="L684" s="132">
        <f t="shared" si="71"/>
        <v>0</v>
      </c>
      <c r="M684" s="133"/>
      <c r="N684" s="133">
        <f t="shared" si="74"/>
        <v>0</v>
      </c>
      <c r="O684" s="134">
        <v>2</v>
      </c>
      <c r="P684" s="133"/>
      <c r="Q684" s="2" t="s">
        <v>2438</v>
      </c>
      <c r="R684" s="156">
        <f t="shared" si="72"/>
        <v>0</v>
      </c>
      <c r="S684" s="156">
        <f t="shared" si="73"/>
        <v>0</v>
      </c>
      <c r="T684" s="133"/>
      <c r="U684" s="133"/>
      <c r="V684" s="133"/>
      <c r="W684" s="133"/>
      <c r="X684" s="133"/>
      <c r="Y684" s="133"/>
      <c r="Z684" s="133"/>
      <c r="AA684" s="133"/>
      <c r="AB684" s="133"/>
      <c r="AC684" s="133"/>
      <c r="AD684" s="133"/>
      <c r="AE684" s="133"/>
      <c r="AF684" s="133"/>
      <c r="AG684" s="133"/>
      <c r="AH684" s="133"/>
      <c r="AI684" s="133"/>
      <c r="AJ684" s="133"/>
      <c r="AK684" s="133"/>
      <c r="AL684" s="133"/>
      <c r="AM684" s="133"/>
      <c r="AN684" s="133"/>
      <c r="AO684" s="133"/>
      <c r="AP684" s="133"/>
      <c r="AQ684" s="133"/>
      <c r="AR684" s="133"/>
      <c r="AS684" s="153">
        <v>0</v>
      </c>
      <c r="AT684" s="153">
        <v>0</v>
      </c>
      <c r="AU684" s="153">
        <v>0</v>
      </c>
      <c r="AV684" s="153">
        <v>0</v>
      </c>
      <c r="AW684" s="153">
        <v>0</v>
      </c>
      <c r="AX684" s="153">
        <v>0</v>
      </c>
      <c r="AY684" s="135"/>
      <c r="AZ684" s="135"/>
      <c r="BA684" s="135"/>
      <c r="BB684" s="135"/>
      <c r="BC684" s="135"/>
      <c r="BD684" s="135"/>
      <c r="BE684" s="135"/>
      <c r="BF684" s="135"/>
      <c r="BG684" s="135"/>
      <c r="BH684" s="135"/>
      <c r="BI684" s="2" t="s">
        <v>112</v>
      </c>
      <c r="BJ684" s="136"/>
      <c r="BK684" s="2">
        <v>0</v>
      </c>
      <c r="BL684" s="136" t="s">
        <v>18</v>
      </c>
      <c r="BM684" s="136">
        <v>45301</v>
      </c>
      <c r="BN684" s="2" t="s">
        <v>2540</v>
      </c>
      <c r="BO684" s="2"/>
      <c r="BP684" s="205"/>
      <c r="BQ684" s="137" t="s">
        <v>134</v>
      </c>
      <c r="BR684" s="138"/>
    </row>
    <row r="685" spans="1:70" ht="12.75" customHeight="1" x14ac:dyDescent="0.2">
      <c r="A685" s="2">
        <v>2174</v>
      </c>
      <c r="B685" s="2" t="s">
        <v>28</v>
      </c>
      <c r="C685" s="2" t="s">
        <v>88</v>
      </c>
      <c r="D685" s="2" t="s">
        <v>2483</v>
      </c>
      <c r="E685" s="2" t="s">
        <v>87</v>
      </c>
      <c r="F685" s="132">
        <v>160000</v>
      </c>
      <c r="G685" s="132">
        <v>2</v>
      </c>
      <c r="H685" s="132">
        <f>R685</f>
        <v>0</v>
      </c>
      <c r="I685" s="132"/>
      <c r="J685" s="132">
        <f>S685</f>
        <v>0</v>
      </c>
      <c r="K685" s="132">
        <f t="shared" si="70"/>
        <v>160000</v>
      </c>
      <c r="L685" s="132">
        <f t="shared" si="71"/>
        <v>0</v>
      </c>
      <c r="M685" s="133"/>
      <c r="N685" s="133">
        <f t="shared" si="74"/>
        <v>160000</v>
      </c>
      <c r="O685" s="134">
        <v>1</v>
      </c>
      <c r="P685" s="133"/>
      <c r="Q685" s="2" t="s">
        <v>2438</v>
      </c>
      <c r="R685" s="156">
        <f t="shared" si="72"/>
        <v>0</v>
      </c>
      <c r="S685" s="156">
        <f t="shared" si="73"/>
        <v>0</v>
      </c>
      <c r="T685" s="133"/>
      <c r="U685" s="133"/>
      <c r="V685" s="133"/>
      <c r="W685" s="133"/>
      <c r="X685" s="133"/>
      <c r="Y685" s="133"/>
      <c r="Z685" s="133"/>
      <c r="AA685" s="133"/>
      <c r="AB685" s="133"/>
      <c r="AC685" s="133"/>
      <c r="AD685" s="133"/>
      <c r="AE685" s="133"/>
      <c r="AF685" s="133"/>
      <c r="AG685" s="133"/>
      <c r="AH685" s="133"/>
      <c r="AI685" s="133"/>
      <c r="AJ685" s="133"/>
      <c r="AK685" s="133"/>
      <c r="AL685" s="133"/>
      <c r="AM685" s="133"/>
      <c r="AN685" s="133"/>
      <c r="AO685" s="133"/>
      <c r="AP685" s="133"/>
      <c r="AQ685" s="133"/>
      <c r="AR685" s="133"/>
      <c r="AS685" s="153">
        <v>0</v>
      </c>
      <c r="AT685" s="153">
        <v>0</v>
      </c>
      <c r="AU685" s="153">
        <v>0</v>
      </c>
      <c r="AV685" s="153">
        <v>0</v>
      </c>
      <c r="AW685" s="153">
        <v>0</v>
      </c>
      <c r="AX685" s="153">
        <v>0</v>
      </c>
      <c r="AY685" s="135"/>
      <c r="AZ685" s="135"/>
      <c r="BA685" s="135"/>
      <c r="BB685" s="135"/>
      <c r="BC685" s="135"/>
      <c r="BD685" s="135"/>
      <c r="BE685" s="135"/>
      <c r="BF685" s="135"/>
      <c r="BG685" s="135"/>
      <c r="BH685" s="135"/>
      <c r="BI685" s="2" t="s">
        <v>11</v>
      </c>
      <c r="BJ685" s="136"/>
      <c r="BK685" s="2">
        <v>0</v>
      </c>
      <c r="BL685" s="136" t="s">
        <v>18</v>
      </c>
      <c r="BM685" s="136">
        <v>45301</v>
      </c>
      <c r="BN685" s="2" t="s">
        <v>2541</v>
      </c>
      <c r="BO685" s="2"/>
      <c r="BP685" s="205"/>
      <c r="BQ685" s="137" t="s">
        <v>119</v>
      </c>
      <c r="BR685" s="138"/>
    </row>
    <row r="686" spans="1:70" ht="12.75" customHeight="1" x14ac:dyDescent="0.2">
      <c r="A686" s="2">
        <v>2175</v>
      </c>
      <c r="B686" s="2" t="s">
        <v>28</v>
      </c>
      <c r="C686" s="2" t="s">
        <v>92</v>
      </c>
      <c r="D686" s="2" t="s">
        <v>2484</v>
      </c>
      <c r="E686" s="2" t="s">
        <v>117</v>
      </c>
      <c r="F686" s="132">
        <f>3009*1.75</f>
        <v>5265.75</v>
      </c>
      <c r="G686" s="132">
        <v>2</v>
      </c>
      <c r="H686" s="132">
        <f>3009*1.75</f>
        <v>5265.75</v>
      </c>
      <c r="I686" s="132"/>
      <c r="J686" s="132">
        <f>803.25+4462.5</f>
        <v>5265.75</v>
      </c>
      <c r="K686" s="132">
        <f t="shared" si="70"/>
        <v>0</v>
      </c>
      <c r="L686" s="132">
        <f t="shared" si="71"/>
        <v>0</v>
      </c>
      <c r="M686" s="133"/>
      <c r="N686" s="133">
        <f t="shared" si="74"/>
        <v>0</v>
      </c>
      <c r="O686" s="134">
        <v>0</v>
      </c>
      <c r="P686" s="133"/>
      <c r="Q686" s="2" t="s">
        <v>2439</v>
      </c>
      <c r="R686" s="156">
        <f t="shared" si="72"/>
        <v>0</v>
      </c>
      <c r="S686" s="156">
        <f t="shared" si="73"/>
        <v>0</v>
      </c>
      <c r="T686" s="133"/>
      <c r="U686" s="133"/>
      <c r="V686" s="133"/>
      <c r="W686" s="133"/>
      <c r="X686" s="133"/>
      <c r="Y686" s="133"/>
      <c r="Z686" s="133"/>
      <c r="AA686" s="133"/>
      <c r="AB686" s="133"/>
      <c r="AC686" s="133"/>
      <c r="AD686" s="133"/>
      <c r="AE686" s="133"/>
      <c r="AF686" s="133"/>
      <c r="AG686" s="133"/>
      <c r="AH686" s="133"/>
      <c r="AI686" s="133"/>
      <c r="AJ686" s="133"/>
      <c r="AK686" s="133"/>
      <c r="AL686" s="133"/>
      <c r="AM686" s="133"/>
      <c r="AN686" s="133"/>
      <c r="AO686" s="133"/>
      <c r="AP686" s="133"/>
      <c r="AQ686" s="133"/>
      <c r="AR686" s="133"/>
      <c r="AS686" s="153">
        <v>0</v>
      </c>
      <c r="AT686" s="153">
        <v>0</v>
      </c>
      <c r="AU686" s="153">
        <v>0</v>
      </c>
      <c r="AV686" s="153">
        <v>0</v>
      </c>
      <c r="AW686" s="153">
        <v>0</v>
      </c>
      <c r="AX686" s="153">
        <v>0</v>
      </c>
      <c r="AY686" s="135"/>
      <c r="AZ686" s="135"/>
      <c r="BA686" s="135"/>
      <c r="BB686" s="135"/>
      <c r="BC686" s="135"/>
      <c r="BD686" s="135"/>
      <c r="BE686" s="135"/>
      <c r="BF686" s="135"/>
      <c r="BG686" s="135"/>
      <c r="BH686" s="135"/>
      <c r="BI686" s="2" t="s">
        <v>112</v>
      </c>
      <c r="BJ686" s="136">
        <v>45428</v>
      </c>
      <c r="BK686" s="2" t="s">
        <v>145</v>
      </c>
      <c r="BL686" s="136" t="s">
        <v>18</v>
      </c>
      <c r="BM686" s="136">
        <v>45301</v>
      </c>
      <c r="BN686" s="2" t="s">
        <v>2542</v>
      </c>
      <c r="BO686" s="2"/>
      <c r="BP686" s="205"/>
      <c r="BQ686" s="137" t="s">
        <v>134</v>
      </c>
      <c r="BR686" s="138"/>
    </row>
    <row r="687" spans="1:70" ht="12.75" customHeight="1" x14ac:dyDescent="0.2">
      <c r="A687" s="2">
        <v>2176</v>
      </c>
      <c r="B687" s="2" t="s">
        <v>28</v>
      </c>
      <c r="C687" s="2" t="s">
        <v>92</v>
      </c>
      <c r="D687" s="2" t="s">
        <v>2485</v>
      </c>
      <c r="E687" s="2" t="s">
        <v>87</v>
      </c>
      <c r="F687" s="132">
        <v>150000</v>
      </c>
      <c r="G687" s="132">
        <v>2</v>
      </c>
      <c r="H687" s="132">
        <f>150000+204073.68</f>
        <v>354073.68</v>
      </c>
      <c r="I687" s="132">
        <f>150000+204073.68</f>
        <v>354073.68</v>
      </c>
      <c r="J687" s="132">
        <f>AY687+22881.36+204073.68</f>
        <v>354073.69</v>
      </c>
      <c r="K687" s="132">
        <f t="shared" si="70"/>
        <v>-204073.69</v>
      </c>
      <c r="L687" s="132">
        <f t="shared" si="71"/>
        <v>-1.0000000009313226E-2</v>
      </c>
      <c r="M687" s="133">
        <v>2795</v>
      </c>
      <c r="N687" s="133">
        <f t="shared" si="74"/>
        <v>-1.0000000009313226E-2</v>
      </c>
      <c r="O687" s="134">
        <v>0</v>
      </c>
      <c r="P687" s="133"/>
      <c r="Q687" s="2" t="s">
        <v>2439</v>
      </c>
      <c r="R687" s="156">
        <f t="shared" si="72"/>
        <v>0</v>
      </c>
      <c r="S687" s="156">
        <f t="shared" si="73"/>
        <v>0</v>
      </c>
      <c r="T687" s="133"/>
      <c r="U687" s="133"/>
      <c r="V687" s="133"/>
      <c r="W687" s="133"/>
      <c r="X687" s="133"/>
      <c r="Y687" s="133"/>
      <c r="Z687" s="133"/>
      <c r="AA687" s="133"/>
      <c r="AB687" s="133"/>
      <c r="AC687" s="133"/>
      <c r="AD687" s="133"/>
      <c r="AE687" s="133"/>
      <c r="AF687" s="133"/>
      <c r="AG687" s="133"/>
      <c r="AH687" s="133"/>
      <c r="AI687" s="133"/>
      <c r="AJ687" s="133"/>
      <c r="AK687" s="133"/>
      <c r="AL687" s="133"/>
      <c r="AM687" s="133"/>
      <c r="AN687" s="133"/>
      <c r="AO687" s="133"/>
      <c r="AP687" s="133"/>
      <c r="AQ687" s="133"/>
      <c r="AR687" s="133"/>
      <c r="AS687" s="153">
        <v>0</v>
      </c>
      <c r="AT687" s="153">
        <v>0</v>
      </c>
      <c r="AU687" s="153">
        <v>0</v>
      </c>
      <c r="AV687" s="153">
        <v>0</v>
      </c>
      <c r="AW687" s="153">
        <v>0</v>
      </c>
      <c r="AX687" s="153">
        <v>0</v>
      </c>
      <c r="AY687" s="135">
        <f>127118.65</f>
        <v>127118.65</v>
      </c>
      <c r="AZ687" s="135">
        <v>10059.790000000001</v>
      </c>
      <c r="BA687" s="135">
        <v>0</v>
      </c>
      <c r="BB687" s="140">
        <f>(H687/1.18-AT687-AW687-AZ687)*0.1-AU687-AX687-BA687</f>
        <v>29000.265067796616</v>
      </c>
      <c r="BC687" s="135"/>
      <c r="BD687" s="135"/>
      <c r="BE687" s="135">
        <f>(H687/1.18-AT687-AW687-AZ687-BD687)*0.1-AU687-AX687-BA687-BB687</f>
        <v>0</v>
      </c>
      <c r="BF687" s="135"/>
      <c r="BG687" s="135"/>
      <c r="BH687" s="135"/>
      <c r="BI687" s="2" t="s">
        <v>11</v>
      </c>
      <c r="BJ687" s="136">
        <v>45562</v>
      </c>
      <c r="BK687" s="2" t="s">
        <v>109</v>
      </c>
      <c r="BL687" s="136" t="s">
        <v>18</v>
      </c>
      <c r="BM687" s="136">
        <v>45301</v>
      </c>
      <c r="BN687" s="2" t="s">
        <v>2543</v>
      </c>
      <c r="BO687" s="2"/>
      <c r="BP687" s="205"/>
      <c r="BQ687" s="137" t="s">
        <v>119</v>
      </c>
      <c r="BR687" s="138"/>
    </row>
    <row r="688" spans="1:70" ht="12.75" customHeight="1" x14ac:dyDescent="0.2">
      <c r="A688" s="2">
        <v>2177</v>
      </c>
      <c r="B688" s="2" t="s">
        <v>28</v>
      </c>
      <c r="C688" s="2" t="s">
        <v>92</v>
      </c>
      <c r="D688" s="2" t="s">
        <v>2573</v>
      </c>
      <c r="E688" s="2" t="s">
        <v>87</v>
      </c>
      <c r="F688" s="132">
        <v>120000</v>
      </c>
      <c r="G688" s="132">
        <v>2</v>
      </c>
      <c r="H688" s="132">
        <f>40000+R688</f>
        <v>81413.11</v>
      </c>
      <c r="I688" s="132"/>
      <c r="J688" s="132">
        <f>S688+AY688+BC688</f>
        <v>81413.11</v>
      </c>
      <c r="K688" s="132">
        <f t="shared" si="70"/>
        <v>38586.89</v>
      </c>
      <c r="L688" s="132">
        <f t="shared" si="71"/>
        <v>0</v>
      </c>
      <c r="M688" s="133">
        <v>0</v>
      </c>
      <c r="N688" s="133">
        <f t="shared" si="74"/>
        <v>0</v>
      </c>
      <c r="O688" s="134">
        <v>1</v>
      </c>
      <c r="P688" s="133"/>
      <c r="Q688" s="2" t="s">
        <v>2440</v>
      </c>
      <c r="R688" s="156">
        <f t="shared" si="72"/>
        <v>41413.11</v>
      </c>
      <c r="S688" s="156">
        <f t="shared" si="73"/>
        <v>47514.8</v>
      </c>
      <c r="T688" s="133"/>
      <c r="U688" s="133"/>
      <c r="V688" s="133"/>
      <c r="W688" s="133"/>
      <c r="X688" s="133"/>
      <c r="Y688" s="133"/>
      <c r="Z688" s="133">
        <v>41413.11</v>
      </c>
      <c r="AA688" s="133"/>
      <c r="AB688" s="133"/>
      <c r="AC688" s="133">
        <v>6317.25</v>
      </c>
      <c r="AD688" s="133"/>
      <c r="AE688" s="133">
        <v>41197.550000000003</v>
      </c>
      <c r="AF688" s="133"/>
      <c r="AG688" s="133"/>
      <c r="AH688" s="133"/>
      <c r="AI688" s="133"/>
      <c r="AJ688" s="133"/>
      <c r="AK688" s="133"/>
      <c r="AL688" s="133"/>
      <c r="AM688" s="133"/>
      <c r="AN688" s="133"/>
      <c r="AO688" s="133"/>
      <c r="AP688" s="133"/>
      <c r="AQ688" s="133"/>
      <c r="AR688" s="133"/>
      <c r="AS688" s="153">
        <v>0</v>
      </c>
      <c r="AT688" s="153">
        <v>0</v>
      </c>
      <c r="AU688" s="153">
        <v>0</v>
      </c>
      <c r="AV688" s="153">
        <v>0</v>
      </c>
      <c r="AW688" s="153">
        <v>0</v>
      </c>
      <c r="AX688" s="153">
        <v>0</v>
      </c>
      <c r="AY688" s="135">
        <v>33898.31</v>
      </c>
      <c r="AZ688" s="135">
        <v>3101</v>
      </c>
      <c r="BA688" s="135"/>
      <c r="BB688" s="135"/>
      <c r="BC688" s="135"/>
      <c r="BD688" s="135"/>
      <c r="BE688" s="264">
        <f>(H688/1.18-AT688-AW688-AZ688-BD688)*0.1-AU688-AX688-BA688-BB688</f>
        <v>6589.3161016949161</v>
      </c>
      <c r="BF688" s="264"/>
      <c r="BG688" s="135"/>
      <c r="BH688" s="135"/>
      <c r="BI688" s="2" t="s">
        <v>11</v>
      </c>
      <c r="BJ688" s="136">
        <v>45777</v>
      </c>
      <c r="BK688" s="2" t="s">
        <v>8</v>
      </c>
      <c r="BL688" s="136" t="s">
        <v>18</v>
      </c>
      <c r="BM688" s="136">
        <v>45301</v>
      </c>
      <c r="BN688" s="2" t="s">
        <v>2544</v>
      </c>
      <c r="BO688" s="2"/>
      <c r="BP688" s="205"/>
      <c r="BQ688" s="137" t="s">
        <v>119</v>
      </c>
      <c r="BR688" s="138"/>
    </row>
    <row r="689" spans="1:70" ht="12.75" customHeight="1" x14ac:dyDescent="0.2">
      <c r="A689" s="2">
        <v>2178</v>
      </c>
      <c r="B689" s="2" t="s">
        <v>28</v>
      </c>
      <c r="C689" s="2" t="s">
        <v>88</v>
      </c>
      <c r="D689" s="2" t="s">
        <v>2486</v>
      </c>
      <c r="E689" s="2" t="s">
        <v>117</v>
      </c>
      <c r="F689" s="132">
        <v>934.5</v>
      </c>
      <c r="G689" s="132">
        <v>2</v>
      </c>
      <c r="H689" s="132">
        <f>534*1.75</f>
        <v>934.5</v>
      </c>
      <c r="I689" s="132"/>
      <c r="J689" s="132">
        <v>934.5</v>
      </c>
      <c r="K689" s="132">
        <f t="shared" si="70"/>
        <v>0</v>
      </c>
      <c r="L689" s="132">
        <f t="shared" si="71"/>
        <v>0</v>
      </c>
      <c r="M689" s="133"/>
      <c r="N689" s="133">
        <f t="shared" si="74"/>
        <v>0</v>
      </c>
      <c r="O689" s="134">
        <v>0</v>
      </c>
      <c r="P689" s="133"/>
      <c r="Q689" s="2" t="s">
        <v>2441</v>
      </c>
      <c r="R689" s="156">
        <f t="shared" si="72"/>
        <v>0</v>
      </c>
      <c r="S689" s="156">
        <f t="shared" si="73"/>
        <v>0</v>
      </c>
      <c r="T689" s="133"/>
      <c r="U689" s="133"/>
      <c r="V689" s="133"/>
      <c r="W689" s="133"/>
      <c r="X689" s="133"/>
      <c r="Y689" s="133"/>
      <c r="Z689" s="133"/>
      <c r="AA689" s="133"/>
      <c r="AB689" s="133"/>
      <c r="AC689" s="133"/>
      <c r="AD689" s="133"/>
      <c r="AE689" s="133"/>
      <c r="AF689" s="133"/>
      <c r="AG689" s="133"/>
      <c r="AH689" s="133"/>
      <c r="AI689" s="133"/>
      <c r="AJ689" s="133"/>
      <c r="AK689" s="133"/>
      <c r="AL689" s="133"/>
      <c r="AM689" s="133"/>
      <c r="AN689" s="133"/>
      <c r="AO689" s="133"/>
      <c r="AP689" s="133"/>
      <c r="AQ689" s="133"/>
      <c r="AR689" s="133"/>
      <c r="AS689" s="153">
        <v>0</v>
      </c>
      <c r="AT689" s="153">
        <v>0</v>
      </c>
      <c r="AU689" s="153">
        <v>0</v>
      </c>
      <c r="AV689" s="153">
        <v>0</v>
      </c>
      <c r="AW689" s="153">
        <v>0</v>
      </c>
      <c r="AX689" s="153">
        <v>0</v>
      </c>
      <c r="AY689" s="135"/>
      <c r="AZ689" s="135"/>
      <c r="BA689" s="135"/>
      <c r="BB689" s="135"/>
      <c r="BC689" s="135"/>
      <c r="BD689" s="135"/>
      <c r="BE689" s="135"/>
      <c r="BF689" s="135"/>
      <c r="BG689" s="135"/>
      <c r="BH689" s="135"/>
      <c r="BI689" s="2" t="s">
        <v>112</v>
      </c>
      <c r="BJ689" s="136">
        <v>45639</v>
      </c>
      <c r="BK689" s="2" t="s">
        <v>145</v>
      </c>
      <c r="BL689" s="136" t="s">
        <v>18</v>
      </c>
      <c r="BM689" s="136">
        <v>45301</v>
      </c>
      <c r="BN689" s="2" t="s">
        <v>2545</v>
      </c>
      <c r="BO689" s="2"/>
      <c r="BP689" s="205"/>
      <c r="BQ689" s="137" t="s">
        <v>134</v>
      </c>
      <c r="BR689" s="138"/>
    </row>
    <row r="690" spans="1:70" ht="12.75" customHeight="1" x14ac:dyDescent="0.2">
      <c r="A690" s="2">
        <v>2179</v>
      </c>
      <c r="B690" s="2" t="s">
        <v>28</v>
      </c>
      <c r="C690" s="2" t="s">
        <v>88</v>
      </c>
      <c r="D690" s="2" t="s">
        <v>2487</v>
      </c>
      <c r="E690" s="2" t="s">
        <v>87</v>
      </c>
      <c r="F690" s="132">
        <v>110000</v>
      </c>
      <c r="G690" s="132">
        <v>2</v>
      </c>
      <c r="H690" s="132">
        <f>R690</f>
        <v>0</v>
      </c>
      <c r="I690" s="132"/>
      <c r="J690" s="132">
        <f>S690</f>
        <v>0</v>
      </c>
      <c r="K690" s="132">
        <f t="shared" si="70"/>
        <v>110000</v>
      </c>
      <c r="L690" s="132">
        <f t="shared" si="71"/>
        <v>0</v>
      </c>
      <c r="M690" s="133"/>
      <c r="N690" s="133">
        <f t="shared" si="74"/>
        <v>110000</v>
      </c>
      <c r="O690" s="134">
        <v>1</v>
      </c>
      <c r="P690" s="133"/>
      <c r="Q690" s="2" t="s">
        <v>2441</v>
      </c>
      <c r="R690" s="156">
        <f t="shared" si="72"/>
        <v>0</v>
      </c>
      <c r="S690" s="156">
        <f t="shared" si="73"/>
        <v>0</v>
      </c>
      <c r="T690" s="133"/>
      <c r="U690" s="133"/>
      <c r="V690" s="133"/>
      <c r="W690" s="133"/>
      <c r="X690" s="133"/>
      <c r="Y690" s="133"/>
      <c r="Z690" s="133"/>
      <c r="AA690" s="133"/>
      <c r="AB690" s="133"/>
      <c r="AC690" s="133"/>
      <c r="AD690" s="133"/>
      <c r="AE690" s="133"/>
      <c r="AF690" s="133"/>
      <c r="AG690" s="133"/>
      <c r="AH690" s="133"/>
      <c r="AI690" s="133"/>
      <c r="AJ690" s="133"/>
      <c r="AK690" s="133"/>
      <c r="AL690" s="133"/>
      <c r="AM690" s="133"/>
      <c r="AN690" s="133"/>
      <c r="AO690" s="133"/>
      <c r="AP690" s="133"/>
      <c r="AQ690" s="133"/>
      <c r="AR690" s="133"/>
      <c r="AS690" s="153">
        <v>0</v>
      </c>
      <c r="AT690" s="153">
        <v>0</v>
      </c>
      <c r="AU690" s="153">
        <v>0</v>
      </c>
      <c r="AV690" s="153">
        <v>0</v>
      </c>
      <c r="AW690" s="153">
        <v>0</v>
      </c>
      <c r="AX690" s="153">
        <v>0</v>
      </c>
      <c r="AY690" s="135"/>
      <c r="AZ690" s="135"/>
      <c r="BA690" s="135"/>
      <c r="BB690" s="135"/>
      <c r="BC690" s="135"/>
      <c r="BD690" s="135"/>
      <c r="BE690" s="135"/>
      <c r="BF690" s="135"/>
      <c r="BG690" s="135"/>
      <c r="BH690" s="135"/>
      <c r="BI690" s="2" t="s">
        <v>11</v>
      </c>
      <c r="BJ690" s="136"/>
      <c r="BK690" s="2">
        <v>0</v>
      </c>
      <c r="BL690" s="136" t="s">
        <v>18</v>
      </c>
      <c r="BM690" s="136">
        <v>45301</v>
      </c>
      <c r="BN690" s="2" t="s">
        <v>2546</v>
      </c>
      <c r="BO690" s="2"/>
      <c r="BP690" s="205"/>
      <c r="BQ690" s="137" t="s">
        <v>119</v>
      </c>
      <c r="BR690" s="138"/>
    </row>
    <row r="691" spans="1:70" ht="12.75" customHeight="1" x14ac:dyDescent="0.2">
      <c r="A691" s="2">
        <v>2180</v>
      </c>
      <c r="B691" s="2" t="s">
        <v>28</v>
      </c>
      <c r="C691" s="2" t="s">
        <v>88</v>
      </c>
      <c r="D691" s="2" t="s">
        <v>2488</v>
      </c>
      <c r="E691" s="2" t="s">
        <v>117</v>
      </c>
      <c r="F691" s="132">
        <v>0</v>
      </c>
      <c r="G691" s="132">
        <v>2</v>
      </c>
      <c r="H691" s="132">
        <f>1064*1.75</f>
        <v>1862</v>
      </c>
      <c r="I691" s="132"/>
      <c r="J691" s="132">
        <v>1862</v>
      </c>
      <c r="K691" s="132">
        <f t="shared" si="70"/>
        <v>-1862</v>
      </c>
      <c r="L691" s="132">
        <f t="shared" si="71"/>
        <v>0</v>
      </c>
      <c r="M691" s="133"/>
      <c r="N691" s="133">
        <f t="shared" si="74"/>
        <v>0</v>
      </c>
      <c r="O691" s="134">
        <v>0</v>
      </c>
      <c r="P691" s="133"/>
      <c r="Q691" s="2" t="s">
        <v>2442</v>
      </c>
      <c r="R691" s="156">
        <f t="shared" si="72"/>
        <v>0</v>
      </c>
      <c r="S691" s="156">
        <f t="shared" si="73"/>
        <v>0</v>
      </c>
      <c r="T691" s="133"/>
      <c r="U691" s="133"/>
      <c r="V691" s="133"/>
      <c r="W691" s="133"/>
      <c r="X691" s="133"/>
      <c r="Y691" s="133"/>
      <c r="Z691" s="133"/>
      <c r="AA691" s="133"/>
      <c r="AB691" s="133"/>
      <c r="AC691" s="133"/>
      <c r="AD691" s="133"/>
      <c r="AE691" s="133"/>
      <c r="AF691" s="133"/>
      <c r="AG691" s="133"/>
      <c r="AH691" s="133"/>
      <c r="AI691" s="133"/>
      <c r="AJ691" s="133"/>
      <c r="AK691" s="133"/>
      <c r="AL691" s="133"/>
      <c r="AM691" s="133"/>
      <c r="AN691" s="133"/>
      <c r="AO691" s="133"/>
      <c r="AP691" s="133"/>
      <c r="AQ691" s="133"/>
      <c r="AR691" s="133"/>
      <c r="AS691" s="153">
        <v>0</v>
      </c>
      <c r="AT691" s="153">
        <v>0</v>
      </c>
      <c r="AU691" s="153">
        <v>0</v>
      </c>
      <c r="AV691" s="153">
        <v>0</v>
      </c>
      <c r="AW691" s="153">
        <v>0</v>
      </c>
      <c r="AX691" s="153">
        <v>0</v>
      </c>
      <c r="AY691" s="135"/>
      <c r="AZ691" s="135"/>
      <c r="BA691" s="135"/>
      <c r="BB691" s="135"/>
      <c r="BC691" s="135"/>
      <c r="BD691" s="135"/>
      <c r="BE691" s="135"/>
      <c r="BF691" s="135"/>
      <c r="BG691" s="135"/>
      <c r="BH691" s="135"/>
      <c r="BI691" s="2" t="s">
        <v>112</v>
      </c>
      <c r="BJ691" s="136">
        <v>45524</v>
      </c>
      <c r="BK691" s="2" t="s">
        <v>145</v>
      </c>
      <c r="BL691" s="136" t="s">
        <v>18</v>
      </c>
      <c r="BM691" s="136">
        <v>45301</v>
      </c>
      <c r="BN691" s="2" t="s">
        <v>2547</v>
      </c>
      <c r="BO691" s="2"/>
      <c r="BP691" s="205"/>
      <c r="BQ691" s="137" t="s">
        <v>134</v>
      </c>
      <c r="BR691" s="138"/>
    </row>
    <row r="692" spans="1:70" ht="12.75" customHeight="1" x14ac:dyDescent="0.2">
      <c r="A692" s="2">
        <v>2181</v>
      </c>
      <c r="B692" s="2" t="s">
        <v>28</v>
      </c>
      <c r="C692" s="2" t="s">
        <v>88</v>
      </c>
      <c r="D692" s="2" t="s">
        <v>2489</v>
      </c>
      <c r="E692" s="2" t="s">
        <v>87</v>
      </c>
      <c r="F692" s="132">
        <v>105000</v>
      </c>
      <c r="G692" s="132">
        <v>2</v>
      </c>
      <c r="H692" s="132">
        <f>300000+5000+R692</f>
        <v>425215.93</v>
      </c>
      <c r="I692" s="132"/>
      <c r="J692" s="132">
        <f>45762.71+762.71+S692+AY692+BC692</f>
        <v>425215.9</v>
      </c>
      <c r="K692" s="132">
        <f t="shared" si="70"/>
        <v>-320215.90000000002</v>
      </c>
      <c r="L692" s="132">
        <f t="shared" si="71"/>
        <v>2.9999999969732016E-2</v>
      </c>
      <c r="M692" s="133">
        <v>4123</v>
      </c>
      <c r="N692" s="133">
        <f t="shared" si="74"/>
        <v>2.9999999969732016E-2</v>
      </c>
      <c r="O692" s="134">
        <v>1</v>
      </c>
      <c r="P692" s="133"/>
      <c r="Q692" s="2" t="s">
        <v>2442</v>
      </c>
      <c r="R692" s="156">
        <f t="shared" si="72"/>
        <v>120215.93</v>
      </c>
      <c r="S692" s="156">
        <f t="shared" si="73"/>
        <v>124453.19</v>
      </c>
      <c r="T692" s="133"/>
      <c r="U692" s="133"/>
      <c r="V692" s="133"/>
      <c r="W692" s="133"/>
      <c r="X692" s="133"/>
      <c r="Y692" s="133"/>
      <c r="Z692" s="133"/>
      <c r="AA692" s="133"/>
      <c r="AB692" s="133">
        <v>120215.93</v>
      </c>
      <c r="AC692" s="133"/>
      <c r="AD692" s="133"/>
      <c r="AE692" s="133">
        <f>18338.02+106115.17</f>
        <v>124453.19</v>
      </c>
      <c r="AF692" s="133"/>
      <c r="AG692" s="133"/>
      <c r="AH692" s="133"/>
      <c r="AI692" s="133"/>
      <c r="AJ692" s="133"/>
      <c r="AK692" s="133"/>
      <c r="AL692" s="133"/>
      <c r="AM692" s="133"/>
      <c r="AN692" s="133"/>
      <c r="AO692" s="133"/>
      <c r="AP692" s="133"/>
      <c r="AQ692" s="133"/>
      <c r="AR692" s="133"/>
      <c r="AS692" s="153">
        <v>0</v>
      </c>
      <c r="AT692" s="153">
        <v>0</v>
      </c>
      <c r="AU692" s="153">
        <v>0</v>
      </c>
      <c r="AV692" s="153">
        <v>0</v>
      </c>
      <c r="AW692" s="153">
        <v>0</v>
      </c>
      <c r="AX692" s="153">
        <v>0</v>
      </c>
      <c r="AY692" s="135">
        <v>254237.29</v>
      </c>
      <c r="AZ692" s="135">
        <v>16797.070000000007</v>
      </c>
      <c r="BA692" s="135"/>
      <c r="BB692" s="135"/>
      <c r="BC692" s="135"/>
      <c r="BD692" s="135"/>
      <c r="BE692" s="264">
        <f>(H692/1.18-AT692-AW692-AZ692-BD692)*0.1-AU692-AX692-BA692-BB692</f>
        <v>34355.541305084749</v>
      </c>
      <c r="BF692" s="264"/>
      <c r="BG692" s="135"/>
      <c r="BH692" s="135"/>
      <c r="BI692" s="2" t="s">
        <v>11</v>
      </c>
      <c r="BJ692" s="136">
        <v>45800</v>
      </c>
      <c r="BK692" s="2" t="s">
        <v>109</v>
      </c>
      <c r="BL692" s="136" t="s">
        <v>18</v>
      </c>
      <c r="BM692" s="136">
        <v>45301</v>
      </c>
      <c r="BN692" s="2" t="s">
        <v>2548</v>
      </c>
      <c r="BO692" s="2"/>
      <c r="BP692" s="205"/>
      <c r="BQ692" s="137" t="s">
        <v>119</v>
      </c>
      <c r="BR692" s="138"/>
    </row>
    <row r="693" spans="1:70" ht="12.75" customHeight="1" x14ac:dyDescent="0.2">
      <c r="A693" s="2">
        <v>2182</v>
      </c>
      <c r="B693" s="2" t="s">
        <v>55</v>
      </c>
      <c r="C693" s="2" t="s">
        <v>103</v>
      </c>
      <c r="D693" s="2" t="s">
        <v>2490</v>
      </c>
      <c r="E693" s="2" t="s">
        <v>87</v>
      </c>
      <c r="F693" s="132">
        <v>90000</v>
      </c>
      <c r="G693" s="132">
        <v>2</v>
      </c>
      <c r="H693" s="132">
        <f>50000+62271.33</f>
        <v>112271.33</v>
      </c>
      <c r="I693" s="132">
        <f>50000+62271.33</f>
        <v>112271.33</v>
      </c>
      <c r="J693" s="132">
        <f>AY693+69898.45</f>
        <v>112271.32999999999</v>
      </c>
      <c r="K693" s="132">
        <f t="shared" si="70"/>
        <v>-22271.329999999987</v>
      </c>
      <c r="L693" s="132">
        <f t="shared" si="71"/>
        <v>0</v>
      </c>
      <c r="M693" s="135">
        <v>0</v>
      </c>
      <c r="N693" s="133">
        <f t="shared" si="74"/>
        <v>1.4551915228366852E-11</v>
      </c>
      <c r="O693" s="134">
        <v>0</v>
      </c>
      <c r="P693" s="133"/>
      <c r="Q693" s="2" t="s">
        <v>2443</v>
      </c>
      <c r="R693" s="156">
        <f t="shared" si="72"/>
        <v>0</v>
      </c>
      <c r="S693" s="156">
        <f t="shared" si="73"/>
        <v>0</v>
      </c>
      <c r="T693" s="133"/>
      <c r="U693" s="133"/>
      <c r="V693" s="133"/>
      <c r="W693" s="133"/>
      <c r="X693" s="133"/>
      <c r="Y693" s="133"/>
      <c r="Z693" s="133"/>
      <c r="AA693" s="133"/>
      <c r="AB693" s="133"/>
      <c r="AC693" s="133"/>
      <c r="AD693" s="133"/>
      <c r="AE693" s="133"/>
      <c r="AF693" s="133"/>
      <c r="AG693" s="133"/>
      <c r="AH693" s="133"/>
      <c r="AI693" s="133"/>
      <c r="AJ693" s="133"/>
      <c r="AK693" s="133"/>
      <c r="AL693" s="133"/>
      <c r="AM693" s="133"/>
      <c r="AN693" s="133"/>
      <c r="AO693" s="133"/>
      <c r="AP693" s="133"/>
      <c r="AQ693" s="133"/>
      <c r="AR693" s="133"/>
      <c r="AS693" s="153">
        <v>0</v>
      </c>
      <c r="AT693" s="153">
        <v>0</v>
      </c>
      <c r="AU693" s="153">
        <v>0</v>
      </c>
      <c r="AV693" s="153">
        <v>0</v>
      </c>
      <c r="AW693" s="153">
        <v>0</v>
      </c>
      <c r="AX693" s="153">
        <v>0</v>
      </c>
      <c r="AY693" s="135">
        <v>42372.88</v>
      </c>
      <c r="AZ693" s="135">
        <v>3876.25</v>
      </c>
      <c r="BA693" s="135">
        <v>0</v>
      </c>
      <c r="BB693" s="140">
        <f>(H693/1.18-AT693-AW693-AZ693)*0.1-AU693-AX693-BA693</f>
        <v>9126.8944915254233</v>
      </c>
      <c r="BC693" s="135"/>
      <c r="BD693" s="135"/>
      <c r="BE693" s="135">
        <f>(H693/1.18-AT693-AW693-AZ693-BD693)*0.1-AU693-AX693-BA693-BB693</f>
        <v>0</v>
      </c>
      <c r="BF693" s="135"/>
      <c r="BG693" s="135"/>
      <c r="BH693" s="135"/>
      <c r="BI693" s="2" t="s">
        <v>11</v>
      </c>
      <c r="BJ693" s="136">
        <v>45594</v>
      </c>
      <c r="BK693" s="2" t="s">
        <v>109</v>
      </c>
      <c r="BL693" s="136" t="s">
        <v>18</v>
      </c>
      <c r="BM693" s="136">
        <v>45301</v>
      </c>
      <c r="BN693" s="2" t="s">
        <v>2549</v>
      </c>
      <c r="BO693" s="2"/>
      <c r="BP693" s="205"/>
      <c r="BQ693" s="137" t="s">
        <v>119</v>
      </c>
      <c r="BR693" s="138"/>
    </row>
    <row r="694" spans="1:70" ht="12.75" customHeight="1" x14ac:dyDescent="0.2">
      <c r="A694" s="2">
        <v>2183</v>
      </c>
      <c r="B694" s="2" t="s">
        <v>28</v>
      </c>
      <c r="C694" s="2" t="s">
        <v>93</v>
      </c>
      <c r="D694" s="2" t="s">
        <v>2491</v>
      </c>
      <c r="E694" s="2" t="s">
        <v>87</v>
      </c>
      <c r="F694" s="132">
        <v>62111.08</v>
      </c>
      <c r="G694" s="132">
        <v>2</v>
      </c>
      <c r="H694" s="132">
        <f>R694</f>
        <v>62111.08</v>
      </c>
      <c r="I694" s="132">
        <v>62111.08</v>
      </c>
      <c r="J694" s="132">
        <f>S694+BC694</f>
        <v>62111.08</v>
      </c>
      <c r="K694" s="132">
        <f t="shared" ref="K694:K757" si="75">F694-J694</f>
        <v>0</v>
      </c>
      <c r="L694" s="132">
        <f t="shared" si="71"/>
        <v>0</v>
      </c>
      <c r="M694" s="133">
        <v>0</v>
      </c>
      <c r="N694" s="133">
        <f t="shared" si="74"/>
        <v>0</v>
      </c>
      <c r="O694" s="134">
        <v>1</v>
      </c>
      <c r="P694" s="133"/>
      <c r="Q694" s="2" t="s">
        <v>2444</v>
      </c>
      <c r="R694" s="156">
        <f t="shared" si="72"/>
        <v>62111.08</v>
      </c>
      <c r="S694" s="156">
        <f t="shared" si="73"/>
        <v>11263.62</v>
      </c>
      <c r="T694" s="133">
        <v>60000</v>
      </c>
      <c r="U694" s="133"/>
      <c r="V694" s="133">
        <v>2111.08</v>
      </c>
      <c r="W694" s="133">
        <f>9152.54</f>
        <v>9152.5400000000009</v>
      </c>
      <c r="X694" s="133"/>
      <c r="Y694" s="133">
        <v>322.02999999999997</v>
      </c>
      <c r="Z694" s="133"/>
      <c r="AA694" s="133"/>
      <c r="AB694" s="133"/>
      <c r="AC694" s="133"/>
      <c r="AD694" s="133"/>
      <c r="AE694" s="133">
        <v>1789.05</v>
      </c>
      <c r="AF694" s="133"/>
      <c r="AG694" s="133"/>
      <c r="AH694" s="133"/>
      <c r="AI694" s="133"/>
      <c r="AJ694" s="133"/>
      <c r="AK694" s="133"/>
      <c r="AL694" s="133"/>
      <c r="AM694" s="133"/>
      <c r="AN694" s="133"/>
      <c r="AO694" s="133"/>
      <c r="AP694" s="133"/>
      <c r="AQ694" s="133"/>
      <c r="AR694" s="133" t="s">
        <v>718</v>
      </c>
      <c r="AS694" s="153">
        <v>0</v>
      </c>
      <c r="AT694" s="153">
        <v>0</v>
      </c>
      <c r="AU694" s="153">
        <v>0</v>
      </c>
      <c r="AV694" s="153">
        <v>0</v>
      </c>
      <c r="AW694" s="153">
        <v>0</v>
      </c>
      <c r="AX694" s="153">
        <v>0</v>
      </c>
      <c r="AY694" s="153">
        <v>0</v>
      </c>
      <c r="AZ694" s="153">
        <v>0</v>
      </c>
      <c r="BA694" s="135">
        <v>0</v>
      </c>
      <c r="BB694" s="140">
        <f>(60000/1.18-AT694-AW694-AZ694)*0.1-AU694-AX694-BA694</f>
        <v>5084.7457627118647</v>
      </c>
      <c r="BC694" s="153">
        <f>50847.46</f>
        <v>50847.46</v>
      </c>
      <c r="BD694" s="153">
        <v>1033.67</v>
      </c>
      <c r="BE694" s="264">
        <f>(H694/1.18-AT694-AW694-AZ694-BD694)*0.1-AU694-AX694-BA694-BB694</f>
        <v>75.538084745762717</v>
      </c>
      <c r="BF694" s="264"/>
      <c r="BG694" s="135"/>
      <c r="BH694" s="135"/>
      <c r="BI694" s="2" t="s">
        <v>11</v>
      </c>
      <c r="BJ694" s="136">
        <v>45709</v>
      </c>
      <c r="BK694" s="2" t="s">
        <v>109</v>
      </c>
      <c r="BL694" s="136" t="s">
        <v>18</v>
      </c>
      <c r="BM694" s="136">
        <v>45301</v>
      </c>
      <c r="BN694" s="2" t="s">
        <v>2550</v>
      </c>
      <c r="BO694" s="2"/>
      <c r="BP694" s="205"/>
      <c r="BQ694" s="137" t="s">
        <v>119</v>
      </c>
      <c r="BR694" s="138"/>
    </row>
    <row r="695" spans="1:70" ht="12.75" customHeight="1" x14ac:dyDescent="0.2">
      <c r="A695" s="2">
        <v>2184</v>
      </c>
      <c r="B695" s="2" t="s">
        <v>28</v>
      </c>
      <c r="C695" s="2" t="s">
        <v>88</v>
      </c>
      <c r="D695" s="2" t="s">
        <v>2492</v>
      </c>
      <c r="E695" s="2" t="s">
        <v>117</v>
      </c>
      <c r="F695" s="132">
        <v>4516.75</v>
      </c>
      <c r="G695" s="132">
        <v>2</v>
      </c>
      <c r="H695" s="132">
        <f>2581*1.75</f>
        <v>4516.75</v>
      </c>
      <c r="I695" s="132"/>
      <c r="J695" s="132">
        <v>4516.75</v>
      </c>
      <c r="K695" s="132">
        <f t="shared" si="75"/>
        <v>0</v>
      </c>
      <c r="L695" s="132">
        <f t="shared" si="71"/>
        <v>0</v>
      </c>
      <c r="M695" s="133"/>
      <c r="N695" s="133">
        <f t="shared" si="74"/>
        <v>0</v>
      </c>
      <c r="O695" s="134">
        <v>0</v>
      </c>
      <c r="P695" s="133"/>
      <c r="Q695" s="2" t="s">
        <v>2445</v>
      </c>
      <c r="R695" s="156">
        <f t="shared" si="72"/>
        <v>0</v>
      </c>
      <c r="S695" s="156">
        <f t="shared" si="73"/>
        <v>0</v>
      </c>
      <c r="T695" s="133"/>
      <c r="U695" s="133"/>
      <c r="V695" s="133"/>
      <c r="W695" s="133"/>
      <c r="X695" s="133"/>
      <c r="Y695" s="133"/>
      <c r="Z695" s="133"/>
      <c r="AA695" s="133"/>
      <c r="AB695" s="133"/>
      <c r="AC695" s="133"/>
      <c r="AD695" s="133"/>
      <c r="AE695" s="133"/>
      <c r="AF695" s="133"/>
      <c r="AG695" s="133"/>
      <c r="AH695" s="133"/>
      <c r="AI695" s="133"/>
      <c r="AJ695" s="133"/>
      <c r="AK695" s="133"/>
      <c r="AL695" s="133"/>
      <c r="AM695" s="133"/>
      <c r="AN695" s="133"/>
      <c r="AO695" s="133"/>
      <c r="AP695" s="133"/>
      <c r="AQ695" s="133"/>
      <c r="AR695" s="133"/>
      <c r="AS695" s="153">
        <v>0</v>
      </c>
      <c r="AT695" s="153">
        <v>0</v>
      </c>
      <c r="AU695" s="153">
        <v>0</v>
      </c>
      <c r="AV695" s="153">
        <v>0</v>
      </c>
      <c r="AW695" s="153">
        <v>0</v>
      </c>
      <c r="AX695" s="153">
        <v>0</v>
      </c>
      <c r="AY695" s="135"/>
      <c r="AZ695" s="135"/>
      <c r="BA695" s="135"/>
      <c r="BB695" s="135"/>
      <c r="BC695" s="135"/>
      <c r="BD695" s="135"/>
      <c r="BE695" s="135"/>
      <c r="BF695" s="135"/>
      <c r="BG695" s="135"/>
      <c r="BH695" s="135"/>
      <c r="BI695" s="2" t="s">
        <v>112</v>
      </c>
      <c r="BJ695" s="136">
        <v>45639</v>
      </c>
      <c r="BK695" s="2" t="s">
        <v>145</v>
      </c>
      <c r="BL695" s="136" t="s">
        <v>18</v>
      </c>
      <c r="BM695" s="136">
        <v>45301</v>
      </c>
      <c r="BN695" s="2" t="s">
        <v>2551</v>
      </c>
      <c r="BO695" s="2"/>
      <c r="BP695" s="205"/>
      <c r="BQ695" s="137" t="s">
        <v>134</v>
      </c>
      <c r="BR695" s="138"/>
    </row>
    <row r="696" spans="1:70" ht="12.75" customHeight="1" x14ac:dyDescent="0.2">
      <c r="A696" s="2">
        <v>2185</v>
      </c>
      <c r="B696" s="2" t="s">
        <v>28</v>
      </c>
      <c r="C696" s="2" t="s">
        <v>88</v>
      </c>
      <c r="D696" s="2" t="s">
        <v>2493</v>
      </c>
      <c r="E696" s="2" t="s">
        <v>87</v>
      </c>
      <c r="F696" s="132">
        <v>80000</v>
      </c>
      <c r="G696" s="132">
        <v>2</v>
      </c>
      <c r="H696" s="132">
        <f>R696</f>
        <v>0</v>
      </c>
      <c r="I696" s="132"/>
      <c r="J696" s="132">
        <f>S696</f>
        <v>0</v>
      </c>
      <c r="K696" s="132">
        <f t="shared" si="75"/>
        <v>80000</v>
      </c>
      <c r="L696" s="132">
        <f t="shared" si="71"/>
        <v>0</v>
      </c>
      <c r="M696" s="133"/>
      <c r="N696" s="133">
        <f t="shared" si="74"/>
        <v>80000</v>
      </c>
      <c r="O696" s="134">
        <v>1</v>
      </c>
      <c r="P696" s="133"/>
      <c r="Q696" s="2" t="s">
        <v>2445</v>
      </c>
      <c r="R696" s="156">
        <f t="shared" si="72"/>
        <v>0</v>
      </c>
      <c r="S696" s="156">
        <f t="shared" si="73"/>
        <v>0</v>
      </c>
      <c r="T696" s="133"/>
      <c r="U696" s="133"/>
      <c r="V696" s="133"/>
      <c r="W696" s="133"/>
      <c r="X696" s="133"/>
      <c r="Y696" s="133"/>
      <c r="Z696" s="133"/>
      <c r="AA696" s="133"/>
      <c r="AB696" s="133"/>
      <c r="AC696" s="133"/>
      <c r="AD696" s="133"/>
      <c r="AE696" s="133"/>
      <c r="AF696" s="133"/>
      <c r="AG696" s="133"/>
      <c r="AH696" s="133"/>
      <c r="AI696" s="133"/>
      <c r="AJ696" s="133"/>
      <c r="AK696" s="133"/>
      <c r="AL696" s="133"/>
      <c r="AM696" s="133"/>
      <c r="AN696" s="133"/>
      <c r="AO696" s="133"/>
      <c r="AP696" s="133"/>
      <c r="AQ696" s="133"/>
      <c r="AR696" s="133"/>
      <c r="AS696" s="153">
        <v>0</v>
      </c>
      <c r="AT696" s="153">
        <v>0</v>
      </c>
      <c r="AU696" s="153">
        <v>0</v>
      </c>
      <c r="AV696" s="153">
        <v>0</v>
      </c>
      <c r="AW696" s="153">
        <v>0</v>
      </c>
      <c r="AX696" s="153">
        <v>0</v>
      </c>
      <c r="AY696" s="135"/>
      <c r="AZ696" s="135"/>
      <c r="BA696" s="135"/>
      <c r="BB696" s="135"/>
      <c r="BC696" s="135"/>
      <c r="BD696" s="135"/>
      <c r="BE696" s="135"/>
      <c r="BF696" s="135"/>
      <c r="BG696" s="135"/>
      <c r="BH696" s="135"/>
      <c r="BI696" s="2" t="s">
        <v>11</v>
      </c>
      <c r="BJ696" s="136"/>
      <c r="BK696" s="2">
        <v>0</v>
      </c>
      <c r="BL696" s="136" t="s">
        <v>18</v>
      </c>
      <c r="BM696" s="136">
        <v>45301</v>
      </c>
      <c r="BN696" s="2" t="s">
        <v>2552</v>
      </c>
      <c r="BO696" s="2"/>
      <c r="BP696" s="205"/>
      <c r="BQ696" s="137" t="s">
        <v>119</v>
      </c>
      <c r="BR696" s="138"/>
    </row>
    <row r="697" spans="1:70" ht="12.75" customHeight="1" x14ac:dyDescent="0.2">
      <c r="A697" s="235">
        <v>2186</v>
      </c>
      <c r="B697" s="235" t="s">
        <v>28</v>
      </c>
      <c r="C697" s="235" t="s">
        <v>92</v>
      </c>
      <c r="D697" s="235" t="s">
        <v>2494</v>
      </c>
      <c r="E697" s="235" t="s">
        <v>117</v>
      </c>
      <c r="F697" s="236">
        <v>0</v>
      </c>
      <c r="G697" s="236" t="s">
        <v>3668</v>
      </c>
      <c r="H697" s="236"/>
      <c r="I697" s="236"/>
      <c r="J697" s="236"/>
      <c r="K697" s="236">
        <f t="shared" si="75"/>
        <v>0</v>
      </c>
      <c r="L697" s="236">
        <f t="shared" si="71"/>
        <v>0</v>
      </c>
      <c r="M697" s="237"/>
      <c r="N697" s="237">
        <f t="shared" si="74"/>
        <v>0</v>
      </c>
      <c r="O697" s="238">
        <v>2</v>
      </c>
      <c r="P697" s="235"/>
      <c r="Q697" s="243" t="s">
        <v>756</v>
      </c>
      <c r="R697" s="156">
        <f t="shared" si="72"/>
        <v>0</v>
      </c>
      <c r="S697" s="156">
        <f t="shared" si="73"/>
        <v>0</v>
      </c>
      <c r="T697" s="235"/>
      <c r="U697" s="235"/>
      <c r="V697" s="235"/>
      <c r="W697" s="235"/>
      <c r="X697" s="235"/>
      <c r="Y697" s="235"/>
      <c r="Z697" s="235"/>
      <c r="AA697" s="235"/>
      <c r="AB697" s="235"/>
      <c r="AC697" s="235"/>
      <c r="AD697" s="235"/>
      <c r="AE697" s="235"/>
      <c r="AF697" s="2"/>
      <c r="AG697" s="235"/>
      <c r="AH697" s="235"/>
      <c r="AI697" s="235"/>
      <c r="AJ697" s="235"/>
      <c r="AK697" s="235"/>
      <c r="AL697" s="235"/>
      <c r="AM697" s="235"/>
      <c r="AN697" s="235"/>
      <c r="AO697" s="235"/>
      <c r="AP697" s="235"/>
      <c r="AQ697" s="235"/>
      <c r="AR697" s="235"/>
      <c r="AS697" s="153">
        <v>0</v>
      </c>
      <c r="AT697" s="153">
        <v>0</v>
      </c>
      <c r="AU697" s="153">
        <v>0</v>
      </c>
      <c r="AV697" s="153">
        <v>0</v>
      </c>
      <c r="AW697" s="153">
        <v>0</v>
      </c>
      <c r="AX697" s="153">
        <v>0</v>
      </c>
      <c r="AY697" s="235"/>
      <c r="AZ697" s="239"/>
      <c r="BA697" s="240"/>
      <c r="BB697" s="135"/>
      <c r="BC697" s="239"/>
      <c r="BD697" s="239"/>
      <c r="BE697" s="239"/>
      <c r="BF697" s="239"/>
      <c r="BG697" s="135"/>
      <c r="BH697" s="135"/>
      <c r="BI697" s="243" t="s">
        <v>112</v>
      </c>
      <c r="BJ697" s="244"/>
      <c r="BK697" s="243">
        <v>0</v>
      </c>
      <c r="BL697" s="244" t="s">
        <v>18</v>
      </c>
      <c r="BM697" s="244">
        <v>45301</v>
      </c>
      <c r="BN697" s="243" t="s">
        <v>2553</v>
      </c>
      <c r="BO697" s="243"/>
      <c r="BP697" s="245"/>
      <c r="BQ697" s="246" t="s">
        <v>134</v>
      </c>
      <c r="BR697" s="138"/>
    </row>
    <row r="698" spans="1:70" ht="12.75" customHeight="1" x14ac:dyDescent="0.2">
      <c r="A698" s="2">
        <v>2187</v>
      </c>
      <c r="B698" s="2" t="s">
        <v>28</v>
      </c>
      <c r="C698" s="2" t="s">
        <v>92</v>
      </c>
      <c r="D698" s="2" t="s">
        <v>2495</v>
      </c>
      <c r="E698" s="2" t="s">
        <v>87</v>
      </c>
      <c r="F698" s="132">
        <v>75000</v>
      </c>
      <c r="G698" s="132">
        <v>2</v>
      </c>
      <c r="H698" s="132">
        <f>100000+31838.31</f>
        <v>131838.31</v>
      </c>
      <c r="I698" s="132">
        <f>100000+31838.31</f>
        <v>131838.31</v>
      </c>
      <c r="J698" s="132">
        <f>AY698+4856.69+42235.86</f>
        <v>131838.31</v>
      </c>
      <c r="K698" s="132">
        <f t="shared" si="75"/>
        <v>-56838.31</v>
      </c>
      <c r="L698" s="132">
        <f t="shared" si="71"/>
        <v>0</v>
      </c>
      <c r="M698" s="133">
        <v>1399</v>
      </c>
      <c r="N698" s="133">
        <f t="shared" si="74"/>
        <v>0</v>
      </c>
      <c r="O698" s="134">
        <v>0</v>
      </c>
      <c r="P698" s="133"/>
      <c r="Q698" s="2" t="s">
        <v>756</v>
      </c>
      <c r="R698" s="156">
        <f t="shared" si="72"/>
        <v>0</v>
      </c>
      <c r="S698" s="156">
        <f t="shared" si="73"/>
        <v>0</v>
      </c>
      <c r="T698" s="133"/>
      <c r="U698" s="133"/>
      <c r="V698" s="133"/>
      <c r="W698" s="133"/>
      <c r="X698" s="133"/>
      <c r="Y698" s="133"/>
      <c r="Z698" s="133"/>
      <c r="AA698" s="133"/>
      <c r="AB698" s="133"/>
      <c r="AC698" s="133"/>
      <c r="AD698" s="133"/>
      <c r="AE698" s="133"/>
      <c r="AF698" s="133"/>
      <c r="AG698" s="133"/>
      <c r="AH698" s="133"/>
      <c r="AI698" s="133"/>
      <c r="AJ698" s="133"/>
      <c r="AK698" s="133"/>
      <c r="AL698" s="133"/>
      <c r="AM698" s="133"/>
      <c r="AN698" s="133"/>
      <c r="AO698" s="133"/>
      <c r="AP698" s="133"/>
      <c r="AQ698" s="133"/>
      <c r="AR698" s="133"/>
      <c r="AS698" s="153">
        <v>0</v>
      </c>
      <c r="AT698" s="153">
        <v>0</v>
      </c>
      <c r="AU698" s="153">
        <v>0</v>
      </c>
      <c r="AV698" s="153">
        <v>0</v>
      </c>
      <c r="AW698" s="153">
        <v>0</v>
      </c>
      <c r="AX698" s="153">
        <v>0</v>
      </c>
      <c r="AY698" s="135">
        <v>84745.76</v>
      </c>
      <c r="AZ698" s="135">
        <v>7752.5</v>
      </c>
      <c r="BA698" s="135">
        <v>0</v>
      </c>
      <c r="BB698" s="140">
        <f>(H698/1.18-AT698-AW698-AZ698)*0.1-AU698-AX698-BA698</f>
        <v>10397.488135593221</v>
      </c>
      <c r="BC698" s="135"/>
      <c r="BD698" s="135"/>
      <c r="BE698" s="135">
        <f>(H698/1.18-AT698-AW698-AZ698-BD698)*0.1-AU698-AX698-BA698-BB698</f>
        <v>0</v>
      </c>
      <c r="BF698" s="135"/>
      <c r="BG698" s="135"/>
      <c r="BH698" s="135"/>
      <c r="BI698" s="2" t="s">
        <v>11</v>
      </c>
      <c r="BJ698" s="136">
        <v>45531</v>
      </c>
      <c r="BK698" s="2" t="s">
        <v>109</v>
      </c>
      <c r="BL698" s="136" t="s">
        <v>18</v>
      </c>
      <c r="BM698" s="136">
        <v>45301</v>
      </c>
      <c r="BN698" s="2" t="s">
        <v>2554</v>
      </c>
      <c r="BO698" s="2"/>
      <c r="BP698" s="205"/>
      <c r="BQ698" s="137" t="s">
        <v>119</v>
      </c>
      <c r="BR698" s="138"/>
    </row>
    <row r="699" spans="1:70" ht="12.75" customHeight="1" x14ac:dyDescent="0.2">
      <c r="A699" s="2">
        <v>2188</v>
      </c>
      <c r="B699" s="2" t="s">
        <v>28</v>
      </c>
      <c r="C699" s="2" t="s">
        <v>92</v>
      </c>
      <c r="D699" s="2" t="s">
        <v>2496</v>
      </c>
      <c r="E699" s="2" t="s">
        <v>87</v>
      </c>
      <c r="F699" s="132">
        <v>50000</v>
      </c>
      <c r="G699" s="132">
        <v>2</v>
      </c>
      <c r="H699" s="132">
        <f>40000</f>
        <v>40000</v>
      </c>
      <c r="I699" s="132"/>
      <c r="J699" s="132">
        <f>S699+AY699+BC699</f>
        <v>33898.31</v>
      </c>
      <c r="K699" s="132">
        <f t="shared" si="75"/>
        <v>16101.690000000002</v>
      </c>
      <c r="L699" s="132">
        <f t="shared" si="71"/>
        <v>6101.6900000000023</v>
      </c>
      <c r="M699" s="133">
        <v>0</v>
      </c>
      <c r="N699" s="133">
        <f t="shared" si="74"/>
        <v>16101.690000000002</v>
      </c>
      <c r="O699" s="134">
        <v>1</v>
      </c>
      <c r="P699" s="133"/>
      <c r="Q699" s="2" t="s">
        <v>2446</v>
      </c>
      <c r="R699" s="156">
        <f t="shared" si="72"/>
        <v>0</v>
      </c>
      <c r="S699" s="156">
        <f t="shared" si="73"/>
        <v>0</v>
      </c>
      <c r="T699" s="133"/>
      <c r="U699" s="133"/>
      <c r="V699" s="133"/>
      <c r="W699" s="133"/>
      <c r="X699" s="133"/>
      <c r="Y699" s="133"/>
      <c r="Z699" s="133"/>
      <c r="AA699" s="133"/>
      <c r="AB699" s="133"/>
      <c r="AC699" s="133"/>
      <c r="AD699" s="133"/>
      <c r="AE699" s="133"/>
      <c r="AF699" s="133"/>
      <c r="AG699" s="133"/>
      <c r="AH699" s="133"/>
      <c r="AI699" s="133"/>
      <c r="AJ699" s="133"/>
      <c r="AK699" s="133"/>
      <c r="AL699" s="133"/>
      <c r="AM699" s="133"/>
      <c r="AN699" s="133"/>
      <c r="AO699" s="133"/>
      <c r="AP699" s="133"/>
      <c r="AQ699" s="133"/>
      <c r="AR699" s="133"/>
      <c r="AS699" s="153">
        <v>0</v>
      </c>
      <c r="AT699" s="153">
        <v>0</v>
      </c>
      <c r="AU699" s="153">
        <v>0</v>
      </c>
      <c r="AV699" s="153">
        <v>0</v>
      </c>
      <c r="AW699" s="153">
        <v>0</v>
      </c>
      <c r="AX699" s="153">
        <v>0</v>
      </c>
      <c r="AY699" s="153">
        <v>33898.31</v>
      </c>
      <c r="AZ699" s="135"/>
      <c r="BA699" s="135"/>
      <c r="BB699" s="135"/>
      <c r="BC699" s="135"/>
      <c r="BD699" s="135"/>
      <c r="BE699" s="135"/>
      <c r="BF699" s="135"/>
      <c r="BG699" s="135"/>
      <c r="BH699" s="135"/>
      <c r="BI699" s="2" t="s">
        <v>11</v>
      </c>
      <c r="BJ699" s="136"/>
      <c r="BK699" s="2">
        <v>80</v>
      </c>
      <c r="BL699" s="136" t="s">
        <v>18</v>
      </c>
      <c r="BM699" s="136">
        <v>45301</v>
      </c>
      <c r="BN699" s="2" t="s">
        <v>2555</v>
      </c>
      <c r="BO699" s="2"/>
      <c r="BP699" s="205"/>
      <c r="BQ699" s="137" t="s">
        <v>119</v>
      </c>
      <c r="BR699" s="138"/>
    </row>
    <row r="700" spans="1:70" ht="12.75" customHeight="1" x14ac:dyDescent="0.2">
      <c r="A700" s="2">
        <v>2189</v>
      </c>
      <c r="B700" s="2" t="s">
        <v>28</v>
      </c>
      <c r="C700" s="2" t="s">
        <v>93</v>
      </c>
      <c r="D700" s="2" t="s">
        <v>2497</v>
      </c>
      <c r="E700" s="2" t="s">
        <v>117</v>
      </c>
      <c r="F700" s="132">
        <v>0</v>
      </c>
      <c r="G700" s="132">
        <v>2</v>
      </c>
      <c r="H700" s="132">
        <f>1747*1.75</f>
        <v>3057.25</v>
      </c>
      <c r="I700" s="132"/>
      <c r="J700" s="132">
        <v>3057.25</v>
      </c>
      <c r="K700" s="132">
        <f t="shared" si="75"/>
        <v>-3057.25</v>
      </c>
      <c r="L700" s="132">
        <f t="shared" si="71"/>
        <v>0</v>
      </c>
      <c r="M700" s="133"/>
      <c r="N700" s="133">
        <f t="shared" si="74"/>
        <v>0</v>
      </c>
      <c r="O700" s="134">
        <v>0</v>
      </c>
      <c r="P700" s="133"/>
      <c r="Q700" s="2" t="s">
        <v>2447</v>
      </c>
      <c r="R700" s="156">
        <f t="shared" si="72"/>
        <v>0</v>
      </c>
      <c r="S700" s="156">
        <f t="shared" si="73"/>
        <v>0</v>
      </c>
      <c r="T700" s="133"/>
      <c r="U700" s="133"/>
      <c r="V700" s="133"/>
      <c r="W700" s="133"/>
      <c r="X700" s="133"/>
      <c r="Y700" s="133"/>
      <c r="Z700" s="133"/>
      <c r="AA700" s="133"/>
      <c r="AB700" s="133"/>
      <c r="AC700" s="133"/>
      <c r="AD700" s="133"/>
      <c r="AE700" s="133"/>
      <c r="AF700" s="133"/>
      <c r="AG700" s="133"/>
      <c r="AH700" s="133"/>
      <c r="AI700" s="133"/>
      <c r="AJ700" s="133"/>
      <c r="AK700" s="133"/>
      <c r="AL700" s="133"/>
      <c r="AM700" s="133"/>
      <c r="AN700" s="133"/>
      <c r="AO700" s="133"/>
      <c r="AP700" s="133"/>
      <c r="AQ700" s="133"/>
      <c r="AR700" s="133"/>
      <c r="AS700" s="153">
        <v>0</v>
      </c>
      <c r="AT700" s="153">
        <v>0</v>
      </c>
      <c r="AU700" s="153">
        <v>0</v>
      </c>
      <c r="AV700" s="153">
        <v>0</v>
      </c>
      <c r="AW700" s="153">
        <v>0</v>
      </c>
      <c r="AX700" s="153">
        <v>0</v>
      </c>
      <c r="AY700" s="135"/>
      <c r="AZ700" s="135"/>
      <c r="BA700" s="135"/>
      <c r="BB700" s="135"/>
      <c r="BC700" s="135"/>
      <c r="BD700" s="135"/>
      <c r="BE700" s="135"/>
      <c r="BF700" s="135"/>
      <c r="BG700" s="135"/>
      <c r="BH700" s="135"/>
      <c r="BI700" s="2" t="s">
        <v>112</v>
      </c>
      <c r="BJ700" s="136">
        <v>45524</v>
      </c>
      <c r="BK700" s="2" t="s">
        <v>145</v>
      </c>
      <c r="BL700" s="136" t="s">
        <v>18</v>
      </c>
      <c r="BM700" s="136">
        <v>45301</v>
      </c>
      <c r="BN700" s="2" t="s">
        <v>2556</v>
      </c>
      <c r="BO700" s="2"/>
      <c r="BP700" s="205"/>
      <c r="BQ700" s="137" t="s">
        <v>134</v>
      </c>
      <c r="BR700" s="138"/>
    </row>
    <row r="701" spans="1:70" ht="12.75" customHeight="1" x14ac:dyDescent="0.2">
      <c r="A701" s="2">
        <v>2190</v>
      </c>
      <c r="B701" s="2" t="s">
        <v>28</v>
      </c>
      <c r="C701" s="2" t="s">
        <v>93</v>
      </c>
      <c r="D701" s="2" t="s">
        <v>2498</v>
      </c>
      <c r="E701" s="2" t="s">
        <v>87</v>
      </c>
      <c r="F701" s="132">
        <v>35000</v>
      </c>
      <c r="G701" s="132">
        <v>2</v>
      </c>
      <c r="H701" s="132">
        <f>R701</f>
        <v>0</v>
      </c>
      <c r="I701" s="132"/>
      <c r="J701" s="132">
        <f>S701+BC701</f>
        <v>0</v>
      </c>
      <c r="K701" s="132">
        <f t="shared" si="75"/>
        <v>35000</v>
      </c>
      <c r="L701" s="132">
        <f t="shared" si="71"/>
        <v>0</v>
      </c>
      <c r="M701" s="133"/>
      <c r="N701" s="133">
        <f t="shared" si="74"/>
        <v>35000</v>
      </c>
      <c r="O701" s="134">
        <v>1</v>
      </c>
      <c r="P701" s="133"/>
      <c r="Q701" s="2" t="s">
        <v>2447</v>
      </c>
      <c r="R701" s="156">
        <f t="shared" si="72"/>
        <v>0</v>
      </c>
      <c r="S701" s="156">
        <f t="shared" si="73"/>
        <v>0</v>
      </c>
      <c r="T701" s="133"/>
      <c r="U701" s="133"/>
      <c r="V701" s="133"/>
      <c r="W701" s="133"/>
      <c r="X701" s="133"/>
      <c r="Y701" s="133"/>
      <c r="Z701" s="133"/>
      <c r="AA701" s="133"/>
      <c r="AB701" s="133"/>
      <c r="AC701" s="133"/>
      <c r="AD701" s="133"/>
      <c r="AE701" s="133"/>
      <c r="AF701" s="133"/>
      <c r="AG701" s="133"/>
      <c r="AH701" s="133"/>
      <c r="AI701" s="133"/>
      <c r="AJ701" s="133"/>
      <c r="AK701" s="133"/>
      <c r="AL701" s="133"/>
      <c r="AM701" s="133"/>
      <c r="AN701" s="133"/>
      <c r="AO701" s="133"/>
      <c r="AP701" s="133"/>
      <c r="AQ701" s="133"/>
      <c r="AR701" s="133"/>
      <c r="AS701" s="153">
        <v>0</v>
      </c>
      <c r="AT701" s="153">
        <v>0</v>
      </c>
      <c r="AU701" s="153">
        <v>0</v>
      </c>
      <c r="AV701" s="153">
        <v>0</v>
      </c>
      <c r="AW701" s="153">
        <v>0</v>
      </c>
      <c r="AX701" s="153">
        <v>0</v>
      </c>
      <c r="AY701" s="135"/>
      <c r="AZ701" s="135"/>
      <c r="BA701" s="135"/>
      <c r="BB701" s="135"/>
      <c r="BC701" s="135"/>
      <c r="BD701" s="135"/>
      <c r="BE701" s="135"/>
      <c r="BF701" s="135"/>
      <c r="BG701" s="135"/>
      <c r="BH701" s="135"/>
      <c r="BI701" s="2" t="s">
        <v>11</v>
      </c>
      <c r="BJ701" s="136"/>
      <c r="BK701" s="2">
        <v>0</v>
      </c>
      <c r="BL701" s="136" t="s">
        <v>18</v>
      </c>
      <c r="BM701" s="136">
        <v>45301</v>
      </c>
      <c r="BN701" s="2" t="s">
        <v>2557</v>
      </c>
      <c r="BO701" s="2"/>
      <c r="BP701" s="205"/>
      <c r="BQ701" s="137" t="s">
        <v>119</v>
      </c>
      <c r="BR701" s="138"/>
    </row>
    <row r="702" spans="1:70" ht="12.75" customHeight="1" x14ac:dyDescent="0.2">
      <c r="A702" s="2">
        <v>2191</v>
      </c>
      <c r="B702" s="2" t="s">
        <v>28</v>
      </c>
      <c r="C702" s="2" t="s">
        <v>88</v>
      </c>
      <c r="D702" s="2" t="s">
        <v>2499</v>
      </c>
      <c r="E702" s="2" t="s">
        <v>117</v>
      </c>
      <c r="F702" s="132">
        <v>276.5</v>
      </c>
      <c r="G702" s="132">
        <v>2</v>
      </c>
      <c r="H702" s="132">
        <f>158*1.75</f>
        <v>276.5</v>
      </c>
      <c r="I702" s="132"/>
      <c r="J702" s="132">
        <v>276.5</v>
      </c>
      <c r="K702" s="132">
        <f t="shared" si="75"/>
        <v>0</v>
      </c>
      <c r="L702" s="132">
        <f t="shared" si="71"/>
        <v>0</v>
      </c>
      <c r="M702" s="133"/>
      <c r="N702" s="133">
        <f t="shared" si="74"/>
        <v>0</v>
      </c>
      <c r="O702" s="134">
        <v>0</v>
      </c>
      <c r="P702" s="133"/>
      <c r="Q702" s="2" t="s">
        <v>2448</v>
      </c>
      <c r="R702" s="156">
        <f t="shared" si="72"/>
        <v>0</v>
      </c>
      <c r="S702" s="156">
        <f t="shared" si="73"/>
        <v>0</v>
      </c>
      <c r="T702" s="133"/>
      <c r="U702" s="133"/>
      <c r="V702" s="133"/>
      <c r="W702" s="133"/>
      <c r="X702" s="133"/>
      <c r="Y702" s="133"/>
      <c r="Z702" s="133"/>
      <c r="AA702" s="133"/>
      <c r="AB702" s="133"/>
      <c r="AC702" s="133"/>
      <c r="AD702" s="133"/>
      <c r="AE702" s="133"/>
      <c r="AF702" s="133"/>
      <c r="AG702" s="133"/>
      <c r="AH702" s="133"/>
      <c r="AI702" s="133"/>
      <c r="AJ702" s="133"/>
      <c r="AK702" s="133"/>
      <c r="AL702" s="133"/>
      <c r="AM702" s="133"/>
      <c r="AN702" s="133"/>
      <c r="AO702" s="133"/>
      <c r="AP702" s="133"/>
      <c r="AQ702" s="133"/>
      <c r="AR702" s="133"/>
      <c r="AS702" s="153">
        <v>0</v>
      </c>
      <c r="AT702" s="153">
        <v>0</v>
      </c>
      <c r="AU702" s="153">
        <v>0</v>
      </c>
      <c r="AV702" s="153">
        <v>0</v>
      </c>
      <c r="AW702" s="153">
        <v>0</v>
      </c>
      <c r="AX702" s="153">
        <v>0</v>
      </c>
      <c r="AY702" s="135"/>
      <c r="AZ702" s="135"/>
      <c r="BA702" s="135"/>
      <c r="BB702" s="135"/>
      <c r="BC702" s="135"/>
      <c r="BD702" s="135"/>
      <c r="BE702" s="135"/>
      <c r="BF702" s="135"/>
      <c r="BG702" s="135"/>
      <c r="BH702" s="135"/>
      <c r="BI702" s="2" t="s">
        <v>112</v>
      </c>
      <c r="BJ702" s="136">
        <v>45639</v>
      </c>
      <c r="BK702" s="2" t="s">
        <v>145</v>
      </c>
      <c r="BL702" s="136" t="s">
        <v>18</v>
      </c>
      <c r="BM702" s="136">
        <v>45301</v>
      </c>
      <c r="BN702" s="2" t="s">
        <v>2558</v>
      </c>
      <c r="BO702" s="2"/>
      <c r="BP702" s="205"/>
      <c r="BQ702" s="137" t="s">
        <v>134</v>
      </c>
      <c r="BR702" s="138"/>
    </row>
    <row r="703" spans="1:70" ht="12.75" customHeight="1" x14ac:dyDescent="0.2">
      <c r="A703" s="2">
        <v>2192</v>
      </c>
      <c r="B703" s="2" t="s">
        <v>28</v>
      </c>
      <c r="C703" s="2" t="s">
        <v>88</v>
      </c>
      <c r="D703" s="2" t="s">
        <v>2500</v>
      </c>
      <c r="E703" s="2" t="s">
        <v>87</v>
      </c>
      <c r="F703" s="132">
        <v>30000</v>
      </c>
      <c r="G703" s="132">
        <v>2</v>
      </c>
      <c r="H703" s="132">
        <f>R703</f>
        <v>0</v>
      </c>
      <c r="I703" s="132"/>
      <c r="J703" s="132">
        <f>S703</f>
        <v>0</v>
      </c>
      <c r="K703" s="132">
        <f t="shared" si="75"/>
        <v>30000</v>
      </c>
      <c r="L703" s="132">
        <f t="shared" si="71"/>
        <v>0</v>
      </c>
      <c r="M703" s="133"/>
      <c r="N703" s="133">
        <f t="shared" si="74"/>
        <v>30000</v>
      </c>
      <c r="O703" s="134">
        <v>1</v>
      </c>
      <c r="P703" s="133"/>
      <c r="Q703" s="2" t="s">
        <v>2448</v>
      </c>
      <c r="R703" s="156">
        <f t="shared" si="72"/>
        <v>0</v>
      </c>
      <c r="S703" s="156">
        <f t="shared" si="73"/>
        <v>0</v>
      </c>
      <c r="T703" s="133"/>
      <c r="U703" s="133"/>
      <c r="V703" s="133"/>
      <c r="W703" s="133"/>
      <c r="X703" s="133"/>
      <c r="Y703" s="133"/>
      <c r="Z703" s="133"/>
      <c r="AA703" s="133"/>
      <c r="AB703" s="133"/>
      <c r="AC703" s="133"/>
      <c r="AD703" s="133"/>
      <c r="AE703" s="133"/>
      <c r="AF703" s="133"/>
      <c r="AG703" s="133"/>
      <c r="AH703" s="133"/>
      <c r="AI703" s="133"/>
      <c r="AJ703" s="133"/>
      <c r="AK703" s="133"/>
      <c r="AL703" s="133"/>
      <c r="AM703" s="133"/>
      <c r="AN703" s="133"/>
      <c r="AO703" s="133"/>
      <c r="AP703" s="133"/>
      <c r="AQ703" s="133"/>
      <c r="AR703" s="133"/>
      <c r="AS703" s="153">
        <v>0</v>
      </c>
      <c r="AT703" s="153">
        <v>0</v>
      </c>
      <c r="AU703" s="153">
        <v>0</v>
      </c>
      <c r="AV703" s="153">
        <v>0</v>
      </c>
      <c r="AW703" s="153">
        <v>0</v>
      </c>
      <c r="AX703" s="153">
        <v>0</v>
      </c>
      <c r="AY703" s="135"/>
      <c r="AZ703" s="135"/>
      <c r="BA703" s="135"/>
      <c r="BB703" s="135"/>
      <c r="BC703" s="135"/>
      <c r="BD703" s="135"/>
      <c r="BE703" s="135"/>
      <c r="BF703" s="135"/>
      <c r="BG703" s="135"/>
      <c r="BH703" s="135"/>
      <c r="BI703" s="2" t="s">
        <v>11</v>
      </c>
      <c r="BJ703" s="136"/>
      <c r="BK703" s="2">
        <v>0</v>
      </c>
      <c r="BL703" s="136" t="s">
        <v>18</v>
      </c>
      <c r="BM703" s="136">
        <v>45301</v>
      </c>
      <c r="BN703" s="2" t="s">
        <v>2559</v>
      </c>
      <c r="BO703" s="2"/>
      <c r="BP703" s="205"/>
      <c r="BQ703" s="137" t="s">
        <v>119</v>
      </c>
      <c r="BR703" s="138"/>
    </row>
    <row r="704" spans="1:70" ht="12.75" customHeight="1" x14ac:dyDescent="0.2">
      <c r="A704" s="2">
        <v>2193</v>
      </c>
      <c r="B704" s="2" t="s">
        <v>28</v>
      </c>
      <c r="C704" s="2" t="s">
        <v>88</v>
      </c>
      <c r="D704" s="2" t="s">
        <v>2501</v>
      </c>
      <c r="E704" s="2" t="s">
        <v>117</v>
      </c>
      <c r="F704" s="132">
        <v>0</v>
      </c>
      <c r="G704" s="132">
        <v>2</v>
      </c>
      <c r="H704" s="132"/>
      <c r="I704" s="132"/>
      <c r="J704" s="132"/>
      <c r="K704" s="132">
        <f t="shared" si="75"/>
        <v>0</v>
      </c>
      <c r="L704" s="132">
        <f t="shared" si="71"/>
        <v>0</v>
      </c>
      <c r="M704" s="133"/>
      <c r="N704" s="133">
        <f t="shared" si="74"/>
        <v>0</v>
      </c>
      <c r="O704" s="134">
        <v>2</v>
      </c>
      <c r="P704" s="133"/>
      <c r="Q704" s="2" t="s">
        <v>2449</v>
      </c>
      <c r="R704" s="156">
        <f t="shared" si="72"/>
        <v>0</v>
      </c>
      <c r="S704" s="156">
        <f t="shared" si="73"/>
        <v>0</v>
      </c>
      <c r="T704" s="133"/>
      <c r="U704" s="133"/>
      <c r="V704" s="133"/>
      <c r="W704" s="133"/>
      <c r="X704" s="133"/>
      <c r="Y704" s="133"/>
      <c r="Z704" s="133"/>
      <c r="AA704" s="133"/>
      <c r="AB704" s="133"/>
      <c r="AC704" s="133"/>
      <c r="AD704" s="133"/>
      <c r="AE704" s="133"/>
      <c r="AF704" s="133"/>
      <c r="AG704" s="133"/>
      <c r="AH704" s="133"/>
      <c r="AI704" s="133"/>
      <c r="AJ704" s="133"/>
      <c r="AK704" s="133"/>
      <c r="AL704" s="133"/>
      <c r="AM704" s="133"/>
      <c r="AN704" s="133"/>
      <c r="AO704" s="133"/>
      <c r="AP704" s="133"/>
      <c r="AQ704" s="133"/>
      <c r="AR704" s="133"/>
      <c r="AS704" s="153">
        <v>0</v>
      </c>
      <c r="AT704" s="153">
        <v>0</v>
      </c>
      <c r="AU704" s="153">
        <v>0</v>
      </c>
      <c r="AV704" s="153">
        <v>0</v>
      </c>
      <c r="AW704" s="153">
        <v>0</v>
      </c>
      <c r="AX704" s="153">
        <v>0</v>
      </c>
      <c r="AY704" s="135"/>
      <c r="AZ704" s="135"/>
      <c r="BA704" s="135"/>
      <c r="BB704" s="135"/>
      <c r="BC704" s="135"/>
      <c r="BD704" s="135"/>
      <c r="BE704" s="135"/>
      <c r="BF704" s="135"/>
      <c r="BG704" s="135"/>
      <c r="BH704" s="135"/>
      <c r="BI704" s="2" t="s">
        <v>112</v>
      </c>
      <c r="BJ704" s="136"/>
      <c r="BK704" s="2">
        <v>0</v>
      </c>
      <c r="BL704" s="136" t="s">
        <v>18</v>
      </c>
      <c r="BM704" s="136">
        <v>45301</v>
      </c>
      <c r="BN704" s="2" t="s">
        <v>2560</v>
      </c>
      <c r="BO704" s="2"/>
      <c r="BP704" s="205"/>
      <c r="BQ704" s="137" t="s">
        <v>134</v>
      </c>
      <c r="BR704" s="138"/>
    </row>
    <row r="705" spans="1:70" ht="12.75" customHeight="1" x14ac:dyDescent="0.2">
      <c r="A705" s="2">
        <v>2194</v>
      </c>
      <c r="B705" s="2" t="s">
        <v>28</v>
      </c>
      <c r="C705" s="2" t="s">
        <v>88</v>
      </c>
      <c r="D705" s="2" t="s">
        <v>2502</v>
      </c>
      <c r="E705" s="2" t="s">
        <v>87</v>
      </c>
      <c r="F705" s="132">
        <v>25000</v>
      </c>
      <c r="G705" s="132">
        <v>2</v>
      </c>
      <c r="H705" s="132">
        <f>R705</f>
        <v>0</v>
      </c>
      <c r="I705" s="132"/>
      <c r="J705" s="132">
        <f>S705</f>
        <v>0</v>
      </c>
      <c r="K705" s="132">
        <f t="shared" si="75"/>
        <v>25000</v>
      </c>
      <c r="L705" s="132">
        <f t="shared" si="71"/>
        <v>0</v>
      </c>
      <c r="M705" s="133"/>
      <c r="N705" s="133">
        <f t="shared" si="74"/>
        <v>25000</v>
      </c>
      <c r="O705" s="134">
        <v>1</v>
      </c>
      <c r="P705" s="133"/>
      <c r="Q705" s="2" t="s">
        <v>2449</v>
      </c>
      <c r="R705" s="156">
        <f t="shared" si="72"/>
        <v>0</v>
      </c>
      <c r="S705" s="156">
        <f t="shared" si="73"/>
        <v>0</v>
      </c>
      <c r="T705" s="133"/>
      <c r="U705" s="133"/>
      <c r="V705" s="133"/>
      <c r="W705" s="133"/>
      <c r="X705" s="133"/>
      <c r="Y705" s="133"/>
      <c r="Z705" s="133"/>
      <c r="AA705" s="133"/>
      <c r="AB705" s="133"/>
      <c r="AC705" s="133"/>
      <c r="AD705" s="133"/>
      <c r="AE705" s="133"/>
      <c r="AF705" s="133"/>
      <c r="AG705" s="133"/>
      <c r="AH705" s="133"/>
      <c r="AI705" s="133"/>
      <c r="AJ705" s="133"/>
      <c r="AK705" s="133"/>
      <c r="AL705" s="133"/>
      <c r="AM705" s="133"/>
      <c r="AN705" s="133"/>
      <c r="AO705" s="133"/>
      <c r="AP705" s="133"/>
      <c r="AQ705" s="133"/>
      <c r="AR705" s="133"/>
      <c r="AS705" s="153">
        <v>0</v>
      </c>
      <c r="AT705" s="153">
        <v>0</v>
      </c>
      <c r="AU705" s="153">
        <v>0</v>
      </c>
      <c r="AV705" s="153">
        <v>0</v>
      </c>
      <c r="AW705" s="153">
        <v>0</v>
      </c>
      <c r="AX705" s="153">
        <v>0</v>
      </c>
      <c r="AY705" s="135"/>
      <c r="AZ705" s="135"/>
      <c r="BA705" s="135"/>
      <c r="BB705" s="135"/>
      <c r="BC705" s="135"/>
      <c r="BD705" s="135"/>
      <c r="BE705" s="135"/>
      <c r="BF705" s="135"/>
      <c r="BG705" s="135"/>
      <c r="BH705" s="135"/>
      <c r="BI705" s="2" t="s">
        <v>11</v>
      </c>
      <c r="BJ705" s="136"/>
      <c r="BK705" s="2">
        <v>0</v>
      </c>
      <c r="BL705" s="136" t="s">
        <v>18</v>
      </c>
      <c r="BM705" s="136">
        <v>45301</v>
      </c>
      <c r="BN705" s="2" t="s">
        <v>2561</v>
      </c>
      <c r="BO705" s="2"/>
      <c r="BP705" s="205"/>
      <c r="BQ705" s="137" t="s">
        <v>119</v>
      </c>
      <c r="BR705" s="138"/>
    </row>
    <row r="706" spans="1:70" ht="12.75" customHeight="1" x14ac:dyDescent="0.2">
      <c r="A706" s="2">
        <v>2195</v>
      </c>
      <c r="B706" s="2" t="s">
        <v>28</v>
      </c>
      <c r="C706" s="2" t="s">
        <v>93</v>
      </c>
      <c r="D706" s="2" t="s">
        <v>2503</v>
      </c>
      <c r="E706" s="2" t="s">
        <v>117</v>
      </c>
      <c r="F706" s="132">
        <v>0</v>
      </c>
      <c r="G706" s="132">
        <v>2</v>
      </c>
      <c r="H706" s="132"/>
      <c r="I706" s="132"/>
      <c r="J706" s="132"/>
      <c r="K706" s="132">
        <f t="shared" si="75"/>
        <v>0</v>
      </c>
      <c r="L706" s="132">
        <f t="shared" si="71"/>
        <v>0</v>
      </c>
      <c r="M706" s="133"/>
      <c r="N706" s="133">
        <f t="shared" si="74"/>
        <v>0</v>
      </c>
      <c r="O706" s="134">
        <v>2</v>
      </c>
      <c r="P706" s="133"/>
      <c r="Q706" s="2" t="s">
        <v>2450</v>
      </c>
      <c r="R706" s="156">
        <f t="shared" si="72"/>
        <v>0</v>
      </c>
      <c r="S706" s="156">
        <f t="shared" si="73"/>
        <v>0</v>
      </c>
      <c r="T706" s="133"/>
      <c r="U706" s="133"/>
      <c r="V706" s="133"/>
      <c r="W706" s="133"/>
      <c r="X706" s="133"/>
      <c r="Y706" s="133"/>
      <c r="Z706" s="133"/>
      <c r="AA706" s="133"/>
      <c r="AB706" s="133"/>
      <c r="AC706" s="133"/>
      <c r="AD706" s="133"/>
      <c r="AE706" s="133"/>
      <c r="AF706" s="133"/>
      <c r="AG706" s="133"/>
      <c r="AH706" s="133"/>
      <c r="AI706" s="133"/>
      <c r="AJ706" s="133"/>
      <c r="AK706" s="133"/>
      <c r="AL706" s="133"/>
      <c r="AM706" s="133"/>
      <c r="AN706" s="133"/>
      <c r="AO706" s="133"/>
      <c r="AP706" s="133"/>
      <c r="AQ706" s="133"/>
      <c r="AR706" s="133"/>
      <c r="AS706" s="153">
        <v>0</v>
      </c>
      <c r="AT706" s="153">
        <v>0</v>
      </c>
      <c r="AU706" s="153">
        <v>0</v>
      </c>
      <c r="AV706" s="153">
        <v>0</v>
      </c>
      <c r="AW706" s="153">
        <v>0</v>
      </c>
      <c r="AX706" s="153">
        <v>0</v>
      </c>
      <c r="AY706" s="135"/>
      <c r="AZ706" s="135"/>
      <c r="BA706" s="135"/>
      <c r="BB706" s="135"/>
      <c r="BC706" s="135"/>
      <c r="BD706" s="135"/>
      <c r="BE706" s="135"/>
      <c r="BF706" s="135"/>
      <c r="BG706" s="135"/>
      <c r="BH706" s="135"/>
      <c r="BI706" s="2" t="s">
        <v>112</v>
      </c>
      <c r="BJ706" s="136"/>
      <c r="BK706" s="2">
        <v>0</v>
      </c>
      <c r="BL706" s="136" t="s">
        <v>18</v>
      </c>
      <c r="BM706" s="136">
        <v>45301</v>
      </c>
      <c r="BN706" s="2" t="s">
        <v>2562</v>
      </c>
      <c r="BO706" s="2"/>
      <c r="BP706" s="205"/>
      <c r="BQ706" s="137" t="s">
        <v>134</v>
      </c>
      <c r="BR706" s="138"/>
    </row>
    <row r="707" spans="1:70" ht="12.75" customHeight="1" x14ac:dyDescent="0.2">
      <c r="A707" s="2">
        <v>2196</v>
      </c>
      <c r="B707" s="2" t="s">
        <v>28</v>
      </c>
      <c r="C707" s="2" t="s">
        <v>93</v>
      </c>
      <c r="D707" s="2" t="s">
        <v>2504</v>
      </c>
      <c r="E707" s="2" t="s">
        <v>87</v>
      </c>
      <c r="F707" s="132">
        <v>20000</v>
      </c>
      <c r="G707" s="132">
        <v>2</v>
      </c>
      <c r="H707" s="132">
        <f>R707</f>
        <v>0</v>
      </c>
      <c r="I707" s="132"/>
      <c r="J707" s="132">
        <f>S707</f>
        <v>0</v>
      </c>
      <c r="K707" s="132">
        <f t="shared" si="75"/>
        <v>20000</v>
      </c>
      <c r="L707" s="132">
        <f t="shared" si="71"/>
        <v>0</v>
      </c>
      <c r="M707" s="133"/>
      <c r="N707" s="133">
        <f t="shared" si="74"/>
        <v>20000</v>
      </c>
      <c r="O707" s="134">
        <v>1</v>
      </c>
      <c r="P707" s="133"/>
      <c r="Q707" s="2" t="s">
        <v>2450</v>
      </c>
      <c r="R707" s="156">
        <f t="shared" si="72"/>
        <v>0</v>
      </c>
      <c r="S707" s="156">
        <f t="shared" si="73"/>
        <v>0</v>
      </c>
      <c r="T707" s="133"/>
      <c r="U707" s="133"/>
      <c r="V707" s="133"/>
      <c r="W707" s="133"/>
      <c r="X707" s="133"/>
      <c r="Y707" s="133"/>
      <c r="Z707" s="133"/>
      <c r="AA707" s="133"/>
      <c r="AB707" s="133"/>
      <c r="AC707" s="133"/>
      <c r="AD707" s="133"/>
      <c r="AE707" s="133"/>
      <c r="AF707" s="133"/>
      <c r="AG707" s="133"/>
      <c r="AH707" s="133"/>
      <c r="AI707" s="133"/>
      <c r="AJ707" s="133"/>
      <c r="AK707" s="133"/>
      <c r="AL707" s="133"/>
      <c r="AM707" s="133"/>
      <c r="AN707" s="133"/>
      <c r="AO707" s="133"/>
      <c r="AP707" s="133"/>
      <c r="AQ707" s="133"/>
      <c r="AR707" s="133"/>
      <c r="AS707" s="153">
        <v>0</v>
      </c>
      <c r="AT707" s="153">
        <v>0</v>
      </c>
      <c r="AU707" s="153">
        <v>0</v>
      </c>
      <c r="AV707" s="153">
        <v>0</v>
      </c>
      <c r="AW707" s="153">
        <v>0</v>
      </c>
      <c r="AX707" s="153">
        <v>0</v>
      </c>
      <c r="AY707" s="135"/>
      <c r="AZ707" s="135"/>
      <c r="BA707" s="135"/>
      <c r="BB707" s="135"/>
      <c r="BC707" s="135"/>
      <c r="BD707" s="135"/>
      <c r="BE707" s="135"/>
      <c r="BF707" s="135"/>
      <c r="BG707" s="135"/>
      <c r="BH707" s="135"/>
      <c r="BI707" s="2" t="s">
        <v>11</v>
      </c>
      <c r="BJ707" s="136"/>
      <c r="BK707" s="2">
        <v>0</v>
      </c>
      <c r="BL707" s="136" t="s">
        <v>18</v>
      </c>
      <c r="BM707" s="136">
        <v>45301</v>
      </c>
      <c r="BN707" s="2" t="s">
        <v>2563</v>
      </c>
      <c r="BO707" s="2"/>
      <c r="BP707" s="205"/>
      <c r="BQ707" s="137" t="s">
        <v>119</v>
      </c>
      <c r="BR707" s="138"/>
    </row>
    <row r="708" spans="1:70" ht="12.75" customHeight="1" x14ac:dyDescent="0.2">
      <c r="A708" s="2">
        <v>2197</v>
      </c>
      <c r="B708" s="2" t="s">
        <v>28</v>
      </c>
      <c r="C708" s="2" t="s">
        <v>88</v>
      </c>
      <c r="D708" s="2" t="s">
        <v>2505</v>
      </c>
      <c r="E708" s="2" t="s">
        <v>87</v>
      </c>
      <c r="F708" s="132">
        <v>15000</v>
      </c>
      <c r="G708" s="132">
        <v>2</v>
      </c>
      <c r="H708" s="132">
        <f>R708</f>
        <v>0</v>
      </c>
      <c r="I708" s="132"/>
      <c r="J708" s="132">
        <f>S708</f>
        <v>0</v>
      </c>
      <c r="K708" s="132">
        <f t="shared" si="75"/>
        <v>15000</v>
      </c>
      <c r="L708" s="132">
        <f t="shared" si="71"/>
        <v>0</v>
      </c>
      <c r="M708" s="133"/>
      <c r="N708" s="133">
        <f t="shared" si="74"/>
        <v>15000</v>
      </c>
      <c r="O708" s="134">
        <v>1</v>
      </c>
      <c r="P708" s="133"/>
      <c r="Q708" s="2" t="s">
        <v>2451</v>
      </c>
      <c r="R708" s="156">
        <f t="shared" si="72"/>
        <v>0</v>
      </c>
      <c r="S708" s="156">
        <f t="shared" si="73"/>
        <v>0</v>
      </c>
      <c r="T708" s="133"/>
      <c r="U708" s="133"/>
      <c r="V708" s="133"/>
      <c r="W708" s="133"/>
      <c r="X708" s="133"/>
      <c r="Y708" s="133"/>
      <c r="Z708" s="133"/>
      <c r="AA708" s="133"/>
      <c r="AB708" s="133"/>
      <c r="AC708" s="133"/>
      <c r="AD708" s="133"/>
      <c r="AE708" s="133"/>
      <c r="AF708" s="133"/>
      <c r="AG708" s="133"/>
      <c r="AH708" s="133"/>
      <c r="AI708" s="133"/>
      <c r="AJ708" s="133"/>
      <c r="AK708" s="133"/>
      <c r="AL708" s="133"/>
      <c r="AM708" s="133"/>
      <c r="AN708" s="133"/>
      <c r="AO708" s="133"/>
      <c r="AP708" s="133"/>
      <c r="AQ708" s="133"/>
      <c r="AR708" s="133"/>
      <c r="AS708" s="153">
        <v>0</v>
      </c>
      <c r="AT708" s="153">
        <v>0</v>
      </c>
      <c r="AU708" s="153">
        <v>0</v>
      </c>
      <c r="AV708" s="153">
        <v>0</v>
      </c>
      <c r="AW708" s="153">
        <v>0</v>
      </c>
      <c r="AX708" s="153">
        <v>0</v>
      </c>
      <c r="AY708" s="135"/>
      <c r="AZ708" s="135"/>
      <c r="BA708" s="135"/>
      <c r="BB708" s="135"/>
      <c r="BC708" s="135"/>
      <c r="BD708" s="135"/>
      <c r="BE708" s="135"/>
      <c r="BF708" s="135"/>
      <c r="BG708" s="135"/>
      <c r="BH708" s="135"/>
      <c r="BI708" s="2" t="s">
        <v>11</v>
      </c>
      <c r="BJ708" s="136"/>
      <c r="BK708" s="2">
        <v>0</v>
      </c>
      <c r="BL708" s="136" t="s">
        <v>18</v>
      </c>
      <c r="BM708" s="136">
        <v>45301</v>
      </c>
      <c r="BN708" s="2" t="s">
        <v>2564</v>
      </c>
      <c r="BO708" s="2"/>
      <c r="BP708" s="205"/>
      <c r="BQ708" s="137" t="s">
        <v>119</v>
      </c>
      <c r="BR708" s="138"/>
    </row>
    <row r="709" spans="1:70" ht="12.75" customHeight="1" x14ac:dyDescent="0.2">
      <c r="A709" s="2">
        <v>2198</v>
      </c>
      <c r="B709" s="2" t="s">
        <v>28</v>
      </c>
      <c r="C709" s="2" t="s">
        <v>136</v>
      </c>
      <c r="D709" s="2" t="s">
        <v>2506</v>
      </c>
      <c r="E709" s="2" t="s">
        <v>117</v>
      </c>
      <c r="F709" s="132">
        <f>230*1.75</f>
        <v>402.5</v>
      </c>
      <c r="G709" s="132">
        <v>2</v>
      </c>
      <c r="H709" s="132">
        <f>230*1.75</f>
        <v>402.5</v>
      </c>
      <c r="I709" s="132"/>
      <c r="J709" s="132">
        <v>402.5</v>
      </c>
      <c r="K709" s="132">
        <f t="shared" si="75"/>
        <v>0</v>
      </c>
      <c r="L709" s="132">
        <f t="shared" si="71"/>
        <v>0</v>
      </c>
      <c r="M709" s="133"/>
      <c r="N709" s="133">
        <f t="shared" si="74"/>
        <v>0</v>
      </c>
      <c r="O709" s="134">
        <v>0</v>
      </c>
      <c r="P709" s="133"/>
      <c r="Q709" s="2" t="s">
        <v>2452</v>
      </c>
      <c r="R709" s="156">
        <f t="shared" si="72"/>
        <v>0</v>
      </c>
      <c r="S709" s="156">
        <f t="shared" si="73"/>
        <v>0</v>
      </c>
      <c r="T709" s="133"/>
      <c r="U709" s="133"/>
      <c r="V709" s="133"/>
      <c r="W709" s="133"/>
      <c r="X709" s="133"/>
      <c r="Y709" s="133"/>
      <c r="Z709" s="133"/>
      <c r="AA709" s="133"/>
      <c r="AB709" s="133"/>
      <c r="AC709" s="133"/>
      <c r="AD709" s="133"/>
      <c r="AE709" s="133"/>
      <c r="AF709" s="133"/>
      <c r="AG709" s="133"/>
      <c r="AH709" s="133"/>
      <c r="AI709" s="133"/>
      <c r="AJ709" s="133"/>
      <c r="AK709" s="133"/>
      <c r="AL709" s="133"/>
      <c r="AM709" s="133"/>
      <c r="AN709" s="133"/>
      <c r="AO709" s="133"/>
      <c r="AP709" s="133"/>
      <c r="AQ709" s="133"/>
      <c r="AR709" s="133"/>
      <c r="AS709" s="153">
        <v>0</v>
      </c>
      <c r="AT709" s="153">
        <v>0</v>
      </c>
      <c r="AU709" s="153">
        <v>0</v>
      </c>
      <c r="AV709" s="153">
        <v>0</v>
      </c>
      <c r="AW709" s="153">
        <v>0</v>
      </c>
      <c r="AX709" s="153">
        <v>0</v>
      </c>
      <c r="AY709" s="135"/>
      <c r="AZ709" s="135"/>
      <c r="BA709" s="135"/>
      <c r="BB709" s="135"/>
      <c r="BC709" s="135"/>
      <c r="BD709" s="135"/>
      <c r="BE709" s="135"/>
      <c r="BF709" s="135"/>
      <c r="BG709" s="135"/>
      <c r="BH709" s="135"/>
      <c r="BI709" s="2" t="s">
        <v>112</v>
      </c>
      <c r="BJ709" s="136">
        <v>45475</v>
      </c>
      <c r="BK709" s="2" t="s">
        <v>145</v>
      </c>
      <c r="BL709" s="136" t="s">
        <v>18</v>
      </c>
      <c r="BM709" s="136">
        <v>45301</v>
      </c>
      <c r="BN709" s="2" t="s">
        <v>2565</v>
      </c>
      <c r="BO709" s="2"/>
      <c r="BP709" s="205"/>
      <c r="BQ709" s="137" t="s">
        <v>134</v>
      </c>
      <c r="BR709" s="138"/>
    </row>
    <row r="710" spans="1:70" ht="12.75" customHeight="1" x14ac:dyDescent="0.2">
      <c r="A710" s="2">
        <v>2199</v>
      </c>
      <c r="B710" s="2" t="s">
        <v>28</v>
      </c>
      <c r="C710" s="2" t="s">
        <v>136</v>
      </c>
      <c r="D710" s="2" t="s">
        <v>2507</v>
      </c>
      <c r="E710" s="2" t="s">
        <v>87</v>
      </c>
      <c r="F710" s="132">
        <v>15000</v>
      </c>
      <c r="G710" s="132">
        <v>2</v>
      </c>
      <c r="H710" s="132">
        <v>39117.160000000003</v>
      </c>
      <c r="I710" s="132">
        <v>39117.160000000003</v>
      </c>
      <c r="J710" s="132">
        <f>5967.02+33150.14</f>
        <v>39117.160000000003</v>
      </c>
      <c r="K710" s="132">
        <f t="shared" si="75"/>
        <v>-24117.160000000003</v>
      </c>
      <c r="L710" s="132">
        <f t="shared" si="71"/>
        <v>0</v>
      </c>
      <c r="M710" s="133">
        <v>209</v>
      </c>
      <c r="N710" s="133">
        <f t="shared" si="74"/>
        <v>0</v>
      </c>
      <c r="O710" s="134">
        <v>0</v>
      </c>
      <c r="P710" s="133"/>
      <c r="Q710" s="2" t="s">
        <v>2452</v>
      </c>
      <c r="R710" s="156">
        <f t="shared" si="72"/>
        <v>0</v>
      </c>
      <c r="S710" s="156">
        <f t="shared" si="73"/>
        <v>0</v>
      </c>
      <c r="T710" s="133"/>
      <c r="U710" s="133"/>
      <c r="V710" s="133"/>
      <c r="W710" s="133"/>
      <c r="X710" s="133"/>
      <c r="Y710" s="133"/>
      <c r="Z710" s="133"/>
      <c r="AA710" s="133"/>
      <c r="AB710" s="133"/>
      <c r="AC710" s="133"/>
      <c r="AD710" s="133"/>
      <c r="AE710" s="133"/>
      <c r="AF710" s="133"/>
      <c r="AG710" s="133"/>
      <c r="AH710" s="133"/>
      <c r="AI710" s="133"/>
      <c r="AJ710" s="133"/>
      <c r="AK710" s="133"/>
      <c r="AL710" s="133"/>
      <c r="AM710" s="133"/>
      <c r="AN710" s="133"/>
      <c r="AO710" s="133"/>
      <c r="AP710" s="133"/>
      <c r="AQ710" s="133"/>
      <c r="AR710" s="133"/>
      <c r="AS710" s="153">
        <v>0</v>
      </c>
      <c r="AT710" s="153">
        <v>0</v>
      </c>
      <c r="AU710" s="153">
        <v>0</v>
      </c>
      <c r="AV710" s="153">
        <v>0</v>
      </c>
      <c r="AW710" s="153">
        <v>0</v>
      </c>
      <c r="AX710" s="153">
        <v>0</v>
      </c>
      <c r="AY710" s="135"/>
      <c r="AZ710" s="135"/>
      <c r="BA710" s="135">
        <v>0</v>
      </c>
      <c r="BB710" s="140">
        <f>(H710/1.18-AT710-AW710-AZ710)*0.1-AU710-AX710-BA710</f>
        <v>3315.0135593220348</v>
      </c>
      <c r="BC710" s="135"/>
      <c r="BD710" s="135"/>
      <c r="BE710" s="135">
        <f>(H710/1.18-AT710-AW710-AZ710-BD710)*0.1-AU710-AX710-BA710-BB710</f>
        <v>0</v>
      </c>
      <c r="BF710" s="135"/>
      <c r="BG710" s="135"/>
      <c r="BH710" s="135"/>
      <c r="BI710" s="2" t="s">
        <v>11</v>
      </c>
      <c r="BJ710" s="136">
        <v>45531</v>
      </c>
      <c r="BK710" s="2" t="s">
        <v>109</v>
      </c>
      <c r="BL710" s="136" t="s">
        <v>18</v>
      </c>
      <c r="BM710" s="136">
        <v>45301</v>
      </c>
      <c r="BN710" s="2" t="s">
        <v>2566</v>
      </c>
      <c r="BO710" s="2"/>
      <c r="BP710" s="205"/>
      <c r="BQ710" s="137" t="s">
        <v>119</v>
      </c>
      <c r="BR710" s="138"/>
    </row>
    <row r="711" spans="1:70" ht="12.75" customHeight="1" x14ac:dyDescent="0.2">
      <c r="A711" s="2">
        <v>2200</v>
      </c>
      <c r="B711" s="2" t="s">
        <v>28</v>
      </c>
      <c r="C711" s="2" t="s">
        <v>92</v>
      </c>
      <c r="D711" s="2" t="s">
        <v>2508</v>
      </c>
      <c r="E711" s="2" t="s">
        <v>117</v>
      </c>
      <c r="F711" s="132">
        <v>0</v>
      </c>
      <c r="G711" s="132" t="s">
        <v>3669</v>
      </c>
      <c r="H711" s="132"/>
      <c r="I711" s="132"/>
      <c r="J711" s="132"/>
      <c r="K711" s="132">
        <f t="shared" si="75"/>
        <v>0</v>
      </c>
      <c r="L711" s="132">
        <f t="shared" si="71"/>
        <v>0</v>
      </c>
      <c r="M711" s="133"/>
      <c r="N711" s="133">
        <f t="shared" si="74"/>
        <v>0</v>
      </c>
      <c r="O711" s="134">
        <v>2</v>
      </c>
      <c r="P711" s="133"/>
      <c r="Q711" s="2" t="s">
        <v>2453</v>
      </c>
      <c r="R711" s="156">
        <f t="shared" si="72"/>
        <v>0</v>
      </c>
      <c r="S711" s="156">
        <f t="shared" si="73"/>
        <v>0</v>
      </c>
      <c r="T711" s="133"/>
      <c r="U711" s="133"/>
      <c r="V711" s="133"/>
      <c r="W711" s="133"/>
      <c r="X711" s="133"/>
      <c r="Y711" s="133"/>
      <c r="Z711" s="133"/>
      <c r="AA711" s="133"/>
      <c r="AB711" s="133"/>
      <c r="AC711" s="133"/>
      <c r="AD711" s="133"/>
      <c r="AE711" s="133"/>
      <c r="AF711" s="133"/>
      <c r="AG711" s="133"/>
      <c r="AH711" s="133"/>
      <c r="AI711" s="133"/>
      <c r="AJ711" s="133"/>
      <c r="AK711" s="133"/>
      <c r="AL711" s="133"/>
      <c r="AM711" s="133"/>
      <c r="AN711" s="133"/>
      <c r="AO711" s="133"/>
      <c r="AP711" s="133"/>
      <c r="AQ711" s="133"/>
      <c r="AR711" s="133"/>
      <c r="AS711" s="153">
        <v>0</v>
      </c>
      <c r="AT711" s="153">
        <v>0</v>
      </c>
      <c r="AU711" s="153">
        <v>0</v>
      </c>
      <c r="AV711" s="153">
        <v>0</v>
      </c>
      <c r="AW711" s="153">
        <v>0</v>
      </c>
      <c r="AX711" s="153">
        <v>0</v>
      </c>
      <c r="AY711" s="135"/>
      <c r="AZ711" s="135"/>
      <c r="BA711" s="135"/>
      <c r="BB711" s="135"/>
      <c r="BC711" s="135"/>
      <c r="BD711" s="135"/>
      <c r="BE711" s="135"/>
      <c r="BF711" s="135"/>
      <c r="BG711" s="135"/>
      <c r="BH711" s="135"/>
      <c r="BI711" s="2" t="s">
        <v>112</v>
      </c>
      <c r="BJ711" s="136"/>
      <c r="BK711" s="2">
        <v>0</v>
      </c>
      <c r="BL711" s="136" t="s">
        <v>18</v>
      </c>
      <c r="BM711" s="136">
        <v>45301</v>
      </c>
      <c r="BN711" s="2" t="s">
        <v>2567</v>
      </c>
      <c r="BO711" s="2"/>
      <c r="BP711" s="205"/>
      <c r="BQ711" s="137" t="s">
        <v>134</v>
      </c>
      <c r="BR711" s="138"/>
    </row>
    <row r="712" spans="1:70" ht="12.75" customHeight="1" x14ac:dyDescent="0.2">
      <c r="A712" s="2">
        <v>2201</v>
      </c>
      <c r="B712" s="2" t="s">
        <v>28</v>
      </c>
      <c r="C712" s="2" t="s">
        <v>92</v>
      </c>
      <c r="D712" s="2" t="s">
        <v>2509</v>
      </c>
      <c r="E712" s="2" t="s">
        <v>87</v>
      </c>
      <c r="F712" s="132">
        <v>5000</v>
      </c>
      <c r="G712" s="132" t="s">
        <v>3669</v>
      </c>
      <c r="H712" s="132">
        <f>R712</f>
        <v>0</v>
      </c>
      <c r="I712" s="132"/>
      <c r="J712" s="132">
        <f>S712</f>
        <v>0</v>
      </c>
      <c r="K712" s="132">
        <f t="shared" si="75"/>
        <v>5000</v>
      </c>
      <c r="L712" s="132">
        <f t="shared" si="71"/>
        <v>0</v>
      </c>
      <c r="M712" s="133"/>
      <c r="N712" s="133">
        <f t="shared" si="74"/>
        <v>5000</v>
      </c>
      <c r="O712" s="134">
        <v>1</v>
      </c>
      <c r="P712" s="133"/>
      <c r="Q712" s="2" t="s">
        <v>2453</v>
      </c>
      <c r="R712" s="156">
        <f t="shared" si="72"/>
        <v>0</v>
      </c>
      <c r="S712" s="156">
        <f t="shared" si="73"/>
        <v>0</v>
      </c>
      <c r="T712" s="133"/>
      <c r="U712" s="133"/>
      <c r="V712" s="133"/>
      <c r="W712" s="133"/>
      <c r="X712" s="133"/>
      <c r="Y712" s="133"/>
      <c r="Z712" s="133"/>
      <c r="AA712" s="133"/>
      <c r="AB712" s="133"/>
      <c r="AC712" s="133"/>
      <c r="AD712" s="133"/>
      <c r="AE712" s="133"/>
      <c r="AF712" s="133"/>
      <c r="AG712" s="133"/>
      <c r="AH712" s="133"/>
      <c r="AI712" s="133"/>
      <c r="AJ712" s="133"/>
      <c r="AK712" s="133"/>
      <c r="AL712" s="133"/>
      <c r="AM712" s="133"/>
      <c r="AN712" s="133"/>
      <c r="AO712" s="133"/>
      <c r="AP712" s="133"/>
      <c r="AQ712" s="133"/>
      <c r="AR712" s="133"/>
      <c r="AS712" s="153">
        <v>0</v>
      </c>
      <c r="AT712" s="153">
        <v>0</v>
      </c>
      <c r="AU712" s="153">
        <v>0</v>
      </c>
      <c r="AV712" s="153">
        <v>0</v>
      </c>
      <c r="AW712" s="153">
        <v>0</v>
      </c>
      <c r="AX712" s="153">
        <v>0</v>
      </c>
      <c r="AY712" s="135"/>
      <c r="AZ712" s="135"/>
      <c r="BA712" s="135"/>
      <c r="BB712" s="135"/>
      <c r="BC712" s="135"/>
      <c r="BD712" s="135"/>
      <c r="BE712" s="135"/>
      <c r="BF712" s="135"/>
      <c r="BG712" s="135"/>
      <c r="BH712" s="135"/>
      <c r="BI712" s="2" t="s">
        <v>11</v>
      </c>
      <c r="BJ712" s="136"/>
      <c r="BK712" s="2">
        <v>0</v>
      </c>
      <c r="BL712" s="136" t="s">
        <v>18</v>
      </c>
      <c r="BM712" s="136">
        <v>45301</v>
      </c>
      <c r="BN712" s="2" t="s">
        <v>2568</v>
      </c>
      <c r="BO712" s="2"/>
      <c r="BP712" s="205"/>
      <c r="BQ712" s="137" t="s">
        <v>119</v>
      </c>
      <c r="BR712" s="138"/>
    </row>
    <row r="713" spans="1:70" ht="12.75" customHeight="1" x14ac:dyDescent="0.2">
      <c r="A713" s="2">
        <v>2202</v>
      </c>
      <c r="B713" s="2" t="s">
        <v>28</v>
      </c>
      <c r="C713" s="2" t="s">
        <v>88</v>
      </c>
      <c r="D713" s="2" t="s">
        <v>2510</v>
      </c>
      <c r="E713" s="2" t="s">
        <v>117</v>
      </c>
      <c r="F713" s="132">
        <f>524*1.75</f>
        <v>917</v>
      </c>
      <c r="G713" s="132">
        <v>2</v>
      </c>
      <c r="H713" s="132">
        <f>524*1.75</f>
        <v>917</v>
      </c>
      <c r="I713" s="132"/>
      <c r="J713" s="132">
        <v>917</v>
      </c>
      <c r="K713" s="132">
        <f t="shared" si="75"/>
        <v>0</v>
      </c>
      <c r="L713" s="132">
        <f t="shared" si="71"/>
        <v>0</v>
      </c>
      <c r="M713" s="133"/>
      <c r="N713" s="133">
        <f t="shared" si="74"/>
        <v>0</v>
      </c>
      <c r="O713" s="134">
        <v>0</v>
      </c>
      <c r="P713" s="133"/>
      <c r="Q713" s="2" t="s">
        <v>2454</v>
      </c>
      <c r="R713" s="156">
        <f t="shared" si="72"/>
        <v>0</v>
      </c>
      <c r="S713" s="156">
        <f t="shared" si="73"/>
        <v>0</v>
      </c>
      <c r="T713" s="133"/>
      <c r="U713" s="133"/>
      <c r="V713" s="133"/>
      <c r="W713" s="133"/>
      <c r="X713" s="133"/>
      <c r="Y713" s="133"/>
      <c r="Z713" s="133"/>
      <c r="AA713" s="133"/>
      <c r="AB713" s="133"/>
      <c r="AC713" s="133"/>
      <c r="AD713" s="133"/>
      <c r="AE713" s="133"/>
      <c r="AF713" s="133"/>
      <c r="AG713" s="133"/>
      <c r="AH713" s="133"/>
      <c r="AI713" s="133"/>
      <c r="AJ713" s="133"/>
      <c r="AK713" s="133"/>
      <c r="AL713" s="133"/>
      <c r="AM713" s="133"/>
      <c r="AN713" s="133"/>
      <c r="AO713" s="133"/>
      <c r="AP713" s="133"/>
      <c r="AQ713" s="133"/>
      <c r="AR713" s="133"/>
      <c r="AS713" s="153">
        <v>0</v>
      </c>
      <c r="AT713" s="153">
        <v>0</v>
      </c>
      <c r="AU713" s="153">
        <v>0</v>
      </c>
      <c r="AV713" s="153">
        <v>0</v>
      </c>
      <c r="AW713" s="153">
        <v>0</v>
      </c>
      <c r="AX713" s="153">
        <v>0</v>
      </c>
      <c r="AY713" s="135"/>
      <c r="AZ713" s="135"/>
      <c r="BA713" s="135"/>
      <c r="BB713" s="135"/>
      <c r="BC713" s="135"/>
      <c r="BD713" s="135"/>
      <c r="BE713" s="135"/>
      <c r="BF713" s="135"/>
      <c r="BG713" s="135"/>
      <c r="BH713" s="135"/>
      <c r="BI713" s="2" t="s">
        <v>112</v>
      </c>
      <c r="BJ713" s="136">
        <v>45413</v>
      </c>
      <c r="BK713" s="2" t="s">
        <v>145</v>
      </c>
      <c r="BL713" s="136" t="s">
        <v>18</v>
      </c>
      <c r="BM713" s="136">
        <v>45301</v>
      </c>
      <c r="BN713" s="2" t="s">
        <v>2569</v>
      </c>
      <c r="BO713" s="2"/>
      <c r="BP713" s="205"/>
      <c r="BQ713" s="137" t="s">
        <v>134</v>
      </c>
      <c r="BR713" s="138"/>
    </row>
    <row r="714" spans="1:70" ht="12.75" customHeight="1" x14ac:dyDescent="0.2">
      <c r="A714" s="2">
        <v>2203</v>
      </c>
      <c r="B714" s="2" t="s">
        <v>28</v>
      </c>
      <c r="C714" s="2" t="s">
        <v>88</v>
      </c>
      <c r="D714" s="2" t="s">
        <v>2511</v>
      </c>
      <c r="E714" s="2" t="s">
        <v>87</v>
      </c>
      <c r="F714" s="132">
        <v>10000</v>
      </c>
      <c r="G714" s="132">
        <v>2</v>
      </c>
      <c r="H714" s="132">
        <f>R714</f>
        <v>0</v>
      </c>
      <c r="I714" s="132"/>
      <c r="J714" s="132">
        <f>S714</f>
        <v>0</v>
      </c>
      <c r="K714" s="132">
        <f t="shared" si="75"/>
        <v>10000</v>
      </c>
      <c r="L714" s="132">
        <f t="shared" si="71"/>
        <v>0</v>
      </c>
      <c r="M714" s="133"/>
      <c r="N714" s="133">
        <f t="shared" si="74"/>
        <v>10000</v>
      </c>
      <c r="O714" s="134">
        <v>1</v>
      </c>
      <c r="P714" s="133"/>
      <c r="Q714" s="2" t="s">
        <v>2454</v>
      </c>
      <c r="R714" s="156">
        <f t="shared" si="72"/>
        <v>0</v>
      </c>
      <c r="S714" s="156">
        <f t="shared" si="73"/>
        <v>0</v>
      </c>
      <c r="T714" s="133"/>
      <c r="U714" s="133"/>
      <c r="V714" s="133"/>
      <c r="W714" s="133"/>
      <c r="X714" s="133"/>
      <c r="Y714" s="133"/>
      <c r="Z714" s="133"/>
      <c r="AA714" s="133"/>
      <c r="AB714" s="133"/>
      <c r="AC714" s="133"/>
      <c r="AD714" s="133"/>
      <c r="AE714" s="133"/>
      <c r="AF714" s="133"/>
      <c r="AG714" s="133"/>
      <c r="AH714" s="133"/>
      <c r="AI714" s="133"/>
      <c r="AJ714" s="133"/>
      <c r="AK714" s="133"/>
      <c r="AL714" s="133"/>
      <c r="AM714" s="133"/>
      <c r="AN714" s="133"/>
      <c r="AO714" s="133"/>
      <c r="AP714" s="133"/>
      <c r="AQ714" s="133"/>
      <c r="AR714" s="133"/>
      <c r="AS714" s="153">
        <v>0</v>
      </c>
      <c r="AT714" s="153">
        <v>0</v>
      </c>
      <c r="AU714" s="153">
        <v>0</v>
      </c>
      <c r="AV714" s="153">
        <v>0</v>
      </c>
      <c r="AW714" s="153">
        <v>0</v>
      </c>
      <c r="AX714" s="153">
        <v>0</v>
      </c>
      <c r="AY714" s="135"/>
      <c r="AZ714" s="135"/>
      <c r="BA714" s="135"/>
      <c r="BB714" s="135"/>
      <c r="BC714" s="135"/>
      <c r="BD714" s="135"/>
      <c r="BE714" s="135"/>
      <c r="BF714" s="135"/>
      <c r="BG714" s="135"/>
      <c r="BH714" s="135"/>
      <c r="BI714" s="2" t="s">
        <v>11</v>
      </c>
      <c r="BJ714" s="136"/>
      <c r="BK714" s="2">
        <v>0</v>
      </c>
      <c r="BL714" s="136" t="s">
        <v>18</v>
      </c>
      <c r="BM714" s="136">
        <v>45301</v>
      </c>
      <c r="BN714" s="2" t="s">
        <v>2570</v>
      </c>
      <c r="BO714" s="2"/>
      <c r="BP714" s="205"/>
      <c r="BQ714" s="137" t="s">
        <v>119</v>
      </c>
      <c r="BR714" s="138"/>
    </row>
    <row r="715" spans="1:70" ht="12.75" customHeight="1" x14ac:dyDescent="0.2">
      <c r="A715" s="2">
        <v>2204</v>
      </c>
      <c r="B715" s="2" t="s">
        <v>28</v>
      </c>
      <c r="C715" s="2" t="s">
        <v>92</v>
      </c>
      <c r="D715" s="2" t="s">
        <v>2512</v>
      </c>
      <c r="E715" s="2" t="s">
        <v>117</v>
      </c>
      <c r="F715" s="132">
        <f>649*1.75</f>
        <v>1135.75</v>
      </c>
      <c r="G715" s="132">
        <v>2</v>
      </c>
      <c r="H715" s="132">
        <f>649*1.75</f>
        <v>1135.75</v>
      </c>
      <c r="I715" s="132"/>
      <c r="J715" s="132">
        <f>173.25+962.5</f>
        <v>1135.75</v>
      </c>
      <c r="K715" s="132">
        <f t="shared" si="75"/>
        <v>0</v>
      </c>
      <c r="L715" s="132">
        <f t="shared" ref="L715:L778" si="76">H715-J715</f>
        <v>0</v>
      </c>
      <c r="M715" s="133"/>
      <c r="N715" s="133">
        <f t="shared" si="74"/>
        <v>0</v>
      </c>
      <c r="O715" s="134">
        <v>0</v>
      </c>
      <c r="P715" s="133"/>
      <c r="Q715" s="2" t="s">
        <v>2455</v>
      </c>
      <c r="R715" s="156">
        <f t="shared" ref="R715:R778" si="77">T715+V715+X715+Z715+AB715+AD715+AF715+AH715+AJ715+AL715+AN715+AP715</f>
        <v>0</v>
      </c>
      <c r="S715" s="156">
        <f t="shared" ref="S715:S778" si="78">U715+W715+Y715+AA715+AC715+AE715+AG715+AI715+AK715+AM715+AO715+AQ715</f>
        <v>0</v>
      </c>
      <c r="T715" s="133"/>
      <c r="U715" s="133"/>
      <c r="V715" s="133"/>
      <c r="W715" s="133"/>
      <c r="X715" s="133"/>
      <c r="Y715" s="133"/>
      <c r="Z715" s="133"/>
      <c r="AA715" s="133"/>
      <c r="AB715" s="133"/>
      <c r="AC715" s="133"/>
      <c r="AD715" s="133"/>
      <c r="AE715" s="133"/>
      <c r="AF715" s="133"/>
      <c r="AG715" s="133"/>
      <c r="AH715" s="133"/>
      <c r="AI715" s="133"/>
      <c r="AJ715" s="133"/>
      <c r="AK715" s="133"/>
      <c r="AL715" s="133"/>
      <c r="AM715" s="133"/>
      <c r="AN715" s="133"/>
      <c r="AO715" s="133"/>
      <c r="AP715" s="133"/>
      <c r="AQ715" s="133"/>
      <c r="AR715" s="133"/>
      <c r="AS715" s="153">
        <v>0</v>
      </c>
      <c r="AT715" s="153">
        <v>0</v>
      </c>
      <c r="AU715" s="153">
        <v>0</v>
      </c>
      <c r="AV715" s="153">
        <v>0</v>
      </c>
      <c r="AW715" s="153">
        <v>0</v>
      </c>
      <c r="AX715" s="153">
        <v>0</v>
      </c>
      <c r="AY715" s="135"/>
      <c r="AZ715" s="135"/>
      <c r="BA715" s="135"/>
      <c r="BB715" s="135"/>
      <c r="BC715" s="135"/>
      <c r="BD715" s="135"/>
      <c r="BE715" s="135"/>
      <c r="BF715" s="135"/>
      <c r="BG715" s="135"/>
      <c r="BH715" s="135"/>
      <c r="BI715" s="2" t="s">
        <v>112</v>
      </c>
      <c r="BJ715" s="136">
        <v>45413</v>
      </c>
      <c r="BK715" s="2" t="s">
        <v>145</v>
      </c>
      <c r="BL715" s="136" t="s">
        <v>18</v>
      </c>
      <c r="BM715" s="136">
        <v>45301</v>
      </c>
      <c r="BN715" s="2" t="s">
        <v>2571</v>
      </c>
      <c r="BO715" s="2"/>
      <c r="BP715" s="205"/>
      <c r="BQ715" s="137" t="s">
        <v>134</v>
      </c>
      <c r="BR715" s="138"/>
    </row>
    <row r="716" spans="1:70" ht="12.75" customHeight="1" x14ac:dyDescent="0.2">
      <c r="A716" s="2">
        <v>2205</v>
      </c>
      <c r="B716" s="2" t="s">
        <v>28</v>
      </c>
      <c r="C716" s="2" t="s">
        <v>92</v>
      </c>
      <c r="D716" s="2" t="s">
        <v>2513</v>
      </c>
      <c r="E716" s="2" t="s">
        <v>87</v>
      </c>
      <c r="F716" s="132">
        <v>90000</v>
      </c>
      <c r="G716" s="132">
        <v>2</v>
      </c>
      <c r="H716" s="132">
        <v>32964.85</v>
      </c>
      <c r="I716" s="132">
        <v>32964.85</v>
      </c>
      <c r="J716" s="132">
        <f>5028.54+27936.31</f>
        <v>32964.85</v>
      </c>
      <c r="K716" s="132">
        <f t="shared" si="75"/>
        <v>57035.15</v>
      </c>
      <c r="L716" s="132">
        <f t="shared" si="76"/>
        <v>0</v>
      </c>
      <c r="M716" s="133">
        <v>631</v>
      </c>
      <c r="N716" s="133">
        <f t="shared" si="74"/>
        <v>0</v>
      </c>
      <c r="O716" s="134">
        <v>0</v>
      </c>
      <c r="P716" s="133"/>
      <c r="Q716" s="2" t="s">
        <v>2455</v>
      </c>
      <c r="R716" s="156">
        <f t="shared" si="77"/>
        <v>0</v>
      </c>
      <c r="S716" s="156">
        <f t="shared" si="78"/>
        <v>0</v>
      </c>
      <c r="T716" s="133"/>
      <c r="U716" s="133"/>
      <c r="V716" s="133"/>
      <c r="W716" s="133"/>
      <c r="X716" s="133"/>
      <c r="Y716" s="133"/>
      <c r="Z716" s="133"/>
      <c r="AA716" s="133"/>
      <c r="AB716" s="133"/>
      <c r="AC716" s="133"/>
      <c r="AD716" s="133"/>
      <c r="AE716" s="133"/>
      <c r="AF716" s="133"/>
      <c r="AG716" s="133"/>
      <c r="AH716" s="133"/>
      <c r="AI716" s="133"/>
      <c r="AJ716" s="133"/>
      <c r="AK716" s="133"/>
      <c r="AL716" s="133"/>
      <c r="AM716" s="133"/>
      <c r="AN716" s="133"/>
      <c r="AO716" s="133"/>
      <c r="AP716" s="133"/>
      <c r="AQ716" s="133"/>
      <c r="AR716" s="133"/>
      <c r="AS716" s="153">
        <v>0</v>
      </c>
      <c r="AT716" s="153">
        <v>0</v>
      </c>
      <c r="AU716" s="153">
        <v>0</v>
      </c>
      <c r="AV716" s="153">
        <v>0</v>
      </c>
      <c r="AW716" s="153"/>
      <c r="AX716" s="153">
        <v>0</v>
      </c>
      <c r="AY716" s="135"/>
      <c r="AZ716" s="135"/>
      <c r="BA716" s="135">
        <v>0</v>
      </c>
      <c r="BB716" s="140">
        <f>(H716/1.18-AT716-AW716-AZ716)*0.1-AU716-AX716-BA716</f>
        <v>2793.6313559322039</v>
      </c>
      <c r="BC716" s="135"/>
      <c r="BD716" s="135"/>
      <c r="BE716" s="135">
        <f>(H716/1.18-AT716-AW716-AZ716-BD716)*0.1-AU716-AX716-BA716-BB716</f>
        <v>0</v>
      </c>
      <c r="BF716" s="135"/>
      <c r="BG716" s="135"/>
      <c r="BH716" s="135"/>
      <c r="BI716" s="2" t="s">
        <v>11</v>
      </c>
      <c r="BJ716" s="136">
        <v>45531</v>
      </c>
      <c r="BK716" s="2" t="s">
        <v>109</v>
      </c>
      <c r="BL716" s="136" t="s">
        <v>18</v>
      </c>
      <c r="BM716" s="136">
        <v>45301</v>
      </c>
      <c r="BN716" s="2" t="s">
        <v>2572</v>
      </c>
      <c r="BO716" s="2"/>
      <c r="BP716" s="205"/>
      <c r="BQ716" s="137" t="s">
        <v>119</v>
      </c>
      <c r="BR716" s="138"/>
    </row>
    <row r="717" spans="1:70" ht="12.75" customHeight="1" x14ac:dyDescent="0.2">
      <c r="A717" s="2">
        <v>2206</v>
      </c>
      <c r="B717" s="2" t="s">
        <v>54</v>
      </c>
      <c r="C717" s="2" t="s">
        <v>17</v>
      </c>
      <c r="D717" s="2" t="s">
        <v>2638</v>
      </c>
      <c r="E717" s="2" t="s">
        <v>71</v>
      </c>
      <c r="F717" s="132">
        <v>540000</v>
      </c>
      <c r="G717" s="132">
        <v>2</v>
      </c>
      <c r="H717" s="132"/>
      <c r="I717" s="132"/>
      <c r="J717" s="132"/>
      <c r="K717" s="132">
        <f t="shared" si="75"/>
        <v>540000</v>
      </c>
      <c r="L717" s="132">
        <f t="shared" si="76"/>
        <v>0</v>
      </c>
      <c r="M717" s="133"/>
      <c r="N717" s="133">
        <f t="shared" si="74"/>
        <v>540000</v>
      </c>
      <c r="O717" s="134">
        <v>1</v>
      </c>
      <c r="P717" s="133"/>
      <c r="Q717" s="2" t="s">
        <v>2574</v>
      </c>
      <c r="R717" s="156">
        <f t="shared" si="77"/>
        <v>0</v>
      </c>
      <c r="S717" s="156">
        <f t="shared" si="78"/>
        <v>0</v>
      </c>
      <c r="T717" s="133"/>
      <c r="U717" s="133"/>
      <c r="V717" s="133"/>
      <c r="W717" s="133"/>
      <c r="X717" s="133"/>
      <c r="Y717" s="133"/>
      <c r="Z717" s="133"/>
      <c r="AA717" s="133"/>
      <c r="AB717" s="133"/>
      <c r="AC717" s="133"/>
      <c r="AD717" s="133"/>
      <c r="AE717" s="133"/>
      <c r="AF717" s="133"/>
      <c r="AG717" s="133"/>
      <c r="AH717" s="133"/>
      <c r="AI717" s="133"/>
      <c r="AJ717" s="133"/>
      <c r="AK717" s="133"/>
      <c r="AL717" s="133"/>
      <c r="AM717" s="133"/>
      <c r="AN717" s="133"/>
      <c r="AO717" s="133"/>
      <c r="AP717" s="133"/>
      <c r="AQ717" s="133"/>
      <c r="AR717" s="133"/>
      <c r="AS717" s="153">
        <v>0</v>
      </c>
      <c r="AT717" s="153">
        <v>0</v>
      </c>
      <c r="AU717" s="153">
        <v>0</v>
      </c>
      <c r="AV717" s="153">
        <v>0</v>
      </c>
      <c r="AW717" s="153">
        <v>0</v>
      </c>
      <c r="AX717" s="153">
        <v>0</v>
      </c>
      <c r="AY717" s="135"/>
      <c r="AZ717" s="135"/>
      <c r="BA717" s="135"/>
      <c r="BB717" s="135"/>
      <c r="BC717" s="135"/>
      <c r="BD717" s="135"/>
      <c r="BE717" s="135"/>
      <c r="BF717" s="135"/>
      <c r="BG717" s="135"/>
      <c r="BH717" s="135"/>
      <c r="BI717" s="2" t="s">
        <v>11</v>
      </c>
      <c r="BJ717" s="136"/>
      <c r="BK717" s="2">
        <v>0</v>
      </c>
      <c r="BL717" s="136" t="s">
        <v>113</v>
      </c>
      <c r="BM717" s="136">
        <v>45303</v>
      </c>
      <c r="BN717" s="2" t="s">
        <v>2702</v>
      </c>
      <c r="BO717" s="2"/>
      <c r="BP717" s="205"/>
      <c r="BQ717" s="137" t="s">
        <v>119</v>
      </c>
      <c r="BR717" s="138"/>
    </row>
    <row r="718" spans="1:70" ht="12.75" customHeight="1" x14ac:dyDescent="0.2">
      <c r="A718" s="2">
        <v>2207</v>
      </c>
      <c r="B718" s="2" t="s">
        <v>31</v>
      </c>
      <c r="C718" s="2" t="s">
        <v>34</v>
      </c>
      <c r="D718" s="2" t="s">
        <v>2639</v>
      </c>
      <c r="E718" s="2" t="s">
        <v>71</v>
      </c>
      <c r="F718" s="132">
        <v>310000</v>
      </c>
      <c r="G718" s="132">
        <v>2</v>
      </c>
      <c r="H718" s="132">
        <f>120000+40000+R718</f>
        <v>165485.91</v>
      </c>
      <c r="I718" s="132"/>
      <c r="J718" s="132">
        <f>6101.69+AY718+S718</f>
        <v>165485.90999999997</v>
      </c>
      <c r="K718" s="132">
        <f t="shared" si="75"/>
        <v>144514.09000000003</v>
      </c>
      <c r="L718" s="132">
        <f t="shared" si="76"/>
        <v>0</v>
      </c>
      <c r="M718" s="133">
        <v>2363.1999999999998</v>
      </c>
      <c r="N718" s="133">
        <f t="shared" si="74"/>
        <v>2.9103830456733704E-11</v>
      </c>
      <c r="O718" s="134">
        <v>1</v>
      </c>
      <c r="P718" s="133"/>
      <c r="Q718" s="2" t="s">
        <v>2575</v>
      </c>
      <c r="R718" s="156">
        <f t="shared" si="77"/>
        <v>5485.91</v>
      </c>
      <c r="S718" s="156">
        <f t="shared" si="78"/>
        <v>23790.99</v>
      </c>
      <c r="T718" s="133">
        <v>5485.91</v>
      </c>
      <c r="U718" s="133"/>
      <c r="V718" s="133"/>
      <c r="W718" s="133">
        <f>836.83</f>
        <v>836.83</v>
      </c>
      <c r="X718" s="133"/>
      <c r="Y718" s="133"/>
      <c r="Z718" s="133"/>
      <c r="AA718" s="133"/>
      <c r="AB718" s="133"/>
      <c r="AC718" s="133"/>
      <c r="AD718" s="133"/>
      <c r="AE718" s="133">
        <v>22954.16</v>
      </c>
      <c r="AF718" s="133"/>
      <c r="AG718" s="133"/>
      <c r="AH718" s="133"/>
      <c r="AI718" s="133"/>
      <c r="AJ718" s="133"/>
      <c r="AK718" s="133"/>
      <c r="AL718" s="133"/>
      <c r="AM718" s="133"/>
      <c r="AN718" s="133"/>
      <c r="AO718" s="133"/>
      <c r="AP718" s="133"/>
      <c r="AQ718" s="133"/>
      <c r="AR718" s="133"/>
      <c r="AS718" s="153">
        <v>0</v>
      </c>
      <c r="AT718" s="153">
        <v>0</v>
      </c>
      <c r="AU718" s="153">
        <v>0</v>
      </c>
      <c r="AV718" s="153">
        <v>0</v>
      </c>
      <c r="AW718" s="153">
        <v>0</v>
      </c>
      <c r="AX718" s="153">
        <v>0</v>
      </c>
      <c r="AY718" s="135">
        <f>101694.92+33898.31</f>
        <v>135593.22999999998</v>
      </c>
      <c r="AZ718" s="135">
        <f>2239.61+9440.3</f>
        <v>11679.91</v>
      </c>
      <c r="BA718" s="135">
        <v>0</v>
      </c>
      <c r="BB718" s="140">
        <f>(H718/1.18-AT718-AW718-AZ718)*0.1-AU718-AX718-BA718</f>
        <v>12856.238661016949</v>
      </c>
      <c r="BC718" s="135"/>
      <c r="BD718" s="135"/>
      <c r="BE718" s="135">
        <f>(H718/1.18-AT718-AW718-AZ718-BD718)*0.1-AU718-AX718-BA718-BB718</f>
        <v>0</v>
      </c>
      <c r="BF718" s="135"/>
      <c r="BG718" s="135"/>
      <c r="BH718" s="135"/>
      <c r="BI718" s="2" t="s">
        <v>11</v>
      </c>
      <c r="BJ718" s="136">
        <v>45680</v>
      </c>
      <c r="BK718" s="2" t="s">
        <v>8</v>
      </c>
      <c r="BL718" s="136" t="s">
        <v>113</v>
      </c>
      <c r="BM718" s="136">
        <v>45303</v>
      </c>
      <c r="BN718" s="2" t="s">
        <v>2703</v>
      </c>
      <c r="BO718" s="2"/>
      <c r="BP718" s="205"/>
      <c r="BQ718" s="137" t="s">
        <v>119</v>
      </c>
      <c r="BR718" s="138"/>
    </row>
    <row r="719" spans="1:70" ht="12.75" customHeight="1" x14ac:dyDescent="0.2">
      <c r="A719" s="2">
        <v>2208</v>
      </c>
      <c r="B719" s="2" t="s">
        <v>31</v>
      </c>
      <c r="C719" s="2" t="s">
        <v>32</v>
      </c>
      <c r="D719" s="2" t="s">
        <v>2640</v>
      </c>
      <c r="E719" s="2" t="s">
        <v>71</v>
      </c>
      <c r="F719" s="132">
        <v>300000</v>
      </c>
      <c r="G719" s="132">
        <v>2</v>
      </c>
      <c r="H719" s="132"/>
      <c r="I719" s="132"/>
      <c r="J719" s="132"/>
      <c r="K719" s="132">
        <f t="shared" si="75"/>
        <v>300000</v>
      </c>
      <c r="L719" s="132">
        <f t="shared" si="76"/>
        <v>0</v>
      </c>
      <c r="M719" s="133"/>
      <c r="N719" s="133">
        <f t="shared" si="74"/>
        <v>300000</v>
      </c>
      <c r="O719" s="134">
        <v>1</v>
      </c>
      <c r="P719" s="133"/>
      <c r="Q719" s="2" t="s">
        <v>2576</v>
      </c>
      <c r="R719" s="156">
        <f t="shared" si="77"/>
        <v>0</v>
      </c>
      <c r="S719" s="156">
        <f t="shared" si="78"/>
        <v>0</v>
      </c>
      <c r="T719" s="133"/>
      <c r="U719" s="133"/>
      <c r="V719" s="133"/>
      <c r="W719" s="133"/>
      <c r="X719" s="133"/>
      <c r="Y719" s="133"/>
      <c r="Z719" s="133"/>
      <c r="AA719" s="133"/>
      <c r="AB719" s="133"/>
      <c r="AC719" s="133"/>
      <c r="AD719" s="133"/>
      <c r="AE719" s="133"/>
      <c r="AF719" s="133"/>
      <c r="AG719" s="133"/>
      <c r="AH719" s="133"/>
      <c r="AI719" s="133"/>
      <c r="AJ719" s="133"/>
      <c r="AK719" s="133"/>
      <c r="AL719" s="133"/>
      <c r="AM719" s="133"/>
      <c r="AN719" s="133"/>
      <c r="AO719" s="133"/>
      <c r="AP719" s="133"/>
      <c r="AQ719" s="133"/>
      <c r="AR719" s="133"/>
      <c r="AS719" s="153">
        <v>0</v>
      </c>
      <c r="AT719" s="153">
        <v>0</v>
      </c>
      <c r="AU719" s="153">
        <v>0</v>
      </c>
      <c r="AV719" s="153">
        <v>0</v>
      </c>
      <c r="AW719" s="153">
        <v>0</v>
      </c>
      <c r="AX719" s="153">
        <v>0</v>
      </c>
      <c r="AY719" s="135"/>
      <c r="AZ719" s="135"/>
      <c r="BA719" s="135"/>
      <c r="BB719" s="135"/>
      <c r="BC719" s="135"/>
      <c r="BD719" s="135"/>
      <c r="BE719" s="135"/>
      <c r="BF719" s="135"/>
      <c r="BG719" s="135"/>
      <c r="BH719" s="135"/>
      <c r="BI719" s="2" t="s">
        <v>11</v>
      </c>
      <c r="BJ719" s="136"/>
      <c r="BK719" s="2">
        <v>0</v>
      </c>
      <c r="BL719" s="136" t="s">
        <v>113</v>
      </c>
      <c r="BM719" s="136">
        <v>45303</v>
      </c>
      <c r="BN719" s="2" t="s">
        <v>2704</v>
      </c>
      <c r="BO719" s="2"/>
      <c r="BP719" s="205"/>
      <c r="BQ719" s="137" t="s">
        <v>119</v>
      </c>
      <c r="BR719" s="138"/>
    </row>
    <row r="720" spans="1:70" ht="12.75" customHeight="1" x14ac:dyDescent="0.2">
      <c r="A720" s="2">
        <v>2209</v>
      </c>
      <c r="B720" s="2" t="s">
        <v>31</v>
      </c>
      <c r="C720" s="2" t="s">
        <v>32</v>
      </c>
      <c r="D720" s="2" t="s">
        <v>2641</v>
      </c>
      <c r="E720" s="2" t="s">
        <v>71</v>
      </c>
      <c r="F720" s="132">
        <v>240000</v>
      </c>
      <c r="G720" s="132">
        <v>2</v>
      </c>
      <c r="H720" s="132">
        <f>R720</f>
        <v>0</v>
      </c>
      <c r="I720" s="132"/>
      <c r="J720" s="132">
        <f>S720</f>
        <v>0</v>
      </c>
      <c r="K720" s="132">
        <f t="shared" si="75"/>
        <v>240000</v>
      </c>
      <c r="L720" s="132">
        <f t="shared" si="76"/>
        <v>0</v>
      </c>
      <c r="M720" s="133"/>
      <c r="N720" s="133">
        <f t="shared" si="74"/>
        <v>240000</v>
      </c>
      <c r="O720" s="134">
        <v>1</v>
      </c>
      <c r="P720" s="133"/>
      <c r="Q720" s="2" t="s">
        <v>2577</v>
      </c>
      <c r="R720" s="156">
        <f t="shared" si="77"/>
        <v>0</v>
      </c>
      <c r="S720" s="156">
        <f t="shared" si="78"/>
        <v>0</v>
      </c>
      <c r="T720" s="133"/>
      <c r="U720" s="133"/>
      <c r="V720" s="133"/>
      <c r="W720" s="133"/>
      <c r="X720" s="133"/>
      <c r="Y720" s="133"/>
      <c r="Z720" s="133"/>
      <c r="AA720" s="133"/>
      <c r="AB720" s="133"/>
      <c r="AC720" s="133"/>
      <c r="AD720" s="133"/>
      <c r="AE720" s="133"/>
      <c r="AF720" s="133"/>
      <c r="AG720" s="133"/>
      <c r="AH720" s="133"/>
      <c r="AI720" s="133"/>
      <c r="AJ720" s="133"/>
      <c r="AK720" s="133"/>
      <c r="AL720" s="133"/>
      <c r="AM720" s="133"/>
      <c r="AN720" s="133"/>
      <c r="AO720" s="133"/>
      <c r="AP720" s="133"/>
      <c r="AQ720" s="133"/>
      <c r="AR720" s="133"/>
      <c r="AS720" s="153">
        <v>0</v>
      </c>
      <c r="AT720" s="153">
        <v>0</v>
      </c>
      <c r="AU720" s="153">
        <v>0</v>
      </c>
      <c r="AV720" s="153">
        <v>0</v>
      </c>
      <c r="AW720" s="153">
        <v>0</v>
      </c>
      <c r="AX720" s="153">
        <v>0</v>
      </c>
      <c r="AY720" s="135"/>
      <c r="AZ720" s="135"/>
      <c r="BA720" s="135"/>
      <c r="BB720" s="135"/>
      <c r="BC720" s="135"/>
      <c r="BD720" s="135"/>
      <c r="BE720" s="135"/>
      <c r="BF720" s="135"/>
      <c r="BG720" s="135"/>
      <c r="BH720" s="135"/>
      <c r="BI720" s="2" t="s">
        <v>11</v>
      </c>
      <c r="BJ720" s="136"/>
      <c r="BK720" s="2">
        <v>0</v>
      </c>
      <c r="BL720" s="136" t="s">
        <v>113</v>
      </c>
      <c r="BM720" s="136">
        <v>45303</v>
      </c>
      <c r="BN720" s="2" t="s">
        <v>2705</v>
      </c>
      <c r="BO720" s="2"/>
      <c r="BP720" s="205"/>
      <c r="BQ720" s="137" t="s">
        <v>119</v>
      </c>
      <c r="BR720" s="138"/>
    </row>
    <row r="721" spans="1:70" ht="12.75" customHeight="1" x14ac:dyDescent="0.2">
      <c r="A721" s="2">
        <v>2210</v>
      </c>
      <c r="B721" s="2" t="s">
        <v>54</v>
      </c>
      <c r="C721" s="2" t="s">
        <v>50</v>
      </c>
      <c r="D721" s="2" t="s">
        <v>2642</v>
      </c>
      <c r="E721" s="2" t="s">
        <v>71</v>
      </c>
      <c r="F721" s="132">
        <v>230000</v>
      </c>
      <c r="G721" s="132">
        <v>2</v>
      </c>
      <c r="H721" s="132"/>
      <c r="I721" s="132"/>
      <c r="J721" s="132"/>
      <c r="K721" s="132">
        <f t="shared" si="75"/>
        <v>230000</v>
      </c>
      <c r="L721" s="132">
        <f t="shared" si="76"/>
        <v>0</v>
      </c>
      <c r="M721" s="133"/>
      <c r="N721" s="133">
        <f t="shared" si="74"/>
        <v>230000</v>
      </c>
      <c r="O721" s="134">
        <v>1</v>
      </c>
      <c r="P721" s="133"/>
      <c r="Q721" s="2" t="s">
        <v>2578</v>
      </c>
      <c r="R721" s="156">
        <f t="shared" si="77"/>
        <v>0</v>
      </c>
      <c r="S721" s="156">
        <f t="shared" si="78"/>
        <v>0</v>
      </c>
      <c r="T721" s="133"/>
      <c r="U721" s="133"/>
      <c r="V721" s="133"/>
      <c r="W721" s="133"/>
      <c r="X721" s="133"/>
      <c r="Y721" s="133"/>
      <c r="Z721" s="133"/>
      <c r="AA721" s="133"/>
      <c r="AB721" s="133"/>
      <c r="AC721" s="133"/>
      <c r="AD721" s="133"/>
      <c r="AE721" s="133"/>
      <c r="AF721" s="133"/>
      <c r="AG721" s="133"/>
      <c r="AH721" s="133"/>
      <c r="AI721" s="133"/>
      <c r="AJ721" s="133"/>
      <c r="AK721" s="133"/>
      <c r="AL721" s="133"/>
      <c r="AM721" s="133"/>
      <c r="AN721" s="133"/>
      <c r="AO721" s="133"/>
      <c r="AP721" s="133"/>
      <c r="AQ721" s="133"/>
      <c r="AR721" s="133"/>
      <c r="AS721" s="153">
        <v>0</v>
      </c>
      <c r="AT721" s="153">
        <v>0</v>
      </c>
      <c r="AU721" s="153">
        <v>0</v>
      </c>
      <c r="AV721" s="153">
        <v>0</v>
      </c>
      <c r="AW721" s="153">
        <v>0</v>
      </c>
      <c r="AX721" s="153">
        <v>0</v>
      </c>
      <c r="AY721" s="135"/>
      <c r="AZ721" s="135"/>
      <c r="BA721" s="135"/>
      <c r="BB721" s="135"/>
      <c r="BC721" s="135"/>
      <c r="BD721" s="135"/>
      <c r="BE721" s="135"/>
      <c r="BF721" s="135"/>
      <c r="BG721" s="135"/>
      <c r="BH721" s="135"/>
      <c r="BI721" s="2" t="s">
        <v>11</v>
      </c>
      <c r="BJ721" s="136"/>
      <c r="BK721" s="2">
        <v>0</v>
      </c>
      <c r="BL721" s="136" t="s">
        <v>113</v>
      </c>
      <c r="BM721" s="136">
        <v>45303</v>
      </c>
      <c r="BN721" s="2" t="s">
        <v>2706</v>
      </c>
      <c r="BO721" s="2"/>
      <c r="BP721" s="205"/>
      <c r="BQ721" s="137" t="s">
        <v>119</v>
      </c>
      <c r="BR721" s="138"/>
    </row>
    <row r="722" spans="1:70" ht="12.75" customHeight="1" x14ac:dyDescent="0.2">
      <c r="A722" s="2">
        <v>2211</v>
      </c>
      <c r="B722" s="2" t="s">
        <v>54</v>
      </c>
      <c r="C722" s="2" t="s">
        <v>50</v>
      </c>
      <c r="D722" s="2" t="s">
        <v>2643</v>
      </c>
      <c r="E722" s="2" t="s">
        <v>71</v>
      </c>
      <c r="F722" s="132">
        <v>225000</v>
      </c>
      <c r="G722" s="132">
        <v>2</v>
      </c>
      <c r="H722" s="132"/>
      <c r="I722" s="132"/>
      <c r="J722" s="132"/>
      <c r="K722" s="132">
        <f t="shared" si="75"/>
        <v>225000</v>
      </c>
      <c r="L722" s="132">
        <f t="shared" si="76"/>
        <v>0</v>
      </c>
      <c r="M722" s="133"/>
      <c r="N722" s="133">
        <f t="shared" si="74"/>
        <v>225000</v>
      </c>
      <c r="O722" s="134">
        <v>1</v>
      </c>
      <c r="P722" s="133"/>
      <c r="Q722" s="2" t="s">
        <v>2579</v>
      </c>
      <c r="R722" s="156">
        <f t="shared" si="77"/>
        <v>0</v>
      </c>
      <c r="S722" s="156">
        <f t="shared" si="78"/>
        <v>0</v>
      </c>
      <c r="T722" s="133"/>
      <c r="U722" s="133"/>
      <c r="V722" s="133"/>
      <c r="W722" s="133"/>
      <c r="X722" s="133"/>
      <c r="Y722" s="133"/>
      <c r="Z722" s="133"/>
      <c r="AA722" s="133"/>
      <c r="AB722" s="133"/>
      <c r="AC722" s="133"/>
      <c r="AD722" s="133"/>
      <c r="AE722" s="133"/>
      <c r="AF722" s="133"/>
      <c r="AG722" s="133"/>
      <c r="AH722" s="133"/>
      <c r="AI722" s="133"/>
      <c r="AJ722" s="133"/>
      <c r="AK722" s="133"/>
      <c r="AL722" s="133"/>
      <c r="AM722" s="133"/>
      <c r="AN722" s="133"/>
      <c r="AO722" s="133"/>
      <c r="AP722" s="133"/>
      <c r="AQ722" s="133"/>
      <c r="AR722" s="133"/>
      <c r="AS722" s="153">
        <v>0</v>
      </c>
      <c r="AT722" s="153">
        <v>0</v>
      </c>
      <c r="AU722" s="153">
        <v>0</v>
      </c>
      <c r="AV722" s="153">
        <v>0</v>
      </c>
      <c r="AW722" s="153">
        <v>0</v>
      </c>
      <c r="AX722" s="153">
        <v>0</v>
      </c>
      <c r="AY722" s="135"/>
      <c r="AZ722" s="135"/>
      <c r="BA722" s="135"/>
      <c r="BB722" s="135"/>
      <c r="BC722" s="135"/>
      <c r="BD722" s="135"/>
      <c r="BE722" s="135"/>
      <c r="BF722" s="135"/>
      <c r="BG722" s="135"/>
      <c r="BH722" s="135"/>
      <c r="BI722" s="2" t="s">
        <v>11</v>
      </c>
      <c r="BJ722" s="136"/>
      <c r="BK722" s="2">
        <v>0</v>
      </c>
      <c r="BL722" s="136" t="s">
        <v>113</v>
      </c>
      <c r="BM722" s="136">
        <v>45303</v>
      </c>
      <c r="BN722" s="2" t="s">
        <v>2707</v>
      </c>
      <c r="BO722" s="2"/>
      <c r="BP722" s="205"/>
      <c r="BQ722" s="137" t="s">
        <v>119</v>
      </c>
      <c r="BR722" s="138"/>
    </row>
    <row r="723" spans="1:70" ht="12.75" customHeight="1" x14ac:dyDescent="0.2">
      <c r="A723" s="2">
        <v>2212</v>
      </c>
      <c r="B723" s="2" t="s">
        <v>31</v>
      </c>
      <c r="C723" s="2" t="s">
        <v>37</v>
      </c>
      <c r="D723" s="2" t="s">
        <v>2678</v>
      </c>
      <c r="E723" s="2" t="s">
        <v>71</v>
      </c>
      <c r="F723" s="132">
        <v>225000</v>
      </c>
      <c r="G723" s="132">
        <v>2</v>
      </c>
      <c r="H723" s="132">
        <f>50000+80000+40000+5232.09</f>
        <v>175232.09</v>
      </c>
      <c r="I723" s="132">
        <f>50000+80000+40000+5232.09</f>
        <v>175232.09</v>
      </c>
      <c r="J723" s="132">
        <f>12203.39+6101.694+AY723+12859.206</f>
        <v>175232.09</v>
      </c>
      <c r="K723" s="132">
        <f t="shared" si="75"/>
        <v>49767.91</v>
      </c>
      <c r="L723" s="132">
        <f t="shared" si="76"/>
        <v>0</v>
      </c>
      <c r="M723" s="135">
        <v>0</v>
      </c>
      <c r="N723" s="133">
        <f t="shared" si="74"/>
        <v>0</v>
      </c>
      <c r="O723" s="134">
        <v>0</v>
      </c>
      <c r="P723" s="133"/>
      <c r="Q723" s="2" t="s">
        <v>2580</v>
      </c>
      <c r="R723" s="156">
        <f t="shared" si="77"/>
        <v>0</v>
      </c>
      <c r="S723" s="156">
        <f t="shared" si="78"/>
        <v>0</v>
      </c>
      <c r="T723" s="133"/>
      <c r="U723" s="133"/>
      <c r="V723" s="133"/>
      <c r="W723" s="133"/>
      <c r="X723" s="133"/>
      <c r="Y723" s="133"/>
      <c r="Z723" s="133"/>
      <c r="AA723" s="133"/>
      <c r="AB723" s="133"/>
      <c r="AC723" s="133"/>
      <c r="AD723" s="133"/>
      <c r="AE723" s="133"/>
      <c r="AF723" s="133"/>
      <c r="AG723" s="133"/>
      <c r="AH723" s="133"/>
      <c r="AI723" s="133"/>
      <c r="AJ723" s="133"/>
      <c r="AK723" s="133"/>
      <c r="AL723" s="133"/>
      <c r="AM723" s="133"/>
      <c r="AN723" s="133"/>
      <c r="AO723" s="133"/>
      <c r="AP723" s="133"/>
      <c r="AQ723" s="133"/>
      <c r="AR723" s="133"/>
      <c r="AS723" s="153">
        <v>0</v>
      </c>
      <c r="AT723" s="153">
        <v>0</v>
      </c>
      <c r="AU723" s="153">
        <v>0</v>
      </c>
      <c r="AV723" s="153">
        <v>0</v>
      </c>
      <c r="AW723" s="153">
        <v>0</v>
      </c>
      <c r="AX723" s="153">
        <v>0</v>
      </c>
      <c r="AY723" s="135">
        <f>42372.88+67796.61+33898.31</f>
        <v>144067.79999999999</v>
      </c>
      <c r="AZ723" s="135">
        <f>3933.46+5480.41+1513.58</f>
        <v>10927.449999999999</v>
      </c>
      <c r="BA723" s="135">
        <v>0</v>
      </c>
      <c r="BB723" s="140">
        <f>(H723/1.18-AT723-AW723-AZ723)*0.1-AU723-AX723-BA723</f>
        <v>13757.432118644068</v>
      </c>
      <c r="BC723" s="135"/>
      <c r="BD723" s="135"/>
      <c r="BE723" s="135">
        <f>(H723/1.18-AT723-AW723-AZ723-BD723)*0.1-AU723-AX723-BA723-BB723</f>
        <v>0</v>
      </c>
      <c r="BF723" s="135"/>
      <c r="BG723" s="135"/>
      <c r="BH723" s="135"/>
      <c r="BI723" s="2" t="s">
        <v>11</v>
      </c>
      <c r="BJ723" s="136">
        <v>45637</v>
      </c>
      <c r="BK723" s="2" t="s">
        <v>109</v>
      </c>
      <c r="BL723" s="136" t="s">
        <v>113</v>
      </c>
      <c r="BM723" s="136">
        <v>45303</v>
      </c>
      <c r="BN723" s="2" t="s">
        <v>2708</v>
      </c>
      <c r="BO723" s="2"/>
      <c r="BP723" s="205"/>
      <c r="BQ723" s="137" t="s">
        <v>119</v>
      </c>
      <c r="BR723" s="138"/>
    </row>
    <row r="724" spans="1:70" ht="12.75" customHeight="1" x14ac:dyDescent="0.2">
      <c r="A724" s="2">
        <v>2213</v>
      </c>
      <c r="B724" s="2" t="s">
        <v>54</v>
      </c>
      <c r="C724" s="2" t="s">
        <v>97</v>
      </c>
      <c r="D724" s="2" t="s">
        <v>2679</v>
      </c>
      <c r="E724" s="2" t="s">
        <v>71</v>
      </c>
      <c r="F724" s="132">
        <v>210000</v>
      </c>
      <c r="G724" s="132">
        <v>2</v>
      </c>
      <c r="H724" s="132"/>
      <c r="I724" s="132"/>
      <c r="J724" s="132"/>
      <c r="K724" s="132">
        <f t="shared" si="75"/>
        <v>210000</v>
      </c>
      <c r="L724" s="132">
        <f t="shared" si="76"/>
        <v>0</v>
      </c>
      <c r="M724" s="133"/>
      <c r="N724" s="133">
        <f t="shared" si="74"/>
        <v>210000</v>
      </c>
      <c r="O724" s="134">
        <v>1</v>
      </c>
      <c r="P724" s="133"/>
      <c r="Q724" s="2" t="s">
        <v>2581</v>
      </c>
      <c r="R724" s="156">
        <f t="shared" si="77"/>
        <v>0</v>
      </c>
      <c r="S724" s="156">
        <f t="shared" si="78"/>
        <v>0</v>
      </c>
      <c r="T724" s="133"/>
      <c r="U724" s="133"/>
      <c r="V724" s="133"/>
      <c r="W724" s="133"/>
      <c r="X724" s="133"/>
      <c r="Y724" s="133"/>
      <c r="Z724" s="133"/>
      <c r="AA724" s="133"/>
      <c r="AB724" s="133"/>
      <c r="AC724" s="133"/>
      <c r="AD724" s="133"/>
      <c r="AE724" s="133"/>
      <c r="AF724" s="133"/>
      <c r="AG724" s="133"/>
      <c r="AH724" s="133"/>
      <c r="AI724" s="133"/>
      <c r="AJ724" s="133"/>
      <c r="AK724" s="133"/>
      <c r="AL724" s="133"/>
      <c r="AM724" s="133"/>
      <c r="AN724" s="133"/>
      <c r="AO724" s="133"/>
      <c r="AP724" s="133"/>
      <c r="AQ724" s="133"/>
      <c r="AR724" s="133"/>
      <c r="AS724" s="153">
        <v>0</v>
      </c>
      <c r="AT724" s="153">
        <v>0</v>
      </c>
      <c r="AU724" s="153">
        <v>0</v>
      </c>
      <c r="AV724" s="153">
        <v>0</v>
      </c>
      <c r="AW724" s="153">
        <v>0</v>
      </c>
      <c r="AX724" s="153">
        <v>0</v>
      </c>
      <c r="AY724" s="135"/>
      <c r="AZ724" s="135"/>
      <c r="BA724" s="135"/>
      <c r="BB724" s="135"/>
      <c r="BC724" s="135"/>
      <c r="BD724" s="135"/>
      <c r="BE724" s="135"/>
      <c r="BF724" s="135"/>
      <c r="BG724" s="135"/>
      <c r="BH724" s="135"/>
      <c r="BI724" s="2" t="s">
        <v>11</v>
      </c>
      <c r="BJ724" s="136"/>
      <c r="BK724" s="2">
        <v>0</v>
      </c>
      <c r="BL724" s="136" t="s">
        <v>113</v>
      </c>
      <c r="BM724" s="136">
        <v>45303</v>
      </c>
      <c r="BN724" s="2" t="s">
        <v>2709</v>
      </c>
      <c r="BO724" s="2"/>
      <c r="BP724" s="205"/>
      <c r="BQ724" s="137" t="s">
        <v>119</v>
      </c>
      <c r="BR724" s="138"/>
    </row>
    <row r="725" spans="1:70" ht="12.75" customHeight="1" x14ac:dyDescent="0.2">
      <c r="A725" s="2">
        <v>2214</v>
      </c>
      <c r="B725" s="2" t="s">
        <v>31</v>
      </c>
      <c r="C725" s="2" t="s">
        <v>36</v>
      </c>
      <c r="D725" s="2" t="s">
        <v>2680</v>
      </c>
      <c r="E725" s="2" t="s">
        <v>71</v>
      </c>
      <c r="F725" s="132">
        <v>190000</v>
      </c>
      <c r="G725" s="132">
        <v>2</v>
      </c>
      <c r="H725" s="132">
        <f>50000+70000+R725</f>
        <v>230000</v>
      </c>
      <c r="I725" s="132"/>
      <c r="J725" s="132">
        <f>10677.97+S725+AY725+BC725</f>
        <v>171525.42</v>
      </c>
      <c r="K725" s="132">
        <f t="shared" si="75"/>
        <v>18474.579999999987</v>
      </c>
      <c r="L725" s="132">
        <f t="shared" si="76"/>
        <v>58474.579999999987</v>
      </c>
      <c r="M725" s="133"/>
      <c r="N725" s="133">
        <f t="shared" si="74"/>
        <v>18474.579999999987</v>
      </c>
      <c r="O725" s="134">
        <v>1</v>
      </c>
      <c r="P725" s="133"/>
      <c r="Q725" s="2" t="s">
        <v>2582</v>
      </c>
      <c r="R725" s="156">
        <f t="shared" si="77"/>
        <v>110000</v>
      </c>
      <c r="S725" s="156">
        <f t="shared" si="78"/>
        <v>16779.66</v>
      </c>
      <c r="T725" s="133"/>
      <c r="U725" s="133"/>
      <c r="V725" s="133"/>
      <c r="W725" s="133"/>
      <c r="X725" s="133">
        <v>50000</v>
      </c>
      <c r="Y725" s="133"/>
      <c r="Z725" s="133">
        <v>10000</v>
      </c>
      <c r="AA725" s="133">
        <v>7627.12</v>
      </c>
      <c r="AB725" s="133">
        <v>50000</v>
      </c>
      <c r="AC725" s="133">
        <v>1525.42</v>
      </c>
      <c r="AD725" s="133"/>
      <c r="AE725" s="133">
        <v>7627.12</v>
      </c>
      <c r="AF725" s="133"/>
      <c r="AG725" s="133"/>
      <c r="AH725" s="133"/>
      <c r="AI725" s="133"/>
      <c r="AJ725" s="133"/>
      <c r="AK725" s="133"/>
      <c r="AL725" s="133"/>
      <c r="AM725" s="133"/>
      <c r="AN725" s="133"/>
      <c r="AO725" s="133"/>
      <c r="AP725" s="133"/>
      <c r="AQ725" s="133"/>
      <c r="AR725" s="133"/>
      <c r="AS725" s="153">
        <v>0</v>
      </c>
      <c r="AT725" s="153">
        <v>0</v>
      </c>
      <c r="AU725" s="153">
        <v>0</v>
      </c>
      <c r="AV725" s="153">
        <v>0</v>
      </c>
      <c r="AW725" s="153">
        <v>0</v>
      </c>
      <c r="AX725" s="153">
        <v>0</v>
      </c>
      <c r="AY725" s="135">
        <f>42372.88+59322.03+42372.88</f>
        <v>144067.79</v>
      </c>
      <c r="AZ725" s="135"/>
      <c r="BA725" s="135"/>
      <c r="BB725" s="135"/>
      <c r="BC725" s="135"/>
      <c r="BD725" s="135"/>
      <c r="BE725" s="135"/>
      <c r="BF725" s="135"/>
      <c r="BG725" s="135"/>
      <c r="BH725" s="135"/>
      <c r="BI725" s="2" t="s">
        <v>11</v>
      </c>
      <c r="BJ725" s="136"/>
      <c r="BK725" s="2">
        <v>90</v>
      </c>
      <c r="BL725" s="136" t="s">
        <v>113</v>
      </c>
      <c r="BM725" s="136">
        <v>45303</v>
      </c>
      <c r="BN725" s="2" t="s">
        <v>2710</v>
      </c>
      <c r="BO725" s="2"/>
      <c r="BP725" s="205"/>
      <c r="BQ725" s="137" t="s">
        <v>119</v>
      </c>
      <c r="BR725" s="138"/>
    </row>
    <row r="726" spans="1:70" ht="12.75" customHeight="1" x14ac:dyDescent="0.2">
      <c r="A726" s="2">
        <v>2215</v>
      </c>
      <c r="B726" s="2" t="s">
        <v>31</v>
      </c>
      <c r="C726" s="2" t="s">
        <v>34</v>
      </c>
      <c r="D726" s="2" t="s">
        <v>2644</v>
      </c>
      <c r="E726" s="2" t="s">
        <v>71</v>
      </c>
      <c r="F726" s="132">
        <v>190000</v>
      </c>
      <c r="G726" s="132">
        <v>2</v>
      </c>
      <c r="H726" s="323">
        <f>R726</f>
        <v>66038.36</v>
      </c>
      <c r="I726" s="132"/>
      <c r="J726" s="132">
        <f>S726+AY726+BC726</f>
        <v>66038.36</v>
      </c>
      <c r="K726" s="132">
        <f t="shared" si="75"/>
        <v>123961.64</v>
      </c>
      <c r="L726" s="132">
        <f t="shared" si="76"/>
        <v>0</v>
      </c>
      <c r="M726" s="133">
        <v>604.20000000000005</v>
      </c>
      <c r="N726" s="133">
        <f t="shared" si="74"/>
        <v>0</v>
      </c>
      <c r="O726" s="134">
        <v>1</v>
      </c>
      <c r="P726" s="133"/>
      <c r="Q726" s="2" t="s">
        <v>2583</v>
      </c>
      <c r="R726" s="156">
        <f t="shared" si="77"/>
        <v>66038.36</v>
      </c>
      <c r="S726" s="156">
        <f t="shared" si="78"/>
        <v>23665.48</v>
      </c>
      <c r="T726" s="133"/>
      <c r="U726" s="133"/>
      <c r="V726" s="133">
        <v>50000</v>
      </c>
      <c r="W726" s="133"/>
      <c r="X726" s="133"/>
      <c r="Y726" s="133">
        <v>7627.12</v>
      </c>
      <c r="Z726" s="133">
        <v>16038.36</v>
      </c>
      <c r="AA726" s="133"/>
      <c r="AB726" s="133"/>
      <c r="AC726" s="133">
        <v>2446.5300000000002</v>
      </c>
      <c r="AD726" s="133"/>
      <c r="AE726" s="133">
        <v>13591.83</v>
      </c>
      <c r="AF726" s="133"/>
      <c r="AG726" s="133"/>
      <c r="AH726" s="133"/>
      <c r="AI726" s="133"/>
      <c r="AJ726" s="133"/>
      <c r="AK726" s="133"/>
      <c r="AL726" s="133"/>
      <c r="AM726" s="133"/>
      <c r="AN726" s="133"/>
      <c r="AO726" s="133"/>
      <c r="AP726" s="133"/>
      <c r="AQ726" s="133"/>
      <c r="AR726" s="133"/>
      <c r="AS726" s="153">
        <v>0</v>
      </c>
      <c r="AT726" s="153">
        <v>0</v>
      </c>
      <c r="AU726" s="153">
        <v>0</v>
      </c>
      <c r="AV726" s="153">
        <v>0</v>
      </c>
      <c r="AW726" s="153">
        <v>0</v>
      </c>
      <c r="AX726" s="153">
        <v>0</v>
      </c>
      <c r="AY726" s="135"/>
      <c r="AZ726" s="135"/>
      <c r="BA726" s="135"/>
      <c r="BB726" s="135"/>
      <c r="BC726" s="135">
        <f>42372.88</f>
        <v>42372.88</v>
      </c>
      <c r="BD726" s="135">
        <v>815.24</v>
      </c>
      <c r="BE726" s="135">
        <f>(H726/1.18-AT726-AW726-AZ726-BD726)*0.1-AU726-AX726-BA726-BB726</f>
        <v>5514.9471864406787</v>
      </c>
      <c r="BF726" s="135"/>
      <c r="BG726" s="135"/>
      <c r="BH726" s="135"/>
      <c r="BI726" s="2" t="s">
        <v>11</v>
      </c>
      <c r="BJ726" s="136">
        <v>45762</v>
      </c>
      <c r="BK726" s="2" t="s">
        <v>109</v>
      </c>
      <c r="BL726" s="136" t="s">
        <v>113</v>
      </c>
      <c r="BM726" s="136">
        <v>45303</v>
      </c>
      <c r="BN726" s="2" t="s">
        <v>2711</v>
      </c>
      <c r="BO726" s="2"/>
      <c r="BP726" s="205"/>
      <c r="BQ726" s="137" t="s">
        <v>119</v>
      </c>
      <c r="BR726" s="138"/>
    </row>
    <row r="727" spans="1:70" ht="12.75" customHeight="1" x14ac:dyDescent="0.2">
      <c r="A727" s="2">
        <v>2216</v>
      </c>
      <c r="B727" s="2" t="s">
        <v>31</v>
      </c>
      <c r="C727" s="2" t="s">
        <v>36</v>
      </c>
      <c r="D727" s="2" t="s">
        <v>2681</v>
      </c>
      <c r="E727" s="2" t="s">
        <v>71</v>
      </c>
      <c r="F727" s="132">
        <v>190000</v>
      </c>
      <c r="G727" s="132">
        <v>2</v>
      </c>
      <c r="H727" s="132">
        <f>70000+R727</f>
        <v>232600</v>
      </c>
      <c r="I727" s="132"/>
      <c r="J727" s="132">
        <f>10677.97+S727+AY727+BC727</f>
        <v>147854.23000000001</v>
      </c>
      <c r="K727" s="132">
        <f t="shared" si="75"/>
        <v>42145.76999999999</v>
      </c>
      <c r="L727" s="132">
        <f t="shared" si="76"/>
        <v>84745.76999999999</v>
      </c>
      <c r="M727" s="133"/>
      <c r="N727" s="133">
        <f t="shared" si="74"/>
        <v>42145.76999999999</v>
      </c>
      <c r="O727" s="134">
        <v>1</v>
      </c>
      <c r="P727" s="133"/>
      <c r="Q727" s="2" t="s">
        <v>2584</v>
      </c>
      <c r="R727" s="156">
        <f t="shared" si="77"/>
        <v>162600</v>
      </c>
      <c r="S727" s="156">
        <f t="shared" si="78"/>
        <v>24803.379999999997</v>
      </c>
      <c r="T727" s="133"/>
      <c r="U727" s="133"/>
      <c r="V727" s="133"/>
      <c r="W727" s="133"/>
      <c r="X727" s="133">
        <v>62600</v>
      </c>
      <c r="Y727" s="133"/>
      <c r="Z727" s="133">
        <v>10000</v>
      </c>
      <c r="AA727" s="133">
        <v>9549.15</v>
      </c>
      <c r="AB727" s="133">
        <v>80000</v>
      </c>
      <c r="AC727" s="133">
        <v>1525.42</v>
      </c>
      <c r="AD727" s="133">
        <v>10000</v>
      </c>
      <c r="AE727" s="133">
        <v>12203.39</v>
      </c>
      <c r="AF727" s="133"/>
      <c r="AG727" s="133">
        <f>1525.42</f>
        <v>1525.42</v>
      </c>
      <c r="AH727" s="133"/>
      <c r="AI727" s="133"/>
      <c r="AJ727" s="133"/>
      <c r="AK727" s="133"/>
      <c r="AL727" s="133"/>
      <c r="AM727" s="133"/>
      <c r="AN727" s="133"/>
      <c r="AO727" s="133"/>
      <c r="AP727" s="133"/>
      <c r="AQ727" s="133"/>
      <c r="AR727" s="133"/>
      <c r="AS727" s="153">
        <v>0</v>
      </c>
      <c r="AT727" s="153">
        <v>0</v>
      </c>
      <c r="AU727" s="153">
        <v>0</v>
      </c>
      <c r="AV727" s="153">
        <v>0</v>
      </c>
      <c r="AW727" s="153">
        <v>0</v>
      </c>
      <c r="AX727" s="153">
        <v>0</v>
      </c>
      <c r="AY727" s="135">
        <f>59322.03</f>
        <v>59322.03</v>
      </c>
      <c r="AZ727" s="135"/>
      <c r="BA727" s="135"/>
      <c r="BB727" s="135"/>
      <c r="BC727" s="135">
        <f>53050.85</f>
        <v>53050.85</v>
      </c>
      <c r="BD727" s="135"/>
      <c r="BE727" s="135"/>
      <c r="BF727" s="135"/>
      <c r="BG727" s="135"/>
      <c r="BH727" s="135"/>
      <c r="BI727" s="2" t="s">
        <v>11</v>
      </c>
      <c r="BJ727" s="136"/>
      <c r="BK727" s="2">
        <v>45</v>
      </c>
      <c r="BL727" s="136" t="s">
        <v>113</v>
      </c>
      <c r="BM727" s="136">
        <v>45303</v>
      </c>
      <c r="BN727" s="2" t="s">
        <v>2712</v>
      </c>
      <c r="BO727" s="2"/>
      <c r="BP727" s="205"/>
      <c r="BQ727" s="137" t="s">
        <v>119</v>
      </c>
      <c r="BR727" s="138"/>
    </row>
    <row r="728" spans="1:70" ht="12.75" customHeight="1" x14ac:dyDescent="0.2">
      <c r="A728" s="2">
        <v>2217</v>
      </c>
      <c r="B728" s="2" t="s">
        <v>31</v>
      </c>
      <c r="C728" s="2" t="s">
        <v>38</v>
      </c>
      <c r="D728" s="2" t="s">
        <v>2682</v>
      </c>
      <c r="E728" s="2" t="s">
        <v>71</v>
      </c>
      <c r="F728" s="132">
        <v>180000</v>
      </c>
      <c r="G728" s="132">
        <v>2</v>
      </c>
      <c r="H728" s="132">
        <f>70000+R728</f>
        <v>283649.11</v>
      </c>
      <c r="I728" s="132"/>
      <c r="J728" s="132">
        <f>S728+AY728+BC728</f>
        <v>209322.02</v>
      </c>
      <c r="K728" s="132">
        <f t="shared" si="75"/>
        <v>-29322.01999999999</v>
      </c>
      <c r="L728" s="132">
        <f t="shared" si="76"/>
        <v>74327.09</v>
      </c>
      <c r="M728" s="133"/>
      <c r="N728" s="133">
        <f t="shared" si="74"/>
        <v>74327.09</v>
      </c>
      <c r="O728" s="134">
        <v>1</v>
      </c>
      <c r="P728" s="133"/>
      <c r="Q728" s="2" t="s">
        <v>2585</v>
      </c>
      <c r="R728" s="156">
        <f t="shared" si="77"/>
        <v>213649.11</v>
      </c>
      <c r="S728" s="156">
        <f t="shared" si="78"/>
        <v>22881.350000000002</v>
      </c>
      <c r="T728" s="133"/>
      <c r="U728" s="133"/>
      <c r="V728" s="133"/>
      <c r="W728" s="133"/>
      <c r="X728" s="133">
        <v>70000</v>
      </c>
      <c r="Y728" s="133"/>
      <c r="Z728" s="133">
        <v>30000</v>
      </c>
      <c r="AA728" s="133">
        <v>10677.97</v>
      </c>
      <c r="AB728" s="133">
        <v>30000</v>
      </c>
      <c r="AC728" s="133">
        <v>4576.2700000000004</v>
      </c>
      <c r="AD728" s="133">
        <v>20000</v>
      </c>
      <c r="AE728" s="133">
        <v>4576.2700000000004</v>
      </c>
      <c r="AF728" s="133"/>
      <c r="AG728" s="133">
        <f>3050.84</f>
        <v>3050.84</v>
      </c>
      <c r="AH728" s="133"/>
      <c r="AI728" s="133"/>
      <c r="AJ728" s="133"/>
      <c r="AK728" s="133"/>
      <c r="AL728" s="133"/>
      <c r="AM728" s="133"/>
      <c r="AN728" s="133">
        <v>63649.11</v>
      </c>
      <c r="AO728" s="133"/>
      <c r="AP728" s="133"/>
      <c r="AQ728" s="133"/>
      <c r="AR728" s="133"/>
      <c r="AS728" s="153">
        <v>0</v>
      </c>
      <c r="AT728" s="153">
        <v>0</v>
      </c>
      <c r="AU728" s="153">
        <v>0</v>
      </c>
      <c r="AV728" s="153">
        <v>0</v>
      </c>
      <c r="AW728" s="153">
        <v>0</v>
      </c>
      <c r="AX728" s="153">
        <v>0</v>
      </c>
      <c r="AY728" s="135">
        <v>59322.03</v>
      </c>
      <c r="AZ728" s="135">
        <v>5506.84</v>
      </c>
      <c r="BA728" s="135"/>
      <c r="BB728" s="135"/>
      <c r="BC728" s="135">
        <f>59322.03+25423.73+25423.73+16949.15</f>
        <v>127118.63999999998</v>
      </c>
      <c r="BD728" s="135">
        <f>8842.23+3616.79+3260.51+1979.34</f>
        <v>17698.87</v>
      </c>
      <c r="BE728" s="135"/>
      <c r="BF728" s="135"/>
      <c r="BG728" s="135"/>
      <c r="BH728" s="135"/>
      <c r="BI728" s="2" t="s">
        <v>11</v>
      </c>
      <c r="BJ728" s="136">
        <v>45987</v>
      </c>
      <c r="BK728" s="2" t="s">
        <v>109</v>
      </c>
      <c r="BL728" s="136" t="s">
        <v>113</v>
      </c>
      <c r="BM728" s="136">
        <v>45303</v>
      </c>
      <c r="BN728" s="2" t="s">
        <v>2713</v>
      </c>
      <c r="BO728" s="2"/>
      <c r="BP728" s="205"/>
      <c r="BQ728" s="137" t="s">
        <v>119</v>
      </c>
      <c r="BR728" s="138"/>
    </row>
    <row r="729" spans="1:70" ht="12.75" customHeight="1" x14ac:dyDescent="0.2">
      <c r="A729" s="2">
        <v>2218</v>
      </c>
      <c r="B729" s="2" t="s">
        <v>31</v>
      </c>
      <c r="C729" s="2" t="s">
        <v>32</v>
      </c>
      <c r="D729" s="2" t="s">
        <v>2645</v>
      </c>
      <c r="E729" s="2" t="s">
        <v>71</v>
      </c>
      <c r="F729" s="132">
        <v>175000</v>
      </c>
      <c r="G729" s="132">
        <v>2</v>
      </c>
      <c r="H729" s="132"/>
      <c r="I729" s="132"/>
      <c r="J729" s="132"/>
      <c r="K729" s="132">
        <f t="shared" si="75"/>
        <v>175000</v>
      </c>
      <c r="L729" s="132">
        <f t="shared" si="76"/>
        <v>0</v>
      </c>
      <c r="M729" s="133"/>
      <c r="N729" s="133">
        <f t="shared" si="74"/>
        <v>175000</v>
      </c>
      <c r="O729" s="134">
        <v>1</v>
      </c>
      <c r="P729" s="133"/>
      <c r="Q729" s="2" t="s">
        <v>2586</v>
      </c>
      <c r="R729" s="156">
        <f t="shared" si="77"/>
        <v>0</v>
      </c>
      <c r="S729" s="156">
        <f t="shared" si="78"/>
        <v>0</v>
      </c>
      <c r="T729" s="133"/>
      <c r="U729" s="133"/>
      <c r="V729" s="133"/>
      <c r="W729" s="133"/>
      <c r="X729" s="133"/>
      <c r="Y729" s="133"/>
      <c r="Z729" s="133"/>
      <c r="AA729" s="133"/>
      <c r="AB729" s="133"/>
      <c r="AC729" s="133"/>
      <c r="AD729" s="133"/>
      <c r="AE729" s="133"/>
      <c r="AF729" s="133"/>
      <c r="AG729" s="133"/>
      <c r="AH729" s="133"/>
      <c r="AI729" s="133"/>
      <c r="AJ729" s="133"/>
      <c r="AK729" s="133"/>
      <c r="AL729" s="133"/>
      <c r="AM729" s="133"/>
      <c r="AN729" s="133"/>
      <c r="AO729" s="133"/>
      <c r="AP729" s="133"/>
      <c r="AQ729" s="133"/>
      <c r="AR729" s="133"/>
      <c r="AS729" s="153">
        <v>0</v>
      </c>
      <c r="AT729" s="153">
        <v>0</v>
      </c>
      <c r="AU729" s="153">
        <v>0</v>
      </c>
      <c r="AV729" s="153">
        <v>0</v>
      </c>
      <c r="AW729" s="153">
        <v>0</v>
      </c>
      <c r="AX729" s="153">
        <v>0</v>
      </c>
      <c r="AY729" s="135"/>
      <c r="AZ729" s="135"/>
      <c r="BA729" s="135"/>
      <c r="BB729" s="135"/>
      <c r="BC729" s="135"/>
      <c r="BD729" s="135"/>
      <c r="BE729" s="135"/>
      <c r="BF729" s="135"/>
      <c r="BG729" s="135"/>
      <c r="BH729" s="135"/>
      <c r="BI729" s="2" t="s">
        <v>11</v>
      </c>
      <c r="BJ729" s="136"/>
      <c r="BK729" s="2">
        <v>0</v>
      </c>
      <c r="BL729" s="136" t="s">
        <v>113</v>
      </c>
      <c r="BM729" s="136">
        <v>45303</v>
      </c>
      <c r="BN729" s="2" t="s">
        <v>2714</v>
      </c>
      <c r="BO729" s="2"/>
      <c r="BP729" s="205"/>
      <c r="BQ729" s="137" t="s">
        <v>119</v>
      </c>
      <c r="BR729" s="138"/>
    </row>
    <row r="730" spans="1:70" ht="12.75" customHeight="1" x14ac:dyDescent="0.2">
      <c r="A730" s="2">
        <v>2219</v>
      </c>
      <c r="B730" s="2" t="s">
        <v>31</v>
      </c>
      <c r="C730" s="2" t="s">
        <v>35</v>
      </c>
      <c r="D730" s="2" t="s">
        <v>2646</v>
      </c>
      <c r="E730" s="2" t="s">
        <v>71</v>
      </c>
      <c r="F730" s="132">
        <v>170000</v>
      </c>
      <c r="G730" s="132">
        <v>2</v>
      </c>
      <c r="H730" s="132">
        <f>50000+50000+R730</f>
        <v>264812.69</v>
      </c>
      <c r="I730" s="132"/>
      <c r="J730" s="132">
        <f>7627.12+S730+AY730+BC730</f>
        <v>204372.88</v>
      </c>
      <c r="K730" s="132">
        <f t="shared" si="75"/>
        <v>-34372.880000000005</v>
      </c>
      <c r="L730" s="132">
        <f t="shared" si="76"/>
        <v>60439.81</v>
      </c>
      <c r="M730" s="133"/>
      <c r="N730" s="133">
        <f t="shared" si="74"/>
        <v>60439.81</v>
      </c>
      <c r="O730" s="134">
        <v>1</v>
      </c>
      <c r="P730" s="133"/>
      <c r="Q730" s="2" t="s">
        <v>2587</v>
      </c>
      <c r="R730" s="156">
        <f t="shared" si="77"/>
        <v>164812.69</v>
      </c>
      <c r="S730" s="156">
        <f t="shared" si="78"/>
        <v>17084.75</v>
      </c>
      <c r="T730" s="133"/>
      <c r="U730" s="133"/>
      <c r="V730" s="133"/>
      <c r="W730" s="133"/>
      <c r="X730" s="133">
        <v>70000</v>
      </c>
      <c r="Y730" s="133"/>
      <c r="Z730" s="133">
        <v>30000</v>
      </c>
      <c r="AA730" s="133">
        <v>10677.97</v>
      </c>
      <c r="AB730" s="133">
        <v>12000</v>
      </c>
      <c r="AC730" s="133">
        <v>4576.2700000000004</v>
      </c>
      <c r="AD730" s="133"/>
      <c r="AE730" s="133">
        <v>1830.51</v>
      </c>
      <c r="AF730" s="133"/>
      <c r="AG730" s="133"/>
      <c r="AH730" s="133"/>
      <c r="AI730" s="133"/>
      <c r="AJ730" s="133"/>
      <c r="AK730" s="133"/>
      <c r="AL730" s="133"/>
      <c r="AM730" s="133"/>
      <c r="AN730" s="133">
        <v>52812.69</v>
      </c>
      <c r="AO730" s="133"/>
      <c r="AP730" s="133"/>
      <c r="AQ730" s="133"/>
      <c r="AR730" s="133"/>
      <c r="AS730" s="153">
        <v>0</v>
      </c>
      <c r="AT730" s="153">
        <v>0</v>
      </c>
      <c r="AU730" s="153">
        <v>0</v>
      </c>
      <c r="AV730" s="153">
        <v>0</v>
      </c>
      <c r="AW730" s="153">
        <v>0</v>
      </c>
      <c r="AX730" s="153">
        <v>0</v>
      </c>
      <c r="AY730" s="135">
        <f>42372.88+42372.88</f>
        <v>84745.76</v>
      </c>
      <c r="AZ730" s="135">
        <f>3933.46+3425.26</f>
        <v>7358.72</v>
      </c>
      <c r="BA730" s="135"/>
      <c r="BB730" s="135"/>
      <c r="BC730" s="135">
        <f>59322.03+25423.73+10169.49</f>
        <v>94915.25</v>
      </c>
      <c r="BD730" s="135">
        <f>8842.23+3616.79+1304.2</f>
        <v>13763.220000000001</v>
      </c>
      <c r="BE730" s="135"/>
      <c r="BF730" s="135"/>
      <c r="BG730" s="135"/>
      <c r="BH730" s="135"/>
      <c r="BI730" s="2" t="s">
        <v>11</v>
      </c>
      <c r="BJ730" s="136">
        <v>45987</v>
      </c>
      <c r="BK730" s="2" t="s">
        <v>109</v>
      </c>
      <c r="BL730" s="136" t="s">
        <v>113</v>
      </c>
      <c r="BM730" s="136">
        <v>45303</v>
      </c>
      <c r="BN730" s="2" t="s">
        <v>2715</v>
      </c>
      <c r="BO730" s="2"/>
      <c r="BP730" s="205"/>
      <c r="BQ730" s="137" t="s">
        <v>119</v>
      </c>
      <c r="BR730" s="138"/>
    </row>
    <row r="731" spans="1:70" ht="12.75" customHeight="1" x14ac:dyDescent="0.2">
      <c r="A731" s="2">
        <v>2220</v>
      </c>
      <c r="B731" s="2" t="s">
        <v>31</v>
      </c>
      <c r="C731" s="2" t="s">
        <v>33</v>
      </c>
      <c r="D731" s="2" t="s">
        <v>2647</v>
      </c>
      <c r="E731" s="2" t="s">
        <v>71</v>
      </c>
      <c r="F731" s="132">
        <v>170000</v>
      </c>
      <c r="G731" s="132">
        <v>2</v>
      </c>
      <c r="H731" s="132">
        <f>50000+50000+R731</f>
        <v>263037.62</v>
      </c>
      <c r="I731" s="132"/>
      <c r="J731" s="132">
        <f>S731+AY731+BC731</f>
        <v>190745.75</v>
      </c>
      <c r="K731" s="132">
        <f t="shared" si="75"/>
        <v>-20745.75</v>
      </c>
      <c r="L731" s="132">
        <f t="shared" si="76"/>
        <v>72291.87</v>
      </c>
      <c r="M731" s="133"/>
      <c r="N731" s="133">
        <f t="shared" si="74"/>
        <v>72291.87</v>
      </c>
      <c r="O731" s="134">
        <v>1</v>
      </c>
      <c r="P731" s="133"/>
      <c r="Q731" s="2" t="s">
        <v>2588</v>
      </c>
      <c r="R731" s="156">
        <f t="shared" si="77"/>
        <v>163037.62</v>
      </c>
      <c r="S731" s="156">
        <f t="shared" si="78"/>
        <v>16169.48</v>
      </c>
      <c r="T731" s="133"/>
      <c r="U731" s="133"/>
      <c r="V731" s="133"/>
      <c r="W731" s="133"/>
      <c r="X731" s="133"/>
      <c r="Y731" s="133"/>
      <c r="Z731" s="133"/>
      <c r="AA731" s="133"/>
      <c r="AB731" s="133">
        <v>56000</v>
      </c>
      <c r="AC731" s="133"/>
      <c r="AD731" s="133">
        <v>50000</v>
      </c>
      <c r="AE731" s="133">
        <v>8542.3700000000008</v>
      </c>
      <c r="AF731" s="133"/>
      <c r="AG731" s="133">
        <f>7627.11</f>
        <v>7627.11</v>
      </c>
      <c r="AH731" s="133"/>
      <c r="AI731" s="133"/>
      <c r="AJ731" s="133"/>
      <c r="AK731" s="133"/>
      <c r="AL731" s="133"/>
      <c r="AM731" s="133"/>
      <c r="AN731" s="133">
        <v>57037.62</v>
      </c>
      <c r="AO731" s="133"/>
      <c r="AP731" s="133"/>
      <c r="AQ731" s="133"/>
      <c r="AR731" s="133"/>
      <c r="AS731" s="153">
        <v>0</v>
      </c>
      <c r="AT731" s="153">
        <v>0</v>
      </c>
      <c r="AU731" s="153">
        <v>0</v>
      </c>
      <c r="AV731" s="153">
        <v>0</v>
      </c>
      <c r="AW731" s="153">
        <v>0</v>
      </c>
      <c r="AX731" s="153">
        <v>0</v>
      </c>
      <c r="AY731" s="135">
        <f>42372.88+42372.88</f>
        <v>84745.76</v>
      </c>
      <c r="AZ731" s="135">
        <f>3933.46+3245.59</f>
        <v>7179.05</v>
      </c>
      <c r="BA731" s="135"/>
      <c r="BB731" s="135"/>
      <c r="BC731" s="135">
        <f>47457.63+42372.88</f>
        <v>89830.51</v>
      </c>
      <c r="BD731" s="135">
        <f>6086.28</f>
        <v>6086.28</v>
      </c>
      <c r="BE731" s="135"/>
      <c r="BF731" s="135"/>
      <c r="BG731" s="135"/>
      <c r="BH731" s="135"/>
      <c r="BI731" s="2" t="s">
        <v>11</v>
      </c>
      <c r="BJ731" s="136">
        <v>45979</v>
      </c>
      <c r="BK731" s="2" t="s">
        <v>109</v>
      </c>
      <c r="BL731" s="136" t="s">
        <v>113</v>
      </c>
      <c r="BM731" s="136">
        <v>45303</v>
      </c>
      <c r="BN731" s="2" t="s">
        <v>2716</v>
      </c>
      <c r="BO731" s="2"/>
      <c r="BP731" s="205"/>
      <c r="BQ731" s="137" t="s">
        <v>119</v>
      </c>
      <c r="BR731" s="138"/>
    </row>
    <row r="732" spans="1:70" ht="12.75" customHeight="1" x14ac:dyDescent="0.2">
      <c r="A732" s="2">
        <v>2221</v>
      </c>
      <c r="B732" s="2" t="s">
        <v>31</v>
      </c>
      <c r="C732" s="2" t="s">
        <v>37</v>
      </c>
      <c r="D732" s="2" t="s">
        <v>2648</v>
      </c>
      <c r="E732" s="2" t="s">
        <v>71</v>
      </c>
      <c r="F732" s="132">
        <v>160000</v>
      </c>
      <c r="G732" s="132">
        <v>2</v>
      </c>
      <c r="H732" s="132"/>
      <c r="I732" s="132"/>
      <c r="J732" s="132"/>
      <c r="K732" s="132">
        <f t="shared" si="75"/>
        <v>160000</v>
      </c>
      <c r="L732" s="132">
        <f t="shared" si="76"/>
        <v>0</v>
      </c>
      <c r="M732" s="133"/>
      <c r="N732" s="133">
        <f t="shared" si="74"/>
        <v>160000</v>
      </c>
      <c r="O732" s="134">
        <v>1</v>
      </c>
      <c r="P732" s="133"/>
      <c r="Q732" s="2" t="s">
        <v>2589</v>
      </c>
      <c r="R732" s="156">
        <f t="shared" si="77"/>
        <v>0</v>
      </c>
      <c r="S732" s="156">
        <f t="shared" si="78"/>
        <v>0</v>
      </c>
      <c r="T732" s="133"/>
      <c r="U732" s="133"/>
      <c r="V732" s="133"/>
      <c r="W732" s="133"/>
      <c r="X732" s="133"/>
      <c r="Y732" s="133"/>
      <c r="Z732" s="133"/>
      <c r="AA732" s="133"/>
      <c r="AB732" s="133"/>
      <c r="AC732" s="133"/>
      <c r="AD732" s="133"/>
      <c r="AE732" s="133"/>
      <c r="AF732" s="133"/>
      <c r="AG732" s="133"/>
      <c r="AH732" s="133"/>
      <c r="AI732" s="133"/>
      <c r="AJ732" s="133"/>
      <c r="AK732" s="133"/>
      <c r="AL732" s="133"/>
      <c r="AM732" s="133"/>
      <c r="AN732" s="133"/>
      <c r="AO732" s="133"/>
      <c r="AP732" s="133"/>
      <c r="AQ732" s="133"/>
      <c r="AR732" s="133"/>
      <c r="AS732" s="153">
        <v>0</v>
      </c>
      <c r="AT732" s="153">
        <v>0</v>
      </c>
      <c r="AU732" s="153">
        <v>0</v>
      </c>
      <c r="AV732" s="153">
        <v>0</v>
      </c>
      <c r="AW732" s="153">
        <v>0</v>
      </c>
      <c r="AX732" s="153">
        <v>0</v>
      </c>
      <c r="AY732" s="135"/>
      <c r="AZ732" s="135"/>
      <c r="BA732" s="135"/>
      <c r="BB732" s="135"/>
      <c r="BC732" s="135"/>
      <c r="BD732" s="135"/>
      <c r="BE732" s="135"/>
      <c r="BF732" s="135"/>
      <c r="BG732" s="135"/>
      <c r="BH732" s="135"/>
      <c r="BI732" s="2" t="s">
        <v>11</v>
      </c>
      <c r="BJ732" s="136"/>
      <c r="BK732" s="2">
        <v>0</v>
      </c>
      <c r="BL732" s="136" t="s">
        <v>113</v>
      </c>
      <c r="BM732" s="136">
        <v>45303</v>
      </c>
      <c r="BN732" s="2" t="s">
        <v>2717</v>
      </c>
      <c r="BO732" s="2"/>
      <c r="BP732" s="205"/>
      <c r="BQ732" s="137" t="s">
        <v>119</v>
      </c>
      <c r="BR732" s="138"/>
    </row>
    <row r="733" spans="1:70" ht="12.75" customHeight="1" x14ac:dyDescent="0.2">
      <c r="A733" s="2">
        <v>2222</v>
      </c>
      <c r="B733" s="2" t="s">
        <v>31</v>
      </c>
      <c r="C733" s="2" t="s">
        <v>32</v>
      </c>
      <c r="D733" s="2" t="s">
        <v>2649</v>
      </c>
      <c r="E733" s="2" t="s">
        <v>71</v>
      </c>
      <c r="F733" s="132">
        <v>160000</v>
      </c>
      <c r="G733" s="132">
        <v>2</v>
      </c>
      <c r="H733" s="132"/>
      <c r="I733" s="132"/>
      <c r="J733" s="132"/>
      <c r="K733" s="132">
        <f t="shared" si="75"/>
        <v>160000</v>
      </c>
      <c r="L733" s="132">
        <f t="shared" si="76"/>
        <v>0</v>
      </c>
      <c r="M733" s="133"/>
      <c r="N733" s="133">
        <f t="shared" si="74"/>
        <v>160000</v>
      </c>
      <c r="O733" s="134">
        <v>1</v>
      </c>
      <c r="P733" s="133"/>
      <c r="Q733" s="2" t="s">
        <v>2590</v>
      </c>
      <c r="R733" s="156">
        <f t="shared" si="77"/>
        <v>0</v>
      </c>
      <c r="S733" s="156">
        <f t="shared" si="78"/>
        <v>0</v>
      </c>
      <c r="T733" s="133"/>
      <c r="U733" s="133"/>
      <c r="V733" s="133"/>
      <c r="W733" s="133"/>
      <c r="X733" s="133"/>
      <c r="Y733" s="133"/>
      <c r="Z733" s="133"/>
      <c r="AA733" s="133"/>
      <c r="AB733" s="133"/>
      <c r="AC733" s="133"/>
      <c r="AD733" s="133"/>
      <c r="AE733" s="133"/>
      <c r="AF733" s="133"/>
      <c r="AG733" s="133"/>
      <c r="AH733" s="133"/>
      <c r="AI733" s="133"/>
      <c r="AJ733" s="133"/>
      <c r="AK733" s="133"/>
      <c r="AL733" s="133"/>
      <c r="AM733" s="133"/>
      <c r="AN733" s="133"/>
      <c r="AO733" s="133"/>
      <c r="AP733" s="133"/>
      <c r="AQ733" s="133"/>
      <c r="AR733" s="133"/>
      <c r="AS733" s="153">
        <v>0</v>
      </c>
      <c r="AT733" s="153">
        <v>0</v>
      </c>
      <c r="AU733" s="153">
        <v>0</v>
      </c>
      <c r="AV733" s="153">
        <v>0</v>
      </c>
      <c r="AW733" s="153">
        <v>0</v>
      </c>
      <c r="AX733" s="153">
        <v>0</v>
      </c>
      <c r="AY733" s="135"/>
      <c r="AZ733" s="135"/>
      <c r="BA733" s="135"/>
      <c r="BB733" s="135"/>
      <c r="BC733" s="135"/>
      <c r="BD733" s="135"/>
      <c r="BE733" s="135"/>
      <c r="BF733" s="135"/>
      <c r="BG733" s="135"/>
      <c r="BH733" s="135"/>
      <c r="BI733" s="2" t="s">
        <v>11</v>
      </c>
      <c r="BJ733" s="136"/>
      <c r="BK733" s="2">
        <v>0</v>
      </c>
      <c r="BL733" s="136" t="s">
        <v>113</v>
      </c>
      <c r="BM733" s="136">
        <v>45303</v>
      </c>
      <c r="BN733" s="2" t="s">
        <v>2718</v>
      </c>
      <c r="BO733" s="2"/>
      <c r="BP733" s="205"/>
      <c r="BQ733" s="137" t="s">
        <v>119</v>
      </c>
      <c r="BR733" s="138"/>
    </row>
    <row r="734" spans="1:70" ht="12.75" customHeight="1" x14ac:dyDescent="0.2">
      <c r="A734" s="2">
        <v>2223</v>
      </c>
      <c r="B734" s="2" t="s">
        <v>31</v>
      </c>
      <c r="C734" s="2" t="s">
        <v>34</v>
      </c>
      <c r="D734" s="2" t="s">
        <v>2650</v>
      </c>
      <c r="E734" s="2" t="s">
        <v>71</v>
      </c>
      <c r="F734" s="132">
        <v>150000</v>
      </c>
      <c r="G734" s="132">
        <v>2</v>
      </c>
      <c r="H734" s="323">
        <f>100000+R734</f>
        <v>175630.39</v>
      </c>
      <c r="I734" s="132"/>
      <c r="J734" s="132">
        <f>15254.24+S734+AY734+BC734</f>
        <v>175630.39</v>
      </c>
      <c r="K734" s="132">
        <f t="shared" si="75"/>
        <v>-25630.390000000014</v>
      </c>
      <c r="L734" s="132">
        <f t="shared" si="76"/>
        <v>0</v>
      </c>
      <c r="M734" s="133">
        <v>1737</v>
      </c>
      <c r="N734" s="133">
        <f t="shared" si="74"/>
        <v>0</v>
      </c>
      <c r="O734" s="134">
        <v>1</v>
      </c>
      <c r="P734" s="133"/>
      <c r="Q734" s="2" t="s">
        <v>2591</v>
      </c>
      <c r="R734" s="156">
        <f t="shared" si="77"/>
        <v>75630.39</v>
      </c>
      <c r="S734" s="156">
        <f t="shared" si="78"/>
        <v>50206.66</v>
      </c>
      <c r="T734" s="133"/>
      <c r="U734" s="133"/>
      <c r="V734" s="133">
        <v>30000</v>
      </c>
      <c r="W734" s="133"/>
      <c r="X734" s="133"/>
      <c r="Y734" s="133">
        <v>4576.2700000000004</v>
      </c>
      <c r="Z734" s="133">
        <v>45630.39</v>
      </c>
      <c r="AA734" s="133"/>
      <c r="AB734" s="133"/>
      <c r="AC734" s="133">
        <v>6960.57</v>
      </c>
      <c r="AD734" s="133"/>
      <c r="AE734" s="133">
        <v>38669.82</v>
      </c>
      <c r="AF734" s="133"/>
      <c r="AG734" s="133"/>
      <c r="AH734" s="133"/>
      <c r="AI734" s="133"/>
      <c r="AJ734" s="133"/>
      <c r="AK734" s="133"/>
      <c r="AL734" s="133"/>
      <c r="AM734" s="133"/>
      <c r="AN734" s="133"/>
      <c r="AO734" s="133"/>
      <c r="AP734" s="133"/>
      <c r="AQ734" s="133"/>
      <c r="AR734" s="133"/>
      <c r="AS734" s="153">
        <v>0</v>
      </c>
      <c r="AT734" s="153">
        <v>0</v>
      </c>
      <c r="AU734" s="153">
        <v>0</v>
      </c>
      <c r="AV734" s="153">
        <v>0</v>
      </c>
      <c r="AW734" s="153">
        <v>0</v>
      </c>
      <c r="AX734" s="153">
        <v>0</v>
      </c>
      <c r="AY734" s="135">
        <v>84745.76</v>
      </c>
      <c r="AZ734" s="135">
        <v>6491.18</v>
      </c>
      <c r="BA734" s="135"/>
      <c r="BB734" s="135"/>
      <c r="BC734" s="135">
        <v>25423.73</v>
      </c>
      <c r="BD734" s="135">
        <v>489.15</v>
      </c>
      <c r="BE734" s="135">
        <f>(H734/1.18-AT734-AW734-AZ734-BD734)*0.1-AU734-AX734-BA734-BB734</f>
        <v>14185.898355932208</v>
      </c>
      <c r="BF734" s="135"/>
      <c r="BG734" s="135"/>
      <c r="BH734" s="135"/>
      <c r="BI734" s="2" t="s">
        <v>11</v>
      </c>
      <c r="BJ734" s="136">
        <v>45762</v>
      </c>
      <c r="BK734" s="2" t="s">
        <v>109</v>
      </c>
      <c r="BL734" s="136" t="s">
        <v>113</v>
      </c>
      <c r="BM734" s="136">
        <v>45303</v>
      </c>
      <c r="BN734" s="2" t="s">
        <v>2719</v>
      </c>
      <c r="BO734" s="2"/>
      <c r="BP734" s="205"/>
      <c r="BQ734" s="137" t="s">
        <v>119</v>
      </c>
      <c r="BR734" s="138"/>
    </row>
    <row r="735" spans="1:70" ht="12.75" customHeight="1" x14ac:dyDescent="0.2">
      <c r="A735" s="2">
        <v>2224</v>
      </c>
      <c r="B735" s="2" t="s">
        <v>31</v>
      </c>
      <c r="C735" s="2" t="s">
        <v>32</v>
      </c>
      <c r="D735" s="2" t="s">
        <v>2651</v>
      </c>
      <c r="E735" s="2" t="s">
        <v>71</v>
      </c>
      <c r="F735" s="132">
        <v>120000</v>
      </c>
      <c r="G735" s="132">
        <v>2</v>
      </c>
      <c r="H735" s="132"/>
      <c r="I735" s="132"/>
      <c r="J735" s="132"/>
      <c r="K735" s="132">
        <f t="shared" si="75"/>
        <v>120000</v>
      </c>
      <c r="L735" s="132">
        <f t="shared" si="76"/>
        <v>0</v>
      </c>
      <c r="M735" s="133"/>
      <c r="N735" s="133">
        <f t="shared" si="74"/>
        <v>120000</v>
      </c>
      <c r="O735" s="134">
        <v>1</v>
      </c>
      <c r="P735" s="133"/>
      <c r="Q735" s="2" t="s">
        <v>2592</v>
      </c>
      <c r="R735" s="156">
        <f t="shared" si="77"/>
        <v>0</v>
      </c>
      <c r="S735" s="156">
        <f t="shared" si="78"/>
        <v>0</v>
      </c>
      <c r="T735" s="133"/>
      <c r="U735" s="133"/>
      <c r="V735" s="133"/>
      <c r="W735" s="133"/>
      <c r="X735" s="133"/>
      <c r="Y735" s="133"/>
      <c r="Z735" s="133"/>
      <c r="AA735" s="133"/>
      <c r="AB735" s="133"/>
      <c r="AC735" s="133"/>
      <c r="AD735" s="133"/>
      <c r="AE735" s="133"/>
      <c r="AF735" s="133"/>
      <c r="AG735" s="133"/>
      <c r="AH735" s="133"/>
      <c r="AI735" s="133"/>
      <c r="AJ735" s="133"/>
      <c r="AK735" s="133"/>
      <c r="AL735" s="133"/>
      <c r="AM735" s="133"/>
      <c r="AN735" s="133"/>
      <c r="AO735" s="133"/>
      <c r="AP735" s="133"/>
      <c r="AQ735" s="133"/>
      <c r="AR735" s="133"/>
      <c r="AS735" s="153">
        <v>0</v>
      </c>
      <c r="AT735" s="153">
        <v>0</v>
      </c>
      <c r="AU735" s="153">
        <v>0</v>
      </c>
      <c r="AV735" s="153">
        <v>0</v>
      </c>
      <c r="AW735" s="153">
        <v>0</v>
      </c>
      <c r="AX735" s="153">
        <v>0</v>
      </c>
      <c r="AY735" s="135"/>
      <c r="AZ735" s="135"/>
      <c r="BA735" s="135"/>
      <c r="BB735" s="135"/>
      <c r="BC735" s="135"/>
      <c r="BD735" s="135"/>
      <c r="BE735" s="135"/>
      <c r="BF735" s="135"/>
      <c r="BG735" s="135"/>
      <c r="BH735" s="135"/>
      <c r="BI735" s="2" t="s">
        <v>11</v>
      </c>
      <c r="BJ735" s="136"/>
      <c r="BK735" s="2">
        <v>0</v>
      </c>
      <c r="BL735" s="136" t="s">
        <v>113</v>
      </c>
      <c r="BM735" s="136">
        <v>45303</v>
      </c>
      <c r="BN735" s="2" t="s">
        <v>2720</v>
      </c>
      <c r="BO735" s="2"/>
      <c r="BP735" s="205"/>
      <c r="BQ735" s="137" t="s">
        <v>119</v>
      </c>
      <c r="BR735" s="138"/>
    </row>
    <row r="736" spans="1:70" ht="12.75" customHeight="1" x14ac:dyDescent="0.2">
      <c r="A736" s="2">
        <v>2225</v>
      </c>
      <c r="B736" s="2" t="s">
        <v>31</v>
      </c>
      <c r="C736" s="2" t="s">
        <v>34</v>
      </c>
      <c r="D736" s="2" t="s">
        <v>2652</v>
      </c>
      <c r="E736" s="2" t="s">
        <v>71</v>
      </c>
      <c r="F736" s="132">
        <v>115000</v>
      </c>
      <c r="G736" s="132">
        <v>2</v>
      </c>
      <c r="H736" s="132"/>
      <c r="I736" s="132"/>
      <c r="J736" s="132"/>
      <c r="K736" s="132">
        <f t="shared" si="75"/>
        <v>115000</v>
      </c>
      <c r="L736" s="132">
        <f t="shared" si="76"/>
        <v>0</v>
      </c>
      <c r="M736" s="133"/>
      <c r="N736" s="133">
        <f t="shared" si="74"/>
        <v>115000</v>
      </c>
      <c r="O736" s="134">
        <v>1</v>
      </c>
      <c r="P736" s="133"/>
      <c r="Q736" s="2" t="s">
        <v>2593</v>
      </c>
      <c r="R736" s="156">
        <f t="shared" si="77"/>
        <v>0</v>
      </c>
      <c r="S736" s="156">
        <f t="shared" si="78"/>
        <v>0</v>
      </c>
      <c r="T736" s="133"/>
      <c r="U736" s="133"/>
      <c r="V736" s="133"/>
      <c r="W736" s="133"/>
      <c r="X736" s="133"/>
      <c r="Y736" s="133"/>
      <c r="Z736" s="133"/>
      <c r="AA736" s="133"/>
      <c r="AB736" s="133"/>
      <c r="AC736" s="133"/>
      <c r="AD736" s="133"/>
      <c r="AE736" s="133"/>
      <c r="AF736" s="133"/>
      <c r="AG736" s="133"/>
      <c r="AH736" s="133"/>
      <c r="AI736" s="133"/>
      <c r="AJ736" s="133"/>
      <c r="AK736" s="133"/>
      <c r="AL736" s="133"/>
      <c r="AM736" s="133"/>
      <c r="AN736" s="133"/>
      <c r="AO736" s="133"/>
      <c r="AP736" s="133"/>
      <c r="AQ736" s="133"/>
      <c r="AR736" s="133"/>
      <c r="AS736" s="153">
        <v>0</v>
      </c>
      <c r="AT736" s="153">
        <v>0</v>
      </c>
      <c r="AU736" s="153">
        <v>0</v>
      </c>
      <c r="AV736" s="153">
        <v>0</v>
      </c>
      <c r="AW736" s="153">
        <v>0</v>
      </c>
      <c r="AX736" s="153">
        <v>0</v>
      </c>
      <c r="AY736" s="135"/>
      <c r="AZ736" s="135"/>
      <c r="BA736" s="135"/>
      <c r="BB736" s="135"/>
      <c r="BC736" s="135"/>
      <c r="BD736" s="135"/>
      <c r="BE736" s="135"/>
      <c r="BF736" s="135"/>
      <c r="BG736" s="135"/>
      <c r="BH736" s="135"/>
      <c r="BI736" s="2" t="s">
        <v>11</v>
      </c>
      <c r="BJ736" s="136"/>
      <c r="BK736" s="2">
        <v>0</v>
      </c>
      <c r="BL736" s="136" t="s">
        <v>113</v>
      </c>
      <c r="BM736" s="136">
        <v>45303</v>
      </c>
      <c r="BN736" s="2" t="s">
        <v>2721</v>
      </c>
      <c r="BO736" s="2"/>
      <c r="BP736" s="205"/>
      <c r="BQ736" s="137" t="s">
        <v>119</v>
      </c>
      <c r="BR736" s="138"/>
    </row>
    <row r="737" spans="1:70" ht="12.75" customHeight="1" x14ac:dyDescent="0.2">
      <c r="A737" s="2">
        <v>2226</v>
      </c>
      <c r="B737" s="2" t="s">
        <v>31</v>
      </c>
      <c r="C737" s="2" t="s">
        <v>36</v>
      </c>
      <c r="D737" s="2" t="s">
        <v>2653</v>
      </c>
      <c r="E737" s="2" t="s">
        <v>71</v>
      </c>
      <c r="F737" s="132">
        <v>110000</v>
      </c>
      <c r="G737" s="132">
        <v>2</v>
      </c>
      <c r="H737" s="132">
        <f>50000+R737</f>
        <v>135000</v>
      </c>
      <c r="I737" s="132"/>
      <c r="J737" s="132">
        <f>7627.12+S737+AY737+BC737</f>
        <v>105338.98999999999</v>
      </c>
      <c r="K737" s="132">
        <f t="shared" si="75"/>
        <v>4661.0100000000093</v>
      </c>
      <c r="L737" s="132">
        <f t="shared" si="76"/>
        <v>29661.010000000009</v>
      </c>
      <c r="M737" s="133"/>
      <c r="N737" s="133">
        <f t="shared" si="74"/>
        <v>4661.0100000000093</v>
      </c>
      <c r="O737" s="134">
        <v>1</v>
      </c>
      <c r="P737" s="133"/>
      <c r="Q737" s="2" t="s">
        <v>2594</v>
      </c>
      <c r="R737" s="156">
        <f t="shared" si="77"/>
        <v>85000</v>
      </c>
      <c r="S737" s="156">
        <f t="shared" si="78"/>
        <v>12966.11</v>
      </c>
      <c r="T737" s="133"/>
      <c r="U737" s="133"/>
      <c r="V737" s="133"/>
      <c r="W737" s="133"/>
      <c r="X737" s="133">
        <v>50000</v>
      </c>
      <c r="Y737" s="133"/>
      <c r="Z737" s="133">
        <v>3000</v>
      </c>
      <c r="AA737" s="133">
        <v>7627.12</v>
      </c>
      <c r="AB737" s="133">
        <v>32000</v>
      </c>
      <c r="AC737" s="133">
        <v>457.63</v>
      </c>
      <c r="AD737" s="133"/>
      <c r="AE737" s="133">
        <v>4881.3599999999997</v>
      </c>
      <c r="AF737" s="133"/>
      <c r="AG737" s="133"/>
      <c r="AH737" s="133"/>
      <c r="AI737" s="133"/>
      <c r="AJ737" s="133"/>
      <c r="AK737" s="133"/>
      <c r="AL737" s="133"/>
      <c r="AM737" s="133"/>
      <c r="AN737" s="133"/>
      <c r="AO737" s="133"/>
      <c r="AP737" s="133"/>
      <c r="AQ737" s="133"/>
      <c r="AR737" s="133"/>
      <c r="AS737" s="153">
        <v>0</v>
      </c>
      <c r="AT737" s="153">
        <v>0</v>
      </c>
      <c r="AU737" s="153">
        <v>0</v>
      </c>
      <c r="AV737" s="153">
        <v>0</v>
      </c>
      <c r="AW737" s="153">
        <v>0</v>
      </c>
      <c r="AX737" s="153">
        <v>0</v>
      </c>
      <c r="AY737" s="135">
        <v>42372.88</v>
      </c>
      <c r="AZ737" s="135"/>
      <c r="BA737" s="135"/>
      <c r="BB737" s="135"/>
      <c r="BC737" s="135">
        <v>42372.88</v>
      </c>
      <c r="BD737" s="135"/>
      <c r="BE737" s="135"/>
      <c r="BF737" s="135"/>
      <c r="BG737" s="135"/>
      <c r="BH737" s="135"/>
      <c r="BI737" s="2" t="s">
        <v>11</v>
      </c>
      <c r="BJ737" s="136"/>
      <c r="BK737" s="2">
        <v>60</v>
      </c>
      <c r="BL737" s="136" t="s">
        <v>113</v>
      </c>
      <c r="BM737" s="136">
        <v>45303</v>
      </c>
      <c r="BN737" s="2" t="s">
        <v>2722</v>
      </c>
      <c r="BO737" s="2"/>
      <c r="BP737" s="205"/>
      <c r="BQ737" s="137" t="s">
        <v>119</v>
      </c>
      <c r="BR737" s="138"/>
    </row>
    <row r="738" spans="1:70" ht="12.75" customHeight="1" x14ac:dyDescent="0.2">
      <c r="A738" s="2">
        <v>2227</v>
      </c>
      <c r="B738" s="2" t="s">
        <v>31</v>
      </c>
      <c r="C738" s="2" t="s">
        <v>37</v>
      </c>
      <c r="D738" s="2" t="s">
        <v>2683</v>
      </c>
      <c r="E738" s="2" t="s">
        <v>71</v>
      </c>
      <c r="F738" s="132">
        <v>110000</v>
      </c>
      <c r="G738" s="132">
        <v>2</v>
      </c>
      <c r="H738" s="132">
        <f>50000+20000+5887.44</f>
        <v>75887.44</v>
      </c>
      <c r="I738" s="132">
        <f>50000+20000+5887.44</f>
        <v>75887.44</v>
      </c>
      <c r="J738" s="132">
        <f>3050.847+AY738+13514.563</f>
        <v>75887.44</v>
      </c>
      <c r="K738" s="132">
        <f t="shared" si="75"/>
        <v>34112.559999999998</v>
      </c>
      <c r="L738" s="132">
        <f t="shared" si="76"/>
        <v>0</v>
      </c>
      <c r="M738" s="135">
        <v>0</v>
      </c>
      <c r="N738" s="133">
        <f t="shared" si="74"/>
        <v>0</v>
      </c>
      <c r="O738" s="134">
        <v>0</v>
      </c>
      <c r="P738" s="133"/>
      <c r="Q738" s="2" t="s">
        <v>2595</v>
      </c>
      <c r="R738" s="156">
        <f t="shared" si="77"/>
        <v>0</v>
      </c>
      <c r="S738" s="156">
        <f t="shared" si="78"/>
        <v>0</v>
      </c>
      <c r="T738" s="133"/>
      <c r="U738" s="133"/>
      <c r="V738" s="133"/>
      <c r="W738" s="133"/>
      <c r="X738" s="133"/>
      <c r="Y738" s="133"/>
      <c r="Z738" s="133"/>
      <c r="AA738" s="133"/>
      <c r="AB738" s="133"/>
      <c r="AC738" s="133"/>
      <c r="AD738" s="133"/>
      <c r="AE738" s="133"/>
      <c r="AF738" s="133"/>
      <c r="AG738" s="133"/>
      <c r="AH738" s="133"/>
      <c r="AI738" s="133"/>
      <c r="AJ738" s="133"/>
      <c r="AK738" s="133"/>
      <c r="AL738" s="133"/>
      <c r="AM738" s="133"/>
      <c r="AN738" s="133"/>
      <c r="AO738" s="133"/>
      <c r="AP738" s="133"/>
      <c r="AQ738" s="133"/>
      <c r="AR738" s="133"/>
      <c r="AS738" s="153">
        <v>0</v>
      </c>
      <c r="AT738" s="153">
        <v>0</v>
      </c>
      <c r="AU738" s="153">
        <v>0</v>
      </c>
      <c r="AV738" s="153">
        <v>0</v>
      </c>
      <c r="AW738" s="153">
        <v>0</v>
      </c>
      <c r="AX738" s="153">
        <v>0</v>
      </c>
      <c r="AY738" s="135">
        <f>42372.88+16949.15</f>
        <v>59322.03</v>
      </c>
      <c r="AZ738" s="135">
        <f>3933.46+756.79</f>
        <v>4690.25</v>
      </c>
      <c r="BA738" s="135">
        <v>0</v>
      </c>
      <c r="BB738" s="140">
        <f>(H738/1.18-AT738-AW738-AZ738)*0.1-AU738-AX738-BA738</f>
        <v>5962.1139830508482</v>
      </c>
      <c r="BC738" s="135"/>
      <c r="BD738" s="135"/>
      <c r="BE738" s="135">
        <f>(H738/1.18-AT738-AW738-AZ738-BD738)*0.1-AU738-AX738-BA738-BB738</f>
        <v>0</v>
      </c>
      <c r="BF738" s="135"/>
      <c r="BG738" s="135"/>
      <c r="BH738" s="135"/>
      <c r="BI738" s="2" t="s">
        <v>11</v>
      </c>
      <c r="BJ738" s="136">
        <v>45637</v>
      </c>
      <c r="BK738" s="2" t="s">
        <v>109</v>
      </c>
      <c r="BL738" s="136" t="s">
        <v>113</v>
      </c>
      <c r="BM738" s="136">
        <v>45303</v>
      </c>
      <c r="BN738" s="2" t="s">
        <v>2723</v>
      </c>
      <c r="BO738" s="2"/>
      <c r="BP738" s="205"/>
      <c r="BQ738" s="137" t="s">
        <v>119</v>
      </c>
      <c r="BR738" s="138"/>
    </row>
    <row r="739" spans="1:70" ht="12.75" customHeight="1" x14ac:dyDescent="0.2">
      <c r="A739" s="2">
        <v>2228</v>
      </c>
      <c r="B739" s="2" t="s">
        <v>31</v>
      </c>
      <c r="C739" s="2" t="s">
        <v>34</v>
      </c>
      <c r="D739" s="2" t="s">
        <v>2654</v>
      </c>
      <c r="E739" s="2" t="s">
        <v>71</v>
      </c>
      <c r="F739" s="132">
        <v>105000</v>
      </c>
      <c r="G739" s="132">
        <v>2</v>
      </c>
      <c r="H739" s="323">
        <f>R739</f>
        <v>66637.13</v>
      </c>
      <c r="I739" s="132"/>
      <c r="J739" s="132">
        <f>S739+BC739</f>
        <v>66637.13</v>
      </c>
      <c r="K739" s="132">
        <f t="shared" si="75"/>
        <v>38362.869999999995</v>
      </c>
      <c r="L739" s="132">
        <f t="shared" si="76"/>
        <v>0</v>
      </c>
      <c r="M739" s="133">
        <v>662.8</v>
      </c>
      <c r="N739" s="133">
        <f t="shared" si="74"/>
        <v>0</v>
      </c>
      <c r="O739" s="134">
        <v>1</v>
      </c>
      <c r="P739" s="133"/>
      <c r="Q739" s="2" t="s">
        <v>2596</v>
      </c>
      <c r="R739" s="156">
        <f t="shared" si="77"/>
        <v>66637.13</v>
      </c>
      <c r="S739" s="156">
        <f t="shared" si="78"/>
        <v>24264.25</v>
      </c>
      <c r="T739" s="133"/>
      <c r="U739" s="133"/>
      <c r="V739" s="133">
        <v>50000</v>
      </c>
      <c r="W739" s="133"/>
      <c r="X739" s="133"/>
      <c r="Y739" s="133">
        <v>7627.12</v>
      </c>
      <c r="Z739" s="133">
        <v>16637.13</v>
      </c>
      <c r="AA739" s="133"/>
      <c r="AB739" s="133"/>
      <c r="AC739" s="133">
        <v>2537.87</v>
      </c>
      <c r="AD739" s="133"/>
      <c r="AE739" s="133">
        <v>14099.26</v>
      </c>
      <c r="AF739" s="133"/>
      <c r="AG739" s="133"/>
      <c r="AH739" s="133"/>
      <c r="AI739" s="133"/>
      <c r="AJ739" s="133"/>
      <c r="AK739" s="133"/>
      <c r="AL739" s="133"/>
      <c r="AM739" s="133"/>
      <c r="AN739" s="133"/>
      <c r="AO739" s="133"/>
      <c r="AP739" s="133"/>
      <c r="AQ739" s="133"/>
      <c r="AR739" s="133"/>
      <c r="AS739" s="153">
        <v>0</v>
      </c>
      <c r="AT739" s="153">
        <v>0</v>
      </c>
      <c r="AU739" s="153">
        <v>0</v>
      </c>
      <c r="AV739" s="153">
        <v>0</v>
      </c>
      <c r="AW739" s="153">
        <v>0</v>
      </c>
      <c r="AX739" s="153">
        <v>0</v>
      </c>
      <c r="AY739" s="135"/>
      <c r="AZ739" s="135"/>
      <c r="BA739" s="135"/>
      <c r="BB739" s="135"/>
      <c r="BC739" s="135">
        <f>42372.88</f>
        <v>42372.88</v>
      </c>
      <c r="BD739" s="135">
        <v>815.24</v>
      </c>
      <c r="BE739" s="135">
        <f>(H739/1.18-AT739-AW739-AZ739-BD739)*0.1-AU739-AX739-BA739-BB739</f>
        <v>5565.6904067796622</v>
      </c>
      <c r="BF739" s="135"/>
      <c r="BG739" s="135"/>
      <c r="BH739" s="135"/>
      <c r="BI739" s="2" t="s">
        <v>11</v>
      </c>
      <c r="BJ739" s="136">
        <v>45762</v>
      </c>
      <c r="BK739" s="2" t="s">
        <v>109</v>
      </c>
      <c r="BL739" s="136" t="s">
        <v>113</v>
      </c>
      <c r="BM739" s="136">
        <v>45303</v>
      </c>
      <c r="BN739" s="2" t="s">
        <v>2724</v>
      </c>
      <c r="BO739" s="2"/>
      <c r="BP739" s="205"/>
      <c r="BQ739" s="137" t="s">
        <v>119</v>
      </c>
      <c r="BR739" s="138"/>
    </row>
    <row r="740" spans="1:70" ht="12.75" customHeight="1" x14ac:dyDescent="0.2">
      <c r="A740" s="2">
        <v>2229</v>
      </c>
      <c r="B740" s="2" t="s">
        <v>31</v>
      </c>
      <c r="C740" s="2" t="s">
        <v>34</v>
      </c>
      <c r="D740" s="2" t="s">
        <v>2655</v>
      </c>
      <c r="E740" s="2" t="s">
        <v>71</v>
      </c>
      <c r="F740" s="132">
        <v>105000</v>
      </c>
      <c r="G740" s="132">
        <v>2</v>
      </c>
      <c r="H740" s="323">
        <f>60000+R740</f>
        <v>105021.76000000001</v>
      </c>
      <c r="I740" s="132"/>
      <c r="J740" s="132">
        <f>9152.54+S740+AY740+BC740</f>
        <v>105021.76000000001</v>
      </c>
      <c r="K740" s="132">
        <f t="shared" si="75"/>
        <v>-21.760000000009313</v>
      </c>
      <c r="L740" s="132">
        <f t="shared" si="76"/>
        <v>0</v>
      </c>
      <c r="M740" s="133">
        <v>1143</v>
      </c>
      <c r="N740" s="133">
        <f t="shared" si="74"/>
        <v>0</v>
      </c>
      <c r="O740" s="134">
        <v>1</v>
      </c>
      <c r="P740" s="133"/>
      <c r="Q740" s="2" t="s">
        <v>2597</v>
      </c>
      <c r="R740" s="156">
        <f t="shared" si="77"/>
        <v>45021.760000000002</v>
      </c>
      <c r="S740" s="156">
        <f t="shared" si="78"/>
        <v>19598.030000000013</v>
      </c>
      <c r="T740" s="133"/>
      <c r="U740" s="133"/>
      <c r="V740" s="133">
        <v>30000</v>
      </c>
      <c r="W740" s="133"/>
      <c r="X740" s="133"/>
      <c r="Y740" s="133">
        <v>4576.2700000000004</v>
      </c>
      <c r="Z740" s="133">
        <v>15021.76</v>
      </c>
      <c r="AA740" s="133"/>
      <c r="AB740" s="133"/>
      <c r="AC740" s="133">
        <v>2291.4499999999998</v>
      </c>
      <c r="AD740" s="133"/>
      <c r="AE740" s="133"/>
      <c r="AF740" s="133"/>
      <c r="AG740" s="133"/>
      <c r="AH740" s="133"/>
      <c r="AI740" s="133"/>
      <c r="AJ740" s="133"/>
      <c r="AK740" s="133">
        <v>12730.310000000012</v>
      </c>
      <c r="AL740" s="133"/>
      <c r="AM740" s="133"/>
      <c r="AN740" s="133"/>
      <c r="AO740" s="133"/>
      <c r="AP740" s="133"/>
      <c r="AQ740" s="133"/>
      <c r="AR740" s="133"/>
      <c r="AS740" s="153">
        <v>0</v>
      </c>
      <c r="AT740" s="153">
        <v>0</v>
      </c>
      <c r="AU740" s="153">
        <v>0</v>
      </c>
      <c r="AV740" s="153">
        <v>0</v>
      </c>
      <c r="AW740" s="153">
        <v>0</v>
      </c>
      <c r="AX740" s="153">
        <v>0</v>
      </c>
      <c r="AY740" s="135">
        <v>50847.46</v>
      </c>
      <c r="AZ740" s="135">
        <v>3359.42</v>
      </c>
      <c r="BA740" s="135"/>
      <c r="BB740" s="135"/>
      <c r="BC740" s="135">
        <v>25423.73</v>
      </c>
      <c r="BD740" s="135">
        <v>489.15</v>
      </c>
      <c r="BE740" s="135">
        <f>(H740/1.18-AT740-AW740-AZ740-BD740)*0.1-AU740-AX740-BA740-BB740</f>
        <v>8515.2921525423753</v>
      </c>
      <c r="BF740" s="135"/>
      <c r="BG740" s="135"/>
      <c r="BH740" s="135"/>
      <c r="BI740" s="2" t="s">
        <v>11</v>
      </c>
      <c r="BJ740" s="136">
        <v>45762</v>
      </c>
      <c r="BK740" s="2" t="s">
        <v>109</v>
      </c>
      <c r="BL740" s="136" t="s">
        <v>113</v>
      </c>
      <c r="BM740" s="136">
        <v>45303</v>
      </c>
      <c r="BN740" s="2" t="s">
        <v>2725</v>
      </c>
      <c r="BO740" s="2"/>
      <c r="BP740" s="205"/>
      <c r="BQ740" s="137" t="s">
        <v>119</v>
      </c>
      <c r="BR740" s="138"/>
    </row>
    <row r="741" spans="1:70" ht="12.75" customHeight="1" x14ac:dyDescent="0.2">
      <c r="A741" s="2">
        <v>2230</v>
      </c>
      <c r="B741" s="2" t="s">
        <v>54</v>
      </c>
      <c r="C741" s="2" t="s">
        <v>17</v>
      </c>
      <c r="D741" s="2" t="s">
        <v>2656</v>
      </c>
      <c r="E741" s="2" t="s">
        <v>71</v>
      </c>
      <c r="F741" s="132">
        <v>100000</v>
      </c>
      <c r="G741" s="132">
        <v>2</v>
      </c>
      <c r="H741" s="132"/>
      <c r="I741" s="132"/>
      <c r="J741" s="132"/>
      <c r="K741" s="132">
        <f t="shared" si="75"/>
        <v>100000</v>
      </c>
      <c r="L741" s="132">
        <f t="shared" si="76"/>
        <v>0</v>
      </c>
      <c r="M741" s="133"/>
      <c r="N741" s="133">
        <f t="shared" si="74"/>
        <v>100000</v>
      </c>
      <c r="O741" s="134">
        <v>1</v>
      </c>
      <c r="P741" s="133"/>
      <c r="Q741" s="2" t="s">
        <v>2598</v>
      </c>
      <c r="R741" s="156">
        <f t="shared" si="77"/>
        <v>0</v>
      </c>
      <c r="S741" s="156">
        <f t="shared" si="78"/>
        <v>0</v>
      </c>
      <c r="T741" s="133"/>
      <c r="U741" s="133"/>
      <c r="V741" s="133"/>
      <c r="W741" s="133"/>
      <c r="X741" s="133"/>
      <c r="Y741" s="133"/>
      <c r="Z741" s="133"/>
      <c r="AA741" s="133"/>
      <c r="AB741" s="133"/>
      <c r="AC741" s="133"/>
      <c r="AD741" s="133"/>
      <c r="AE741" s="133"/>
      <c r="AF741" s="133"/>
      <c r="AG741" s="133"/>
      <c r="AH741" s="133"/>
      <c r="AI741" s="133"/>
      <c r="AJ741" s="133"/>
      <c r="AK741" s="133"/>
      <c r="AL741" s="133"/>
      <c r="AM741" s="133"/>
      <c r="AN741" s="133"/>
      <c r="AO741" s="133"/>
      <c r="AP741" s="133"/>
      <c r="AQ741" s="133"/>
      <c r="AR741" s="133"/>
      <c r="AS741" s="153">
        <v>0</v>
      </c>
      <c r="AT741" s="153">
        <v>0</v>
      </c>
      <c r="AU741" s="153">
        <v>0</v>
      </c>
      <c r="AV741" s="153">
        <v>0</v>
      </c>
      <c r="AW741" s="153">
        <v>0</v>
      </c>
      <c r="AX741" s="153">
        <v>0</v>
      </c>
      <c r="AY741" s="135"/>
      <c r="AZ741" s="135"/>
      <c r="BA741" s="135"/>
      <c r="BB741" s="135"/>
      <c r="BC741" s="135"/>
      <c r="BD741" s="135"/>
      <c r="BE741" s="135"/>
      <c r="BF741" s="135"/>
      <c r="BG741" s="135"/>
      <c r="BH741" s="135"/>
      <c r="BI741" s="2" t="s">
        <v>11</v>
      </c>
      <c r="BJ741" s="136"/>
      <c r="BK741" s="2">
        <v>0</v>
      </c>
      <c r="BL741" s="136" t="s">
        <v>113</v>
      </c>
      <c r="BM741" s="136">
        <v>45303</v>
      </c>
      <c r="BN741" s="2" t="s">
        <v>2726</v>
      </c>
      <c r="BO741" s="2"/>
      <c r="BP741" s="205"/>
      <c r="BQ741" s="137" t="s">
        <v>119</v>
      </c>
      <c r="BR741" s="138"/>
    </row>
    <row r="742" spans="1:70" ht="12.75" customHeight="1" x14ac:dyDescent="0.2">
      <c r="A742" s="2">
        <v>2231</v>
      </c>
      <c r="B742" s="2" t="s">
        <v>31</v>
      </c>
      <c r="C742" s="2" t="s">
        <v>34</v>
      </c>
      <c r="D742" s="2" t="s">
        <v>2657</v>
      </c>
      <c r="E742" s="2" t="s">
        <v>71</v>
      </c>
      <c r="F742" s="132">
        <v>100000</v>
      </c>
      <c r="G742" s="132">
        <v>2</v>
      </c>
      <c r="H742" s="132">
        <f>50000+15000+4888.16</f>
        <v>69888.160000000003</v>
      </c>
      <c r="I742" s="132">
        <f>50000+15000+4888.16</f>
        <v>69888.160000000003</v>
      </c>
      <c r="J742" s="132">
        <f>2288.135+AY742+12515.28</f>
        <v>69888.154999999999</v>
      </c>
      <c r="K742" s="132">
        <f t="shared" si="75"/>
        <v>30111.845000000001</v>
      </c>
      <c r="L742" s="132">
        <f t="shared" si="76"/>
        <v>5.0000000046566129E-3</v>
      </c>
      <c r="M742" s="135">
        <v>0</v>
      </c>
      <c r="N742" s="133">
        <f t="shared" si="74"/>
        <v>5.0000000046566129E-3</v>
      </c>
      <c r="O742" s="134">
        <v>0</v>
      </c>
      <c r="P742" s="133"/>
      <c r="Q742" s="2" t="s">
        <v>2599</v>
      </c>
      <c r="R742" s="156">
        <f t="shared" si="77"/>
        <v>0</v>
      </c>
      <c r="S742" s="156">
        <f t="shared" si="78"/>
        <v>0</v>
      </c>
      <c r="T742" s="133"/>
      <c r="U742" s="133"/>
      <c r="V742" s="133"/>
      <c r="W742" s="133"/>
      <c r="X742" s="133"/>
      <c r="Y742" s="133"/>
      <c r="Z742" s="133"/>
      <c r="AA742" s="133"/>
      <c r="AB742" s="133"/>
      <c r="AC742" s="133"/>
      <c r="AD742" s="133"/>
      <c r="AE742" s="133"/>
      <c r="AF742" s="133"/>
      <c r="AG742" s="133"/>
      <c r="AH742" s="133"/>
      <c r="AI742" s="133"/>
      <c r="AJ742" s="133"/>
      <c r="AK742" s="133"/>
      <c r="AL742" s="133"/>
      <c r="AM742" s="133"/>
      <c r="AN742" s="133"/>
      <c r="AO742" s="133"/>
      <c r="AP742" s="133"/>
      <c r="AQ742" s="133"/>
      <c r="AR742" s="133"/>
      <c r="AS742" s="153">
        <v>0</v>
      </c>
      <c r="AT742" s="153">
        <v>0</v>
      </c>
      <c r="AU742" s="153">
        <v>0</v>
      </c>
      <c r="AV742" s="153">
        <v>0</v>
      </c>
      <c r="AW742" s="153">
        <v>0</v>
      </c>
      <c r="AX742" s="153">
        <v>0</v>
      </c>
      <c r="AY742" s="135">
        <f>42372.88+12711.86</f>
        <v>55084.74</v>
      </c>
      <c r="AZ742" s="135">
        <f>3933.46+567.59</f>
        <v>4501.05</v>
      </c>
      <c r="BA742" s="135">
        <v>0</v>
      </c>
      <c r="BB742" s="140">
        <f>(H742/1.18-AT742-AW742-AZ742)*0.1-AU742-AX742-BA742</f>
        <v>5472.6204237288148</v>
      </c>
      <c r="BC742" s="135"/>
      <c r="BD742" s="135"/>
      <c r="BE742" s="135">
        <f>(H742/1.18-AT742-AW742-AZ742-BD742)*0.1-AU742-AX742-BA742-BB742</f>
        <v>0</v>
      </c>
      <c r="BF742" s="135"/>
      <c r="BG742" s="135"/>
      <c r="BH742" s="135"/>
      <c r="BI742" s="2" t="s">
        <v>11</v>
      </c>
      <c r="BJ742" s="136">
        <v>45637</v>
      </c>
      <c r="BK742" s="2" t="s">
        <v>109</v>
      </c>
      <c r="BL742" s="136" t="s">
        <v>113</v>
      </c>
      <c r="BM742" s="136">
        <v>45303</v>
      </c>
      <c r="BN742" s="2" t="s">
        <v>2727</v>
      </c>
      <c r="BO742" s="2"/>
      <c r="BP742" s="205"/>
      <c r="BQ742" s="137" t="s">
        <v>119</v>
      </c>
      <c r="BR742" s="138"/>
    </row>
    <row r="743" spans="1:70" ht="12.75" customHeight="1" x14ac:dyDescent="0.2">
      <c r="A743" s="2">
        <v>2232</v>
      </c>
      <c r="B743" s="2" t="s">
        <v>31</v>
      </c>
      <c r="C743" s="2" t="s">
        <v>36</v>
      </c>
      <c r="D743" s="2" t="s">
        <v>2658</v>
      </c>
      <c r="E743" s="2" t="s">
        <v>71</v>
      </c>
      <c r="F743" s="132">
        <v>90000</v>
      </c>
      <c r="G743" s="132">
        <v>2</v>
      </c>
      <c r="H743" s="132">
        <f>50000+R743</f>
        <v>110000</v>
      </c>
      <c r="I743" s="132"/>
      <c r="J743" s="132">
        <f>7627.12+S743+AY743+BC743</f>
        <v>84576.26999999999</v>
      </c>
      <c r="K743" s="132">
        <f t="shared" si="75"/>
        <v>5423.7300000000105</v>
      </c>
      <c r="L743" s="132">
        <f t="shared" si="76"/>
        <v>25423.73000000001</v>
      </c>
      <c r="M743" s="133"/>
      <c r="N743" s="133">
        <f t="shared" si="74"/>
        <v>5423.7300000000105</v>
      </c>
      <c r="O743" s="134">
        <v>1</v>
      </c>
      <c r="P743" s="133"/>
      <c r="Q743" s="2" t="s">
        <v>2600</v>
      </c>
      <c r="R743" s="156">
        <f t="shared" si="77"/>
        <v>60000</v>
      </c>
      <c r="S743" s="156">
        <f t="shared" si="78"/>
        <v>9152.5400000000009</v>
      </c>
      <c r="T743" s="133"/>
      <c r="U743" s="133"/>
      <c r="V743" s="133"/>
      <c r="W743" s="133"/>
      <c r="X743" s="133">
        <v>30000</v>
      </c>
      <c r="Y743" s="133"/>
      <c r="Z743" s="133">
        <v>10000</v>
      </c>
      <c r="AA743" s="133">
        <v>4576.2700000000004</v>
      </c>
      <c r="AB743" s="133">
        <v>20000</v>
      </c>
      <c r="AC743" s="133">
        <v>1525.42</v>
      </c>
      <c r="AD743" s="133"/>
      <c r="AE743" s="133">
        <v>3050.85</v>
      </c>
      <c r="AF743" s="133"/>
      <c r="AG743" s="133"/>
      <c r="AH743" s="133"/>
      <c r="AI743" s="133"/>
      <c r="AJ743" s="133"/>
      <c r="AK743" s="133"/>
      <c r="AL743" s="133"/>
      <c r="AM743" s="133"/>
      <c r="AN743" s="133"/>
      <c r="AO743" s="133"/>
      <c r="AP743" s="133"/>
      <c r="AQ743" s="133"/>
      <c r="AR743" s="133"/>
      <c r="AS743" s="153">
        <v>0</v>
      </c>
      <c r="AT743" s="153">
        <v>0</v>
      </c>
      <c r="AU743" s="153">
        <v>0</v>
      </c>
      <c r="AV743" s="153">
        <v>0</v>
      </c>
      <c r="AW743" s="153">
        <v>0</v>
      </c>
      <c r="AX743" s="153">
        <v>0</v>
      </c>
      <c r="AY743" s="135">
        <v>42372.88</v>
      </c>
      <c r="AZ743" s="135"/>
      <c r="BA743" s="135"/>
      <c r="BB743" s="135"/>
      <c r="BC743" s="135">
        <v>25423.73</v>
      </c>
      <c r="BD743" s="135"/>
      <c r="BE743" s="135"/>
      <c r="BF743" s="135"/>
      <c r="BG743" s="135"/>
      <c r="BH743" s="135"/>
      <c r="BI743" s="2" t="s">
        <v>11</v>
      </c>
      <c r="BJ743" s="136"/>
      <c r="BK743" s="2">
        <v>60</v>
      </c>
      <c r="BL743" s="136" t="s">
        <v>113</v>
      </c>
      <c r="BM743" s="136">
        <v>45303</v>
      </c>
      <c r="BN743" s="2" t="s">
        <v>2728</v>
      </c>
      <c r="BO743" s="2"/>
      <c r="BP743" s="205"/>
      <c r="BQ743" s="137" t="s">
        <v>119</v>
      </c>
      <c r="BR743" s="138"/>
    </row>
    <row r="744" spans="1:70" ht="12.75" customHeight="1" x14ac:dyDescent="0.2">
      <c r="A744" s="2">
        <v>2233</v>
      </c>
      <c r="B744" s="2" t="s">
        <v>31</v>
      </c>
      <c r="C744" s="2" t="s">
        <v>34</v>
      </c>
      <c r="D744" s="2" t="s">
        <v>2659</v>
      </c>
      <c r="E744" s="2" t="s">
        <v>71</v>
      </c>
      <c r="F744" s="132">
        <v>90000</v>
      </c>
      <c r="G744" s="132">
        <v>2</v>
      </c>
      <c r="H744" s="132"/>
      <c r="I744" s="132"/>
      <c r="J744" s="132"/>
      <c r="K744" s="132">
        <f t="shared" si="75"/>
        <v>90000</v>
      </c>
      <c r="L744" s="132">
        <f t="shared" si="76"/>
        <v>0</v>
      </c>
      <c r="M744" s="133"/>
      <c r="N744" s="133">
        <f t="shared" si="74"/>
        <v>90000</v>
      </c>
      <c r="O744" s="134">
        <v>1</v>
      </c>
      <c r="P744" s="133"/>
      <c r="Q744" s="2" t="s">
        <v>2601</v>
      </c>
      <c r="R744" s="156">
        <f t="shared" si="77"/>
        <v>0</v>
      </c>
      <c r="S744" s="156">
        <f t="shared" si="78"/>
        <v>0</v>
      </c>
      <c r="T744" s="133"/>
      <c r="U744" s="133"/>
      <c r="V744" s="133"/>
      <c r="W744" s="133"/>
      <c r="X744" s="133"/>
      <c r="Y744" s="133"/>
      <c r="Z744" s="133"/>
      <c r="AA744" s="133"/>
      <c r="AB744" s="133"/>
      <c r="AC744" s="133"/>
      <c r="AD744" s="133"/>
      <c r="AE744" s="133"/>
      <c r="AF744" s="133"/>
      <c r="AG744" s="133"/>
      <c r="AH744" s="133"/>
      <c r="AI744" s="133"/>
      <c r="AJ744" s="133"/>
      <c r="AK744" s="133"/>
      <c r="AL744" s="133"/>
      <c r="AM744" s="133"/>
      <c r="AN744" s="133"/>
      <c r="AO744" s="133"/>
      <c r="AP744" s="133"/>
      <c r="AQ744" s="133"/>
      <c r="AR744" s="133"/>
      <c r="AS744" s="153">
        <v>0</v>
      </c>
      <c r="AT744" s="153">
        <v>0</v>
      </c>
      <c r="AU744" s="153">
        <v>0</v>
      </c>
      <c r="AV744" s="153">
        <v>0</v>
      </c>
      <c r="AW744" s="153">
        <v>0</v>
      </c>
      <c r="AX744" s="153">
        <v>0</v>
      </c>
      <c r="AY744" s="135"/>
      <c r="AZ744" s="135"/>
      <c r="BA744" s="135"/>
      <c r="BB744" s="135"/>
      <c r="BC744" s="135"/>
      <c r="BD744" s="135"/>
      <c r="BE744" s="135"/>
      <c r="BF744" s="135"/>
      <c r="BG744" s="135"/>
      <c r="BH744" s="135"/>
      <c r="BI744" s="2" t="s">
        <v>11</v>
      </c>
      <c r="BJ744" s="136"/>
      <c r="BK744" s="2">
        <v>0</v>
      </c>
      <c r="BL744" s="136" t="s">
        <v>113</v>
      </c>
      <c r="BM744" s="136">
        <v>45303</v>
      </c>
      <c r="BN744" s="2" t="s">
        <v>2729</v>
      </c>
      <c r="BO744" s="2"/>
      <c r="BP744" s="205"/>
      <c r="BQ744" s="137" t="s">
        <v>119</v>
      </c>
      <c r="BR744" s="138"/>
    </row>
    <row r="745" spans="1:70" ht="12.75" customHeight="1" x14ac:dyDescent="0.2">
      <c r="A745" s="2">
        <v>2234</v>
      </c>
      <c r="B745" s="2" t="s">
        <v>31</v>
      </c>
      <c r="C745" s="2" t="s">
        <v>34</v>
      </c>
      <c r="D745" s="2" t="s">
        <v>2660</v>
      </c>
      <c r="E745" s="2" t="s">
        <v>71</v>
      </c>
      <c r="F745" s="132">
        <v>90000</v>
      </c>
      <c r="G745" s="132">
        <v>2</v>
      </c>
      <c r="H745" s="323">
        <f>115000+R745</f>
        <v>260916.87</v>
      </c>
      <c r="I745" s="132"/>
      <c r="J745" s="132">
        <f>17542.37+S745+AY745+BC745</f>
        <v>260916.86000000002</v>
      </c>
      <c r="K745" s="132">
        <f t="shared" si="75"/>
        <v>-170916.86000000002</v>
      </c>
      <c r="L745" s="132">
        <f t="shared" si="76"/>
        <v>9.9999999802093953E-3</v>
      </c>
      <c r="M745" s="133">
        <v>1961</v>
      </c>
      <c r="N745" s="133">
        <f t="shared" si="74"/>
        <v>9.9999999802093953E-3</v>
      </c>
      <c r="O745" s="134">
        <v>1</v>
      </c>
      <c r="P745" s="133"/>
      <c r="Q745" s="2" t="s">
        <v>2602</v>
      </c>
      <c r="R745" s="156">
        <f t="shared" si="77"/>
        <v>145916.87</v>
      </c>
      <c r="S745" s="156">
        <f t="shared" si="78"/>
        <v>27272.79</v>
      </c>
      <c r="T745" s="133"/>
      <c r="U745" s="133"/>
      <c r="V745" s="133">
        <v>140000</v>
      </c>
      <c r="W745" s="133"/>
      <c r="X745" s="133"/>
      <c r="Y745" s="133">
        <v>21355.93</v>
      </c>
      <c r="Z745" s="133">
        <v>5916.87</v>
      </c>
      <c r="AA745" s="133"/>
      <c r="AB745" s="133"/>
      <c r="AC745" s="133">
        <v>902.57</v>
      </c>
      <c r="AD745" s="133"/>
      <c r="AE745" s="133">
        <v>5014.29</v>
      </c>
      <c r="AF745" s="133"/>
      <c r="AG745" s="133"/>
      <c r="AH745" s="133"/>
      <c r="AI745" s="133"/>
      <c r="AJ745" s="133"/>
      <c r="AK745" s="133"/>
      <c r="AL745" s="133"/>
      <c r="AM745" s="133"/>
      <c r="AN745" s="133"/>
      <c r="AO745" s="133"/>
      <c r="AP745" s="133"/>
      <c r="AQ745" s="133"/>
      <c r="AR745" s="133"/>
      <c r="AS745" s="153">
        <v>0</v>
      </c>
      <c r="AT745" s="153">
        <v>0</v>
      </c>
      <c r="AU745" s="153">
        <v>0</v>
      </c>
      <c r="AV745" s="153">
        <v>0</v>
      </c>
      <c r="AW745" s="153">
        <v>0</v>
      </c>
      <c r="AX745" s="153">
        <v>0</v>
      </c>
      <c r="AY745" s="135">
        <v>97457.63</v>
      </c>
      <c r="AZ745" s="135">
        <v>6438.88</v>
      </c>
      <c r="BA745" s="135"/>
      <c r="BB745" s="135"/>
      <c r="BC745" s="135">
        <f>118644.07</f>
        <v>118644.07</v>
      </c>
      <c r="BD745" s="135">
        <v>2282.6799999999998</v>
      </c>
      <c r="BE745" s="135">
        <f>(H745/1.18-AT745-AW745-AZ745-BD745)*0.1-AU745-AX745-BA745-BB745</f>
        <v>21239.443152542375</v>
      </c>
      <c r="BF745" s="135"/>
      <c r="BG745" s="135"/>
      <c r="BH745" s="135"/>
      <c r="BI745" s="2" t="s">
        <v>11</v>
      </c>
      <c r="BJ745" s="136">
        <v>45771</v>
      </c>
      <c r="BK745" s="2" t="s">
        <v>109</v>
      </c>
      <c r="BL745" s="136" t="s">
        <v>113</v>
      </c>
      <c r="BM745" s="136">
        <v>45303</v>
      </c>
      <c r="BN745" s="2" t="s">
        <v>2730</v>
      </c>
      <c r="BO745" s="2"/>
      <c r="BP745" s="205"/>
      <c r="BQ745" s="137" t="s">
        <v>119</v>
      </c>
      <c r="BR745" s="138"/>
    </row>
    <row r="746" spans="1:70" ht="12.75" customHeight="1" x14ac:dyDescent="0.2">
      <c r="A746" s="2">
        <v>2235</v>
      </c>
      <c r="B746" s="2" t="s">
        <v>54</v>
      </c>
      <c r="C746" s="2" t="s">
        <v>4</v>
      </c>
      <c r="D746" s="2" t="s">
        <v>2684</v>
      </c>
      <c r="E746" s="2" t="s">
        <v>71</v>
      </c>
      <c r="F746" s="132">
        <v>90000</v>
      </c>
      <c r="G746" s="132">
        <v>2</v>
      </c>
      <c r="H746" s="132">
        <f>40000+55000+8426.37</f>
        <v>103426.37</v>
      </c>
      <c r="I746" s="132">
        <f>40000+55000+8426.37</f>
        <v>103426.37</v>
      </c>
      <c r="J746" s="132">
        <f>8389.83+AY746+14528.06</f>
        <v>103426.37</v>
      </c>
      <c r="K746" s="132">
        <f t="shared" si="75"/>
        <v>-13426.369999999995</v>
      </c>
      <c r="L746" s="132">
        <f t="shared" si="76"/>
        <v>0</v>
      </c>
      <c r="M746" s="135">
        <v>0</v>
      </c>
      <c r="N746" s="133">
        <f t="shared" ref="N746:N809" si="79">IF(OR(BK746="принят",BK746="Завершено",BK746="ПриПро"),H746-J746,F746-J746)</f>
        <v>0</v>
      </c>
      <c r="O746" s="134">
        <v>0</v>
      </c>
      <c r="P746" s="133"/>
      <c r="Q746" s="2" t="s">
        <v>2603</v>
      </c>
      <c r="R746" s="156">
        <f t="shared" si="77"/>
        <v>0</v>
      </c>
      <c r="S746" s="156">
        <f t="shared" si="78"/>
        <v>0</v>
      </c>
      <c r="T746" s="133"/>
      <c r="U746" s="133"/>
      <c r="V746" s="133"/>
      <c r="W746" s="133"/>
      <c r="X746" s="133"/>
      <c r="Y746" s="133"/>
      <c r="Z746" s="133"/>
      <c r="AA746" s="133"/>
      <c r="AB746" s="133"/>
      <c r="AC746" s="133"/>
      <c r="AD746" s="133"/>
      <c r="AE746" s="133"/>
      <c r="AF746" s="133"/>
      <c r="AG746" s="133"/>
      <c r="AH746" s="133"/>
      <c r="AI746" s="133"/>
      <c r="AJ746" s="133"/>
      <c r="AK746" s="133"/>
      <c r="AL746" s="133"/>
      <c r="AM746" s="133"/>
      <c r="AN746" s="133"/>
      <c r="AO746" s="133"/>
      <c r="AP746" s="133"/>
      <c r="AQ746" s="133"/>
      <c r="AR746" s="133"/>
      <c r="AS746" s="153">
        <v>0</v>
      </c>
      <c r="AT746" s="153">
        <v>0</v>
      </c>
      <c r="AU746" s="153">
        <v>0</v>
      </c>
      <c r="AV746" s="153">
        <v>0</v>
      </c>
      <c r="AW746" s="153">
        <v>0</v>
      </c>
      <c r="AX746" s="153">
        <v>0</v>
      </c>
      <c r="AY746" s="135">
        <f>33898.31+46610.17</f>
        <v>80508.479999999996</v>
      </c>
      <c r="AZ746" s="135">
        <f>3146.77+2081.18</f>
        <v>5227.95</v>
      </c>
      <c r="BA746" s="135">
        <v>0</v>
      </c>
      <c r="BB746" s="140">
        <f>(H746/1.18-AT746-AW746-AZ746)*0.1-AU746-AX746-BA746</f>
        <v>8242.1516101694924</v>
      </c>
      <c r="BC746" s="135"/>
      <c r="BD746" s="135"/>
      <c r="BE746" s="135">
        <f>(H746/1.18-AT746-AW746-AZ746-BD746)*0.1-AU746-AX746-BA746-BB746</f>
        <v>0</v>
      </c>
      <c r="BF746" s="135"/>
      <c r="BG746" s="135"/>
      <c r="BH746" s="135"/>
      <c r="BI746" s="2" t="s">
        <v>11</v>
      </c>
      <c r="BJ746" s="136">
        <v>45637</v>
      </c>
      <c r="BK746" s="2" t="s">
        <v>109</v>
      </c>
      <c r="BL746" s="136" t="s">
        <v>113</v>
      </c>
      <c r="BM746" s="136">
        <v>45303</v>
      </c>
      <c r="BN746" s="2" t="s">
        <v>2731</v>
      </c>
      <c r="BO746" s="2"/>
      <c r="BP746" s="205"/>
      <c r="BQ746" s="137" t="s">
        <v>119</v>
      </c>
      <c r="BR746" s="138"/>
    </row>
    <row r="747" spans="1:70" ht="12.75" customHeight="1" x14ac:dyDescent="0.2">
      <c r="A747" s="2">
        <v>2236</v>
      </c>
      <c r="B747" s="2" t="s">
        <v>31</v>
      </c>
      <c r="C747" s="2" t="s">
        <v>33</v>
      </c>
      <c r="D747" s="2" t="s">
        <v>2661</v>
      </c>
      <c r="E747" s="2" t="s">
        <v>71</v>
      </c>
      <c r="F747" s="132">
        <v>75000</v>
      </c>
      <c r="G747" s="132">
        <v>2</v>
      </c>
      <c r="H747" s="132"/>
      <c r="I747" s="132"/>
      <c r="J747" s="132"/>
      <c r="K747" s="132">
        <f t="shared" si="75"/>
        <v>75000</v>
      </c>
      <c r="L747" s="132">
        <f t="shared" si="76"/>
        <v>0</v>
      </c>
      <c r="M747" s="133"/>
      <c r="N747" s="133">
        <f t="shared" si="79"/>
        <v>75000</v>
      </c>
      <c r="O747" s="134">
        <v>1</v>
      </c>
      <c r="P747" s="133"/>
      <c r="Q747" s="2" t="s">
        <v>2604</v>
      </c>
      <c r="R747" s="156">
        <f t="shared" si="77"/>
        <v>0</v>
      </c>
      <c r="S747" s="156">
        <f t="shared" si="78"/>
        <v>0</v>
      </c>
      <c r="T747" s="133"/>
      <c r="U747" s="133"/>
      <c r="V747" s="133"/>
      <c r="W747" s="133"/>
      <c r="X747" s="133"/>
      <c r="Y747" s="133"/>
      <c r="Z747" s="133"/>
      <c r="AA747" s="133"/>
      <c r="AB747" s="133"/>
      <c r="AC747" s="133"/>
      <c r="AD747" s="133"/>
      <c r="AE747" s="133"/>
      <c r="AF747" s="133"/>
      <c r="AG747" s="133"/>
      <c r="AH747" s="133"/>
      <c r="AI747" s="133"/>
      <c r="AJ747" s="133"/>
      <c r="AK747" s="133"/>
      <c r="AL747" s="133"/>
      <c r="AM747" s="133"/>
      <c r="AN747" s="133"/>
      <c r="AO747" s="133"/>
      <c r="AP747" s="133"/>
      <c r="AQ747" s="133"/>
      <c r="AR747" s="133"/>
      <c r="AS747" s="153">
        <v>0</v>
      </c>
      <c r="AT747" s="153">
        <v>0</v>
      </c>
      <c r="AU747" s="153">
        <v>0</v>
      </c>
      <c r="AV747" s="153">
        <v>0</v>
      </c>
      <c r="AW747" s="153">
        <v>0</v>
      </c>
      <c r="AX747" s="153">
        <v>0</v>
      </c>
      <c r="AY747" s="135"/>
      <c r="AZ747" s="135"/>
      <c r="BA747" s="135"/>
      <c r="BB747" s="135"/>
      <c r="BC747" s="135"/>
      <c r="BD747" s="135"/>
      <c r="BE747" s="135"/>
      <c r="BF747" s="135"/>
      <c r="BG747" s="135"/>
      <c r="BH747" s="135"/>
      <c r="BI747" s="2" t="s">
        <v>11</v>
      </c>
      <c r="BJ747" s="136"/>
      <c r="BK747" s="2">
        <v>0</v>
      </c>
      <c r="BL747" s="136" t="s">
        <v>113</v>
      </c>
      <c r="BM747" s="136">
        <v>45303</v>
      </c>
      <c r="BN747" s="2" t="s">
        <v>2732</v>
      </c>
      <c r="BO747" s="2"/>
      <c r="BP747" s="205"/>
      <c r="BQ747" s="137" t="s">
        <v>119</v>
      </c>
      <c r="BR747" s="138"/>
    </row>
    <row r="748" spans="1:70" ht="12.75" customHeight="1" x14ac:dyDescent="0.2">
      <c r="A748" s="2">
        <v>2237</v>
      </c>
      <c r="B748" s="2" t="s">
        <v>31</v>
      </c>
      <c r="C748" s="2" t="s">
        <v>34</v>
      </c>
      <c r="D748" s="2" t="s">
        <v>2662</v>
      </c>
      <c r="E748" s="2" t="s">
        <v>71</v>
      </c>
      <c r="F748" s="132">
        <v>75000</v>
      </c>
      <c r="G748" s="132">
        <v>2</v>
      </c>
      <c r="H748" s="132"/>
      <c r="I748" s="132"/>
      <c r="J748" s="132"/>
      <c r="K748" s="132">
        <f t="shared" si="75"/>
        <v>75000</v>
      </c>
      <c r="L748" s="132">
        <f t="shared" si="76"/>
        <v>0</v>
      </c>
      <c r="M748" s="133"/>
      <c r="N748" s="133">
        <f t="shared" si="79"/>
        <v>75000</v>
      </c>
      <c r="O748" s="134">
        <v>1</v>
      </c>
      <c r="P748" s="133"/>
      <c r="Q748" s="2" t="s">
        <v>2605</v>
      </c>
      <c r="R748" s="156">
        <f t="shared" si="77"/>
        <v>0</v>
      </c>
      <c r="S748" s="156">
        <f t="shared" si="78"/>
        <v>0</v>
      </c>
      <c r="T748" s="133"/>
      <c r="U748" s="133"/>
      <c r="V748" s="133"/>
      <c r="W748" s="133"/>
      <c r="X748" s="133"/>
      <c r="Y748" s="133"/>
      <c r="Z748" s="133"/>
      <c r="AA748" s="133"/>
      <c r="AB748" s="133"/>
      <c r="AC748" s="133"/>
      <c r="AD748" s="133"/>
      <c r="AE748" s="133"/>
      <c r="AF748" s="133"/>
      <c r="AG748" s="133"/>
      <c r="AH748" s="133"/>
      <c r="AI748" s="133"/>
      <c r="AJ748" s="133"/>
      <c r="AK748" s="133"/>
      <c r="AL748" s="133"/>
      <c r="AM748" s="133"/>
      <c r="AN748" s="133"/>
      <c r="AO748" s="133"/>
      <c r="AP748" s="133"/>
      <c r="AQ748" s="133"/>
      <c r="AR748" s="133"/>
      <c r="AS748" s="153">
        <v>0</v>
      </c>
      <c r="AT748" s="153">
        <v>0</v>
      </c>
      <c r="AU748" s="153">
        <v>0</v>
      </c>
      <c r="AV748" s="153">
        <v>0</v>
      </c>
      <c r="AW748" s="153">
        <v>0</v>
      </c>
      <c r="AX748" s="153">
        <v>0</v>
      </c>
      <c r="AY748" s="135"/>
      <c r="AZ748" s="135"/>
      <c r="BA748" s="135"/>
      <c r="BB748" s="135"/>
      <c r="BC748" s="135"/>
      <c r="BD748" s="135"/>
      <c r="BE748" s="135"/>
      <c r="BF748" s="135"/>
      <c r="BG748" s="135"/>
      <c r="BH748" s="135"/>
      <c r="BI748" s="2" t="s">
        <v>11</v>
      </c>
      <c r="BJ748" s="136"/>
      <c r="BK748" s="2">
        <v>0</v>
      </c>
      <c r="BL748" s="136" t="s">
        <v>113</v>
      </c>
      <c r="BM748" s="136">
        <v>45303</v>
      </c>
      <c r="BN748" s="2" t="s">
        <v>2733</v>
      </c>
      <c r="BO748" s="2"/>
      <c r="BP748" s="205"/>
      <c r="BQ748" s="137" t="s">
        <v>119</v>
      </c>
      <c r="BR748" s="138"/>
    </row>
    <row r="749" spans="1:70" ht="12.75" customHeight="1" x14ac:dyDescent="0.2">
      <c r="A749" s="2">
        <v>2238</v>
      </c>
      <c r="B749" s="2" t="s">
        <v>31</v>
      </c>
      <c r="C749" s="2" t="s">
        <v>35</v>
      </c>
      <c r="D749" s="2" t="s">
        <v>2685</v>
      </c>
      <c r="E749" s="2" t="s">
        <v>71</v>
      </c>
      <c r="F749" s="132">
        <v>70000</v>
      </c>
      <c r="G749" s="132">
        <v>2</v>
      </c>
      <c r="H749" s="132"/>
      <c r="I749" s="132"/>
      <c r="J749" s="132"/>
      <c r="K749" s="132">
        <f t="shared" si="75"/>
        <v>70000</v>
      </c>
      <c r="L749" s="132">
        <f t="shared" si="76"/>
        <v>0</v>
      </c>
      <c r="M749" s="133"/>
      <c r="N749" s="133">
        <f t="shared" si="79"/>
        <v>70000</v>
      </c>
      <c r="O749" s="134">
        <v>1</v>
      </c>
      <c r="P749" s="133"/>
      <c r="Q749" s="2" t="s">
        <v>2606</v>
      </c>
      <c r="R749" s="156">
        <f t="shared" si="77"/>
        <v>0</v>
      </c>
      <c r="S749" s="156">
        <f t="shared" si="78"/>
        <v>0</v>
      </c>
      <c r="T749" s="133"/>
      <c r="U749" s="133"/>
      <c r="V749" s="133"/>
      <c r="W749" s="133"/>
      <c r="X749" s="133"/>
      <c r="Y749" s="133"/>
      <c r="Z749" s="133"/>
      <c r="AA749" s="133"/>
      <c r="AB749" s="133"/>
      <c r="AC749" s="133"/>
      <c r="AD749" s="133"/>
      <c r="AE749" s="133"/>
      <c r="AF749" s="133"/>
      <c r="AG749" s="133"/>
      <c r="AH749" s="133"/>
      <c r="AI749" s="133"/>
      <c r="AJ749" s="133"/>
      <c r="AK749" s="133"/>
      <c r="AL749" s="133"/>
      <c r="AM749" s="133"/>
      <c r="AN749" s="133"/>
      <c r="AO749" s="133"/>
      <c r="AP749" s="133"/>
      <c r="AQ749" s="133"/>
      <c r="AR749" s="133"/>
      <c r="AS749" s="153">
        <v>0</v>
      </c>
      <c r="AT749" s="153">
        <v>0</v>
      </c>
      <c r="AU749" s="153">
        <v>0</v>
      </c>
      <c r="AV749" s="153">
        <v>0</v>
      </c>
      <c r="AW749" s="153">
        <v>0</v>
      </c>
      <c r="AX749" s="153">
        <v>0</v>
      </c>
      <c r="AY749" s="135"/>
      <c r="AZ749" s="135"/>
      <c r="BA749" s="135"/>
      <c r="BB749" s="135"/>
      <c r="BC749" s="135"/>
      <c r="BD749" s="135"/>
      <c r="BE749" s="135"/>
      <c r="BF749" s="135"/>
      <c r="BG749" s="135"/>
      <c r="BH749" s="135"/>
      <c r="BI749" s="2" t="s">
        <v>11</v>
      </c>
      <c r="BJ749" s="136"/>
      <c r="BK749" s="2">
        <v>0</v>
      </c>
      <c r="BL749" s="136" t="s">
        <v>113</v>
      </c>
      <c r="BM749" s="136">
        <v>45303</v>
      </c>
      <c r="BN749" s="2" t="s">
        <v>2734</v>
      </c>
      <c r="BO749" s="2"/>
      <c r="BP749" s="205"/>
      <c r="BQ749" s="137" t="s">
        <v>119</v>
      </c>
      <c r="BR749" s="138"/>
    </row>
    <row r="750" spans="1:70" ht="12.75" customHeight="1" x14ac:dyDescent="0.2">
      <c r="A750" s="2">
        <v>2239</v>
      </c>
      <c r="B750" s="2" t="s">
        <v>31</v>
      </c>
      <c r="C750" s="2" t="s">
        <v>32</v>
      </c>
      <c r="D750" s="2" t="s">
        <v>2663</v>
      </c>
      <c r="E750" s="2" t="s">
        <v>71</v>
      </c>
      <c r="F750" s="132">
        <v>70000</v>
      </c>
      <c r="G750" s="132">
        <v>2</v>
      </c>
      <c r="H750" s="132"/>
      <c r="I750" s="132"/>
      <c r="J750" s="132"/>
      <c r="K750" s="132">
        <f t="shared" si="75"/>
        <v>70000</v>
      </c>
      <c r="L750" s="132">
        <f t="shared" si="76"/>
        <v>0</v>
      </c>
      <c r="M750" s="133"/>
      <c r="N750" s="133">
        <f t="shared" si="79"/>
        <v>70000</v>
      </c>
      <c r="O750" s="134">
        <v>1</v>
      </c>
      <c r="P750" s="133"/>
      <c r="Q750" s="2" t="s">
        <v>2607</v>
      </c>
      <c r="R750" s="156">
        <f t="shared" si="77"/>
        <v>0</v>
      </c>
      <c r="S750" s="156">
        <f t="shared" si="78"/>
        <v>0</v>
      </c>
      <c r="T750" s="133"/>
      <c r="U750" s="133"/>
      <c r="V750" s="133"/>
      <c r="W750" s="133"/>
      <c r="X750" s="133"/>
      <c r="Y750" s="133"/>
      <c r="Z750" s="133"/>
      <c r="AA750" s="133"/>
      <c r="AB750" s="133"/>
      <c r="AC750" s="133"/>
      <c r="AD750" s="133"/>
      <c r="AE750" s="133"/>
      <c r="AF750" s="133"/>
      <c r="AG750" s="133"/>
      <c r="AH750" s="133"/>
      <c r="AI750" s="133"/>
      <c r="AJ750" s="133"/>
      <c r="AK750" s="133"/>
      <c r="AL750" s="133"/>
      <c r="AM750" s="133"/>
      <c r="AN750" s="133"/>
      <c r="AO750" s="133"/>
      <c r="AP750" s="133"/>
      <c r="AQ750" s="133"/>
      <c r="AR750" s="133"/>
      <c r="AS750" s="153">
        <v>0</v>
      </c>
      <c r="AT750" s="153">
        <v>0</v>
      </c>
      <c r="AU750" s="153">
        <v>0</v>
      </c>
      <c r="AV750" s="153">
        <v>0</v>
      </c>
      <c r="AW750" s="153">
        <v>0</v>
      </c>
      <c r="AX750" s="153">
        <v>0</v>
      </c>
      <c r="AY750" s="135"/>
      <c r="AZ750" s="135"/>
      <c r="BA750" s="135"/>
      <c r="BB750" s="135"/>
      <c r="BC750" s="135"/>
      <c r="BD750" s="135"/>
      <c r="BE750" s="135"/>
      <c r="BF750" s="135"/>
      <c r="BG750" s="135"/>
      <c r="BH750" s="135"/>
      <c r="BI750" s="2" t="s">
        <v>11</v>
      </c>
      <c r="BJ750" s="136"/>
      <c r="BK750" s="2">
        <v>0</v>
      </c>
      <c r="BL750" s="136" t="s">
        <v>113</v>
      </c>
      <c r="BM750" s="136">
        <v>45303</v>
      </c>
      <c r="BN750" s="2" t="s">
        <v>2735</v>
      </c>
      <c r="BO750" s="2"/>
      <c r="BP750" s="205"/>
      <c r="BQ750" s="137" t="s">
        <v>119</v>
      </c>
      <c r="BR750" s="138"/>
    </row>
    <row r="751" spans="1:70" ht="12.75" customHeight="1" x14ac:dyDescent="0.2">
      <c r="A751" s="2">
        <v>2240</v>
      </c>
      <c r="B751" s="2" t="s">
        <v>31</v>
      </c>
      <c r="C751" s="2" t="s">
        <v>35</v>
      </c>
      <c r="D751" s="2" t="s">
        <v>2664</v>
      </c>
      <c r="E751" s="2" t="s">
        <v>71</v>
      </c>
      <c r="F751" s="132">
        <v>65000</v>
      </c>
      <c r="G751" s="132">
        <v>2</v>
      </c>
      <c r="H751" s="132"/>
      <c r="I751" s="132"/>
      <c r="J751" s="132"/>
      <c r="K751" s="132">
        <f t="shared" si="75"/>
        <v>65000</v>
      </c>
      <c r="L751" s="132">
        <f t="shared" si="76"/>
        <v>0</v>
      </c>
      <c r="M751" s="133"/>
      <c r="N751" s="133">
        <f t="shared" si="79"/>
        <v>65000</v>
      </c>
      <c r="O751" s="134">
        <v>1</v>
      </c>
      <c r="P751" s="133"/>
      <c r="Q751" s="2" t="s">
        <v>2608</v>
      </c>
      <c r="R751" s="156">
        <f t="shared" si="77"/>
        <v>0</v>
      </c>
      <c r="S751" s="156">
        <f t="shared" si="78"/>
        <v>0</v>
      </c>
      <c r="T751" s="133"/>
      <c r="U751" s="133"/>
      <c r="V751" s="133"/>
      <c r="W751" s="133"/>
      <c r="X751" s="133"/>
      <c r="Y751" s="133"/>
      <c r="Z751" s="133"/>
      <c r="AA751" s="133"/>
      <c r="AB751" s="133"/>
      <c r="AC751" s="133"/>
      <c r="AD751" s="133"/>
      <c r="AE751" s="133"/>
      <c r="AF751" s="133"/>
      <c r="AG751" s="133"/>
      <c r="AH751" s="133"/>
      <c r="AI751" s="133"/>
      <c r="AJ751" s="133"/>
      <c r="AK751" s="133"/>
      <c r="AL751" s="133"/>
      <c r="AM751" s="133"/>
      <c r="AN751" s="133"/>
      <c r="AO751" s="133"/>
      <c r="AP751" s="133"/>
      <c r="AQ751" s="133"/>
      <c r="AR751" s="133"/>
      <c r="AS751" s="153">
        <v>0</v>
      </c>
      <c r="AT751" s="153">
        <v>0</v>
      </c>
      <c r="AU751" s="153">
        <v>0</v>
      </c>
      <c r="AV751" s="153">
        <v>0</v>
      </c>
      <c r="AW751" s="153">
        <v>0</v>
      </c>
      <c r="AX751" s="153">
        <v>0</v>
      </c>
      <c r="AY751" s="135"/>
      <c r="AZ751" s="135"/>
      <c r="BA751" s="135"/>
      <c r="BB751" s="135"/>
      <c r="BC751" s="135"/>
      <c r="BD751" s="135"/>
      <c r="BE751" s="135"/>
      <c r="BF751" s="135"/>
      <c r="BG751" s="135"/>
      <c r="BH751" s="135"/>
      <c r="BI751" s="2" t="s">
        <v>11</v>
      </c>
      <c r="BJ751" s="136"/>
      <c r="BK751" s="2">
        <v>0</v>
      </c>
      <c r="BL751" s="136" t="s">
        <v>113</v>
      </c>
      <c r="BM751" s="136">
        <v>45303</v>
      </c>
      <c r="BN751" s="2" t="s">
        <v>2736</v>
      </c>
      <c r="BO751" s="2"/>
      <c r="BP751" s="205"/>
      <c r="BQ751" s="137" t="s">
        <v>119</v>
      </c>
      <c r="BR751" s="138"/>
    </row>
    <row r="752" spans="1:70" ht="12.75" customHeight="1" x14ac:dyDescent="0.2">
      <c r="A752" s="2">
        <v>2241</v>
      </c>
      <c r="B752" s="2" t="s">
        <v>31</v>
      </c>
      <c r="C752" s="2" t="s">
        <v>32</v>
      </c>
      <c r="D752" s="2" t="s">
        <v>2665</v>
      </c>
      <c r="E752" s="2" t="s">
        <v>71</v>
      </c>
      <c r="F752" s="132">
        <v>65000</v>
      </c>
      <c r="G752" s="132">
        <v>2</v>
      </c>
      <c r="H752" s="132"/>
      <c r="I752" s="132"/>
      <c r="J752" s="132"/>
      <c r="K752" s="132">
        <f t="shared" si="75"/>
        <v>65000</v>
      </c>
      <c r="L752" s="132">
        <f t="shared" si="76"/>
        <v>0</v>
      </c>
      <c r="M752" s="133"/>
      <c r="N752" s="133">
        <f t="shared" si="79"/>
        <v>65000</v>
      </c>
      <c r="O752" s="134">
        <v>1</v>
      </c>
      <c r="P752" s="133"/>
      <c r="Q752" s="2" t="s">
        <v>2609</v>
      </c>
      <c r="R752" s="156">
        <f t="shared" si="77"/>
        <v>0</v>
      </c>
      <c r="S752" s="156">
        <f t="shared" si="78"/>
        <v>0</v>
      </c>
      <c r="T752" s="133"/>
      <c r="U752" s="133"/>
      <c r="V752" s="133"/>
      <c r="W752" s="133"/>
      <c r="X752" s="133"/>
      <c r="Y752" s="133"/>
      <c r="Z752" s="133"/>
      <c r="AA752" s="133"/>
      <c r="AB752" s="133"/>
      <c r="AC752" s="133"/>
      <c r="AD752" s="133"/>
      <c r="AE752" s="133"/>
      <c r="AF752" s="133"/>
      <c r="AG752" s="133"/>
      <c r="AH752" s="133"/>
      <c r="AI752" s="133"/>
      <c r="AJ752" s="133"/>
      <c r="AK752" s="133"/>
      <c r="AL752" s="133"/>
      <c r="AM752" s="133"/>
      <c r="AN752" s="133"/>
      <c r="AO752" s="133"/>
      <c r="AP752" s="133"/>
      <c r="AQ752" s="133"/>
      <c r="AR752" s="133"/>
      <c r="AS752" s="153">
        <v>0</v>
      </c>
      <c r="AT752" s="153">
        <v>0</v>
      </c>
      <c r="AU752" s="153">
        <v>0</v>
      </c>
      <c r="AV752" s="153">
        <v>0</v>
      </c>
      <c r="AW752" s="153">
        <v>0</v>
      </c>
      <c r="AX752" s="153">
        <v>0</v>
      </c>
      <c r="AY752" s="135"/>
      <c r="AZ752" s="135"/>
      <c r="BA752" s="135"/>
      <c r="BB752" s="135"/>
      <c r="BC752" s="135"/>
      <c r="BD752" s="135"/>
      <c r="BE752" s="135"/>
      <c r="BF752" s="135"/>
      <c r="BG752" s="135"/>
      <c r="BH752" s="135"/>
      <c r="BI752" s="2" t="s">
        <v>11</v>
      </c>
      <c r="BJ752" s="136"/>
      <c r="BK752" s="2">
        <v>0</v>
      </c>
      <c r="BL752" s="136" t="s">
        <v>113</v>
      </c>
      <c r="BM752" s="136">
        <v>45303</v>
      </c>
      <c r="BN752" s="2" t="s">
        <v>2737</v>
      </c>
      <c r="BO752" s="2"/>
      <c r="BP752" s="205"/>
      <c r="BQ752" s="137" t="s">
        <v>119</v>
      </c>
      <c r="BR752" s="138"/>
    </row>
    <row r="753" spans="1:70" ht="12.75" customHeight="1" x14ac:dyDescent="0.2">
      <c r="A753" s="2">
        <v>2242</v>
      </c>
      <c r="B753" s="2" t="s">
        <v>31</v>
      </c>
      <c r="C753" s="2" t="s">
        <v>38</v>
      </c>
      <c r="D753" s="2" t="s">
        <v>2666</v>
      </c>
      <c r="E753" s="2" t="s">
        <v>71</v>
      </c>
      <c r="F753" s="132">
        <v>60000</v>
      </c>
      <c r="G753" s="132">
        <v>2</v>
      </c>
      <c r="H753" s="132">
        <f>30000+25798.55</f>
        <v>55798.55</v>
      </c>
      <c r="I753" s="132">
        <f>30000+25798.55</f>
        <v>55798.55</v>
      </c>
      <c r="J753" s="132">
        <f>AY753+25798.55+3935.37+640.9</f>
        <v>55798.55</v>
      </c>
      <c r="K753" s="132">
        <f t="shared" si="75"/>
        <v>4201.4499999999971</v>
      </c>
      <c r="L753" s="132">
        <f t="shared" si="76"/>
        <v>0</v>
      </c>
      <c r="M753" s="133">
        <v>822</v>
      </c>
      <c r="N753" s="133">
        <f t="shared" si="79"/>
        <v>0</v>
      </c>
      <c r="O753" s="134">
        <v>0</v>
      </c>
      <c r="P753" s="133"/>
      <c r="Q753" s="2" t="s">
        <v>2610</v>
      </c>
      <c r="R753" s="156">
        <f t="shared" si="77"/>
        <v>0</v>
      </c>
      <c r="S753" s="156">
        <f t="shared" si="78"/>
        <v>0</v>
      </c>
      <c r="T753" s="133"/>
      <c r="U753" s="133"/>
      <c r="V753" s="133"/>
      <c r="W753" s="133"/>
      <c r="X753" s="133"/>
      <c r="Y753" s="133"/>
      <c r="Z753" s="133"/>
      <c r="AA753" s="133"/>
      <c r="AB753" s="133"/>
      <c r="AC753" s="133"/>
      <c r="AD753" s="133"/>
      <c r="AE753" s="133"/>
      <c r="AF753" s="133"/>
      <c r="AG753" s="133"/>
      <c r="AH753" s="133"/>
      <c r="AI753" s="133"/>
      <c r="AJ753" s="133"/>
      <c r="AK753" s="133"/>
      <c r="AL753" s="133"/>
      <c r="AM753" s="133"/>
      <c r="AN753" s="133"/>
      <c r="AO753" s="133"/>
      <c r="AP753" s="133"/>
      <c r="AQ753" s="133"/>
      <c r="AR753" s="133"/>
      <c r="AS753" s="153">
        <v>0</v>
      </c>
      <c r="AT753" s="153">
        <v>0</v>
      </c>
      <c r="AU753" s="153">
        <v>0</v>
      </c>
      <c r="AV753" s="153">
        <v>0</v>
      </c>
      <c r="AW753" s="153">
        <v>0</v>
      </c>
      <c r="AX753" s="153">
        <v>0</v>
      </c>
      <c r="AY753" s="135">
        <v>25423.73</v>
      </c>
      <c r="AZ753" s="135">
        <v>2360.08</v>
      </c>
      <c r="BA753" s="135">
        <v>0</v>
      </c>
      <c r="BB753" s="140">
        <f>(H753/1.18-AT753-AW753-AZ753)*0.1-AU753-AX753-BA753</f>
        <v>4492.6826779661023</v>
      </c>
      <c r="BC753" s="135"/>
      <c r="BD753" s="135"/>
      <c r="BE753" s="135">
        <f>(H753/1.18-AT753-AW753-AZ753-BD753)*0.1-AU753-AX753-BA753-BB753</f>
        <v>0</v>
      </c>
      <c r="BF753" s="135"/>
      <c r="BG753" s="135"/>
      <c r="BH753" s="135"/>
      <c r="BI753" s="2" t="s">
        <v>11</v>
      </c>
      <c r="BJ753" s="136">
        <v>45565</v>
      </c>
      <c r="BK753" s="2" t="s">
        <v>8</v>
      </c>
      <c r="BL753" s="136" t="s">
        <v>113</v>
      </c>
      <c r="BM753" s="136">
        <v>45303</v>
      </c>
      <c r="BN753" s="2" t="s">
        <v>2738</v>
      </c>
      <c r="BO753" s="2"/>
      <c r="BP753" s="205"/>
      <c r="BQ753" s="137" t="s">
        <v>119</v>
      </c>
      <c r="BR753" s="138"/>
    </row>
    <row r="754" spans="1:70" ht="12.75" customHeight="1" x14ac:dyDescent="0.2">
      <c r="A754" s="2">
        <v>2243</v>
      </c>
      <c r="B754" s="2" t="s">
        <v>31</v>
      </c>
      <c r="C754" s="2" t="s">
        <v>33</v>
      </c>
      <c r="D754" s="2" t="s">
        <v>2667</v>
      </c>
      <c r="E754" s="2" t="s">
        <v>71</v>
      </c>
      <c r="F754" s="132">
        <v>60000</v>
      </c>
      <c r="G754" s="132">
        <v>2</v>
      </c>
      <c r="H754" s="323">
        <f>80000+R754</f>
        <v>94092.85</v>
      </c>
      <c r="I754" s="132"/>
      <c r="J754" s="132">
        <f>12203.389+S754+AY754+BC754</f>
        <v>94092.85</v>
      </c>
      <c r="K754" s="132">
        <f t="shared" si="75"/>
        <v>-34092.850000000006</v>
      </c>
      <c r="L754" s="132">
        <f t="shared" si="76"/>
        <v>0</v>
      </c>
      <c r="M754" s="133">
        <v>1532.5</v>
      </c>
      <c r="N754" s="133">
        <f t="shared" si="79"/>
        <v>0</v>
      </c>
      <c r="O754" s="134">
        <v>1</v>
      </c>
      <c r="P754" s="133"/>
      <c r="Q754" s="2" t="s">
        <v>2611</v>
      </c>
      <c r="R754" s="156">
        <f t="shared" si="77"/>
        <v>14092.85</v>
      </c>
      <c r="S754" s="156">
        <f t="shared" si="78"/>
        <v>14092.851000000001</v>
      </c>
      <c r="T754" s="133"/>
      <c r="U754" s="133"/>
      <c r="V754" s="133"/>
      <c r="W754" s="133"/>
      <c r="X754" s="133"/>
      <c r="Y754" s="133"/>
      <c r="Z754" s="133">
        <v>14092.85</v>
      </c>
      <c r="AA754" s="133"/>
      <c r="AB754" s="133"/>
      <c r="AC754" s="133">
        <v>2149.7600000000002</v>
      </c>
      <c r="AD754" s="133"/>
      <c r="AE754" s="133">
        <v>11943.091</v>
      </c>
      <c r="AF754" s="133"/>
      <c r="AG754" s="133"/>
      <c r="AH754" s="133"/>
      <c r="AI754" s="133"/>
      <c r="AJ754" s="133"/>
      <c r="AK754" s="133"/>
      <c r="AL754" s="133"/>
      <c r="AM754" s="133"/>
      <c r="AN754" s="133"/>
      <c r="AO754" s="133"/>
      <c r="AP754" s="133"/>
      <c r="AQ754" s="133"/>
      <c r="AR754" s="133"/>
      <c r="AS754" s="153">
        <v>0</v>
      </c>
      <c r="AT754" s="153">
        <v>0</v>
      </c>
      <c r="AU754" s="153">
        <v>0</v>
      </c>
      <c r="AV754" s="153">
        <v>0</v>
      </c>
      <c r="AW754" s="153">
        <v>0</v>
      </c>
      <c r="AX754" s="153">
        <v>0</v>
      </c>
      <c r="AY754" s="135">
        <v>67796.61</v>
      </c>
      <c r="AZ754" s="135">
        <v>4479.22</v>
      </c>
      <c r="BA754" s="135"/>
      <c r="BB754" s="135"/>
      <c r="BC754" s="135"/>
      <c r="BD754" s="135"/>
      <c r="BE754" s="135">
        <f>(H754/1.18-AT754-AW754-AZ754-BD754)*0.1-AU754-AX754-BA754-BB754</f>
        <v>7526.0483389830524</v>
      </c>
      <c r="BF754" s="135"/>
      <c r="BG754" s="135"/>
      <c r="BH754" s="135"/>
      <c r="BI754" s="2" t="s">
        <v>11</v>
      </c>
      <c r="BJ754" s="136">
        <v>45776</v>
      </c>
      <c r="BK754" s="2" t="s">
        <v>109</v>
      </c>
      <c r="BL754" s="136" t="s">
        <v>113</v>
      </c>
      <c r="BM754" s="136">
        <v>45303</v>
      </c>
      <c r="BN754" s="2" t="s">
        <v>2739</v>
      </c>
      <c r="BO754" s="2"/>
      <c r="BP754" s="205"/>
      <c r="BQ754" s="137" t="s">
        <v>119</v>
      </c>
      <c r="BR754" s="138"/>
    </row>
    <row r="755" spans="1:70" ht="12.75" customHeight="1" x14ac:dyDescent="0.2">
      <c r="A755" s="2">
        <v>2244</v>
      </c>
      <c r="B755" s="2" t="s">
        <v>54</v>
      </c>
      <c r="C755" s="2" t="s">
        <v>17</v>
      </c>
      <c r="D755" s="2" t="s">
        <v>2668</v>
      </c>
      <c r="E755" s="2" t="s">
        <v>71</v>
      </c>
      <c r="F755" s="132">
        <v>60000</v>
      </c>
      <c r="G755" s="132">
        <v>2</v>
      </c>
      <c r="H755" s="132"/>
      <c r="I755" s="132"/>
      <c r="J755" s="132"/>
      <c r="K755" s="132">
        <f t="shared" si="75"/>
        <v>60000</v>
      </c>
      <c r="L755" s="132">
        <f t="shared" si="76"/>
        <v>0</v>
      </c>
      <c r="M755" s="133"/>
      <c r="N755" s="133">
        <f t="shared" si="79"/>
        <v>60000</v>
      </c>
      <c r="O755" s="134">
        <v>1</v>
      </c>
      <c r="P755" s="133"/>
      <c r="Q755" s="2" t="s">
        <v>2612</v>
      </c>
      <c r="R755" s="156">
        <f t="shared" si="77"/>
        <v>0</v>
      </c>
      <c r="S755" s="156">
        <f t="shared" si="78"/>
        <v>0</v>
      </c>
      <c r="T755" s="133"/>
      <c r="U755" s="133"/>
      <c r="V755" s="133"/>
      <c r="W755" s="133"/>
      <c r="X755" s="133"/>
      <c r="Y755" s="133"/>
      <c r="Z755" s="133"/>
      <c r="AA755" s="133"/>
      <c r="AB755" s="133"/>
      <c r="AC755" s="133"/>
      <c r="AD755" s="133"/>
      <c r="AE755" s="133"/>
      <c r="AF755" s="133"/>
      <c r="AG755" s="133"/>
      <c r="AH755" s="133"/>
      <c r="AI755" s="133"/>
      <c r="AJ755" s="133"/>
      <c r="AK755" s="133"/>
      <c r="AL755" s="133"/>
      <c r="AM755" s="133"/>
      <c r="AN755" s="133"/>
      <c r="AO755" s="133"/>
      <c r="AP755" s="133"/>
      <c r="AQ755" s="133"/>
      <c r="AR755" s="133"/>
      <c r="AS755" s="153">
        <v>0</v>
      </c>
      <c r="AT755" s="153">
        <v>0</v>
      </c>
      <c r="AU755" s="153">
        <v>0</v>
      </c>
      <c r="AV755" s="153">
        <v>0</v>
      </c>
      <c r="AW755" s="153">
        <v>0</v>
      </c>
      <c r="AX755" s="153">
        <v>0</v>
      </c>
      <c r="AY755" s="135"/>
      <c r="AZ755" s="135"/>
      <c r="BA755" s="135"/>
      <c r="BB755" s="135"/>
      <c r="BC755" s="135"/>
      <c r="BD755" s="135"/>
      <c r="BE755" s="135"/>
      <c r="BF755" s="135"/>
      <c r="BG755" s="135"/>
      <c r="BH755" s="135"/>
      <c r="BI755" s="2" t="s">
        <v>11</v>
      </c>
      <c r="BJ755" s="136"/>
      <c r="BK755" s="2">
        <v>0</v>
      </c>
      <c r="BL755" s="136" t="s">
        <v>113</v>
      </c>
      <c r="BM755" s="136">
        <v>45303</v>
      </c>
      <c r="BN755" s="2" t="s">
        <v>2740</v>
      </c>
      <c r="BO755" s="2"/>
      <c r="BP755" s="205"/>
      <c r="BQ755" s="137" t="s">
        <v>119</v>
      </c>
      <c r="BR755" s="138"/>
    </row>
    <row r="756" spans="1:70" ht="12.75" customHeight="1" x14ac:dyDescent="0.2">
      <c r="A756" s="2">
        <v>2245</v>
      </c>
      <c r="B756" s="2" t="s">
        <v>31</v>
      </c>
      <c r="C756" s="2" t="s">
        <v>34</v>
      </c>
      <c r="D756" s="2" t="s">
        <v>2669</v>
      </c>
      <c r="E756" s="2" t="s">
        <v>71</v>
      </c>
      <c r="F756" s="132">
        <v>55000</v>
      </c>
      <c r="G756" s="132">
        <v>2</v>
      </c>
      <c r="H756" s="323">
        <f>R756</f>
        <v>58693.75</v>
      </c>
      <c r="I756" s="132"/>
      <c r="J756" s="132">
        <f>S756+BC756</f>
        <v>58693.75</v>
      </c>
      <c r="K756" s="132">
        <f t="shared" si="75"/>
        <v>-3693.75</v>
      </c>
      <c r="L756" s="132">
        <f t="shared" si="76"/>
        <v>0</v>
      </c>
      <c r="M756" s="133">
        <v>548.5</v>
      </c>
      <c r="N756" s="133">
        <f t="shared" si="79"/>
        <v>0</v>
      </c>
      <c r="O756" s="134">
        <v>1</v>
      </c>
      <c r="P756" s="133"/>
      <c r="Q756" s="2" t="s">
        <v>2613</v>
      </c>
      <c r="R756" s="156">
        <f t="shared" si="77"/>
        <v>58693.75</v>
      </c>
      <c r="S756" s="156">
        <f t="shared" si="78"/>
        <v>24795.439999999999</v>
      </c>
      <c r="T756" s="133"/>
      <c r="U756" s="133"/>
      <c r="V756" s="133">
        <v>40000</v>
      </c>
      <c r="W756" s="133"/>
      <c r="X756" s="133"/>
      <c r="Y756" s="133">
        <v>6101.69</v>
      </c>
      <c r="Z756" s="133">
        <v>18693.75</v>
      </c>
      <c r="AA756" s="133"/>
      <c r="AB756" s="133"/>
      <c r="AC756" s="133">
        <v>2851.59</v>
      </c>
      <c r="AD756" s="133"/>
      <c r="AE756" s="133">
        <v>15842.16</v>
      </c>
      <c r="AF756" s="133"/>
      <c r="AG756" s="133"/>
      <c r="AH756" s="133"/>
      <c r="AI756" s="133"/>
      <c r="AJ756" s="133"/>
      <c r="AK756" s="133"/>
      <c r="AL756" s="133"/>
      <c r="AM756" s="133"/>
      <c r="AN756" s="133"/>
      <c r="AO756" s="133"/>
      <c r="AP756" s="133"/>
      <c r="AQ756" s="133"/>
      <c r="AR756" s="133"/>
      <c r="AS756" s="153">
        <v>0</v>
      </c>
      <c r="AT756" s="153">
        <v>0</v>
      </c>
      <c r="AU756" s="153">
        <v>0</v>
      </c>
      <c r="AV756" s="153">
        <v>0</v>
      </c>
      <c r="AW756" s="153">
        <v>0</v>
      </c>
      <c r="AX756" s="153">
        <v>0</v>
      </c>
      <c r="AY756" s="135"/>
      <c r="AZ756" s="135"/>
      <c r="BA756" s="135"/>
      <c r="BB756" s="135"/>
      <c r="BC756" s="135">
        <f>33898.31</f>
        <v>33898.31</v>
      </c>
      <c r="BD756" s="135">
        <v>652.19000000000005</v>
      </c>
      <c r="BE756" s="135">
        <f>(H756/1.18-AT756-AW756-AZ756-BD756)*0.1-AU756-AX756-BA756-BB756</f>
        <v>4908.8276101694919</v>
      </c>
      <c r="BF756" s="135"/>
      <c r="BG756" s="135"/>
      <c r="BH756" s="135"/>
      <c r="BI756" s="2" t="s">
        <v>11</v>
      </c>
      <c r="BJ756" s="136">
        <v>45762</v>
      </c>
      <c r="BK756" s="2" t="s">
        <v>109</v>
      </c>
      <c r="BL756" s="136" t="s">
        <v>113</v>
      </c>
      <c r="BM756" s="136">
        <v>45303</v>
      </c>
      <c r="BN756" s="2" t="s">
        <v>2741</v>
      </c>
      <c r="BO756" s="2"/>
      <c r="BP756" s="205"/>
      <c r="BQ756" s="137" t="s">
        <v>119</v>
      </c>
      <c r="BR756" s="138"/>
    </row>
    <row r="757" spans="1:70" ht="12.75" customHeight="1" x14ac:dyDescent="0.2">
      <c r="A757" s="2">
        <v>2246</v>
      </c>
      <c r="B757" s="2" t="s">
        <v>31</v>
      </c>
      <c r="C757" s="2" t="s">
        <v>33</v>
      </c>
      <c r="D757" s="2" t="s">
        <v>2670</v>
      </c>
      <c r="E757" s="2" t="s">
        <v>71</v>
      </c>
      <c r="F757" s="132">
        <v>50000</v>
      </c>
      <c r="G757" s="132">
        <v>2</v>
      </c>
      <c r="H757" s="132"/>
      <c r="I757" s="132"/>
      <c r="J757" s="132"/>
      <c r="K757" s="132">
        <f t="shared" si="75"/>
        <v>50000</v>
      </c>
      <c r="L757" s="132">
        <f t="shared" si="76"/>
        <v>0</v>
      </c>
      <c r="M757" s="133"/>
      <c r="N757" s="133">
        <f t="shared" si="79"/>
        <v>50000</v>
      </c>
      <c r="O757" s="134">
        <v>1</v>
      </c>
      <c r="P757" s="133"/>
      <c r="Q757" s="2" t="s">
        <v>2614</v>
      </c>
      <c r="R757" s="156">
        <f t="shared" si="77"/>
        <v>0</v>
      </c>
      <c r="S757" s="156">
        <f t="shared" si="78"/>
        <v>0</v>
      </c>
      <c r="T757" s="133"/>
      <c r="U757" s="133"/>
      <c r="V757" s="133"/>
      <c r="W757" s="133"/>
      <c r="X757" s="133"/>
      <c r="Y757" s="133"/>
      <c r="Z757" s="133"/>
      <c r="AA757" s="133"/>
      <c r="AB757" s="133"/>
      <c r="AC757" s="133"/>
      <c r="AD757" s="133"/>
      <c r="AE757" s="133"/>
      <c r="AF757" s="133"/>
      <c r="AG757" s="133"/>
      <c r="AH757" s="133"/>
      <c r="AI757" s="133"/>
      <c r="AJ757" s="133"/>
      <c r="AK757" s="133"/>
      <c r="AL757" s="133"/>
      <c r="AM757" s="133"/>
      <c r="AN757" s="133"/>
      <c r="AO757" s="133"/>
      <c r="AP757" s="133"/>
      <c r="AQ757" s="133"/>
      <c r="AR757" s="133"/>
      <c r="AS757" s="153">
        <v>0</v>
      </c>
      <c r="AT757" s="153">
        <v>0</v>
      </c>
      <c r="AU757" s="153">
        <v>0</v>
      </c>
      <c r="AV757" s="153">
        <v>0</v>
      </c>
      <c r="AW757" s="153">
        <v>0</v>
      </c>
      <c r="AX757" s="153">
        <v>0</v>
      </c>
      <c r="AY757" s="135"/>
      <c r="AZ757" s="135"/>
      <c r="BA757" s="135"/>
      <c r="BB757" s="135"/>
      <c r="BC757" s="135"/>
      <c r="BD757" s="135"/>
      <c r="BE757" s="135"/>
      <c r="BF757" s="135"/>
      <c r="BG757" s="135"/>
      <c r="BH757" s="135"/>
      <c r="BI757" s="2" t="s">
        <v>11</v>
      </c>
      <c r="BJ757" s="136"/>
      <c r="BK757" s="2">
        <v>0</v>
      </c>
      <c r="BL757" s="136" t="s">
        <v>113</v>
      </c>
      <c r="BM757" s="136">
        <v>45303</v>
      </c>
      <c r="BN757" s="2" t="s">
        <v>2742</v>
      </c>
      <c r="BO757" s="2"/>
      <c r="BP757" s="205"/>
      <c r="BQ757" s="137" t="s">
        <v>119</v>
      </c>
      <c r="BR757" s="138"/>
    </row>
    <row r="758" spans="1:70" ht="12.75" customHeight="1" x14ac:dyDescent="0.2">
      <c r="A758" s="2">
        <v>2247</v>
      </c>
      <c r="B758" s="2" t="s">
        <v>31</v>
      </c>
      <c r="C758" s="2" t="s">
        <v>35</v>
      </c>
      <c r="D758" s="2" t="s">
        <v>2671</v>
      </c>
      <c r="E758" s="2" t="s">
        <v>71</v>
      </c>
      <c r="F758" s="132">
        <v>40000</v>
      </c>
      <c r="G758" s="132">
        <v>2</v>
      </c>
      <c r="H758" s="132"/>
      <c r="I758" s="132"/>
      <c r="J758" s="132"/>
      <c r="K758" s="132">
        <f t="shared" ref="K758:K821" si="80">F758-J758</f>
        <v>40000</v>
      </c>
      <c r="L758" s="132">
        <f t="shared" si="76"/>
        <v>0</v>
      </c>
      <c r="M758" s="133"/>
      <c r="N758" s="133">
        <f t="shared" si="79"/>
        <v>40000</v>
      </c>
      <c r="O758" s="134">
        <v>1</v>
      </c>
      <c r="P758" s="133"/>
      <c r="Q758" s="2" t="s">
        <v>2615</v>
      </c>
      <c r="R758" s="156">
        <f t="shared" si="77"/>
        <v>0</v>
      </c>
      <c r="S758" s="156">
        <f t="shared" si="78"/>
        <v>0</v>
      </c>
      <c r="T758" s="133"/>
      <c r="U758" s="133"/>
      <c r="V758" s="133"/>
      <c r="W758" s="133"/>
      <c r="X758" s="133"/>
      <c r="Y758" s="133"/>
      <c r="Z758" s="133"/>
      <c r="AA758" s="133"/>
      <c r="AB758" s="133"/>
      <c r="AC758" s="133"/>
      <c r="AD758" s="133"/>
      <c r="AE758" s="133"/>
      <c r="AF758" s="133"/>
      <c r="AG758" s="133"/>
      <c r="AH758" s="133"/>
      <c r="AI758" s="133"/>
      <c r="AJ758" s="133"/>
      <c r="AK758" s="133"/>
      <c r="AL758" s="133"/>
      <c r="AM758" s="133"/>
      <c r="AN758" s="133"/>
      <c r="AO758" s="133"/>
      <c r="AP758" s="133"/>
      <c r="AQ758" s="133"/>
      <c r="AR758" s="133"/>
      <c r="AS758" s="153">
        <v>0</v>
      </c>
      <c r="AT758" s="153">
        <v>0</v>
      </c>
      <c r="AU758" s="153">
        <v>0</v>
      </c>
      <c r="AV758" s="153">
        <v>0</v>
      </c>
      <c r="AW758" s="153">
        <v>0</v>
      </c>
      <c r="AX758" s="153">
        <v>0</v>
      </c>
      <c r="AY758" s="135"/>
      <c r="AZ758" s="135"/>
      <c r="BA758" s="135"/>
      <c r="BB758" s="135"/>
      <c r="BC758" s="135"/>
      <c r="BD758" s="135"/>
      <c r="BE758" s="135"/>
      <c r="BF758" s="135"/>
      <c r="BG758" s="135"/>
      <c r="BH758" s="135"/>
      <c r="BI758" s="2" t="s">
        <v>11</v>
      </c>
      <c r="BJ758" s="136"/>
      <c r="BK758" s="2">
        <v>0</v>
      </c>
      <c r="BL758" s="136" t="s">
        <v>113</v>
      </c>
      <c r="BM758" s="136">
        <v>45303</v>
      </c>
      <c r="BN758" s="2" t="s">
        <v>2743</v>
      </c>
      <c r="BO758" s="2"/>
      <c r="BP758" s="205"/>
      <c r="BQ758" s="137" t="s">
        <v>119</v>
      </c>
      <c r="BR758" s="138"/>
    </row>
    <row r="759" spans="1:70" ht="12.75" customHeight="1" x14ac:dyDescent="0.2">
      <c r="A759" s="2">
        <v>2248</v>
      </c>
      <c r="B759" s="2" t="s">
        <v>54</v>
      </c>
      <c r="C759" s="2" t="s">
        <v>17</v>
      </c>
      <c r="D759" s="2" t="s">
        <v>2672</v>
      </c>
      <c r="E759" s="2" t="s">
        <v>71</v>
      </c>
      <c r="F759" s="132">
        <v>40000</v>
      </c>
      <c r="G759" s="132">
        <v>2</v>
      </c>
      <c r="H759" s="132">
        <f>20000</f>
        <v>20000</v>
      </c>
      <c r="I759" s="132"/>
      <c r="J759" s="132">
        <f>S759+AY759+BC759</f>
        <v>16949.150000000001</v>
      </c>
      <c r="K759" s="132">
        <f t="shared" si="80"/>
        <v>23050.85</v>
      </c>
      <c r="L759" s="132">
        <f t="shared" si="76"/>
        <v>3050.8499999999985</v>
      </c>
      <c r="M759" s="133"/>
      <c r="N759" s="133">
        <f t="shared" si="79"/>
        <v>23050.85</v>
      </c>
      <c r="O759" s="134">
        <v>1</v>
      </c>
      <c r="P759" s="133"/>
      <c r="Q759" s="2" t="s">
        <v>2616</v>
      </c>
      <c r="R759" s="156">
        <f t="shared" si="77"/>
        <v>0</v>
      </c>
      <c r="S759" s="156">
        <f t="shared" si="78"/>
        <v>0</v>
      </c>
      <c r="T759" s="133"/>
      <c r="U759" s="133"/>
      <c r="V759" s="133"/>
      <c r="W759" s="133"/>
      <c r="X759" s="133"/>
      <c r="Y759" s="133"/>
      <c r="Z759" s="133"/>
      <c r="AA759" s="133"/>
      <c r="AB759" s="133"/>
      <c r="AC759" s="133"/>
      <c r="AD759" s="133"/>
      <c r="AE759" s="133"/>
      <c r="AF759" s="133"/>
      <c r="AG759" s="133"/>
      <c r="AH759" s="133"/>
      <c r="AI759" s="133"/>
      <c r="AJ759" s="133"/>
      <c r="AK759" s="133"/>
      <c r="AL759" s="133"/>
      <c r="AM759" s="133"/>
      <c r="AN759" s="133"/>
      <c r="AO759" s="133"/>
      <c r="AP759" s="133"/>
      <c r="AQ759" s="133"/>
      <c r="AR759" s="133"/>
      <c r="AS759" s="153">
        <v>0</v>
      </c>
      <c r="AT759" s="153">
        <v>0</v>
      </c>
      <c r="AU759" s="153">
        <v>0</v>
      </c>
      <c r="AV759" s="153">
        <v>0</v>
      </c>
      <c r="AW759" s="153">
        <v>0</v>
      </c>
      <c r="AX759" s="153">
        <v>0</v>
      </c>
      <c r="AY759" s="135">
        <v>16949.150000000001</v>
      </c>
      <c r="AZ759" s="135"/>
      <c r="BA759" s="135"/>
      <c r="BB759" s="135"/>
      <c r="BC759" s="135"/>
      <c r="BD759" s="135"/>
      <c r="BE759" s="135"/>
      <c r="BF759" s="135"/>
      <c r="BG759" s="135"/>
      <c r="BH759" s="135"/>
      <c r="BI759" s="2" t="s">
        <v>11</v>
      </c>
      <c r="BJ759" s="136"/>
      <c r="BK759" s="2">
        <v>80</v>
      </c>
      <c r="BL759" s="136" t="s">
        <v>113</v>
      </c>
      <c r="BM759" s="136">
        <v>45303</v>
      </c>
      <c r="BN759" s="2" t="s">
        <v>2744</v>
      </c>
      <c r="BO759" s="2"/>
      <c r="BP759" s="205"/>
      <c r="BQ759" s="137" t="s">
        <v>119</v>
      </c>
      <c r="BR759" s="138"/>
    </row>
    <row r="760" spans="1:70" ht="12.75" customHeight="1" x14ac:dyDescent="0.2">
      <c r="A760" s="2">
        <v>2249</v>
      </c>
      <c r="B760" s="2" t="s">
        <v>31</v>
      </c>
      <c r="C760" s="2" t="s">
        <v>33</v>
      </c>
      <c r="D760" s="2" t="s">
        <v>2673</v>
      </c>
      <c r="E760" s="2" t="s">
        <v>71</v>
      </c>
      <c r="F760" s="132">
        <v>40000</v>
      </c>
      <c r="G760" s="132">
        <v>2</v>
      </c>
      <c r="H760" s="323">
        <f>10000+R760</f>
        <v>36863.119999999995</v>
      </c>
      <c r="I760" s="132"/>
      <c r="J760" s="132">
        <f>1525.423+S760+AY760+BC760</f>
        <v>36863.112999999998</v>
      </c>
      <c r="K760" s="132">
        <f t="shared" si="80"/>
        <v>3136.8870000000024</v>
      </c>
      <c r="L760" s="132">
        <f t="shared" si="76"/>
        <v>6.9999999977881089E-3</v>
      </c>
      <c r="M760" s="133">
        <v>673.5</v>
      </c>
      <c r="N760" s="133">
        <f t="shared" si="79"/>
        <v>6.9999999977881089E-3</v>
      </c>
      <c r="O760" s="134">
        <v>1</v>
      </c>
      <c r="P760" s="133"/>
      <c r="Q760" s="2" t="s">
        <v>2617</v>
      </c>
      <c r="R760" s="156">
        <f t="shared" si="77"/>
        <v>26863.119999999999</v>
      </c>
      <c r="S760" s="156">
        <f t="shared" si="78"/>
        <v>26863.11</v>
      </c>
      <c r="T760" s="133"/>
      <c r="U760" s="133"/>
      <c r="V760" s="133"/>
      <c r="W760" s="133"/>
      <c r="X760" s="133"/>
      <c r="Y760" s="133"/>
      <c r="Z760" s="133">
        <v>26863.119999999999</v>
      </c>
      <c r="AA760" s="133"/>
      <c r="AB760" s="133"/>
      <c r="AC760" s="133">
        <v>4097.76</v>
      </c>
      <c r="AD760" s="133"/>
      <c r="AE760" s="133">
        <v>22765.35</v>
      </c>
      <c r="AF760" s="133"/>
      <c r="AG760" s="133"/>
      <c r="AH760" s="133"/>
      <c r="AI760" s="133"/>
      <c r="AJ760" s="133"/>
      <c r="AK760" s="133"/>
      <c r="AL760" s="133"/>
      <c r="AM760" s="133"/>
      <c r="AN760" s="133"/>
      <c r="AO760" s="133"/>
      <c r="AP760" s="133"/>
      <c r="AQ760" s="133"/>
      <c r="AR760" s="133"/>
      <c r="AS760" s="153">
        <v>0</v>
      </c>
      <c r="AT760" s="153">
        <v>0</v>
      </c>
      <c r="AU760" s="153">
        <v>0</v>
      </c>
      <c r="AV760" s="153">
        <v>0</v>
      </c>
      <c r="AW760" s="153">
        <v>0</v>
      </c>
      <c r="AX760" s="153">
        <v>0</v>
      </c>
      <c r="AY760" s="135">
        <v>8474.58</v>
      </c>
      <c r="AZ760" s="135">
        <v>489.15</v>
      </c>
      <c r="BA760" s="135"/>
      <c r="BB760" s="135"/>
      <c r="BC760" s="135"/>
      <c r="BD760" s="135"/>
      <c r="BE760" s="135">
        <f>(H760/1.18-AT760-AW760-AZ760-BD760)*0.1-AU760-AX760-BA760-BB760</f>
        <v>3075.0782203389826</v>
      </c>
      <c r="BF760" s="135"/>
      <c r="BG760" s="135"/>
      <c r="BH760" s="135"/>
      <c r="BI760" s="2" t="s">
        <v>11</v>
      </c>
      <c r="BJ760" s="136">
        <v>45762</v>
      </c>
      <c r="BK760" s="2" t="s">
        <v>109</v>
      </c>
      <c r="BL760" s="136" t="s">
        <v>113</v>
      </c>
      <c r="BM760" s="136">
        <v>45303</v>
      </c>
      <c r="BN760" s="2" t="s">
        <v>2745</v>
      </c>
      <c r="BO760" s="2"/>
      <c r="BP760" s="205"/>
      <c r="BQ760" s="137" t="s">
        <v>119</v>
      </c>
      <c r="BR760" s="138"/>
    </row>
    <row r="761" spans="1:70" ht="12.75" customHeight="1" x14ac:dyDescent="0.2">
      <c r="A761" s="2">
        <v>2250</v>
      </c>
      <c r="B761" s="2" t="s">
        <v>31</v>
      </c>
      <c r="C761" s="2" t="s">
        <v>34</v>
      </c>
      <c r="D761" s="2" t="s">
        <v>2674</v>
      </c>
      <c r="E761" s="2" t="s">
        <v>71</v>
      </c>
      <c r="F761" s="132">
        <v>35000</v>
      </c>
      <c r="G761" s="132">
        <v>2</v>
      </c>
      <c r="H761" s="132"/>
      <c r="I761" s="132"/>
      <c r="J761" s="132"/>
      <c r="K761" s="132">
        <f t="shared" si="80"/>
        <v>35000</v>
      </c>
      <c r="L761" s="132">
        <f t="shared" si="76"/>
        <v>0</v>
      </c>
      <c r="M761" s="133"/>
      <c r="N761" s="133">
        <f t="shared" si="79"/>
        <v>35000</v>
      </c>
      <c r="O761" s="134">
        <v>1</v>
      </c>
      <c r="P761" s="133"/>
      <c r="Q761" s="2" t="s">
        <v>2618</v>
      </c>
      <c r="R761" s="156">
        <f t="shared" si="77"/>
        <v>0</v>
      </c>
      <c r="S761" s="156">
        <f t="shared" si="78"/>
        <v>0</v>
      </c>
      <c r="T761" s="133"/>
      <c r="U761" s="133"/>
      <c r="V761" s="133"/>
      <c r="W761" s="133"/>
      <c r="X761" s="133"/>
      <c r="Y761" s="133"/>
      <c r="Z761" s="133"/>
      <c r="AA761" s="133"/>
      <c r="AB761" s="133"/>
      <c r="AC761" s="133"/>
      <c r="AD761" s="133"/>
      <c r="AE761" s="133"/>
      <c r="AF761" s="133"/>
      <c r="AG761" s="133"/>
      <c r="AH761" s="133"/>
      <c r="AI761" s="133"/>
      <c r="AJ761" s="133"/>
      <c r="AK761" s="133"/>
      <c r="AL761" s="133"/>
      <c r="AM761" s="133"/>
      <c r="AN761" s="133"/>
      <c r="AO761" s="133"/>
      <c r="AP761" s="133"/>
      <c r="AQ761" s="133"/>
      <c r="AR761" s="133"/>
      <c r="AS761" s="153">
        <v>0</v>
      </c>
      <c r="AT761" s="153">
        <v>0</v>
      </c>
      <c r="AU761" s="153">
        <v>0</v>
      </c>
      <c r="AV761" s="153">
        <v>0</v>
      </c>
      <c r="AW761" s="153">
        <v>0</v>
      </c>
      <c r="AX761" s="153">
        <v>0</v>
      </c>
      <c r="AY761" s="135"/>
      <c r="AZ761" s="135"/>
      <c r="BA761" s="135"/>
      <c r="BB761" s="135"/>
      <c r="BC761" s="135"/>
      <c r="BD761" s="135"/>
      <c r="BE761" s="135"/>
      <c r="BF761" s="135"/>
      <c r="BG761" s="135"/>
      <c r="BH761" s="135"/>
      <c r="BI761" s="2" t="s">
        <v>11</v>
      </c>
      <c r="BJ761" s="136"/>
      <c r="BK761" s="2">
        <v>0</v>
      </c>
      <c r="BL761" s="136" t="s">
        <v>113</v>
      </c>
      <c r="BM761" s="136">
        <v>45303</v>
      </c>
      <c r="BN761" s="2" t="s">
        <v>2746</v>
      </c>
      <c r="BO761" s="2"/>
      <c r="BP761" s="205"/>
      <c r="BQ761" s="137" t="s">
        <v>119</v>
      </c>
      <c r="BR761" s="138"/>
    </row>
    <row r="762" spans="1:70" ht="12.75" customHeight="1" x14ac:dyDescent="0.2">
      <c r="A762" s="2">
        <v>2251</v>
      </c>
      <c r="B762" s="2" t="s">
        <v>31</v>
      </c>
      <c r="C762" s="2" t="s">
        <v>36</v>
      </c>
      <c r="D762" s="2" t="s">
        <v>2686</v>
      </c>
      <c r="E762" s="2" t="s">
        <v>71</v>
      </c>
      <c r="F762" s="132">
        <v>35000</v>
      </c>
      <c r="G762" s="132">
        <v>2</v>
      </c>
      <c r="H762" s="132">
        <f>20000+R762</f>
        <v>40000</v>
      </c>
      <c r="I762" s="132"/>
      <c r="J762" s="132">
        <f>S762+AY762+BC762</f>
        <v>19999.990000000002</v>
      </c>
      <c r="K762" s="132">
        <f t="shared" si="80"/>
        <v>15000.009999999998</v>
      </c>
      <c r="L762" s="132">
        <f t="shared" si="76"/>
        <v>20000.009999999998</v>
      </c>
      <c r="M762" s="133"/>
      <c r="N762" s="133">
        <f t="shared" si="79"/>
        <v>15000.009999999998</v>
      </c>
      <c r="O762" s="134">
        <v>1</v>
      </c>
      <c r="P762" s="133"/>
      <c r="Q762" s="2" t="s">
        <v>2619</v>
      </c>
      <c r="R762" s="156">
        <f t="shared" si="77"/>
        <v>20000</v>
      </c>
      <c r="S762" s="156">
        <f t="shared" si="78"/>
        <v>3050.84</v>
      </c>
      <c r="T762" s="133"/>
      <c r="U762" s="133"/>
      <c r="V762" s="133"/>
      <c r="W762" s="133"/>
      <c r="X762" s="133"/>
      <c r="Y762" s="133"/>
      <c r="Z762" s="133"/>
      <c r="AA762" s="133"/>
      <c r="AB762" s="133"/>
      <c r="AC762" s="133"/>
      <c r="AD762" s="133">
        <v>20000</v>
      </c>
      <c r="AE762" s="133"/>
      <c r="AF762" s="133"/>
      <c r="AG762" s="133">
        <f>3050.84</f>
        <v>3050.84</v>
      </c>
      <c r="AH762" s="133"/>
      <c r="AI762" s="133"/>
      <c r="AJ762" s="133"/>
      <c r="AK762" s="133"/>
      <c r="AL762" s="133"/>
      <c r="AM762" s="133"/>
      <c r="AN762" s="133"/>
      <c r="AO762" s="133"/>
      <c r="AP762" s="133"/>
      <c r="AQ762" s="133"/>
      <c r="AR762" s="133"/>
      <c r="AS762" s="153">
        <v>0</v>
      </c>
      <c r="AT762" s="153">
        <v>0</v>
      </c>
      <c r="AU762" s="153">
        <v>0</v>
      </c>
      <c r="AV762" s="153">
        <v>0</v>
      </c>
      <c r="AW762" s="153">
        <v>0</v>
      </c>
      <c r="AX762" s="153">
        <v>0</v>
      </c>
      <c r="AY762" s="135">
        <v>16949.150000000001</v>
      </c>
      <c r="AZ762" s="135"/>
      <c r="BA762" s="135"/>
      <c r="BB762" s="135"/>
      <c r="BC762" s="135"/>
      <c r="BD762" s="135"/>
      <c r="BE762" s="135"/>
      <c r="BF762" s="135"/>
      <c r="BG762" s="135"/>
      <c r="BH762" s="135"/>
      <c r="BI762" s="2" t="s">
        <v>11</v>
      </c>
      <c r="BJ762" s="136"/>
      <c r="BK762" s="2">
        <v>80</v>
      </c>
      <c r="BL762" s="136" t="s">
        <v>113</v>
      </c>
      <c r="BM762" s="136">
        <v>45303</v>
      </c>
      <c r="BN762" s="2" t="s">
        <v>2747</v>
      </c>
      <c r="BO762" s="2"/>
      <c r="BP762" s="205"/>
      <c r="BQ762" s="137" t="s">
        <v>119</v>
      </c>
      <c r="BR762" s="138"/>
    </row>
    <row r="763" spans="1:70" ht="12.75" customHeight="1" x14ac:dyDescent="0.2">
      <c r="A763" s="2">
        <v>2252</v>
      </c>
      <c r="B763" s="2" t="s">
        <v>31</v>
      </c>
      <c r="C763" s="2" t="s">
        <v>35</v>
      </c>
      <c r="D763" s="2" t="s">
        <v>2687</v>
      </c>
      <c r="E763" s="2" t="s">
        <v>71</v>
      </c>
      <c r="F763" s="132">
        <v>35000</v>
      </c>
      <c r="G763" s="132">
        <v>2</v>
      </c>
      <c r="H763" s="132"/>
      <c r="I763" s="132"/>
      <c r="J763" s="132"/>
      <c r="K763" s="132">
        <f t="shared" si="80"/>
        <v>35000</v>
      </c>
      <c r="L763" s="132">
        <f t="shared" si="76"/>
        <v>0</v>
      </c>
      <c r="M763" s="133"/>
      <c r="N763" s="133">
        <f t="shared" si="79"/>
        <v>35000</v>
      </c>
      <c r="O763" s="134">
        <v>1</v>
      </c>
      <c r="P763" s="133"/>
      <c r="Q763" s="2" t="s">
        <v>2620</v>
      </c>
      <c r="R763" s="156">
        <f t="shared" si="77"/>
        <v>0</v>
      </c>
      <c r="S763" s="156">
        <f t="shared" si="78"/>
        <v>0</v>
      </c>
      <c r="T763" s="133"/>
      <c r="U763" s="133"/>
      <c r="V763" s="133"/>
      <c r="W763" s="133"/>
      <c r="X763" s="133"/>
      <c r="Y763" s="133"/>
      <c r="Z763" s="133"/>
      <c r="AA763" s="133"/>
      <c r="AB763" s="133"/>
      <c r="AC763" s="133"/>
      <c r="AD763" s="133"/>
      <c r="AE763" s="133"/>
      <c r="AF763" s="133"/>
      <c r="AG763" s="133"/>
      <c r="AH763" s="133"/>
      <c r="AI763" s="133"/>
      <c r="AJ763" s="133"/>
      <c r="AK763" s="133"/>
      <c r="AL763" s="133"/>
      <c r="AM763" s="133"/>
      <c r="AN763" s="133"/>
      <c r="AO763" s="133"/>
      <c r="AP763" s="133"/>
      <c r="AQ763" s="133"/>
      <c r="AR763" s="133"/>
      <c r="AS763" s="153">
        <v>0</v>
      </c>
      <c r="AT763" s="153">
        <v>0</v>
      </c>
      <c r="AU763" s="153">
        <v>0</v>
      </c>
      <c r="AV763" s="153">
        <v>0</v>
      </c>
      <c r="AW763" s="153">
        <v>0</v>
      </c>
      <c r="AX763" s="153">
        <v>0</v>
      </c>
      <c r="AY763" s="135"/>
      <c r="AZ763" s="135"/>
      <c r="BA763" s="135"/>
      <c r="BB763" s="135"/>
      <c r="BC763" s="135"/>
      <c r="BD763" s="135"/>
      <c r="BE763" s="135"/>
      <c r="BF763" s="135"/>
      <c r="BG763" s="135"/>
      <c r="BH763" s="135"/>
      <c r="BI763" s="2" t="s">
        <v>11</v>
      </c>
      <c r="BJ763" s="136"/>
      <c r="BK763" s="2">
        <v>0</v>
      </c>
      <c r="BL763" s="136" t="s">
        <v>113</v>
      </c>
      <c r="BM763" s="136">
        <v>45303</v>
      </c>
      <c r="BN763" s="2" t="s">
        <v>2748</v>
      </c>
      <c r="BO763" s="2"/>
      <c r="BP763" s="205"/>
      <c r="BQ763" s="137" t="s">
        <v>119</v>
      </c>
      <c r="BR763" s="138"/>
    </row>
    <row r="764" spans="1:70" ht="12.75" customHeight="1" x14ac:dyDescent="0.2">
      <c r="A764" s="2">
        <v>2253</v>
      </c>
      <c r="B764" s="2" t="s">
        <v>31</v>
      </c>
      <c r="C764" s="2" t="s">
        <v>36</v>
      </c>
      <c r="D764" s="2" t="s">
        <v>2688</v>
      </c>
      <c r="E764" s="2" t="s">
        <v>71</v>
      </c>
      <c r="F764" s="132">
        <v>30000</v>
      </c>
      <c r="G764" s="132">
        <v>2</v>
      </c>
      <c r="H764" s="132"/>
      <c r="I764" s="132"/>
      <c r="J764" s="132"/>
      <c r="K764" s="132">
        <f t="shared" si="80"/>
        <v>30000</v>
      </c>
      <c r="L764" s="132">
        <f t="shared" si="76"/>
        <v>0</v>
      </c>
      <c r="M764" s="133"/>
      <c r="N764" s="133">
        <f t="shared" si="79"/>
        <v>30000</v>
      </c>
      <c r="O764" s="134">
        <v>1</v>
      </c>
      <c r="P764" s="133"/>
      <c r="Q764" s="2" t="s">
        <v>2621</v>
      </c>
      <c r="R764" s="156">
        <f t="shared" si="77"/>
        <v>0</v>
      </c>
      <c r="S764" s="156">
        <f t="shared" si="78"/>
        <v>0</v>
      </c>
      <c r="T764" s="133"/>
      <c r="U764" s="133"/>
      <c r="V764" s="133"/>
      <c r="W764" s="133"/>
      <c r="X764" s="133"/>
      <c r="Y764" s="133"/>
      <c r="Z764" s="133"/>
      <c r="AA764" s="133"/>
      <c r="AB764" s="133"/>
      <c r="AC764" s="133"/>
      <c r="AD764" s="133"/>
      <c r="AE764" s="133"/>
      <c r="AF764" s="133"/>
      <c r="AG764" s="133"/>
      <c r="AH764" s="133"/>
      <c r="AI764" s="133"/>
      <c r="AJ764" s="133"/>
      <c r="AK764" s="133"/>
      <c r="AL764" s="133"/>
      <c r="AM764" s="133"/>
      <c r="AN764" s="133"/>
      <c r="AO764" s="133"/>
      <c r="AP764" s="133"/>
      <c r="AQ764" s="133"/>
      <c r="AR764" s="133"/>
      <c r="AS764" s="153">
        <v>0</v>
      </c>
      <c r="AT764" s="153">
        <v>0</v>
      </c>
      <c r="AU764" s="153">
        <v>0</v>
      </c>
      <c r="AV764" s="153">
        <v>0</v>
      </c>
      <c r="AW764" s="153">
        <v>0</v>
      </c>
      <c r="AX764" s="153">
        <v>0</v>
      </c>
      <c r="AY764" s="135"/>
      <c r="AZ764" s="135"/>
      <c r="BA764" s="135"/>
      <c r="BB764" s="135"/>
      <c r="BC764" s="135"/>
      <c r="BD764" s="135"/>
      <c r="BE764" s="135"/>
      <c r="BF764" s="135"/>
      <c r="BG764" s="135"/>
      <c r="BH764" s="135"/>
      <c r="BI764" s="2" t="s">
        <v>11</v>
      </c>
      <c r="BJ764" s="136"/>
      <c r="BK764" s="2">
        <v>0</v>
      </c>
      <c r="BL764" s="136" t="s">
        <v>113</v>
      </c>
      <c r="BM764" s="136">
        <v>45303</v>
      </c>
      <c r="BN764" s="2" t="s">
        <v>2749</v>
      </c>
      <c r="BO764" s="2"/>
      <c r="BP764" s="205"/>
      <c r="BQ764" s="137" t="s">
        <v>119</v>
      </c>
      <c r="BR764" s="138"/>
    </row>
    <row r="765" spans="1:70" ht="12.75" customHeight="1" x14ac:dyDescent="0.2">
      <c r="A765" s="2">
        <v>2254</v>
      </c>
      <c r="B765" s="2" t="s">
        <v>54</v>
      </c>
      <c r="C765" s="2" t="s">
        <v>17</v>
      </c>
      <c r="D765" s="2" t="s">
        <v>2689</v>
      </c>
      <c r="E765" s="2" t="s">
        <v>71</v>
      </c>
      <c r="F765" s="132">
        <v>30000</v>
      </c>
      <c r="G765" s="132">
        <v>2</v>
      </c>
      <c r="H765" s="132"/>
      <c r="I765" s="132"/>
      <c r="J765" s="132"/>
      <c r="K765" s="132">
        <f t="shared" si="80"/>
        <v>30000</v>
      </c>
      <c r="L765" s="132">
        <f t="shared" si="76"/>
        <v>0</v>
      </c>
      <c r="M765" s="133"/>
      <c r="N765" s="133">
        <f t="shared" si="79"/>
        <v>30000</v>
      </c>
      <c r="O765" s="134">
        <v>1</v>
      </c>
      <c r="P765" s="133"/>
      <c r="Q765" s="2" t="s">
        <v>2622</v>
      </c>
      <c r="R765" s="156">
        <f t="shared" si="77"/>
        <v>0</v>
      </c>
      <c r="S765" s="156">
        <f t="shared" si="78"/>
        <v>0</v>
      </c>
      <c r="T765" s="133"/>
      <c r="U765" s="133"/>
      <c r="V765" s="133"/>
      <c r="W765" s="133"/>
      <c r="X765" s="133"/>
      <c r="Y765" s="133"/>
      <c r="Z765" s="133"/>
      <c r="AA765" s="133"/>
      <c r="AB765" s="133"/>
      <c r="AC765" s="133"/>
      <c r="AD765" s="133"/>
      <c r="AE765" s="133"/>
      <c r="AF765" s="133"/>
      <c r="AG765" s="133"/>
      <c r="AH765" s="133"/>
      <c r="AI765" s="133"/>
      <c r="AJ765" s="133"/>
      <c r="AK765" s="133"/>
      <c r="AL765" s="133"/>
      <c r="AM765" s="133"/>
      <c r="AN765" s="133"/>
      <c r="AO765" s="133"/>
      <c r="AP765" s="133"/>
      <c r="AQ765" s="133"/>
      <c r="AR765" s="133"/>
      <c r="AS765" s="153">
        <v>0</v>
      </c>
      <c r="AT765" s="153">
        <v>0</v>
      </c>
      <c r="AU765" s="153">
        <v>0</v>
      </c>
      <c r="AV765" s="153">
        <v>0</v>
      </c>
      <c r="AW765" s="153">
        <v>0</v>
      </c>
      <c r="AX765" s="153">
        <v>0</v>
      </c>
      <c r="AY765" s="135"/>
      <c r="AZ765" s="135"/>
      <c r="BA765" s="135"/>
      <c r="BB765" s="135"/>
      <c r="BC765" s="135"/>
      <c r="BD765" s="135"/>
      <c r="BE765" s="135"/>
      <c r="BF765" s="135"/>
      <c r="BG765" s="135"/>
      <c r="BH765" s="135"/>
      <c r="BI765" s="2" t="s">
        <v>11</v>
      </c>
      <c r="BJ765" s="136"/>
      <c r="BK765" s="2">
        <v>0</v>
      </c>
      <c r="BL765" s="136" t="s">
        <v>113</v>
      </c>
      <c r="BM765" s="136">
        <v>45303</v>
      </c>
      <c r="BN765" s="2" t="s">
        <v>2750</v>
      </c>
      <c r="BO765" s="2"/>
      <c r="BP765" s="205"/>
      <c r="BQ765" s="137" t="s">
        <v>119</v>
      </c>
      <c r="BR765" s="138"/>
    </row>
    <row r="766" spans="1:70" ht="12.75" customHeight="1" x14ac:dyDescent="0.2">
      <c r="A766" s="2">
        <v>2255</v>
      </c>
      <c r="B766" s="2" t="s">
        <v>31</v>
      </c>
      <c r="C766" s="2" t="s">
        <v>32</v>
      </c>
      <c r="D766" s="2" t="s">
        <v>2675</v>
      </c>
      <c r="E766" s="2" t="s">
        <v>71</v>
      </c>
      <c r="F766" s="132">
        <v>25000</v>
      </c>
      <c r="G766" s="132">
        <v>2</v>
      </c>
      <c r="H766" s="132"/>
      <c r="I766" s="132"/>
      <c r="J766" s="132"/>
      <c r="K766" s="132">
        <f t="shared" si="80"/>
        <v>25000</v>
      </c>
      <c r="L766" s="132">
        <f t="shared" si="76"/>
        <v>0</v>
      </c>
      <c r="M766" s="133"/>
      <c r="N766" s="133">
        <f t="shared" si="79"/>
        <v>25000</v>
      </c>
      <c r="O766" s="134">
        <v>1</v>
      </c>
      <c r="P766" s="133"/>
      <c r="Q766" s="2" t="s">
        <v>2623</v>
      </c>
      <c r="R766" s="156">
        <f t="shared" si="77"/>
        <v>0</v>
      </c>
      <c r="S766" s="156">
        <f t="shared" si="78"/>
        <v>0</v>
      </c>
      <c r="T766" s="133"/>
      <c r="U766" s="133"/>
      <c r="V766" s="133"/>
      <c r="W766" s="133"/>
      <c r="X766" s="133"/>
      <c r="Y766" s="133"/>
      <c r="Z766" s="133"/>
      <c r="AA766" s="133"/>
      <c r="AB766" s="133"/>
      <c r="AC766" s="133"/>
      <c r="AD766" s="133"/>
      <c r="AE766" s="133"/>
      <c r="AF766" s="133"/>
      <c r="AG766" s="133"/>
      <c r="AH766" s="133"/>
      <c r="AI766" s="133"/>
      <c r="AJ766" s="133"/>
      <c r="AK766" s="133"/>
      <c r="AL766" s="133"/>
      <c r="AM766" s="133"/>
      <c r="AN766" s="133"/>
      <c r="AO766" s="133"/>
      <c r="AP766" s="133"/>
      <c r="AQ766" s="133"/>
      <c r="AR766" s="133"/>
      <c r="AS766" s="153">
        <v>0</v>
      </c>
      <c r="AT766" s="153">
        <v>0</v>
      </c>
      <c r="AU766" s="153">
        <v>0</v>
      </c>
      <c r="AV766" s="153">
        <v>0</v>
      </c>
      <c r="AW766" s="153">
        <v>0</v>
      </c>
      <c r="AX766" s="153">
        <v>0</v>
      </c>
      <c r="AY766" s="135"/>
      <c r="AZ766" s="135"/>
      <c r="BA766" s="135"/>
      <c r="BB766" s="135"/>
      <c r="BC766" s="135"/>
      <c r="BD766" s="135"/>
      <c r="BE766" s="135"/>
      <c r="BF766" s="135"/>
      <c r="BG766" s="135"/>
      <c r="BH766" s="135"/>
      <c r="BI766" s="2" t="s">
        <v>11</v>
      </c>
      <c r="BJ766" s="136"/>
      <c r="BK766" s="2">
        <v>0</v>
      </c>
      <c r="BL766" s="136" t="s">
        <v>113</v>
      </c>
      <c r="BM766" s="136">
        <v>45303</v>
      </c>
      <c r="BN766" s="2" t="s">
        <v>2751</v>
      </c>
      <c r="BO766" s="2"/>
      <c r="BP766" s="205"/>
      <c r="BQ766" s="137" t="s">
        <v>119</v>
      </c>
      <c r="BR766" s="138"/>
    </row>
    <row r="767" spans="1:70" ht="12.75" customHeight="1" x14ac:dyDescent="0.2">
      <c r="A767" s="2">
        <v>2256</v>
      </c>
      <c r="B767" s="2" t="s">
        <v>31</v>
      </c>
      <c r="C767" s="2" t="s">
        <v>34</v>
      </c>
      <c r="D767" s="2" t="s">
        <v>2676</v>
      </c>
      <c r="E767" s="2" t="s">
        <v>71</v>
      </c>
      <c r="F767" s="132">
        <v>25000</v>
      </c>
      <c r="G767" s="132">
        <v>2</v>
      </c>
      <c r="H767" s="323">
        <f>R767</f>
        <v>123258.36</v>
      </c>
      <c r="I767" s="132"/>
      <c r="J767" s="132">
        <f>S767+BC767</f>
        <v>123258.34699999999</v>
      </c>
      <c r="K767" s="132">
        <f t="shared" si="80"/>
        <v>-98258.346999999994</v>
      </c>
      <c r="L767" s="132">
        <f t="shared" si="76"/>
        <v>1.3000000006286427E-2</v>
      </c>
      <c r="M767" s="133">
        <v>1271.5</v>
      </c>
      <c r="N767" s="133">
        <f t="shared" si="79"/>
        <v>1.3000000006286427E-2</v>
      </c>
      <c r="O767" s="134">
        <v>1</v>
      </c>
      <c r="P767" s="133"/>
      <c r="Q767" s="2" t="s">
        <v>2624</v>
      </c>
      <c r="R767" s="156">
        <f t="shared" si="77"/>
        <v>123258.36</v>
      </c>
      <c r="S767" s="156">
        <f t="shared" si="78"/>
        <v>38512.587</v>
      </c>
      <c r="T767" s="133"/>
      <c r="U767" s="133"/>
      <c r="V767" s="133">
        <v>100000</v>
      </c>
      <c r="W767" s="133"/>
      <c r="X767" s="133"/>
      <c r="Y767" s="133">
        <v>15254.236999999999</v>
      </c>
      <c r="Z767" s="133">
        <v>23258.36</v>
      </c>
      <c r="AA767" s="133"/>
      <c r="AB767" s="133"/>
      <c r="AC767" s="133">
        <v>3547.88</v>
      </c>
      <c r="AD767" s="133"/>
      <c r="AE767" s="133">
        <v>19710.47</v>
      </c>
      <c r="AF767" s="133"/>
      <c r="AG767" s="133"/>
      <c r="AH767" s="133"/>
      <c r="AI767" s="133"/>
      <c r="AJ767" s="133"/>
      <c r="AK767" s="133"/>
      <c r="AL767" s="133"/>
      <c r="AM767" s="133"/>
      <c r="AN767" s="133"/>
      <c r="AO767" s="133"/>
      <c r="AP767" s="133"/>
      <c r="AQ767" s="133"/>
      <c r="AR767" s="133"/>
      <c r="AS767" s="153">
        <v>0</v>
      </c>
      <c r="AT767" s="153">
        <v>0</v>
      </c>
      <c r="AU767" s="153">
        <v>0</v>
      </c>
      <c r="AV767" s="153">
        <v>0</v>
      </c>
      <c r="AW767" s="153">
        <v>0</v>
      </c>
      <c r="AX767" s="153">
        <v>0</v>
      </c>
      <c r="AY767" s="135"/>
      <c r="AZ767" s="135"/>
      <c r="BA767" s="135"/>
      <c r="BB767" s="135"/>
      <c r="BC767" s="135">
        <f>84745.76</f>
        <v>84745.76</v>
      </c>
      <c r="BD767" s="135">
        <v>1630.49</v>
      </c>
      <c r="BE767" s="135">
        <f>(H767/1.18-AT767-AW767-AZ767-BD767)*0.1-AU767-AX767-BA767-BB767</f>
        <v>10282.574728813561</v>
      </c>
      <c r="BF767" s="135"/>
      <c r="BG767" s="135"/>
      <c r="BH767" s="135"/>
      <c r="BI767" s="2" t="s">
        <v>11</v>
      </c>
      <c r="BJ767" s="136">
        <v>45762</v>
      </c>
      <c r="BK767" s="2" t="s">
        <v>8</v>
      </c>
      <c r="BL767" s="136" t="s">
        <v>113</v>
      </c>
      <c r="BM767" s="136">
        <v>45303</v>
      </c>
      <c r="BN767" s="2" t="s">
        <v>2752</v>
      </c>
      <c r="BO767" s="2"/>
      <c r="BP767" s="205"/>
      <c r="BQ767" s="137" t="s">
        <v>119</v>
      </c>
      <c r="BR767" s="138"/>
    </row>
    <row r="768" spans="1:70" ht="12.75" customHeight="1" x14ac:dyDescent="0.2">
      <c r="A768" s="2">
        <v>2257</v>
      </c>
      <c r="B768" s="2" t="s">
        <v>31</v>
      </c>
      <c r="C768" s="2" t="s">
        <v>34</v>
      </c>
      <c r="D768" s="2" t="s">
        <v>2677</v>
      </c>
      <c r="E768" s="2" t="s">
        <v>71</v>
      </c>
      <c r="F768" s="132">
        <v>25000</v>
      </c>
      <c r="G768" s="132">
        <v>2</v>
      </c>
      <c r="H768" s="323">
        <f>R768</f>
        <v>63896.03</v>
      </c>
      <c r="I768" s="132"/>
      <c r="J768" s="132">
        <f>S768+BC768</f>
        <v>63896.03</v>
      </c>
      <c r="K768" s="132">
        <f t="shared" si="80"/>
        <v>-38896.03</v>
      </c>
      <c r="L768" s="132">
        <f t="shared" si="76"/>
        <v>0</v>
      </c>
      <c r="M768" s="133">
        <v>652</v>
      </c>
      <c r="N768" s="133">
        <f t="shared" si="79"/>
        <v>0</v>
      </c>
      <c r="O768" s="134">
        <v>1</v>
      </c>
      <c r="P768" s="133"/>
      <c r="Q768" s="2" t="s">
        <v>2625</v>
      </c>
      <c r="R768" s="156">
        <f t="shared" si="77"/>
        <v>63896.03</v>
      </c>
      <c r="S768" s="156">
        <f t="shared" si="78"/>
        <v>38472.300000000003</v>
      </c>
      <c r="T768" s="133"/>
      <c r="U768" s="133"/>
      <c r="V768" s="133">
        <v>30000</v>
      </c>
      <c r="W768" s="133"/>
      <c r="X768" s="133"/>
      <c r="Y768" s="133">
        <v>4576.2700000000004</v>
      </c>
      <c r="Z768" s="133">
        <v>33896.03</v>
      </c>
      <c r="AA768" s="133"/>
      <c r="AB768" s="133"/>
      <c r="AC768" s="133">
        <v>5170.58</v>
      </c>
      <c r="AD768" s="133"/>
      <c r="AE768" s="133">
        <v>28725.45</v>
      </c>
      <c r="AF768" s="133"/>
      <c r="AG768" s="133"/>
      <c r="AH768" s="133"/>
      <c r="AI768" s="133"/>
      <c r="AJ768" s="133"/>
      <c r="AK768" s="133"/>
      <c r="AL768" s="133"/>
      <c r="AM768" s="133"/>
      <c r="AN768" s="133"/>
      <c r="AO768" s="133"/>
      <c r="AP768" s="133"/>
      <c r="AQ768" s="133"/>
      <c r="AR768" s="133"/>
      <c r="AS768" s="153">
        <v>0</v>
      </c>
      <c r="AT768" s="153">
        <v>0</v>
      </c>
      <c r="AU768" s="153">
        <v>0</v>
      </c>
      <c r="AV768" s="153">
        <v>0</v>
      </c>
      <c r="AW768" s="153">
        <v>0</v>
      </c>
      <c r="AX768" s="153">
        <v>0</v>
      </c>
      <c r="AY768" s="135"/>
      <c r="AZ768" s="135"/>
      <c r="BA768" s="135"/>
      <c r="BB768" s="135"/>
      <c r="BC768" s="135">
        <f>25423.73</f>
        <v>25423.73</v>
      </c>
      <c r="BD768" s="135">
        <v>489.15</v>
      </c>
      <c r="BE768" s="135">
        <f>(H768/1.18-AT768-AW768-AZ768-BD768)*0.1-AU768-AX768-BA768-BB768</f>
        <v>5366.0027966101698</v>
      </c>
      <c r="BF768" s="135"/>
      <c r="BG768" s="135"/>
      <c r="BH768" s="135"/>
      <c r="BI768" s="2" t="s">
        <v>11</v>
      </c>
      <c r="BJ768" s="136">
        <v>45762</v>
      </c>
      <c r="BK768" s="2" t="s">
        <v>8</v>
      </c>
      <c r="BL768" s="136" t="s">
        <v>113</v>
      </c>
      <c r="BM768" s="136">
        <v>45303</v>
      </c>
      <c r="BN768" s="2" t="s">
        <v>2753</v>
      </c>
      <c r="BO768" s="2"/>
      <c r="BP768" s="205"/>
      <c r="BQ768" s="137" t="s">
        <v>119</v>
      </c>
      <c r="BR768" s="138"/>
    </row>
    <row r="769" spans="1:70" ht="12.75" customHeight="1" x14ac:dyDescent="0.2">
      <c r="A769" s="2">
        <v>2258</v>
      </c>
      <c r="B769" s="2" t="s">
        <v>31</v>
      </c>
      <c r="C769" s="2" t="s">
        <v>33</v>
      </c>
      <c r="D769" s="2" t="s">
        <v>2690</v>
      </c>
      <c r="E769" s="2" t="s">
        <v>71</v>
      </c>
      <c r="F769" s="132">
        <v>25000</v>
      </c>
      <c r="G769" s="132">
        <v>2</v>
      </c>
      <c r="H769" s="132"/>
      <c r="I769" s="132"/>
      <c r="J769" s="132"/>
      <c r="K769" s="132">
        <f t="shared" si="80"/>
        <v>25000</v>
      </c>
      <c r="L769" s="132">
        <f t="shared" si="76"/>
        <v>0</v>
      </c>
      <c r="M769" s="133"/>
      <c r="N769" s="133">
        <f t="shared" si="79"/>
        <v>25000</v>
      </c>
      <c r="O769" s="134">
        <v>1</v>
      </c>
      <c r="P769" s="133"/>
      <c r="Q769" s="2" t="s">
        <v>2626</v>
      </c>
      <c r="R769" s="156">
        <f t="shared" si="77"/>
        <v>0</v>
      </c>
      <c r="S769" s="156">
        <f t="shared" si="78"/>
        <v>0</v>
      </c>
      <c r="T769" s="133"/>
      <c r="U769" s="133"/>
      <c r="V769" s="133"/>
      <c r="W769" s="133"/>
      <c r="X769" s="133"/>
      <c r="Y769" s="133"/>
      <c r="Z769" s="133"/>
      <c r="AA769" s="133"/>
      <c r="AB769" s="133"/>
      <c r="AC769" s="133"/>
      <c r="AD769" s="133"/>
      <c r="AE769" s="133"/>
      <c r="AF769" s="133"/>
      <c r="AG769" s="133"/>
      <c r="AH769" s="133"/>
      <c r="AI769" s="133"/>
      <c r="AJ769" s="133"/>
      <c r="AK769" s="133"/>
      <c r="AL769" s="133"/>
      <c r="AM769" s="133"/>
      <c r="AN769" s="133"/>
      <c r="AO769" s="133"/>
      <c r="AP769" s="133"/>
      <c r="AQ769" s="133"/>
      <c r="AR769" s="133"/>
      <c r="AS769" s="153">
        <v>0</v>
      </c>
      <c r="AT769" s="153">
        <v>0</v>
      </c>
      <c r="AU769" s="153">
        <v>0</v>
      </c>
      <c r="AV769" s="153">
        <v>0</v>
      </c>
      <c r="AW769" s="153">
        <v>0</v>
      </c>
      <c r="AX769" s="153">
        <v>0</v>
      </c>
      <c r="AY769" s="135"/>
      <c r="AZ769" s="135"/>
      <c r="BA769" s="135"/>
      <c r="BB769" s="135"/>
      <c r="BC769" s="135"/>
      <c r="BD769" s="135"/>
      <c r="BE769" s="135"/>
      <c r="BF769" s="135"/>
      <c r="BG769" s="135"/>
      <c r="BH769" s="135"/>
      <c r="BI769" s="2" t="s">
        <v>11</v>
      </c>
      <c r="BJ769" s="136"/>
      <c r="BK769" s="2">
        <v>0</v>
      </c>
      <c r="BL769" s="136" t="s">
        <v>113</v>
      </c>
      <c r="BM769" s="136">
        <v>45303</v>
      </c>
      <c r="BN769" s="2" t="s">
        <v>2754</v>
      </c>
      <c r="BO769" s="2"/>
      <c r="BP769" s="205"/>
      <c r="BQ769" s="137" t="s">
        <v>119</v>
      </c>
      <c r="BR769" s="138"/>
    </row>
    <row r="770" spans="1:70" ht="12.75" customHeight="1" x14ac:dyDescent="0.2">
      <c r="A770" s="2">
        <v>2259</v>
      </c>
      <c r="B770" s="2" t="s">
        <v>31</v>
      </c>
      <c r="C770" s="2" t="s">
        <v>33</v>
      </c>
      <c r="D770" s="2" t="s">
        <v>2691</v>
      </c>
      <c r="E770" s="2" t="s">
        <v>71</v>
      </c>
      <c r="F770" s="132">
        <v>20000</v>
      </c>
      <c r="G770" s="132">
        <v>2</v>
      </c>
      <c r="H770" s="132"/>
      <c r="I770" s="132"/>
      <c r="J770" s="132"/>
      <c r="K770" s="132">
        <f t="shared" si="80"/>
        <v>20000</v>
      </c>
      <c r="L770" s="132">
        <f t="shared" si="76"/>
        <v>0</v>
      </c>
      <c r="M770" s="133"/>
      <c r="N770" s="133">
        <f t="shared" si="79"/>
        <v>20000</v>
      </c>
      <c r="O770" s="134">
        <v>1</v>
      </c>
      <c r="P770" s="133"/>
      <c r="Q770" s="2" t="s">
        <v>2627</v>
      </c>
      <c r="R770" s="156">
        <f t="shared" si="77"/>
        <v>0</v>
      </c>
      <c r="S770" s="156">
        <f t="shared" si="78"/>
        <v>0</v>
      </c>
      <c r="T770" s="133"/>
      <c r="U770" s="133"/>
      <c r="V770" s="133"/>
      <c r="W770" s="133"/>
      <c r="X770" s="133"/>
      <c r="Y770" s="133"/>
      <c r="Z770" s="133"/>
      <c r="AA770" s="133"/>
      <c r="AB770" s="133"/>
      <c r="AC770" s="133"/>
      <c r="AD770" s="133"/>
      <c r="AE770" s="133"/>
      <c r="AF770" s="133"/>
      <c r="AG770" s="133"/>
      <c r="AH770" s="133"/>
      <c r="AI770" s="133"/>
      <c r="AJ770" s="133"/>
      <c r="AK770" s="133"/>
      <c r="AL770" s="133"/>
      <c r="AM770" s="133"/>
      <c r="AN770" s="133"/>
      <c r="AO770" s="133"/>
      <c r="AP770" s="133"/>
      <c r="AQ770" s="133"/>
      <c r="AR770" s="133"/>
      <c r="AS770" s="153">
        <v>0</v>
      </c>
      <c r="AT770" s="153">
        <v>0</v>
      </c>
      <c r="AU770" s="153">
        <v>0</v>
      </c>
      <c r="AV770" s="153">
        <v>0</v>
      </c>
      <c r="AW770" s="153">
        <v>0</v>
      </c>
      <c r="AX770" s="153">
        <v>0</v>
      </c>
      <c r="AY770" s="135"/>
      <c r="AZ770" s="135"/>
      <c r="BA770" s="135"/>
      <c r="BB770" s="135"/>
      <c r="BC770" s="135"/>
      <c r="BD770" s="135"/>
      <c r="BE770" s="135"/>
      <c r="BF770" s="135"/>
      <c r="BG770" s="135"/>
      <c r="BH770" s="135"/>
      <c r="BI770" s="2" t="s">
        <v>11</v>
      </c>
      <c r="BJ770" s="136"/>
      <c r="BK770" s="2">
        <v>0</v>
      </c>
      <c r="BL770" s="136" t="s">
        <v>113</v>
      </c>
      <c r="BM770" s="136">
        <v>45303</v>
      </c>
      <c r="BN770" s="2" t="s">
        <v>2755</v>
      </c>
      <c r="BO770" s="2"/>
      <c r="BP770" s="205"/>
      <c r="BQ770" s="137" t="s">
        <v>119</v>
      </c>
      <c r="BR770" s="138"/>
    </row>
    <row r="771" spans="1:70" ht="12.75" customHeight="1" x14ac:dyDescent="0.2">
      <c r="A771" s="2">
        <v>2260</v>
      </c>
      <c r="B771" s="2" t="s">
        <v>54</v>
      </c>
      <c r="C771" s="2" t="s">
        <v>17</v>
      </c>
      <c r="D771" s="2" t="s">
        <v>2692</v>
      </c>
      <c r="E771" s="2" t="s">
        <v>71</v>
      </c>
      <c r="F771" s="132">
        <v>20000</v>
      </c>
      <c r="G771" s="132">
        <v>2</v>
      </c>
      <c r="H771" s="132"/>
      <c r="I771" s="132"/>
      <c r="J771" s="132"/>
      <c r="K771" s="132">
        <f t="shared" si="80"/>
        <v>20000</v>
      </c>
      <c r="L771" s="132">
        <f t="shared" si="76"/>
        <v>0</v>
      </c>
      <c r="M771" s="133"/>
      <c r="N771" s="133">
        <f t="shared" si="79"/>
        <v>20000</v>
      </c>
      <c r="O771" s="134">
        <v>1</v>
      </c>
      <c r="P771" s="133"/>
      <c r="Q771" s="2" t="s">
        <v>2628</v>
      </c>
      <c r="R771" s="156">
        <f t="shared" si="77"/>
        <v>0</v>
      </c>
      <c r="S771" s="156">
        <f t="shared" si="78"/>
        <v>0</v>
      </c>
      <c r="T771" s="133"/>
      <c r="U771" s="133"/>
      <c r="V771" s="133"/>
      <c r="W771" s="133"/>
      <c r="X771" s="133"/>
      <c r="Y771" s="133"/>
      <c r="Z771" s="133"/>
      <c r="AA771" s="133"/>
      <c r="AB771" s="133"/>
      <c r="AC771" s="133"/>
      <c r="AD771" s="133"/>
      <c r="AE771" s="133"/>
      <c r="AF771" s="133"/>
      <c r="AG771" s="133"/>
      <c r="AH771" s="133"/>
      <c r="AI771" s="133"/>
      <c r="AJ771" s="133"/>
      <c r="AK771" s="133"/>
      <c r="AL771" s="133"/>
      <c r="AM771" s="133"/>
      <c r="AN771" s="133"/>
      <c r="AO771" s="133"/>
      <c r="AP771" s="133"/>
      <c r="AQ771" s="133"/>
      <c r="AR771" s="133"/>
      <c r="AS771" s="153">
        <v>0</v>
      </c>
      <c r="AT771" s="153">
        <v>0</v>
      </c>
      <c r="AU771" s="153">
        <v>0</v>
      </c>
      <c r="AV771" s="153">
        <v>0</v>
      </c>
      <c r="AW771" s="153">
        <v>0</v>
      </c>
      <c r="AX771" s="153">
        <v>0</v>
      </c>
      <c r="AY771" s="135"/>
      <c r="AZ771" s="135"/>
      <c r="BA771" s="135"/>
      <c r="BB771" s="135"/>
      <c r="BC771" s="135"/>
      <c r="BD771" s="135"/>
      <c r="BE771" s="135"/>
      <c r="BF771" s="135"/>
      <c r="BG771" s="135"/>
      <c r="BH771" s="135"/>
      <c r="BI771" s="2" t="s">
        <v>11</v>
      </c>
      <c r="BJ771" s="136"/>
      <c r="BK771" s="2">
        <v>0</v>
      </c>
      <c r="BL771" s="136" t="s">
        <v>113</v>
      </c>
      <c r="BM771" s="136">
        <v>45303</v>
      </c>
      <c r="BN771" s="2" t="s">
        <v>2756</v>
      </c>
      <c r="BO771" s="2"/>
      <c r="BP771" s="205"/>
      <c r="BQ771" s="137" t="s">
        <v>119</v>
      </c>
      <c r="BR771" s="138"/>
    </row>
    <row r="772" spans="1:70" ht="12.75" customHeight="1" x14ac:dyDescent="0.2">
      <c r="A772" s="2">
        <v>2261</v>
      </c>
      <c r="B772" s="2" t="s">
        <v>54</v>
      </c>
      <c r="C772" s="2" t="s">
        <v>17</v>
      </c>
      <c r="D772" s="2" t="s">
        <v>2693</v>
      </c>
      <c r="E772" s="2" t="s">
        <v>71</v>
      </c>
      <c r="F772" s="132">
        <v>20000</v>
      </c>
      <c r="G772" s="132">
        <v>2</v>
      </c>
      <c r="H772" s="132"/>
      <c r="I772" s="132"/>
      <c r="J772" s="132"/>
      <c r="K772" s="132">
        <f t="shared" si="80"/>
        <v>20000</v>
      </c>
      <c r="L772" s="132">
        <f t="shared" si="76"/>
        <v>0</v>
      </c>
      <c r="M772" s="133"/>
      <c r="N772" s="133">
        <f t="shared" si="79"/>
        <v>20000</v>
      </c>
      <c r="O772" s="134">
        <v>1</v>
      </c>
      <c r="P772" s="133"/>
      <c r="Q772" s="2" t="s">
        <v>2629</v>
      </c>
      <c r="R772" s="156">
        <f t="shared" si="77"/>
        <v>0</v>
      </c>
      <c r="S772" s="156">
        <f t="shared" si="78"/>
        <v>0</v>
      </c>
      <c r="T772" s="133"/>
      <c r="U772" s="133"/>
      <c r="V772" s="133"/>
      <c r="W772" s="133"/>
      <c r="X772" s="133"/>
      <c r="Y772" s="133"/>
      <c r="Z772" s="133"/>
      <c r="AA772" s="133"/>
      <c r="AB772" s="133"/>
      <c r="AC772" s="133"/>
      <c r="AD772" s="133"/>
      <c r="AE772" s="133"/>
      <c r="AF772" s="133"/>
      <c r="AG772" s="133"/>
      <c r="AH772" s="133"/>
      <c r="AI772" s="133"/>
      <c r="AJ772" s="133"/>
      <c r="AK772" s="133"/>
      <c r="AL772" s="133"/>
      <c r="AM772" s="133"/>
      <c r="AN772" s="133"/>
      <c r="AO772" s="133"/>
      <c r="AP772" s="133"/>
      <c r="AQ772" s="133"/>
      <c r="AR772" s="133"/>
      <c r="AS772" s="153">
        <v>0</v>
      </c>
      <c r="AT772" s="153">
        <v>0</v>
      </c>
      <c r="AU772" s="153">
        <v>0</v>
      </c>
      <c r="AV772" s="153">
        <v>0</v>
      </c>
      <c r="AW772" s="153">
        <v>0</v>
      </c>
      <c r="AX772" s="153">
        <v>0</v>
      </c>
      <c r="AY772" s="135"/>
      <c r="AZ772" s="135"/>
      <c r="BA772" s="135"/>
      <c r="BB772" s="135"/>
      <c r="BC772" s="135"/>
      <c r="BD772" s="135"/>
      <c r="BE772" s="135"/>
      <c r="BF772" s="135"/>
      <c r="BG772" s="135"/>
      <c r="BH772" s="135"/>
      <c r="BI772" s="2" t="s">
        <v>11</v>
      </c>
      <c r="BJ772" s="136"/>
      <c r="BK772" s="2">
        <v>0</v>
      </c>
      <c r="BL772" s="136" t="s">
        <v>113</v>
      </c>
      <c r="BM772" s="136">
        <v>45303</v>
      </c>
      <c r="BN772" s="2" t="s">
        <v>2757</v>
      </c>
      <c r="BO772" s="2"/>
      <c r="BP772" s="205"/>
      <c r="BQ772" s="137" t="s">
        <v>119</v>
      </c>
      <c r="BR772" s="138"/>
    </row>
    <row r="773" spans="1:70" ht="12.75" customHeight="1" x14ac:dyDescent="0.2">
      <c r="A773" s="2">
        <v>2262</v>
      </c>
      <c r="B773" s="2" t="s">
        <v>31</v>
      </c>
      <c r="C773" s="2" t="s">
        <v>36</v>
      </c>
      <c r="D773" s="2" t="s">
        <v>2694</v>
      </c>
      <c r="E773" s="2" t="s">
        <v>71</v>
      </c>
      <c r="F773" s="132">
        <v>20000</v>
      </c>
      <c r="G773" s="132">
        <v>2</v>
      </c>
      <c r="H773" s="132"/>
      <c r="I773" s="132"/>
      <c r="J773" s="132"/>
      <c r="K773" s="132">
        <f t="shared" si="80"/>
        <v>20000</v>
      </c>
      <c r="L773" s="132">
        <f t="shared" si="76"/>
        <v>0</v>
      </c>
      <c r="M773" s="133"/>
      <c r="N773" s="133">
        <f t="shared" si="79"/>
        <v>20000</v>
      </c>
      <c r="O773" s="134">
        <v>1</v>
      </c>
      <c r="P773" s="133"/>
      <c r="Q773" s="2" t="s">
        <v>2630</v>
      </c>
      <c r="R773" s="156">
        <f t="shared" si="77"/>
        <v>0</v>
      </c>
      <c r="S773" s="156">
        <f t="shared" si="78"/>
        <v>0</v>
      </c>
      <c r="T773" s="133"/>
      <c r="U773" s="133"/>
      <c r="V773" s="133"/>
      <c r="W773" s="133"/>
      <c r="X773" s="133"/>
      <c r="Y773" s="133"/>
      <c r="Z773" s="133"/>
      <c r="AA773" s="133"/>
      <c r="AB773" s="133"/>
      <c r="AC773" s="133"/>
      <c r="AD773" s="133"/>
      <c r="AE773" s="133"/>
      <c r="AF773" s="133"/>
      <c r="AG773" s="133"/>
      <c r="AH773" s="133"/>
      <c r="AI773" s="133"/>
      <c r="AJ773" s="133"/>
      <c r="AK773" s="133"/>
      <c r="AL773" s="133"/>
      <c r="AM773" s="133"/>
      <c r="AN773" s="133"/>
      <c r="AO773" s="133"/>
      <c r="AP773" s="133"/>
      <c r="AQ773" s="133"/>
      <c r="AR773" s="133"/>
      <c r="AS773" s="153">
        <v>0</v>
      </c>
      <c r="AT773" s="153">
        <v>0</v>
      </c>
      <c r="AU773" s="153">
        <v>0</v>
      </c>
      <c r="AV773" s="153">
        <v>0</v>
      </c>
      <c r="AW773" s="153">
        <v>0</v>
      </c>
      <c r="AX773" s="153">
        <v>0</v>
      </c>
      <c r="AY773" s="135"/>
      <c r="AZ773" s="135"/>
      <c r="BA773" s="135"/>
      <c r="BB773" s="135"/>
      <c r="BC773" s="135"/>
      <c r="BD773" s="135"/>
      <c r="BE773" s="135"/>
      <c r="BF773" s="135"/>
      <c r="BG773" s="135"/>
      <c r="BH773" s="135"/>
      <c r="BI773" s="2" t="s">
        <v>11</v>
      </c>
      <c r="BJ773" s="136"/>
      <c r="BK773" s="2">
        <v>0</v>
      </c>
      <c r="BL773" s="136" t="s">
        <v>113</v>
      </c>
      <c r="BM773" s="136">
        <v>45303</v>
      </c>
      <c r="BN773" s="2" t="s">
        <v>2758</v>
      </c>
      <c r="BO773" s="2"/>
      <c r="BP773" s="205"/>
      <c r="BQ773" s="137" t="s">
        <v>119</v>
      </c>
      <c r="BR773" s="138"/>
    </row>
    <row r="774" spans="1:70" ht="12.75" customHeight="1" x14ac:dyDescent="0.2">
      <c r="A774" s="2">
        <v>2263</v>
      </c>
      <c r="B774" s="2" t="s">
        <v>31</v>
      </c>
      <c r="C774" s="2" t="s">
        <v>38</v>
      </c>
      <c r="D774" s="2" t="s">
        <v>2695</v>
      </c>
      <c r="E774" s="2" t="s">
        <v>71</v>
      </c>
      <c r="F774" s="132">
        <v>15000</v>
      </c>
      <c r="G774" s="132">
        <v>2</v>
      </c>
      <c r="H774" s="132">
        <v>8023.47</v>
      </c>
      <c r="I774" s="132">
        <v>8023.47</v>
      </c>
      <c r="J774" s="132">
        <v>8023.47</v>
      </c>
      <c r="K774" s="132">
        <f t="shared" si="80"/>
        <v>6976.53</v>
      </c>
      <c r="L774" s="132">
        <f t="shared" si="76"/>
        <v>0</v>
      </c>
      <c r="M774" s="133">
        <v>162</v>
      </c>
      <c r="N774" s="133">
        <f t="shared" si="79"/>
        <v>0</v>
      </c>
      <c r="O774" s="134">
        <v>0</v>
      </c>
      <c r="P774" s="133"/>
      <c r="Q774" s="2" t="s">
        <v>2631</v>
      </c>
      <c r="R774" s="156">
        <f t="shared" si="77"/>
        <v>0</v>
      </c>
      <c r="S774" s="156">
        <f t="shared" si="78"/>
        <v>0</v>
      </c>
      <c r="T774" s="133"/>
      <c r="U774" s="133"/>
      <c r="V774" s="133"/>
      <c r="W774" s="133"/>
      <c r="X774" s="133"/>
      <c r="Y774" s="133"/>
      <c r="Z774" s="133"/>
      <c r="AA774" s="133"/>
      <c r="AB774" s="133"/>
      <c r="AC774" s="133"/>
      <c r="AD774" s="133"/>
      <c r="AE774" s="133"/>
      <c r="AF774" s="133"/>
      <c r="AG774" s="133"/>
      <c r="AH774" s="133"/>
      <c r="AI774" s="133"/>
      <c r="AJ774" s="133"/>
      <c r="AK774" s="133"/>
      <c r="AL774" s="133"/>
      <c r="AM774" s="133"/>
      <c r="AN774" s="133"/>
      <c r="AO774" s="133"/>
      <c r="AP774" s="133"/>
      <c r="AQ774" s="133"/>
      <c r="AR774" s="133"/>
      <c r="AS774" s="153">
        <v>0</v>
      </c>
      <c r="AT774" s="153">
        <v>0</v>
      </c>
      <c r="AU774" s="153">
        <v>0</v>
      </c>
      <c r="AV774" s="153">
        <v>0</v>
      </c>
      <c r="AW774" s="153">
        <v>0</v>
      </c>
      <c r="AX774" s="153">
        <v>0</v>
      </c>
      <c r="AY774" s="135"/>
      <c r="AZ774" s="135"/>
      <c r="BA774" s="135">
        <v>0</v>
      </c>
      <c r="BB774" s="140">
        <f>(H774/1.18-AT774-AW774-AZ774)*0.1-AU774-AX774-BA774</f>
        <v>679.95508474576275</v>
      </c>
      <c r="BC774" s="135"/>
      <c r="BD774" s="135"/>
      <c r="BE774" s="135">
        <f>(H774/1.18-AT774-AW774-AZ774-BD774)*0.1-AU774-AX774-BA774-BB774</f>
        <v>0</v>
      </c>
      <c r="BF774" s="135"/>
      <c r="BG774" s="135"/>
      <c r="BH774" s="135"/>
      <c r="BI774" s="2" t="s">
        <v>11</v>
      </c>
      <c r="BJ774" s="136">
        <v>45565</v>
      </c>
      <c r="BK774" s="2" t="s">
        <v>8</v>
      </c>
      <c r="BL774" s="136" t="s">
        <v>113</v>
      </c>
      <c r="BM774" s="136">
        <v>45303</v>
      </c>
      <c r="BN774" s="2" t="s">
        <v>2759</v>
      </c>
      <c r="BO774" s="2"/>
      <c r="BP774" s="205"/>
      <c r="BQ774" s="137" t="s">
        <v>119</v>
      </c>
      <c r="BR774" s="138"/>
    </row>
    <row r="775" spans="1:70" ht="12.75" customHeight="1" x14ac:dyDescent="0.2">
      <c r="A775" s="2">
        <v>2264</v>
      </c>
      <c r="B775" s="2" t="s">
        <v>54</v>
      </c>
      <c r="C775" s="2" t="s">
        <v>17</v>
      </c>
      <c r="D775" s="2" t="s">
        <v>2696</v>
      </c>
      <c r="E775" s="2" t="s">
        <v>71</v>
      </c>
      <c r="F775" s="132">
        <v>15000</v>
      </c>
      <c r="G775" s="132">
        <v>2</v>
      </c>
      <c r="H775" s="132"/>
      <c r="I775" s="132"/>
      <c r="J775" s="132"/>
      <c r="K775" s="132">
        <f t="shared" si="80"/>
        <v>15000</v>
      </c>
      <c r="L775" s="132">
        <f t="shared" si="76"/>
        <v>0</v>
      </c>
      <c r="M775" s="133"/>
      <c r="N775" s="133">
        <f t="shared" si="79"/>
        <v>15000</v>
      </c>
      <c r="O775" s="134">
        <v>1</v>
      </c>
      <c r="P775" s="133"/>
      <c r="Q775" s="2" t="s">
        <v>2632</v>
      </c>
      <c r="R775" s="156">
        <f t="shared" si="77"/>
        <v>0</v>
      </c>
      <c r="S775" s="156">
        <f t="shared" si="78"/>
        <v>0</v>
      </c>
      <c r="T775" s="133"/>
      <c r="U775" s="133"/>
      <c r="V775" s="133"/>
      <c r="W775" s="133"/>
      <c r="X775" s="133"/>
      <c r="Y775" s="133"/>
      <c r="Z775" s="133"/>
      <c r="AA775" s="133"/>
      <c r="AB775" s="133"/>
      <c r="AC775" s="133"/>
      <c r="AD775" s="133"/>
      <c r="AE775" s="133"/>
      <c r="AF775" s="133"/>
      <c r="AG775" s="133"/>
      <c r="AH775" s="133"/>
      <c r="AI775" s="133"/>
      <c r="AJ775" s="133"/>
      <c r="AK775" s="133"/>
      <c r="AL775" s="133"/>
      <c r="AM775" s="133"/>
      <c r="AN775" s="133"/>
      <c r="AO775" s="133"/>
      <c r="AP775" s="133"/>
      <c r="AQ775" s="133"/>
      <c r="AR775" s="133"/>
      <c r="AS775" s="153">
        <v>0</v>
      </c>
      <c r="AT775" s="153">
        <v>0</v>
      </c>
      <c r="AU775" s="153">
        <v>0</v>
      </c>
      <c r="AV775" s="153">
        <v>0</v>
      </c>
      <c r="AW775" s="153">
        <v>0</v>
      </c>
      <c r="AX775" s="153">
        <v>0</v>
      </c>
      <c r="AY775" s="135"/>
      <c r="AZ775" s="135"/>
      <c r="BA775" s="135"/>
      <c r="BB775" s="135"/>
      <c r="BC775" s="135"/>
      <c r="BD775" s="135"/>
      <c r="BE775" s="135"/>
      <c r="BF775" s="135"/>
      <c r="BG775" s="135"/>
      <c r="BH775" s="135"/>
      <c r="BI775" s="2" t="s">
        <v>11</v>
      </c>
      <c r="BJ775" s="136"/>
      <c r="BK775" s="2">
        <v>0</v>
      </c>
      <c r="BL775" s="136" t="s">
        <v>113</v>
      </c>
      <c r="BM775" s="136">
        <v>45303</v>
      </c>
      <c r="BN775" s="2" t="s">
        <v>2760</v>
      </c>
      <c r="BO775" s="2"/>
      <c r="BP775" s="205"/>
      <c r="BQ775" s="137" t="s">
        <v>119</v>
      </c>
      <c r="BR775" s="138"/>
    </row>
    <row r="776" spans="1:70" ht="12.75" customHeight="1" x14ac:dyDescent="0.2">
      <c r="A776" s="2">
        <v>2265</v>
      </c>
      <c r="B776" s="2" t="s">
        <v>54</v>
      </c>
      <c r="C776" s="2" t="s">
        <v>17</v>
      </c>
      <c r="D776" s="2" t="s">
        <v>2697</v>
      </c>
      <c r="E776" s="2" t="s">
        <v>71</v>
      </c>
      <c r="F776" s="132">
        <v>10000</v>
      </c>
      <c r="G776" s="132">
        <v>2</v>
      </c>
      <c r="H776" s="132"/>
      <c r="I776" s="132"/>
      <c r="J776" s="132"/>
      <c r="K776" s="132">
        <f t="shared" si="80"/>
        <v>10000</v>
      </c>
      <c r="L776" s="132">
        <f t="shared" si="76"/>
        <v>0</v>
      </c>
      <c r="M776" s="133"/>
      <c r="N776" s="133">
        <f t="shared" si="79"/>
        <v>10000</v>
      </c>
      <c r="O776" s="134">
        <v>1</v>
      </c>
      <c r="P776" s="133"/>
      <c r="Q776" s="2" t="s">
        <v>2633</v>
      </c>
      <c r="R776" s="156">
        <f t="shared" si="77"/>
        <v>0</v>
      </c>
      <c r="S776" s="156">
        <f t="shared" si="78"/>
        <v>0</v>
      </c>
      <c r="T776" s="133"/>
      <c r="U776" s="133"/>
      <c r="V776" s="133"/>
      <c r="W776" s="133"/>
      <c r="X776" s="133"/>
      <c r="Y776" s="133"/>
      <c r="Z776" s="133"/>
      <c r="AA776" s="133"/>
      <c r="AB776" s="133"/>
      <c r="AC776" s="133"/>
      <c r="AD776" s="133"/>
      <c r="AE776" s="133"/>
      <c r="AF776" s="133"/>
      <c r="AG776" s="133"/>
      <c r="AH776" s="133"/>
      <c r="AI776" s="133"/>
      <c r="AJ776" s="133"/>
      <c r="AK776" s="133"/>
      <c r="AL776" s="133"/>
      <c r="AM776" s="133"/>
      <c r="AN776" s="133"/>
      <c r="AO776" s="133"/>
      <c r="AP776" s="133"/>
      <c r="AQ776" s="133"/>
      <c r="AR776" s="133"/>
      <c r="AS776" s="153">
        <v>0</v>
      </c>
      <c r="AT776" s="153">
        <v>0</v>
      </c>
      <c r="AU776" s="153">
        <v>0</v>
      </c>
      <c r="AV776" s="153">
        <v>0</v>
      </c>
      <c r="AW776" s="153">
        <v>0</v>
      </c>
      <c r="AX776" s="153">
        <v>0</v>
      </c>
      <c r="AY776" s="135"/>
      <c r="AZ776" s="135"/>
      <c r="BA776" s="135"/>
      <c r="BB776" s="135"/>
      <c r="BC776" s="135"/>
      <c r="BD776" s="135"/>
      <c r="BE776" s="135"/>
      <c r="BF776" s="135"/>
      <c r="BG776" s="135"/>
      <c r="BH776" s="135"/>
      <c r="BI776" s="2" t="s">
        <v>11</v>
      </c>
      <c r="BJ776" s="136"/>
      <c r="BK776" s="2">
        <v>0</v>
      </c>
      <c r="BL776" s="136" t="s">
        <v>113</v>
      </c>
      <c r="BM776" s="136">
        <v>45303</v>
      </c>
      <c r="BN776" s="2" t="s">
        <v>2761</v>
      </c>
      <c r="BO776" s="2"/>
      <c r="BP776" s="205"/>
      <c r="BQ776" s="137" t="s">
        <v>119</v>
      </c>
      <c r="BR776" s="138"/>
    </row>
    <row r="777" spans="1:70" ht="12.75" customHeight="1" x14ac:dyDescent="0.2">
      <c r="A777" s="2">
        <v>2266</v>
      </c>
      <c r="B777" s="2" t="s">
        <v>54</v>
      </c>
      <c r="C777" s="2" t="s">
        <v>17</v>
      </c>
      <c r="D777" s="2" t="s">
        <v>2698</v>
      </c>
      <c r="E777" s="2" t="s">
        <v>71</v>
      </c>
      <c r="F777" s="132">
        <v>10000</v>
      </c>
      <c r="G777" s="132">
        <v>2</v>
      </c>
      <c r="H777" s="132"/>
      <c r="I777" s="132"/>
      <c r="J777" s="132"/>
      <c r="K777" s="132">
        <f t="shared" si="80"/>
        <v>10000</v>
      </c>
      <c r="L777" s="132">
        <f t="shared" si="76"/>
        <v>0</v>
      </c>
      <c r="M777" s="133"/>
      <c r="N777" s="133">
        <f t="shared" si="79"/>
        <v>10000</v>
      </c>
      <c r="O777" s="134">
        <v>1</v>
      </c>
      <c r="P777" s="133"/>
      <c r="Q777" s="2" t="s">
        <v>2634</v>
      </c>
      <c r="R777" s="156">
        <f t="shared" si="77"/>
        <v>0</v>
      </c>
      <c r="S777" s="156">
        <f t="shared" si="78"/>
        <v>0</v>
      </c>
      <c r="T777" s="133"/>
      <c r="U777" s="133"/>
      <c r="V777" s="133"/>
      <c r="W777" s="133"/>
      <c r="X777" s="133"/>
      <c r="Y777" s="133"/>
      <c r="Z777" s="133"/>
      <c r="AA777" s="133"/>
      <c r="AB777" s="133"/>
      <c r="AC777" s="133"/>
      <c r="AD777" s="133"/>
      <c r="AE777" s="133"/>
      <c r="AF777" s="133"/>
      <c r="AG777" s="133"/>
      <c r="AH777" s="133"/>
      <c r="AI777" s="133"/>
      <c r="AJ777" s="133"/>
      <c r="AK777" s="133"/>
      <c r="AL777" s="133"/>
      <c r="AM777" s="133"/>
      <c r="AN777" s="133"/>
      <c r="AO777" s="133"/>
      <c r="AP777" s="133"/>
      <c r="AQ777" s="133"/>
      <c r="AR777" s="133"/>
      <c r="AS777" s="153">
        <v>0</v>
      </c>
      <c r="AT777" s="153">
        <v>0</v>
      </c>
      <c r="AU777" s="153">
        <v>0</v>
      </c>
      <c r="AV777" s="153">
        <v>0</v>
      </c>
      <c r="AW777" s="153">
        <v>0</v>
      </c>
      <c r="AX777" s="153">
        <v>0</v>
      </c>
      <c r="AY777" s="135"/>
      <c r="AZ777" s="135"/>
      <c r="BA777" s="135"/>
      <c r="BB777" s="135"/>
      <c r="BC777" s="135"/>
      <c r="BD777" s="135"/>
      <c r="BE777" s="135"/>
      <c r="BF777" s="135"/>
      <c r="BG777" s="135"/>
      <c r="BH777" s="135"/>
      <c r="BI777" s="2" t="s">
        <v>11</v>
      </c>
      <c r="BJ777" s="136"/>
      <c r="BK777" s="2">
        <v>0</v>
      </c>
      <c r="BL777" s="136" t="s">
        <v>113</v>
      </c>
      <c r="BM777" s="136">
        <v>45303</v>
      </c>
      <c r="BN777" s="2" t="s">
        <v>2762</v>
      </c>
      <c r="BO777" s="2"/>
      <c r="BP777" s="205"/>
      <c r="BQ777" s="137" t="s">
        <v>119</v>
      </c>
      <c r="BR777" s="138"/>
    </row>
    <row r="778" spans="1:70" ht="12.75" customHeight="1" x14ac:dyDescent="0.2">
      <c r="A778" s="2">
        <v>2267</v>
      </c>
      <c r="B778" s="2" t="s">
        <v>54</v>
      </c>
      <c r="C778" s="2" t="s">
        <v>17</v>
      </c>
      <c r="D778" s="2" t="s">
        <v>2699</v>
      </c>
      <c r="E778" s="2" t="s">
        <v>71</v>
      </c>
      <c r="F778" s="132">
        <v>5000</v>
      </c>
      <c r="G778" s="132">
        <v>2</v>
      </c>
      <c r="H778" s="132"/>
      <c r="I778" s="132"/>
      <c r="J778" s="132"/>
      <c r="K778" s="132">
        <f t="shared" si="80"/>
        <v>5000</v>
      </c>
      <c r="L778" s="132">
        <f t="shared" si="76"/>
        <v>0</v>
      </c>
      <c r="M778" s="133"/>
      <c r="N778" s="133">
        <f t="shared" si="79"/>
        <v>5000</v>
      </c>
      <c r="O778" s="134">
        <v>1</v>
      </c>
      <c r="P778" s="133"/>
      <c r="Q778" s="2" t="s">
        <v>2635</v>
      </c>
      <c r="R778" s="156">
        <f t="shared" si="77"/>
        <v>0</v>
      </c>
      <c r="S778" s="156">
        <f t="shared" si="78"/>
        <v>0</v>
      </c>
      <c r="T778" s="133"/>
      <c r="U778" s="133"/>
      <c r="V778" s="133"/>
      <c r="W778" s="133"/>
      <c r="X778" s="133"/>
      <c r="Y778" s="133"/>
      <c r="Z778" s="133"/>
      <c r="AA778" s="133"/>
      <c r="AB778" s="133"/>
      <c r="AC778" s="133"/>
      <c r="AD778" s="133"/>
      <c r="AE778" s="133"/>
      <c r="AF778" s="133"/>
      <c r="AG778" s="133"/>
      <c r="AH778" s="133"/>
      <c r="AI778" s="133"/>
      <c r="AJ778" s="133"/>
      <c r="AK778" s="133"/>
      <c r="AL778" s="133"/>
      <c r="AM778" s="133"/>
      <c r="AN778" s="133"/>
      <c r="AO778" s="133"/>
      <c r="AP778" s="133"/>
      <c r="AQ778" s="133"/>
      <c r="AR778" s="133"/>
      <c r="AS778" s="153">
        <v>0</v>
      </c>
      <c r="AT778" s="153">
        <v>0</v>
      </c>
      <c r="AU778" s="153">
        <v>0</v>
      </c>
      <c r="AV778" s="153">
        <v>0</v>
      </c>
      <c r="AW778" s="153">
        <v>0</v>
      </c>
      <c r="AX778" s="153">
        <v>0</v>
      </c>
      <c r="AY778" s="135"/>
      <c r="AZ778" s="135"/>
      <c r="BA778" s="135"/>
      <c r="BB778" s="135"/>
      <c r="BC778" s="135"/>
      <c r="BD778" s="135"/>
      <c r="BE778" s="135"/>
      <c r="BF778" s="135"/>
      <c r="BG778" s="135"/>
      <c r="BH778" s="135"/>
      <c r="BI778" s="2" t="s">
        <v>11</v>
      </c>
      <c r="BJ778" s="136"/>
      <c r="BK778" s="2">
        <v>0</v>
      </c>
      <c r="BL778" s="136" t="s">
        <v>113</v>
      </c>
      <c r="BM778" s="136">
        <v>45303</v>
      </c>
      <c r="BN778" s="2" t="s">
        <v>2763</v>
      </c>
      <c r="BO778" s="2"/>
      <c r="BP778" s="205"/>
      <c r="BQ778" s="137" t="s">
        <v>119</v>
      </c>
      <c r="BR778" s="138"/>
    </row>
    <row r="779" spans="1:70" ht="12.75" customHeight="1" x14ac:dyDescent="0.2">
      <c r="A779" s="2">
        <v>2268</v>
      </c>
      <c r="B779" s="2" t="s">
        <v>54</v>
      </c>
      <c r="C779" s="2" t="s">
        <v>17</v>
      </c>
      <c r="D779" s="2" t="s">
        <v>2700</v>
      </c>
      <c r="E779" s="2" t="s">
        <v>71</v>
      </c>
      <c r="F779" s="132">
        <v>5000</v>
      </c>
      <c r="G779" s="132">
        <v>2</v>
      </c>
      <c r="H779" s="132"/>
      <c r="I779" s="132"/>
      <c r="J779" s="132"/>
      <c r="K779" s="132">
        <f t="shared" si="80"/>
        <v>5000</v>
      </c>
      <c r="L779" s="132">
        <f t="shared" ref="L779:L842" si="81">H779-J779</f>
        <v>0</v>
      </c>
      <c r="M779" s="133"/>
      <c r="N779" s="133">
        <f t="shared" si="79"/>
        <v>5000</v>
      </c>
      <c r="O779" s="134">
        <v>1</v>
      </c>
      <c r="P779" s="133"/>
      <c r="Q779" s="2" t="s">
        <v>2636</v>
      </c>
      <c r="R779" s="156">
        <f t="shared" ref="R779:R842" si="82">T779+V779+X779+Z779+AB779+AD779+AF779+AH779+AJ779+AL779+AN779+AP779</f>
        <v>0</v>
      </c>
      <c r="S779" s="156">
        <f t="shared" ref="S779:S842" si="83">U779+W779+Y779+AA779+AC779+AE779+AG779+AI779+AK779+AM779+AO779+AQ779</f>
        <v>0</v>
      </c>
      <c r="T779" s="133"/>
      <c r="U779" s="133"/>
      <c r="V779" s="133"/>
      <c r="W779" s="133"/>
      <c r="X779" s="133"/>
      <c r="Y779" s="133"/>
      <c r="Z779" s="133"/>
      <c r="AA779" s="133"/>
      <c r="AB779" s="133"/>
      <c r="AC779" s="133"/>
      <c r="AD779" s="133"/>
      <c r="AE779" s="133"/>
      <c r="AF779" s="133"/>
      <c r="AG779" s="133"/>
      <c r="AH779" s="133"/>
      <c r="AI779" s="133"/>
      <c r="AJ779" s="133"/>
      <c r="AK779" s="133"/>
      <c r="AL779" s="133"/>
      <c r="AM779" s="133"/>
      <c r="AN779" s="133"/>
      <c r="AO779" s="133"/>
      <c r="AP779" s="133"/>
      <c r="AQ779" s="133"/>
      <c r="AR779" s="133"/>
      <c r="AS779" s="153">
        <v>0</v>
      </c>
      <c r="AT779" s="153">
        <v>0</v>
      </c>
      <c r="AU779" s="153">
        <v>0</v>
      </c>
      <c r="AV779" s="153">
        <v>0</v>
      </c>
      <c r="AW779" s="153">
        <v>0</v>
      </c>
      <c r="AX779" s="153">
        <v>0</v>
      </c>
      <c r="AY779" s="135"/>
      <c r="AZ779" s="135"/>
      <c r="BA779" s="135"/>
      <c r="BB779" s="135"/>
      <c r="BC779" s="135"/>
      <c r="BD779" s="135"/>
      <c r="BE779" s="135"/>
      <c r="BF779" s="135"/>
      <c r="BG779" s="135"/>
      <c r="BH779" s="135"/>
      <c r="BI779" s="2" t="s">
        <v>11</v>
      </c>
      <c r="BJ779" s="136"/>
      <c r="BK779" s="2">
        <v>0</v>
      </c>
      <c r="BL779" s="136" t="s">
        <v>113</v>
      </c>
      <c r="BM779" s="136">
        <v>45303</v>
      </c>
      <c r="BN779" s="2" t="s">
        <v>2764</v>
      </c>
      <c r="BO779" s="2"/>
      <c r="BP779" s="205"/>
      <c r="BQ779" s="137" t="s">
        <v>119</v>
      </c>
      <c r="BR779" s="138"/>
    </row>
    <row r="780" spans="1:70" ht="12.75" customHeight="1" x14ac:dyDescent="0.2">
      <c r="A780" s="2">
        <v>2269</v>
      </c>
      <c r="B780" s="2" t="s">
        <v>31</v>
      </c>
      <c r="C780" s="2" t="s">
        <v>36</v>
      </c>
      <c r="D780" s="2" t="s">
        <v>2701</v>
      </c>
      <c r="E780" s="2" t="s">
        <v>71</v>
      </c>
      <c r="F780" s="132">
        <v>5000</v>
      </c>
      <c r="G780" s="132">
        <v>2</v>
      </c>
      <c r="H780" s="132"/>
      <c r="I780" s="132"/>
      <c r="J780" s="132"/>
      <c r="K780" s="132">
        <f t="shared" si="80"/>
        <v>5000</v>
      </c>
      <c r="L780" s="132">
        <f t="shared" si="81"/>
        <v>0</v>
      </c>
      <c r="M780" s="133"/>
      <c r="N780" s="133">
        <f t="shared" si="79"/>
        <v>5000</v>
      </c>
      <c r="O780" s="134">
        <v>1</v>
      </c>
      <c r="P780" s="133"/>
      <c r="Q780" s="2" t="s">
        <v>2637</v>
      </c>
      <c r="R780" s="156">
        <f t="shared" si="82"/>
        <v>0</v>
      </c>
      <c r="S780" s="156">
        <f t="shared" si="83"/>
        <v>0</v>
      </c>
      <c r="T780" s="133"/>
      <c r="U780" s="133"/>
      <c r="V780" s="133"/>
      <c r="W780" s="133"/>
      <c r="X780" s="133"/>
      <c r="Y780" s="133"/>
      <c r="Z780" s="133"/>
      <c r="AA780" s="133"/>
      <c r="AB780" s="133"/>
      <c r="AC780" s="133"/>
      <c r="AD780" s="133"/>
      <c r="AE780" s="133"/>
      <c r="AF780" s="133"/>
      <c r="AG780" s="133"/>
      <c r="AH780" s="133"/>
      <c r="AI780" s="133"/>
      <c r="AJ780" s="133"/>
      <c r="AK780" s="133"/>
      <c r="AL780" s="133"/>
      <c r="AM780" s="133"/>
      <c r="AN780" s="133"/>
      <c r="AO780" s="133"/>
      <c r="AP780" s="133"/>
      <c r="AQ780" s="133"/>
      <c r="AR780" s="133"/>
      <c r="AS780" s="153">
        <v>0</v>
      </c>
      <c r="AT780" s="153">
        <v>0</v>
      </c>
      <c r="AU780" s="153">
        <v>0</v>
      </c>
      <c r="AV780" s="153">
        <v>0</v>
      </c>
      <c r="AW780" s="153">
        <v>0</v>
      </c>
      <c r="AX780" s="153">
        <v>0</v>
      </c>
      <c r="AY780" s="135"/>
      <c r="AZ780" s="135"/>
      <c r="BA780" s="135"/>
      <c r="BB780" s="135"/>
      <c r="BC780" s="135"/>
      <c r="BD780" s="135"/>
      <c r="BE780" s="135"/>
      <c r="BF780" s="135"/>
      <c r="BG780" s="135"/>
      <c r="BH780" s="135"/>
      <c r="BI780" s="2" t="s">
        <v>11</v>
      </c>
      <c r="BJ780" s="136"/>
      <c r="BK780" s="2">
        <v>0</v>
      </c>
      <c r="BL780" s="136" t="s">
        <v>113</v>
      </c>
      <c r="BM780" s="136">
        <v>45303</v>
      </c>
      <c r="BN780" s="2" t="s">
        <v>2765</v>
      </c>
      <c r="BO780" s="2"/>
      <c r="BP780" s="205"/>
      <c r="BQ780" s="137" t="s">
        <v>119</v>
      </c>
      <c r="BR780" s="138"/>
    </row>
    <row r="781" spans="1:70" ht="12.75" customHeight="1" x14ac:dyDescent="0.2">
      <c r="A781" s="2">
        <v>2270</v>
      </c>
      <c r="B781" s="2" t="s">
        <v>54</v>
      </c>
      <c r="C781" s="2" t="s">
        <v>96</v>
      </c>
      <c r="D781" s="2" t="s">
        <v>2777</v>
      </c>
      <c r="E781" s="2" t="s">
        <v>71</v>
      </c>
      <c r="F781" s="132">
        <v>2300000</v>
      </c>
      <c r="G781" s="132">
        <v>2</v>
      </c>
      <c r="H781" s="132"/>
      <c r="I781" s="132"/>
      <c r="J781" s="132"/>
      <c r="K781" s="132">
        <f t="shared" si="80"/>
        <v>2300000</v>
      </c>
      <c r="L781" s="132">
        <f t="shared" si="81"/>
        <v>0</v>
      </c>
      <c r="M781" s="133"/>
      <c r="N781" s="133">
        <f t="shared" si="79"/>
        <v>2300000</v>
      </c>
      <c r="O781" s="134">
        <v>1</v>
      </c>
      <c r="P781" s="133"/>
      <c r="Q781" s="2" t="s">
        <v>2776</v>
      </c>
      <c r="R781" s="156">
        <f t="shared" si="82"/>
        <v>0</v>
      </c>
      <c r="S781" s="156">
        <f t="shared" si="83"/>
        <v>0</v>
      </c>
      <c r="T781" s="133"/>
      <c r="U781" s="133"/>
      <c r="V781" s="133"/>
      <c r="W781" s="133"/>
      <c r="X781" s="133"/>
      <c r="Y781" s="133"/>
      <c r="Z781" s="133"/>
      <c r="AA781" s="133"/>
      <c r="AB781" s="133"/>
      <c r="AC781" s="133"/>
      <c r="AD781" s="133"/>
      <c r="AE781" s="133"/>
      <c r="AF781" s="133"/>
      <c r="AG781" s="133"/>
      <c r="AH781" s="133"/>
      <c r="AI781" s="133"/>
      <c r="AJ781" s="133"/>
      <c r="AK781" s="133"/>
      <c r="AL781" s="133"/>
      <c r="AM781" s="133"/>
      <c r="AN781" s="133"/>
      <c r="AO781" s="133"/>
      <c r="AP781" s="133"/>
      <c r="AQ781" s="133"/>
      <c r="AR781" s="133"/>
      <c r="AS781" s="153">
        <v>0</v>
      </c>
      <c r="AT781" s="153">
        <v>0</v>
      </c>
      <c r="AU781" s="153">
        <v>0</v>
      </c>
      <c r="AV781" s="153">
        <v>0</v>
      </c>
      <c r="AW781" s="153">
        <v>0</v>
      </c>
      <c r="AX781" s="153">
        <v>0</v>
      </c>
      <c r="AY781" s="135"/>
      <c r="AZ781" s="135"/>
      <c r="BA781" s="135"/>
      <c r="BB781" s="135"/>
      <c r="BC781" s="135"/>
      <c r="BD781" s="135"/>
      <c r="BE781" s="135"/>
      <c r="BF781" s="135"/>
      <c r="BG781" s="135"/>
      <c r="BH781" s="135"/>
      <c r="BI781" s="2" t="s">
        <v>11</v>
      </c>
      <c r="BJ781" s="136"/>
      <c r="BK781" s="2">
        <v>0</v>
      </c>
      <c r="BL781" s="136" t="s">
        <v>18</v>
      </c>
      <c r="BM781" s="136">
        <v>45303</v>
      </c>
      <c r="BN781" s="2" t="s">
        <v>3359</v>
      </c>
      <c r="BO781" s="2"/>
      <c r="BP781" s="205"/>
      <c r="BQ781" s="137" t="s">
        <v>119</v>
      </c>
      <c r="BR781" s="138"/>
    </row>
    <row r="782" spans="1:70" ht="12.75" customHeight="1" x14ac:dyDescent="0.2">
      <c r="A782" s="2">
        <v>2271</v>
      </c>
      <c r="B782" s="2" t="s">
        <v>54</v>
      </c>
      <c r="C782" s="2" t="s">
        <v>96</v>
      </c>
      <c r="D782" s="2" t="s">
        <v>2778</v>
      </c>
      <c r="E782" s="2" t="s">
        <v>71</v>
      </c>
      <c r="F782" s="132">
        <v>1800000</v>
      </c>
      <c r="G782" s="132">
        <v>2</v>
      </c>
      <c r="H782" s="132"/>
      <c r="I782" s="132"/>
      <c r="J782" s="132"/>
      <c r="K782" s="132">
        <f t="shared" si="80"/>
        <v>1800000</v>
      </c>
      <c r="L782" s="132">
        <f t="shared" si="81"/>
        <v>0</v>
      </c>
      <c r="M782" s="133"/>
      <c r="N782" s="133">
        <f t="shared" si="79"/>
        <v>1800000</v>
      </c>
      <c r="O782" s="134">
        <v>1</v>
      </c>
      <c r="P782" s="133"/>
      <c r="Q782" s="2" t="s">
        <v>2766</v>
      </c>
      <c r="R782" s="156">
        <f t="shared" si="82"/>
        <v>0</v>
      </c>
      <c r="S782" s="156">
        <f t="shared" si="83"/>
        <v>0</v>
      </c>
      <c r="T782" s="133"/>
      <c r="U782" s="133"/>
      <c r="V782" s="133"/>
      <c r="W782" s="133"/>
      <c r="X782" s="133"/>
      <c r="Y782" s="133"/>
      <c r="Z782" s="133"/>
      <c r="AA782" s="133"/>
      <c r="AB782" s="133"/>
      <c r="AC782" s="133"/>
      <c r="AD782" s="133"/>
      <c r="AE782" s="133"/>
      <c r="AF782" s="133"/>
      <c r="AG782" s="133"/>
      <c r="AH782" s="133"/>
      <c r="AI782" s="133"/>
      <c r="AJ782" s="133"/>
      <c r="AK782" s="133"/>
      <c r="AL782" s="133"/>
      <c r="AM782" s="133"/>
      <c r="AN782" s="133"/>
      <c r="AO782" s="133"/>
      <c r="AP782" s="133"/>
      <c r="AQ782" s="133"/>
      <c r="AR782" s="133"/>
      <c r="AS782" s="153">
        <v>0</v>
      </c>
      <c r="AT782" s="153">
        <v>0</v>
      </c>
      <c r="AU782" s="153">
        <v>0</v>
      </c>
      <c r="AV782" s="153">
        <v>0</v>
      </c>
      <c r="AW782" s="153">
        <v>0</v>
      </c>
      <c r="AX782" s="153">
        <v>0</v>
      </c>
      <c r="AY782" s="135"/>
      <c r="AZ782" s="135"/>
      <c r="BA782" s="135"/>
      <c r="BB782" s="135"/>
      <c r="BC782" s="135"/>
      <c r="BD782" s="135"/>
      <c r="BE782" s="135"/>
      <c r="BF782" s="135"/>
      <c r="BG782" s="135"/>
      <c r="BH782" s="135"/>
      <c r="BI782" s="2" t="s">
        <v>11</v>
      </c>
      <c r="BJ782" s="136"/>
      <c r="BK782" s="2">
        <v>0</v>
      </c>
      <c r="BL782" s="136" t="s">
        <v>18</v>
      </c>
      <c r="BM782" s="136">
        <v>45303</v>
      </c>
      <c r="BN782" s="2" t="s">
        <v>3358</v>
      </c>
      <c r="BO782" s="2"/>
      <c r="BP782" s="205"/>
      <c r="BQ782" s="137" t="s">
        <v>119</v>
      </c>
      <c r="BR782" s="138"/>
    </row>
    <row r="783" spans="1:70" ht="12.75" customHeight="1" x14ac:dyDescent="0.2">
      <c r="A783" s="2">
        <v>2272</v>
      </c>
      <c r="B783" s="2" t="s">
        <v>54</v>
      </c>
      <c r="C783" s="2" t="s">
        <v>97</v>
      </c>
      <c r="D783" s="2" t="s">
        <v>2779</v>
      </c>
      <c r="E783" s="2" t="s">
        <v>71</v>
      </c>
      <c r="F783" s="132">
        <v>265000</v>
      </c>
      <c r="G783" s="132">
        <v>2</v>
      </c>
      <c r="H783" s="132">
        <f>200000</f>
        <v>200000</v>
      </c>
      <c r="I783" s="132"/>
      <c r="J783" s="132">
        <f>30508.47+S783+AY783+BC783</f>
        <v>200000</v>
      </c>
      <c r="K783" s="132">
        <f t="shared" si="80"/>
        <v>65000</v>
      </c>
      <c r="L783" s="132">
        <f t="shared" si="81"/>
        <v>0</v>
      </c>
      <c r="M783" s="133"/>
      <c r="N783" s="133">
        <f t="shared" si="79"/>
        <v>65000</v>
      </c>
      <c r="O783" s="134">
        <v>1</v>
      </c>
      <c r="P783" s="133"/>
      <c r="Q783" s="2" t="s">
        <v>2767</v>
      </c>
      <c r="R783" s="156">
        <f t="shared" si="82"/>
        <v>0</v>
      </c>
      <c r="S783" s="156">
        <f t="shared" si="83"/>
        <v>0</v>
      </c>
      <c r="T783" s="133"/>
      <c r="U783" s="133"/>
      <c r="V783" s="133"/>
      <c r="W783" s="133"/>
      <c r="X783" s="133"/>
      <c r="Y783" s="133"/>
      <c r="Z783" s="133"/>
      <c r="AA783" s="133"/>
      <c r="AB783" s="133"/>
      <c r="AC783" s="133"/>
      <c r="AD783" s="133"/>
      <c r="AE783" s="133"/>
      <c r="AF783" s="133"/>
      <c r="AG783" s="133"/>
      <c r="AH783" s="133"/>
      <c r="AI783" s="133"/>
      <c r="AJ783" s="133"/>
      <c r="AK783" s="133"/>
      <c r="AL783" s="133"/>
      <c r="AM783" s="133"/>
      <c r="AN783" s="133"/>
      <c r="AO783" s="133"/>
      <c r="AP783" s="133"/>
      <c r="AQ783" s="133"/>
      <c r="AR783" s="133"/>
      <c r="AS783" s="153">
        <v>0</v>
      </c>
      <c r="AT783" s="153">
        <v>0</v>
      </c>
      <c r="AU783" s="153">
        <v>0</v>
      </c>
      <c r="AV783" s="153">
        <v>0</v>
      </c>
      <c r="AW783" s="153">
        <v>0</v>
      </c>
      <c r="AX783" s="153">
        <v>0</v>
      </c>
      <c r="AY783" s="135">
        <v>169491.53</v>
      </c>
      <c r="AZ783" s="135"/>
      <c r="BA783" s="135"/>
      <c r="BB783" s="135"/>
      <c r="BC783" s="135"/>
      <c r="BD783" s="135"/>
      <c r="BE783" s="135"/>
      <c r="BF783" s="135"/>
      <c r="BG783" s="135"/>
      <c r="BH783" s="135"/>
      <c r="BI783" s="2" t="s">
        <v>11</v>
      </c>
      <c r="BJ783" s="136"/>
      <c r="BK783" s="2">
        <v>0</v>
      </c>
      <c r="BL783" s="136" t="s">
        <v>18</v>
      </c>
      <c r="BM783" s="136">
        <v>45303</v>
      </c>
      <c r="BN783" s="2" t="s">
        <v>2789</v>
      </c>
      <c r="BO783" s="2"/>
      <c r="BP783" s="205"/>
      <c r="BQ783" s="137" t="s">
        <v>119</v>
      </c>
      <c r="BR783" s="138"/>
    </row>
    <row r="784" spans="1:70" ht="12.75" customHeight="1" x14ac:dyDescent="0.2">
      <c r="A784" s="2">
        <v>2273</v>
      </c>
      <c r="B784" s="2" t="s">
        <v>54</v>
      </c>
      <c r="C784" s="2" t="s">
        <v>96</v>
      </c>
      <c r="D784" s="2" t="s">
        <v>2780</v>
      </c>
      <c r="E784" s="2" t="s">
        <v>71</v>
      </c>
      <c r="F784" s="132">
        <v>175000</v>
      </c>
      <c r="G784" s="132">
        <v>2</v>
      </c>
      <c r="H784" s="132">
        <f>50000+50000</f>
        <v>100000</v>
      </c>
      <c r="I784" s="132"/>
      <c r="J784" s="132">
        <f>AY784+7627.118</f>
        <v>92372.877999999997</v>
      </c>
      <c r="K784" s="132">
        <f t="shared" si="80"/>
        <v>82627.122000000003</v>
      </c>
      <c r="L784" s="132">
        <f t="shared" si="81"/>
        <v>7627.122000000003</v>
      </c>
      <c r="M784" s="133"/>
      <c r="N784" s="133">
        <f t="shared" si="79"/>
        <v>82627.122000000003</v>
      </c>
      <c r="O784" s="134">
        <v>1</v>
      </c>
      <c r="P784" s="133"/>
      <c r="Q784" s="2" t="s">
        <v>2768</v>
      </c>
      <c r="R784" s="156">
        <f t="shared" si="82"/>
        <v>0</v>
      </c>
      <c r="S784" s="156">
        <f t="shared" si="83"/>
        <v>0</v>
      </c>
      <c r="T784" s="133"/>
      <c r="U784" s="133"/>
      <c r="V784" s="133"/>
      <c r="W784" s="133"/>
      <c r="X784" s="133"/>
      <c r="Y784" s="133"/>
      <c r="Z784" s="133"/>
      <c r="AA784" s="133"/>
      <c r="AB784" s="133"/>
      <c r="AC784" s="133"/>
      <c r="AD784" s="133"/>
      <c r="AE784" s="133"/>
      <c r="AF784" s="133"/>
      <c r="AG784" s="133"/>
      <c r="AH784" s="133"/>
      <c r="AI784" s="133"/>
      <c r="AJ784" s="133"/>
      <c r="AK784" s="133"/>
      <c r="AL784" s="133"/>
      <c r="AM784" s="133"/>
      <c r="AN784" s="133"/>
      <c r="AO784" s="133"/>
      <c r="AP784" s="133"/>
      <c r="AQ784" s="133"/>
      <c r="AR784" s="133"/>
      <c r="AS784" s="153">
        <v>0</v>
      </c>
      <c r="AT784" s="153">
        <v>0</v>
      </c>
      <c r="AU784" s="153">
        <v>0</v>
      </c>
      <c r="AV784" s="153">
        <v>0</v>
      </c>
      <c r="AW784" s="153">
        <v>0</v>
      </c>
      <c r="AX784" s="153">
        <v>0</v>
      </c>
      <c r="AY784" s="135">
        <f>42372.88+42372.88</f>
        <v>84745.76</v>
      </c>
      <c r="AZ784" s="135"/>
      <c r="BA784" s="135"/>
      <c r="BB784" s="135"/>
      <c r="BC784" s="135"/>
      <c r="BD784" s="135"/>
      <c r="BE784" s="135"/>
      <c r="BF784" s="135"/>
      <c r="BG784" s="135"/>
      <c r="BH784" s="135"/>
      <c r="BI784" s="2" t="s">
        <v>11</v>
      </c>
      <c r="BJ784" s="136"/>
      <c r="BK784" s="2">
        <v>70</v>
      </c>
      <c r="BL784" s="136" t="s">
        <v>18</v>
      </c>
      <c r="BM784" s="136">
        <v>45303</v>
      </c>
      <c r="BN784" s="2" t="s">
        <v>3477</v>
      </c>
      <c r="BO784" s="2"/>
      <c r="BP784" s="205"/>
      <c r="BQ784" s="137" t="s">
        <v>119</v>
      </c>
      <c r="BR784" s="138"/>
    </row>
    <row r="785" spans="1:70" ht="12.75" customHeight="1" x14ac:dyDescent="0.2">
      <c r="A785" s="2">
        <v>2274</v>
      </c>
      <c r="B785" s="2" t="s">
        <v>54</v>
      </c>
      <c r="C785" s="2" t="s">
        <v>97</v>
      </c>
      <c r="D785" s="2" t="s">
        <v>2781</v>
      </c>
      <c r="E785" s="2" t="s">
        <v>71</v>
      </c>
      <c r="F785" s="132">
        <v>160000</v>
      </c>
      <c r="G785" s="132">
        <v>2</v>
      </c>
      <c r="H785" s="132"/>
      <c r="I785" s="132"/>
      <c r="J785" s="132"/>
      <c r="K785" s="132">
        <f t="shared" si="80"/>
        <v>160000</v>
      </c>
      <c r="L785" s="132">
        <f t="shared" si="81"/>
        <v>0</v>
      </c>
      <c r="M785" s="133"/>
      <c r="N785" s="133">
        <f t="shared" si="79"/>
        <v>160000</v>
      </c>
      <c r="O785" s="134">
        <v>1</v>
      </c>
      <c r="P785" s="133"/>
      <c r="Q785" s="2" t="s">
        <v>2769</v>
      </c>
      <c r="R785" s="156">
        <f t="shared" si="82"/>
        <v>0</v>
      </c>
      <c r="S785" s="156">
        <f t="shared" si="83"/>
        <v>0</v>
      </c>
      <c r="T785" s="133"/>
      <c r="U785" s="133"/>
      <c r="V785" s="133"/>
      <c r="W785" s="133"/>
      <c r="X785" s="133"/>
      <c r="Y785" s="133"/>
      <c r="Z785" s="133"/>
      <c r="AA785" s="133"/>
      <c r="AB785" s="133"/>
      <c r="AC785" s="133"/>
      <c r="AD785" s="133"/>
      <c r="AE785" s="133"/>
      <c r="AF785" s="133"/>
      <c r="AG785" s="133"/>
      <c r="AH785" s="133"/>
      <c r="AI785" s="133"/>
      <c r="AJ785" s="133"/>
      <c r="AK785" s="133"/>
      <c r="AL785" s="133"/>
      <c r="AM785" s="133"/>
      <c r="AN785" s="133"/>
      <c r="AO785" s="133"/>
      <c r="AP785" s="133"/>
      <c r="AQ785" s="133"/>
      <c r="AR785" s="133"/>
      <c r="AS785" s="153">
        <v>0</v>
      </c>
      <c r="AT785" s="153">
        <v>0</v>
      </c>
      <c r="AU785" s="153">
        <v>0</v>
      </c>
      <c r="AV785" s="153">
        <v>0</v>
      </c>
      <c r="AW785" s="153">
        <v>0</v>
      </c>
      <c r="AX785" s="153">
        <v>0</v>
      </c>
      <c r="AY785" s="135"/>
      <c r="AZ785" s="135"/>
      <c r="BA785" s="135"/>
      <c r="BB785" s="135"/>
      <c r="BC785" s="135"/>
      <c r="BD785" s="135"/>
      <c r="BE785" s="135"/>
      <c r="BF785" s="135"/>
      <c r="BG785" s="135"/>
      <c r="BH785" s="135"/>
      <c r="BI785" s="2" t="s">
        <v>11</v>
      </c>
      <c r="BJ785" s="136"/>
      <c r="BK785" s="2">
        <v>0</v>
      </c>
      <c r="BL785" s="136" t="s">
        <v>18</v>
      </c>
      <c r="BM785" s="136">
        <v>45303</v>
      </c>
      <c r="BN785" s="2" t="s">
        <v>2790</v>
      </c>
      <c r="BO785" s="2"/>
      <c r="BP785" s="205"/>
      <c r="BQ785" s="137" t="s">
        <v>119</v>
      </c>
      <c r="BR785" s="138"/>
    </row>
    <row r="786" spans="1:70" ht="12.75" customHeight="1" x14ac:dyDescent="0.2">
      <c r="A786" s="2">
        <v>2275</v>
      </c>
      <c r="B786" s="2" t="s">
        <v>54</v>
      </c>
      <c r="C786" s="2" t="s">
        <v>97</v>
      </c>
      <c r="D786" s="2" t="s">
        <v>2782</v>
      </c>
      <c r="E786" s="2" t="s">
        <v>71</v>
      </c>
      <c r="F786" s="132">
        <v>20000</v>
      </c>
      <c r="G786" s="132">
        <v>2</v>
      </c>
      <c r="H786" s="132"/>
      <c r="I786" s="132"/>
      <c r="J786" s="132"/>
      <c r="K786" s="132">
        <f t="shared" si="80"/>
        <v>20000</v>
      </c>
      <c r="L786" s="132">
        <f t="shared" si="81"/>
        <v>0</v>
      </c>
      <c r="M786" s="133"/>
      <c r="N786" s="133">
        <f t="shared" si="79"/>
        <v>20000</v>
      </c>
      <c r="O786" s="134">
        <v>1</v>
      </c>
      <c r="P786" s="133"/>
      <c r="Q786" s="2" t="s">
        <v>2770</v>
      </c>
      <c r="R786" s="156">
        <f t="shared" si="82"/>
        <v>0</v>
      </c>
      <c r="S786" s="156">
        <f t="shared" si="83"/>
        <v>0</v>
      </c>
      <c r="T786" s="133"/>
      <c r="U786" s="133"/>
      <c r="V786" s="133"/>
      <c r="W786" s="133"/>
      <c r="X786" s="133"/>
      <c r="Y786" s="133"/>
      <c r="Z786" s="133"/>
      <c r="AA786" s="133"/>
      <c r="AB786" s="133"/>
      <c r="AC786" s="133"/>
      <c r="AD786" s="133"/>
      <c r="AE786" s="133"/>
      <c r="AF786" s="133"/>
      <c r="AG786" s="133"/>
      <c r="AH786" s="133"/>
      <c r="AI786" s="133"/>
      <c r="AJ786" s="133"/>
      <c r="AK786" s="133"/>
      <c r="AL786" s="133"/>
      <c r="AM786" s="133"/>
      <c r="AN786" s="133"/>
      <c r="AO786" s="133"/>
      <c r="AP786" s="133"/>
      <c r="AQ786" s="133"/>
      <c r="AR786" s="133"/>
      <c r="AS786" s="153">
        <v>0</v>
      </c>
      <c r="AT786" s="153">
        <v>0</v>
      </c>
      <c r="AU786" s="153">
        <v>0</v>
      </c>
      <c r="AV786" s="153">
        <v>0</v>
      </c>
      <c r="AW786" s="153">
        <v>0</v>
      </c>
      <c r="AX786" s="153">
        <v>0</v>
      </c>
      <c r="AY786" s="135"/>
      <c r="AZ786" s="135"/>
      <c r="BA786" s="135"/>
      <c r="BB786" s="135"/>
      <c r="BC786" s="135"/>
      <c r="BD786" s="135"/>
      <c r="BE786" s="135"/>
      <c r="BF786" s="135"/>
      <c r="BG786" s="135"/>
      <c r="BH786" s="135"/>
      <c r="BI786" s="2" t="s">
        <v>11</v>
      </c>
      <c r="BJ786" s="136"/>
      <c r="BK786" s="2">
        <v>0</v>
      </c>
      <c r="BL786" s="136" t="s">
        <v>18</v>
      </c>
      <c r="BM786" s="136">
        <v>45303</v>
      </c>
      <c r="BN786" s="2" t="s">
        <v>2791</v>
      </c>
      <c r="BO786" s="2"/>
      <c r="BP786" s="205"/>
      <c r="BQ786" s="137" t="s">
        <v>119</v>
      </c>
      <c r="BR786" s="138"/>
    </row>
    <row r="787" spans="1:70" ht="12.75" customHeight="1" x14ac:dyDescent="0.2">
      <c r="A787" s="2">
        <v>2276</v>
      </c>
      <c r="B787" s="2" t="s">
        <v>54</v>
      </c>
      <c r="C787" s="2" t="s">
        <v>96</v>
      </c>
      <c r="D787" s="2" t="s">
        <v>2783</v>
      </c>
      <c r="E787" s="2" t="s">
        <v>71</v>
      </c>
      <c r="F787" s="132">
        <v>20000</v>
      </c>
      <c r="G787" s="132">
        <v>2</v>
      </c>
      <c r="H787" s="132"/>
      <c r="I787" s="132"/>
      <c r="J787" s="132"/>
      <c r="K787" s="132">
        <f t="shared" si="80"/>
        <v>20000</v>
      </c>
      <c r="L787" s="132">
        <f t="shared" si="81"/>
        <v>0</v>
      </c>
      <c r="M787" s="133"/>
      <c r="N787" s="133">
        <f t="shared" si="79"/>
        <v>20000</v>
      </c>
      <c r="O787" s="134">
        <v>1</v>
      </c>
      <c r="P787" s="133"/>
      <c r="Q787" s="2" t="s">
        <v>2771</v>
      </c>
      <c r="R787" s="156">
        <f t="shared" si="82"/>
        <v>0</v>
      </c>
      <c r="S787" s="156">
        <f t="shared" si="83"/>
        <v>0</v>
      </c>
      <c r="T787" s="133"/>
      <c r="U787" s="133"/>
      <c r="V787" s="133"/>
      <c r="W787" s="133"/>
      <c r="X787" s="133"/>
      <c r="Y787" s="133"/>
      <c r="Z787" s="133"/>
      <c r="AA787" s="133"/>
      <c r="AB787" s="133"/>
      <c r="AC787" s="133"/>
      <c r="AD787" s="133"/>
      <c r="AE787" s="133"/>
      <c r="AF787" s="133"/>
      <c r="AG787" s="133"/>
      <c r="AH787" s="133"/>
      <c r="AI787" s="133"/>
      <c r="AJ787" s="133"/>
      <c r="AK787" s="133"/>
      <c r="AL787" s="133"/>
      <c r="AM787" s="133"/>
      <c r="AN787" s="133"/>
      <c r="AO787" s="133"/>
      <c r="AP787" s="133"/>
      <c r="AQ787" s="133"/>
      <c r="AR787" s="133"/>
      <c r="AS787" s="153">
        <v>0</v>
      </c>
      <c r="AT787" s="153">
        <v>0</v>
      </c>
      <c r="AU787" s="153">
        <v>0</v>
      </c>
      <c r="AV787" s="153">
        <v>0</v>
      </c>
      <c r="AW787" s="153">
        <v>0</v>
      </c>
      <c r="AX787" s="153">
        <v>0</v>
      </c>
      <c r="AY787" s="135"/>
      <c r="AZ787" s="135"/>
      <c r="BA787" s="135"/>
      <c r="BB787" s="135"/>
      <c r="BC787" s="135"/>
      <c r="BD787" s="135"/>
      <c r="BE787" s="135"/>
      <c r="BF787" s="135"/>
      <c r="BG787" s="135"/>
      <c r="BH787" s="135"/>
      <c r="BI787" s="2" t="s">
        <v>11</v>
      </c>
      <c r="BJ787" s="136"/>
      <c r="BK787" s="2">
        <v>0</v>
      </c>
      <c r="BL787" s="136" t="s">
        <v>18</v>
      </c>
      <c r="BM787" s="136">
        <v>45303</v>
      </c>
      <c r="BN787" s="2" t="s">
        <v>2792</v>
      </c>
      <c r="BO787" s="2"/>
      <c r="BP787" s="205"/>
      <c r="BQ787" s="137" t="s">
        <v>119</v>
      </c>
      <c r="BR787" s="138"/>
    </row>
    <row r="788" spans="1:70" ht="12.75" customHeight="1" x14ac:dyDescent="0.2">
      <c r="A788" s="2">
        <v>2277</v>
      </c>
      <c r="B788" s="2" t="s">
        <v>54</v>
      </c>
      <c r="C788" s="2" t="s">
        <v>96</v>
      </c>
      <c r="D788" s="2" t="s">
        <v>2784</v>
      </c>
      <c r="E788" s="2" t="s">
        <v>71</v>
      </c>
      <c r="F788" s="132">
        <v>10000</v>
      </c>
      <c r="G788" s="132">
        <v>2</v>
      </c>
      <c r="H788" s="132"/>
      <c r="I788" s="132"/>
      <c r="J788" s="132"/>
      <c r="K788" s="132">
        <f t="shared" si="80"/>
        <v>10000</v>
      </c>
      <c r="L788" s="132">
        <f t="shared" si="81"/>
        <v>0</v>
      </c>
      <c r="M788" s="133"/>
      <c r="N788" s="133">
        <f t="shared" si="79"/>
        <v>10000</v>
      </c>
      <c r="O788" s="134">
        <v>1</v>
      </c>
      <c r="P788" s="133"/>
      <c r="Q788" s="2" t="s">
        <v>2772</v>
      </c>
      <c r="R788" s="156">
        <f t="shared" si="82"/>
        <v>0</v>
      </c>
      <c r="S788" s="156">
        <f t="shared" si="83"/>
        <v>0</v>
      </c>
      <c r="T788" s="133"/>
      <c r="U788" s="133"/>
      <c r="V788" s="133"/>
      <c r="W788" s="133"/>
      <c r="X788" s="133"/>
      <c r="Y788" s="133"/>
      <c r="Z788" s="133"/>
      <c r="AA788" s="133"/>
      <c r="AB788" s="133"/>
      <c r="AC788" s="133"/>
      <c r="AD788" s="133"/>
      <c r="AE788" s="133"/>
      <c r="AF788" s="133"/>
      <c r="AG788" s="133"/>
      <c r="AH788" s="133"/>
      <c r="AI788" s="133"/>
      <c r="AJ788" s="133"/>
      <c r="AK788" s="133"/>
      <c r="AL788" s="133"/>
      <c r="AM788" s="133"/>
      <c r="AN788" s="133"/>
      <c r="AO788" s="133"/>
      <c r="AP788" s="133"/>
      <c r="AQ788" s="133"/>
      <c r="AR788" s="133"/>
      <c r="AS788" s="153">
        <v>0</v>
      </c>
      <c r="AT788" s="153">
        <v>0</v>
      </c>
      <c r="AU788" s="153">
        <v>0</v>
      </c>
      <c r="AV788" s="153">
        <v>0</v>
      </c>
      <c r="AW788" s="153">
        <v>0</v>
      </c>
      <c r="AX788" s="153">
        <v>0</v>
      </c>
      <c r="AY788" s="135"/>
      <c r="AZ788" s="135"/>
      <c r="BA788" s="135"/>
      <c r="BB788" s="135"/>
      <c r="BC788" s="135"/>
      <c r="BD788" s="135"/>
      <c r="BE788" s="135"/>
      <c r="BF788" s="135"/>
      <c r="BG788" s="135"/>
      <c r="BH788" s="135"/>
      <c r="BI788" s="2" t="s">
        <v>11</v>
      </c>
      <c r="BJ788" s="136"/>
      <c r="BK788" s="2">
        <v>0</v>
      </c>
      <c r="BL788" s="136" t="s">
        <v>18</v>
      </c>
      <c r="BM788" s="136">
        <v>45303</v>
      </c>
      <c r="BN788" s="2" t="s">
        <v>2793</v>
      </c>
      <c r="BO788" s="2"/>
      <c r="BP788" s="205"/>
      <c r="BQ788" s="137" t="s">
        <v>119</v>
      </c>
      <c r="BR788" s="138"/>
    </row>
    <row r="789" spans="1:70" ht="12.75" customHeight="1" x14ac:dyDescent="0.2">
      <c r="A789" s="2">
        <v>2278</v>
      </c>
      <c r="B789" s="2" t="s">
        <v>54</v>
      </c>
      <c r="C789" s="2" t="s">
        <v>96</v>
      </c>
      <c r="D789" s="2" t="s">
        <v>2785</v>
      </c>
      <c r="E789" s="2" t="s">
        <v>71</v>
      </c>
      <c r="F789" s="132">
        <v>5000</v>
      </c>
      <c r="G789" s="132">
        <v>2</v>
      </c>
      <c r="H789" s="132"/>
      <c r="I789" s="132"/>
      <c r="J789" s="132"/>
      <c r="K789" s="132">
        <f t="shared" si="80"/>
        <v>5000</v>
      </c>
      <c r="L789" s="132">
        <f t="shared" si="81"/>
        <v>0</v>
      </c>
      <c r="M789" s="133"/>
      <c r="N789" s="133">
        <f t="shared" si="79"/>
        <v>5000</v>
      </c>
      <c r="O789" s="134">
        <v>1</v>
      </c>
      <c r="P789" s="133"/>
      <c r="Q789" s="2" t="s">
        <v>2773</v>
      </c>
      <c r="R789" s="156">
        <f t="shared" si="82"/>
        <v>0</v>
      </c>
      <c r="S789" s="156">
        <f t="shared" si="83"/>
        <v>0</v>
      </c>
      <c r="T789" s="133"/>
      <c r="U789" s="133"/>
      <c r="V789" s="133"/>
      <c r="W789" s="133"/>
      <c r="X789" s="133"/>
      <c r="Y789" s="133"/>
      <c r="Z789" s="133"/>
      <c r="AA789" s="133"/>
      <c r="AB789" s="133"/>
      <c r="AC789" s="133"/>
      <c r="AD789" s="133"/>
      <c r="AE789" s="133"/>
      <c r="AF789" s="133"/>
      <c r="AG789" s="133"/>
      <c r="AH789" s="133"/>
      <c r="AI789" s="133"/>
      <c r="AJ789" s="133"/>
      <c r="AK789" s="133"/>
      <c r="AL789" s="133"/>
      <c r="AM789" s="133"/>
      <c r="AN789" s="133"/>
      <c r="AO789" s="133"/>
      <c r="AP789" s="133"/>
      <c r="AQ789" s="133"/>
      <c r="AR789" s="133"/>
      <c r="AS789" s="153">
        <v>0</v>
      </c>
      <c r="AT789" s="153">
        <v>0</v>
      </c>
      <c r="AU789" s="153">
        <v>0</v>
      </c>
      <c r="AV789" s="153">
        <v>0</v>
      </c>
      <c r="AW789" s="153">
        <v>0</v>
      </c>
      <c r="AX789" s="153">
        <v>0</v>
      </c>
      <c r="AY789" s="135"/>
      <c r="AZ789" s="135"/>
      <c r="BA789" s="135"/>
      <c r="BB789" s="135"/>
      <c r="BC789" s="135"/>
      <c r="BD789" s="135"/>
      <c r="BE789" s="135"/>
      <c r="BF789" s="135"/>
      <c r="BG789" s="135"/>
      <c r="BH789" s="135"/>
      <c r="BI789" s="2" t="s">
        <v>11</v>
      </c>
      <c r="BJ789" s="136"/>
      <c r="BK789" s="2">
        <v>0</v>
      </c>
      <c r="BL789" s="136" t="s">
        <v>18</v>
      </c>
      <c r="BM789" s="136">
        <v>45303</v>
      </c>
      <c r="BN789" s="2" t="s">
        <v>2794</v>
      </c>
      <c r="BO789" s="2"/>
      <c r="BP789" s="205"/>
      <c r="BQ789" s="137" t="s">
        <v>119</v>
      </c>
      <c r="BR789" s="138"/>
    </row>
    <row r="790" spans="1:70" ht="12.75" customHeight="1" x14ac:dyDescent="0.2">
      <c r="A790" s="2">
        <v>2279</v>
      </c>
      <c r="B790" s="2" t="s">
        <v>54</v>
      </c>
      <c r="C790" s="2" t="s">
        <v>96</v>
      </c>
      <c r="D790" s="2" t="s">
        <v>2786</v>
      </c>
      <c r="E790" s="2" t="s">
        <v>71</v>
      </c>
      <c r="F790" s="132">
        <v>5000</v>
      </c>
      <c r="G790" s="132">
        <v>2</v>
      </c>
      <c r="H790" s="132"/>
      <c r="I790" s="132"/>
      <c r="J790" s="132"/>
      <c r="K790" s="132">
        <f t="shared" si="80"/>
        <v>5000</v>
      </c>
      <c r="L790" s="132">
        <f t="shared" si="81"/>
        <v>0</v>
      </c>
      <c r="M790" s="133"/>
      <c r="N790" s="133">
        <f t="shared" si="79"/>
        <v>5000</v>
      </c>
      <c r="O790" s="134">
        <v>1</v>
      </c>
      <c r="P790" s="133"/>
      <c r="Q790" s="2" t="s">
        <v>2774</v>
      </c>
      <c r="R790" s="156">
        <f t="shared" si="82"/>
        <v>0</v>
      </c>
      <c r="S790" s="156">
        <f t="shared" si="83"/>
        <v>0</v>
      </c>
      <c r="T790" s="133"/>
      <c r="U790" s="133"/>
      <c r="V790" s="133"/>
      <c r="W790" s="133"/>
      <c r="X790" s="133"/>
      <c r="Y790" s="133"/>
      <c r="Z790" s="133"/>
      <c r="AA790" s="133"/>
      <c r="AB790" s="133"/>
      <c r="AC790" s="133"/>
      <c r="AD790" s="133"/>
      <c r="AE790" s="133"/>
      <c r="AF790" s="133"/>
      <c r="AG790" s="133"/>
      <c r="AH790" s="133"/>
      <c r="AI790" s="133"/>
      <c r="AJ790" s="133"/>
      <c r="AK790" s="133"/>
      <c r="AL790" s="133"/>
      <c r="AM790" s="133"/>
      <c r="AN790" s="133"/>
      <c r="AO790" s="133"/>
      <c r="AP790" s="133"/>
      <c r="AQ790" s="133"/>
      <c r="AR790" s="133"/>
      <c r="AS790" s="153">
        <v>0</v>
      </c>
      <c r="AT790" s="153">
        <v>0</v>
      </c>
      <c r="AU790" s="153">
        <v>0</v>
      </c>
      <c r="AV790" s="153">
        <v>0</v>
      </c>
      <c r="AW790" s="153">
        <v>0</v>
      </c>
      <c r="AX790" s="153">
        <v>0</v>
      </c>
      <c r="AY790" s="135"/>
      <c r="AZ790" s="135"/>
      <c r="BA790" s="135"/>
      <c r="BB790" s="135"/>
      <c r="BC790" s="135"/>
      <c r="BD790" s="135"/>
      <c r="BE790" s="135"/>
      <c r="BF790" s="135"/>
      <c r="BG790" s="135"/>
      <c r="BH790" s="135"/>
      <c r="BI790" s="2" t="s">
        <v>11</v>
      </c>
      <c r="BJ790" s="136"/>
      <c r="BK790" s="2">
        <v>0</v>
      </c>
      <c r="BL790" s="136" t="s">
        <v>18</v>
      </c>
      <c r="BM790" s="136">
        <v>45303</v>
      </c>
      <c r="BN790" s="2" t="s">
        <v>2795</v>
      </c>
      <c r="BO790" s="2"/>
      <c r="BP790" s="205"/>
      <c r="BQ790" s="137" t="s">
        <v>119</v>
      </c>
      <c r="BR790" s="138"/>
    </row>
    <row r="791" spans="1:70" ht="12.75" customHeight="1" x14ac:dyDescent="0.2">
      <c r="A791" s="2">
        <v>2280</v>
      </c>
      <c r="B791" s="2" t="s">
        <v>54</v>
      </c>
      <c r="C791" s="2" t="s">
        <v>96</v>
      </c>
      <c r="D791" s="2" t="s">
        <v>2787</v>
      </c>
      <c r="E791" s="2" t="s">
        <v>71</v>
      </c>
      <c r="F791" s="132">
        <v>5000</v>
      </c>
      <c r="G791" s="132">
        <v>2</v>
      </c>
      <c r="H791" s="132"/>
      <c r="I791" s="132"/>
      <c r="J791" s="132"/>
      <c r="K791" s="132">
        <f t="shared" si="80"/>
        <v>5000</v>
      </c>
      <c r="L791" s="132">
        <f t="shared" si="81"/>
        <v>0</v>
      </c>
      <c r="M791" s="133"/>
      <c r="N791" s="133">
        <f t="shared" si="79"/>
        <v>5000</v>
      </c>
      <c r="O791" s="134">
        <v>1</v>
      </c>
      <c r="P791" s="133"/>
      <c r="Q791" s="2" t="s">
        <v>2775</v>
      </c>
      <c r="R791" s="156">
        <f t="shared" si="82"/>
        <v>0</v>
      </c>
      <c r="S791" s="156">
        <f t="shared" si="83"/>
        <v>0</v>
      </c>
      <c r="T791" s="133"/>
      <c r="U791" s="133"/>
      <c r="V791" s="133"/>
      <c r="W791" s="133"/>
      <c r="X791" s="133"/>
      <c r="Y791" s="133"/>
      <c r="Z791" s="133"/>
      <c r="AA791" s="133"/>
      <c r="AB791" s="133"/>
      <c r="AC791" s="133"/>
      <c r="AD791" s="133"/>
      <c r="AE791" s="133"/>
      <c r="AF791" s="133"/>
      <c r="AG791" s="133"/>
      <c r="AH791" s="133"/>
      <c r="AI791" s="133"/>
      <c r="AJ791" s="133"/>
      <c r="AK791" s="133"/>
      <c r="AL791" s="133"/>
      <c r="AM791" s="133"/>
      <c r="AN791" s="133"/>
      <c r="AO791" s="133"/>
      <c r="AP791" s="133"/>
      <c r="AQ791" s="133"/>
      <c r="AR791" s="133"/>
      <c r="AS791" s="153">
        <v>0</v>
      </c>
      <c r="AT791" s="153">
        <v>0</v>
      </c>
      <c r="AU791" s="153">
        <v>0</v>
      </c>
      <c r="AV791" s="153"/>
      <c r="AW791" s="153"/>
      <c r="AX791" s="153"/>
      <c r="AY791" s="135"/>
      <c r="AZ791" s="135"/>
      <c r="BA791" s="135"/>
      <c r="BB791" s="135"/>
      <c r="BC791" s="135"/>
      <c r="BD791" s="135"/>
      <c r="BE791" s="135"/>
      <c r="BF791" s="135"/>
      <c r="BG791" s="135"/>
      <c r="BH791" s="135"/>
      <c r="BI791" s="2" t="s">
        <v>11</v>
      </c>
      <c r="BJ791" s="136"/>
      <c r="BK791" s="2">
        <v>0</v>
      </c>
      <c r="BL791" s="136" t="s">
        <v>18</v>
      </c>
      <c r="BM791" s="136">
        <v>45303</v>
      </c>
      <c r="BN791" s="2" t="s">
        <v>2796</v>
      </c>
      <c r="BO791" s="2"/>
      <c r="BP791" s="205"/>
      <c r="BQ791" s="137" t="s">
        <v>119</v>
      </c>
      <c r="BR791" s="138"/>
    </row>
    <row r="792" spans="1:70" ht="12.75" customHeight="1" x14ac:dyDescent="0.2">
      <c r="A792" s="2">
        <v>2281</v>
      </c>
      <c r="B792" s="2" t="s">
        <v>108</v>
      </c>
      <c r="C792" s="2" t="s">
        <v>43</v>
      </c>
      <c r="D792" s="2" t="s">
        <v>2830</v>
      </c>
      <c r="E792" s="2" t="s">
        <v>106</v>
      </c>
      <c r="F792" s="132">
        <v>34615</v>
      </c>
      <c r="G792" s="132">
        <v>2</v>
      </c>
      <c r="H792" s="132">
        <f>19780*1.75</f>
        <v>34615</v>
      </c>
      <c r="I792" s="132"/>
      <c r="J792" s="132">
        <v>34615</v>
      </c>
      <c r="K792" s="132">
        <f t="shared" si="80"/>
        <v>0</v>
      </c>
      <c r="L792" s="132">
        <f t="shared" si="81"/>
        <v>0</v>
      </c>
      <c r="M792" s="133"/>
      <c r="N792" s="133">
        <f t="shared" si="79"/>
        <v>0</v>
      </c>
      <c r="O792" s="134">
        <v>0</v>
      </c>
      <c r="P792" s="133"/>
      <c r="Q792" s="2" t="s">
        <v>3367</v>
      </c>
      <c r="R792" s="156">
        <f t="shared" si="82"/>
        <v>0</v>
      </c>
      <c r="S792" s="156">
        <f t="shared" si="83"/>
        <v>0</v>
      </c>
      <c r="T792" s="133"/>
      <c r="U792" s="133"/>
      <c r="V792" s="133"/>
      <c r="W792" s="133"/>
      <c r="X792" s="133"/>
      <c r="Y792" s="133"/>
      <c r="Z792" s="133"/>
      <c r="AA792" s="133"/>
      <c r="AB792" s="133"/>
      <c r="AC792" s="133"/>
      <c r="AD792" s="133"/>
      <c r="AE792" s="133"/>
      <c r="AF792" s="133"/>
      <c r="AG792" s="133"/>
      <c r="AH792" s="133"/>
      <c r="AI792" s="133"/>
      <c r="AJ792" s="133"/>
      <c r="AK792" s="133"/>
      <c r="AL792" s="133"/>
      <c r="AM792" s="133"/>
      <c r="AN792" s="133"/>
      <c r="AO792" s="133"/>
      <c r="AP792" s="133"/>
      <c r="AQ792" s="133"/>
      <c r="AR792" s="133"/>
      <c r="AS792" s="153">
        <v>0</v>
      </c>
      <c r="AT792" s="153">
        <v>0</v>
      </c>
      <c r="AU792" s="153">
        <v>0</v>
      </c>
      <c r="AV792" s="153">
        <v>0</v>
      </c>
      <c r="AW792" s="153">
        <v>0</v>
      </c>
      <c r="AX792" s="153">
        <v>0</v>
      </c>
      <c r="AY792" s="135"/>
      <c r="AZ792" s="135"/>
      <c r="BA792" s="135"/>
      <c r="BB792" s="135"/>
      <c r="BC792" s="135"/>
      <c r="BD792" s="135"/>
      <c r="BE792" s="135"/>
      <c r="BF792" s="135"/>
      <c r="BG792" s="135"/>
      <c r="BH792" s="135"/>
      <c r="BI792" s="2" t="s">
        <v>112</v>
      </c>
      <c r="BJ792" s="136">
        <v>45537</v>
      </c>
      <c r="BK792" s="2" t="s">
        <v>145</v>
      </c>
      <c r="BL792" s="136" t="s">
        <v>113</v>
      </c>
      <c r="BM792" s="136">
        <v>45300</v>
      </c>
      <c r="BN792" s="2" t="s">
        <v>2898</v>
      </c>
      <c r="BO792" s="2"/>
      <c r="BP792" s="205"/>
      <c r="BQ792" s="137" t="s">
        <v>134</v>
      </c>
      <c r="BR792" s="138"/>
    </row>
    <row r="793" spans="1:70" ht="12.75" customHeight="1" x14ac:dyDescent="0.2">
      <c r="A793" s="2">
        <v>2282</v>
      </c>
      <c r="B793" s="2" t="s">
        <v>108</v>
      </c>
      <c r="C793" s="2" t="s">
        <v>43</v>
      </c>
      <c r="D793" s="2" t="s">
        <v>2831</v>
      </c>
      <c r="E793" s="2" t="s">
        <v>90</v>
      </c>
      <c r="F793" s="132">
        <v>1080000</v>
      </c>
      <c r="G793" s="132">
        <v>2</v>
      </c>
      <c r="H793" s="132">
        <f>400000+R793</f>
        <v>880000</v>
      </c>
      <c r="I793" s="132"/>
      <c r="J793" s="132">
        <f>61016.949+S793+AY793+BC793</f>
        <v>473220.33899999998</v>
      </c>
      <c r="K793" s="132">
        <f t="shared" si="80"/>
        <v>606779.66100000008</v>
      </c>
      <c r="L793" s="132">
        <f t="shared" si="81"/>
        <v>406779.66100000002</v>
      </c>
      <c r="M793" s="133"/>
      <c r="N793" s="133">
        <f t="shared" si="79"/>
        <v>606779.66100000008</v>
      </c>
      <c r="O793" s="134">
        <v>1</v>
      </c>
      <c r="P793" s="133"/>
      <c r="Q793" s="2" t="s">
        <v>3367</v>
      </c>
      <c r="R793" s="156">
        <f t="shared" si="82"/>
        <v>480000</v>
      </c>
      <c r="S793" s="156">
        <f t="shared" si="83"/>
        <v>73220.34</v>
      </c>
      <c r="T793" s="133"/>
      <c r="U793" s="133"/>
      <c r="V793" s="133">
        <v>300000</v>
      </c>
      <c r="W793" s="133"/>
      <c r="X793" s="133"/>
      <c r="Y793" s="133">
        <v>45762.71</v>
      </c>
      <c r="Z793" s="133">
        <v>180000</v>
      </c>
      <c r="AA793" s="133"/>
      <c r="AB793" s="133"/>
      <c r="AC793" s="133">
        <v>27457.63</v>
      </c>
      <c r="AD793" s="133"/>
      <c r="AE793" s="133"/>
      <c r="AF793" s="133"/>
      <c r="AG793" s="133"/>
      <c r="AH793" s="133"/>
      <c r="AI793" s="133"/>
      <c r="AJ793" s="133"/>
      <c r="AK793" s="133"/>
      <c r="AL793" s="133"/>
      <c r="AM793" s="133"/>
      <c r="AN793" s="133"/>
      <c r="AO793" s="133"/>
      <c r="AP793" s="133"/>
      <c r="AQ793" s="133"/>
      <c r="AR793" s="133"/>
      <c r="AS793" s="153">
        <v>0</v>
      </c>
      <c r="AT793" s="153">
        <v>0</v>
      </c>
      <c r="AU793" s="153">
        <v>0</v>
      </c>
      <c r="AV793" s="153">
        <v>0</v>
      </c>
      <c r="AW793" s="153">
        <v>0</v>
      </c>
      <c r="AX793" s="153">
        <v>0</v>
      </c>
      <c r="AY793" s="135">
        <v>338983.05</v>
      </c>
      <c r="AZ793" s="135"/>
      <c r="BA793" s="135"/>
      <c r="BB793" s="135"/>
      <c r="BC793" s="135"/>
      <c r="BD793" s="135"/>
      <c r="BE793" s="135"/>
      <c r="BF793" s="135"/>
      <c r="BG793" s="135"/>
      <c r="BH793" s="135"/>
      <c r="BI793" s="2" t="s">
        <v>11</v>
      </c>
      <c r="BJ793" s="136"/>
      <c r="BK793" s="2">
        <v>80</v>
      </c>
      <c r="BL793" s="136" t="s">
        <v>113</v>
      </c>
      <c r="BM793" s="136">
        <v>45300</v>
      </c>
      <c r="BN793" s="2" t="s">
        <v>2899</v>
      </c>
      <c r="BO793" s="2"/>
      <c r="BP793" s="205"/>
      <c r="BQ793" s="137" t="s">
        <v>119</v>
      </c>
      <c r="BR793" s="138"/>
    </row>
    <row r="794" spans="1:70" ht="12.75" customHeight="1" x14ac:dyDescent="0.2">
      <c r="A794" s="2">
        <v>2283</v>
      </c>
      <c r="B794" s="2" t="s">
        <v>108</v>
      </c>
      <c r="C794" s="2" t="s">
        <v>43</v>
      </c>
      <c r="D794" s="2" t="s">
        <v>2832</v>
      </c>
      <c r="E794" s="2" t="s">
        <v>106</v>
      </c>
      <c r="F794" s="132">
        <f>7166*1.75</f>
        <v>12540.5</v>
      </c>
      <c r="G794" s="132">
        <v>2</v>
      </c>
      <c r="H794" s="132">
        <f>7166*1.75</f>
        <v>12540.5</v>
      </c>
      <c r="I794" s="132"/>
      <c r="J794" s="132">
        <f>1912.96+10627.54</f>
        <v>12540.5</v>
      </c>
      <c r="K794" s="132">
        <f t="shared" si="80"/>
        <v>0</v>
      </c>
      <c r="L794" s="132">
        <f t="shared" si="81"/>
        <v>0</v>
      </c>
      <c r="M794" s="133"/>
      <c r="N794" s="133">
        <f t="shared" si="79"/>
        <v>0</v>
      </c>
      <c r="O794" s="134">
        <v>0</v>
      </c>
      <c r="P794" s="133"/>
      <c r="Q794" s="2" t="s">
        <v>2797</v>
      </c>
      <c r="R794" s="156">
        <f t="shared" si="82"/>
        <v>0</v>
      </c>
      <c r="S794" s="156">
        <f t="shared" si="83"/>
        <v>0</v>
      </c>
      <c r="T794" s="133"/>
      <c r="U794" s="133"/>
      <c r="V794" s="133"/>
      <c r="W794" s="133"/>
      <c r="X794" s="133"/>
      <c r="Y794" s="133"/>
      <c r="Z794" s="133"/>
      <c r="AA794" s="133"/>
      <c r="AB794" s="133"/>
      <c r="AC794" s="133"/>
      <c r="AD794" s="133"/>
      <c r="AE794" s="133"/>
      <c r="AF794" s="133"/>
      <c r="AG794" s="133"/>
      <c r="AH794" s="133"/>
      <c r="AI794" s="133"/>
      <c r="AJ794" s="133"/>
      <c r="AK794" s="133"/>
      <c r="AL794" s="133"/>
      <c r="AM794" s="133"/>
      <c r="AN794" s="133"/>
      <c r="AO794" s="133"/>
      <c r="AP794" s="133"/>
      <c r="AQ794" s="133"/>
      <c r="AR794" s="133"/>
      <c r="AS794" s="153">
        <v>0</v>
      </c>
      <c r="AT794" s="153">
        <v>0</v>
      </c>
      <c r="AU794" s="153">
        <v>0</v>
      </c>
      <c r="AV794" s="153">
        <v>0</v>
      </c>
      <c r="AW794" s="153">
        <v>0</v>
      </c>
      <c r="AX794" s="153">
        <v>0</v>
      </c>
      <c r="AY794" s="135"/>
      <c r="AZ794" s="135"/>
      <c r="BA794" s="135"/>
      <c r="BB794" s="135"/>
      <c r="BC794" s="135"/>
      <c r="BD794" s="135"/>
      <c r="BE794" s="135"/>
      <c r="BF794" s="135"/>
      <c r="BG794" s="135"/>
      <c r="BH794" s="135"/>
      <c r="BI794" s="2" t="s">
        <v>112</v>
      </c>
      <c r="BJ794" s="136">
        <v>45425</v>
      </c>
      <c r="BK794" s="2" t="s">
        <v>145</v>
      </c>
      <c r="BL794" s="136" t="s">
        <v>113</v>
      </c>
      <c r="BM794" s="136">
        <v>45300</v>
      </c>
      <c r="BN794" s="2" t="s">
        <v>2900</v>
      </c>
      <c r="BO794" s="2"/>
      <c r="BP794" s="205"/>
      <c r="BQ794" s="137" t="s">
        <v>134</v>
      </c>
      <c r="BR794" s="138"/>
    </row>
    <row r="795" spans="1:70" ht="12.75" customHeight="1" x14ac:dyDescent="0.2">
      <c r="A795" s="2">
        <v>2284</v>
      </c>
      <c r="B795" s="2" t="s">
        <v>108</v>
      </c>
      <c r="C795" s="2" t="s">
        <v>43</v>
      </c>
      <c r="D795" s="2" t="s">
        <v>2833</v>
      </c>
      <c r="E795" s="2" t="s">
        <v>90</v>
      </c>
      <c r="F795" s="132">
        <v>910000</v>
      </c>
      <c r="G795" s="132">
        <v>2</v>
      </c>
      <c r="H795" s="132">
        <f>400000+400000</f>
        <v>800000</v>
      </c>
      <c r="I795" s="132"/>
      <c r="J795" s="132">
        <f>61016.95+N("პირდაპირი გადახდა")+AY795+61016.95+S795</f>
        <v>799999.99999999988</v>
      </c>
      <c r="K795" s="132">
        <f t="shared" si="80"/>
        <v>110000.00000000012</v>
      </c>
      <c r="L795" s="132">
        <f t="shared" si="81"/>
        <v>0</v>
      </c>
      <c r="M795" s="133"/>
      <c r="N795" s="133">
        <f t="shared" si="79"/>
        <v>110000.00000000012</v>
      </c>
      <c r="O795" s="134">
        <v>1</v>
      </c>
      <c r="P795" s="133"/>
      <c r="Q795" s="2" t="s">
        <v>2797</v>
      </c>
      <c r="R795" s="156">
        <f t="shared" si="82"/>
        <v>0</v>
      </c>
      <c r="S795" s="156">
        <f t="shared" si="83"/>
        <v>0</v>
      </c>
      <c r="T795" s="133"/>
      <c r="U795" s="133"/>
      <c r="V795" s="133"/>
      <c r="W795" s="133"/>
      <c r="X795" s="133"/>
      <c r="Y795" s="133"/>
      <c r="Z795" s="133"/>
      <c r="AA795" s="133"/>
      <c r="AB795" s="133"/>
      <c r="AC795" s="133"/>
      <c r="AD795" s="133"/>
      <c r="AE795" s="133"/>
      <c r="AF795" s="133"/>
      <c r="AG795" s="133"/>
      <c r="AH795" s="133"/>
      <c r="AI795" s="133"/>
      <c r="AJ795" s="133"/>
      <c r="AK795" s="133"/>
      <c r="AL795" s="133"/>
      <c r="AM795" s="133"/>
      <c r="AN795" s="133"/>
      <c r="AO795" s="133"/>
      <c r="AP795" s="133"/>
      <c r="AQ795" s="133"/>
      <c r="AR795" s="133"/>
      <c r="AS795" s="153">
        <v>0</v>
      </c>
      <c r="AT795" s="153">
        <v>0</v>
      </c>
      <c r="AU795" s="153">
        <v>0</v>
      </c>
      <c r="AV795" s="153">
        <v>0</v>
      </c>
      <c r="AW795" s="153">
        <v>0</v>
      </c>
      <c r="AX795" s="153">
        <v>0</v>
      </c>
      <c r="AY795" s="135">
        <f>338983.05+338983.05</f>
        <v>677966.1</v>
      </c>
      <c r="AZ795" s="135"/>
      <c r="BA795" s="135"/>
      <c r="BB795" s="135"/>
      <c r="BC795" s="135"/>
      <c r="BD795" s="135"/>
      <c r="BE795" s="135"/>
      <c r="BF795" s="135"/>
      <c r="BG795" s="135"/>
      <c r="BH795" s="135"/>
      <c r="BI795" s="2" t="s">
        <v>11</v>
      </c>
      <c r="BJ795" s="136"/>
      <c r="BK795" s="2">
        <v>80</v>
      </c>
      <c r="BL795" s="136" t="s">
        <v>113</v>
      </c>
      <c r="BM795" s="136">
        <v>45300</v>
      </c>
      <c r="BN795" s="2" t="s">
        <v>2901</v>
      </c>
      <c r="BO795" s="2"/>
      <c r="BP795" s="205"/>
      <c r="BQ795" s="137" t="s">
        <v>119</v>
      </c>
      <c r="BR795" s="138"/>
    </row>
    <row r="796" spans="1:70" ht="12.75" customHeight="1" x14ac:dyDescent="0.2">
      <c r="A796" s="2">
        <v>2285</v>
      </c>
      <c r="B796" s="2" t="s">
        <v>108</v>
      </c>
      <c r="C796" s="2" t="s">
        <v>40</v>
      </c>
      <c r="D796" s="2" t="s">
        <v>2834</v>
      </c>
      <c r="E796" s="2" t="s">
        <v>106</v>
      </c>
      <c r="F796" s="132">
        <f>14384*1.75</f>
        <v>25172</v>
      </c>
      <c r="G796" s="132">
        <v>2</v>
      </c>
      <c r="H796" s="132">
        <f>14384*1.75</f>
        <v>25172</v>
      </c>
      <c r="I796" s="132"/>
      <c r="J796" s="132">
        <f>3839.8+21332.2</f>
        <v>25172</v>
      </c>
      <c r="K796" s="132">
        <f t="shared" si="80"/>
        <v>0</v>
      </c>
      <c r="L796" s="132">
        <f t="shared" si="81"/>
        <v>0</v>
      </c>
      <c r="M796" s="133"/>
      <c r="N796" s="133">
        <f t="shared" si="79"/>
        <v>0</v>
      </c>
      <c r="O796" s="134">
        <v>0</v>
      </c>
      <c r="P796" s="133"/>
      <c r="Q796" s="2" t="s">
        <v>2196</v>
      </c>
      <c r="R796" s="156">
        <f t="shared" si="82"/>
        <v>0</v>
      </c>
      <c r="S796" s="156">
        <f t="shared" si="83"/>
        <v>0</v>
      </c>
      <c r="T796" s="133"/>
      <c r="U796" s="133"/>
      <c r="V796" s="133"/>
      <c r="W796" s="133"/>
      <c r="X796" s="133"/>
      <c r="Y796" s="133"/>
      <c r="Z796" s="133"/>
      <c r="AA796" s="133"/>
      <c r="AB796" s="133"/>
      <c r="AC796" s="133"/>
      <c r="AD796" s="133"/>
      <c r="AE796" s="133"/>
      <c r="AF796" s="133"/>
      <c r="AG796" s="133"/>
      <c r="AH796" s="133"/>
      <c r="AI796" s="133"/>
      <c r="AJ796" s="133"/>
      <c r="AK796" s="133"/>
      <c r="AL796" s="133"/>
      <c r="AM796" s="133"/>
      <c r="AN796" s="133"/>
      <c r="AO796" s="133"/>
      <c r="AP796" s="133"/>
      <c r="AQ796" s="133"/>
      <c r="AR796" s="133"/>
      <c r="AS796" s="153">
        <v>0</v>
      </c>
      <c r="AT796" s="153">
        <v>0</v>
      </c>
      <c r="AU796" s="153">
        <v>0</v>
      </c>
      <c r="AV796" s="153">
        <v>0</v>
      </c>
      <c r="AW796" s="153">
        <v>0</v>
      </c>
      <c r="AX796" s="153">
        <v>0</v>
      </c>
      <c r="AY796" s="135"/>
      <c r="AZ796" s="135"/>
      <c r="BA796" s="135"/>
      <c r="BB796" s="135"/>
      <c r="BC796" s="135"/>
      <c r="BD796" s="135"/>
      <c r="BE796" s="135"/>
      <c r="BF796" s="135"/>
      <c r="BG796" s="135"/>
      <c r="BH796" s="135"/>
      <c r="BI796" s="2" t="s">
        <v>112</v>
      </c>
      <c r="BJ796" s="136">
        <v>45412</v>
      </c>
      <c r="BK796" s="2" t="s">
        <v>145</v>
      </c>
      <c r="BL796" s="136" t="s">
        <v>113</v>
      </c>
      <c r="BM796" s="136">
        <v>45300</v>
      </c>
      <c r="BN796" s="2" t="s">
        <v>2902</v>
      </c>
      <c r="BO796" s="2"/>
      <c r="BP796" s="205"/>
      <c r="BQ796" s="137" t="s">
        <v>134</v>
      </c>
      <c r="BR796" s="138"/>
    </row>
    <row r="797" spans="1:70" ht="12.75" customHeight="1" x14ac:dyDescent="0.2">
      <c r="A797" s="2">
        <v>2286</v>
      </c>
      <c r="B797" s="2" t="s">
        <v>39</v>
      </c>
      <c r="C797" s="2" t="s">
        <v>42</v>
      </c>
      <c r="D797" s="2" t="s">
        <v>2835</v>
      </c>
      <c r="E797" s="2" t="s">
        <v>106</v>
      </c>
      <c r="F797" s="132">
        <v>18873.75</v>
      </c>
      <c r="G797" s="132">
        <v>2</v>
      </c>
      <c r="H797" s="132">
        <f>10785*1.75</f>
        <v>18873.75</v>
      </c>
      <c r="I797" s="132"/>
      <c r="J797" s="132">
        <v>18873.75</v>
      </c>
      <c r="K797" s="132">
        <f t="shared" si="80"/>
        <v>0</v>
      </c>
      <c r="L797" s="132">
        <f t="shared" si="81"/>
        <v>0</v>
      </c>
      <c r="M797" s="133"/>
      <c r="N797" s="133">
        <f t="shared" si="79"/>
        <v>0</v>
      </c>
      <c r="O797" s="134">
        <v>0</v>
      </c>
      <c r="P797" s="133"/>
      <c r="Q797" s="2" t="s">
        <v>2267</v>
      </c>
      <c r="R797" s="156">
        <f t="shared" si="82"/>
        <v>0</v>
      </c>
      <c r="S797" s="156">
        <f t="shared" si="83"/>
        <v>0</v>
      </c>
      <c r="T797" s="133"/>
      <c r="U797" s="133"/>
      <c r="V797" s="133"/>
      <c r="W797" s="133"/>
      <c r="X797" s="133"/>
      <c r="Y797" s="133"/>
      <c r="Z797" s="133"/>
      <c r="AA797" s="133"/>
      <c r="AB797" s="133"/>
      <c r="AC797" s="133"/>
      <c r="AD797" s="133"/>
      <c r="AE797" s="133"/>
      <c r="AF797" s="133"/>
      <c r="AG797" s="133"/>
      <c r="AH797" s="133"/>
      <c r="AI797" s="133"/>
      <c r="AJ797" s="133"/>
      <c r="AK797" s="133"/>
      <c r="AL797" s="133"/>
      <c r="AM797" s="133"/>
      <c r="AN797" s="133"/>
      <c r="AO797" s="133"/>
      <c r="AP797" s="133"/>
      <c r="AQ797" s="133"/>
      <c r="AR797" s="133"/>
      <c r="AS797" s="153">
        <v>0</v>
      </c>
      <c r="AT797" s="153">
        <v>0</v>
      </c>
      <c r="AU797" s="153">
        <v>0</v>
      </c>
      <c r="AV797" s="153">
        <v>0</v>
      </c>
      <c r="AW797" s="153">
        <v>0</v>
      </c>
      <c r="AX797" s="153">
        <v>0</v>
      </c>
      <c r="AY797" s="135"/>
      <c r="AZ797" s="135"/>
      <c r="BA797" s="135"/>
      <c r="BB797" s="135"/>
      <c r="BC797" s="135"/>
      <c r="BD797" s="135"/>
      <c r="BE797" s="135"/>
      <c r="BF797" s="135"/>
      <c r="BG797" s="135"/>
      <c r="BH797" s="135"/>
      <c r="BI797" s="2" t="s">
        <v>112</v>
      </c>
      <c r="BJ797" s="136">
        <v>45537</v>
      </c>
      <c r="BK797" s="2" t="s">
        <v>145</v>
      </c>
      <c r="BL797" s="136" t="s">
        <v>113</v>
      </c>
      <c r="BM797" s="136">
        <v>45300</v>
      </c>
      <c r="BN797" s="2" t="s">
        <v>2903</v>
      </c>
      <c r="BO797" s="2"/>
      <c r="BP797" s="205"/>
      <c r="BQ797" s="137" t="s">
        <v>134</v>
      </c>
      <c r="BR797" s="138"/>
    </row>
    <row r="798" spans="1:70" ht="12.75" customHeight="1" x14ac:dyDescent="0.2">
      <c r="A798" s="2">
        <v>2287</v>
      </c>
      <c r="B798" s="2" t="s">
        <v>39</v>
      </c>
      <c r="C798" s="2" t="s">
        <v>41</v>
      </c>
      <c r="D798" s="2" t="s">
        <v>2836</v>
      </c>
      <c r="E798" s="2" t="s">
        <v>106</v>
      </c>
      <c r="F798" s="132">
        <v>13450.5</v>
      </c>
      <c r="G798" s="132">
        <v>2</v>
      </c>
      <c r="H798" s="132">
        <f>7686*1.75</f>
        <v>13450.5</v>
      </c>
      <c r="I798" s="132"/>
      <c r="J798" s="132">
        <f>S798</f>
        <v>13450.5</v>
      </c>
      <c r="K798" s="132">
        <f t="shared" si="80"/>
        <v>0</v>
      </c>
      <c r="L798" s="132">
        <f t="shared" si="81"/>
        <v>0</v>
      </c>
      <c r="M798" s="133"/>
      <c r="N798" s="133">
        <f t="shared" si="79"/>
        <v>0</v>
      </c>
      <c r="O798" s="134">
        <v>2</v>
      </c>
      <c r="P798" s="133"/>
      <c r="Q798" s="2" t="s">
        <v>2798</v>
      </c>
      <c r="R798" s="156">
        <f t="shared" si="82"/>
        <v>13450.5</v>
      </c>
      <c r="S798" s="156">
        <f t="shared" si="83"/>
        <v>13450.5</v>
      </c>
      <c r="T798" s="133">
        <v>13450.5</v>
      </c>
      <c r="U798" s="133"/>
      <c r="V798" s="133"/>
      <c r="W798" s="133">
        <f>2051.77</f>
        <v>2051.77</v>
      </c>
      <c r="X798" s="133"/>
      <c r="Y798" s="133"/>
      <c r="Z798" s="133"/>
      <c r="AA798" s="133"/>
      <c r="AB798" s="133"/>
      <c r="AC798" s="133"/>
      <c r="AD798" s="133"/>
      <c r="AE798" s="133">
        <v>11398.73</v>
      </c>
      <c r="AF798" s="133"/>
      <c r="AG798" s="133"/>
      <c r="AH798" s="133"/>
      <c r="AI798" s="133"/>
      <c r="AJ798" s="133"/>
      <c r="AK798" s="133"/>
      <c r="AL798" s="133"/>
      <c r="AM798" s="133"/>
      <c r="AN798" s="133"/>
      <c r="AO798" s="133"/>
      <c r="AP798" s="133"/>
      <c r="AQ798" s="133"/>
      <c r="AR798" s="133"/>
      <c r="AS798" s="153">
        <v>0</v>
      </c>
      <c r="AT798" s="153">
        <v>0</v>
      </c>
      <c r="AU798" s="153">
        <v>0</v>
      </c>
      <c r="AV798" s="153">
        <v>0</v>
      </c>
      <c r="AW798" s="153">
        <v>0</v>
      </c>
      <c r="AX798" s="153">
        <v>0</v>
      </c>
      <c r="AY798" s="135"/>
      <c r="AZ798" s="135"/>
      <c r="BA798" s="135"/>
      <c r="BB798" s="135"/>
      <c r="BC798" s="135"/>
      <c r="BD798" s="135"/>
      <c r="BE798" s="135"/>
      <c r="BF798" s="135"/>
      <c r="BG798" s="135"/>
      <c r="BH798" s="135"/>
      <c r="BI798" s="2" t="s">
        <v>112</v>
      </c>
      <c r="BJ798" s="136">
        <v>45663</v>
      </c>
      <c r="BK798" s="2" t="s">
        <v>145</v>
      </c>
      <c r="BL798" s="136" t="s">
        <v>113</v>
      </c>
      <c r="BM798" s="136">
        <v>45300</v>
      </c>
      <c r="BN798" s="2" t="s">
        <v>2904</v>
      </c>
      <c r="BO798" s="2"/>
      <c r="BP798" s="205"/>
      <c r="BQ798" s="137" t="s">
        <v>134</v>
      </c>
      <c r="BR798" s="138"/>
    </row>
    <row r="799" spans="1:70" ht="12.75" customHeight="1" x14ac:dyDescent="0.2">
      <c r="A799" s="2">
        <v>2288</v>
      </c>
      <c r="B799" s="2" t="s">
        <v>39</v>
      </c>
      <c r="C799" s="2" t="s">
        <v>41</v>
      </c>
      <c r="D799" s="2" t="s">
        <v>2837</v>
      </c>
      <c r="E799" s="2" t="s">
        <v>90</v>
      </c>
      <c r="F799" s="132">
        <v>505173</v>
      </c>
      <c r="G799" s="132" t="s">
        <v>3789</v>
      </c>
      <c r="H799" s="132">
        <f>R799</f>
        <v>600000</v>
      </c>
      <c r="I799" s="132"/>
      <c r="J799" s="132">
        <f>S799+BC799</f>
        <v>299195.34000000003</v>
      </c>
      <c r="K799" s="132">
        <f t="shared" si="80"/>
        <v>205977.65999999997</v>
      </c>
      <c r="L799" s="132">
        <f t="shared" si="81"/>
        <v>300804.65999999997</v>
      </c>
      <c r="M799" s="133"/>
      <c r="N799" s="133">
        <f t="shared" si="79"/>
        <v>205977.65999999997</v>
      </c>
      <c r="O799" s="134">
        <v>1</v>
      </c>
      <c r="P799" s="133"/>
      <c r="Q799" s="2" t="s">
        <v>2798</v>
      </c>
      <c r="R799" s="156">
        <f t="shared" si="82"/>
        <v>600000</v>
      </c>
      <c r="S799" s="156">
        <f t="shared" si="83"/>
        <v>91525.42</v>
      </c>
      <c r="T799" s="133">
        <v>400000</v>
      </c>
      <c r="U799" s="133"/>
      <c r="V799" s="133"/>
      <c r="W799" s="133">
        <f>61016.95</f>
        <v>61016.95</v>
      </c>
      <c r="X799" s="133"/>
      <c r="Y799" s="133"/>
      <c r="Z799" s="133"/>
      <c r="AA799" s="133"/>
      <c r="AB799" s="133">
        <v>200000</v>
      </c>
      <c r="AC799" s="133"/>
      <c r="AD799" s="133"/>
      <c r="AE799" s="133">
        <v>30508.47</v>
      </c>
      <c r="AF799" s="133"/>
      <c r="AG799" s="133"/>
      <c r="AH799" s="133"/>
      <c r="AI799" s="133"/>
      <c r="AJ799" s="133"/>
      <c r="AK799" s="133"/>
      <c r="AL799" s="133"/>
      <c r="AM799" s="133"/>
      <c r="AN799" s="133"/>
      <c r="AO799" s="133"/>
      <c r="AP799" s="133"/>
      <c r="AQ799" s="133"/>
      <c r="AR799" s="133"/>
      <c r="AS799" s="153">
        <v>0</v>
      </c>
      <c r="AT799" s="153">
        <v>0</v>
      </c>
      <c r="AU799" s="153">
        <v>0</v>
      </c>
      <c r="AV799" s="153">
        <v>0</v>
      </c>
      <c r="AW799" s="153">
        <v>0</v>
      </c>
      <c r="AX799" s="153">
        <v>0</v>
      </c>
      <c r="AY799" s="135"/>
      <c r="AZ799" s="135"/>
      <c r="BA799" s="135"/>
      <c r="BB799" s="135"/>
      <c r="BC799" s="135">
        <f>207669.92</f>
        <v>207669.92</v>
      </c>
      <c r="BD799" s="135"/>
      <c r="BE799" s="135"/>
      <c r="BF799" s="135"/>
      <c r="BG799" s="135"/>
      <c r="BH799" s="135"/>
      <c r="BI799" s="2" t="s">
        <v>11</v>
      </c>
      <c r="BJ799" s="136"/>
      <c r="BK799" s="2">
        <v>80</v>
      </c>
      <c r="BL799" s="136" t="s">
        <v>113</v>
      </c>
      <c r="BM799" s="136">
        <v>45300</v>
      </c>
      <c r="BN799" s="2" t="s">
        <v>2905</v>
      </c>
      <c r="BO799" s="2"/>
      <c r="BP799" s="205"/>
      <c r="BQ799" s="137" t="s">
        <v>119</v>
      </c>
      <c r="BR799" s="138"/>
    </row>
    <row r="800" spans="1:70" ht="12.75" customHeight="1" x14ac:dyDescent="0.2">
      <c r="A800" s="2">
        <v>2289</v>
      </c>
      <c r="B800" s="2" t="s">
        <v>108</v>
      </c>
      <c r="C800" s="2" t="s">
        <v>43</v>
      </c>
      <c r="D800" s="2" t="s">
        <v>2838</v>
      </c>
      <c r="E800" s="2" t="s">
        <v>106</v>
      </c>
      <c r="F800" s="132">
        <f>3874*1.75</f>
        <v>6779.5</v>
      </c>
      <c r="G800" s="132">
        <v>2</v>
      </c>
      <c r="H800" s="132">
        <f>3874*1.75</f>
        <v>6779.5</v>
      </c>
      <c r="I800" s="132"/>
      <c r="J800" s="132">
        <f>6779.5+N("პირდაპირი გადახდა")</f>
        <v>6779.5</v>
      </c>
      <c r="K800" s="132">
        <f t="shared" si="80"/>
        <v>0</v>
      </c>
      <c r="L800" s="132">
        <f t="shared" si="81"/>
        <v>0</v>
      </c>
      <c r="M800" s="133"/>
      <c r="N800" s="133">
        <f t="shared" si="79"/>
        <v>0</v>
      </c>
      <c r="O800" s="134">
        <v>0</v>
      </c>
      <c r="P800" s="133"/>
      <c r="Q800" s="2" t="s">
        <v>2799</v>
      </c>
      <c r="R800" s="156">
        <f t="shared" si="82"/>
        <v>0</v>
      </c>
      <c r="S800" s="156">
        <f t="shared" si="83"/>
        <v>0</v>
      </c>
      <c r="T800" s="133"/>
      <c r="U800" s="133"/>
      <c r="V800" s="133"/>
      <c r="W800" s="133"/>
      <c r="X800" s="133"/>
      <c r="Y800" s="133"/>
      <c r="Z800" s="133"/>
      <c r="AA800" s="133"/>
      <c r="AB800" s="133"/>
      <c r="AC800" s="133"/>
      <c r="AD800" s="133"/>
      <c r="AE800" s="133"/>
      <c r="AF800" s="133"/>
      <c r="AG800" s="133"/>
      <c r="AH800" s="133"/>
      <c r="AI800" s="133"/>
      <c r="AJ800" s="133"/>
      <c r="AK800" s="133"/>
      <c r="AL800" s="133"/>
      <c r="AM800" s="133"/>
      <c r="AN800" s="133"/>
      <c r="AO800" s="133"/>
      <c r="AP800" s="133"/>
      <c r="AQ800" s="133"/>
      <c r="AR800" s="133"/>
      <c r="AS800" s="153">
        <v>0</v>
      </c>
      <c r="AT800" s="153">
        <v>0</v>
      </c>
      <c r="AU800" s="153">
        <v>0</v>
      </c>
      <c r="AV800" s="153">
        <v>0</v>
      </c>
      <c r="AW800" s="153">
        <v>0</v>
      </c>
      <c r="AX800" s="153">
        <v>0</v>
      </c>
      <c r="AY800" s="135"/>
      <c r="AZ800" s="135"/>
      <c r="BA800" s="135"/>
      <c r="BB800" s="135"/>
      <c r="BC800" s="135"/>
      <c r="BD800" s="135"/>
      <c r="BE800" s="135"/>
      <c r="BF800" s="135"/>
      <c r="BG800" s="135"/>
      <c r="BH800" s="135"/>
      <c r="BI800" s="2" t="s">
        <v>112</v>
      </c>
      <c r="BJ800" s="136">
        <v>45491</v>
      </c>
      <c r="BK800" s="2" t="s">
        <v>145</v>
      </c>
      <c r="BL800" s="136" t="s">
        <v>113</v>
      </c>
      <c r="BM800" s="136">
        <v>45300</v>
      </c>
      <c r="BN800" s="2" t="s">
        <v>2906</v>
      </c>
      <c r="BO800" s="2"/>
      <c r="BP800" s="205"/>
      <c r="BQ800" s="137" t="s">
        <v>134</v>
      </c>
      <c r="BR800" s="138"/>
    </row>
    <row r="801" spans="1:70" ht="12.75" customHeight="1" x14ac:dyDescent="0.2">
      <c r="A801" s="2">
        <v>2290</v>
      </c>
      <c r="B801" s="2" t="s">
        <v>108</v>
      </c>
      <c r="C801" s="2" t="s">
        <v>43</v>
      </c>
      <c r="D801" s="2" t="s">
        <v>2839</v>
      </c>
      <c r="E801" s="2" t="s">
        <v>90</v>
      </c>
      <c r="F801" s="132">
        <v>700000</v>
      </c>
      <c r="G801" s="132">
        <v>2</v>
      </c>
      <c r="H801" s="132">
        <f>400000+R801</f>
        <v>1350000</v>
      </c>
      <c r="I801" s="132"/>
      <c r="J801" s="132">
        <f>AY801+61016.949+S801</f>
        <v>544915.19900000002</v>
      </c>
      <c r="K801" s="132">
        <f t="shared" si="80"/>
        <v>155084.80099999998</v>
      </c>
      <c r="L801" s="132">
        <f t="shared" si="81"/>
        <v>805084.80099999998</v>
      </c>
      <c r="M801" s="133"/>
      <c r="N801" s="133">
        <f t="shared" si="79"/>
        <v>155084.80099999998</v>
      </c>
      <c r="O801" s="134">
        <v>1</v>
      </c>
      <c r="P801" s="133"/>
      <c r="Q801" s="2" t="s">
        <v>2799</v>
      </c>
      <c r="R801" s="156">
        <f t="shared" si="82"/>
        <v>950000</v>
      </c>
      <c r="S801" s="156">
        <f t="shared" si="83"/>
        <v>144915.25</v>
      </c>
      <c r="T801" s="133"/>
      <c r="U801" s="133"/>
      <c r="V801" s="133"/>
      <c r="W801" s="133"/>
      <c r="X801" s="133"/>
      <c r="Y801" s="133"/>
      <c r="Z801" s="133">
        <v>250000</v>
      </c>
      <c r="AA801" s="133"/>
      <c r="AB801" s="133">
        <v>700000</v>
      </c>
      <c r="AC801" s="133">
        <v>38135.589999999997</v>
      </c>
      <c r="AD801" s="133"/>
      <c r="AE801" s="133">
        <v>106779.66</v>
      </c>
      <c r="AF801" s="133"/>
      <c r="AG801" s="133"/>
      <c r="AH801" s="133"/>
      <c r="AI801" s="133"/>
      <c r="AJ801" s="133"/>
      <c r="AK801" s="133"/>
      <c r="AL801" s="133"/>
      <c r="AM801" s="133"/>
      <c r="AN801" s="133"/>
      <c r="AO801" s="133"/>
      <c r="AP801" s="133"/>
      <c r="AQ801" s="133"/>
      <c r="AR801" s="133"/>
      <c r="AS801" s="153">
        <v>0</v>
      </c>
      <c r="AT801" s="153">
        <v>0</v>
      </c>
      <c r="AU801" s="153">
        <v>0</v>
      </c>
      <c r="AV801" s="153">
        <v>0</v>
      </c>
      <c r="AW801" s="153">
        <v>0</v>
      </c>
      <c r="AX801" s="153">
        <v>0</v>
      </c>
      <c r="AY801" s="135">
        <f>338983</f>
        <v>338983</v>
      </c>
      <c r="AZ801" s="135"/>
      <c r="BA801" s="135"/>
      <c r="BB801" s="135"/>
      <c r="BC801" s="135"/>
      <c r="BD801" s="135"/>
      <c r="BE801" s="135"/>
      <c r="BF801" s="135"/>
      <c r="BG801" s="135"/>
      <c r="BH801" s="135"/>
      <c r="BI801" s="2" t="s">
        <v>11</v>
      </c>
      <c r="BJ801" s="136"/>
      <c r="BK801" s="2">
        <v>60</v>
      </c>
      <c r="BL801" s="136" t="s">
        <v>113</v>
      </c>
      <c r="BM801" s="136">
        <v>45300</v>
      </c>
      <c r="BN801" s="2" t="s">
        <v>2907</v>
      </c>
      <c r="BO801" s="2"/>
      <c r="BP801" s="205"/>
      <c r="BQ801" s="137" t="s">
        <v>119</v>
      </c>
      <c r="BR801" s="138"/>
    </row>
    <row r="802" spans="1:70" ht="12.75" customHeight="1" x14ac:dyDescent="0.2">
      <c r="A802" s="2">
        <v>2291</v>
      </c>
      <c r="B802" s="2" t="s">
        <v>108</v>
      </c>
      <c r="C802" s="2" t="s">
        <v>40</v>
      </c>
      <c r="D802" s="2" t="s">
        <v>2840</v>
      </c>
      <c r="E802" s="2" t="s">
        <v>106</v>
      </c>
      <c r="F802" s="132">
        <v>11152.75</v>
      </c>
      <c r="G802" s="132">
        <v>2</v>
      </c>
      <c r="H802" s="132">
        <f>6373*1.75</f>
        <v>11152.75</v>
      </c>
      <c r="I802" s="132"/>
      <c r="J802" s="132">
        <v>11152.75</v>
      </c>
      <c r="K802" s="132">
        <f t="shared" si="80"/>
        <v>0</v>
      </c>
      <c r="L802" s="132">
        <f t="shared" si="81"/>
        <v>0</v>
      </c>
      <c r="M802" s="133"/>
      <c r="N802" s="133">
        <f t="shared" si="79"/>
        <v>0</v>
      </c>
      <c r="O802" s="134">
        <v>0</v>
      </c>
      <c r="P802" s="133"/>
      <c r="Q802" s="2" t="s">
        <v>2800</v>
      </c>
      <c r="R802" s="156">
        <f t="shared" si="82"/>
        <v>0</v>
      </c>
      <c r="S802" s="156">
        <f t="shared" si="83"/>
        <v>0</v>
      </c>
      <c r="T802" s="133"/>
      <c r="U802" s="133"/>
      <c r="V802" s="133"/>
      <c r="W802" s="133"/>
      <c r="X802" s="133"/>
      <c r="Y802" s="133"/>
      <c r="Z802" s="133"/>
      <c r="AA802" s="133"/>
      <c r="AB802" s="133"/>
      <c r="AC802" s="133"/>
      <c r="AD802" s="133"/>
      <c r="AE802" s="133"/>
      <c r="AF802" s="133"/>
      <c r="AG802" s="133"/>
      <c r="AH802" s="133"/>
      <c r="AI802" s="133"/>
      <c r="AJ802" s="133"/>
      <c r="AK802" s="133"/>
      <c r="AL802" s="133"/>
      <c r="AM802" s="133"/>
      <c r="AN802" s="133"/>
      <c r="AO802" s="133"/>
      <c r="AP802" s="133"/>
      <c r="AQ802" s="133"/>
      <c r="AR802" s="133"/>
      <c r="AS802" s="153">
        <v>0</v>
      </c>
      <c r="AT802" s="153">
        <v>0</v>
      </c>
      <c r="AU802" s="153">
        <v>0</v>
      </c>
      <c r="AV802" s="153">
        <v>0</v>
      </c>
      <c r="AW802" s="153">
        <v>0</v>
      </c>
      <c r="AX802" s="153">
        <v>0</v>
      </c>
      <c r="AY802" s="135"/>
      <c r="AZ802" s="135"/>
      <c r="BA802" s="135"/>
      <c r="BB802" s="135"/>
      <c r="BC802" s="135"/>
      <c r="BD802" s="135"/>
      <c r="BE802" s="135"/>
      <c r="BF802" s="135"/>
      <c r="BG802" s="135"/>
      <c r="BH802" s="135"/>
      <c r="BI802" s="2" t="s">
        <v>112</v>
      </c>
      <c r="BJ802" s="136">
        <v>45645</v>
      </c>
      <c r="BK802" s="2" t="s">
        <v>145</v>
      </c>
      <c r="BL802" s="136" t="s">
        <v>113</v>
      </c>
      <c r="BM802" s="136">
        <v>45300</v>
      </c>
      <c r="BN802" s="2" t="s">
        <v>2908</v>
      </c>
      <c r="BO802" s="2"/>
      <c r="BP802" s="205"/>
      <c r="BQ802" s="137" t="s">
        <v>134</v>
      </c>
      <c r="BR802" s="138"/>
    </row>
    <row r="803" spans="1:70" ht="12.75" customHeight="1" x14ac:dyDescent="0.2">
      <c r="A803" s="2">
        <v>2292</v>
      </c>
      <c r="B803" s="2" t="s">
        <v>108</v>
      </c>
      <c r="C803" s="2" t="s">
        <v>40</v>
      </c>
      <c r="D803" s="2" t="s">
        <v>2841</v>
      </c>
      <c r="E803" s="2" t="s">
        <v>90</v>
      </c>
      <c r="F803" s="132">
        <v>330000</v>
      </c>
      <c r="G803" s="132">
        <v>2</v>
      </c>
      <c r="H803" s="132">
        <f>R803</f>
        <v>430000</v>
      </c>
      <c r="I803" s="132"/>
      <c r="J803" s="132">
        <f>S803</f>
        <v>65593.22</v>
      </c>
      <c r="K803" s="132">
        <f t="shared" si="80"/>
        <v>264406.78000000003</v>
      </c>
      <c r="L803" s="132">
        <f t="shared" si="81"/>
        <v>364406.78</v>
      </c>
      <c r="M803" s="133"/>
      <c r="N803" s="133">
        <f t="shared" si="79"/>
        <v>264406.78000000003</v>
      </c>
      <c r="O803" s="134">
        <v>1</v>
      </c>
      <c r="P803" s="133"/>
      <c r="Q803" s="2" t="s">
        <v>2800</v>
      </c>
      <c r="R803" s="156">
        <f t="shared" si="82"/>
        <v>430000</v>
      </c>
      <c r="S803" s="156">
        <f t="shared" si="83"/>
        <v>65593.22</v>
      </c>
      <c r="T803" s="133">
        <v>200000</v>
      </c>
      <c r="U803" s="133"/>
      <c r="V803" s="133">
        <v>230000</v>
      </c>
      <c r="W803" s="133">
        <f>30508.47</f>
        <v>30508.47</v>
      </c>
      <c r="X803" s="133"/>
      <c r="Y803" s="133">
        <v>35084.75</v>
      </c>
      <c r="Z803" s="133"/>
      <c r="AA803" s="133"/>
      <c r="AB803" s="133"/>
      <c r="AC803" s="133"/>
      <c r="AD803" s="133"/>
      <c r="AE803" s="133"/>
      <c r="AF803" s="133"/>
      <c r="AG803" s="133"/>
      <c r="AH803" s="133"/>
      <c r="AI803" s="133"/>
      <c r="AJ803" s="133"/>
      <c r="AK803" s="133"/>
      <c r="AL803" s="133"/>
      <c r="AM803" s="133"/>
      <c r="AN803" s="133"/>
      <c r="AO803" s="133"/>
      <c r="AP803" s="133"/>
      <c r="AQ803" s="133"/>
      <c r="AR803" s="133"/>
      <c r="AS803" s="153">
        <v>0</v>
      </c>
      <c r="AT803" s="153">
        <v>0</v>
      </c>
      <c r="AU803" s="153">
        <v>0</v>
      </c>
      <c r="AV803" s="153">
        <v>0</v>
      </c>
      <c r="AW803" s="153">
        <v>0</v>
      </c>
      <c r="AX803" s="153">
        <v>0</v>
      </c>
      <c r="AY803" s="135"/>
      <c r="AZ803" s="135"/>
      <c r="BA803" s="135"/>
      <c r="BB803" s="135"/>
      <c r="BC803" s="135"/>
      <c r="BD803" s="135"/>
      <c r="BE803" s="135"/>
      <c r="BF803" s="135"/>
      <c r="BG803" s="135"/>
      <c r="BH803" s="135"/>
      <c r="BI803" s="2" t="s">
        <v>11</v>
      </c>
      <c r="BJ803" s="136"/>
      <c r="BK803" s="2">
        <v>75</v>
      </c>
      <c r="BL803" s="136" t="s">
        <v>113</v>
      </c>
      <c r="BM803" s="136">
        <v>45300</v>
      </c>
      <c r="BN803" s="2" t="s">
        <v>2909</v>
      </c>
      <c r="BO803" s="2"/>
      <c r="BP803" s="205"/>
      <c r="BQ803" s="137" t="s">
        <v>119</v>
      </c>
      <c r="BR803" s="138"/>
    </row>
    <row r="804" spans="1:70" ht="12.75" customHeight="1" x14ac:dyDescent="0.2">
      <c r="A804" s="2">
        <v>2293</v>
      </c>
      <c r="B804" s="2" t="s">
        <v>108</v>
      </c>
      <c r="C804" s="2" t="s">
        <v>40</v>
      </c>
      <c r="D804" s="2" t="s">
        <v>2842</v>
      </c>
      <c r="E804" s="2" t="s">
        <v>106</v>
      </c>
      <c r="F804" s="132">
        <v>6492.5</v>
      </c>
      <c r="G804" s="132">
        <v>2</v>
      </c>
      <c r="H804" s="132">
        <f>3710*1.75</f>
        <v>6492.5</v>
      </c>
      <c r="I804" s="132"/>
      <c r="J804" s="132">
        <v>6492.5</v>
      </c>
      <c r="K804" s="132">
        <f t="shared" si="80"/>
        <v>0</v>
      </c>
      <c r="L804" s="132">
        <f t="shared" si="81"/>
        <v>0</v>
      </c>
      <c r="M804" s="133"/>
      <c r="N804" s="133">
        <f t="shared" si="79"/>
        <v>0</v>
      </c>
      <c r="O804" s="134">
        <v>0</v>
      </c>
      <c r="P804" s="133"/>
      <c r="Q804" s="2" t="s">
        <v>2801</v>
      </c>
      <c r="R804" s="156">
        <f t="shared" si="82"/>
        <v>0</v>
      </c>
      <c r="S804" s="156">
        <f t="shared" si="83"/>
        <v>0</v>
      </c>
      <c r="T804" s="133"/>
      <c r="U804" s="133"/>
      <c r="V804" s="133"/>
      <c r="W804" s="133"/>
      <c r="X804" s="133"/>
      <c r="Y804" s="133"/>
      <c r="Z804" s="133"/>
      <c r="AA804" s="133"/>
      <c r="AB804" s="133"/>
      <c r="AC804" s="133"/>
      <c r="AD804" s="133"/>
      <c r="AE804" s="133"/>
      <c r="AF804" s="133"/>
      <c r="AG804" s="133"/>
      <c r="AH804" s="133"/>
      <c r="AI804" s="133"/>
      <c r="AJ804" s="133"/>
      <c r="AK804" s="133"/>
      <c r="AL804" s="133"/>
      <c r="AM804" s="133"/>
      <c r="AN804" s="133"/>
      <c r="AO804" s="133"/>
      <c r="AP804" s="133"/>
      <c r="AQ804" s="133"/>
      <c r="AR804" s="133"/>
      <c r="AS804" s="153">
        <v>0</v>
      </c>
      <c r="AT804" s="153">
        <v>0</v>
      </c>
      <c r="AU804" s="153">
        <v>0</v>
      </c>
      <c r="AV804" s="153">
        <v>0</v>
      </c>
      <c r="AW804" s="153">
        <v>0</v>
      </c>
      <c r="AX804" s="153">
        <v>0</v>
      </c>
      <c r="AY804" s="135"/>
      <c r="AZ804" s="135"/>
      <c r="BA804" s="135"/>
      <c r="BB804" s="135"/>
      <c r="BC804" s="135"/>
      <c r="BD804" s="135"/>
      <c r="BE804" s="135"/>
      <c r="BF804" s="135"/>
      <c r="BG804" s="135"/>
      <c r="BH804" s="135"/>
      <c r="BI804" s="2" t="s">
        <v>112</v>
      </c>
      <c r="BJ804" s="136">
        <v>45567</v>
      </c>
      <c r="BK804" s="2" t="s">
        <v>145</v>
      </c>
      <c r="BL804" s="136" t="s">
        <v>113</v>
      </c>
      <c r="BM804" s="136">
        <v>45300</v>
      </c>
      <c r="BN804" s="2" t="s">
        <v>2910</v>
      </c>
      <c r="BO804" s="2"/>
      <c r="BP804" s="205"/>
      <c r="BQ804" s="137" t="s">
        <v>134</v>
      </c>
      <c r="BR804" s="138"/>
    </row>
    <row r="805" spans="1:70" ht="12.75" customHeight="1" x14ac:dyDescent="0.2">
      <c r="A805" s="2">
        <v>2294</v>
      </c>
      <c r="B805" s="2" t="s">
        <v>108</v>
      </c>
      <c r="C805" s="2" t="s">
        <v>40</v>
      </c>
      <c r="D805" s="2" t="s">
        <v>2843</v>
      </c>
      <c r="E805" s="2" t="s">
        <v>90</v>
      </c>
      <c r="F805" s="132">
        <v>330000</v>
      </c>
      <c r="G805" s="132">
        <v>2</v>
      </c>
      <c r="H805" s="132">
        <f>105000+R805</f>
        <v>207000</v>
      </c>
      <c r="I805" s="132"/>
      <c r="J805" s="132">
        <f>16016.949+S805+AY805+BC805</f>
        <v>120559.319</v>
      </c>
      <c r="K805" s="132">
        <f t="shared" si="80"/>
        <v>209440.68099999998</v>
      </c>
      <c r="L805" s="132">
        <f t="shared" si="81"/>
        <v>86440.680999999997</v>
      </c>
      <c r="M805" s="133"/>
      <c r="N805" s="133">
        <f t="shared" si="79"/>
        <v>209440.68099999998</v>
      </c>
      <c r="O805" s="134">
        <v>1</v>
      </c>
      <c r="P805" s="133"/>
      <c r="Q805" s="2" t="s">
        <v>2801</v>
      </c>
      <c r="R805" s="156">
        <f t="shared" si="82"/>
        <v>102000</v>
      </c>
      <c r="S805" s="156">
        <f t="shared" si="83"/>
        <v>15559.32</v>
      </c>
      <c r="T805" s="133"/>
      <c r="U805" s="133"/>
      <c r="V805" s="133"/>
      <c r="W805" s="133"/>
      <c r="X805" s="133">
        <v>102000</v>
      </c>
      <c r="Y805" s="133"/>
      <c r="Z805" s="133"/>
      <c r="AA805" s="133">
        <v>15559.32</v>
      </c>
      <c r="AB805" s="133"/>
      <c r="AC805" s="133"/>
      <c r="AD805" s="133"/>
      <c r="AE805" s="133"/>
      <c r="AF805" s="133"/>
      <c r="AG805" s="133"/>
      <c r="AH805" s="133"/>
      <c r="AI805" s="133"/>
      <c r="AJ805" s="133"/>
      <c r="AK805" s="133"/>
      <c r="AL805" s="133"/>
      <c r="AM805" s="133"/>
      <c r="AN805" s="133"/>
      <c r="AO805" s="133"/>
      <c r="AP805" s="133"/>
      <c r="AQ805" s="133"/>
      <c r="AR805" s="133"/>
      <c r="AS805" s="153">
        <v>0</v>
      </c>
      <c r="AT805" s="153">
        <v>0</v>
      </c>
      <c r="AU805" s="153">
        <v>0</v>
      </c>
      <c r="AV805" s="153">
        <v>0</v>
      </c>
      <c r="AW805" s="153">
        <v>0</v>
      </c>
      <c r="AX805" s="153">
        <v>0</v>
      </c>
      <c r="AY805" s="135">
        <f>88983.05</f>
        <v>88983.05</v>
      </c>
      <c r="AZ805" s="135"/>
      <c r="BA805" s="135"/>
      <c r="BB805" s="135"/>
      <c r="BC805" s="135"/>
      <c r="BD805" s="135"/>
      <c r="BE805" s="135"/>
      <c r="BF805" s="135"/>
      <c r="BG805" s="135"/>
      <c r="BH805" s="135"/>
      <c r="BI805" s="2" t="s">
        <v>11</v>
      </c>
      <c r="BJ805" s="136"/>
      <c r="BK805" s="2">
        <v>50</v>
      </c>
      <c r="BL805" s="136" t="s">
        <v>113</v>
      </c>
      <c r="BM805" s="136">
        <v>45300</v>
      </c>
      <c r="BN805" s="2" t="s">
        <v>2911</v>
      </c>
      <c r="BO805" s="2"/>
      <c r="BP805" s="205"/>
      <c r="BQ805" s="137" t="s">
        <v>119</v>
      </c>
      <c r="BR805" s="138"/>
    </row>
    <row r="806" spans="1:70" ht="12.75" customHeight="1" x14ac:dyDescent="0.2">
      <c r="A806" s="2">
        <v>2295</v>
      </c>
      <c r="B806" s="2" t="s">
        <v>108</v>
      </c>
      <c r="C806" s="2" t="s">
        <v>43</v>
      </c>
      <c r="D806" s="2" t="s">
        <v>2844</v>
      </c>
      <c r="E806" s="2" t="s">
        <v>106</v>
      </c>
      <c r="F806" s="132">
        <f>5746*1.75</f>
        <v>10055.5</v>
      </c>
      <c r="G806" s="132">
        <v>2</v>
      </c>
      <c r="H806" s="132">
        <f>5746*1.75</f>
        <v>10055.5</v>
      </c>
      <c r="I806" s="132"/>
      <c r="J806" s="132">
        <f>10055.5+N("პირდაპირი გადახდა")</f>
        <v>10055.5</v>
      </c>
      <c r="K806" s="132">
        <f t="shared" si="80"/>
        <v>0</v>
      </c>
      <c r="L806" s="132">
        <f t="shared" si="81"/>
        <v>0</v>
      </c>
      <c r="M806" s="133"/>
      <c r="N806" s="133">
        <f t="shared" si="79"/>
        <v>0</v>
      </c>
      <c r="O806" s="134">
        <v>0</v>
      </c>
      <c r="P806" s="133"/>
      <c r="Q806" s="2" t="s">
        <v>2802</v>
      </c>
      <c r="R806" s="156">
        <f t="shared" si="82"/>
        <v>0</v>
      </c>
      <c r="S806" s="156">
        <f t="shared" si="83"/>
        <v>0</v>
      </c>
      <c r="T806" s="133"/>
      <c r="U806" s="133"/>
      <c r="V806" s="133"/>
      <c r="W806" s="133"/>
      <c r="X806" s="133"/>
      <c r="Y806" s="133"/>
      <c r="Z806" s="133"/>
      <c r="AA806" s="133"/>
      <c r="AB806" s="133"/>
      <c r="AC806" s="133"/>
      <c r="AD806" s="133"/>
      <c r="AE806" s="133"/>
      <c r="AF806" s="133"/>
      <c r="AG806" s="133"/>
      <c r="AH806" s="133"/>
      <c r="AI806" s="133"/>
      <c r="AJ806" s="133"/>
      <c r="AK806" s="133"/>
      <c r="AL806" s="133"/>
      <c r="AM806" s="133"/>
      <c r="AN806" s="133"/>
      <c r="AO806" s="133"/>
      <c r="AP806" s="133"/>
      <c r="AQ806" s="133"/>
      <c r="AR806" s="133"/>
      <c r="AS806" s="153">
        <v>0</v>
      </c>
      <c r="AT806" s="153">
        <v>0</v>
      </c>
      <c r="AU806" s="153">
        <v>0</v>
      </c>
      <c r="AV806" s="153">
        <v>0</v>
      </c>
      <c r="AW806" s="153">
        <v>0</v>
      </c>
      <c r="AX806" s="153">
        <v>0</v>
      </c>
      <c r="AY806" s="135"/>
      <c r="AZ806" s="135"/>
      <c r="BA806" s="135"/>
      <c r="BB806" s="135"/>
      <c r="BC806" s="135"/>
      <c r="BD806" s="135"/>
      <c r="BE806" s="135"/>
      <c r="BF806" s="135"/>
      <c r="BG806" s="135"/>
      <c r="BH806" s="135"/>
      <c r="BI806" s="2" t="s">
        <v>112</v>
      </c>
      <c r="BJ806" s="136">
        <v>45475</v>
      </c>
      <c r="BK806" s="2" t="s">
        <v>145</v>
      </c>
      <c r="BL806" s="136" t="s">
        <v>113</v>
      </c>
      <c r="BM806" s="136">
        <v>45300</v>
      </c>
      <c r="BN806" s="2" t="s">
        <v>2912</v>
      </c>
      <c r="BO806" s="2"/>
      <c r="BP806" s="205"/>
      <c r="BQ806" s="137" t="s">
        <v>134</v>
      </c>
      <c r="BR806" s="138"/>
    </row>
    <row r="807" spans="1:70" ht="12.75" customHeight="1" x14ac:dyDescent="0.2">
      <c r="A807" s="2">
        <v>2296</v>
      </c>
      <c r="B807" s="2" t="s">
        <v>108</v>
      </c>
      <c r="C807" s="2" t="s">
        <v>43</v>
      </c>
      <c r="D807" s="2" t="s">
        <v>2845</v>
      </c>
      <c r="E807" s="2" t="s">
        <v>90</v>
      </c>
      <c r="F807" s="132">
        <v>580000</v>
      </c>
      <c r="G807" s="132">
        <v>2</v>
      </c>
      <c r="H807" s="132">
        <f>300000+R807</f>
        <v>329501.5</v>
      </c>
      <c r="I807" s="132"/>
      <c r="J807" s="132">
        <f>AY807+45762.71+N("პირდაპირი გადახდა")+S807</f>
        <v>303813.56</v>
      </c>
      <c r="K807" s="132">
        <f t="shared" si="80"/>
        <v>276186.44</v>
      </c>
      <c r="L807" s="132">
        <f t="shared" si="81"/>
        <v>25687.940000000002</v>
      </c>
      <c r="M807" s="133"/>
      <c r="N807" s="133">
        <f t="shared" si="79"/>
        <v>276186.44</v>
      </c>
      <c r="O807" s="134">
        <v>1</v>
      </c>
      <c r="P807" s="133"/>
      <c r="Q807" s="2" t="s">
        <v>2802</v>
      </c>
      <c r="R807" s="156">
        <f t="shared" si="82"/>
        <v>29501.5</v>
      </c>
      <c r="S807" s="156">
        <f t="shared" si="83"/>
        <v>3813.56</v>
      </c>
      <c r="T807" s="133"/>
      <c r="U807" s="133"/>
      <c r="V807" s="133">
        <v>25000</v>
      </c>
      <c r="W807" s="133"/>
      <c r="X807" s="133"/>
      <c r="Y807" s="133">
        <v>3813.56</v>
      </c>
      <c r="Z807" s="133"/>
      <c r="AA807" s="133"/>
      <c r="AB807" s="133"/>
      <c r="AC807" s="133"/>
      <c r="AD807" s="133"/>
      <c r="AE807" s="133"/>
      <c r="AF807" s="133"/>
      <c r="AG807" s="133"/>
      <c r="AH807" s="133"/>
      <c r="AI807" s="133"/>
      <c r="AJ807" s="133"/>
      <c r="AK807" s="133"/>
      <c r="AL807" s="133"/>
      <c r="AM807" s="133"/>
      <c r="AN807" s="133">
        <v>4501.5</v>
      </c>
      <c r="AO807" s="133"/>
      <c r="AP807" s="133"/>
      <c r="AQ807" s="133"/>
      <c r="AR807" s="133"/>
      <c r="AS807" s="153">
        <v>0</v>
      </c>
      <c r="AT807" s="153">
        <v>0</v>
      </c>
      <c r="AU807" s="153">
        <v>0</v>
      </c>
      <c r="AV807" s="153">
        <v>0</v>
      </c>
      <c r="AW807" s="153">
        <v>0</v>
      </c>
      <c r="AX807" s="153">
        <v>0</v>
      </c>
      <c r="AY807" s="135">
        <v>254237.29</v>
      </c>
      <c r="AZ807" s="135"/>
      <c r="BA807" s="135"/>
      <c r="BB807" s="135"/>
      <c r="BC807" s="135"/>
      <c r="BD807" s="135"/>
      <c r="BE807" s="135"/>
      <c r="BF807" s="135"/>
      <c r="BG807" s="135"/>
      <c r="BH807" s="135"/>
      <c r="BI807" s="2" t="s">
        <v>11</v>
      </c>
      <c r="BJ807" s="136"/>
      <c r="BK807" s="2">
        <v>50</v>
      </c>
      <c r="BL807" s="136" t="s">
        <v>113</v>
      </c>
      <c r="BM807" s="136">
        <v>45300</v>
      </c>
      <c r="BN807" s="2" t="s">
        <v>2913</v>
      </c>
      <c r="BO807" s="2"/>
      <c r="BP807" s="205"/>
      <c r="BQ807" s="137" t="s">
        <v>119</v>
      </c>
      <c r="BR807" s="138"/>
    </row>
    <row r="808" spans="1:70" ht="12.75" customHeight="1" x14ac:dyDescent="0.2">
      <c r="A808" s="2">
        <v>2297</v>
      </c>
      <c r="B808" s="2" t="s">
        <v>108</v>
      </c>
      <c r="C808" s="2" t="s">
        <v>40</v>
      </c>
      <c r="D808" s="2" t="s">
        <v>2846</v>
      </c>
      <c r="E808" s="2" t="s">
        <v>106</v>
      </c>
      <c r="F808" s="132">
        <v>18650.625</v>
      </c>
      <c r="G808" s="132">
        <v>2</v>
      </c>
      <c r="H808" s="132">
        <f>10657.5*1.75</f>
        <v>18650.625</v>
      </c>
      <c r="I808" s="132"/>
      <c r="J808" s="132">
        <v>18650.62</v>
      </c>
      <c r="K808" s="132">
        <f t="shared" si="80"/>
        <v>5.0000000010186341E-3</v>
      </c>
      <c r="L808" s="132">
        <f t="shared" si="81"/>
        <v>5.0000000010186341E-3</v>
      </c>
      <c r="M808" s="133"/>
      <c r="N808" s="133">
        <f t="shared" si="79"/>
        <v>5.0000000010186341E-3</v>
      </c>
      <c r="O808" s="134">
        <v>0</v>
      </c>
      <c r="P808" s="133"/>
      <c r="Q808" s="2" t="s">
        <v>2803</v>
      </c>
      <c r="R808" s="156">
        <f t="shared" si="82"/>
        <v>0</v>
      </c>
      <c r="S808" s="156">
        <f t="shared" si="83"/>
        <v>0</v>
      </c>
      <c r="T808" s="133"/>
      <c r="U808" s="133"/>
      <c r="V808" s="133"/>
      <c r="W808" s="133"/>
      <c r="X808" s="133"/>
      <c r="Y808" s="133"/>
      <c r="Z808" s="133"/>
      <c r="AA808" s="133"/>
      <c r="AB808" s="133"/>
      <c r="AC808" s="133"/>
      <c r="AD808" s="133"/>
      <c r="AE808" s="133"/>
      <c r="AF808" s="133"/>
      <c r="AG808" s="133"/>
      <c r="AH808" s="133"/>
      <c r="AI808" s="133"/>
      <c r="AJ808" s="133"/>
      <c r="AK808" s="133"/>
      <c r="AL808" s="133"/>
      <c r="AM808" s="133"/>
      <c r="AN808" s="133"/>
      <c r="AO808" s="133"/>
      <c r="AP808" s="133"/>
      <c r="AQ808" s="133"/>
      <c r="AR808" s="133"/>
      <c r="AS808" s="153">
        <v>0</v>
      </c>
      <c r="AT808" s="153">
        <v>0</v>
      </c>
      <c r="AU808" s="153">
        <v>0</v>
      </c>
      <c r="AV808" s="153">
        <v>0</v>
      </c>
      <c r="AW808" s="153">
        <v>0</v>
      </c>
      <c r="AX808" s="153">
        <v>0</v>
      </c>
      <c r="AY808" s="135"/>
      <c r="AZ808" s="135"/>
      <c r="BA808" s="135"/>
      <c r="BB808" s="135"/>
      <c r="BC808" s="135"/>
      <c r="BD808" s="135"/>
      <c r="BE808" s="135"/>
      <c r="BF808" s="135"/>
      <c r="BG808" s="135"/>
      <c r="BH808" s="135"/>
      <c r="BI808" s="2" t="s">
        <v>112</v>
      </c>
      <c r="BJ808" s="136">
        <v>45645</v>
      </c>
      <c r="BK808" s="2" t="s">
        <v>145</v>
      </c>
      <c r="BL808" s="136" t="s">
        <v>113</v>
      </c>
      <c r="BM808" s="136">
        <v>45300</v>
      </c>
      <c r="BN808" s="2" t="s">
        <v>2914</v>
      </c>
      <c r="BO808" s="2"/>
      <c r="BP808" s="205"/>
      <c r="BQ808" s="137" t="s">
        <v>134</v>
      </c>
      <c r="BR808" s="138"/>
    </row>
    <row r="809" spans="1:70" ht="12.75" customHeight="1" x14ac:dyDescent="0.2">
      <c r="A809" s="2">
        <v>2298</v>
      </c>
      <c r="B809" s="2" t="s">
        <v>108</v>
      </c>
      <c r="C809" s="2" t="s">
        <v>40</v>
      </c>
      <c r="D809" s="2" t="s">
        <v>2847</v>
      </c>
      <c r="E809" s="2" t="s">
        <v>90</v>
      </c>
      <c r="F809" s="132">
        <v>270000</v>
      </c>
      <c r="G809" s="132">
        <v>2</v>
      </c>
      <c r="H809" s="132">
        <f>R809</f>
        <v>845000</v>
      </c>
      <c r="I809" s="132"/>
      <c r="J809" s="132">
        <f>S809+AY809+BC809</f>
        <v>128898.31000000001</v>
      </c>
      <c r="K809" s="132">
        <f t="shared" si="80"/>
        <v>141101.69</v>
      </c>
      <c r="L809" s="132">
        <f t="shared" si="81"/>
        <v>716101.69</v>
      </c>
      <c r="M809" s="133"/>
      <c r="N809" s="133">
        <f t="shared" si="79"/>
        <v>141101.69</v>
      </c>
      <c r="O809" s="134">
        <v>1</v>
      </c>
      <c r="P809" s="133"/>
      <c r="Q809" s="2" t="s">
        <v>2803</v>
      </c>
      <c r="R809" s="156">
        <f t="shared" si="82"/>
        <v>845000</v>
      </c>
      <c r="S809" s="156">
        <f t="shared" si="83"/>
        <v>128898.31000000001</v>
      </c>
      <c r="T809" s="133">
        <v>600000</v>
      </c>
      <c r="U809" s="133"/>
      <c r="V809" s="133"/>
      <c r="W809" s="133">
        <f>91525.42</f>
        <v>91525.42</v>
      </c>
      <c r="X809" s="133">
        <v>45000</v>
      </c>
      <c r="Y809" s="133"/>
      <c r="Z809" s="133"/>
      <c r="AA809" s="133">
        <v>6864.41</v>
      </c>
      <c r="AB809" s="133">
        <v>100000</v>
      </c>
      <c r="AC809" s="133"/>
      <c r="AD809" s="133"/>
      <c r="AE809" s="133">
        <v>15254.24</v>
      </c>
      <c r="AF809" s="133"/>
      <c r="AG809" s="133"/>
      <c r="AH809" s="133"/>
      <c r="AI809" s="133"/>
      <c r="AJ809" s="133"/>
      <c r="AK809" s="133"/>
      <c r="AL809" s="133">
        <v>100000</v>
      </c>
      <c r="AM809" s="133"/>
      <c r="AN809" s="133"/>
      <c r="AO809" s="133">
        <v>15254.24</v>
      </c>
      <c r="AP809" s="133"/>
      <c r="AQ809" s="133"/>
      <c r="AR809" s="133"/>
      <c r="AS809" s="153">
        <v>0</v>
      </c>
      <c r="AT809" s="153">
        <v>0</v>
      </c>
      <c r="AU809" s="153">
        <v>0</v>
      </c>
      <c r="AV809" s="153">
        <v>0</v>
      </c>
      <c r="AW809" s="153">
        <v>0</v>
      </c>
      <c r="AX809" s="153">
        <v>0</v>
      </c>
      <c r="AY809" s="135"/>
      <c r="AZ809" s="135"/>
      <c r="BA809" s="135"/>
      <c r="BB809" s="135"/>
      <c r="BC809" s="135"/>
      <c r="BD809" s="135"/>
      <c r="BE809" s="135"/>
      <c r="BF809" s="135"/>
      <c r="BG809" s="135"/>
      <c r="BH809" s="135"/>
      <c r="BI809" s="2" t="s">
        <v>11</v>
      </c>
      <c r="BJ809" s="136"/>
      <c r="BK809" s="2">
        <v>75</v>
      </c>
      <c r="BL809" s="136" t="s">
        <v>113</v>
      </c>
      <c r="BM809" s="136">
        <v>45300</v>
      </c>
      <c r="BN809" s="2" t="s">
        <v>2915</v>
      </c>
      <c r="BO809" s="2"/>
      <c r="BP809" s="205"/>
      <c r="BQ809" s="137" t="s">
        <v>119</v>
      </c>
      <c r="BR809" s="138"/>
    </row>
    <row r="810" spans="1:70" ht="12.75" customHeight="1" x14ac:dyDescent="0.2">
      <c r="A810" s="2">
        <v>2299</v>
      </c>
      <c r="B810" s="2" t="s">
        <v>104</v>
      </c>
      <c r="C810" s="2" t="s">
        <v>104</v>
      </c>
      <c r="D810" s="2" t="s">
        <v>2848</v>
      </c>
      <c r="E810" s="2" t="s">
        <v>106</v>
      </c>
      <c r="F810" s="132">
        <v>0</v>
      </c>
      <c r="G810" s="132">
        <v>2</v>
      </c>
      <c r="H810" s="132"/>
      <c r="I810" s="132"/>
      <c r="J810" s="132"/>
      <c r="K810" s="132">
        <f t="shared" si="80"/>
        <v>0</v>
      </c>
      <c r="L810" s="132">
        <f t="shared" si="81"/>
        <v>0</v>
      </c>
      <c r="M810" s="133"/>
      <c r="N810" s="133">
        <f t="shared" ref="N810:N873" si="84">IF(OR(BK810="принят",BK810="Завершено",BK810="ПриПро"),H810-J810,F810-J810)</f>
        <v>0</v>
      </c>
      <c r="O810" s="134">
        <v>2</v>
      </c>
      <c r="P810" s="133"/>
      <c r="Q810" s="2" t="s">
        <v>2804</v>
      </c>
      <c r="R810" s="156">
        <f t="shared" si="82"/>
        <v>0</v>
      </c>
      <c r="S810" s="156">
        <f t="shared" si="83"/>
        <v>0</v>
      </c>
      <c r="T810" s="133"/>
      <c r="U810" s="133"/>
      <c r="V810" s="133"/>
      <c r="W810" s="133"/>
      <c r="X810" s="133"/>
      <c r="Y810" s="133"/>
      <c r="Z810" s="133"/>
      <c r="AA810" s="133"/>
      <c r="AB810" s="133"/>
      <c r="AC810" s="133"/>
      <c r="AD810" s="133"/>
      <c r="AE810" s="133"/>
      <c r="AF810" s="133"/>
      <c r="AG810" s="133"/>
      <c r="AH810" s="133"/>
      <c r="AI810" s="133"/>
      <c r="AJ810" s="133"/>
      <c r="AK810" s="133"/>
      <c r="AL810" s="133"/>
      <c r="AM810" s="133"/>
      <c r="AN810" s="133"/>
      <c r="AO810" s="133"/>
      <c r="AP810" s="133"/>
      <c r="AQ810" s="133"/>
      <c r="AR810" s="133"/>
      <c r="AS810" s="153">
        <v>0</v>
      </c>
      <c r="AT810" s="153">
        <v>0</v>
      </c>
      <c r="AU810" s="153">
        <v>0</v>
      </c>
      <c r="AV810" s="153">
        <v>0</v>
      </c>
      <c r="AW810" s="153">
        <v>0</v>
      </c>
      <c r="AX810" s="153">
        <v>0</v>
      </c>
      <c r="AY810" s="135"/>
      <c r="AZ810" s="135"/>
      <c r="BA810" s="135"/>
      <c r="BB810" s="135"/>
      <c r="BC810" s="135"/>
      <c r="BD810" s="135"/>
      <c r="BE810" s="135"/>
      <c r="BF810" s="135"/>
      <c r="BG810" s="135"/>
      <c r="BH810" s="135"/>
      <c r="BI810" s="2" t="s">
        <v>112</v>
      </c>
      <c r="BJ810" s="136"/>
      <c r="BK810" s="2">
        <v>0</v>
      </c>
      <c r="BL810" s="136" t="s">
        <v>113</v>
      </c>
      <c r="BM810" s="136">
        <v>45300</v>
      </c>
      <c r="BN810" s="2" t="s">
        <v>2916</v>
      </c>
      <c r="BO810" s="2"/>
      <c r="BP810" s="205"/>
      <c r="BQ810" s="137" t="s">
        <v>134</v>
      </c>
      <c r="BR810" s="138"/>
    </row>
    <row r="811" spans="1:70" ht="12.75" customHeight="1" x14ac:dyDescent="0.2">
      <c r="A811" s="2">
        <v>2300</v>
      </c>
      <c r="B811" s="2" t="s">
        <v>104</v>
      </c>
      <c r="C811" s="2" t="s">
        <v>104</v>
      </c>
      <c r="D811" s="2" t="s">
        <v>2849</v>
      </c>
      <c r="E811" s="2" t="s">
        <v>90</v>
      </c>
      <c r="F811" s="132">
        <v>260000</v>
      </c>
      <c r="G811" s="132">
        <v>2</v>
      </c>
      <c r="H811" s="132"/>
      <c r="I811" s="132"/>
      <c r="J811" s="132"/>
      <c r="K811" s="132">
        <f t="shared" si="80"/>
        <v>260000</v>
      </c>
      <c r="L811" s="132">
        <f t="shared" si="81"/>
        <v>0</v>
      </c>
      <c r="M811" s="133"/>
      <c r="N811" s="133">
        <f t="shared" si="84"/>
        <v>260000</v>
      </c>
      <c r="O811" s="134">
        <v>1</v>
      </c>
      <c r="P811" s="133"/>
      <c r="Q811" s="2" t="s">
        <v>2804</v>
      </c>
      <c r="R811" s="156">
        <f t="shared" si="82"/>
        <v>0</v>
      </c>
      <c r="S811" s="156">
        <f t="shared" si="83"/>
        <v>0</v>
      </c>
      <c r="T811" s="133"/>
      <c r="U811" s="133"/>
      <c r="V811" s="133"/>
      <c r="W811" s="133"/>
      <c r="X811" s="133"/>
      <c r="Y811" s="133"/>
      <c r="Z811" s="133"/>
      <c r="AA811" s="133"/>
      <c r="AB811" s="133"/>
      <c r="AC811" s="133"/>
      <c r="AD811" s="133"/>
      <c r="AE811" s="133"/>
      <c r="AF811" s="133"/>
      <c r="AG811" s="133"/>
      <c r="AH811" s="133"/>
      <c r="AI811" s="133"/>
      <c r="AJ811" s="133"/>
      <c r="AK811" s="133"/>
      <c r="AL811" s="133"/>
      <c r="AM811" s="133"/>
      <c r="AN811" s="133"/>
      <c r="AO811" s="133"/>
      <c r="AP811" s="133"/>
      <c r="AQ811" s="133"/>
      <c r="AR811" s="133"/>
      <c r="AS811" s="153">
        <v>0</v>
      </c>
      <c r="AT811" s="153">
        <v>0</v>
      </c>
      <c r="AU811" s="153">
        <v>0</v>
      </c>
      <c r="AV811" s="153">
        <v>0</v>
      </c>
      <c r="AW811" s="153">
        <v>0</v>
      </c>
      <c r="AX811" s="153">
        <v>0</v>
      </c>
      <c r="AY811" s="135"/>
      <c r="AZ811" s="135"/>
      <c r="BA811" s="135"/>
      <c r="BB811" s="135"/>
      <c r="BC811" s="135"/>
      <c r="BD811" s="135"/>
      <c r="BE811" s="135"/>
      <c r="BF811" s="135"/>
      <c r="BG811" s="135"/>
      <c r="BH811" s="135"/>
      <c r="BI811" s="2" t="s">
        <v>11</v>
      </c>
      <c r="BJ811" s="136"/>
      <c r="BK811" s="2">
        <v>0</v>
      </c>
      <c r="BL811" s="136" t="s">
        <v>113</v>
      </c>
      <c r="BM811" s="136">
        <v>45300</v>
      </c>
      <c r="BN811" s="2" t="s">
        <v>2917</v>
      </c>
      <c r="BO811" s="2"/>
      <c r="BP811" s="205"/>
      <c r="BQ811" s="137" t="s">
        <v>119</v>
      </c>
      <c r="BR811" s="138"/>
    </row>
    <row r="812" spans="1:70" ht="12.75" customHeight="1" x14ac:dyDescent="0.2">
      <c r="A812" s="2">
        <v>2301</v>
      </c>
      <c r="B812" s="2" t="s">
        <v>39</v>
      </c>
      <c r="C812" s="2" t="s">
        <v>42</v>
      </c>
      <c r="D812" s="2" t="s">
        <v>2850</v>
      </c>
      <c r="E812" s="2" t="s">
        <v>106</v>
      </c>
      <c r="F812" s="132">
        <v>0</v>
      </c>
      <c r="G812" s="132">
        <v>2</v>
      </c>
      <c r="H812" s="132"/>
      <c r="I812" s="132"/>
      <c r="J812" s="132"/>
      <c r="K812" s="132">
        <f t="shared" si="80"/>
        <v>0</v>
      </c>
      <c r="L812" s="132">
        <f t="shared" si="81"/>
        <v>0</v>
      </c>
      <c r="M812" s="133"/>
      <c r="N812" s="133">
        <f t="shared" si="84"/>
        <v>0</v>
      </c>
      <c r="O812" s="134">
        <v>2</v>
      </c>
      <c r="P812" s="133"/>
      <c r="Q812" s="2" t="s">
        <v>2805</v>
      </c>
      <c r="R812" s="156">
        <f t="shared" si="82"/>
        <v>0</v>
      </c>
      <c r="S812" s="156">
        <f t="shared" si="83"/>
        <v>0</v>
      </c>
      <c r="T812" s="133"/>
      <c r="U812" s="133"/>
      <c r="V812" s="133"/>
      <c r="W812" s="133"/>
      <c r="X812" s="133"/>
      <c r="Y812" s="133"/>
      <c r="Z812" s="133"/>
      <c r="AA812" s="133"/>
      <c r="AB812" s="133"/>
      <c r="AC812" s="133"/>
      <c r="AD812" s="133"/>
      <c r="AE812" s="133"/>
      <c r="AF812" s="133"/>
      <c r="AG812" s="133"/>
      <c r="AH812" s="133"/>
      <c r="AI812" s="133"/>
      <c r="AJ812" s="133"/>
      <c r="AK812" s="133"/>
      <c r="AL812" s="133"/>
      <c r="AM812" s="133"/>
      <c r="AN812" s="133"/>
      <c r="AO812" s="133"/>
      <c r="AP812" s="133"/>
      <c r="AQ812" s="133"/>
      <c r="AR812" s="133"/>
      <c r="AS812" s="153">
        <v>0</v>
      </c>
      <c r="AT812" s="153">
        <v>0</v>
      </c>
      <c r="AU812" s="153">
        <v>0</v>
      </c>
      <c r="AV812" s="153">
        <v>0</v>
      </c>
      <c r="AW812" s="153">
        <v>0</v>
      </c>
      <c r="AX812" s="153">
        <v>0</v>
      </c>
      <c r="AY812" s="135"/>
      <c r="AZ812" s="135"/>
      <c r="BA812" s="135"/>
      <c r="BB812" s="135"/>
      <c r="BC812" s="135"/>
      <c r="BD812" s="135"/>
      <c r="BE812" s="135"/>
      <c r="BF812" s="135"/>
      <c r="BG812" s="135"/>
      <c r="BH812" s="135"/>
      <c r="BI812" s="2" t="s">
        <v>112</v>
      </c>
      <c r="BJ812" s="136"/>
      <c r="BK812" s="2">
        <v>0</v>
      </c>
      <c r="BL812" s="136" t="s">
        <v>113</v>
      </c>
      <c r="BM812" s="136">
        <v>45300</v>
      </c>
      <c r="BN812" s="2" t="s">
        <v>2918</v>
      </c>
      <c r="BO812" s="2"/>
      <c r="BP812" s="205"/>
      <c r="BQ812" s="137" t="s">
        <v>134</v>
      </c>
      <c r="BR812" s="138"/>
    </row>
    <row r="813" spans="1:70" ht="12.75" customHeight="1" x14ac:dyDescent="0.2">
      <c r="A813" s="2">
        <v>2302</v>
      </c>
      <c r="B813" s="2" t="s">
        <v>39</v>
      </c>
      <c r="C813" s="2" t="s">
        <v>42</v>
      </c>
      <c r="D813" s="2" t="s">
        <v>2851</v>
      </c>
      <c r="E813" s="2" t="s">
        <v>90</v>
      </c>
      <c r="F813" s="132">
        <v>215000</v>
      </c>
      <c r="G813" s="132">
        <v>2</v>
      </c>
      <c r="H813" s="132"/>
      <c r="I813" s="132"/>
      <c r="J813" s="132"/>
      <c r="K813" s="132">
        <f t="shared" si="80"/>
        <v>215000</v>
      </c>
      <c r="L813" s="132">
        <f t="shared" si="81"/>
        <v>0</v>
      </c>
      <c r="M813" s="133"/>
      <c r="N813" s="133">
        <f t="shared" si="84"/>
        <v>215000</v>
      </c>
      <c r="O813" s="134">
        <v>1</v>
      </c>
      <c r="P813" s="133"/>
      <c r="Q813" s="2" t="s">
        <v>2805</v>
      </c>
      <c r="R813" s="156">
        <f t="shared" si="82"/>
        <v>0</v>
      </c>
      <c r="S813" s="156">
        <f t="shared" si="83"/>
        <v>0</v>
      </c>
      <c r="T813" s="133"/>
      <c r="U813" s="133"/>
      <c r="V813" s="133"/>
      <c r="W813" s="133"/>
      <c r="X813" s="133"/>
      <c r="Y813" s="133"/>
      <c r="Z813" s="133"/>
      <c r="AA813" s="133"/>
      <c r="AB813" s="133"/>
      <c r="AC813" s="133"/>
      <c r="AD813" s="133"/>
      <c r="AE813" s="133"/>
      <c r="AF813" s="133"/>
      <c r="AG813" s="133"/>
      <c r="AH813" s="133"/>
      <c r="AI813" s="133"/>
      <c r="AJ813" s="133"/>
      <c r="AK813" s="133"/>
      <c r="AL813" s="133"/>
      <c r="AM813" s="133"/>
      <c r="AN813" s="133"/>
      <c r="AO813" s="133"/>
      <c r="AP813" s="133"/>
      <c r="AQ813" s="133"/>
      <c r="AR813" s="133"/>
      <c r="AS813" s="153">
        <v>0</v>
      </c>
      <c r="AT813" s="153">
        <v>0</v>
      </c>
      <c r="AU813" s="153">
        <v>0</v>
      </c>
      <c r="AV813" s="153">
        <v>0</v>
      </c>
      <c r="AW813" s="153">
        <v>0</v>
      </c>
      <c r="AX813" s="153">
        <v>0</v>
      </c>
      <c r="AY813" s="135"/>
      <c r="AZ813" s="135"/>
      <c r="BA813" s="135"/>
      <c r="BB813" s="135"/>
      <c r="BC813" s="135"/>
      <c r="BD813" s="135"/>
      <c r="BE813" s="135"/>
      <c r="BF813" s="135"/>
      <c r="BG813" s="135"/>
      <c r="BH813" s="135"/>
      <c r="BI813" s="2" t="s">
        <v>11</v>
      </c>
      <c r="BJ813" s="136"/>
      <c r="BK813" s="2">
        <v>0</v>
      </c>
      <c r="BL813" s="136" t="s">
        <v>113</v>
      </c>
      <c r="BM813" s="136">
        <v>45300</v>
      </c>
      <c r="BN813" s="2" t="s">
        <v>2919</v>
      </c>
      <c r="BO813" s="2"/>
      <c r="BP813" s="205"/>
      <c r="BQ813" s="137" t="s">
        <v>119</v>
      </c>
      <c r="BR813" s="138"/>
    </row>
    <row r="814" spans="1:70" ht="12.75" customHeight="1" x14ac:dyDescent="0.2">
      <c r="A814" s="2">
        <v>2303</v>
      </c>
      <c r="B814" s="2" t="s">
        <v>39</v>
      </c>
      <c r="C814" s="2" t="s">
        <v>94</v>
      </c>
      <c r="D814" s="2" t="s">
        <v>2852</v>
      </c>
      <c r="E814" s="2" t="s">
        <v>106</v>
      </c>
      <c r="F814" s="132">
        <v>0</v>
      </c>
      <c r="G814" s="132">
        <v>2</v>
      </c>
      <c r="H814" s="132">
        <f>R814</f>
        <v>4165</v>
      </c>
      <c r="I814" s="132"/>
      <c r="J814" s="132">
        <f>S814</f>
        <v>635.34</v>
      </c>
      <c r="K814" s="132">
        <f t="shared" si="80"/>
        <v>-635.34</v>
      </c>
      <c r="L814" s="132">
        <f t="shared" si="81"/>
        <v>3529.66</v>
      </c>
      <c r="M814" s="133"/>
      <c r="N814" s="133">
        <f t="shared" si="84"/>
        <v>3529.66</v>
      </c>
      <c r="O814" s="134">
        <v>2</v>
      </c>
      <c r="P814" s="133"/>
      <c r="Q814" s="2" t="s">
        <v>2806</v>
      </c>
      <c r="R814" s="156">
        <f t="shared" si="82"/>
        <v>4165</v>
      </c>
      <c r="S814" s="156">
        <f t="shared" si="83"/>
        <v>635.34</v>
      </c>
      <c r="T814" s="133"/>
      <c r="U814" s="133"/>
      <c r="V814" s="133"/>
      <c r="W814" s="133"/>
      <c r="X814" s="133"/>
      <c r="Y814" s="133"/>
      <c r="Z814" s="133"/>
      <c r="AA814" s="133"/>
      <c r="AB814" s="133"/>
      <c r="AC814" s="133"/>
      <c r="AD814" s="133"/>
      <c r="AE814" s="133"/>
      <c r="AF814" s="133"/>
      <c r="AG814" s="133"/>
      <c r="AH814" s="133">
        <f>2380*1.75</f>
        <v>4165</v>
      </c>
      <c r="AI814" s="133"/>
      <c r="AJ814" s="133"/>
      <c r="AK814" s="133">
        <v>635.34</v>
      </c>
      <c r="AL814" s="133"/>
      <c r="AM814" s="133"/>
      <c r="AN814" s="133"/>
      <c r="AO814" s="133"/>
      <c r="AP814" s="133"/>
      <c r="AQ814" s="133"/>
      <c r="AR814" s="133"/>
      <c r="AS814" s="153">
        <v>0</v>
      </c>
      <c r="AT814" s="153">
        <v>0</v>
      </c>
      <c r="AU814" s="153">
        <v>0</v>
      </c>
      <c r="AV814" s="153">
        <v>0</v>
      </c>
      <c r="AW814" s="153">
        <v>0</v>
      </c>
      <c r="AX814" s="153">
        <v>0</v>
      </c>
      <c r="AY814" s="135"/>
      <c r="AZ814" s="135"/>
      <c r="BA814" s="135"/>
      <c r="BB814" s="135"/>
      <c r="BC814" s="135"/>
      <c r="BD814" s="135"/>
      <c r="BE814" s="135"/>
      <c r="BF814" s="135"/>
      <c r="BG814" s="135"/>
      <c r="BH814" s="135"/>
      <c r="BI814" s="2" t="s">
        <v>112</v>
      </c>
      <c r="BJ814" s="136">
        <v>45896</v>
      </c>
      <c r="BK814" s="2" t="s">
        <v>145</v>
      </c>
      <c r="BL814" s="136" t="s">
        <v>113</v>
      </c>
      <c r="BM814" s="136">
        <v>45300</v>
      </c>
      <c r="BN814" s="2" t="s">
        <v>2920</v>
      </c>
      <c r="BO814" s="2"/>
      <c r="BP814" s="205"/>
      <c r="BQ814" s="137" t="s">
        <v>134</v>
      </c>
      <c r="BR814" s="138"/>
    </row>
    <row r="815" spans="1:70" ht="12.75" customHeight="1" x14ac:dyDescent="0.2">
      <c r="A815" s="2">
        <v>2304</v>
      </c>
      <c r="B815" s="2" t="s">
        <v>39</v>
      </c>
      <c r="C815" s="2" t="s">
        <v>94</v>
      </c>
      <c r="D815" s="2" t="s">
        <v>2853</v>
      </c>
      <c r="E815" s="2" t="s">
        <v>90</v>
      </c>
      <c r="F815" s="132">
        <v>190000</v>
      </c>
      <c r="G815" s="132">
        <v>2</v>
      </c>
      <c r="H815" s="132">
        <f>R815</f>
        <v>403079.54</v>
      </c>
      <c r="I815" s="132"/>
      <c r="J815" s="132">
        <f>S815+BC815</f>
        <v>398774.84</v>
      </c>
      <c r="K815" s="132">
        <f t="shared" si="80"/>
        <v>-208774.84000000003</v>
      </c>
      <c r="L815" s="132">
        <f t="shared" si="81"/>
        <v>4304.6999999999534</v>
      </c>
      <c r="M815" s="133">
        <v>2376</v>
      </c>
      <c r="N815" s="133">
        <f t="shared" si="84"/>
        <v>4304.6999999999534</v>
      </c>
      <c r="O815" s="134">
        <v>1</v>
      </c>
      <c r="P815" s="133"/>
      <c r="Q815" s="2" t="s">
        <v>2806</v>
      </c>
      <c r="R815" s="156">
        <f t="shared" si="82"/>
        <v>403079.54</v>
      </c>
      <c r="S815" s="156">
        <f t="shared" si="83"/>
        <v>61486.7</v>
      </c>
      <c r="T815" s="133">
        <v>85000</v>
      </c>
      <c r="U815" s="133"/>
      <c r="V815" s="133">
        <v>250000</v>
      </c>
      <c r="W815" s="133">
        <f>12966.1</f>
        <v>12966.1</v>
      </c>
      <c r="X815" s="133"/>
      <c r="Y815" s="133">
        <v>38135.589999999997</v>
      </c>
      <c r="Z815" s="133"/>
      <c r="AA815" s="133"/>
      <c r="AB815" s="133"/>
      <c r="AC815" s="133"/>
      <c r="AD815" s="133"/>
      <c r="AE815" s="133"/>
      <c r="AF815" s="133"/>
      <c r="AG815" s="133"/>
      <c r="AH815" s="133"/>
      <c r="AI815" s="133"/>
      <c r="AJ815" s="133"/>
      <c r="AK815" s="133"/>
      <c r="AL815" s="133">
        <f>63000+5079.54</f>
        <v>68079.539999999994</v>
      </c>
      <c r="AM815" s="133"/>
      <c r="AN815" s="133"/>
      <c r="AO815" s="133">
        <f>9610.17+774.84</f>
        <v>10385.01</v>
      </c>
      <c r="AP815" s="133"/>
      <c r="AQ815" s="133"/>
      <c r="AR815" s="133"/>
      <c r="AS815" s="153">
        <v>0</v>
      </c>
      <c r="AT815" s="153">
        <v>0</v>
      </c>
      <c r="AU815" s="153">
        <v>0</v>
      </c>
      <c r="AV815" s="153">
        <v>0</v>
      </c>
      <c r="AW815" s="153">
        <v>0</v>
      </c>
      <c r="AX815" s="153">
        <v>0</v>
      </c>
      <c r="AY815" s="135"/>
      <c r="AZ815" s="135"/>
      <c r="BA815" s="135"/>
      <c r="BB815" s="135"/>
      <c r="BC815" s="135">
        <f>72033.9+211864.41+53389.83</f>
        <v>337288.14</v>
      </c>
      <c r="BD815" s="135">
        <f>31579.41+1073.6+3922.32</f>
        <v>36575.33</v>
      </c>
      <c r="BE815" s="135"/>
      <c r="BF815" s="135"/>
      <c r="BG815" s="135"/>
      <c r="BH815" s="135"/>
      <c r="BI815" s="2" t="s">
        <v>11</v>
      </c>
      <c r="BJ815" s="136">
        <v>45945</v>
      </c>
      <c r="BK815" s="2" t="s">
        <v>8</v>
      </c>
      <c r="BL815" s="136" t="s">
        <v>113</v>
      </c>
      <c r="BM815" s="136">
        <v>45300</v>
      </c>
      <c r="BN815" s="2" t="s">
        <v>2921</v>
      </c>
      <c r="BO815" s="2"/>
      <c r="BP815" s="205"/>
      <c r="BQ815" s="137" t="s">
        <v>119</v>
      </c>
      <c r="BR815" s="138"/>
    </row>
    <row r="816" spans="1:70" ht="12.75" customHeight="1" x14ac:dyDescent="0.2">
      <c r="A816" s="2">
        <v>2305</v>
      </c>
      <c r="B816" s="2" t="s">
        <v>39</v>
      </c>
      <c r="C816" s="2" t="s">
        <v>41</v>
      </c>
      <c r="D816" s="2" t="s">
        <v>2854</v>
      </c>
      <c r="E816" s="2" t="s">
        <v>106</v>
      </c>
      <c r="F816" s="132">
        <v>0</v>
      </c>
      <c r="G816" s="132">
        <v>2</v>
      </c>
      <c r="H816" s="132">
        <f>R816</f>
        <v>0</v>
      </c>
      <c r="I816" s="132"/>
      <c r="J816" s="132">
        <f>S816</f>
        <v>0</v>
      </c>
      <c r="K816" s="132">
        <f t="shared" si="80"/>
        <v>0</v>
      </c>
      <c r="L816" s="132">
        <f t="shared" si="81"/>
        <v>0</v>
      </c>
      <c r="M816" s="133"/>
      <c r="N816" s="133">
        <f t="shared" si="84"/>
        <v>0</v>
      </c>
      <c r="O816" s="134">
        <v>2</v>
      </c>
      <c r="P816" s="133"/>
      <c r="Q816" s="2" t="s">
        <v>2807</v>
      </c>
      <c r="R816" s="156">
        <f t="shared" si="82"/>
        <v>0</v>
      </c>
      <c r="S816" s="156">
        <f t="shared" si="83"/>
        <v>0</v>
      </c>
      <c r="T816" s="133"/>
      <c r="U816" s="133"/>
      <c r="V816" s="133"/>
      <c r="W816" s="133"/>
      <c r="X816" s="133"/>
      <c r="Y816" s="133"/>
      <c r="Z816" s="133"/>
      <c r="AA816" s="133"/>
      <c r="AB816" s="133"/>
      <c r="AC816" s="133"/>
      <c r="AD816" s="133"/>
      <c r="AE816" s="133"/>
      <c r="AF816" s="133"/>
      <c r="AG816" s="133"/>
      <c r="AH816" s="133"/>
      <c r="AI816" s="133"/>
      <c r="AJ816" s="133"/>
      <c r="AK816" s="133"/>
      <c r="AL816" s="133"/>
      <c r="AM816" s="133"/>
      <c r="AN816" s="133"/>
      <c r="AO816" s="133"/>
      <c r="AP816" s="133"/>
      <c r="AQ816" s="133"/>
      <c r="AR816" s="133"/>
      <c r="AS816" s="153">
        <v>0</v>
      </c>
      <c r="AT816" s="153">
        <v>0</v>
      </c>
      <c r="AU816" s="153">
        <v>0</v>
      </c>
      <c r="AV816" s="153">
        <v>0</v>
      </c>
      <c r="AW816" s="153">
        <v>0</v>
      </c>
      <c r="AX816" s="153">
        <v>0</v>
      </c>
      <c r="AY816" s="135"/>
      <c r="AZ816" s="135"/>
      <c r="BA816" s="135"/>
      <c r="BB816" s="135"/>
      <c r="BC816" s="135"/>
      <c r="BD816" s="135"/>
      <c r="BE816" s="135"/>
      <c r="BF816" s="135"/>
      <c r="BG816" s="135"/>
      <c r="BH816" s="135"/>
      <c r="BI816" s="2" t="s">
        <v>112</v>
      </c>
      <c r="BJ816" s="136"/>
      <c r="BK816" s="2">
        <v>0</v>
      </c>
      <c r="BL816" s="136" t="s">
        <v>113</v>
      </c>
      <c r="BM816" s="136">
        <v>45300</v>
      </c>
      <c r="BN816" s="2" t="s">
        <v>2922</v>
      </c>
      <c r="BO816" s="2"/>
      <c r="BP816" s="205"/>
      <c r="BQ816" s="137" t="s">
        <v>134</v>
      </c>
      <c r="BR816" s="138"/>
    </row>
    <row r="817" spans="1:70" ht="12.75" customHeight="1" x14ac:dyDescent="0.2">
      <c r="A817" s="2">
        <v>2306</v>
      </c>
      <c r="B817" s="2" t="s">
        <v>39</v>
      </c>
      <c r="C817" s="2" t="s">
        <v>41</v>
      </c>
      <c r="D817" s="2" t="s">
        <v>2855</v>
      </c>
      <c r="E817" s="2" t="s">
        <v>90</v>
      </c>
      <c r="F817" s="132">
        <v>150000</v>
      </c>
      <c r="G817" s="132">
        <v>2</v>
      </c>
      <c r="H817" s="132">
        <f>R817</f>
        <v>100000</v>
      </c>
      <c r="I817" s="132"/>
      <c r="J817" s="132">
        <f>S817</f>
        <v>15254.236999999999</v>
      </c>
      <c r="K817" s="132">
        <f t="shared" si="80"/>
        <v>134745.76300000001</v>
      </c>
      <c r="L817" s="132">
        <f t="shared" si="81"/>
        <v>84745.763000000006</v>
      </c>
      <c r="M817" s="133"/>
      <c r="N817" s="133">
        <f t="shared" si="84"/>
        <v>134745.76300000001</v>
      </c>
      <c r="O817" s="134">
        <v>1</v>
      </c>
      <c r="P817" s="133"/>
      <c r="Q817" s="2" t="s">
        <v>2807</v>
      </c>
      <c r="R817" s="156">
        <f t="shared" si="82"/>
        <v>100000</v>
      </c>
      <c r="S817" s="156">
        <f t="shared" si="83"/>
        <v>15254.236999999999</v>
      </c>
      <c r="T817" s="133"/>
      <c r="U817" s="133"/>
      <c r="V817" s="133">
        <v>100000</v>
      </c>
      <c r="W817" s="133"/>
      <c r="X817" s="133"/>
      <c r="Y817" s="133">
        <v>15254.236999999999</v>
      </c>
      <c r="Z817" s="133"/>
      <c r="AA817" s="133"/>
      <c r="AB817" s="133"/>
      <c r="AC817" s="133"/>
      <c r="AD817" s="133"/>
      <c r="AE817" s="133"/>
      <c r="AF817" s="133"/>
      <c r="AG817" s="133"/>
      <c r="AH817" s="133"/>
      <c r="AI817" s="133"/>
      <c r="AJ817" s="133"/>
      <c r="AK817" s="133"/>
      <c r="AL817" s="133"/>
      <c r="AM817" s="133"/>
      <c r="AN817" s="133"/>
      <c r="AO817" s="133"/>
      <c r="AP817" s="133"/>
      <c r="AQ817" s="133"/>
      <c r="AR817" s="133"/>
      <c r="AS817" s="153">
        <v>0</v>
      </c>
      <c r="AT817" s="153">
        <v>0</v>
      </c>
      <c r="AU817" s="153">
        <v>0</v>
      </c>
      <c r="AV817" s="153">
        <v>0</v>
      </c>
      <c r="AW817" s="153">
        <v>0</v>
      </c>
      <c r="AX817" s="153">
        <v>0</v>
      </c>
      <c r="AY817" s="135"/>
      <c r="AZ817" s="135"/>
      <c r="BA817" s="135"/>
      <c r="BB817" s="135"/>
      <c r="BC817" s="135"/>
      <c r="BD817" s="135"/>
      <c r="BE817" s="135"/>
      <c r="BF817" s="135"/>
      <c r="BG817" s="135"/>
      <c r="BH817" s="135"/>
      <c r="BI817" s="2" t="s">
        <v>11</v>
      </c>
      <c r="BJ817" s="136"/>
      <c r="BK817" s="2">
        <v>80</v>
      </c>
      <c r="BL817" s="136" t="s">
        <v>113</v>
      </c>
      <c r="BM817" s="136">
        <v>45300</v>
      </c>
      <c r="BN817" s="2" t="s">
        <v>2923</v>
      </c>
      <c r="BO817" s="2"/>
      <c r="BP817" s="205"/>
      <c r="BQ817" s="137" t="s">
        <v>119</v>
      </c>
      <c r="BR817" s="138"/>
    </row>
    <row r="818" spans="1:70" ht="12.75" customHeight="1" x14ac:dyDescent="0.2">
      <c r="A818" s="2">
        <v>2307</v>
      </c>
      <c r="B818" s="2" t="s">
        <v>104</v>
      </c>
      <c r="C818" s="2" t="s">
        <v>104</v>
      </c>
      <c r="D818" s="2" t="s">
        <v>2856</v>
      </c>
      <c r="E818" s="2" t="s">
        <v>106</v>
      </c>
      <c r="F818" s="132">
        <v>0</v>
      </c>
      <c r="G818" s="132">
        <v>2</v>
      </c>
      <c r="H818" s="132"/>
      <c r="I818" s="132"/>
      <c r="J818" s="132"/>
      <c r="K818" s="132">
        <f t="shared" si="80"/>
        <v>0</v>
      </c>
      <c r="L818" s="132">
        <f t="shared" si="81"/>
        <v>0</v>
      </c>
      <c r="M818" s="133"/>
      <c r="N818" s="133">
        <f t="shared" si="84"/>
        <v>0</v>
      </c>
      <c r="O818" s="134">
        <v>2</v>
      </c>
      <c r="P818" s="133"/>
      <c r="Q818" s="2" t="s">
        <v>2808</v>
      </c>
      <c r="R818" s="156">
        <f t="shared" si="82"/>
        <v>0</v>
      </c>
      <c r="S818" s="156">
        <f t="shared" si="83"/>
        <v>0</v>
      </c>
      <c r="T818" s="133"/>
      <c r="U818" s="133"/>
      <c r="V818" s="133"/>
      <c r="W818" s="133"/>
      <c r="X818" s="133"/>
      <c r="Y818" s="133"/>
      <c r="Z818" s="133"/>
      <c r="AA818" s="133"/>
      <c r="AB818" s="133"/>
      <c r="AC818" s="133"/>
      <c r="AD818" s="133"/>
      <c r="AE818" s="133"/>
      <c r="AF818" s="133"/>
      <c r="AG818" s="133"/>
      <c r="AH818" s="133"/>
      <c r="AI818" s="133"/>
      <c r="AJ818" s="133"/>
      <c r="AK818" s="133"/>
      <c r="AL818" s="133"/>
      <c r="AM818" s="133"/>
      <c r="AN818" s="133"/>
      <c r="AO818" s="133"/>
      <c r="AP818" s="133"/>
      <c r="AQ818" s="133"/>
      <c r="AR818" s="133"/>
      <c r="AS818" s="153">
        <v>0</v>
      </c>
      <c r="AT818" s="153">
        <v>0</v>
      </c>
      <c r="AU818" s="153">
        <v>0</v>
      </c>
      <c r="AV818" s="153">
        <v>0</v>
      </c>
      <c r="AW818" s="153">
        <v>0</v>
      </c>
      <c r="AX818" s="153">
        <v>0</v>
      </c>
      <c r="AY818" s="135"/>
      <c r="AZ818" s="135"/>
      <c r="BA818" s="135"/>
      <c r="BB818" s="135"/>
      <c r="BC818" s="135"/>
      <c r="BD818" s="135"/>
      <c r="BE818" s="135"/>
      <c r="BF818" s="135"/>
      <c r="BG818" s="135"/>
      <c r="BH818" s="135"/>
      <c r="BI818" s="2" t="s">
        <v>112</v>
      </c>
      <c r="BJ818" s="136"/>
      <c r="BK818" s="2">
        <v>0</v>
      </c>
      <c r="BL818" s="136" t="s">
        <v>113</v>
      </c>
      <c r="BM818" s="136">
        <v>45300</v>
      </c>
      <c r="BN818" s="2" t="s">
        <v>2924</v>
      </c>
      <c r="BO818" s="2"/>
      <c r="BP818" s="205"/>
      <c r="BQ818" s="137" t="s">
        <v>134</v>
      </c>
      <c r="BR818" s="138"/>
    </row>
    <row r="819" spans="1:70" ht="12.75" customHeight="1" x14ac:dyDescent="0.2">
      <c r="A819" s="2">
        <v>2308</v>
      </c>
      <c r="B819" s="2" t="s">
        <v>104</v>
      </c>
      <c r="C819" s="2" t="s">
        <v>104</v>
      </c>
      <c r="D819" s="2" t="s">
        <v>2857</v>
      </c>
      <c r="E819" s="2" t="s">
        <v>90</v>
      </c>
      <c r="F819" s="132">
        <v>145000</v>
      </c>
      <c r="G819" s="132">
        <v>2</v>
      </c>
      <c r="H819" s="132"/>
      <c r="I819" s="132"/>
      <c r="J819" s="132"/>
      <c r="K819" s="132">
        <f t="shared" si="80"/>
        <v>145000</v>
      </c>
      <c r="L819" s="132">
        <f t="shared" si="81"/>
        <v>0</v>
      </c>
      <c r="M819" s="133"/>
      <c r="N819" s="133">
        <f t="shared" si="84"/>
        <v>145000</v>
      </c>
      <c r="O819" s="134">
        <v>1</v>
      </c>
      <c r="P819" s="133"/>
      <c r="Q819" s="2" t="s">
        <v>2808</v>
      </c>
      <c r="R819" s="156">
        <f t="shared" si="82"/>
        <v>0</v>
      </c>
      <c r="S819" s="156">
        <f t="shared" si="83"/>
        <v>0</v>
      </c>
      <c r="T819" s="133"/>
      <c r="U819" s="133"/>
      <c r="V819" s="133"/>
      <c r="W819" s="133"/>
      <c r="X819" s="133"/>
      <c r="Y819" s="133"/>
      <c r="Z819" s="133"/>
      <c r="AA819" s="133"/>
      <c r="AB819" s="133"/>
      <c r="AC819" s="133"/>
      <c r="AD819" s="133"/>
      <c r="AE819" s="133"/>
      <c r="AF819" s="133"/>
      <c r="AG819" s="133"/>
      <c r="AH819" s="133"/>
      <c r="AI819" s="133"/>
      <c r="AJ819" s="133"/>
      <c r="AK819" s="133"/>
      <c r="AL819" s="133"/>
      <c r="AM819" s="133"/>
      <c r="AN819" s="133"/>
      <c r="AO819" s="133"/>
      <c r="AP819" s="133"/>
      <c r="AQ819" s="133"/>
      <c r="AR819" s="133"/>
      <c r="AS819" s="153">
        <v>0</v>
      </c>
      <c r="AT819" s="153">
        <v>0</v>
      </c>
      <c r="AU819" s="153">
        <v>0</v>
      </c>
      <c r="AV819" s="153">
        <v>0</v>
      </c>
      <c r="AW819" s="153">
        <v>0</v>
      </c>
      <c r="AX819" s="153">
        <v>0</v>
      </c>
      <c r="AY819" s="135"/>
      <c r="AZ819" s="135"/>
      <c r="BA819" s="135"/>
      <c r="BB819" s="135"/>
      <c r="BC819" s="135"/>
      <c r="BD819" s="135"/>
      <c r="BE819" s="135"/>
      <c r="BF819" s="135"/>
      <c r="BG819" s="135"/>
      <c r="BH819" s="135"/>
      <c r="BI819" s="2" t="s">
        <v>11</v>
      </c>
      <c r="BJ819" s="136"/>
      <c r="BK819" s="2">
        <v>0</v>
      </c>
      <c r="BL819" s="136" t="s">
        <v>113</v>
      </c>
      <c r="BM819" s="136">
        <v>45300</v>
      </c>
      <c r="BN819" s="2" t="s">
        <v>2925</v>
      </c>
      <c r="BO819" s="2"/>
      <c r="BP819" s="205"/>
      <c r="BQ819" s="137" t="s">
        <v>119</v>
      </c>
      <c r="BR819" s="138"/>
    </row>
    <row r="820" spans="1:70" ht="12.75" customHeight="1" x14ac:dyDescent="0.2">
      <c r="A820" s="2">
        <v>2309</v>
      </c>
      <c r="B820" s="2" t="s">
        <v>39</v>
      </c>
      <c r="C820" s="2" t="s">
        <v>41</v>
      </c>
      <c r="D820" s="2" t="s">
        <v>2858</v>
      </c>
      <c r="E820" s="2" t="s">
        <v>106</v>
      </c>
      <c r="F820" s="132">
        <v>14652.75</v>
      </c>
      <c r="G820" s="132">
        <v>2</v>
      </c>
      <c r="H820" s="132">
        <f>8373*1.75</f>
        <v>14652.75</v>
      </c>
      <c r="I820" s="132"/>
      <c r="J820" s="132">
        <v>14652.75</v>
      </c>
      <c r="K820" s="132">
        <f t="shared" si="80"/>
        <v>0</v>
      </c>
      <c r="L820" s="132">
        <f t="shared" si="81"/>
        <v>0</v>
      </c>
      <c r="M820" s="133"/>
      <c r="N820" s="133">
        <f t="shared" si="84"/>
        <v>0</v>
      </c>
      <c r="O820" s="134">
        <v>0</v>
      </c>
      <c r="P820" s="133"/>
      <c r="Q820" s="2" t="s">
        <v>2809</v>
      </c>
      <c r="R820" s="156">
        <f t="shared" si="82"/>
        <v>0</v>
      </c>
      <c r="S820" s="156">
        <f t="shared" si="83"/>
        <v>0</v>
      </c>
      <c r="T820" s="133"/>
      <c r="U820" s="133"/>
      <c r="V820" s="133"/>
      <c r="W820" s="133"/>
      <c r="X820" s="133"/>
      <c r="Y820" s="133"/>
      <c r="Z820" s="133"/>
      <c r="AA820" s="133"/>
      <c r="AB820" s="133"/>
      <c r="AC820" s="133"/>
      <c r="AD820" s="133"/>
      <c r="AE820" s="133"/>
      <c r="AF820" s="133"/>
      <c r="AG820" s="133"/>
      <c r="AH820" s="133"/>
      <c r="AI820" s="133"/>
      <c r="AJ820" s="133"/>
      <c r="AK820" s="133"/>
      <c r="AL820" s="133"/>
      <c r="AM820" s="133"/>
      <c r="AN820" s="133"/>
      <c r="AO820" s="133"/>
      <c r="AP820" s="133"/>
      <c r="AQ820" s="133"/>
      <c r="AR820" s="133"/>
      <c r="AS820" s="153">
        <v>0</v>
      </c>
      <c r="AT820" s="153">
        <v>0</v>
      </c>
      <c r="AU820" s="153">
        <v>0</v>
      </c>
      <c r="AV820" s="153">
        <v>0</v>
      </c>
      <c r="AW820" s="153">
        <v>0</v>
      </c>
      <c r="AX820" s="153">
        <v>0</v>
      </c>
      <c r="AY820" s="135"/>
      <c r="AZ820" s="135"/>
      <c r="BA820" s="135"/>
      <c r="BB820" s="135"/>
      <c r="BC820" s="135"/>
      <c r="BD820" s="135"/>
      <c r="BE820" s="135"/>
      <c r="BF820" s="135"/>
      <c r="BG820" s="135"/>
      <c r="BH820" s="135"/>
      <c r="BI820" s="2" t="s">
        <v>112</v>
      </c>
      <c r="BJ820" s="136">
        <v>45537</v>
      </c>
      <c r="BK820" s="2" t="s">
        <v>145</v>
      </c>
      <c r="BL820" s="136" t="s">
        <v>113</v>
      </c>
      <c r="BM820" s="136">
        <v>45300</v>
      </c>
      <c r="BN820" s="2" t="s">
        <v>2926</v>
      </c>
      <c r="BO820" s="2"/>
      <c r="BP820" s="205"/>
      <c r="BQ820" s="137" t="s">
        <v>134</v>
      </c>
      <c r="BR820" s="138"/>
    </row>
    <row r="821" spans="1:70" ht="12.75" customHeight="1" x14ac:dyDescent="0.2">
      <c r="A821" s="2">
        <v>2310</v>
      </c>
      <c r="B821" s="2" t="s">
        <v>39</v>
      </c>
      <c r="C821" s="2" t="s">
        <v>41</v>
      </c>
      <c r="D821" s="2" t="s">
        <v>2859</v>
      </c>
      <c r="E821" s="2" t="s">
        <v>90</v>
      </c>
      <c r="F821" s="132">
        <v>100000</v>
      </c>
      <c r="G821" s="132">
        <v>2</v>
      </c>
      <c r="H821" s="132">
        <f>265000+R821</f>
        <v>494219.44</v>
      </c>
      <c r="I821" s="132"/>
      <c r="J821" s="132">
        <f>40423.728+S821+AY821+BC821</f>
        <v>298559.31799999997</v>
      </c>
      <c r="K821" s="132">
        <f t="shared" si="80"/>
        <v>-198559.31799999997</v>
      </c>
      <c r="L821" s="132">
        <f t="shared" si="81"/>
        <v>195660.12200000003</v>
      </c>
      <c r="M821" s="133"/>
      <c r="N821" s="133">
        <f t="shared" si="84"/>
        <v>-198559.31799999997</v>
      </c>
      <c r="O821" s="134">
        <v>1</v>
      </c>
      <c r="P821" s="133"/>
      <c r="Q821" s="2" t="s">
        <v>2809</v>
      </c>
      <c r="R821" s="156">
        <f t="shared" si="82"/>
        <v>229219.44</v>
      </c>
      <c r="S821" s="156">
        <f t="shared" si="83"/>
        <v>33559.32</v>
      </c>
      <c r="T821" s="133"/>
      <c r="U821" s="133"/>
      <c r="V821" s="133">
        <v>220000</v>
      </c>
      <c r="W821" s="133"/>
      <c r="X821" s="133"/>
      <c r="Y821" s="133">
        <v>33559.32</v>
      </c>
      <c r="Z821" s="133"/>
      <c r="AA821" s="133"/>
      <c r="AB821" s="133"/>
      <c r="AC821" s="133"/>
      <c r="AD821" s="133"/>
      <c r="AE821" s="133"/>
      <c r="AF821" s="133"/>
      <c r="AG821" s="133"/>
      <c r="AH821" s="133"/>
      <c r="AI821" s="133"/>
      <c r="AJ821" s="133"/>
      <c r="AK821" s="133"/>
      <c r="AL821" s="133"/>
      <c r="AM821" s="133"/>
      <c r="AN821" s="133">
        <v>9219.44</v>
      </c>
      <c r="AO821" s="133"/>
      <c r="AP821" s="133"/>
      <c r="AQ821" s="133"/>
      <c r="AR821" s="133"/>
      <c r="AS821" s="153">
        <v>0</v>
      </c>
      <c r="AT821" s="153">
        <v>0</v>
      </c>
      <c r="AU821" s="153">
        <v>0</v>
      </c>
      <c r="AV821" s="153">
        <v>0</v>
      </c>
      <c r="AW821" s="153">
        <v>0</v>
      </c>
      <c r="AX821" s="153">
        <v>0</v>
      </c>
      <c r="AY821" s="135">
        <v>224576.27</v>
      </c>
      <c r="AZ821" s="135"/>
      <c r="BA821" s="135"/>
      <c r="BB821" s="135"/>
      <c r="BC821" s="135"/>
      <c r="BD821" s="135"/>
      <c r="BE821" s="135"/>
      <c r="BF821" s="135"/>
      <c r="BG821" s="135"/>
      <c r="BH821" s="135"/>
      <c r="BI821" s="2" t="s">
        <v>11</v>
      </c>
      <c r="BJ821" s="136"/>
      <c r="BK821" s="2">
        <v>60</v>
      </c>
      <c r="BL821" s="136" t="s">
        <v>113</v>
      </c>
      <c r="BM821" s="136">
        <v>45300</v>
      </c>
      <c r="BN821" s="2" t="s">
        <v>2927</v>
      </c>
      <c r="BO821" s="2"/>
      <c r="BP821" s="205"/>
      <c r="BQ821" s="137" t="s">
        <v>119</v>
      </c>
      <c r="BR821" s="138"/>
    </row>
    <row r="822" spans="1:70" ht="12.75" customHeight="1" x14ac:dyDescent="0.2">
      <c r="A822" s="2">
        <v>2311</v>
      </c>
      <c r="B822" s="2" t="s">
        <v>39</v>
      </c>
      <c r="C822" s="2" t="s">
        <v>42</v>
      </c>
      <c r="D822" s="2" t="s">
        <v>2860</v>
      </c>
      <c r="E822" s="2" t="s">
        <v>106</v>
      </c>
      <c r="F822" s="132">
        <v>0</v>
      </c>
      <c r="G822" s="132">
        <v>2</v>
      </c>
      <c r="H822" s="132"/>
      <c r="I822" s="132"/>
      <c r="J822" s="132"/>
      <c r="K822" s="132">
        <f t="shared" ref="K822:K885" si="85">F822-J822</f>
        <v>0</v>
      </c>
      <c r="L822" s="132">
        <f t="shared" si="81"/>
        <v>0</v>
      </c>
      <c r="M822" s="133"/>
      <c r="N822" s="133">
        <f t="shared" si="84"/>
        <v>0</v>
      </c>
      <c r="O822" s="134">
        <v>2</v>
      </c>
      <c r="P822" s="133"/>
      <c r="Q822" s="2" t="s">
        <v>2810</v>
      </c>
      <c r="R822" s="156">
        <f t="shared" si="82"/>
        <v>0</v>
      </c>
      <c r="S822" s="156">
        <f t="shared" si="83"/>
        <v>0</v>
      </c>
      <c r="T822" s="133"/>
      <c r="U822" s="133"/>
      <c r="V822" s="133"/>
      <c r="W822" s="133"/>
      <c r="X822" s="133"/>
      <c r="Y822" s="133"/>
      <c r="Z822" s="133"/>
      <c r="AA822" s="133"/>
      <c r="AB822" s="133"/>
      <c r="AC822" s="133"/>
      <c r="AD822" s="133"/>
      <c r="AE822" s="133"/>
      <c r="AF822" s="133"/>
      <c r="AG822" s="133"/>
      <c r="AH822" s="133"/>
      <c r="AI822" s="133"/>
      <c r="AJ822" s="133"/>
      <c r="AK822" s="133"/>
      <c r="AL822" s="133"/>
      <c r="AM822" s="133"/>
      <c r="AN822" s="133"/>
      <c r="AO822" s="133"/>
      <c r="AP822" s="133"/>
      <c r="AQ822" s="133"/>
      <c r="AR822" s="133"/>
      <c r="AS822" s="153">
        <v>0</v>
      </c>
      <c r="AT822" s="153">
        <v>0</v>
      </c>
      <c r="AU822" s="153">
        <v>0</v>
      </c>
      <c r="AV822" s="153">
        <v>0</v>
      </c>
      <c r="AW822" s="153">
        <v>0</v>
      </c>
      <c r="AX822" s="153">
        <v>0</v>
      </c>
      <c r="AY822" s="135"/>
      <c r="AZ822" s="135"/>
      <c r="BA822" s="135"/>
      <c r="BB822" s="135"/>
      <c r="BC822" s="135"/>
      <c r="BD822" s="135"/>
      <c r="BE822" s="135"/>
      <c r="BF822" s="135"/>
      <c r="BG822" s="135"/>
      <c r="BH822" s="135"/>
      <c r="BI822" s="2" t="s">
        <v>112</v>
      </c>
      <c r="BJ822" s="136"/>
      <c r="BK822" s="2">
        <v>0</v>
      </c>
      <c r="BL822" s="136" t="s">
        <v>113</v>
      </c>
      <c r="BM822" s="136">
        <v>45300</v>
      </c>
      <c r="BN822" s="2" t="s">
        <v>2928</v>
      </c>
      <c r="BO822" s="2"/>
      <c r="BP822" s="205"/>
      <c r="BQ822" s="137" t="s">
        <v>134</v>
      </c>
      <c r="BR822" s="138"/>
    </row>
    <row r="823" spans="1:70" ht="12.75" customHeight="1" x14ac:dyDescent="0.2">
      <c r="A823" s="2">
        <v>2312</v>
      </c>
      <c r="B823" s="2" t="s">
        <v>39</v>
      </c>
      <c r="C823" s="2" t="s">
        <v>42</v>
      </c>
      <c r="D823" s="2" t="s">
        <v>2861</v>
      </c>
      <c r="E823" s="2" t="s">
        <v>90</v>
      </c>
      <c r="F823" s="132">
        <v>100000</v>
      </c>
      <c r="G823" s="132">
        <v>2</v>
      </c>
      <c r="H823" s="132"/>
      <c r="I823" s="132"/>
      <c r="J823" s="132"/>
      <c r="K823" s="132">
        <f t="shared" si="85"/>
        <v>100000</v>
      </c>
      <c r="L823" s="132">
        <f t="shared" si="81"/>
        <v>0</v>
      </c>
      <c r="M823" s="133"/>
      <c r="N823" s="133">
        <f t="shared" si="84"/>
        <v>100000</v>
      </c>
      <c r="O823" s="134">
        <v>1</v>
      </c>
      <c r="P823" s="133"/>
      <c r="Q823" s="2" t="s">
        <v>2810</v>
      </c>
      <c r="R823" s="156">
        <f t="shared" si="82"/>
        <v>0</v>
      </c>
      <c r="S823" s="156">
        <f t="shared" si="83"/>
        <v>0</v>
      </c>
      <c r="T823" s="133"/>
      <c r="U823" s="133"/>
      <c r="V823" s="133"/>
      <c r="W823" s="133"/>
      <c r="X823" s="133"/>
      <c r="Y823" s="133"/>
      <c r="Z823" s="133"/>
      <c r="AA823" s="133"/>
      <c r="AB823" s="133"/>
      <c r="AC823" s="133"/>
      <c r="AD823" s="133"/>
      <c r="AE823" s="133"/>
      <c r="AF823" s="133"/>
      <c r="AG823" s="133"/>
      <c r="AH823" s="133"/>
      <c r="AI823" s="133"/>
      <c r="AJ823" s="133"/>
      <c r="AK823" s="133"/>
      <c r="AL823" s="133"/>
      <c r="AM823" s="133"/>
      <c r="AN823" s="133"/>
      <c r="AO823" s="133"/>
      <c r="AP823" s="133"/>
      <c r="AQ823" s="133"/>
      <c r="AR823" s="133"/>
      <c r="AS823" s="153">
        <v>0</v>
      </c>
      <c r="AT823" s="153">
        <v>0</v>
      </c>
      <c r="AU823" s="153">
        <v>0</v>
      </c>
      <c r="AV823" s="153">
        <v>0</v>
      </c>
      <c r="AW823" s="153">
        <v>0</v>
      </c>
      <c r="AX823" s="153">
        <v>0</v>
      </c>
      <c r="AY823" s="135"/>
      <c r="AZ823" s="135"/>
      <c r="BA823" s="135"/>
      <c r="BB823" s="135"/>
      <c r="BC823" s="135"/>
      <c r="BD823" s="135"/>
      <c r="BE823" s="135"/>
      <c r="BF823" s="135"/>
      <c r="BG823" s="135"/>
      <c r="BH823" s="135"/>
      <c r="BI823" s="2" t="s">
        <v>11</v>
      </c>
      <c r="BJ823" s="136"/>
      <c r="BK823" s="2">
        <v>0</v>
      </c>
      <c r="BL823" s="136" t="s">
        <v>113</v>
      </c>
      <c r="BM823" s="136">
        <v>45300</v>
      </c>
      <c r="BN823" s="2" t="s">
        <v>2929</v>
      </c>
      <c r="BO823" s="2"/>
      <c r="BP823" s="205"/>
      <c r="BQ823" s="137" t="s">
        <v>119</v>
      </c>
      <c r="BR823" s="138"/>
    </row>
    <row r="824" spans="1:70" ht="12.75" customHeight="1" x14ac:dyDescent="0.2">
      <c r="A824" s="2">
        <v>2313</v>
      </c>
      <c r="B824" s="2" t="s">
        <v>39</v>
      </c>
      <c r="C824" s="2" t="s">
        <v>42</v>
      </c>
      <c r="D824" s="2" t="s">
        <v>2862</v>
      </c>
      <c r="E824" s="2" t="s">
        <v>106</v>
      </c>
      <c r="F824" s="132">
        <v>4371.5</v>
      </c>
      <c r="G824" s="132">
        <v>2</v>
      </c>
      <c r="H824" s="132">
        <f>2498*1.75</f>
        <v>4371.5</v>
      </c>
      <c r="I824" s="132"/>
      <c r="J824" s="132">
        <v>4371.5</v>
      </c>
      <c r="K824" s="132">
        <f t="shared" si="85"/>
        <v>0</v>
      </c>
      <c r="L824" s="132">
        <f t="shared" si="81"/>
        <v>0</v>
      </c>
      <c r="M824" s="133"/>
      <c r="N824" s="133">
        <f t="shared" si="84"/>
        <v>0</v>
      </c>
      <c r="O824" s="134">
        <v>0</v>
      </c>
      <c r="P824" s="133"/>
      <c r="Q824" s="2" t="s">
        <v>2811</v>
      </c>
      <c r="R824" s="156">
        <f t="shared" si="82"/>
        <v>0</v>
      </c>
      <c r="S824" s="156">
        <f t="shared" si="83"/>
        <v>0</v>
      </c>
      <c r="T824" s="133"/>
      <c r="U824" s="133"/>
      <c r="V824" s="133"/>
      <c r="W824" s="133"/>
      <c r="X824" s="133"/>
      <c r="Y824" s="133"/>
      <c r="Z824" s="133"/>
      <c r="AA824" s="133"/>
      <c r="AB824" s="133"/>
      <c r="AC824" s="133"/>
      <c r="AD824" s="133"/>
      <c r="AE824" s="133"/>
      <c r="AF824" s="133"/>
      <c r="AG824" s="133"/>
      <c r="AH824" s="133"/>
      <c r="AI824" s="133"/>
      <c r="AJ824" s="133"/>
      <c r="AK824" s="133"/>
      <c r="AL824" s="133"/>
      <c r="AM824" s="133"/>
      <c r="AN824" s="133"/>
      <c r="AO824" s="133"/>
      <c r="AP824" s="133"/>
      <c r="AQ824" s="133"/>
      <c r="AR824" s="133"/>
      <c r="AS824" s="153">
        <v>0</v>
      </c>
      <c r="AT824" s="153">
        <v>0</v>
      </c>
      <c r="AU824" s="153">
        <v>0</v>
      </c>
      <c r="AV824" s="153">
        <v>0</v>
      </c>
      <c r="AW824" s="153">
        <v>0</v>
      </c>
      <c r="AX824" s="153">
        <v>0</v>
      </c>
      <c r="AY824" s="135"/>
      <c r="AZ824" s="135"/>
      <c r="BA824" s="135"/>
      <c r="BB824" s="135"/>
      <c r="BC824" s="135"/>
      <c r="BD824" s="135"/>
      <c r="BE824" s="135"/>
      <c r="BF824" s="135"/>
      <c r="BG824" s="135"/>
      <c r="BH824" s="135"/>
      <c r="BI824" s="2" t="s">
        <v>112</v>
      </c>
      <c r="BJ824" s="136">
        <v>45642</v>
      </c>
      <c r="BK824" s="2" t="s">
        <v>145</v>
      </c>
      <c r="BL824" s="136" t="s">
        <v>113</v>
      </c>
      <c r="BM824" s="136">
        <v>45300</v>
      </c>
      <c r="BN824" s="2" t="s">
        <v>2930</v>
      </c>
      <c r="BO824" s="2"/>
      <c r="BP824" s="205"/>
      <c r="BQ824" s="137" t="s">
        <v>134</v>
      </c>
      <c r="BR824" s="138"/>
    </row>
    <row r="825" spans="1:70" ht="12.75" customHeight="1" x14ac:dyDescent="0.2">
      <c r="A825" s="2">
        <v>2314</v>
      </c>
      <c r="B825" s="2" t="s">
        <v>39</v>
      </c>
      <c r="C825" s="2" t="s">
        <v>42</v>
      </c>
      <c r="D825" s="2" t="s">
        <v>2863</v>
      </c>
      <c r="E825" s="2" t="s">
        <v>90</v>
      </c>
      <c r="F825" s="132">
        <v>100000</v>
      </c>
      <c r="G825" s="132">
        <v>2</v>
      </c>
      <c r="H825" s="132"/>
      <c r="I825" s="132"/>
      <c r="J825" s="132"/>
      <c r="K825" s="132">
        <f t="shared" si="85"/>
        <v>100000</v>
      </c>
      <c r="L825" s="132">
        <f t="shared" si="81"/>
        <v>0</v>
      </c>
      <c r="M825" s="133"/>
      <c r="N825" s="133">
        <f t="shared" si="84"/>
        <v>100000</v>
      </c>
      <c r="O825" s="134">
        <v>1</v>
      </c>
      <c r="P825" s="133"/>
      <c r="Q825" s="2" t="s">
        <v>2811</v>
      </c>
      <c r="R825" s="156">
        <f t="shared" si="82"/>
        <v>0</v>
      </c>
      <c r="S825" s="156">
        <f t="shared" si="83"/>
        <v>0</v>
      </c>
      <c r="T825" s="133"/>
      <c r="U825" s="133"/>
      <c r="V825" s="133"/>
      <c r="W825" s="133"/>
      <c r="X825" s="133"/>
      <c r="Y825" s="133"/>
      <c r="Z825" s="133"/>
      <c r="AA825" s="133"/>
      <c r="AB825" s="133"/>
      <c r="AC825" s="133"/>
      <c r="AD825" s="133"/>
      <c r="AE825" s="133"/>
      <c r="AF825" s="133"/>
      <c r="AG825" s="133"/>
      <c r="AH825" s="133"/>
      <c r="AI825" s="133"/>
      <c r="AJ825" s="133"/>
      <c r="AK825" s="133"/>
      <c r="AL825" s="133"/>
      <c r="AM825" s="133"/>
      <c r="AN825" s="133"/>
      <c r="AO825" s="133"/>
      <c r="AP825" s="133"/>
      <c r="AQ825" s="133"/>
      <c r="AR825" s="133"/>
      <c r="AS825" s="153">
        <v>0</v>
      </c>
      <c r="AT825" s="153">
        <v>0</v>
      </c>
      <c r="AU825" s="153">
        <v>0</v>
      </c>
      <c r="AV825" s="153">
        <v>0</v>
      </c>
      <c r="AW825" s="153">
        <v>0</v>
      </c>
      <c r="AX825" s="153">
        <v>0</v>
      </c>
      <c r="AY825" s="135"/>
      <c r="AZ825" s="135"/>
      <c r="BA825" s="135"/>
      <c r="BB825" s="135"/>
      <c r="BC825" s="135"/>
      <c r="BD825" s="135"/>
      <c r="BE825" s="135"/>
      <c r="BF825" s="135"/>
      <c r="BG825" s="135"/>
      <c r="BH825" s="135"/>
      <c r="BI825" s="2" t="s">
        <v>11</v>
      </c>
      <c r="BJ825" s="136"/>
      <c r="BK825" s="2">
        <v>0</v>
      </c>
      <c r="BL825" s="136" t="s">
        <v>113</v>
      </c>
      <c r="BM825" s="136">
        <v>45300</v>
      </c>
      <c r="BN825" s="2" t="s">
        <v>2931</v>
      </c>
      <c r="BO825" s="2"/>
      <c r="BP825" s="205"/>
      <c r="BQ825" s="137" t="s">
        <v>119</v>
      </c>
      <c r="BR825" s="138"/>
    </row>
    <row r="826" spans="1:70" ht="12.75" customHeight="1" x14ac:dyDescent="0.2">
      <c r="A826" s="2">
        <v>2315</v>
      </c>
      <c r="B826" s="2" t="s">
        <v>39</v>
      </c>
      <c r="C826" s="2" t="s">
        <v>42</v>
      </c>
      <c r="D826" s="2" t="s">
        <v>2864</v>
      </c>
      <c r="E826" s="2" t="s">
        <v>106</v>
      </c>
      <c r="F826" s="132">
        <v>0</v>
      </c>
      <c r="G826" s="132">
        <v>2</v>
      </c>
      <c r="H826" s="132"/>
      <c r="I826" s="132"/>
      <c r="J826" s="132"/>
      <c r="K826" s="132">
        <f t="shared" si="85"/>
        <v>0</v>
      </c>
      <c r="L826" s="132">
        <f t="shared" si="81"/>
        <v>0</v>
      </c>
      <c r="M826" s="133"/>
      <c r="N826" s="133">
        <f t="shared" si="84"/>
        <v>0</v>
      </c>
      <c r="O826" s="134">
        <v>2</v>
      </c>
      <c r="P826" s="133"/>
      <c r="Q826" s="2" t="s">
        <v>2812</v>
      </c>
      <c r="R826" s="156">
        <f t="shared" si="82"/>
        <v>0</v>
      </c>
      <c r="S826" s="156">
        <f t="shared" si="83"/>
        <v>0</v>
      </c>
      <c r="T826" s="133"/>
      <c r="U826" s="133"/>
      <c r="V826" s="133"/>
      <c r="W826" s="133"/>
      <c r="X826" s="133"/>
      <c r="Y826" s="133"/>
      <c r="Z826" s="133"/>
      <c r="AA826" s="133"/>
      <c r="AB826" s="133"/>
      <c r="AC826" s="133"/>
      <c r="AD826" s="133"/>
      <c r="AE826" s="133"/>
      <c r="AF826" s="133"/>
      <c r="AG826" s="133"/>
      <c r="AH826" s="133"/>
      <c r="AI826" s="133"/>
      <c r="AJ826" s="133"/>
      <c r="AK826" s="133"/>
      <c r="AL826" s="133"/>
      <c r="AM826" s="133"/>
      <c r="AN826" s="133"/>
      <c r="AO826" s="133"/>
      <c r="AP826" s="133"/>
      <c r="AQ826" s="133"/>
      <c r="AR826" s="133"/>
      <c r="AS826" s="153">
        <v>0</v>
      </c>
      <c r="AT826" s="153">
        <v>0</v>
      </c>
      <c r="AU826" s="153">
        <v>0</v>
      </c>
      <c r="AV826" s="153">
        <v>0</v>
      </c>
      <c r="AW826" s="153">
        <v>0</v>
      </c>
      <c r="AX826" s="153">
        <v>0</v>
      </c>
      <c r="AY826" s="135"/>
      <c r="AZ826" s="135"/>
      <c r="BA826" s="135"/>
      <c r="BB826" s="135"/>
      <c r="BC826" s="135"/>
      <c r="BD826" s="135"/>
      <c r="BE826" s="135"/>
      <c r="BF826" s="135"/>
      <c r="BG826" s="135"/>
      <c r="BH826" s="135"/>
      <c r="BI826" s="2" t="s">
        <v>112</v>
      </c>
      <c r="BJ826" s="136"/>
      <c r="BK826" s="2">
        <v>0</v>
      </c>
      <c r="BL826" s="136" t="s">
        <v>113</v>
      </c>
      <c r="BM826" s="136">
        <v>45300</v>
      </c>
      <c r="BN826" s="2" t="s">
        <v>2932</v>
      </c>
      <c r="BO826" s="2"/>
      <c r="BP826" s="205"/>
      <c r="BQ826" s="137" t="s">
        <v>134</v>
      </c>
      <c r="BR826" s="138"/>
    </row>
    <row r="827" spans="1:70" ht="12.75" customHeight="1" x14ac:dyDescent="0.2">
      <c r="A827" s="2">
        <v>2316</v>
      </c>
      <c r="B827" s="2" t="s">
        <v>39</v>
      </c>
      <c r="C827" s="2" t="s">
        <v>42</v>
      </c>
      <c r="D827" s="2" t="s">
        <v>2865</v>
      </c>
      <c r="E827" s="2" t="s">
        <v>90</v>
      </c>
      <c r="F827" s="132">
        <v>70000</v>
      </c>
      <c r="G827" s="132">
        <v>2</v>
      </c>
      <c r="H827" s="132"/>
      <c r="I827" s="132"/>
      <c r="J827" s="132"/>
      <c r="K827" s="132">
        <f t="shared" si="85"/>
        <v>70000</v>
      </c>
      <c r="L827" s="132">
        <f t="shared" si="81"/>
        <v>0</v>
      </c>
      <c r="M827" s="133"/>
      <c r="N827" s="133">
        <f t="shared" si="84"/>
        <v>70000</v>
      </c>
      <c r="O827" s="134">
        <v>1</v>
      </c>
      <c r="P827" s="133"/>
      <c r="Q827" s="2" t="s">
        <v>2812</v>
      </c>
      <c r="R827" s="156">
        <f t="shared" si="82"/>
        <v>0</v>
      </c>
      <c r="S827" s="156">
        <f t="shared" si="83"/>
        <v>0</v>
      </c>
      <c r="T827" s="133"/>
      <c r="U827" s="133"/>
      <c r="V827" s="133"/>
      <c r="W827" s="133"/>
      <c r="X827" s="133"/>
      <c r="Y827" s="133"/>
      <c r="Z827" s="133"/>
      <c r="AA827" s="133"/>
      <c r="AB827" s="133"/>
      <c r="AC827" s="133"/>
      <c r="AD827" s="133"/>
      <c r="AE827" s="133"/>
      <c r="AF827" s="133"/>
      <c r="AG827" s="133"/>
      <c r="AH827" s="133"/>
      <c r="AI827" s="133"/>
      <c r="AJ827" s="133"/>
      <c r="AK827" s="133"/>
      <c r="AL827" s="133"/>
      <c r="AM827" s="133"/>
      <c r="AN827" s="133"/>
      <c r="AO827" s="133"/>
      <c r="AP827" s="133"/>
      <c r="AQ827" s="133"/>
      <c r="AR827" s="133"/>
      <c r="AS827" s="153">
        <v>0</v>
      </c>
      <c r="AT827" s="153">
        <v>0</v>
      </c>
      <c r="AU827" s="153">
        <v>0</v>
      </c>
      <c r="AV827" s="153">
        <v>0</v>
      </c>
      <c r="AW827" s="153">
        <v>0</v>
      </c>
      <c r="AX827" s="153">
        <v>0</v>
      </c>
      <c r="AY827" s="135"/>
      <c r="AZ827" s="135"/>
      <c r="BA827" s="135"/>
      <c r="BB827" s="135"/>
      <c r="BC827" s="135"/>
      <c r="BD827" s="135"/>
      <c r="BE827" s="135"/>
      <c r="BF827" s="135"/>
      <c r="BG827" s="135"/>
      <c r="BH827" s="135"/>
      <c r="BI827" s="2" t="s">
        <v>11</v>
      </c>
      <c r="BJ827" s="136"/>
      <c r="BK827" s="2">
        <v>0</v>
      </c>
      <c r="BL827" s="136" t="s">
        <v>113</v>
      </c>
      <c r="BM827" s="136">
        <v>45300</v>
      </c>
      <c r="BN827" s="2" t="s">
        <v>2933</v>
      </c>
      <c r="BO827" s="2"/>
      <c r="BP827" s="205"/>
      <c r="BQ827" s="137" t="s">
        <v>119</v>
      </c>
      <c r="BR827" s="138"/>
    </row>
    <row r="828" spans="1:70" ht="12.75" customHeight="1" x14ac:dyDescent="0.2">
      <c r="A828" s="2">
        <v>2317</v>
      </c>
      <c r="B828" s="2" t="s">
        <v>108</v>
      </c>
      <c r="C828" s="2" t="s">
        <v>40</v>
      </c>
      <c r="D828" s="2" t="s">
        <v>2968</v>
      </c>
      <c r="E828" s="2" t="s">
        <v>106</v>
      </c>
      <c r="F828" s="132">
        <v>5556.25</v>
      </c>
      <c r="G828" s="132"/>
      <c r="H828" s="132">
        <f>3175*1.75</f>
        <v>5556.25</v>
      </c>
      <c r="I828" s="132"/>
      <c r="J828" s="132">
        <f>S828+BC828</f>
        <v>5556.25</v>
      </c>
      <c r="K828" s="132">
        <f t="shared" si="85"/>
        <v>0</v>
      </c>
      <c r="L828" s="132">
        <f t="shared" si="81"/>
        <v>0</v>
      </c>
      <c r="M828" s="133"/>
      <c r="N828" s="133">
        <f t="shared" si="84"/>
        <v>0</v>
      </c>
      <c r="O828" s="134">
        <v>2</v>
      </c>
      <c r="P828" s="133"/>
      <c r="Q828" s="2" t="s">
        <v>2813</v>
      </c>
      <c r="R828" s="156">
        <f t="shared" si="82"/>
        <v>5556.25</v>
      </c>
      <c r="S828" s="156">
        <f t="shared" si="83"/>
        <v>5556.25</v>
      </c>
      <c r="T828" s="133">
        <v>5556.25</v>
      </c>
      <c r="U828" s="133"/>
      <c r="V828" s="133"/>
      <c r="W828" s="133">
        <f>847.56</f>
        <v>847.56</v>
      </c>
      <c r="X828" s="133"/>
      <c r="Y828" s="133"/>
      <c r="Z828" s="133"/>
      <c r="AA828" s="133"/>
      <c r="AB828" s="133"/>
      <c r="AC828" s="133"/>
      <c r="AD828" s="133"/>
      <c r="AE828" s="133">
        <v>4708.6899999999996</v>
      </c>
      <c r="AF828" s="133"/>
      <c r="AG828" s="133"/>
      <c r="AH828" s="133"/>
      <c r="AI828" s="133"/>
      <c r="AJ828" s="133"/>
      <c r="AK828" s="133"/>
      <c r="AL828" s="133"/>
      <c r="AM828" s="133"/>
      <c r="AN828" s="133"/>
      <c r="AO828" s="133"/>
      <c r="AP828" s="133"/>
      <c r="AQ828" s="133"/>
      <c r="AR828" s="133"/>
      <c r="AS828" s="153">
        <v>0</v>
      </c>
      <c r="AT828" s="153">
        <v>0</v>
      </c>
      <c r="AU828" s="153">
        <v>0</v>
      </c>
      <c r="AV828" s="153">
        <v>0</v>
      </c>
      <c r="AW828" s="153">
        <v>0</v>
      </c>
      <c r="AX828" s="153">
        <v>0</v>
      </c>
      <c r="AY828" s="135"/>
      <c r="AZ828" s="135"/>
      <c r="BA828" s="135"/>
      <c r="BB828" s="135"/>
      <c r="BC828" s="135"/>
      <c r="BD828" s="135"/>
      <c r="BE828" s="135"/>
      <c r="BF828" s="135"/>
      <c r="BG828" s="135"/>
      <c r="BH828" s="135"/>
      <c r="BI828" s="2" t="s">
        <v>112</v>
      </c>
      <c r="BJ828" s="136">
        <v>45663</v>
      </c>
      <c r="BK828" s="2" t="s">
        <v>145</v>
      </c>
      <c r="BL828" s="136" t="s">
        <v>113</v>
      </c>
      <c r="BM828" s="136">
        <v>45300</v>
      </c>
      <c r="BN828" s="2" t="s">
        <v>2934</v>
      </c>
      <c r="BO828" s="2"/>
      <c r="BP828" s="205"/>
      <c r="BQ828" s="137" t="s">
        <v>134</v>
      </c>
      <c r="BR828" s="138"/>
    </row>
    <row r="829" spans="1:70" ht="12.75" customHeight="1" x14ac:dyDescent="0.2">
      <c r="A829" s="2">
        <v>2318</v>
      </c>
      <c r="B829" s="2" t="s">
        <v>108</v>
      </c>
      <c r="C829" s="2" t="s">
        <v>40</v>
      </c>
      <c r="D829" s="2" t="s">
        <v>2969</v>
      </c>
      <c r="E829" s="2" t="s">
        <v>90</v>
      </c>
      <c r="F829" s="132">
        <f>169502</f>
        <v>169502</v>
      </c>
      <c r="G829" s="132"/>
      <c r="H829" s="132">
        <f>R829</f>
        <v>383602.85</v>
      </c>
      <c r="I829" s="132"/>
      <c r="J829" s="132">
        <f>S829+BC829</f>
        <v>379702.13084745768</v>
      </c>
      <c r="K829" s="132">
        <f t="shared" si="85"/>
        <v>-210200.13084745768</v>
      </c>
      <c r="L829" s="132">
        <f t="shared" si="81"/>
        <v>3900.7191525422968</v>
      </c>
      <c r="M829" s="133">
        <v>3210</v>
      </c>
      <c r="N829" s="133">
        <f t="shared" si="84"/>
        <v>3900.7191525422968</v>
      </c>
      <c r="O829" s="134">
        <v>1</v>
      </c>
      <c r="P829" s="133"/>
      <c r="Q829" s="2" t="s">
        <v>2813</v>
      </c>
      <c r="R829" s="156">
        <f t="shared" si="82"/>
        <v>383602.85</v>
      </c>
      <c r="S829" s="156">
        <f t="shared" si="83"/>
        <v>58515.690847457605</v>
      </c>
      <c r="T829" s="133"/>
      <c r="U829" s="133"/>
      <c r="V829" s="133"/>
      <c r="W829" s="133"/>
      <c r="X829" s="133">
        <v>169000</v>
      </c>
      <c r="Y829" s="133"/>
      <c r="Z829" s="133"/>
      <c r="AA829" s="133">
        <v>25779.66</v>
      </c>
      <c r="AB829" s="133"/>
      <c r="AC829" s="133"/>
      <c r="AD829" s="133"/>
      <c r="AE829" s="133"/>
      <c r="AF829" s="133">
        <v>190000</v>
      </c>
      <c r="AG829" s="133"/>
      <c r="AH829" s="133">
        <v>20000</v>
      </c>
      <c r="AI829" s="133">
        <v>28983.050847457605</v>
      </c>
      <c r="AJ829" s="133"/>
      <c r="AK829" s="133">
        <v>3050.85</v>
      </c>
      <c r="AL829" s="133">
        <v>4602.8500000000004</v>
      </c>
      <c r="AM829" s="133"/>
      <c r="AN829" s="133"/>
      <c r="AO829" s="133">
        <v>702.13</v>
      </c>
      <c r="AP829" s="133"/>
      <c r="AQ829" s="133"/>
      <c r="AR829" s="133"/>
      <c r="AS829" s="153">
        <v>0</v>
      </c>
      <c r="AT829" s="153">
        <v>0</v>
      </c>
      <c r="AU829" s="153">
        <v>0</v>
      </c>
      <c r="AV829" s="153">
        <v>0</v>
      </c>
      <c r="AW829" s="153">
        <v>0</v>
      </c>
      <c r="AX829" s="153">
        <v>0</v>
      </c>
      <c r="AY829" s="135"/>
      <c r="AZ829" s="135"/>
      <c r="BA829" s="135"/>
      <c r="BB829" s="135"/>
      <c r="BC829" s="135">
        <f>143220.34+161016.95+16949.15</f>
        <v>321186.44000000006</v>
      </c>
      <c r="BD829" s="135">
        <f>21347.68+15931.86+1453.91</f>
        <v>38733.450000000004</v>
      </c>
      <c r="BE829" s="135"/>
      <c r="BF829" s="135"/>
      <c r="BG829" s="135"/>
      <c r="BH829" s="135"/>
      <c r="BI829" s="2" t="s">
        <v>11</v>
      </c>
      <c r="BJ829" s="136">
        <v>45945</v>
      </c>
      <c r="BK829" s="2" t="s">
        <v>8</v>
      </c>
      <c r="BL829" s="136" t="s">
        <v>113</v>
      </c>
      <c r="BM829" s="136">
        <v>45300</v>
      </c>
      <c r="BN829" s="2" t="s">
        <v>2935</v>
      </c>
      <c r="BO829" s="2"/>
      <c r="BP829" s="205"/>
      <c r="BQ829" s="137" t="s">
        <v>119</v>
      </c>
      <c r="BR829" s="138"/>
    </row>
    <row r="830" spans="1:70" ht="12.75" customHeight="1" x14ac:dyDescent="0.2">
      <c r="A830" s="2">
        <v>2319</v>
      </c>
      <c r="B830" s="2" t="s">
        <v>108</v>
      </c>
      <c r="C830" s="2" t="s">
        <v>40</v>
      </c>
      <c r="D830" s="2" t="s">
        <v>2866</v>
      </c>
      <c r="E830" s="2" t="s">
        <v>106</v>
      </c>
      <c r="F830" s="132">
        <v>4919.25</v>
      </c>
      <c r="G830" s="132">
        <v>2</v>
      </c>
      <c r="H830" s="132">
        <f>2811*1.75</f>
        <v>4919.25</v>
      </c>
      <c r="I830" s="132"/>
      <c r="J830" s="132">
        <f>750.39+4168.86</f>
        <v>4919.25</v>
      </c>
      <c r="K830" s="132">
        <f t="shared" si="85"/>
        <v>0</v>
      </c>
      <c r="L830" s="132">
        <f t="shared" si="81"/>
        <v>0</v>
      </c>
      <c r="M830" s="133"/>
      <c r="N830" s="133">
        <f t="shared" si="84"/>
        <v>0</v>
      </c>
      <c r="O830" s="134">
        <v>0</v>
      </c>
      <c r="P830" s="133"/>
      <c r="Q830" s="2" t="s">
        <v>2814</v>
      </c>
      <c r="R830" s="156">
        <f t="shared" si="82"/>
        <v>0</v>
      </c>
      <c r="S830" s="156">
        <f t="shared" si="83"/>
        <v>0</v>
      </c>
      <c r="T830" s="133"/>
      <c r="U830" s="133"/>
      <c r="V830" s="133"/>
      <c r="W830" s="133"/>
      <c r="X830" s="133"/>
      <c r="Y830" s="133"/>
      <c r="Z830" s="133"/>
      <c r="AA830" s="133"/>
      <c r="AB830" s="133"/>
      <c r="AC830" s="133"/>
      <c r="AD830" s="133"/>
      <c r="AE830" s="133"/>
      <c r="AF830" s="133"/>
      <c r="AG830" s="133"/>
      <c r="AH830" s="133"/>
      <c r="AI830" s="133"/>
      <c r="AJ830" s="133"/>
      <c r="AK830" s="133"/>
      <c r="AL830" s="133"/>
      <c r="AM830" s="133"/>
      <c r="AN830" s="133"/>
      <c r="AO830" s="133"/>
      <c r="AP830" s="133"/>
      <c r="AQ830" s="133"/>
      <c r="AR830" s="133"/>
      <c r="AS830" s="153">
        <v>0</v>
      </c>
      <c r="AT830" s="153">
        <v>0</v>
      </c>
      <c r="AU830" s="153">
        <v>0</v>
      </c>
      <c r="AV830" s="153">
        <v>0</v>
      </c>
      <c r="AW830" s="153">
        <v>0</v>
      </c>
      <c r="AX830" s="153">
        <v>0</v>
      </c>
      <c r="AY830" s="135"/>
      <c r="AZ830" s="135"/>
      <c r="BA830" s="135"/>
      <c r="BB830" s="135"/>
      <c r="BC830" s="135"/>
      <c r="BD830" s="135"/>
      <c r="BE830" s="135"/>
      <c r="BF830" s="135"/>
      <c r="BG830" s="135"/>
      <c r="BH830" s="135"/>
      <c r="BI830" s="2" t="s">
        <v>112</v>
      </c>
      <c r="BJ830" s="136">
        <v>45597</v>
      </c>
      <c r="BK830" s="2" t="s">
        <v>145</v>
      </c>
      <c r="BL830" s="136" t="s">
        <v>113</v>
      </c>
      <c r="BM830" s="136">
        <v>45300</v>
      </c>
      <c r="BN830" s="2" t="s">
        <v>2936</v>
      </c>
      <c r="BO830" s="2"/>
      <c r="BP830" s="205"/>
      <c r="BQ830" s="137" t="s">
        <v>134</v>
      </c>
      <c r="BR830" s="138"/>
    </row>
    <row r="831" spans="1:70" ht="12.75" customHeight="1" x14ac:dyDescent="0.2">
      <c r="A831" s="2">
        <v>2320</v>
      </c>
      <c r="B831" s="2" t="s">
        <v>108</v>
      </c>
      <c r="C831" s="2" t="s">
        <v>40</v>
      </c>
      <c r="D831" s="2" t="s">
        <v>2867</v>
      </c>
      <c r="E831" s="2" t="s">
        <v>90</v>
      </c>
      <c r="F831" s="132">
        <v>55000</v>
      </c>
      <c r="G831" s="132">
        <v>2</v>
      </c>
      <c r="H831" s="132">
        <f>R831</f>
        <v>140000</v>
      </c>
      <c r="I831" s="132"/>
      <c r="J831" s="132">
        <f>S831</f>
        <v>21355.93</v>
      </c>
      <c r="K831" s="132">
        <f t="shared" si="85"/>
        <v>33644.07</v>
      </c>
      <c r="L831" s="132">
        <f t="shared" si="81"/>
        <v>118644.07</v>
      </c>
      <c r="M831" s="133"/>
      <c r="N831" s="133">
        <f t="shared" si="84"/>
        <v>33644.07</v>
      </c>
      <c r="O831" s="134">
        <v>1</v>
      </c>
      <c r="P831" s="133"/>
      <c r="Q831" s="2" t="s">
        <v>2814</v>
      </c>
      <c r="R831" s="156">
        <f t="shared" si="82"/>
        <v>140000</v>
      </c>
      <c r="S831" s="156">
        <f t="shared" si="83"/>
        <v>21355.93</v>
      </c>
      <c r="T831" s="133"/>
      <c r="U831" s="133"/>
      <c r="V831" s="133">
        <v>140000</v>
      </c>
      <c r="W831" s="133"/>
      <c r="X831" s="133"/>
      <c r="Y831" s="133">
        <v>21355.93</v>
      </c>
      <c r="Z831" s="133"/>
      <c r="AA831" s="133"/>
      <c r="AB831" s="133"/>
      <c r="AC831" s="133"/>
      <c r="AD831" s="133"/>
      <c r="AE831" s="133"/>
      <c r="AF831" s="133"/>
      <c r="AG831" s="133"/>
      <c r="AH831" s="133"/>
      <c r="AI831" s="133"/>
      <c r="AJ831" s="133"/>
      <c r="AK831" s="133"/>
      <c r="AL831" s="133"/>
      <c r="AM831" s="133"/>
      <c r="AN831" s="133"/>
      <c r="AO831" s="133"/>
      <c r="AP831" s="133"/>
      <c r="AQ831" s="133"/>
      <c r="AR831" s="133"/>
      <c r="AS831" s="153">
        <v>0</v>
      </c>
      <c r="AT831" s="153">
        <v>0</v>
      </c>
      <c r="AU831" s="153">
        <v>0</v>
      </c>
      <c r="AV831" s="153">
        <v>0</v>
      </c>
      <c r="AW831" s="153">
        <v>0</v>
      </c>
      <c r="AX831" s="153">
        <v>0</v>
      </c>
      <c r="AY831" s="135"/>
      <c r="AZ831" s="135"/>
      <c r="BA831" s="135"/>
      <c r="BB831" s="135"/>
      <c r="BC831" s="135"/>
      <c r="BD831" s="135"/>
      <c r="BE831" s="135"/>
      <c r="BF831" s="135"/>
      <c r="BG831" s="135"/>
      <c r="BH831" s="135"/>
      <c r="BI831" s="2" t="s">
        <v>11</v>
      </c>
      <c r="BJ831" s="136"/>
      <c r="BK831" s="2">
        <v>80</v>
      </c>
      <c r="BL831" s="136" t="s">
        <v>113</v>
      </c>
      <c r="BM831" s="136">
        <v>45300</v>
      </c>
      <c r="BN831" s="2" t="s">
        <v>2937</v>
      </c>
      <c r="BO831" s="2"/>
      <c r="BP831" s="205"/>
      <c r="BQ831" s="137" t="s">
        <v>119</v>
      </c>
      <c r="BR831" s="138"/>
    </row>
    <row r="832" spans="1:70" ht="12.75" customHeight="1" x14ac:dyDescent="0.2">
      <c r="A832" s="2">
        <v>2321</v>
      </c>
      <c r="B832" s="2" t="s">
        <v>108</v>
      </c>
      <c r="C832" s="2" t="s">
        <v>43</v>
      </c>
      <c r="D832" s="2" t="s">
        <v>2868</v>
      </c>
      <c r="E832" s="2" t="s">
        <v>106</v>
      </c>
      <c r="F832" s="132">
        <v>1211</v>
      </c>
      <c r="G832" s="132">
        <v>2</v>
      </c>
      <c r="H832" s="132">
        <f>692*1.75</f>
        <v>1211</v>
      </c>
      <c r="I832" s="132"/>
      <c r="J832" s="132">
        <f>S832</f>
        <v>1211</v>
      </c>
      <c r="K832" s="132">
        <f t="shared" si="85"/>
        <v>0</v>
      </c>
      <c r="L832" s="132">
        <f t="shared" si="81"/>
        <v>0</v>
      </c>
      <c r="M832" s="133"/>
      <c r="N832" s="133">
        <f t="shared" si="84"/>
        <v>0</v>
      </c>
      <c r="O832" s="134">
        <v>2</v>
      </c>
      <c r="P832" s="133"/>
      <c r="Q832" s="2" t="s">
        <v>2815</v>
      </c>
      <c r="R832" s="156">
        <f t="shared" si="82"/>
        <v>1211</v>
      </c>
      <c r="S832" s="156">
        <f t="shared" si="83"/>
        <v>1211</v>
      </c>
      <c r="T832" s="133">
        <v>1211</v>
      </c>
      <c r="U832" s="133"/>
      <c r="V832" s="133"/>
      <c r="W832" s="133">
        <f>184.73</f>
        <v>184.73</v>
      </c>
      <c r="X832" s="133"/>
      <c r="Y832" s="133"/>
      <c r="Z832" s="133"/>
      <c r="AA832" s="133"/>
      <c r="AB832" s="133"/>
      <c r="AC832" s="133"/>
      <c r="AD832" s="133"/>
      <c r="AE832" s="133">
        <v>1026.27</v>
      </c>
      <c r="AF832" s="133"/>
      <c r="AG832" s="133"/>
      <c r="AH832" s="133"/>
      <c r="AI832" s="133"/>
      <c r="AJ832" s="133"/>
      <c r="AK832" s="133"/>
      <c r="AL832" s="133"/>
      <c r="AM832" s="133"/>
      <c r="AN832" s="133"/>
      <c r="AO832" s="133"/>
      <c r="AP832" s="133"/>
      <c r="AQ832" s="133"/>
      <c r="AR832" s="133"/>
      <c r="AS832" s="153">
        <v>0</v>
      </c>
      <c r="AT832" s="153">
        <v>0</v>
      </c>
      <c r="AU832" s="153">
        <v>0</v>
      </c>
      <c r="AV832" s="153">
        <v>0</v>
      </c>
      <c r="AW832" s="153">
        <v>0</v>
      </c>
      <c r="AX832" s="153">
        <v>0</v>
      </c>
      <c r="AY832" s="135"/>
      <c r="AZ832" s="135"/>
      <c r="BA832" s="135"/>
      <c r="BB832" s="135"/>
      <c r="BC832" s="135"/>
      <c r="BD832" s="135"/>
      <c r="BE832" s="135"/>
      <c r="BF832" s="135"/>
      <c r="BG832" s="135"/>
      <c r="BH832" s="135"/>
      <c r="BI832" s="2" t="s">
        <v>112</v>
      </c>
      <c r="BJ832" s="136">
        <v>45663</v>
      </c>
      <c r="BK832" s="2" t="s">
        <v>145</v>
      </c>
      <c r="BL832" s="136" t="s">
        <v>113</v>
      </c>
      <c r="BM832" s="136">
        <v>45300</v>
      </c>
      <c r="BN832" s="2" t="s">
        <v>2938</v>
      </c>
      <c r="BO832" s="2"/>
      <c r="BP832" s="205"/>
      <c r="BQ832" s="137" t="s">
        <v>134</v>
      </c>
      <c r="BR832" s="138"/>
    </row>
    <row r="833" spans="1:70" ht="12.75" customHeight="1" x14ac:dyDescent="0.2">
      <c r="A833" s="2">
        <v>2322</v>
      </c>
      <c r="B833" s="2" t="s">
        <v>108</v>
      </c>
      <c r="C833" s="2" t="s">
        <v>43</v>
      </c>
      <c r="D833" s="2" t="s">
        <v>2869</v>
      </c>
      <c r="E833" s="2" t="s">
        <v>90</v>
      </c>
      <c r="F833" s="132">
        <v>29410</v>
      </c>
      <c r="G833" s="132" t="s">
        <v>3789</v>
      </c>
      <c r="H833" s="132">
        <f>R833</f>
        <v>29000</v>
      </c>
      <c r="I833" s="132"/>
      <c r="J833" s="132">
        <f>S833+BC833</f>
        <v>4423.7299999999996</v>
      </c>
      <c r="K833" s="132">
        <f t="shared" si="85"/>
        <v>24986.27</v>
      </c>
      <c r="L833" s="132">
        <f t="shared" si="81"/>
        <v>24576.27</v>
      </c>
      <c r="M833" s="133"/>
      <c r="N833" s="133">
        <f t="shared" si="84"/>
        <v>24986.27</v>
      </c>
      <c r="O833" s="134">
        <v>1</v>
      </c>
      <c r="P833" s="133"/>
      <c r="Q833" s="2" t="s">
        <v>2815</v>
      </c>
      <c r="R833" s="156">
        <f t="shared" si="82"/>
        <v>29000</v>
      </c>
      <c r="S833" s="156">
        <f t="shared" si="83"/>
        <v>4423.7299999999996</v>
      </c>
      <c r="T833" s="133"/>
      <c r="U833" s="133"/>
      <c r="V833" s="133"/>
      <c r="W833" s="133"/>
      <c r="X833" s="133">
        <v>29000</v>
      </c>
      <c r="Y833" s="133"/>
      <c r="Z833" s="133"/>
      <c r="AA833" s="133">
        <v>4423.7299999999996</v>
      </c>
      <c r="AB833" s="133"/>
      <c r="AC833" s="133"/>
      <c r="AD833" s="133"/>
      <c r="AE833" s="133"/>
      <c r="AF833" s="133"/>
      <c r="AG833" s="133"/>
      <c r="AH833" s="133"/>
      <c r="AI833" s="133"/>
      <c r="AJ833" s="133"/>
      <c r="AK833" s="133"/>
      <c r="AL833" s="133"/>
      <c r="AM833" s="133"/>
      <c r="AN833" s="133"/>
      <c r="AO833" s="133"/>
      <c r="AP833" s="133"/>
      <c r="AQ833" s="133"/>
      <c r="AR833" s="133"/>
      <c r="AS833" s="153">
        <v>0</v>
      </c>
      <c r="AT833" s="153">
        <v>0</v>
      </c>
      <c r="AU833" s="153">
        <v>0</v>
      </c>
      <c r="AV833" s="153">
        <v>0</v>
      </c>
      <c r="AW833" s="153">
        <v>0</v>
      </c>
      <c r="AX833" s="153">
        <v>0</v>
      </c>
      <c r="AY833" s="135"/>
      <c r="AZ833" s="135"/>
      <c r="BA833" s="135"/>
      <c r="BB833" s="135"/>
      <c r="BC833" s="135"/>
      <c r="BD833" s="135"/>
      <c r="BE833" s="135"/>
      <c r="BF833" s="135"/>
      <c r="BG833" s="135"/>
      <c r="BH833" s="135"/>
      <c r="BI833" s="2" t="s">
        <v>11</v>
      </c>
      <c r="BJ833" s="136"/>
      <c r="BK833" s="2">
        <v>0</v>
      </c>
      <c r="BL833" s="136" t="s">
        <v>113</v>
      </c>
      <c r="BM833" s="136">
        <v>45300</v>
      </c>
      <c r="BN833" s="2" t="s">
        <v>2939</v>
      </c>
      <c r="BO833" s="2"/>
      <c r="BP833" s="205"/>
      <c r="BQ833" s="137" t="s">
        <v>119</v>
      </c>
      <c r="BR833" s="138"/>
    </row>
    <row r="834" spans="1:70" ht="12.75" customHeight="1" x14ac:dyDescent="0.2">
      <c r="A834" s="2">
        <v>2323</v>
      </c>
      <c r="B834" s="2" t="s">
        <v>39</v>
      </c>
      <c r="C834" s="2" t="s">
        <v>41</v>
      </c>
      <c r="D834" s="2" t="s">
        <v>2870</v>
      </c>
      <c r="E834" s="2" t="s">
        <v>106</v>
      </c>
      <c r="F834" s="132">
        <v>0</v>
      </c>
      <c r="G834" s="132">
        <v>2</v>
      </c>
      <c r="H834" s="132">
        <f>R834</f>
        <v>0</v>
      </c>
      <c r="I834" s="132"/>
      <c r="J834" s="132">
        <f>S834+BC834</f>
        <v>0</v>
      </c>
      <c r="K834" s="132">
        <f t="shared" si="85"/>
        <v>0</v>
      </c>
      <c r="L834" s="132">
        <f t="shared" si="81"/>
        <v>0</v>
      </c>
      <c r="M834" s="133"/>
      <c r="N834" s="133">
        <f t="shared" si="84"/>
        <v>0</v>
      </c>
      <c r="O834" s="134">
        <v>2</v>
      </c>
      <c r="P834" s="133"/>
      <c r="Q834" s="2" t="s">
        <v>2816</v>
      </c>
      <c r="R834" s="156">
        <f t="shared" si="82"/>
        <v>0</v>
      </c>
      <c r="S834" s="156">
        <f t="shared" si="83"/>
        <v>0</v>
      </c>
      <c r="T834" s="133"/>
      <c r="U834" s="133"/>
      <c r="V834" s="133"/>
      <c r="W834" s="133"/>
      <c r="X834" s="133"/>
      <c r="Y834" s="133"/>
      <c r="Z834" s="133"/>
      <c r="AA834" s="133"/>
      <c r="AB834" s="133"/>
      <c r="AC834" s="133"/>
      <c r="AD834" s="133"/>
      <c r="AE834" s="133"/>
      <c r="AF834" s="133"/>
      <c r="AG834" s="133"/>
      <c r="AH834" s="133"/>
      <c r="AI834" s="133"/>
      <c r="AJ834" s="133"/>
      <c r="AK834" s="133"/>
      <c r="AL834" s="133"/>
      <c r="AM834" s="133"/>
      <c r="AN834" s="133"/>
      <c r="AO834" s="133"/>
      <c r="AP834" s="133"/>
      <c r="AQ834" s="133"/>
      <c r="AR834" s="133"/>
      <c r="AS834" s="153">
        <v>0</v>
      </c>
      <c r="AT834" s="153">
        <v>0</v>
      </c>
      <c r="AU834" s="153">
        <v>0</v>
      </c>
      <c r="AV834" s="153">
        <v>0</v>
      </c>
      <c r="AW834" s="153">
        <v>0</v>
      </c>
      <c r="AX834" s="153">
        <v>0</v>
      </c>
      <c r="AY834" s="135"/>
      <c r="AZ834" s="135"/>
      <c r="BA834" s="135"/>
      <c r="BB834" s="135"/>
      <c r="BC834" s="135"/>
      <c r="BD834" s="135"/>
      <c r="BE834" s="135"/>
      <c r="BF834" s="135"/>
      <c r="BG834" s="135"/>
      <c r="BH834" s="135"/>
      <c r="BI834" s="2" t="s">
        <v>112</v>
      </c>
      <c r="BJ834" s="136"/>
      <c r="BK834" s="2">
        <v>0</v>
      </c>
      <c r="BL834" s="136" t="s">
        <v>113</v>
      </c>
      <c r="BM834" s="136">
        <v>45300</v>
      </c>
      <c r="BN834" s="2" t="s">
        <v>2940</v>
      </c>
      <c r="BO834" s="2"/>
      <c r="BP834" s="205"/>
      <c r="BQ834" s="137" t="s">
        <v>134</v>
      </c>
      <c r="BR834" s="138"/>
    </row>
    <row r="835" spans="1:70" ht="12.75" customHeight="1" x14ac:dyDescent="0.2">
      <c r="A835" s="2">
        <v>2324</v>
      </c>
      <c r="B835" s="2" t="s">
        <v>39</v>
      </c>
      <c r="C835" s="2" t="s">
        <v>41</v>
      </c>
      <c r="D835" s="2" t="s">
        <v>2871</v>
      </c>
      <c r="E835" s="2" t="s">
        <v>90</v>
      </c>
      <c r="F835" s="132">
        <v>50000</v>
      </c>
      <c r="G835" s="132">
        <v>2</v>
      </c>
      <c r="H835" s="132">
        <f>R835</f>
        <v>130000</v>
      </c>
      <c r="I835" s="132"/>
      <c r="J835" s="132">
        <f>S835+BC835</f>
        <v>19830.510000000002</v>
      </c>
      <c r="K835" s="132">
        <f t="shared" si="85"/>
        <v>30169.489999999998</v>
      </c>
      <c r="L835" s="132">
        <f t="shared" si="81"/>
        <v>110169.48999999999</v>
      </c>
      <c r="M835" s="133"/>
      <c r="N835" s="133">
        <f t="shared" si="84"/>
        <v>30169.489999999998</v>
      </c>
      <c r="O835" s="134">
        <v>1</v>
      </c>
      <c r="P835" s="133"/>
      <c r="Q835" s="2" t="s">
        <v>2816</v>
      </c>
      <c r="R835" s="156">
        <f t="shared" si="82"/>
        <v>130000</v>
      </c>
      <c r="S835" s="156">
        <f t="shared" si="83"/>
        <v>19830.510000000002</v>
      </c>
      <c r="T835" s="133"/>
      <c r="U835" s="133"/>
      <c r="V835" s="133"/>
      <c r="W835" s="133"/>
      <c r="X835" s="133">
        <v>30000</v>
      </c>
      <c r="Y835" s="133"/>
      <c r="Z835" s="133"/>
      <c r="AA835" s="133">
        <v>4576.2700000000004</v>
      </c>
      <c r="AB835" s="133"/>
      <c r="AC835" s="133"/>
      <c r="AD835" s="133"/>
      <c r="AE835" s="133"/>
      <c r="AF835" s="133"/>
      <c r="AG835" s="133"/>
      <c r="AH835" s="133"/>
      <c r="AI835" s="133"/>
      <c r="AJ835" s="133"/>
      <c r="AK835" s="133"/>
      <c r="AL835" s="133">
        <v>100000</v>
      </c>
      <c r="AM835" s="133"/>
      <c r="AN835" s="133"/>
      <c r="AO835" s="133">
        <v>15254.24</v>
      </c>
      <c r="AP835" s="133"/>
      <c r="AQ835" s="133"/>
      <c r="AR835" s="133"/>
      <c r="AS835" s="153">
        <v>0</v>
      </c>
      <c r="AT835" s="153">
        <v>0</v>
      </c>
      <c r="AU835" s="153">
        <v>0</v>
      </c>
      <c r="AV835" s="153">
        <v>0</v>
      </c>
      <c r="AW835" s="153">
        <v>0</v>
      </c>
      <c r="AX835" s="153">
        <v>0</v>
      </c>
      <c r="AY835" s="135"/>
      <c r="AZ835" s="135"/>
      <c r="BA835" s="135"/>
      <c r="BB835" s="135"/>
      <c r="BC835" s="135"/>
      <c r="BD835" s="135"/>
      <c r="BE835" s="135"/>
      <c r="BF835" s="135"/>
      <c r="BG835" s="135"/>
      <c r="BH835" s="135"/>
      <c r="BI835" s="2" t="s">
        <v>11</v>
      </c>
      <c r="BJ835" s="136"/>
      <c r="BK835" s="2">
        <v>0</v>
      </c>
      <c r="BL835" s="136" t="s">
        <v>113</v>
      </c>
      <c r="BM835" s="136">
        <v>45300</v>
      </c>
      <c r="BN835" s="2" t="s">
        <v>2941</v>
      </c>
      <c r="BO835" s="2"/>
      <c r="BP835" s="205"/>
      <c r="BQ835" s="137" t="s">
        <v>119</v>
      </c>
      <c r="BR835" s="138"/>
    </row>
    <row r="836" spans="1:70" ht="12.75" customHeight="1" x14ac:dyDescent="0.2">
      <c r="A836" s="2">
        <v>2325</v>
      </c>
      <c r="B836" s="2" t="s">
        <v>108</v>
      </c>
      <c r="C836" s="2" t="s">
        <v>40</v>
      </c>
      <c r="D836" s="2" t="s">
        <v>2872</v>
      </c>
      <c r="E836" s="2" t="s">
        <v>106</v>
      </c>
      <c r="F836" s="132">
        <v>648.375</v>
      </c>
      <c r="G836" s="132">
        <v>2</v>
      </c>
      <c r="H836" s="132">
        <f>370.5*1.75</f>
        <v>648.375</v>
      </c>
      <c r="I836" s="132"/>
      <c r="J836" s="132">
        <v>648.37</v>
      </c>
      <c r="K836" s="132">
        <f t="shared" si="85"/>
        <v>4.9999999999954525E-3</v>
      </c>
      <c r="L836" s="132">
        <f t="shared" si="81"/>
        <v>4.9999999999954525E-3</v>
      </c>
      <c r="M836" s="133"/>
      <c r="N836" s="133">
        <f t="shared" si="84"/>
        <v>4.9999999999954525E-3</v>
      </c>
      <c r="O836" s="134">
        <v>0</v>
      </c>
      <c r="P836" s="133"/>
      <c r="Q836" s="2" t="s">
        <v>2817</v>
      </c>
      <c r="R836" s="156">
        <f t="shared" si="82"/>
        <v>0</v>
      </c>
      <c r="S836" s="156">
        <f t="shared" si="83"/>
        <v>0</v>
      </c>
      <c r="T836" s="133"/>
      <c r="U836" s="133"/>
      <c r="V836" s="133"/>
      <c r="W836" s="133"/>
      <c r="X836" s="133"/>
      <c r="Y836" s="133"/>
      <c r="Z836" s="133"/>
      <c r="AA836" s="133"/>
      <c r="AB836" s="133"/>
      <c r="AC836" s="133"/>
      <c r="AD836" s="133"/>
      <c r="AE836" s="133"/>
      <c r="AF836" s="133"/>
      <c r="AG836" s="133"/>
      <c r="AH836" s="133"/>
      <c r="AI836" s="133"/>
      <c r="AJ836" s="133"/>
      <c r="AK836" s="133"/>
      <c r="AL836" s="133"/>
      <c r="AM836" s="133"/>
      <c r="AN836" s="133"/>
      <c r="AO836" s="133"/>
      <c r="AP836" s="133"/>
      <c r="AQ836" s="133"/>
      <c r="AR836" s="133"/>
      <c r="AS836" s="153">
        <v>0</v>
      </c>
      <c r="AT836" s="153">
        <v>0</v>
      </c>
      <c r="AU836" s="153">
        <v>0</v>
      </c>
      <c r="AV836" s="153">
        <v>0</v>
      </c>
      <c r="AW836" s="153">
        <v>0</v>
      </c>
      <c r="AX836" s="153">
        <v>0</v>
      </c>
      <c r="AY836" s="135"/>
      <c r="AZ836" s="135"/>
      <c r="BA836" s="135"/>
      <c r="BB836" s="135"/>
      <c r="BC836" s="135"/>
      <c r="BD836" s="135"/>
      <c r="BE836" s="135"/>
      <c r="BF836" s="135"/>
      <c r="BG836" s="135"/>
      <c r="BH836" s="135"/>
      <c r="BI836" s="2" t="s">
        <v>112</v>
      </c>
      <c r="BJ836" s="136">
        <v>45642</v>
      </c>
      <c r="BK836" s="2" t="s">
        <v>145</v>
      </c>
      <c r="BL836" s="136" t="s">
        <v>113</v>
      </c>
      <c r="BM836" s="136">
        <v>45300</v>
      </c>
      <c r="BN836" s="2" t="s">
        <v>2942</v>
      </c>
      <c r="BO836" s="2"/>
      <c r="BP836" s="205"/>
      <c r="BQ836" s="137" t="s">
        <v>134</v>
      </c>
      <c r="BR836" s="138"/>
    </row>
    <row r="837" spans="1:70" ht="12.75" customHeight="1" x14ac:dyDescent="0.2">
      <c r="A837" s="2">
        <v>2326</v>
      </c>
      <c r="B837" s="2" t="s">
        <v>108</v>
      </c>
      <c r="C837" s="2" t="s">
        <v>40</v>
      </c>
      <c r="D837" s="2" t="s">
        <v>2873</v>
      </c>
      <c r="E837" s="2" t="s">
        <v>90</v>
      </c>
      <c r="F837" s="132">
        <v>40000</v>
      </c>
      <c r="G837" s="132">
        <v>2</v>
      </c>
      <c r="H837" s="132"/>
      <c r="I837" s="132"/>
      <c r="J837" s="132"/>
      <c r="K837" s="132">
        <f t="shared" si="85"/>
        <v>40000</v>
      </c>
      <c r="L837" s="132">
        <f t="shared" si="81"/>
        <v>0</v>
      </c>
      <c r="M837" s="133"/>
      <c r="N837" s="133">
        <f t="shared" si="84"/>
        <v>40000</v>
      </c>
      <c r="O837" s="134">
        <v>1</v>
      </c>
      <c r="P837" s="133"/>
      <c r="Q837" s="2" t="s">
        <v>2817</v>
      </c>
      <c r="R837" s="156">
        <f t="shared" si="82"/>
        <v>0</v>
      </c>
      <c r="S837" s="156">
        <f t="shared" si="83"/>
        <v>0</v>
      </c>
      <c r="T837" s="133"/>
      <c r="U837" s="133"/>
      <c r="V837" s="133"/>
      <c r="W837" s="133"/>
      <c r="X837" s="133"/>
      <c r="Y837" s="133"/>
      <c r="Z837" s="133"/>
      <c r="AA837" s="133"/>
      <c r="AB837" s="133"/>
      <c r="AC837" s="133"/>
      <c r="AD837" s="133"/>
      <c r="AE837" s="133"/>
      <c r="AF837" s="133"/>
      <c r="AG837" s="133"/>
      <c r="AH837" s="133"/>
      <c r="AI837" s="133"/>
      <c r="AJ837" s="133"/>
      <c r="AK837" s="133"/>
      <c r="AL837" s="133"/>
      <c r="AM837" s="133"/>
      <c r="AN837" s="133"/>
      <c r="AO837" s="133"/>
      <c r="AP837" s="133"/>
      <c r="AQ837" s="133"/>
      <c r="AR837" s="133"/>
      <c r="AS837" s="153">
        <v>0</v>
      </c>
      <c r="AT837" s="153">
        <v>0</v>
      </c>
      <c r="AU837" s="153">
        <v>0</v>
      </c>
      <c r="AV837" s="153">
        <v>0</v>
      </c>
      <c r="AW837" s="153">
        <v>0</v>
      </c>
      <c r="AX837" s="153">
        <v>0</v>
      </c>
      <c r="AY837" s="135"/>
      <c r="AZ837" s="135"/>
      <c r="BA837" s="135"/>
      <c r="BB837" s="135"/>
      <c r="BC837" s="135"/>
      <c r="BD837" s="135"/>
      <c r="BE837" s="135"/>
      <c r="BF837" s="135"/>
      <c r="BG837" s="135"/>
      <c r="BH837" s="135"/>
      <c r="BI837" s="2" t="s">
        <v>11</v>
      </c>
      <c r="BJ837" s="136"/>
      <c r="BK837" s="2">
        <v>0</v>
      </c>
      <c r="BL837" s="136" t="s">
        <v>113</v>
      </c>
      <c r="BM837" s="136">
        <v>45300</v>
      </c>
      <c r="BN837" s="2" t="s">
        <v>2943</v>
      </c>
      <c r="BO837" s="2"/>
      <c r="BP837" s="205"/>
      <c r="BQ837" s="137" t="s">
        <v>119</v>
      </c>
      <c r="BR837" s="138"/>
    </row>
    <row r="838" spans="1:70" ht="12.75" customHeight="1" x14ac:dyDescent="0.2">
      <c r="A838" s="2">
        <v>2327</v>
      </c>
      <c r="B838" s="2" t="s">
        <v>39</v>
      </c>
      <c r="C838" s="2" t="s">
        <v>42</v>
      </c>
      <c r="D838" s="2" t="s">
        <v>2874</v>
      </c>
      <c r="E838" s="2" t="s">
        <v>106</v>
      </c>
      <c r="F838" s="132">
        <v>2602.25</v>
      </c>
      <c r="G838" s="132">
        <v>2</v>
      </c>
      <c r="H838" s="132">
        <f>1487*1.75</f>
        <v>2602.25</v>
      </c>
      <c r="I838" s="132"/>
      <c r="J838" s="132">
        <f>S838</f>
        <v>2602.25</v>
      </c>
      <c r="K838" s="132">
        <f t="shared" si="85"/>
        <v>0</v>
      </c>
      <c r="L838" s="132">
        <f t="shared" si="81"/>
        <v>0</v>
      </c>
      <c r="M838" s="133"/>
      <c r="N838" s="133">
        <f t="shared" si="84"/>
        <v>0</v>
      </c>
      <c r="O838" s="134">
        <v>2</v>
      </c>
      <c r="P838" s="133"/>
      <c r="Q838" s="2" t="s">
        <v>2818</v>
      </c>
      <c r="R838" s="156">
        <f t="shared" si="82"/>
        <v>2602.25</v>
      </c>
      <c r="S838" s="156">
        <f t="shared" si="83"/>
        <v>2602.25</v>
      </c>
      <c r="T838" s="133">
        <v>2602.25</v>
      </c>
      <c r="U838" s="133"/>
      <c r="V838" s="133"/>
      <c r="W838" s="133">
        <f>396.95</f>
        <v>396.95</v>
      </c>
      <c r="X838" s="133"/>
      <c r="Y838" s="133"/>
      <c r="Z838" s="133"/>
      <c r="AA838" s="133"/>
      <c r="AB838" s="133"/>
      <c r="AC838" s="133"/>
      <c r="AD838" s="133"/>
      <c r="AE838" s="133">
        <v>2205.3000000000002</v>
      </c>
      <c r="AF838" s="133"/>
      <c r="AG838" s="133"/>
      <c r="AH838" s="133"/>
      <c r="AI838" s="133"/>
      <c r="AJ838" s="133"/>
      <c r="AK838" s="133"/>
      <c r="AL838" s="133"/>
      <c r="AM838" s="133"/>
      <c r="AN838" s="133"/>
      <c r="AO838" s="133"/>
      <c r="AP838" s="133"/>
      <c r="AQ838" s="133"/>
      <c r="AR838" s="133"/>
      <c r="AS838" s="153">
        <v>0</v>
      </c>
      <c r="AT838" s="153">
        <v>0</v>
      </c>
      <c r="AU838" s="153">
        <v>0</v>
      </c>
      <c r="AV838" s="153">
        <v>0</v>
      </c>
      <c r="AW838" s="153">
        <v>0</v>
      </c>
      <c r="AX838" s="153">
        <v>0</v>
      </c>
      <c r="AY838" s="135"/>
      <c r="AZ838" s="135"/>
      <c r="BA838" s="135"/>
      <c r="BB838" s="135"/>
      <c r="BC838" s="135"/>
      <c r="BD838" s="135"/>
      <c r="BE838" s="135"/>
      <c r="BF838" s="135"/>
      <c r="BG838" s="135"/>
      <c r="BH838" s="135"/>
      <c r="BI838" s="2" t="s">
        <v>112</v>
      </c>
      <c r="BJ838" s="136">
        <v>45663</v>
      </c>
      <c r="BK838" s="2" t="s">
        <v>145</v>
      </c>
      <c r="BL838" s="136" t="s">
        <v>113</v>
      </c>
      <c r="BM838" s="136">
        <v>45300</v>
      </c>
      <c r="BN838" s="2" t="s">
        <v>2944</v>
      </c>
      <c r="BO838" s="2"/>
      <c r="BP838" s="205"/>
      <c r="BQ838" s="137" t="s">
        <v>134</v>
      </c>
      <c r="BR838" s="138"/>
    </row>
    <row r="839" spans="1:70" ht="12.75" customHeight="1" x14ac:dyDescent="0.2">
      <c r="A839" s="2">
        <v>2328</v>
      </c>
      <c r="B839" s="2" t="s">
        <v>39</v>
      </c>
      <c r="C839" s="2" t="s">
        <v>42</v>
      </c>
      <c r="D839" s="2" t="s">
        <v>2875</v>
      </c>
      <c r="E839" s="2" t="s">
        <v>90</v>
      </c>
      <c r="F839" s="132">
        <v>176015</v>
      </c>
      <c r="G839" s="132" t="s">
        <v>3789</v>
      </c>
      <c r="H839" s="132"/>
      <c r="I839" s="132"/>
      <c r="J839" s="132"/>
      <c r="K839" s="132">
        <f t="shared" si="85"/>
        <v>176015</v>
      </c>
      <c r="L839" s="132">
        <f t="shared" si="81"/>
        <v>0</v>
      </c>
      <c r="M839" s="133"/>
      <c r="N839" s="133">
        <f t="shared" si="84"/>
        <v>176015</v>
      </c>
      <c r="O839" s="134">
        <v>1</v>
      </c>
      <c r="P839" s="133"/>
      <c r="Q839" s="2" t="s">
        <v>2818</v>
      </c>
      <c r="R839" s="156">
        <f t="shared" si="82"/>
        <v>0</v>
      </c>
      <c r="S839" s="156">
        <f t="shared" si="83"/>
        <v>0</v>
      </c>
      <c r="T839" s="133"/>
      <c r="U839" s="133"/>
      <c r="V839" s="133"/>
      <c r="W839" s="133"/>
      <c r="X839" s="133"/>
      <c r="Y839" s="133"/>
      <c r="Z839" s="133"/>
      <c r="AA839" s="133"/>
      <c r="AB839" s="133"/>
      <c r="AC839" s="133"/>
      <c r="AD839" s="133"/>
      <c r="AE839" s="133"/>
      <c r="AF839" s="133"/>
      <c r="AG839" s="133"/>
      <c r="AH839" s="133"/>
      <c r="AI839" s="133"/>
      <c r="AJ839" s="133"/>
      <c r="AK839" s="133"/>
      <c r="AL839" s="133"/>
      <c r="AM839" s="133"/>
      <c r="AN839" s="133"/>
      <c r="AO839" s="133"/>
      <c r="AP839" s="133"/>
      <c r="AQ839" s="133"/>
      <c r="AR839" s="133"/>
      <c r="AS839" s="153">
        <v>0</v>
      </c>
      <c r="AT839" s="153">
        <v>0</v>
      </c>
      <c r="AU839" s="153">
        <v>0</v>
      </c>
      <c r="AV839" s="153">
        <v>0</v>
      </c>
      <c r="AW839" s="153">
        <v>0</v>
      </c>
      <c r="AX839" s="153">
        <v>0</v>
      </c>
      <c r="AY839" s="135"/>
      <c r="AZ839" s="135"/>
      <c r="BA839" s="135"/>
      <c r="BB839" s="135"/>
      <c r="BC839" s="135"/>
      <c r="BD839" s="135"/>
      <c r="BE839" s="135"/>
      <c r="BF839" s="135"/>
      <c r="BG839" s="135"/>
      <c r="BH839" s="135"/>
      <c r="BI839" s="2" t="s">
        <v>11</v>
      </c>
      <c r="BJ839" s="136"/>
      <c r="BK839" s="2">
        <v>0</v>
      </c>
      <c r="BL839" s="136" t="s">
        <v>113</v>
      </c>
      <c r="BM839" s="136">
        <v>45300</v>
      </c>
      <c r="BN839" s="2" t="s">
        <v>2945</v>
      </c>
      <c r="BO839" s="2"/>
      <c r="BP839" s="205"/>
      <c r="BQ839" s="137" t="s">
        <v>119</v>
      </c>
      <c r="BR839" s="138"/>
    </row>
    <row r="840" spans="1:70" ht="12.75" customHeight="1" x14ac:dyDescent="0.2">
      <c r="A840" s="2">
        <v>2329</v>
      </c>
      <c r="B840" s="2" t="s">
        <v>108</v>
      </c>
      <c r="C840" s="2" t="s">
        <v>40</v>
      </c>
      <c r="D840" s="2" t="s">
        <v>2876</v>
      </c>
      <c r="E840" s="2" t="s">
        <v>106</v>
      </c>
      <c r="F840" s="132">
        <v>633.5</v>
      </c>
      <c r="G840" s="132">
        <v>2</v>
      </c>
      <c r="H840" s="132">
        <f>362*1.75</f>
        <v>633.5</v>
      </c>
      <c r="I840" s="132"/>
      <c r="J840" s="132">
        <v>633.5</v>
      </c>
      <c r="K840" s="132">
        <f t="shared" si="85"/>
        <v>0</v>
      </c>
      <c r="L840" s="132">
        <f t="shared" si="81"/>
        <v>0</v>
      </c>
      <c r="M840" s="133"/>
      <c r="N840" s="133">
        <f t="shared" si="84"/>
        <v>0</v>
      </c>
      <c r="O840" s="134">
        <v>0</v>
      </c>
      <c r="P840" s="133"/>
      <c r="Q840" s="2" t="s">
        <v>2819</v>
      </c>
      <c r="R840" s="156">
        <f t="shared" si="82"/>
        <v>0</v>
      </c>
      <c r="S840" s="156">
        <f t="shared" si="83"/>
        <v>0</v>
      </c>
      <c r="T840" s="133"/>
      <c r="U840" s="133"/>
      <c r="V840" s="133"/>
      <c r="W840" s="133"/>
      <c r="X840" s="133"/>
      <c r="Y840" s="133"/>
      <c r="Z840" s="133"/>
      <c r="AA840" s="133"/>
      <c r="AB840" s="133"/>
      <c r="AC840" s="133"/>
      <c r="AD840" s="133"/>
      <c r="AE840" s="133"/>
      <c r="AF840" s="133"/>
      <c r="AG840" s="133"/>
      <c r="AH840" s="133"/>
      <c r="AI840" s="133"/>
      <c r="AJ840" s="133"/>
      <c r="AK840" s="133"/>
      <c r="AL840" s="133"/>
      <c r="AM840" s="133"/>
      <c r="AN840" s="133"/>
      <c r="AO840" s="133"/>
      <c r="AP840" s="133"/>
      <c r="AQ840" s="133"/>
      <c r="AR840" s="133"/>
      <c r="AS840" s="153">
        <v>0</v>
      </c>
      <c r="AT840" s="153">
        <v>0</v>
      </c>
      <c r="AU840" s="153">
        <v>0</v>
      </c>
      <c r="AV840" s="153">
        <v>0</v>
      </c>
      <c r="AW840" s="153">
        <v>0</v>
      </c>
      <c r="AX840" s="153">
        <v>0</v>
      </c>
      <c r="AY840" s="135"/>
      <c r="AZ840" s="135"/>
      <c r="BA840" s="135"/>
      <c r="BB840" s="135"/>
      <c r="BC840" s="135"/>
      <c r="BD840" s="135"/>
      <c r="BE840" s="135"/>
      <c r="BF840" s="135"/>
      <c r="BG840" s="135"/>
      <c r="BH840" s="135"/>
      <c r="BI840" s="2" t="s">
        <v>112</v>
      </c>
      <c r="BJ840" s="136">
        <v>45642</v>
      </c>
      <c r="BK840" s="2" t="s">
        <v>145</v>
      </c>
      <c r="BL840" s="136" t="s">
        <v>113</v>
      </c>
      <c r="BM840" s="136">
        <v>45300</v>
      </c>
      <c r="BN840" s="2" t="s">
        <v>2946</v>
      </c>
      <c r="BO840" s="2"/>
      <c r="BP840" s="205"/>
      <c r="BQ840" s="137" t="s">
        <v>134</v>
      </c>
      <c r="BR840" s="138"/>
    </row>
    <row r="841" spans="1:70" ht="12.75" customHeight="1" x14ac:dyDescent="0.2">
      <c r="A841" s="2">
        <v>2330</v>
      </c>
      <c r="B841" s="2" t="s">
        <v>108</v>
      </c>
      <c r="C841" s="2" t="s">
        <v>40</v>
      </c>
      <c r="D841" s="2" t="s">
        <v>2877</v>
      </c>
      <c r="E841" s="2" t="s">
        <v>90</v>
      </c>
      <c r="F841" s="132">
        <v>30000</v>
      </c>
      <c r="G841" s="132">
        <v>2</v>
      </c>
      <c r="H841" s="132">
        <f>R841</f>
        <v>25546.33</v>
      </c>
      <c r="I841" s="132"/>
      <c r="J841" s="132">
        <f>S841+BC841</f>
        <v>23388.42</v>
      </c>
      <c r="K841" s="132">
        <f t="shared" si="85"/>
        <v>6611.5800000000017</v>
      </c>
      <c r="L841" s="132">
        <f t="shared" si="81"/>
        <v>2157.9100000000035</v>
      </c>
      <c r="M841" s="133">
        <v>302</v>
      </c>
      <c r="N841" s="133">
        <f t="shared" si="84"/>
        <v>2157.9100000000035</v>
      </c>
      <c r="O841" s="134">
        <v>1</v>
      </c>
      <c r="P841" s="133"/>
      <c r="Q841" s="2" t="s">
        <v>2819</v>
      </c>
      <c r="R841" s="156">
        <f t="shared" si="82"/>
        <v>25546.33</v>
      </c>
      <c r="S841" s="156">
        <f t="shared" si="83"/>
        <v>3896.89</v>
      </c>
      <c r="T841" s="133"/>
      <c r="U841" s="133"/>
      <c r="V841" s="133"/>
      <c r="W841" s="133"/>
      <c r="X841" s="133"/>
      <c r="Y841" s="133"/>
      <c r="Z841" s="133"/>
      <c r="AA841" s="133"/>
      <c r="AB841" s="133"/>
      <c r="AC841" s="133"/>
      <c r="AD841" s="133"/>
      <c r="AE841" s="133"/>
      <c r="AF841" s="133"/>
      <c r="AG841" s="133"/>
      <c r="AH841" s="133"/>
      <c r="AI841" s="133"/>
      <c r="AJ841" s="133"/>
      <c r="AK841" s="133"/>
      <c r="AL841" s="133">
        <f>23000+2546.33</f>
        <v>25546.33</v>
      </c>
      <c r="AM841" s="133"/>
      <c r="AN841" s="133"/>
      <c r="AO841" s="133">
        <f>3508.47+388.42</f>
        <v>3896.89</v>
      </c>
      <c r="AP841" s="133"/>
      <c r="AQ841" s="133"/>
      <c r="AR841" s="133"/>
      <c r="AS841" s="153">
        <v>0</v>
      </c>
      <c r="AT841" s="153">
        <v>0</v>
      </c>
      <c r="AU841" s="153">
        <v>0</v>
      </c>
      <c r="AV841" s="153">
        <v>0</v>
      </c>
      <c r="AW841" s="153">
        <v>0</v>
      </c>
      <c r="AX841" s="153">
        <v>0</v>
      </c>
      <c r="AY841" s="135"/>
      <c r="AZ841" s="135"/>
      <c r="BA841" s="135"/>
      <c r="BB841" s="135"/>
      <c r="BC841" s="135">
        <v>19491.53</v>
      </c>
      <c r="BD841" s="135">
        <v>1431.96</v>
      </c>
      <c r="BE841" s="135"/>
      <c r="BF841" s="135"/>
      <c r="BG841" s="135"/>
      <c r="BH841" s="135"/>
      <c r="BI841" s="2" t="s">
        <v>11</v>
      </c>
      <c r="BJ841" s="136">
        <v>45945</v>
      </c>
      <c r="BK841" s="2" t="s">
        <v>8</v>
      </c>
      <c r="BL841" s="136" t="s">
        <v>113</v>
      </c>
      <c r="BM841" s="136">
        <v>45300</v>
      </c>
      <c r="BN841" s="2" t="s">
        <v>2947</v>
      </c>
      <c r="BO841" s="2"/>
      <c r="BP841" s="205"/>
      <c r="BQ841" s="137" t="s">
        <v>119</v>
      </c>
      <c r="BR841" s="138"/>
    </row>
    <row r="842" spans="1:70" ht="12.75" customHeight="1" x14ac:dyDescent="0.2">
      <c r="A842" s="2">
        <v>2331</v>
      </c>
      <c r="B842" s="2" t="s">
        <v>108</v>
      </c>
      <c r="C842" s="2" t="s">
        <v>43</v>
      </c>
      <c r="D842" s="2" t="s">
        <v>2878</v>
      </c>
      <c r="E842" s="2" t="s">
        <v>106</v>
      </c>
      <c r="F842" s="132">
        <v>0</v>
      </c>
      <c r="G842" s="132">
        <v>2</v>
      </c>
      <c r="H842" s="132"/>
      <c r="I842" s="132"/>
      <c r="J842" s="132"/>
      <c r="K842" s="132">
        <f t="shared" si="85"/>
        <v>0</v>
      </c>
      <c r="L842" s="132">
        <f t="shared" si="81"/>
        <v>0</v>
      </c>
      <c r="M842" s="133"/>
      <c r="N842" s="133">
        <f t="shared" si="84"/>
        <v>0</v>
      </c>
      <c r="O842" s="134">
        <v>2</v>
      </c>
      <c r="P842" s="133"/>
      <c r="Q842" s="2" t="s">
        <v>2820</v>
      </c>
      <c r="R842" s="156">
        <f t="shared" si="82"/>
        <v>0</v>
      </c>
      <c r="S842" s="156">
        <f t="shared" si="83"/>
        <v>0</v>
      </c>
      <c r="T842" s="133"/>
      <c r="U842" s="133"/>
      <c r="V842" s="133"/>
      <c r="W842" s="133"/>
      <c r="X842" s="133"/>
      <c r="Y842" s="133"/>
      <c r="Z842" s="133"/>
      <c r="AA842" s="133"/>
      <c r="AB842" s="133"/>
      <c r="AC842" s="133"/>
      <c r="AD842" s="133"/>
      <c r="AE842" s="133"/>
      <c r="AF842" s="133"/>
      <c r="AG842" s="133"/>
      <c r="AH842" s="133"/>
      <c r="AI842" s="133"/>
      <c r="AJ842" s="133"/>
      <c r="AK842" s="133"/>
      <c r="AL842" s="133"/>
      <c r="AM842" s="133"/>
      <c r="AN842" s="133"/>
      <c r="AO842" s="133"/>
      <c r="AP842" s="133"/>
      <c r="AQ842" s="133"/>
      <c r="AR842" s="133"/>
      <c r="AS842" s="153">
        <v>0</v>
      </c>
      <c r="AT842" s="153">
        <v>0</v>
      </c>
      <c r="AU842" s="153">
        <v>0</v>
      </c>
      <c r="AV842" s="153">
        <v>0</v>
      </c>
      <c r="AW842" s="153">
        <v>0</v>
      </c>
      <c r="AX842" s="153">
        <v>0</v>
      </c>
      <c r="AY842" s="135"/>
      <c r="AZ842" s="135"/>
      <c r="BA842" s="135"/>
      <c r="BB842" s="135"/>
      <c r="BC842" s="135"/>
      <c r="BD842" s="135"/>
      <c r="BE842" s="135"/>
      <c r="BF842" s="135"/>
      <c r="BG842" s="135"/>
      <c r="BH842" s="135"/>
      <c r="BI842" s="2" t="s">
        <v>112</v>
      </c>
      <c r="BJ842" s="136"/>
      <c r="BK842" s="2">
        <v>0</v>
      </c>
      <c r="BL842" s="136" t="s">
        <v>113</v>
      </c>
      <c r="BM842" s="136">
        <v>45300</v>
      </c>
      <c r="BN842" s="2" t="s">
        <v>2948</v>
      </c>
      <c r="BO842" s="2"/>
      <c r="BP842" s="205"/>
      <c r="BQ842" s="137" t="s">
        <v>134</v>
      </c>
      <c r="BR842" s="138"/>
    </row>
    <row r="843" spans="1:70" ht="12.75" customHeight="1" x14ac:dyDescent="0.2">
      <c r="A843" s="2">
        <v>2332</v>
      </c>
      <c r="B843" s="2" t="s">
        <v>108</v>
      </c>
      <c r="C843" s="2" t="s">
        <v>43</v>
      </c>
      <c r="D843" s="2" t="s">
        <v>2879</v>
      </c>
      <c r="E843" s="2" t="s">
        <v>90</v>
      </c>
      <c r="F843" s="132">
        <v>25000</v>
      </c>
      <c r="G843" s="132">
        <v>2</v>
      </c>
      <c r="H843" s="132"/>
      <c r="I843" s="132"/>
      <c r="J843" s="132"/>
      <c r="K843" s="132">
        <f t="shared" si="85"/>
        <v>25000</v>
      </c>
      <c r="L843" s="132">
        <f t="shared" ref="L843:L906" si="86">H843-J843</f>
        <v>0</v>
      </c>
      <c r="M843" s="133"/>
      <c r="N843" s="133">
        <f t="shared" si="84"/>
        <v>25000</v>
      </c>
      <c r="O843" s="134">
        <v>1</v>
      </c>
      <c r="P843" s="133"/>
      <c r="Q843" s="2" t="s">
        <v>2820</v>
      </c>
      <c r="R843" s="156">
        <f t="shared" ref="R843:R906" si="87">T843+V843+X843+Z843+AB843+AD843+AF843+AH843+AJ843+AL843+AN843+AP843</f>
        <v>0</v>
      </c>
      <c r="S843" s="156">
        <f t="shared" ref="S843:S906" si="88">U843+W843+Y843+AA843+AC843+AE843+AG843+AI843+AK843+AM843+AO843+AQ843</f>
        <v>0</v>
      </c>
      <c r="T843" s="133"/>
      <c r="U843" s="133"/>
      <c r="V843" s="133"/>
      <c r="W843" s="133"/>
      <c r="X843" s="133"/>
      <c r="Y843" s="133"/>
      <c r="Z843" s="133"/>
      <c r="AA843" s="133"/>
      <c r="AB843" s="133"/>
      <c r="AC843" s="133"/>
      <c r="AD843" s="133"/>
      <c r="AE843" s="133"/>
      <c r="AF843" s="133"/>
      <c r="AG843" s="133"/>
      <c r="AH843" s="133"/>
      <c r="AI843" s="133"/>
      <c r="AJ843" s="133"/>
      <c r="AK843" s="133"/>
      <c r="AL843" s="133"/>
      <c r="AM843" s="133"/>
      <c r="AN843" s="133"/>
      <c r="AO843" s="133"/>
      <c r="AP843" s="133"/>
      <c r="AQ843" s="133"/>
      <c r="AR843" s="133"/>
      <c r="AS843" s="153">
        <v>0</v>
      </c>
      <c r="AT843" s="153">
        <v>0</v>
      </c>
      <c r="AU843" s="153">
        <v>0</v>
      </c>
      <c r="AV843" s="153">
        <v>0</v>
      </c>
      <c r="AW843" s="153">
        <v>0</v>
      </c>
      <c r="AX843" s="153">
        <v>0</v>
      </c>
      <c r="AY843" s="135"/>
      <c r="AZ843" s="135"/>
      <c r="BA843" s="135"/>
      <c r="BB843" s="135"/>
      <c r="BC843" s="135"/>
      <c r="BD843" s="135"/>
      <c r="BE843" s="135"/>
      <c r="BF843" s="135"/>
      <c r="BG843" s="135"/>
      <c r="BH843" s="135"/>
      <c r="BI843" s="2" t="s">
        <v>11</v>
      </c>
      <c r="BJ843" s="136"/>
      <c r="BK843" s="2">
        <v>0</v>
      </c>
      <c r="BL843" s="136" t="s">
        <v>113</v>
      </c>
      <c r="BM843" s="136">
        <v>45300</v>
      </c>
      <c r="BN843" s="2" t="s">
        <v>2949</v>
      </c>
      <c r="BO843" s="2"/>
      <c r="BP843" s="205"/>
      <c r="BQ843" s="137" t="s">
        <v>119</v>
      </c>
      <c r="BR843" s="138"/>
    </row>
    <row r="844" spans="1:70" ht="12.75" customHeight="1" x14ac:dyDescent="0.2">
      <c r="A844" s="2">
        <v>2333</v>
      </c>
      <c r="B844" s="2" t="s">
        <v>108</v>
      </c>
      <c r="C844" s="2" t="s">
        <v>43</v>
      </c>
      <c r="D844" s="2" t="s">
        <v>2880</v>
      </c>
      <c r="E844" s="2" t="s">
        <v>106</v>
      </c>
      <c r="F844" s="132">
        <v>0</v>
      </c>
      <c r="G844" s="132">
        <v>2</v>
      </c>
      <c r="H844" s="132"/>
      <c r="I844" s="132"/>
      <c r="J844" s="132"/>
      <c r="K844" s="132">
        <f t="shared" si="85"/>
        <v>0</v>
      </c>
      <c r="L844" s="132">
        <f t="shared" si="86"/>
        <v>0</v>
      </c>
      <c r="M844" s="133"/>
      <c r="N844" s="133">
        <f t="shared" si="84"/>
        <v>0</v>
      </c>
      <c r="O844" s="134">
        <v>2</v>
      </c>
      <c r="P844" s="133"/>
      <c r="Q844" s="2" t="s">
        <v>2821</v>
      </c>
      <c r="R844" s="156">
        <f t="shared" si="87"/>
        <v>0</v>
      </c>
      <c r="S844" s="156">
        <f t="shared" si="88"/>
        <v>0</v>
      </c>
      <c r="T844" s="133"/>
      <c r="U844" s="133"/>
      <c r="V844" s="133"/>
      <c r="W844" s="133"/>
      <c r="X844" s="133"/>
      <c r="Y844" s="133"/>
      <c r="Z844" s="133"/>
      <c r="AA844" s="133"/>
      <c r="AB844" s="133"/>
      <c r="AC844" s="133"/>
      <c r="AD844" s="133"/>
      <c r="AE844" s="133"/>
      <c r="AF844" s="133"/>
      <c r="AG844" s="133"/>
      <c r="AH844" s="133"/>
      <c r="AI844" s="133"/>
      <c r="AJ844" s="133"/>
      <c r="AK844" s="133"/>
      <c r="AL844" s="133"/>
      <c r="AM844" s="133"/>
      <c r="AN844" s="133"/>
      <c r="AO844" s="133"/>
      <c r="AP844" s="133"/>
      <c r="AQ844" s="133"/>
      <c r="AR844" s="133"/>
      <c r="AS844" s="153">
        <v>0</v>
      </c>
      <c r="AT844" s="153">
        <v>0</v>
      </c>
      <c r="AU844" s="153">
        <v>0</v>
      </c>
      <c r="AV844" s="153">
        <v>0</v>
      </c>
      <c r="AW844" s="153">
        <v>0</v>
      </c>
      <c r="AX844" s="153">
        <v>0</v>
      </c>
      <c r="AY844" s="135"/>
      <c r="AZ844" s="135"/>
      <c r="BA844" s="135"/>
      <c r="BB844" s="135"/>
      <c r="BC844" s="135"/>
      <c r="BD844" s="135"/>
      <c r="BE844" s="135"/>
      <c r="BF844" s="135"/>
      <c r="BG844" s="135"/>
      <c r="BH844" s="135"/>
      <c r="BI844" s="2" t="s">
        <v>112</v>
      </c>
      <c r="BJ844" s="136"/>
      <c r="BK844" s="2">
        <v>0</v>
      </c>
      <c r="BL844" s="136" t="s">
        <v>113</v>
      </c>
      <c r="BM844" s="136">
        <v>45300</v>
      </c>
      <c r="BN844" s="2" t="s">
        <v>2950</v>
      </c>
      <c r="BO844" s="2"/>
      <c r="BP844" s="205"/>
      <c r="BQ844" s="137" t="s">
        <v>134</v>
      </c>
      <c r="BR844" s="138"/>
    </row>
    <row r="845" spans="1:70" ht="12.75" customHeight="1" x14ac:dyDescent="0.2">
      <c r="A845" s="2">
        <v>2334</v>
      </c>
      <c r="B845" s="2" t="s">
        <v>108</v>
      </c>
      <c r="C845" s="2" t="s">
        <v>43</v>
      </c>
      <c r="D845" s="2" t="s">
        <v>2881</v>
      </c>
      <c r="E845" s="2" t="s">
        <v>90</v>
      </c>
      <c r="F845" s="132">
        <v>20000</v>
      </c>
      <c r="G845" s="132">
        <v>2</v>
      </c>
      <c r="H845" s="132"/>
      <c r="I845" s="132"/>
      <c r="J845" s="132"/>
      <c r="K845" s="132">
        <f t="shared" si="85"/>
        <v>20000</v>
      </c>
      <c r="L845" s="132">
        <f t="shared" si="86"/>
        <v>0</v>
      </c>
      <c r="M845" s="133"/>
      <c r="N845" s="133">
        <f t="shared" si="84"/>
        <v>20000</v>
      </c>
      <c r="O845" s="134">
        <v>1</v>
      </c>
      <c r="P845" s="133"/>
      <c r="Q845" s="2" t="s">
        <v>2821</v>
      </c>
      <c r="R845" s="156">
        <f t="shared" si="87"/>
        <v>0</v>
      </c>
      <c r="S845" s="156">
        <f t="shared" si="88"/>
        <v>0</v>
      </c>
      <c r="T845" s="133"/>
      <c r="U845" s="133"/>
      <c r="V845" s="133"/>
      <c r="W845" s="133"/>
      <c r="X845" s="133"/>
      <c r="Y845" s="133"/>
      <c r="Z845" s="133"/>
      <c r="AA845" s="133"/>
      <c r="AB845" s="133"/>
      <c r="AC845" s="133"/>
      <c r="AD845" s="133"/>
      <c r="AE845" s="133"/>
      <c r="AF845" s="133"/>
      <c r="AG845" s="133"/>
      <c r="AH845" s="133"/>
      <c r="AI845" s="133"/>
      <c r="AJ845" s="133"/>
      <c r="AK845" s="133"/>
      <c r="AL845" s="133"/>
      <c r="AM845" s="133"/>
      <c r="AN845" s="133"/>
      <c r="AO845" s="133"/>
      <c r="AP845" s="133"/>
      <c r="AQ845" s="133"/>
      <c r="AR845" s="133"/>
      <c r="AS845" s="153">
        <v>0</v>
      </c>
      <c r="AT845" s="153">
        <v>0</v>
      </c>
      <c r="AU845" s="153">
        <v>0</v>
      </c>
      <c r="AV845" s="153">
        <v>0</v>
      </c>
      <c r="AW845" s="153">
        <v>0</v>
      </c>
      <c r="AX845" s="153">
        <v>0</v>
      </c>
      <c r="AY845" s="135"/>
      <c r="AZ845" s="135"/>
      <c r="BA845" s="135"/>
      <c r="BB845" s="135"/>
      <c r="BC845" s="135"/>
      <c r="BD845" s="135"/>
      <c r="BE845" s="135"/>
      <c r="BF845" s="135"/>
      <c r="BG845" s="135"/>
      <c r="BH845" s="135"/>
      <c r="BI845" s="2" t="s">
        <v>11</v>
      </c>
      <c r="BJ845" s="136"/>
      <c r="BK845" s="2">
        <v>0</v>
      </c>
      <c r="BL845" s="136" t="s">
        <v>113</v>
      </c>
      <c r="BM845" s="136">
        <v>45300</v>
      </c>
      <c r="BN845" s="2" t="s">
        <v>2951</v>
      </c>
      <c r="BO845" s="2"/>
      <c r="BP845" s="205"/>
      <c r="BQ845" s="137" t="s">
        <v>119</v>
      </c>
      <c r="BR845" s="138"/>
    </row>
    <row r="846" spans="1:70" ht="12.75" customHeight="1" x14ac:dyDescent="0.2">
      <c r="A846" s="2">
        <v>2335</v>
      </c>
      <c r="B846" s="2" t="s">
        <v>108</v>
      </c>
      <c r="C846" s="2" t="s">
        <v>43</v>
      </c>
      <c r="D846" s="2" t="s">
        <v>2882</v>
      </c>
      <c r="E846" s="2" t="s">
        <v>106</v>
      </c>
      <c r="F846" s="132">
        <v>0</v>
      </c>
      <c r="G846" s="132">
        <v>2</v>
      </c>
      <c r="H846" s="132"/>
      <c r="I846" s="132"/>
      <c r="J846" s="132"/>
      <c r="K846" s="132">
        <f t="shared" si="85"/>
        <v>0</v>
      </c>
      <c r="L846" s="132">
        <f t="shared" si="86"/>
        <v>0</v>
      </c>
      <c r="M846" s="133"/>
      <c r="N846" s="133">
        <f t="shared" si="84"/>
        <v>0</v>
      </c>
      <c r="O846" s="134">
        <v>2</v>
      </c>
      <c r="P846" s="133"/>
      <c r="Q846" s="2" t="s">
        <v>2822</v>
      </c>
      <c r="R846" s="156">
        <f t="shared" si="87"/>
        <v>0</v>
      </c>
      <c r="S846" s="156">
        <f t="shared" si="88"/>
        <v>0</v>
      </c>
      <c r="T846" s="133"/>
      <c r="U846" s="133"/>
      <c r="V846" s="133"/>
      <c r="W846" s="133"/>
      <c r="X846" s="133"/>
      <c r="Y846" s="133"/>
      <c r="Z846" s="133"/>
      <c r="AA846" s="133"/>
      <c r="AB846" s="133"/>
      <c r="AC846" s="133"/>
      <c r="AD846" s="133"/>
      <c r="AE846" s="133"/>
      <c r="AF846" s="133"/>
      <c r="AG846" s="133"/>
      <c r="AH846" s="133"/>
      <c r="AI846" s="133"/>
      <c r="AJ846" s="133"/>
      <c r="AK846" s="133"/>
      <c r="AL846" s="133"/>
      <c r="AM846" s="133"/>
      <c r="AN846" s="133"/>
      <c r="AO846" s="133"/>
      <c r="AP846" s="133"/>
      <c r="AQ846" s="133"/>
      <c r="AR846" s="133"/>
      <c r="AS846" s="153">
        <v>0</v>
      </c>
      <c r="AT846" s="153">
        <v>0</v>
      </c>
      <c r="AU846" s="153">
        <v>0</v>
      </c>
      <c r="AV846" s="153">
        <v>0</v>
      </c>
      <c r="AW846" s="153">
        <v>0</v>
      </c>
      <c r="AX846" s="153">
        <v>0</v>
      </c>
      <c r="AY846" s="135"/>
      <c r="AZ846" s="135"/>
      <c r="BA846" s="135"/>
      <c r="BB846" s="135"/>
      <c r="BC846" s="135"/>
      <c r="BD846" s="135"/>
      <c r="BE846" s="135"/>
      <c r="BF846" s="135"/>
      <c r="BG846" s="135"/>
      <c r="BH846" s="135"/>
      <c r="BI846" s="2" t="s">
        <v>112</v>
      </c>
      <c r="BJ846" s="136"/>
      <c r="BK846" s="2">
        <v>0</v>
      </c>
      <c r="BL846" s="136" t="s">
        <v>113</v>
      </c>
      <c r="BM846" s="136">
        <v>45300</v>
      </c>
      <c r="BN846" s="2" t="s">
        <v>2952</v>
      </c>
      <c r="BO846" s="2"/>
      <c r="BP846" s="205"/>
      <c r="BQ846" s="137" t="s">
        <v>134</v>
      </c>
      <c r="BR846" s="138"/>
    </row>
    <row r="847" spans="1:70" ht="12.75" customHeight="1" x14ac:dyDescent="0.2">
      <c r="A847" s="2">
        <v>2336</v>
      </c>
      <c r="B847" s="2" t="s">
        <v>108</v>
      </c>
      <c r="C847" s="2" t="s">
        <v>43</v>
      </c>
      <c r="D847" s="2" t="s">
        <v>2883</v>
      </c>
      <c r="E847" s="2" t="s">
        <v>90</v>
      </c>
      <c r="F847" s="132">
        <v>20000</v>
      </c>
      <c r="G847" s="132">
        <v>2</v>
      </c>
      <c r="H847" s="132"/>
      <c r="I847" s="132"/>
      <c r="J847" s="132"/>
      <c r="K847" s="132">
        <f t="shared" si="85"/>
        <v>20000</v>
      </c>
      <c r="L847" s="132">
        <f t="shared" si="86"/>
        <v>0</v>
      </c>
      <c r="M847" s="133"/>
      <c r="N847" s="133">
        <f t="shared" si="84"/>
        <v>20000</v>
      </c>
      <c r="O847" s="134">
        <v>1</v>
      </c>
      <c r="P847" s="133"/>
      <c r="Q847" s="2" t="s">
        <v>2822</v>
      </c>
      <c r="R847" s="156">
        <f t="shared" si="87"/>
        <v>0</v>
      </c>
      <c r="S847" s="156">
        <f t="shared" si="88"/>
        <v>0</v>
      </c>
      <c r="T847" s="133"/>
      <c r="U847" s="133"/>
      <c r="V847" s="133"/>
      <c r="W847" s="133"/>
      <c r="X847" s="133"/>
      <c r="Y847" s="133"/>
      <c r="Z847" s="133"/>
      <c r="AA847" s="133"/>
      <c r="AB847" s="133"/>
      <c r="AC847" s="133"/>
      <c r="AD847" s="133"/>
      <c r="AE847" s="133"/>
      <c r="AF847" s="133"/>
      <c r="AG847" s="133"/>
      <c r="AH847" s="133"/>
      <c r="AI847" s="133"/>
      <c r="AJ847" s="133"/>
      <c r="AK847" s="133"/>
      <c r="AL847" s="133"/>
      <c r="AM847" s="133"/>
      <c r="AN847" s="133"/>
      <c r="AO847" s="133"/>
      <c r="AP847" s="133"/>
      <c r="AQ847" s="133"/>
      <c r="AR847" s="133"/>
      <c r="AS847" s="153">
        <v>0</v>
      </c>
      <c r="AT847" s="153">
        <v>0</v>
      </c>
      <c r="AU847" s="153">
        <v>0</v>
      </c>
      <c r="AV847" s="153">
        <v>0</v>
      </c>
      <c r="AW847" s="153">
        <v>0</v>
      </c>
      <c r="AX847" s="153">
        <v>0</v>
      </c>
      <c r="AY847" s="135"/>
      <c r="AZ847" s="135"/>
      <c r="BA847" s="135"/>
      <c r="BB847" s="135"/>
      <c r="BC847" s="135"/>
      <c r="BD847" s="135"/>
      <c r="BE847" s="135"/>
      <c r="BF847" s="135"/>
      <c r="BG847" s="135"/>
      <c r="BH847" s="135"/>
      <c r="BI847" s="2" t="s">
        <v>11</v>
      </c>
      <c r="BJ847" s="136"/>
      <c r="BK847" s="2">
        <v>0</v>
      </c>
      <c r="BL847" s="136" t="s">
        <v>113</v>
      </c>
      <c r="BM847" s="136">
        <v>45300</v>
      </c>
      <c r="BN847" s="2" t="s">
        <v>2953</v>
      </c>
      <c r="BO847" s="2"/>
      <c r="BP847" s="205"/>
      <c r="BQ847" s="137" t="s">
        <v>119</v>
      </c>
      <c r="BR847" s="138"/>
    </row>
    <row r="848" spans="1:70" ht="12.75" customHeight="1" x14ac:dyDescent="0.2">
      <c r="A848" s="2">
        <v>2337</v>
      </c>
      <c r="B848" s="2" t="s">
        <v>108</v>
      </c>
      <c r="C848" s="2" t="s">
        <v>40</v>
      </c>
      <c r="D848" s="2" t="s">
        <v>2884</v>
      </c>
      <c r="E848" s="2" t="s">
        <v>106</v>
      </c>
      <c r="F848" s="132">
        <v>1723.75</v>
      </c>
      <c r="G848" s="132">
        <v>2</v>
      </c>
      <c r="H848" s="132">
        <f>985*1.75</f>
        <v>1723.75</v>
      </c>
      <c r="I848" s="132"/>
      <c r="J848" s="132">
        <v>1723.75</v>
      </c>
      <c r="K848" s="132">
        <f t="shared" si="85"/>
        <v>0</v>
      </c>
      <c r="L848" s="132">
        <f t="shared" si="86"/>
        <v>0</v>
      </c>
      <c r="M848" s="133"/>
      <c r="N848" s="133">
        <f t="shared" si="84"/>
        <v>0</v>
      </c>
      <c r="O848" s="134">
        <v>0</v>
      </c>
      <c r="P848" s="133"/>
      <c r="Q848" s="2" t="s">
        <v>2823</v>
      </c>
      <c r="R848" s="156">
        <f t="shared" si="87"/>
        <v>0</v>
      </c>
      <c r="S848" s="156">
        <f t="shared" si="88"/>
        <v>0</v>
      </c>
      <c r="T848" s="133"/>
      <c r="U848" s="133"/>
      <c r="V848" s="133"/>
      <c r="W848" s="133"/>
      <c r="X848" s="133"/>
      <c r="Y848" s="133"/>
      <c r="Z848" s="133"/>
      <c r="AA848" s="133"/>
      <c r="AB848" s="133"/>
      <c r="AC848" s="133"/>
      <c r="AD848" s="133"/>
      <c r="AE848" s="133"/>
      <c r="AF848" s="133"/>
      <c r="AG848" s="133"/>
      <c r="AH848" s="133"/>
      <c r="AI848" s="133"/>
      <c r="AJ848" s="133"/>
      <c r="AK848" s="133"/>
      <c r="AL848" s="133"/>
      <c r="AM848" s="133"/>
      <c r="AN848" s="133"/>
      <c r="AO848" s="133"/>
      <c r="AP848" s="133"/>
      <c r="AQ848" s="133"/>
      <c r="AR848" s="133"/>
      <c r="AS848" s="153">
        <v>0</v>
      </c>
      <c r="AT848" s="153">
        <v>0</v>
      </c>
      <c r="AU848" s="153">
        <v>0</v>
      </c>
      <c r="AV848" s="153">
        <v>0</v>
      </c>
      <c r="AW848" s="153">
        <v>0</v>
      </c>
      <c r="AX848" s="153">
        <v>0</v>
      </c>
      <c r="AY848" s="135"/>
      <c r="AZ848" s="135"/>
      <c r="BA848" s="135"/>
      <c r="BB848" s="135"/>
      <c r="BC848" s="135"/>
      <c r="BD848" s="135"/>
      <c r="BE848" s="135"/>
      <c r="BF848" s="135"/>
      <c r="BG848" s="135"/>
      <c r="BH848" s="135"/>
      <c r="BI848" s="2" t="s">
        <v>112</v>
      </c>
      <c r="BJ848" s="136">
        <v>45537</v>
      </c>
      <c r="BK848" s="2" t="s">
        <v>145</v>
      </c>
      <c r="BL848" s="136" t="s">
        <v>113</v>
      </c>
      <c r="BM848" s="136">
        <v>45300</v>
      </c>
      <c r="BN848" s="2" t="s">
        <v>2954</v>
      </c>
      <c r="BO848" s="2"/>
      <c r="BP848" s="205"/>
      <c r="BQ848" s="137" t="s">
        <v>134</v>
      </c>
      <c r="BR848" s="138"/>
    </row>
    <row r="849" spans="1:70" ht="12.75" customHeight="1" x14ac:dyDescent="0.2">
      <c r="A849" s="2">
        <v>2338</v>
      </c>
      <c r="B849" s="2" t="s">
        <v>108</v>
      </c>
      <c r="C849" s="2" t="s">
        <v>40</v>
      </c>
      <c r="D849" s="2" t="s">
        <v>2885</v>
      </c>
      <c r="E849" s="2" t="s">
        <v>90</v>
      </c>
      <c r="F849" s="132">
        <v>25000</v>
      </c>
      <c r="G849" s="132">
        <v>2</v>
      </c>
      <c r="H849" s="132">
        <f>50000+14150.75</f>
        <v>64150.75</v>
      </c>
      <c r="I849" s="132">
        <f>50000+14150.75</f>
        <v>64150.75</v>
      </c>
      <c r="J849" s="132">
        <f>7627.118+AY849+2158.588+11992.164</f>
        <v>64150.75</v>
      </c>
      <c r="K849" s="132">
        <f t="shared" si="85"/>
        <v>-39150.75</v>
      </c>
      <c r="L849" s="132">
        <f t="shared" si="86"/>
        <v>0</v>
      </c>
      <c r="M849" s="133">
        <v>554</v>
      </c>
      <c r="N849" s="133">
        <f t="shared" si="84"/>
        <v>0</v>
      </c>
      <c r="O849" s="134">
        <v>0</v>
      </c>
      <c r="P849" s="133"/>
      <c r="Q849" s="2" t="s">
        <v>2823</v>
      </c>
      <c r="R849" s="156">
        <f t="shared" si="87"/>
        <v>0</v>
      </c>
      <c r="S849" s="156">
        <f t="shared" si="88"/>
        <v>0</v>
      </c>
      <c r="T849" s="133"/>
      <c r="U849" s="133"/>
      <c r="V849" s="133"/>
      <c r="W849" s="133"/>
      <c r="X849" s="133"/>
      <c r="Y849" s="133"/>
      <c r="Z849" s="133"/>
      <c r="AA849" s="133"/>
      <c r="AB849" s="133"/>
      <c r="AC849" s="133"/>
      <c r="AD849" s="133"/>
      <c r="AE849" s="133"/>
      <c r="AF849" s="133"/>
      <c r="AG849" s="133"/>
      <c r="AH849" s="133"/>
      <c r="AI849" s="133"/>
      <c r="AJ849" s="133"/>
      <c r="AK849" s="133"/>
      <c r="AL849" s="133"/>
      <c r="AM849" s="133"/>
      <c r="AN849" s="133"/>
      <c r="AO849" s="133"/>
      <c r="AP849" s="133"/>
      <c r="AQ849" s="133"/>
      <c r="AR849" s="133"/>
      <c r="AS849" s="153">
        <v>0</v>
      </c>
      <c r="AT849" s="153">
        <v>0</v>
      </c>
      <c r="AU849" s="153">
        <v>0</v>
      </c>
      <c r="AV849" s="153">
        <v>0</v>
      </c>
      <c r="AW849" s="153">
        <v>0</v>
      </c>
      <c r="AX849" s="153">
        <v>0</v>
      </c>
      <c r="AY849" s="135">
        <v>42372.88</v>
      </c>
      <c r="AZ849" s="135">
        <v>2784.13</v>
      </c>
      <c r="BA849" s="135">
        <v>0</v>
      </c>
      <c r="BB849" s="140">
        <f>(H849/1.18-AT849-AW849-AZ849)*0.1-BA849</f>
        <v>5158.0912372881367</v>
      </c>
      <c r="BC849" s="135"/>
      <c r="BD849" s="135"/>
      <c r="BE849" s="135">
        <f>(H849/1.18-AT849-AW849-AZ849-BD849)*0.1-AU849-AX849-BA849-BB849</f>
        <v>0</v>
      </c>
      <c r="BF849" s="135"/>
      <c r="BG849" s="135"/>
      <c r="BH849" s="135"/>
      <c r="BI849" s="2" t="s">
        <v>11</v>
      </c>
      <c r="BJ849" s="136">
        <v>45621</v>
      </c>
      <c r="BK849" s="2" t="s">
        <v>8</v>
      </c>
      <c r="BL849" s="136" t="s">
        <v>113</v>
      </c>
      <c r="BM849" s="136">
        <v>45300</v>
      </c>
      <c r="BN849" s="2" t="s">
        <v>2955</v>
      </c>
      <c r="BO849" s="2"/>
      <c r="BP849" s="205"/>
      <c r="BQ849" s="137" t="s">
        <v>119</v>
      </c>
      <c r="BR849" s="138"/>
    </row>
    <row r="850" spans="1:70" ht="12.75" customHeight="1" x14ac:dyDescent="0.2">
      <c r="A850" s="2">
        <v>2339</v>
      </c>
      <c r="B850" s="2" t="s">
        <v>108</v>
      </c>
      <c r="C850" s="2" t="s">
        <v>40</v>
      </c>
      <c r="D850" s="2" t="s">
        <v>2886</v>
      </c>
      <c r="E850" s="2" t="s">
        <v>106</v>
      </c>
      <c r="F850" s="132">
        <v>0</v>
      </c>
      <c r="G850" s="132">
        <v>2</v>
      </c>
      <c r="H850" s="132"/>
      <c r="I850" s="132"/>
      <c r="J850" s="132"/>
      <c r="K850" s="132">
        <f t="shared" si="85"/>
        <v>0</v>
      </c>
      <c r="L850" s="132">
        <f t="shared" si="86"/>
        <v>0</v>
      </c>
      <c r="M850" s="133"/>
      <c r="N850" s="133">
        <f t="shared" si="84"/>
        <v>0</v>
      </c>
      <c r="O850" s="134">
        <v>2</v>
      </c>
      <c r="P850" s="133"/>
      <c r="Q850" s="2" t="s">
        <v>2824</v>
      </c>
      <c r="R850" s="156">
        <f t="shared" si="87"/>
        <v>0</v>
      </c>
      <c r="S850" s="156">
        <f t="shared" si="88"/>
        <v>0</v>
      </c>
      <c r="T850" s="133"/>
      <c r="U850" s="133"/>
      <c r="V850" s="133"/>
      <c r="W850" s="133"/>
      <c r="X850" s="133"/>
      <c r="Y850" s="133"/>
      <c r="Z850" s="133"/>
      <c r="AA850" s="133"/>
      <c r="AB850" s="133"/>
      <c r="AC850" s="133"/>
      <c r="AD850" s="133"/>
      <c r="AE850" s="133"/>
      <c r="AF850" s="133"/>
      <c r="AG850" s="133"/>
      <c r="AH850" s="133"/>
      <c r="AI850" s="133"/>
      <c r="AJ850" s="133"/>
      <c r="AK850" s="133"/>
      <c r="AL850" s="133"/>
      <c r="AM850" s="133"/>
      <c r="AN850" s="133"/>
      <c r="AO850" s="133"/>
      <c r="AP850" s="133"/>
      <c r="AQ850" s="133"/>
      <c r="AR850" s="133"/>
      <c r="AS850" s="153">
        <v>0</v>
      </c>
      <c r="AT850" s="153">
        <v>0</v>
      </c>
      <c r="AU850" s="153">
        <v>0</v>
      </c>
      <c r="AV850" s="153">
        <v>0</v>
      </c>
      <c r="AW850" s="153">
        <v>0</v>
      </c>
      <c r="AX850" s="153">
        <v>0</v>
      </c>
      <c r="AY850" s="135"/>
      <c r="AZ850" s="135"/>
      <c r="BA850" s="135"/>
      <c r="BB850" s="135"/>
      <c r="BC850" s="135"/>
      <c r="BD850" s="135"/>
      <c r="BE850" s="135"/>
      <c r="BF850" s="135"/>
      <c r="BG850" s="135"/>
      <c r="BH850" s="135"/>
      <c r="BI850" s="2" t="s">
        <v>112</v>
      </c>
      <c r="BJ850" s="136"/>
      <c r="BK850" s="2">
        <v>0</v>
      </c>
      <c r="BL850" s="136" t="s">
        <v>113</v>
      </c>
      <c r="BM850" s="136">
        <v>45300</v>
      </c>
      <c r="BN850" s="2" t="s">
        <v>2956</v>
      </c>
      <c r="BO850" s="2"/>
      <c r="BP850" s="205"/>
      <c r="BQ850" s="137" t="s">
        <v>134</v>
      </c>
      <c r="BR850" s="138"/>
    </row>
    <row r="851" spans="1:70" ht="12.75" customHeight="1" x14ac:dyDescent="0.2">
      <c r="A851" s="2">
        <v>2340</v>
      </c>
      <c r="B851" s="2" t="s">
        <v>108</v>
      </c>
      <c r="C851" s="2" t="s">
        <v>40</v>
      </c>
      <c r="D851" s="2" t="s">
        <v>2887</v>
      </c>
      <c r="E851" s="2" t="s">
        <v>90</v>
      </c>
      <c r="F851" s="132">
        <v>25000</v>
      </c>
      <c r="G851" s="132">
        <v>2</v>
      </c>
      <c r="H851" s="132"/>
      <c r="I851" s="132"/>
      <c r="J851" s="132"/>
      <c r="K851" s="132">
        <f t="shared" si="85"/>
        <v>25000</v>
      </c>
      <c r="L851" s="132">
        <f t="shared" si="86"/>
        <v>0</v>
      </c>
      <c r="M851" s="133"/>
      <c r="N851" s="133">
        <f t="shared" si="84"/>
        <v>25000</v>
      </c>
      <c r="O851" s="134">
        <v>1</v>
      </c>
      <c r="P851" s="133"/>
      <c r="Q851" s="2" t="s">
        <v>2824</v>
      </c>
      <c r="R851" s="156">
        <f t="shared" si="87"/>
        <v>0</v>
      </c>
      <c r="S851" s="156">
        <f t="shared" si="88"/>
        <v>0</v>
      </c>
      <c r="T851" s="133"/>
      <c r="U851" s="133"/>
      <c r="V851" s="133"/>
      <c r="W851" s="133"/>
      <c r="X851" s="133"/>
      <c r="Y851" s="133"/>
      <c r="Z851" s="133"/>
      <c r="AA851" s="133"/>
      <c r="AB851" s="133"/>
      <c r="AC851" s="133"/>
      <c r="AD851" s="133"/>
      <c r="AE851" s="133"/>
      <c r="AF851" s="133"/>
      <c r="AG851" s="133"/>
      <c r="AH851" s="133"/>
      <c r="AI851" s="133"/>
      <c r="AJ851" s="133"/>
      <c r="AK851" s="133"/>
      <c r="AL851" s="133"/>
      <c r="AM851" s="133"/>
      <c r="AN851" s="133"/>
      <c r="AO851" s="133"/>
      <c r="AP851" s="133"/>
      <c r="AQ851" s="133"/>
      <c r="AR851" s="133"/>
      <c r="AS851" s="153">
        <v>0</v>
      </c>
      <c r="AT851" s="153">
        <v>0</v>
      </c>
      <c r="AU851" s="153">
        <v>0</v>
      </c>
      <c r="AV851" s="153">
        <v>0</v>
      </c>
      <c r="AW851" s="153">
        <v>0</v>
      </c>
      <c r="AX851" s="153">
        <v>0</v>
      </c>
      <c r="AY851" s="135"/>
      <c r="AZ851" s="135"/>
      <c r="BA851" s="135"/>
      <c r="BB851" s="135"/>
      <c r="BC851" s="135"/>
      <c r="BD851" s="135"/>
      <c r="BE851" s="135"/>
      <c r="BF851" s="135"/>
      <c r="BG851" s="135"/>
      <c r="BH851" s="135"/>
      <c r="BI851" s="2" t="s">
        <v>11</v>
      </c>
      <c r="BJ851" s="136"/>
      <c r="BK851" s="2">
        <v>0</v>
      </c>
      <c r="BL851" s="136" t="s">
        <v>113</v>
      </c>
      <c r="BM851" s="136">
        <v>45300</v>
      </c>
      <c r="BN851" s="2" t="s">
        <v>2957</v>
      </c>
      <c r="BO851" s="2"/>
      <c r="BP851" s="205"/>
      <c r="BQ851" s="137" t="s">
        <v>119</v>
      </c>
      <c r="BR851" s="138"/>
    </row>
    <row r="852" spans="1:70" ht="12.75" customHeight="1" x14ac:dyDescent="0.2">
      <c r="A852" s="2">
        <v>2341</v>
      </c>
      <c r="B852" s="2" t="s">
        <v>104</v>
      </c>
      <c r="C852" s="2" t="s">
        <v>104</v>
      </c>
      <c r="D852" s="2" t="s">
        <v>2888</v>
      </c>
      <c r="E852" s="2" t="s">
        <v>106</v>
      </c>
      <c r="F852" s="132">
        <v>0</v>
      </c>
      <c r="G852" s="132">
        <v>2</v>
      </c>
      <c r="H852" s="132"/>
      <c r="I852" s="132"/>
      <c r="J852" s="132"/>
      <c r="K852" s="132">
        <f t="shared" si="85"/>
        <v>0</v>
      </c>
      <c r="L852" s="132">
        <f t="shared" si="86"/>
        <v>0</v>
      </c>
      <c r="M852" s="133"/>
      <c r="N852" s="133">
        <f t="shared" si="84"/>
        <v>0</v>
      </c>
      <c r="O852" s="134">
        <v>2</v>
      </c>
      <c r="P852" s="133"/>
      <c r="Q852" s="2" t="s">
        <v>2825</v>
      </c>
      <c r="R852" s="156">
        <f t="shared" si="87"/>
        <v>0</v>
      </c>
      <c r="S852" s="156">
        <f t="shared" si="88"/>
        <v>0</v>
      </c>
      <c r="T852" s="133"/>
      <c r="U852" s="133"/>
      <c r="V852" s="133"/>
      <c r="W852" s="133"/>
      <c r="X852" s="133"/>
      <c r="Y852" s="133"/>
      <c r="Z852" s="133"/>
      <c r="AA852" s="133"/>
      <c r="AB852" s="133"/>
      <c r="AC852" s="133"/>
      <c r="AD852" s="133"/>
      <c r="AE852" s="133"/>
      <c r="AF852" s="133"/>
      <c r="AG852" s="133"/>
      <c r="AH852" s="133"/>
      <c r="AI852" s="133"/>
      <c r="AJ852" s="133"/>
      <c r="AK852" s="133"/>
      <c r="AL852" s="133"/>
      <c r="AM852" s="133"/>
      <c r="AN852" s="133"/>
      <c r="AO852" s="133"/>
      <c r="AP852" s="133"/>
      <c r="AQ852" s="133"/>
      <c r="AR852" s="133"/>
      <c r="AS852" s="153">
        <v>0</v>
      </c>
      <c r="AT852" s="153">
        <v>0</v>
      </c>
      <c r="AU852" s="153">
        <v>0</v>
      </c>
      <c r="AV852" s="153">
        <v>0</v>
      </c>
      <c r="AW852" s="153">
        <v>0</v>
      </c>
      <c r="AX852" s="153">
        <v>0</v>
      </c>
      <c r="AY852" s="135"/>
      <c r="AZ852" s="135"/>
      <c r="BA852" s="135"/>
      <c r="BB852" s="135"/>
      <c r="BC852" s="135"/>
      <c r="BD852" s="135"/>
      <c r="BE852" s="135"/>
      <c r="BF852" s="135"/>
      <c r="BG852" s="135"/>
      <c r="BH852" s="135"/>
      <c r="BI852" s="2" t="s">
        <v>112</v>
      </c>
      <c r="BJ852" s="136"/>
      <c r="BK852" s="2">
        <v>0</v>
      </c>
      <c r="BL852" s="136" t="s">
        <v>113</v>
      </c>
      <c r="BM852" s="136">
        <v>45300</v>
      </c>
      <c r="BN852" s="2" t="s">
        <v>2958</v>
      </c>
      <c r="BO852" s="2"/>
      <c r="BP852" s="205"/>
      <c r="BQ852" s="137" t="s">
        <v>134</v>
      </c>
      <c r="BR852" s="138"/>
    </row>
    <row r="853" spans="1:70" ht="12.75" customHeight="1" x14ac:dyDescent="0.2">
      <c r="A853" s="2">
        <v>2342</v>
      </c>
      <c r="B853" s="2" t="s">
        <v>104</v>
      </c>
      <c r="C853" s="2" t="s">
        <v>104</v>
      </c>
      <c r="D853" s="2" t="s">
        <v>2889</v>
      </c>
      <c r="E853" s="2" t="s">
        <v>90</v>
      </c>
      <c r="F853" s="132">
        <v>20000</v>
      </c>
      <c r="G853" s="132">
        <v>2</v>
      </c>
      <c r="H853" s="132"/>
      <c r="I853" s="132"/>
      <c r="J853" s="132"/>
      <c r="K853" s="132">
        <f t="shared" si="85"/>
        <v>20000</v>
      </c>
      <c r="L853" s="132">
        <f t="shared" si="86"/>
        <v>0</v>
      </c>
      <c r="M853" s="133"/>
      <c r="N853" s="133">
        <f t="shared" si="84"/>
        <v>20000</v>
      </c>
      <c r="O853" s="134">
        <v>1</v>
      </c>
      <c r="P853" s="133"/>
      <c r="Q853" s="2" t="s">
        <v>2825</v>
      </c>
      <c r="R853" s="156">
        <f t="shared" si="87"/>
        <v>0</v>
      </c>
      <c r="S853" s="156">
        <f t="shared" si="88"/>
        <v>0</v>
      </c>
      <c r="T853" s="133"/>
      <c r="U853" s="133"/>
      <c r="V853" s="133"/>
      <c r="W853" s="133"/>
      <c r="X853" s="133"/>
      <c r="Y853" s="133"/>
      <c r="Z853" s="133"/>
      <c r="AA853" s="133"/>
      <c r="AB853" s="133"/>
      <c r="AC853" s="133"/>
      <c r="AD853" s="133"/>
      <c r="AE853" s="133"/>
      <c r="AF853" s="133"/>
      <c r="AG853" s="133"/>
      <c r="AH853" s="133"/>
      <c r="AI853" s="133"/>
      <c r="AJ853" s="133"/>
      <c r="AK853" s="133"/>
      <c r="AL853" s="133"/>
      <c r="AM853" s="133"/>
      <c r="AN853" s="133"/>
      <c r="AO853" s="133"/>
      <c r="AP853" s="133"/>
      <c r="AQ853" s="133"/>
      <c r="AR853" s="133"/>
      <c r="AS853" s="153">
        <v>0</v>
      </c>
      <c r="AT853" s="153">
        <v>0</v>
      </c>
      <c r="AU853" s="153">
        <v>0</v>
      </c>
      <c r="AV853" s="153">
        <v>0</v>
      </c>
      <c r="AW853" s="153">
        <v>0</v>
      </c>
      <c r="AX853" s="153">
        <v>0</v>
      </c>
      <c r="AY853" s="135"/>
      <c r="AZ853" s="135"/>
      <c r="BA853" s="135"/>
      <c r="BB853" s="135"/>
      <c r="BC853" s="135"/>
      <c r="BD853" s="135"/>
      <c r="BE853" s="135"/>
      <c r="BF853" s="135"/>
      <c r="BG853" s="135"/>
      <c r="BH853" s="135"/>
      <c r="BI853" s="2" t="s">
        <v>11</v>
      </c>
      <c r="BJ853" s="136"/>
      <c r="BK853" s="2">
        <v>0</v>
      </c>
      <c r="BL853" s="136" t="s">
        <v>113</v>
      </c>
      <c r="BM853" s="136">
        <v>45300</v>
      </c>
      <c r="BN853" s="2" t="s">
        <v>2959</v>
      </c>
      <c r="BO853" s="2"/>
      <c r="BP853" s="205"/>
      <c r="BQ853" s="137" t="s">
        <v>119</v>
      </c>
      <c r="BR853" s="138"/>
    </row>
    <row r="854" spans="1:70" ht="12.75" customHeight="1" x14ac:dyDescent="0.2">
      <c r="A854" s="2">
        <v>2343</v>
      </c>
      <c r="B854" s="2" t="s">
        <v>39</v>
      </c>
      <c r="C854" s="2" t="s">
        <v>42</v>
      </c>
      <c r="D854" s="2" t="s">
        <v>2890</v>
      </c>
      <c r="E854" s="2" t="s">
        <v>106</v>
      </c>
      <c r="F854" s="132">
        <v>0</v>
      </c>
      <c r="G854" s="132">
        <v>2</v>
      </c>
      <c r="H854" s="132"/>
      <c r="I854" s="132"/>
      <c r="J854" s="132"/>
      <c r="K854" s="132">
        <f t="shared" si="85"/>
        <v>0</v>
      </c>
      <c r="L854" s="132">
        <f t="shared" si="86"/>
        <v>0</v>
      </c>
      <c r="M854" s="133"/>
      <c r="N854" s="133">
        <f t="shared" si="84"/>
        <v>0</v>
      </c>
      <c r="O854" s="134">
        <v>2</v>
      </c>
      <c r="P854" s="133"/>
      <c r="Q854" s="2" t="s">
        <v>2826</v>
      </c>
      <c r="R854" s="156">
        <f t="shared" si="87"/>
        <v>0</v>
      </c>
      <c r="S854" s="156">
        <f t="shared" si="88"/>
        <v>0</v>
      </c>
      <c r="T854" s="133"/>
      <c r="U854" s="133"/>
      <c r="V854" s="133"/>
      <c r="W854" s="133"/>
      <c r="X854" s="133"/>
      <c r="Y854" s="133"/>
      <c r="Z854" s="133"/>
      <c r="AA854" s="133"/>
      <c r="AB854" s="133"/>
      <c r="AC854" s="133"/>
      <c r="AD854" s="133"/>
      <c r="AE854" s="133"/>
      <c r="AF854" s="133"/>
      <c r="AG854" s="133"/>
      <c r="AH854" s="133"/>
      <c r="AI854" s="133"/>
      <c r="AJ854" s="133"/>
      <c r="AK854" s="133"/>
      <c r="AL854" s="133"/>
      <c r="AM854" s="133"/>
      <c r="AN854" s="133"/>
      <c r="AO854" s="133"/>
      <c r="AP854" s="133"/>
      <c r="AQ854" s="133"/>
      <c r="AR854" s="133"/>
      <c r="AS854" s="153">
        <v>0</v>
      </c>
      <c r="AT854" s="153">
        <v>0</v>
      </c>
      <c r="AU854" s="153">
        <v>0</v>
      </c>
      <c r="AV854" s="153">
        <v>0</v>
      </c>
      <c r="AW854" s="153">
        <v>0</v>
      </c>
      <c r="AX854" s="153">
        <v>0</v>
      </c>
      <c r="AY854" s="135"/>
      <c r="AZ854" s="135"/>
      <c r="BA854" s="135"/>
      <c r="BB854" s="135"/>
      <c r="BC854" s="135"/>
      <c r="BD854" s="135"/>
      <c r="BE854" s="135"/>
      <c r="BF854" s="135"/>
      <c r="BG854" s="135"/>
      <c r="BH854" s="135"/>
      <c r="BI854" s="2" t="s">
        <v>112</v>
      </c>
      <c r="BJ854" s="136"/>
      <c r="BK854" s="2">
        <v>0</v>
      </c>
      <c r="BL854" s="136" t="s">
        <v>113</v>
      </c>
      <c r="BM854" s="136">
        <v>45300</v>
      </c>
      <c r="BN854" s="2" t="s">
        <v>2960</v>
      </c>
      <c r="BO854" s="2"/>
      <c r="BP854" s="205"/>
      <c r="BQ854" s="137" t="s">
        <v>134</v>
      </c>
      <c r="BR854" s="138"/>
    </row>
    <row r="855" spans="1:70" ht="12.75" customHeight="1" x14ac:dyDescent="0.2">
      <c r="A855" s="2">
        <v>2344</v>
      </c>
      <c r="B855" s="2" t="s">
        <v>39</v>
      </c>
      <c r="C855" s="2" t="s">
        <v>42</v>
      </c>
      <c r="D855" s="2" t="s">
        <v>2891</v>
      </c>
      <c r="E855" s="2" t="s">
        <v>90</v>
      </c>
      <c r="F855" s="132">
        <v>70000</v>
      </c>
      <c r="G855" s="132">
        <v>2</v>
      </c>
      <c r="H855" s="132"/>
      <c r="I855" s="132"/>
      <c r="J855" s="132"/>
      <c r="K855" s="132">
        <f t="shared" si="85"/>
        <v>70000</v>
      </c>
      <c r="L855" s="132">
        <f t="shared" si="86"/>
        <v>0</v>
      </c>
      <c r="M855" s="133"/>
      <c r="N855" s="133">
        <f t="shared" si="84"/>
        <v>70000</v>
      </c>
      <c r="O855" s="134">
        <v>1</v>
      </c>
      <c r="P855" s="133"/>
      <c r="Q855" s="2" t="s">
        <v>2826</v>
      </c>
      <c r="R855" s="156">
        <f t="shared" si="87"/>
        <v>0</v>
      </c>
      <c r="S855" s="156">
        <f t="shared" si="88"/>
        <v>0</v>
      </c>
      <c r="T855" s="133"/>
      <c r="U855" s="133"/>
      <c r="V855" s="133"/>
      <c r="W855" s="133"/>
      <c r="X855" s="133"/>
      <c r="Y855" s="133"/>
      <c r="Z855" s="133"/>
      <c r="AA855" s="133"/>
      <c r="AB855" s="133"/>
      <c r="AC855" s="133"/>
      <c r="AD855" s="133"/>
      <c r="AE855" s="133"/>
      <c r="AF855" s="133"/>
      <c r="AG855" s="133"/>
      <c r="AH855" s="133"/>
      <c r="AI855" s="133"/>
      <c r="AJ855" s="133"/>
      <c r="AK855" s="133"/>
      <c r="AL855" s="133"/>
      <c r="AM855" s="133"/>
      <c r="AN855" s="133"/>
      <c r="AO855" s="133"/>
      <c r="AP855" s="133"/>
      <c r="AQ855" s="133"/>
      <c r="AR855" s="133"/>
      <c r="AS855" s="153">
        <v>0</v>
      </c>
      <c r="AT855" s="153">
        <v>0</v>
      </c>
      <c r="AU855" s="153">
        <v>0</v>
      </c>
      <c r="AV855" s="153">
        <v>0</v>
      </c>
      <c r="AW855" s="153">
        <v>0</v>
      </c>
      <c r="AX855" s="153">
        <v>0</v>
      </c>
      <c r="AY855" s="135"/>
      <c r="AZ855" s="135"/>
      <c r="BA855" s="135"/>
      <c r="BB855" s="135"/>
      <c r="BC855" s="135"/>
      <c r="BD855" s="135"/>
      <c r="BE855" s="135"/>
      <c r="BF855" s="135"/>
      <c r="BG855" s="135"/>
      <c r="BH855" s="135"/>
      <c r="BI855" s="2" t="s">
        <v>11</v>
      </c>
      <c r="BJ855" s="136"/>
      <c r="BK855" s="2">
        <v>0</v>
      </c>
      <c r="BL855" s="136" t="s">
        <v>113</v>
      </c>
      <c r="BM855" s="136">
        <v>45300</v>
      </c>
      <c r="BN855" s="2" t="s">
        <v>2961</v>
      </c>
      <c r="BO855" s="2"/>
      <c r="BP855" s="205"/>
      <c r="BQ855" s="137" t="s">
        <v>119</v>
      </c>
      <c r="BR855" s="138"/>
    </row>
    <row r="856" spans="1:70" ht="12.75" customHeight="1" x14ac:dyDescent="0.2">
      <c r="A856" s="2">
        <v>2345</v>
      </c>
      <c r="B856" s="2" t="s">
        <v>108</v>
      </c>
      <c r="C856" s="2" t="s">
        <v>73</v>
      </c>
      <c r="D856" s="2" t="s">
        <v>2892</v>
      </c>
      <c r="E856" s="2" t="s">
        <v>106</v>
      </c>
      <c r="F856" s="132">
        <v>1634.5</v>
      </c>
      <c r="G856" s="132">
        <v>2</v>
      </c>
      <c r="H856" s="132">
        <f>934*1.75</f>
        <v>1634.5</v>
      </c>
      <c r="I856" s="132"/>
      <c r="J856" s="132">
        <v>1634.5</v>
      </c>
      <c r="K856" s="132">
        <f t="shared" si="85"/>
        <v>0</v>
      </c>
      <c r="L856" s="132">
        <f t="shared" si="86"/>
        <v>0</v>
      </c>
      <c r="M856" s="133"/>
      <c r="N856" s="133">
        <f t="shared" si="84"/>
        <v>0</v>
      </c>
      <c r="O856" s="134">
        <v>0</v>
      </c>
      <c r="P856" s="133"/>
      <c r="Q856" s="2" t="s">
        <v>2827</v>
      </c>
      <c r="R856" s="156">
        <f t="shared" si="87"/>
        <v>0</v>
      </c>
      <c r="S856" s="156">
        <f t="shared" si="88"/>
        <v>0</v>
      </c>
      <c r="T856" s="133"/>
      <c r="U856" s="133"/>
      <c r="V856" s="133"/>
      <c r="W856" s="133"/>
      <c r="X856" s="133"/>
      <c r="Y856" s="133"/>
      <c r="Z856" s="133"/>
      <c r="AA856" s="133"/>
      <c r="AB856" s="133"/>
      <c r="AC856" s="133"/>
      <c r="AD856" s="133"/>
      <c r="AE856" s="133"/>
      <c r="AF856" s="133"/>
      <c r="AG856" s="133"/>
      <c r="AH856" s="133"/>
      <c r="AI856" s="133"/>
      <c r="AJ856" s="133"/>
      <c r="AK856" s="133"/>
      <c r="AL856" s="133"/>
      <c r="AM856" s="133"/>
      <c r="AN856" s="133"/>
      <c r="AO856" s="133"/>
      <c r="AP856" s="133"/>
      <c r="AQ856" s="133"/>
      <c r="AR856" s="133"/>
      <c r="AS856" s="153">
        <v>0</v>
      </c>
      <c r="AT856" s="153">
        <v>0</v>
      </c>
      <c r="AU856" s="153">
        <v>0</v>
      </c>
      <c r="AV856" s="153">
        <v>0</v>
      </c>
      <c r="AW856" s="153">
        <v>0</v>
      </c>
      <c r="AX856" s="153">
        <v>0</v>
      </c>
      <c r="AY856" s="135"/>
      <c r="AZ856" s="135"/>
      <c r="BA856" s="135"/>
      <c r="BB856" s="135"/>
      <c r="BC856" s="135"/>
      <c r="BD856" s="135"/>
      <c r="BE856" s="135"/>
      <c r="BF856" s="135"/>
      <c r="BG856" s="135"/>
      <c r="BH856" s="135"/>
      <c r="BI856" s="2" t="s">
        <v>112</v>
      </c>
      <c r="BJ856" s="136">
        <v>45636</v>
      </c>
      <c r="BK856" s="2" t="s">
        <v>145</v>
      </c>
      <c r="BL856" s="136" t="s">
        <v>113</v>
      </c>
      <c r="BM856" s="136">
        <v>45300</v>
      </c>
      <c r="BN856" s="2" t="s">
        <v>2962</v>
      </c>
      <c r="BO856" s="2"/>
      <c r="BP856" s="205"/>
      <c r="BQ856" s="137" t="s">
        <v>134</v>
      </c>
      <c r="BR856" s="138"/>
    </row>
    <row r="857" spans="1:70" ht="12.75" customHeight="1" x14ac:dyDescent="0.2">
      <c r="A857" s="2">
        <v>2346</v>
      </c>
      <c r="B857" s="2" t="s">
        <v>108</v>
      </c>
      <c r="C857" s="2" t="s">
        <v>73</v>
      </c>
      <c r="D857" s="2" t="s">
        <v>2893</v>
      </c>
      <c r="E857" s="2" t="s">
        <v>90</v>
      </c>
      <c r="F857" s="132">
        <v>30000</v>
      </c>
      <c r="G857" s="132">
        <v>2</v>
      </c>
      <c r="H857" s="132">
        <f>R857</f>
        <v>37729.35</v>
      </c>
      <c r="I857" s="132"/>
      <c r="J857" s="132">
        <f>S857+BC857</f>
        <v>37729.35</v>
      </c>
      <c r="K857" s="132">
        <f t="shared" si="85"/>
        <v>-7729.3499999999985</v>
      </c>
      <c r="L857" s="132">
        <f t="shared" si="86"/>
        <v>0</v>
      </c>
      <c r="M857" s="133">
        <v>917.9</v>
      </c>
      <c r="N857" s="133">
        <f t="shared" si="84"/>
        <v>0</v>
      </c>
      <c r="O857" s="134">
        <v>1</v>
      </c>
      <c r="P857" s="133"/>
      <c r="Q857" s="2" t="s">
        <v>2827</v>
      </c>
      <c r="R857" s="156">
        <f t="shared" si="87"/>
        <v>37729.35</v>
      </c>
      <c r="S857" s="156">
        <f t="shared" si="88"/>
        <v>12305.62</v>
      </c>
      <c r="T857" s="133"/>
      <c r="U857" s="133"/>
      <c r="V857" s="133"/>
      <c r="W857" s="133"/>
      <c r="X857" s="133">
        <v>30000</v>
      </c>
      <c r="Y857" s="133"/>
      <c r="Z857" s="133">
        <v>7729.35</v>
      </c>
      <c r="AA857" s="133">
        <v>4576.2700000000004</v>
      </c>
      <c r="AB857" s="133"/>
      <c r="AC857" s="133">
        <v>1179.05</v>
      </c>
      <c r="AD857" s="133"/>
      <c r="AE857" s="133">
        <v>6550.3</v>
      </c>
      <c r="AF857" s="133"/>
      <c r="AG857" s="133"/>
      <c r="AH857" s="133"/>
      <c r="AI857" s="133"/>
      <c r="AJ857" s="133"/>
      <c r="AK857" s="133"/>
      <c r="AL857" s="133"/>
      <c r="AM857" s="133"/>
      <c r="AN857" s="133"/>
      <c r="AO857" s="133"/>
      <c r="AP857" s="133"/>
      <c r="AQ857" s="133"/>
      <c r="AR857" s="133"/>
      <c r="AS857" s="153">
        <v>0</v>
      </c>
      <c r="AT857" s="153">
        <v>0</v>
      </c>
      <c r="AU857" s="153">
        <v>0</v>
      </c>
      <c r="AV857" s="153">
        <v>0</v>
      </c>
      <c r="AW857" s="153">
        <v>0</v>
      </c>
      <c r="AX857" s="153">
        <v>0</v>
      </c>
      <c r="AY857" s="135"/>
      <c r="AZ857" s="135"/>
      <c r="BA857" s="135"/>
      <c r="BB857" s="135"/>
      <c r="BC857" s="135">
        <v>25423.73</v>
      </c>
      <c r="BD857" s="135">
        <v>3789.53</v>
      </c>
      <c r="BE857" s="135">
        <f>(H857/1.18-AT857-AW857-AZ857-BD857)*0.1-AU857-AX857-BA857-BB857</f>
        <v>2818.4495423728818</v>
      </c>
      <c r="BF857" s="135"/>
      <c r="BG857" s="135"/>
      <c r="BH857" s="135"/>
      <c r="BI857" s="2" t="s">
        <v>11</v>
      </c>
      <c r="BJ857" s="136">
        <v>45777</v>
      </c>
      <c r="BK857" s="2" t="s">
        <v>8</v>
      </c>
      <c r="BL857" s="136" t="s">
        <v>113</v>
      </c>
      <c r="BM857" s="136">
        <v>45300</v>
      </c>
      <c r="BN857" s="2" t="s">
        <v>2963</v>
      </c>
      <c r="BO857" s="2"/>
      <c r="BP857" s="205"/>
      <c r="BQ857" s="137" t="s">
        <v>119</v>
      </c>
      <c r="BR857" s="138"/>
    </row>
    <row r="858" spans="1:70" ht="12.75" customHeight="1" x14ac:dyDescent="0.2">
      <c r="A858" s="2">
        <v>2347</v>
      </c>
      <c r="B858" s="2" t="s">
        <v>108</v>
      </c>
      <c r="C858" s="2" t="s">
        <v>43</v>
      </c>
      <c r="D858" s="2" t="s">
        <v>2894</v>
      </c>
      <c r="E858" s="2" t="s">
        <v>106</v>
      </c>
      <c r="F858" s="132">
        <v>0</v>
      </c>
      <c r="G858" s="132">
        <v>2</v>
      </c>
      <c r="H858" s="132">
        <f>R858</f>
        <v>1308.6499999999999</v>
      </c>
      <c r="I858" s="132"/>
      <c r="J858" s="132">
        <f>S858</f>
        <v>1308.6499999999999</v>
      </c>
      <c r="K858" s="132">
        <f t="shared" si="85"/>
        <v>-1308.6499999999999</v>
      </c>
      <c r="L858" s="132">
        <f t="shared" si="86"/>
        <v>0</v>
      </c>
      <c r="M858" s="133"/>
      <c r="N858" s="133">
        <f t="shared" si="84"/>
        <v>0</v>
      </c>
      <c r="O858" s="134">
        <v>2</v>
      </c>
      <c r="P858" s="133"/>
      <c r="Q858" s="2" t="s">
        <v>2828</v>
      </c>
      <c r="R858" s="156">
        <f t="shared" si="87"/>
        <v>1308.6499999999999</v>
      </c>
      <c r="S858" s="156">
        <f t="shared" si="88"/>
        <v>1308.6499999999999</v>
      </c>
      <c r="T858" s="133"/>
      <c r="U858" s="133"/>
      <c r="V858" s="133"/>
      <c r="W858" s="133"/>
      <c r="X858" s="133"/>
      <c r="Y858" s="133"/>
      <c r="Z858" s="133"/>
      <c r="AA858" s="133"/>
      <c r="AB858" s="133"/>
      <c r="AC858" s="133"/>
      <c r="AD858" s="133"/>
      <c r="AE858" s="133"/>
      <c r="AF858" s="133">
        <f>747.8*1.75</f>
        <v>1308.6499999999999</v>
      </c>
      <c r="AG858" s="133"/>
      <c r="AH858" s="133"/>
      <c r="AI858" s="133">
        <v>199.62457627118647</v>
      </c>
      <c r="AJ858" s="133"/>
      <c r="AK858" s="133">
        <v>1109.0254237288134</v>
      </c>
      <c r="AL858" s="133"/>
      <c r="AM858" s="133"/>
      <c r="AN858" s="133"/>
      <c r="AO858" s="133"/>
      <c r="AP858" s="133"/>
      <c r="AQ858" s="133"/>
      <c r="AR858" s="133"/>
      <c r="AS858" s="153">
        <v>0</v>
      </c>
      <c r="AT858" s="153">
        <v>0</v>
      </c>
      <c r="AU858" s="153">
        <v>0</v>
      </c>
      <c r="AV858" s="153">
        <v>0</v>
      </c>
      <c r="AW858" s="153">
        <v>0</v>
      </c>
      <c r="AX858" s="153">
        <v>0</v>
      </c>
      <c r="AY858" s="135"/>
      <c r="AZ858" s="135"/>
      <c r="BA858" s="135"/>
      <c r="BB858" s="135"/>
      <c r="BC858" s="135"/>
      <c r="BD858" s="135"/>
      <c r="BE858" s="135"/>
      <c r="BF858" s="135"/>
      <c r="BG858" s="135"/>
      <c r="BH858" s="135"/>
      <c r="BI858" s="2" t="s">
        <v>112</v>
      </c>
      <c r="BJ858" s="136">
        <v>45845</v>
      </c>
      <c r="BK858" s="2" t="s">
        <v>145</v>
      </c>
      <c r="BL858" s="136" t="s">
        <v>113</v>
      </c>
      <c r="BM858" s="136">
        <v>45300</v>
      </c>
      <c r="BN858" s="2" t="s">
        <v>2964</v>
      </c>
      <c r="BO858" s="2"/>
      <c r="BP858" s="205"/>
      <c r="BQ858" s="137" t="s">
        <v>134</v>
      </c>
      <c r="BR858" s="138"/>
    </row>
    <row r="859" spans="1:70" ht="12.75" customHeight="1" x14ac:dyDescent="0.2">
      <c r="A859" s="2">
        <v>2348</v>
      </c>
      <c r="B859" s="2" t="s">
        <v>108</v>
      </c>
      <c r="C859" s="2" t="s">
        <v>43</v>
      </c>
      <c r="D859" s="2" t="s">
        <v>2895</v>
      </c>
      <c r="E859" s="2" t="s">
        <v>90</v>
      </c>
      <c r="F859" s="132">
        <v>5000</v>
      </c>
      <c r="G859" s="132">
        <v>2</v>
      </c>
      <c r="H859" s="132">
        <f>R859</f>
        <v>26949.88</v>
      </c>
      <c r="I859" s="132"/>
      <c r="J859" s="132">
        <f>S859+BC859</f>
        <v>26949.882203389829</v>
      </c>
      <c r="K859" s="132">
        <f t="shared" si="85"/>
        <v>-21949.882203389829</v>
      </c>
      <c r="L859" s="132">
        <f t="shared" si="86"/>
        <v>-2.2033898276276886E-3</v>
      </c>
      <c r="M859" s="133">
        <v>747.8</v>
      </c>
      <c r="N859" s="133">
        <f t="shared" si="84"/>
        <v>-2.2033898276276886E-3</v>
      </c>
      <c r="O859" s="134">
        <v>1</v>
      </c>
      <c r="P859" s="133"/>
      <c r="Q859" s="2" t="s">
        <v>2828</v>
      </c>
      <c r="R859" s="156">
        <f t="shared" si="87"/>
        <v>26949.88</v>
      </c>
      <c r="S859" s="156">
        <f t="shared" si="88"/>
        <v>8305.8122033898289</v>
      </c>
      <c r="T859" s="133"/>
      <c r="U859" s="133"/>
      <c r="V859" s="133"/>
      <c r="W859" s="133"/>
      <c r="X859" s="133"/>
      <c r="Y859" s="133"/>
      <c r="Z859" s="133"/>
      <c r="AA859" s="133"/>
      <c r="AB859" s="133"/>
      <c r="AC859" s="133"/>
      <c r="AD859" s="133"/>
      <c r="AE859" s="133"/>
      <c r="AF859" s="133">
        <v>22000</v>
      </c>
      <c r="AG859" s="133"/>
      <c r="AH859" s="133">
        <v>4949.88</v>
      </c>
      <c r="AI859" s="133">
        <v>3355.9322033898279</v>
      </c>
      <c r="AJ859" s="133"/>
      <c r="AK859" s="133">
        <v>4949.880000000001</v>
      </c>
      <c r="AL859" s="133"/>
      <c r="AM859" s="133"/>
      <c r="AN859" s="133"/>
      <c r="AO859" s="133"/>
      <c r="AP859" s="133"/>
      <c r="AQ859" s="133"/>
      <c r="AR859" s="133"/>
      <c r="AS859" s="153">
        <v>0</v>
      </c>
      <c r="AT859" s="153">
        <v>0</v>
      </c>
      <c r="AU859" s="153">
        <v>0</v>
      </c>
      <c r="AV859" s="153">
        <v>0</v>
      </c>
      <c r="AW859" s="153">
        <v>0</v>
      </c>
      <c r="AX859" s="153">
        <v>0</v>
      </c>
      <c r="AY859" s="135"/>
      <c r="AZ859" s="135"/>
      <c r="BA859" s="135"/>
      <c r="BB859" s="135"/>
      <c r="BC859" s="135">
        <v>18644.07</v>
      </c>
      <c r="BD859" s="135">
        <v>1844.74</v>
      </c>
      <c r="BE859" s="135"/>
      <c r="BF859" s="135"/>
      <c r="BG859" s="135"/>
      <c r="BH859" s="135"/>
      <c r="BI859" s="2" t="s">
        <v>11</v>
      </c>
      <c r="BJ859" s="136">
        <v>45896</v>
      </c>
      <c r="BK859" s="2" t="s">
        <v>8</v>
      </c>
      <c r="BL859" s="136" t="s">
        <v>113</v>
      </c>
      <c r="BM859" s="136">
        <v>45300</v>
      </c>
      <c r="BN859" s="2" t="s">
        <v>2965</v>
      </c>
      <c r="BO859" s="2"/>
      <c r="BP859" s="205"/>
      <c r="BQ859" s="137" t="s">
        <v>119</v>
      </c>
      <c r="BR859" s="138"/>
    </row>
    <row r="860" spans="1:70" ht="12.75" customHeight="1" x14ac:dyDescent="0.2">
      <c r="A860" s="2">
        <v>2349</v>
      </c>
      <c r="B860" s="2" t="s">
        <v>108</v>
      </c>
      <c r="C860" s="2" t="s">
        <v>40</v>
      </c>
      <c r="D860" s="2" t="s">
        <v>2896</v>
      </c>
      <c r="E860" s="2" t="s">
        <v>106</v>
      </c>
      <c r="F860" s="132">
        <v>196</v>
      </c>
      <c r="G860" s="132">
        <v>2</v>
      </c>
      <c r="H860" s="132">
        <f>112*1.75</f>
        <v>196</v>
      </c>
      <c r="I860" s="132"/>
      <c r="J860" s="132">
        <v>196</v>
      </c>
      <c r="K860" s="132">
        <f t="shared" si="85"/>
        <v>0</v>
      </c>
      <c r="L860" s="132">
        <f t="shared" si="86"/>
        <v>0</v>
      </c>
      <c r="M860" s="133"/>
      <c r="N860" s="133">
        <f t="shared" si="84"/>
        <v>0</v>
      </c>
      <c r="O860" s="134">
        <v>0</v>
      </c>
      <c r="P860" s="133"/>
      <c r="Q860" s="2" t="s">
        <v>2829</v>
      </c>
      <c r="R860" s="156">
        <f t="shared" si="87"/>
        <v>0</v>
      </c>
      <c r="S860" s="156">
        <f t="shared" si="88"/>
        <v>0</v>
      </c>
      <c r="T860" s="133"/>
      <c r="U860" s="133"/>
      <c r="V860" s="133"/>
      <c r="W860" s="133"/>
      <c r="X860" s="133"/>
      <c r="Y860" s="133"/>
      <c r="Z860" s="133"/>
      <c r="AA860" s="133"/>
      <c r="AB860" s="133"/>
      <c r="AC860" s="133"/>
      <c r="AD860" s="133"/>
      <c r="AE860" s="133"/>
      <c r="AF860" s="133"/>
      <c r="AG860" s="133"/>
      <c r="AH860" s="133"/>
      <c r="AI860" s="133"/>
      <c r="AJ860" s="133"/>
      <c r="AK860" s="133"/>
      <c r="AL860" s="133"/>
      <c r="AM860" s="133"/>
      <c r="AN860" s="133"/>
      <c r="AO860" s="133"/>
      <c r="AP860" s="133"/>
      <c r="AQ860" s="133"/>
      <c r="AR860" s="133"/>
      <c r="AS860" s="153">
        <v>0</v>
      </c>
      <c r="AT860" s="153">
        <v>0</v>
      </c>
      <c r="AU860" s="153">
        <v>0</v>
      </c>
      <c r="AV860" s="153">
        <v>0</v>
      </c>
      <c r="AW860" s="153">
        <v>0</v>
      </c>
      <c r="AX860" s="153">
        <v>0</v>
      </c>
      <c r="AY860" s="135"/>
      <c r="AZ860" s="135"/>
      <c r="BA860" s="135"/>
      <c r="BB860" s="135"/>
      <c r="BC860" s="135"/>
      <c r="BD860" s="135"/>
      <c r="BE860" s="135"/>
      <c r="BF860" s="135"/>
      <c r="BG860" s="135"/>
      <c r="BH860" s="135"/>
      <c r="BI860" s="2" t="s">
        <v>112</v>
      </c>
      <c r="BJ860" s="136">
        <v>45637</v>
      </c>
      <c r="BK860" s="2" t="s">
        <v>145</v>
      </c>
      <c r="BL860" s="136" t="s">
        <v>113</v>
      </c>
      <c r="BM860" s="136">
        <v>45300</v>
      </c>
      <c r="BN860" s="2" t="s">
        <v>2966</v>
      </c>
      <c r="BO860" s="2"/>
      <c r="BP860" s="205"/>
      <c r="BQ860" s="137" t="s">
        <v>134</v>
      </c>
      <c r="BR860" s="138"/>
    </row>
    <row r="861" spans="1:70" ht="12.75" customHeight="1" x14ac:dyDescent="0.2">
      <c r="A861" s="2">
        <v>2350</v>
      </c>
      <c r="B861" s="2" t="s">
        <v>108</v>
      </c>
      <c r="C861" s="2" t="s">
        <v>40</v>
      </c>
      <c r="D861" s="2" t="s">
        <v>2897</v>
      </c>
      <c r="E861" s="2" t="s">
        <v>90</v>
      </c>
      <c r="F861" s="132">
        <v>5000</v>
      </c>
      <c r="G861" s="132">
        <v>2</v>
      </c>
      <c r="H861" s="132"/>
      <c r="I861" s="132"/>
      <c r="J861" s="132"/>
      <c r="K861" s="132">
        <f t="shared" si="85"/>
        <v>5000</v>
      </c>
      <c r="L861" s="132">
        <f t="shared" si="86"/>
        <v>0</v>
      </c>
      <c r="M861" s="133"/>
      <c r="N861" s="133">
        <f t="shared" si="84"/>
        <v>5000</v>
      </c>
      <c r="O861" s="134">
        <v>1</v>
      </c>
      <c r="P861" s="133"/>
      <c r="Q861" s="2" t="s">
        <v>2829</v>
      </c>
      <c r="R861" s="156">
        <f t="shared" si="87"/>
        <v>0</v>
      </c>
      <c r="S861" s="156">
        <f t="shared" si="88"/>
        <v>0</v>
      </c>
      <c r="T861" s="133"/>
      <c r="U861" s="133"/>
      <c r="V861" s="133"/>
      <c r="W861" s="133"/>
      <c r="X861" s="133"/>
      <c r="Y861" s="133"/>
      <c r="Z861" s="133"/>
      <c r="AA861" s="133"/>
      <c r="AB861" s="133"/>
      <c r="AC861" s="133"/>
      <c r="AD861" s="133"/>
      <c r="AE861" s="133"/>
      <c r="AF861" s="133"/>
      <c r="AG861" s="133"/>
      <c r="AH861" s="133"/>
      <c r="AI861" s="133"/>
      <c r="AJ861" s="133"/>
      <c r="AK861" s="133"/>
      <c r="AL861" s="133"/>
      <c r="AM861" s="133"/>
      <c r="AN861" s="133"/>
      <c r="AO861" s="133"/>
      <c r="AP861" s="133"/>
      <c r="AQ861" s="133"/>
      <c r="AR861" s="133"/>
      <c r="AS861" s="153">
        <v>0</v>
      </c>
      <c r="AT861" s="153">
        <v>0</v>
      </c>
      <c r="AU861" s="153">
        <v>0</v>
      </c>
      <c r="AV861" s="153">
        <v>0</v>
      </c>
      <c r="AW861" s="153">
        <v>0</v>
      </c>
      <c r="AX861" s="153">
        <v>0</v>
      </c>
      <c r="AY861" s="135"/>
      <c r="AZ861" s="135"/>
      <c r="BA861" s="135"/>
      <c r="BB861" s="135"/>
      <c r="BC861" s="135"/>
      <c r="BD861" s="135"/>
      <c r="BE861" s="135"/>
      <c r="BF861" s="135"/>
      <c r="BG861" s="135"/>
      <c r="BH861" s="135"/>
      <c r="BI861" s="2" t="s">
        <v>11</v>
      </c>
      <c r="BJ861" s="136"/>
      <c r="BK861" s="2">
        <v>0</v>
      </c>
      <c r="BL861" s="136" t="s">
        <v>113</v>
      </c>
      <c r="BM861" s="136">
        <v>45300</v>
      </c>
      <c r="BN861" s="2" t="s">
        <v>2967</v>
      </c>
      <c r="BO861" s="2"/>
      <c r="BP861" s="205"/>
      <c r="BQ861" s="137" t="s">
        <v>119</v>
      </c>
      <c r="BR861" s="138"/>
    </row>
    <row r="862" spans="1:70" ht="12.75" customHeight="1" x14ac:dyDescent="0.2">
      <c r="A862" s="2">
        <v>2351</v>
      </c>
      <c r="B862" s="2" t="s">
        <v>39</v>
      </c>
      <c r="C862" s="2" t="s">
        <v>94</v>
      </c>
      <c r="D862" s="2" t="s">
        <v>2257</v>
      </c>
      <c r="E862" s="2" t="s">
        <v>106</v>
      </c>
      <c r="F862" s="132">
        <f>1249*1.75</f>
        <v>2185.75</v>
      </c>
      <c r="G862" s="132">
        <v>2</v>
      </c>
      <c r="H862" s="132">
        <f>1249*1.75</f>
        <v>2185.75</v>
      </c>
      <c r="I862" s="132"/>
      <c r="J862" s="132">
        <v>2185.75</v>
      </c>
      <c r="K862" s="132">
        <f t="shared" si="85"/>
        <v>0</v>
      </c>
      <c r="L862" s="132">
        <f t="shared" si="86"/>
        <v>0</v>
      </c>
      <c r="M862" s="133"/>
      <c r="N862" s="133">
        <f t="shared" si="84"/>
        <v>0</v>
      </c>
      <c r="O862" s="134">
        <v>0</v>
      </c>
      <c r="P862" s="133"/>
      <c r="Q862" s="2" t="s">
        <v>2249</v>
      </c>
      <c r="R862" s="156">
        <f t="shared" si="87"/>
        <v>0</v>
      </c>
      <c r="S862" s="156">
        <f t="shared" si="88"/>
        <v>0</v>
      </c>
      <c r="T862" s="133"/>
      <c r="U862" s="133"/>
      <c r="V862" s="133"/>
      <c r="W862" s="133"/>
      <c r="X862" s="133"/>
      <c r="Y862" s="133"/>
      <c r="Z862" s="133"/>
      <c r="AA862" s="133"/>
      <c r="AB862" s="133"/>
      <c r="AC862" s="133"/>
      <c r="AD862" s="133"/>
      <c r="AE862" s="133"/>
      <c r="AF862" s="133"/>
      <c r="AG862" s="133"/>
      <c r="AH862" s="133"/>
      <c r="AI862" s="133"/>
      <c r="AJ862" s="133"/>
      <c r="AK862" s="133"/>
      <c r="AL862" s="133"/>
      <c r="AM862" s="133"/>
      <c r="AN862" s="133"/>
      <c r="AO862" s="133"/>
      <c r="AP862" s="133"/>
      <c r="AQ862" s="133"/>
      <c r="AR862" s="133"/>
      <c r="AS862" s="153">
        <v>0</v>
      </c>
      <c r="AT862" s="153">
        <v>0</v>
      </c>
      <c r="AU862" s="153">
        <v>0</v>
      </c>
      <c r="AV862" s="153">
        <v>0</v>
      </c>
      <c r="AW862" s="153">
        <v>0</v>
      </c>
      <c r="AX862" s="153">
        <v>0</v>
      </c>
      <c r="AY862" s="135"/>
      <c r="AZ862" s="135"/>
      <c r="BA862" s="135"/>
      <c r="BB862" s="135"/>
      <c r="BC862" s="135"/>
      <c r="BD862" s="135"/>
      <c r="BE862" s="135"/>
      <c r="BF862" s="135"/>
      <c r="BG862" s="135"/>
      <c r="BH862" s="135"/>
      <c r="BI862" s="2" t="s">
        <v>112</v>
      </c>
      <c r="BJ862" s="136">
        <v>45446</v>
      </c>
      <c r="BK862" s="2" t="s">
        <v>145</v>
      </c>
      <c r="BL862" s="136" t="s">
        <v>18</v>
      </c>
      <c r="BM862" s="136">
        <v>45300</v>
      </c>
      <c r="BN862" s="2" t="s">
        <v>3088</v>
      </c>
      <c r="BO862" s="2"/>
      <c r="BP862" s="205"/>
      <c r="BQ862" s="137" t="s">
        <v>134</v>
      </c>
      <c r="BR862" s="138"/>
    </row>
    <row r="863" spans="1:70" ht="12.75" customHeight="1" x14ac:dyDescent="0.2">
      <c r="A863" s="2">
        <v>2352</v>
      </c>
      <c r="B863" s="2" t="s">
        <v>39</v>
      </c>
      <c r="C863" s="2" t="s">
        <v>74</v>
      </c>
      <c r="D863" s="2" t="s">
        <v>3008</v>
      </c>
      <c r="E863" s="2" t="s">
        <v>106</v>
      </c>
      <c r="F863" s="132">
        <f>5910*1.75</f>
        <v>10342.5</v>
      </c>
      <c r="G863" s="132">
        <v>2</v>
      </c>
      <c r="H863" s="132">
        <f>5910*1.75</f>
        <v>10342.5</v>
      </c>
      <c r="I863" s="132"/>
      <c r="J863" s="132">
        <f>1577.67+8764.83</f>
        <v>10342.5</v>
      </c>
      <c r="K863" s="132">
        <f t="shared" si="85"/>
        <v>0</v>
      </c>
      <c r="L863" s="132">
        <f t="shared" si="86"/>
        <v>0</v>
      </c>
      <c r="M863" s="133"/>
      <c r="N863" s="133">
        <f t="shared" si="84"/>
        <v>0</v>
      </c>
      <c r="O863" s="134">
        <v>0</v>
      </c>
      <c r="P863" s="133"/>
      <c r="Q863" s="2" t="s">
        <v>2250</v>
      </c>
      <c r="R863" s="156">
        <f t="shared" si="87"/>
        <v>0</v>
      </c>
      <c r="S863" s="156">
        <f t="shared" si="88"/>
        <v>0</v>
      </c>
      <c r="T863" s="133"/>
      <c r="U863" s="133"/>
      <c r="V863" s="133"/>
      <c r="W863" s="133"/>
      <c r="X863" s="133"/>
      <c r="Y863" s="133"/>
      <c r="Z863" s="133"/>
      <c r="AA863" s="133"/>
      <c r="AB863" s="133"/>
      <c r="AC863" s="133"/>
      <c r="AD863" s="133"/>
      <c r="AE863" s="133"/>
      <c r="AF863" s="133"/>
      <c r="AG863" s="133"/>
      <c r="AH863" s="133"/>
      <c r="AI863" s="133"/>
      <c r="AJ863" s="133"/>
      <c r="AK863" s="133"/>
      <c r="AL863" s="133"/>
      <c r="AM863" s="133"/>
      <c r="AN863" s="133"/>
      <c r="AO863" s="133"/>
      <c r="AP863" s="133"/>
      <c r="AQ863" s="133"/>
      <c r="AR863" s="133"/>
      <c r="AS863" s="153">
        <v>0</v>
      </c>
      <c r="AT863" s="153">
        <v>0</v>
      </c>
      <c r="AU863" s="153">
        <v>0</v>
      </c>
      <c r="AV863" s="153">
        <v>0</v>
      </c>
      <c r="AW863" s="153">
        <v>0</v>
      </c>
      <c r="AX863" s="153">
        <v>0</v>
      </c>
      <c r="AY863" s="135"/>
      <c r="AZ863" s="135"/>
      <c r="BA863" s="135"/>
      <c r="BB863" s="135"/>
      <c r="BC863" s="135"/>
      <c r="BD863" s="135"/>
      <c r="BE863" s="135"/>
      <c r="BF863" s="135"/>
      <c r="BG863" s="135"/>
      <c r="BH863" s="135"/>
      <c r="BI863" s="2" t="s">
        <v>112</v>
      </c>
      <c r="BJ863" s="136">
        <v>45530</v>
      </c>
      <c r="BK863" s="2" t="s">
        <v>145</v>
      </c>
      <c r="BL863" s="136" t="s">
        <v>18</v>
      </c>
      <c r="BM863" s="136">
        <v>45300</v>
      </c>
      <c r="BN863" s="2" t="s">
        <v>3089</v>
      </c>
      <c r="BO863" s="2"/>
      <c r="BP863" s="205"/>
      <c r="BQ863" s="137" t="s">
        <v>134</v>
      </c>
      <c r="BR863" s="138"/>
    </row>
    <row r="864" spans="1:70" ht="12.75" customHeight="1" x14ac:dyDescent="0.2">
      <c r="A864" s="2">
        <v>2353</v>
      </c>
      <c r="B864" s="2" t="s">
        <v>39</v>
      </c>
      <c r="C864" s="2" t="s">
        <v>94</v>
      </c>
      <c r="D864" s="2" t="s">
        <v>2259</v>
      </c>
      <c r="E864" s="2" t="s">
        <v>106</v>
      </c>
      <c r="F864" s="132">
        <f>9767*1.75</f>
        <v>17092.25</v>
      </c>
      <c r="G864" s="132">
        <v>2</v>
      </c>
      <c r="H864" s="132">
        <f>9767*1.75</f>
        <v>17092.25</v>
      </c>
      <c r="I864" s="132"/>
      <c r="J864" s="132">
        <v>17092.25</v>
      </c>
      <c r="K864" s="132">
        <f t="shared" si="85"/>
        <v>0</v>
      </c>
      <c r="L864" s="132">
        <f t="shared" si="86"/>
        <v>0</v>
      </c>
      <c r="M864" s="133"/>
      <c r="N864" s="133">
        <f t="shared" si="84"/>
        <v>0</v>
      </c>
      <c r="O864" s="134">
        <v>0</v>
      </c>
      <c r="P864" s="133"/>
      <c r="Q864" s="2" t="s">
        <v>2251</v>
      </c>
      <c r="R864" s="156">
        <f t="shared" si="87"/>
        <v>0</v>
      </c>
      <c r="S864" s="156">
        <f t="shared" si="88"/>
        <v>0</v>
      </c>
      <c r="T864" s="133"/>
      <c r="U864" s="133"/>
      <c r="V864" s="133"/>
      <c r="W864" s="133"/>
      <c r="X864" s="133"/>
      <c r="Y864" s="133"/>
      <c r="Z864" s="133"/>
      <c r="AA864" s="133"/>
      <c r="AB864" s="133"/>
      <c r="AC864" s="133"/>
      <c r="AD864" s="133"/>
      <c r="AE864" s="133"/>
      <c r="AF864" s="133"/>
      <c r="AG864" s="133"/>
      <c r="AH864" s="133"/>
      <c r="AI864" s="133"/>
      <c r="AJ864" s="133"/>
      <c r="AK864" s="133"/>
      <c r="AL864" s="133"/>
      <c r="AM864" s="133"/>
      <c r="AN864" s="133"/>
      <c r="AO864" s="133"/>
      <c r="AP864" s="133"/>
      <c r="AQ864" s="133"/>
      <c r="AR864" s="133"/>
      <c r="AS864" s="153">
        <v>0</v>
      </c>
      <c r="AT864" s="153">
        <v>0</v>
      </c>
      <c r="AU864" s="153">
        <v>0</v>
      </c>
      <c r="AV864" s="153">
        <v>0</v>
      </c>
      <c r="AW864" s="153">
        <v>0</v>
      </c>
      <c r="AX864" s="153">
        <v>0</v>
      </c>
      <c r="AY864" s="135"/>
      <c r="AZ864" s="135"/>
      <c r="BA864" s="135"/>
      <c r="BB864" s="135"/>
      <c r="BC864" s="135"/>
      <c r="BD864" s="135"/>
      <c r="BE864" s="135"/>
      <c r="BF864" s="135"/>
      <c r="BG864" s="135"/>
      <c r="BH864" s="135"/>
      <c r="BI864" s="2" t="s">
        <v>112</v>
      </c>
      <c r="BJ864" s="136">
        <v>45460</v>
      </c>
      <c r="BK864" s="2" t="s">
        <v>145</v>
      </c>
      <c r="BL864" s="136" t="s">
        <v>18</v>
      </c>
      <c r="BM864" s="136">
        <v>45300</v>
      </c>
      <c r="BN864" s="2" t="s">
        <v>3090</v>
      </c>
      <c r="BO864" s="2"/>
      <c r="BP864" s="205"/>
      <c r="BQ864" s="137" t="s">
        <v>134</v>
      </c>
      <c r="BR864" s="138"/>
    </row>
    <row r="865" spans="1:70" ht="12.75" customHeight="1" x14ac:dyDescent="0.2">
      <c r="A865" s="2">
        <v>2354</v>
      </c>
      <c r="B865" s="2" t="s">
        <v>39</v>
      </c>
      <c r="C865" s="2" t="s">
        <v>94</v>
      </c>
      <c r="D865" s="2" t="s">
        <v>2260</v>
      </c>
      <c r="E865" s="2" t="s">
        <v>106</v>
      </c>
      <c r="F865" s="132">
        <f>7350.2*1.75</f>
        <v>12862.85</v>
      </c>
      <c r="G865" s="132">
        <v>2</v>
      </c>
      <c r="H865" s="132">
        <f>7350.2*1.75</f>
        <v>12862.85</v>
      </c>
      <c r="I865" s="132"/>
      <c r="J865" s="132">
        <v>12862.85</v>
      </c>
      <c r="K865" s="132">
        <f t="shared" si="85"/>
        <v>0</v>
      </c>
      <c r="L865" s="132">
        <f t="shared" si="86"/>
        <v>0</v>
      </c>
      <c r="M865" s="133"/>
      <c r="N865" s="133">
        <f t="shared" si="84"/>
        <v>0</v>
      </c>
      <c r="O865" s="134">
        <v>0</v>
      </c>
      <c r="P865" s="133"/>
      <c r="Q865" s="2" t="s">
        <v>2252</v>
      </c>
      <c r="R865" s="156">
        <f t="shared" si="87"/>
        <v>0</v>
      </c>
      <c r="S865" s="156">
        <f t="shared" si="88"/>
        <v>0</v>
      </c>
      <c r="T865" s="133"/>
      <c r="U865" s="133"/>
      <c r="V865" s="133"/>
      <c r="W865" s="133"/>
      <c r="X865" s="133"/>
      <c r="Y865" s="133"/>
      <c r="Z865" s="133"/>
      <c r="AA865" s="133"/>
      <c r="AB865" s="133"/>
      <c r="AC865" s="133"/>
      <c r="AD865" s="133"/>
      <c r="AE865" s="133"/>
      <c r="AF865" s="133"/>
      <c r="AG865" s="133"/>
      <c r="AH865" s="133"/>
      <c r="AI865" s="133"/>
      <c r="AJ865" s="133"/>
      <c r="AK865" s="133"/>
      <c r="AL865" s="133"/>
      <c r="AM865" s="133"/>
      <c r="AN865" s="133"/>
      <c r="AO865" s="133"/>
      <c r="AP865" s="133"/>
      <c r="AQ865" s="133"/>
      <c r="AR865" s="133"/>
      <c r="AS865" s="153">
        <v>0</v>
      </c>
      <c r="AT865" s="153">
        <v>0</v>
      </c>
      <c r="AU865" s="153">
        <v>0</v>
      </c>
      <c r="AV865" s="153">
        <v>0</v>
      </c>
      <c r="AW865" s="153">
        <v>0</v>
      </c>
      <c r="AX865" s="153">
        <v>0</v>
      </c>
      <c r="AY865" s="135"/>
      <c r="AZ865" s="135"/>
      <c r="BA865" s="135"/>
      <c r="BB865" s="135"/>
      <c r="BC865" s="135"/>
      <c r="BD865" s="135"/>
      <c r="BE865" s="135"/>
      <c r="BF865" s="135"/>
      <c r="BG865" s="135"/>
      <c r="BH865" s="135"/>
      <c r="BI865" s="2" t="s">
        <v>112</v>
      </c>
      <c r="BJ865" s="136">
        <v>45460</v>
      </c>
      <c r="BK865" s="2" t="s">
        <v>145</v>
      </c>
      <c r="BL865" s="136" t="s">
        <v>18</v>
      </c>
      <c r="BM865" s="136">
        <v>45300</v>
      </c>
      <c r="BN865" s="2" t="s">
        <v>3091</v>
      </c>
      <c r="BO865" s="2"/>
      <c r="BP865" s="205"/>
      <c r="BQ865" s="137" t="s">
        <v>134</v>
      </c>
      <c r="BR865" s="138"/>
    </row>
    <row r="866" spans="1:70" ht="12.75" customHeight="1" x14ac:dyDescent="0.2">
      <c r="A866" s="2">
        <v>2355</v>
      </c>
      <c r="B866" s="2" t="s">
        <v>39</v>
      </c>
      <c r="C866" s="2" t="s">
        <v>94</v>
      </c>
      <c r="D866" s="2" t="s">
        <v>3009</v>
      </c>
      <c r="E866" s="2" t="s">
        <v>106</v>
      </c>
      <c r="F866" s="132">
        <f>18857*1.75</f>
        <v>32999.75</v>
      </c>
      <c r="G866" s="132">
        <v>2</v>
      </c>
      <c r="H866" s="132">
        <f>18857*1.75</f>
        <v>32999.75</v>
      </c>
      <c r="I866" s="132"/>
      <c r="J866" s="132">
        <v>32999.75</v>
      </c>
      <c r="K866" s="132">
        <f t="shared" si="85"/>
        <v>0</v>
      </c>
      <c r="L866" s="132">
        <f t="shared" si="86"/>
        <v>0</v>
      </c>
      <c r="M866" s="133"/>
      <c r="N866" s="133">
        <f t="shared" si="84"/>
        <v>0</v>
      </c>
      <c r="O866" s="134">
        <v>0</v>
      </c>
      <c r="P866" s="133"/>
      <c r="Q866" s="2" t="s">
        <v>2970</v>
      </c>
      <c r="R866" s="156">
        <f t="shared" si="87"/>
        <v>0</v>
      </c>
      <c r="S866" s="156">
        <f t="shared" si="88"/>
        <v>0</v>
      </c>
      <c r="T866" s="133"/>
      <c r="U866" s="133"/>
      <c r="V866" s="133"/>
      <c r="W866" s="133"/>
      <c r="X866" s="133"/>
      <c r="Y866" s="133"/>
      <c r="Z866" s="133"/>
      <c r="AA866" s="133"/>
      <c r="AB866" s="133"/>
      <c r="AC866" s="133"/>
      <c r="AD866" s="133"/>
      <c r="AE866" s="133"/>
      <c r="AF866" s="133"/>
      <c r="AG866" s="133"/>
      <c r="AH866" s="133"/>
      <c r="AI866" s="133"/>
      <c r="AJ866" s="133"/>
      <c r="AK866" s="133"/>
      <c r="AL866" s="133"/>
      <c r="AM866" s="133"/>
      <c r="AN866" s="133"/>
      <c r="AO866" s="133"/>
      <c r="AP866" s="133"/>
      <c r="AQ866" s="133"/>
      <c r="AR866" s="133"/>
      <c r="AS866" s="153">
        <v>0</v>
      </c>
      <c r="AT866" s="153">
        <v>0</v>
      </c>
      <c r="AU866" s="153">
        <v>0</v>
      </c>
      <c r="AV866" s="153">
        <v>0</v>
      </c>
      <c r="AW866" s="153">
        <v>0</v>
      </c>
      <c r="AX866" s="153">
        <v>0</v>
      </c>
      <c r="AY866" s="135"/>
      <c r="AZ866" s="135"/>
      <c r="BA866" s="135"/>
      <c r="BB866" s="135"/>
      <c r="BC866" s="135"/>
      <c r="BD866" s="135"/>
      <c r="BE866" s="135"/>
      <c r="BF866" s="135"/>
      <c r="BG866" s="135"/>
      <c r="BH866" s="135"/>
      <c r="BI866" s="2" t="s">
        <v>112</v>
      </c>
      <c r="BJ866" s="136">
        <v>45491</v>
      </c>
      <c r="BK866" s="2" t="s">
        <v>145</v>
      </c>
      <c r="BL866" s="136" t="s">
        <v>18</v>
      </c>
      <c r="BM866" s="136">
        <v>45300</v>
      </c>
      <c r="BN866" s="2" t="s">
        <v>3092</v>
      </c>
      <c r="BO866" s="2"/>
      <c r="BP866" s="205"/>
      <c r="BQ866" s="137" t="s">
        <v>134</v>
      </c>
      <c r="BR866" s="138"/>
    </row>
    <row r="867" spans="1:70" ht="12.75" customHeight="1" x14ac:dyDescent="0.2">
      <c r="A867" s="2">
        <v>2356</v>
      </c>
      <c r="B867" s="2" t="s">
        <v>39</v>
      </c>
      <c r="C867" s="2" t="s">
        <v>94</v>
      </c>
      <c r="D867" s="2" t="s">
        <v>3010</v>
      </c>
      <c r="E867" s="2" t="s">
        <v>90</v>
      </c>
      <c r="F867" s="132">
        <v>245000</v>
      </c>
      <c r="G867" s="132">
        <v>2</v>
      </c>
      <c r="H867" s="132">
        <f>150000+300000+300000+R867</f>
        <v>934981.66</v>
      </c>
      <c r="I867" s="132"/>
      <c r="J867" s="132">
        <f>45762.71+S867+AY867+BC867</f>
        <v>708813.55999999994</v>
      </c>
      <c r="K867" s="132">
        <f t="shared" si="85"/>
        <v>-463813.55999999994</v>
      </c>
      <c r="L867" s="132">
        <f t="shared" si="86"/>
        <v>226168.10000000009</v>
      </c>
      <c r="M867" s="133"/>
      <c r="N867" s="133">
        <f t="shared" si="84"/>
        <v>-463813.55999999994</v>
      </c>
      <c r="O867" s="134">
        <v>1</v>
      </c>
      <c r="P867" s="133"/>
      <c r="Q867" s="2" t="s">
        <v>2970</v>
      </c>
      <c r="R867" s="156">
        <f t="shared" si="87"/>
        <v>184981.66</v>
      </c>
      <c r="S867" s="156">
        <f t="shared" si="88"/>
        <v>27457.63</v>
      </c>
      <c r="T867" s="133"/>
      <c r="U867" s="133"/>
      <c r="V867" s="133">
        <v>180000</v>
      </c>
      <c r="W867" s="133"/>
      <c r="X867" s="133"/>
      <c r="Y867" s="133">
        <v>27457.63</v>
      </c>
      <c r="Z867" s="133"/>
      <c r="AA867" s="133"/>
      <c r="AB867" s="133"/>
      <c r="AC867" s="133"/>
      <c r="AD867" s="133"/>
      <c r="AE867" s="133"/>
      <c r="AF867" s="133"/>
      <c r="AG867" s="133"/>
      <c r="AH867" s="133"/>
      <c r="AI867" s="133"/>
      <c r="AJ867" s="133"/>
      <c r="AK867" s="133"/>
      <c r="AL867" s="133"/>
      <c r="AM867" s="133"/>
      <c r="AN867" s="133">
        <v>4981.66</v>
      </c>
      <c r="AO867" s="133"/>
      <c r="AP867" s="133"/>
      <c r="AQ867" s="133"/>
      <c r="AR867" s="133"/>
      <c r="AS867" s="153">
        <v>0</v>
      </c>
      <c r="AT867" s="153">
        <v>0</v>
      </c>
      <c r="AU867" s="153">
        <v>0</v>
      </c>
      <c r="AV867" s="153">
        <v>0</v>
      </c>
      <c r="AW867" s="153">
        <v>0</v>
      </c>
      <c r="AX867" s="153">
        <v>0</v>
      </c>
      <c r="AY867" s="135">
        <f>127118.64+254237.29+254237.29</f>
        <v>635593.22</v>
      </c>
      <c r="AZ867" s="135"/>
      <c r="BA867" s="135"/>
      <c r="BB867" s="135"/>
      <c r="BC867" s="135"/>
      <c r="BD867" s="135"/>
      <c r="BE867" s="135"/>
      <c r="BF867" s="135"/>
      <c r="BG867" s="135"/>
      <c r="BH867" s="135"/>
      <c r="BI867" s="2" t="s">
        <v>11</v>
      </c>
      <c r="BJ867" s="136"/>
      <c r="BK867" s="2">
        <v>80</v>
      </c>
      <c r="BL867" s="136" t="s">
        <v>18</v>
      </c>
      <c r="BM867" s="136">
        <v>45300</v>
      </c>
      <c r="BN867" s="2" t="s">
        <v>3093</v>
      </c>
      <c r="BO867" s="2"/>
      <c r="BP867" s="205"/>
      <c r="BQ867" s="137" t="s">
        <v>119</v>
      </c>
      <c r="BR867" s="138"/>
    </row>
    <row r="868" spans="1:70" ht="12.75" customHeight="1" x14ac:dyDescent="0.2">
      <c r="A868" s="2">
        <v>2357</v>
      </c>
      <c r="B868" s="2" t="s">
        <v>39</v>
      </c>
      <c r="C868" s="2" t="s">
        <v>94</v>
      </c>
      <c r="D868" s="2" t="s">
        <v>3011</v>
      </c>
      <c r="E868" s="2" t="s">
        <v>106</v>
      </c>
      <c r="F868" s="132">
        <f>4128*1.75</f>
        <v>7224</v>
      </c>
      <c r="G868" s="132">
        <v>2</v>
      </c>
      <c r="H868" s="132">
        <f>4128*1.75</f>
        <v>7224</v>
      </c>
      <c r="I868" s="132"/>
      <c r="J868" s="132">
        <f>1101.966+6122.034</f>
        <v>7224</v>
      </c>
      <c r="K868" s="132">
        <f t="shared" si="85"/>
        <v>0</v>
      </c>
      <c r="L868" s="132">
        <f t="shared" si="86"/>
        <v>0</v>
      </c>
      <c r="M868" s="133"/>
      <c r="N868" s="133">
        <f t="shared" si="84"/>
        <v>0</v>
      </c>
      <c r="O868" s="134">
        <v>0</v>
      </c>
      <c r="P868" s="133"/>
      <c r="Q868" s="2" t="s">
        <v>2971</v>
      </c>
      <c r="R868" s="156">
        <f t="shared" si="87"/>
        <v>0</v>
      </c>
      <c r="S868" s="156">
        <f t="shared" si="88"/>
        <v>0</v>
      </c>
      <c r="T868" s="133"/>
      <c r="U868" s="133"/>
      <c r="V868" s="133"/>
      <c r="W868" s="133"/>
      <c r="X868" s="133"/>
      <c r="Y868" s="133"/>
      <c r="Z868" s="133"/>
      <c r="AA868" s="133"/>
      <c r="AB868" s="133"/>
      <c r="AC868" s="133"/>
      <c r="AD868" s="133"/>
      <c r="AE868" s="133"/>
      <c r="AF868" s="133"/>
      <c r="AG868" s="133"/>
      <c r="AH868" s="133"/>
      <c r="AI868" s="133"/>
      <c r="AJ868" s="133"/>
      <c r="AK868" s="133"/>
      <c r="AL868" s="133"/>
      <c r="AM868" s="133"/>
      <c r="AN868" s="133"/>
      <c r="AO868" s="133"/>
      <c r="AP868" s="133"/>
      <c r="AQ868" s="133"/>
      <c r="AR868" s="133"/>
      <c r="AS868" s="153">
        <v>0</v>
      </c>
      <c r="AT868" s="153">
        <v>0</v>
      </c>
      <c r="AU868" s="153">
        <v>0</v>
      </c>
      <c r="AV868" s="153">
        <v>0</v>
      </c>
      <c r="AW868" s="153">
        <v>0</v>
      </c>
      <c r="AX868" s="153">
        <v>0</v>
      </c>
      <c r="AY868" s="135"/>
      <c r="AZ868" s="135"/>
      <c r="BA868" s="135"/>
      <c r="BB868" s="135"/>
      <c r="BC868" s="135"/>
      <c r="BD868" s="135"/>
      <c r="BE868" s="135"/>
      <c r="BF868" s="135"/>
      <c r="BG868" s="135"/>
      <c r="BH868" s="135"/>
      <c r="BI868" s="2" t="s">
        <v>112</v>
      </c>
      <c r="BJ868" s="136">
        <v>45412</v>
      </c>
      <c r="BK868" s="2" t="s">
        <v>145</v>
      </c>
      <c r="BL868" s="136" t="s">
        <v>18</v>
      </c>
      <c r="BM868" s="136">
        <v>45300</v>
      </c>
      <c r="BN868" s="2" t="s">
        <v>3094</v>
      </c>
      <c r="BO868" s="2"/>
      <c r="BP868" s="205"/>
      <c r="BQ868" s="137" t="s">
        <v>134</v>
      </c>
      <c r="BR868" s="138"/>
    </row>
    <row r="869" spans="1:70" ht="12.75" customHeight="1" x14ac:dyDescent="0.2">
      <c r="A869" s="2">
        <v>2358</v>
      </c>
      <c r="B869" s="2" t="s">
        <v>39</v>
      </c>
      <c r="C869" s="2" t="s">
        <v>94</v>
      </c>
      <c r="D869" s="2" t="s">
        <v>3012</v>
      </c>
      <c r="E869" s="2" t="s">
        <v>90</v>
      </c>
      <c r="F869" s="132">
        <v>245000</v>
      </c>
      <c r="G869" s="132">
        <v>2</v>
      </c>
      <c r="H869" s="132">
        <f>150000+100000+6302.1+R869</f>
        <v>497982.66000000003</v>
      </c>
      <c r="I869" s="132"/>
      <c r="J869" s="132">
        <f>15254.237+S869+AY869+BC869</f>
        <v>228080.217</v>
      </c>
      <c r="K869" s="132">
        <f t="shared" si="85"/>
        <v>16919.782999999996</v>
      </c>
      <c r="L869" s="132">
        <f t="shared" si="86"/>
        <v>269902.44300000003</v>
      </c>
      <c r="M869" s="133"/>
      <c r="N869" s="133">
        <f t="shared" si="84"/>
        <v>16919.782999999996</v>
      </c>
      <c r="O869" s="134">
        <v>1</v>
      </c>
      <c r="P869" s="133"/>
      <c r="Q869" s="2" t="s">
        <v>2971</v>
      </c>
      <c r="R869" s="156">
        <f t="shared" si="87"/>
        <v>241680.56</v>
      </c>
      <c r="S869" s="156">
        <f t="shared" si="88"/>
        <v>961.34</v>
      </c>
      <c r="T869" s="133"/>
      <c r="U869" s="133">
        <v>961.34</v>
      </c>
      <c r="V869" s="133"/>
      <c r="W869" s="133"/>
      <c r="X869" s="133"/>
      <c r="Y869" s="133"/>
      <c r="Z869" s="133"/>
      <c r="AA869" s="133"/>
      <c r="AB869" s="133"/>
      <c r="AC869" s="133"/>
      <c r="AD869" s="133"/>
      <c r="AE869" s="133"/>
      <c r="AF869" s="133"/>
      <c r="AG869" s="133"/>
      <c r="AH869" s="133"/>
      <c r="AI869" s="133"/>
      <c r="AJ869" s="133"/>
      <c r="AK869" s="133"/>
      <c r="AL869" s="133"/>
      <c r="AM869" s="133"/>
      <c r="AN869" s="133">
        <f>1680.56+240000</f>
        <v>241680.56</v>
      </c>
      <c r="AO869" s="133"/>
      <c r="AP869" s="133"/>
      <c r="AQ869" s="133"/>
      <c r="AR869" s="133"/>
      <c r="AS869" s="153">
        <v>0</v>
      </c>
      <c r="AT869" s="153">
        <v>0</v>
      </c>
      <c r="AU869" s="153">
        <v>0</v>
      </c>
      <c r="AV869" s="153">
        <v>0</v>
      </c>
      <c r="AW869" s="153">
        <v>0</v>
      </c>
      <c r="AX869" s="153">
        <v>0</v>
      </c>
      <c r="AY869" s="135">
        <f>127118.64+84746</f>
        <v>211864.64</v>
      </c>
      <c r="AZ869" s="135"/>
      <c r="BA869" s="135"/>
      <c r="BB869" s="135"/>
      <c r="BC869" s="135"/>
      <c r="BD869" s="135"/>
      <c r="BE869" s="135"/>
      <c r="BF869" s="135"/>
      <c r="BG869" s="135"/>
      <c r="BH869" s="135"/>
      <c r="BI869" s="2" t="s">
        <v>11</v>
      </c>
      <c r="BJ869" s="136"/>
      <c r="BK869" s="2">
        <v>70</v>
      </c>
      <c r="BL869" s="136" t="s">
        <v>18</v>
      </c>
      <c r="BM869" s="136">
        <v>45300</v>
      </c>
      <c r="BN869" s="2" t="s">
        <v>3095</v>
      </c>
      <c r="BO869" s="2"/>
      <c r="BP869" s="205"/>
      <c r="BQ869" s="137" t="s">
        <v>119</v>
      </c>
      <c r="BR869" s="138"/>
    </row>
    <row r="870" spans="1:70" ht="12.75" customHeight="1" x14ac:dyDescent="0.2">
      <c r="A870" s="2">
        <v>2359</v>
      </c>
      <c r="B870" s="2" t="s">
        <v>39</v>
      </c>
      <c r="C870" s="2" t="s">
        <v>94</v>
      </c>
      <c r="D870" s="2" t="s">
        <v>3013</v>
      </c>
      <c r="E870" s="2" t="s">
        <v>106</v>
      </c>
      <c r="F870" s="132">
        <v>63295.75</v>
      </c>
      <c r="G870" s="132">
        <v>2</v>
      </c>
      <c r="H870" s="132">
        <f>36169*1.75</f>
        <v>63295.75</v>
      </c>
      <c r="I870" s="132"/>
      <c r="J870" s="132">
        <v>63295.75</v>
      </c>
      <c r="K870" s="132">
        <f t="shared" si="85"/>
        <v>0</v>
      </c>
      <c r="L870" s="132">
        <f t="shared" si="86"/>
        <v>0</v>
      </c>
      <c r="M870" s="133"/>
      <c r="N870" s="133">
        <f t="shared" si="84"/>
        <v>0</v>
      </c>
      <c r="O870" s="134">
        <v>0</v>
      </c>
      <c r="P870" s="133"/>
      <c r="Q870" s="2" t="s">
        <v>2972</v>
      </c>
      <c r="R870" s="156">
        <f t="shared" si="87"/>
        <v>0</v>
      </c>
      <c r="S870" s="156">
        <f t="shared" si="88"/>
        <v>0</v>
      </c>
      <c r="T870" s="133"/>
      <c r="U870" s="133"/>
      <c r="V870" s="133"/>
      <c r="W870" s="133"/>
      <c r="X870" s="133"/>
      <c r="Y870" s="133"/>
      <c r="Z870" s="133"/>
      <c r="AA870" s="133"/>
      <c r="AB870" s="133"/>
      <c r="AC870" s="133"/>
      <c r="AD870" s="133"/>
      <c r="AE870" s="133"/>
      <c r="AF870" s="133"/>
      <c r="AG870" s="133"/>
      <c r="AH870" s="133"/>
      <c r="AI870" s="133"/>
      <c r="AJ870" s="133"/>
      <c r="AK870" s="133"/>
      <c r="AL870" s="133"/>
      <c r="AM870" s="133"/>
      <c r="AN870" s="133"/>
      <c r="AO870" s="133"/>
      <c r="AP870" s="133"/>
      <c r="AQ870" s="133"/>
      <c r="AR870" s="133"/>
      <c r="AS870" s="153">
        <v>0</v>
      </c>
      <c r="AT870" s="153">
        <v>0</v>
      </c>
      <c r="AU870" s="153">
        <v>0</v>
      </c>
      <c r="AV870" s="153">
        <v>0</v>
      </c>
      <c r="AW870" s="153">
        <v>0</v>
      </c>
      <c r="AX870" s="153">
        <v>0</v>
      </c>
      <c r="AY870" s="135"/>
      <c r="AZ870" s="135"/>
      <c r="BA870" s="135"/>
      <c r="BB870" s="135"/>
      <c r="BC870" s="135"/>
      <c r="BD870" s="135"/>
      <c r="BE870" s="135"/>
      <c r="BF870" s="135"/>
      <c r="BG870" s="135"/>
      <c r="BH870" s="135"/>
      <c r="BI870" s="2" t="s">
        <v>112</v>
      </c>
      <c r="BJ870" s="136">
        <v>45628</v>
      </c>
      <c r="BK870" s="2" t="s">
        <v>145</v>
      </c>
      <c r="BL870" s="136" t="s">
        <v>18</v>
      </c>
      <c r="BM870" s="136">
        <v>45300</v>
      </c>
      <c r="BN870" s="2" t="s">
        <v>3096</v>
      </c>
      <c r="BO870" s="2"/>
      <c r="BP870" s="205"/>
      <c r="BQ870" s="137" t="s">
        <v>134</v>
      </c>
      <c r="BR870" s="138"/>
    </row>
    <row r="871" spans="1:70" ht="12.75" customHeight="1" x14ac:dyDescent="0.2">
      <c r="A871" s="2">
        <v>2360</v>
      </c>
      <c r="B871" s="2" t="s">
        <v>39</v>
      </c>
      <c r="C871" s="2" t="s">
        <v>94</v>
      </c>
      <c r="D871" s="2" t="s">
        <v>3014</v>
      </c>
      <c r="E871" s="2" t="s">
        <v>90</v>
      </c>
      <c r="F871" s="132">
        <v>215000</v>
      </c>
      <c r="G871" s="132">
        <v>2</v>
      </c>
      <c r="H871" s="132">
        <f>R871</f>
        <v>300000</v>
      </c>
      <c r="I871" s="132"/>
      <c r="J871" s="132">
        <f>S871+BC871</f>
        <v>184745.71</v>
      </c>
      <c r="K871" s="132">
        <f t="shared" si="85"/>
        <v>30254.290000000008</v>
      </c>
      <c r="L871" s="132">
        <f t="shared" si="86"/>
        <v>115254.29000000001</v>
      </c>
      <c r="M871" s="133"/>
      <c r="N871" s="133">
        <f t="shared" si="84"/>
        <v>30254.290000000008</v>
      </c>
      <c r="O871" s="134">
        <v>1</v>
      </c>
      <c r="P871" s="133"/>
      <c r="Q871" s="2" t="s">
        <v>2972</v>
      </c>
      <c r="R871" s="156">
        <f t="shared" si="87"/>
        <v>300000</v>
      </c>
      <c r="S871" s="156">
        <f t="shared" si="88"/>
        <v>45762.71</v>
      </c>
      <c r="T871" s="133">
        <v>300000</v>
      </c>
      <c r="U871" s="133"/>
      <c r="V871" s="133"/>
      <c r="W871" s="133">
        <f>45762.71</f>
        <v>45762.71</v>
      </c>
      <c r="X871" s="133"/>
      <c r="Y871" s="133"/>
      <c r="Z871" s="133"/>
      <c r="AA871" s="133"/>
      <c r="AB871" s="133"/>
      <c r="AC871" s="133"/>
      <c r="AD871" s="133"/>
      <c r="AE871" s="133"/>
      <c r="AF871" s="133"/>
      <c r="AG871" s="133"/>
      <c r="AH871" s="133"/>
      <c r="AI871" s="133"/>
      <c r="AJ871" s="133"/>
      <c r="AK871" s="133"/>
      <c r="AL871" s="133"/>
      <c r="AM871" s="133"/>
      <c r="AN871" s="133"/>
      <c r="AO871" s="133"/>
      <c r="AP871" s="133"/>
      <c r="AQ871" s="133"/>
      <c r="AR871" s="133"/>
      <c r="AS871" s="153">
        <v>0</v>
      </c>
      <c r="AT871" s="153">
        <v>0</v>
      </c>
      <c r="AU871" s="153">
        <v>0</v>
      </c>
      <c r="AV871" s="153">
        <v>0</v>
      </c>
      <c r="AW871" s="153">
        <v>0</v>
      </c>
      <c r="AX871" s="153">
        <v>0</v>
      </c>
      <c r="AY871" s="135"/>
      <c r="AZ871" s="135"/>
      <c r="BA871" s="135"/>
      <c r="BB871" s="135"/>
      <c r="BC871" s="135">
        <f>138983</f>
        <v>138983</v>
      </c>
      <c r="BD871" s="135"/>
      <c r="BE871" s="135"/>
      <c r="BF871" s="135"/>
      <c r="BG871" s="135"/>
      <c r="BH871" s="135"/>
      <c r="BI871" s="2" t="s">
        <v>11</v>
      </c>
      <c r="BJ871" s="136"/>
      <c r="BK871" s="2">
        <v>0</v>
      </c>
      <c r="BL871" s="136" t="s">
        <v>18</v>
      </c>
      <c r="BM871" s="136">
        <v>45300</v>
      </c>
      <c r="BN871" s="2" t="s">
        <v>3097</v>
      </c>
      <c r="BO871" s="2"/>
      <c r="BP871" s="205"/>
      <c r="BQ871" s="137" t="s">
        <v>119</v>
      </c>
      <c r="BR871" s="138"/>
    </row>
    <row r="872" spans="1:70" ht="12.75" customHeight="1" x14ac:dyDescent="0.2">
      <c r="A872" s="2">
        <v>2361</v>
      </c>
      <c r="B872" s="2" t="s">
        <v>39</v>
      </c>
      <c r="C872" s="2" t="s">
        <v>94</v>
      </c>
      <c r="D872" s="2" t="s">
        <v>3015</v>
      </c>
      <c r="E872" s="2" t="s">
        <v>106</v>
      </c>
      <c r="F872" s="132">
        <v>0</v>
      </c>
      <c r="G872" s="132">
        <v>2</v>
      </c>
      <c r="H872" s="132"/>
      <c r="I872" s="132"/>
      <c r="J872" s="132"/>
      <c r="K872" s="132">
        <f t="shared" si="85"/>
        <v>0</v>
      </c>
      <c r="L872" s="132">
        <f t="shared" si="86"/>
        <v>0</v>
      </c>
      <c r="M872" s="133"/>
      <c r="N872" s="133">
        <f t="shared" si="84"/>
        <v>0</v>
      </c>
      <c r="O872" s="134">
        <v>2</v>
      </c>
      <c r="P872" s="133"/>
      <c r="Q872" s="2" t="s">
        <v>2973</v>
      </c>
      <c r="R872" s="156">
        <f t="shared" si="87"/>
        <v>0</v>
      </c>
      <c r="S872" s="156">
        <f t="shared" si="88"/>
        <v>0</v>
      </c>
      <c r="T872" s="133"/>
      <c r="U872" s="133"/>
      <c r="V872" s="133"/>
      <c r="W872" s="133"/>
      <c r="X872" s="133"/>
      <c r="Y872" s="133"/>
      <c r="Z872" s="133"/>
      <c r="AA872" s="133"/>
      <c r="AB872" s="133"/>
      <c r="AC872" s="133"/>
      <c r="AD872" s="133"/>
      <c r="AE872" s="133"/>
      <c r="AF872" s="133"/>
      <c r="AG872" s="133"/>
      <c r="AH872" s="133"/>
      <c r="AI872" s="133"/>
      <c r="AJ872" s="133"/>
      <c r="AK872" s="133"/>
      <c r="AL872" s="133"/>
      <c r="AM872" s="133"/>
      <c r="AN872" s="133"/>
      <c r="AO872" s="133"/>
      <c r="AP872" s="133"/>
      <c r="AQ872" s="133"/>
      <c r="AR872" s="133"/>
      <c r="AS872" s="153">
        <v>0</v>
      </c>
      <c r="AT872" s="153">
        <v>0</v>
      </c>
      <c r="AU872" s="153">
        <v>0</v>
      </c>
      <c r="AV872" s="153">
        <v>0</v>
      </c>
      <c r="AW872" s="153">
        <v>0</v>
      </c>
      <c r="AX872" s="153">
        <v>0</v>
      </c>
      <c r="AY872" s="135"/>
      <c r="AZ872" s="135"/>
      <c r="BA872" s="135"/>
      <c r="BB872" s="135"/>
      <c r="BC872" s="135"/>
      <c r="BD872" s="135"/>
      <c r="BE872" s="135"/>
      <c r="BF872" s="135"/>
      <c r="BG872" s="135"/>
      <c r="BH872" s="135"/>
      <c r="BI872" s="2" t="s">
        <v>112</v>
      </c>
      <c r="BJ872" s="136"/>
      <c r="BK872" s="2">
        <v>0</v>
      </c>
      <c r="BL872" s="136" t="s">
        <v>18</v>
      </c>
      <c r="BM872" s="136">
        <v>45300</v>
      </c>
      <c r="BN872" s="2" t="s">
        <v>3098</v>
      </c>
      <c r="BO872" s="2"/>
      <c r="BP872" s="205"/>
      <c r="BQ872" s="137" t="s">
        <v>134</v>
      </c>
      <c r="BR872" s="138"/>
    </row>
    <row r="873" spans="1:70" ht="12.75" customHeight="1" x14ac:dyDescent="0.2">
      <c r="A873" s="2">
        <v>2362</v>
      </c>
      <c r="B873" s="2" t="s">
        <v>39</v>
      </c>
      <c r="C873" s="2" t="s">
        <v>94</v>
      </c>
      <c r="D873" s="2" t="s">
        <v>3016</v>
      </c>
      <c r="E873" s="2" t="s">
        <v>90</v>
      </c>
      <c r="F873" s="132">
        <v>145000</v>
      </c>
      <c r="G873" s="132">
        <v>2</v>
      </c>
      <c r="H873" s="132"/>
      <c r="I873" s="132"/>
      <c r="J873" s="132"/>
      <c r="K873" s="132">
        <f t="shared" si="85"/>
        <v>145000</v>
      </c>
      <c r="L873" s="132">
        <f t="shared" si="86"/>
        <v>0</v>
      </c>
      <c r="M873" s="133"/>
      <c r="N873" s="133">
        <f t="shared" si="84"/>
        <v>145000</v>
      </c>
      <c r="O873" s="134">
        <v>1</v>
      </c>
      <c r="P873" s="133"/>
      <c r="Q873" s="2" t="s">
        <v>2973</v>
      </c>
      <c r="R873" s="156">
        <f t="shared" si="87"/>
        <v>0</v>
      </c>
      <c r="S873" s="156">
        <f t="shared" si="88"/>
        <v>0</v>
      </c>
      <c r="T873" s="133"/>
      <c r="U873" s="133"/>
      <c r="V873" s="133"/>
      <c r="W873" s="133"/>
      <c r="X873" s="133"/>
      <c r="Y873" s="133"/>
      <c r="Z873" s="133"/>
      <c r="AA873" s="133"/>
      <c r="AB873" s="133"/>
      <c r="AC873" s="133"/>
      <c r="AD873" s="133"/>
      <c r="AE873" s="133"/>
      <c r="AF873" s="133"/>
      <c r="AG873" s="133"/>
      <c r="AH873" s="133"/>
      <c r="AI873" s="133"/>
      <c r="AJ873" s="133"/>
      <c r="AK873" s="133"/>
      <c r="AL873" s="133"/>
      <c r="AM873" s="133"/>
      <c r="AN873" s="133"/>
      <c r="AO873" s="133"/>
      <c r="AP873" s="133"/>
      <c r="AQ873" s="133"/>
      <c r="AR873" s="133"/>
      <c r="AS873" s="153">
        <v>0</v>
      </c>
      <c r="AT873" s="153">
        <v>0</v>
      </c>
      <c r="AU873" s="153">
        <v>0</v>
      </c>
      <c r="AV873" s="153">
        <v>0</v>
      </c>
      <c r="AW873" s="153">
        <v>0</v>
      </c>
      <c r="AX873" s="153">
        <v>0</v>
      </c>
      <c r="AY873" s="135"/>
      <c r="AZ873" s="135"/>
      <c r="BA873" s="135"/>
      <c r="BB873" s="135"/>
      <c r="BC873" s="135"/>
      <c r="BD873" s="135"/>
      <c r="BE873" s="135"/>
      <c r="BF873" s="135"/>
      <c r="BG873" s="135"/>
      <c r="BH873" s="135"/>
      <c r="BI873" s="2" t="s">
        <v>11</v>
      </c>
      <c r="BJ873" s="136"/>
      <c r="BK873" s="2">
        <v>0</v>
      </c>
      <c r="BL873" s="136" t="s">
        <v>18</v>
      </c>
      <c r="BM873" s="136">
        <v>45300</v>
      </c>
      <c r="BN873" s="2" t="s">
        <v>3099</v>
      </c>
      <c r="BO873" s="2"/>
      <c r="BP873" s="205"/>
      <c r="BQ873" s="137" t="s">
        <v>119</v>
      </c>
      <c r="BR873" s="138"/>
    </row>
    <row r="874" spans="1:70" ht="12.75" customHeight="1" x14ac:dyDescent="0.2">
      <c r="A874" s="2">
        <v>2363</v>
      </c>
      <c r="B874" s="2" t="s">
        <v>39</v>
      </c>
      <c r="C874" s="2" t="s">
        <v>94</v>
      </c>
      <c r="D874" s="2" t="s">
        <v>3017</v>
      </c>
      <c r="E874" s="2" t="s">
        <v>106</v>
      </c>
      <c r="F874" s="132">
        <v>0</v>
      </c>
      <c r="G874" s="132">
        <v>2</v>
      </c>
      <c r="H874" s="132"/>
      <c r="I874" s="132"/>
      <c r="J874" s="132"/>
      <c r="K874" s="132">
        <f t="shared" si="85"/>
        <v>0</v>
      </c>
      <c r="L874" s="132">
        <f t="shared" si="86"/>
        <v>0</v>
      </c>
      <c r="M874" s="133"/>
      <c r="N874" s="133">
        <f t="shared" ref="N874:N937" si="89">IF(OR(BK874="принят",BK874="Завершено",BK874="ПриПро"),H874-J874,F874-J874)</f>
        <v>0</v>
      </c>
      <c r="O874" s="134">
        <v>2</v>
      </c>
      <c r="P874" s="133"/>
      <c r="Q874" s="2" t="s">
        <v>2974</v>
      </c>
      <c r="R874" s="156">
        <f t="shared" si="87"/>
        <v>0</v>
      </c>
      <c r="S874" s="156">
        <f t="shared" si="88"/>
        <v>0</v>
      </c>
      <c r="T874" s="133"/>
      <c r="U874" s="133"/>
      <c r="V874" s="133"/>
      <c r="W874" s="133"/>
      <c r="X874" s="133"/>
      <c r="Y874" s="133"/>
      <c r="Z874" s="133"/>
      <c r="AA874" s="133"/>
      <c r="AB874" s="133"/>
      <c r="AC874" s="133"/>
      <c r="AD874" s="133"/>
      <c r="AE874" s="133"/>
      <c r="AF874" s="133"/>
      <c r="AG874" s="133"/>
      <c r="AH874" s="133"/>
      <c r="AI874" s="133"/>
      <c r="AJ874" s="133"/>
      <c r="AK874" s="133"/>
      <c r="AL874" s="133"/>
      <c r="AM874" s="133"/>
      <c r="AN874" s="133"/>
      <c r="AO874" s="133"/>
      <c r="AP874" s="133"/>
      <c r="AQ874" s="133"/>
      <c r="AR874" s="133"/>
      <c r="AS874" s="153">
        <v>0</v>
      </c>
      <c r="AT874" s="153">
        <v>0</v>
      </c>
      <c r="AU874" s="153">
        <v>0</v>
      </c>
      <c r="AV874" s="153">
        <v>0</v>
      </c>
      <c r="AW874" s="153">
        <v>0</v>
      </c>
      <c r="AX874" s="153">
        <v>0</v>
      </c>
      <c r="AY874" s="135"/>
      <c r="AZ874" s="135"/>
      <c r="BA874" s="135"/>
      <c r="BB874" s="135"/>
      <c r="BC874" s="135"/>
      <c r="BD874" s="135"/>
      <c r="BE874" s="135"/>
      <c r="BF874" s="135"/>
      <c r="BG874" s="135"/>
      <c r="BH874" s="135"/>
      <c r="BI874" s="2" t="s">
        <v>112</v>
      </c>
      <c r="BJ874" s="136"/>
      <c r="BK874" s="2">
        <v>0</v>
      </c>
      <c r="BL874" s="136" t="s">
        <v>18</v>
      </c>
      <c r="BM874" s="136">
        <v>45300</v>
      </c>
      <c r="BN874" s="2" t="s">
        <v>3100</v>
      </c>
      <c r="BO874" s="2"/>
      <c r="BP874" s="205"/>
      <c r="BQ874" s="137" t="s">
        <v>134</v>
      </c>
      <c r="BR874" s="138"/>
    </row>
    <row r="875" spans="1:70" ht="12.75" customHeight="1" x14ac:dyDescent="0.2">
      <c r="A875" s="2">
        <v>2364</v>
      </c>
      <c r="B875" s="2" t="s">
        <v>39</v>
      </c>
      <c r="C875" s="2" t="s">
        <v>94</v>
      </c>
      <c r="D875" s="2" t="s">
        <v>3018</v>
      </c>
      <c r="E875" s="2" t="s">
        <v>90</v>
      </c>
      <c r="F875" s="132">
        <v>135000</v>
      </c>
      <c r="G875" s="132">
        <v>2</v>
      </c>
      <c r="H875" s="132"/>
      <c r="I875" s="132"/>
      <c r="J875" s="132"/>
      <c r="K875" s="132">
        <f t="shared" si="85"/>
        <v>135000</v>
      </c>
      <c r="L875" s="132">
        <f t="shared" si="86"/>
        <v>0</v>
      </c>
      <c r="M875" s="133"/>
      <c r="N875" s="133">
        <f t="shared" si="89"/>
        <v>135000</v>
      </c>
      <c r="O875" s="134">
        <v>1</v>
      </c>
      <c r="P875" s="133"/>
      <c r="Q875" s="2" t="s">
        <v>2974</v>
      </c>
      <c r="R875" s="156">
        <f t="shared" si="87"/>
        <v>0</v>
      </c>
      <c r="S875" s="156">
        <f t="shared" si="88"/>
        <v>0</v>
      </c>
      <c r="T875" s="133"/>
      <c r="U875" s="133"/>
      <c r="V875" s="133"/>
      <c r="W875" s="133"/>
      <c r="X875" s="133"/>
      <c r="Y875" s="133"/>
      <c r="Z875" s="133"/>
      <c r="AA875" s="133"/>
      <c r="AB875" s="133"/>
      <c r="AC875" s="133"/>
      <c r="AD875" s="133"/>
      <c r="AE875" s="133"/>
      <c r="AF875" s="133"/>
      <c r="AG875" s="133"/>
      <c r="AH875" s="133"/>
      <c r="AI875" s="133"/>
      <c r="AJ875" s="133"/>
      <c r="AK875" s="133"/>
      <c r="AL875" s="133"/>
      <c r="AM875" s="133"/>
      <c r="AN875" s="133"/>
      <c r="AO875" s="133"/>
      <c r="AP875" s="133"/>
      <c r="AQ875" s="133"/>
      <c r="AR875" s="133"/>
      <c r="AS875" s="153">
        <v>0</v>
      </c>
      <c r="AT875" s="153">
        <v>0</v>
      </c>
      <c r="AU875" s="153">
        <v>0</v>
      </c>
      <c r="AV875" s="153">
        <v>0</v>
      </c>
      <c r="AW875" s="153">
        <v>0</v>
      </c>
      <c r="AX875" s="153">
        <v>0</v>
      </c>
      <c r="AY875" s="135"/>
      <c r="AZ875" s="135"/>
      <c r="BA875" s="135"/>
      <c r="BB875" s="135"/>
      <c r="BC875" s="135"/>
      <c r="BD875" s="135"/>
      <c r="BE875" s="135"/>
      <c r="BF875" s="135"/>
      <c r="BG875" s="135"/>
      <c r="BH875" s="135"/>
      <c r="BI875" s="2" t="s">
        <v>11</v>
      </c>
      <c r="BJ875" s="136"/>
      <c r="BK875" s="2">
        <v>0</v>
      </c>
      <c r="BL875" s="136" t="s">
        <v>18</v>
      </c>
      <c r="BM875" s="136">
        <v>45300</v>
      </c>
      <c r="BN875" s="2" t="s">
        <v>3101</v>
      </c>
      <c r="BO875" s="2"/>
      <c r="BP875" s="205"/>
      <c r="BQ875" s="137" t="s">
        <v>119</v>
      </c>
      <c r="BR875" s="138"/>
    </row>
    <row r="876" spans="1:70" ht="12.75" customHeight="1" x14ac:dyDescent="0.2">
      <c r="A876" s="2">
        <v>2365</v>
      </c>
      <c r="B876" s="2" t="s">
        <v>39</v>
      </c>
      <c r="C876" s="2" t="s">
        <v>74</v>
      </c>
      <c r="D876" s="2" t="s">
        <v>3019</v>
      </c>
      <c r="E876" s="2" t="s">
        <v>106</v>
      </c>
      <c r="F876" s="132">
        <v>0</v>
      </c>
      <c r="G876" s="132">
        <v>2</v>
      </c>
      <c r="H876" s="132">
        <f>R876</f>
        <v>2345</v>
      </c>
      <c r="I876" s="132"/>
      <c r="J876" s="132">
        <f>S876</f>
        <v>357.71100000000001</v>
      </c>
      <c r="K876" s="132">
        <f t="shared" si="85"/>
        <v>-357.71100000000001</v>
      </c>
      <c r="L876" s="132">
        <f t="shared" si="86"/>
        <v>1987.289</v>
      </c>
      <c r="M876" s="133"/>
      <c r="N876" s="133">
        <f t="shared" si="89"/>
        <v>1987.289</v>
      </c>
      <c r="O876" s="134">
        <v>2</v>
      </c>
      <c r="P876" s="133"/>
      <c r="Q876" s="2" t="s">
        <v>2975</v>
      </c>
      <c r="R876" s="156">
        <f t="shared" si="87"/>
        <v>2345</v>
      </c>
      <c r="S876" s="156">
        <f t="shared" si="88"/>
        <v>357.71100000000001</v>
      </c>
      <c r="T876" s="133"/>
      <c r="U876" s="133"/>
      <c r="V876" s="133"/>
      <c r="W876" s="133"/>
      <c r="X876" s="133"/>
      <c r="Y876" s="133"/>
      <c r="Z876" s="133"/>
      <c r="AA876" s="133"/>
      <c r="AB876" s="133"/>
      <c r="AC876" s="133"/>
      <c r="AD876" s="133"/>
      <c r="AE876" s="133"/>
      <c r="AF876" s="133"/>
      <c r="AG876" s="133"/>
      <c r="AH876" s="133">
        <f>1340*1.75</f>
        <v>2345</v>
      </c>
      <c r="AI876" s="133"/>
      <c r="AJ876" s="133"/>
      <c r="AK876" s="133">
        <v>357.71100000000001</v>
      </c>
      <c r="AL876" s="133"/>
      <c r="AM876" s="133"/>
      <c r="AN876" s="133"/>
      <c r="AO876" s="133"/>
      <c r="AP876" s="133"/>
      <c r="AQ876" s="133"/>
      <c r="AR876" s="133"/>
      <c r="AS876" s="153">
        <v>0</v>
      </c>
      <c r="AT876" s="153">
        <v>0</v>
      </c>
      <c r="AU876" s="153">
        <v>0</v>
      </c>
      <c r="AV876" s="153">
        <v>0</v>
      </c>
      <c r="AW876" s="153">
        <v>0</v>
      </c>
      <c r="AX876" s="153">
        <v>0</v>
      </c>
      <c r="AY876" s="135"/>
      <c r="AZ876" s="135"/>
      <c r="BA876" s="135"/>
      <c r="BB876" s="135"/>
      <c r="BC876" s="135"/>
      <c r="BD876" s="135"/>
      <c r="BE876" s="135"/>
      <c r="BF876" s="135"/>
      <c r="BG876" s="135"/>
      <c r="BH876" s="135"/>
      <c r="BI876" s="2" t="s">
        <v>112</v>
      </c>
      <c r="BJ876" s="136">
        <v>45896</v>
      </c>
      <c r="BK876" s="2" t="s">
        <v>145</v>
      </c>
      <c r="BL876" s="136" t="s">
        <v>18</v>
      </c>
      <c r="BM876" s="136">
        <v>45300</v>
      </c>
      <c r="BN876" s="2" t="s">
        <v>3102</v>
      </c>
      <c r="BO876" s="2"/>
      <c r="BP876" s="205"/>
      <c r="BQ876" s="137" t="s">
        <v>134</v>
      </c>
      <c r="BR876" s="138"/>
    </row>
    <row r="877" spans="1:70" ht="12.75" customHeight="1" x14ac:dyDescent="0.2">
      <c r="A877" s="2">
        <v>2366</v>
      </c>
      <c r="B877" s="2" t="s">
        <v>39</v>
      </c>
      <c r="C877" s="2" t="s">
        <v>74</v>
      </c>
      <c r="D877" s="2" t="s">
        <v>3020</v>
      </c>
      <c r="E877" s="2" t="s">
        <v>90</v>
      </c>
      <c r="F877" s="132">
        <v>130000</v>
      </c>
      <c r="G877" s="132">
        <v>2</v>
      </c>
      <c r="H877" s="132">
        <f>R877</f>
        <v>88000</v>
      </c>
      <c r="I877" s="132"/>
      <c r="J877" s="132">
        <f>S877+BC877</f>
        <v>13423.727999999999</v>
      </c>
      <c r="K877" s="132">
        <f t="shared" si="85"/>
        <v>116576.272</v>
      </c>
      <c r="L877" s="132">
        <f t="shared" si="86"/>
        <v>74576.271999999997</v>
      </c>
      <c r="M877" s="133"/>
      <c r="N877" s="133">
        <f t="shared" si="89"/>
        <v>116576.272</v>
      </c>
      <c r="O877" s="134">
        <v>1</v>
      </c>
      <c r="P877" s="133"/>
      <c r="Q877" s="2" t="s">
        <v>2975</v>
      </c>
      <c r="R877" s="156">
        <f t="shared" si="87"/>
        <v>88000</v>
      </c>
      <c r="S877" s="156">
        <f t="shared" si="88"/>
        <v>13423.727999999999</v>
      </c>
      <c r="T877" s="133"/>
      <c r="U877" s="133"/>
      <c r="V877" s="133">
        <v>71000</v>
      </c>
      <c r="W877" s="133"/>
      <c r="X877" s="133"/>
      <c r="Y877" s="133">
        <v>10830.508</v>
      </c>
      <c r="Z877" s="133"/>
      <c r="AA877" s="133"/>
      <c r="AB877" s="133"/>
      <c r="AC877" s="133"/>
      <c r="AD877" s="133"/>
      <c r="AE877" s="133"/>
      <c r="AF877" s="133"/>
      <c r="AG877" s="133"/>
      <c r="AH877" s="133"/>
      <c r="AI877" s="133"/>
      <c r="AJ877" s="133"/>
      <c r="AK877" s="133"/>
      <c r="AL877" s="133">
        <v>17000</v>
      </c>
      <c r="AM877" s="133"/>
      <c r="AN877" s="133"/>
      <c r="AO877" s="133">
        <v>2593.2199999999998</v>
      </c>
      <c r="AP877" s="133"/>
      <c r="AQ877" s="133"/>
      <c r="AR877" s="133"/>
      <c r="AS877" s="153">
        <v>0</v>
      </c>
      <c r="AT877" s="153">
        <v>0</v>
      </c>
      <c r="AU877" s="153">
        <v>0</v>
      </c>
      <c r="AV877" s="153">
        <v>0</v>
      </c>
      <c r="AW877" s="153">
        <v>0</v>
      </c>
      <c r="AX877" s="153">
        <v>0</v>
      </c>
      <c r="AY877" s="135"/>
      <c r="AZ877" s="135"/>
      <c r="BA877" s="135"/>
      <c r="BB877" s="135"/>
      <c r="BC877" s="135"/>
      <c r="BD877" s="135"/>
      <c r="BE877" s="135"/>
      <c r="BF877" s="135"/>
      <c r="BG877" s="135"/>
      <c r="BH877" s="135"/>
      <c r="BI877" s="2" t="s">
        <v>11</v>
      </c>
      <c r="BJ877" s="136"/>
      <c r="BK877" s="2">
        <v>99</v>
      </c>
      <c r="BL877" s="136" t="s">
        <v>18</v>
      </c>
      <c r="BM877" s="136">
        <v>45300</v>
      </c>
      <c r="BN877" s="2" t="s">
        <v>3103</v>
      </c>
      <c r="BO877" s="2"/>
      <c r="BP877" s="205"/>
      <c r="BQ877" s="137" t="s">
        <v>119</v>
      </c>
      <c r="BR877" s="138"/>
    </row>
    <row r="878" spans="1:70" ht="12.75" customHeight="1" x14ac:dyDescent="0.2">
      <c r="A878" s="2">
        <v>2367</v>
      </c>
      <c r="B878" s="2" t="s">
        <v>39</v>
      </c>
      <c r="C878" s="2" t="s">
        <v>74</v>
      </c>
      <c r="D878" s="2" t="s">
        <v>3021</v>
      </c>
      <c r="E878" s="2" t="s">
        <v>106</v>
      </c>
      <c r="F878" s="132">
        <v>2156.875</v>
      </c>
      <c r="G878" s="132">
        <v>2</v>
      </c>
      <c r="H878" s="132">
        <f>1232.5*1.75</f>
        <v>2156.875</v>
      </c>
      <c r="I878" s="132"/>
      <c r="J878" s="132">
        <f>329.014+1827.861</f>
        <v>2156.875</v>
      </c>
      <c r="K878" s="132">
        <f t="shared" si="85"/>
        <v>0</v>
      </c>
      <c r="L878" s="132">
        <f t="shared" si="86"/>
        <v>0</v>
      </c>
      <c r="M878" s="133"/>
      <c r="N878" s="133">
        <f t="shared" si="89"/>
        <v>0</v>
      </c>
      <c r="O878" s="134">
        <v>0</v>
      </c>
      <c r="P878" s="133"/>
      <c r="Q878" s="2" t="s">
        <v>2976</v>
      </c>
      <c r="R878" s="156">
        <f t="shared" si="87"/>
        <v>0</v>
      </c>
      <c r="S878" s="156">
        <f t="shared" si="88"/>
        <v>0</v>
      </c>
      <c r="T878" s="133"/>
      <c r="U878" s="133"/>
      <c r="V878" s="133"/>
      <c r="W878" s="133"/>
      <c r="X878" s="133"/>
      <c r="Y878" s="133"/>
      <c r="Z878" s="133"/>
      <c r="AA878" s="133"/>
      <c r="AB878" s="133"/>
      <c r="AC878" s="133"/>
      <c r="AD878" s="133"/>
      <c r="AE878" s="133"/>
      <c r="AF878" s="133"/>
      <c r="AG878" s="133"/>
      <c r="AH878" s="133"/>
      <c r="AI878" s="133"/>
      <c r="AJ878" s="133"/>
      <c r="AK878" s="133"/>
      <c r="AL878" s="133"/>
      <c r="AM878" s="133"/>
      <c r="AN878" s="133"/>
      <c r="AO878" s="133"/>
      <c r="AP878" s="133"/>
      <c r="AQ878" s="133"/>
      <c r="AR878" s="133"/>
      <c r="AS878" s="153">
        <v>0</v>
      </c>
      <c r="AT878" s="153">
        <v>0</v>
      </c>
      <c r="AU878" s="153">
        <v>0</v>
      </c>
      <c r="AV878" s="153">
        <v>0</v>
      </c>
      <c r="AW878" s="153">
        <v>0</v>
      </c>
      <c r="AX878" s="153">
        <v>0</v>
      </c>
      <c r="AY878" s="135"/>
      <c r="AZ878" s="135"/>
      <c r="BA878" s="135"/>
      <c r="BB878" s="135"/>
      <c r="BC878" s="135"/>
      <c r="BD878" s="135"/>
      <c r="BE878" s="135"/>
      <c r="BF878" s="135"/>
      <c r="BG878" s="135"/>
      <c r="BH878" s="135"/>
      <c r="BI878" s="2" t="s">
        <v>112</v>
      </c>
      <c r="BJ878" s="136">
        <v>45597</v>
      </c>
      <c r="BK878" s="2" t="s">
        <v>145</v>
      </c>
      <c r="BL878" s="136" t="s">
        <v>18</v>
      </c>
      <c r="BM878" s="136">
        <v>45300</v>
      </c>
      <c r="BN878" s="2" t="s">
        <v>3104</v>
      </c>
      <c r="BO878" s="2"/>
      <c r="BP878" s="205"/>
      <c r="BQ878" s="137" t="s">
        <v>134</v>
      </c>
      <c r="BR878" s="138"/>
    </row>
    <row r="879" spans="1:70" ht="12.75" customHeight="1" x14ac:dyDescent="0.2">
      <c r="A879" s="2">
        <v>2368</v>
      </c>
      <c r="B879" s="2" t="s">
        <v>39</v>
      </c>
      <c r="C879" s="2" t="s">
        <v>74</v>
      </c>
      <c r="D879" s="2" t="s">
        <v>3022</v>
      </c>
      <c r="E879" s="2" t="s">
        <v>90</v>
      </c>
      <c r="F879" s="132">
        <v>110000</v>
      </c>
      <c r="G879" s="132">
        <v>2</v>
      </c>
      <c r="H879" s="132">
        <f>R879</f>
        <v>69459.039999999994</v>
      </c>
      <c r="I879" s="132"/>
      <c r="J879" s="132">
        <f>S879+BC879</f>
        <v>69459.03</v>
      </c>
      <c r="K879" s="132">
        <f t="shared" si="85"/>
        <v>40540.97</v>
      </c>
      <c r="L879" s="132">
        <f t="shared" si="86"/>
        <v>9.9999999947613105E-3</v>
      </c>
      <c r="M879" s="133">
        <v>1243.5</v>
      </c>
      <c r="N879" s="133">
        <f t="shared" si="89"/>
        <v>9.9999999947613105E-3</v>
      </c>
      <c r="O879" s="134">
        <v>1</v>
      </c>
      <c r="P879" s="133"/>
      <c r="Q879" s="2" t="s">
        <v>2976</v>
      </c>
      <c r="R879" s="156">
        <f t="shared" si="87"/>
        <v>69459.039999999994</v>
      </c>
      <c r="S879" s="156">
        <f t="shared" si="88"/>
        <v>11831.91</v>
      </c>
      <c r="T879" s="133">
        <v>68000</v>
      </c>
      <c r="U879" s="133"/>
      <c r="V879" s="133"/>
      <c r="W879" s="133">
        <f>10372.88</f>
        <v>10372.879999999999</v>
      </c>
      <c r="X879" s="133">
        <v>1459.04</v>
      </c>
      <c r="Y879" s="133"/>
      <c r="Z879" s="133"/>
      <c r="AA879" s="133">
        <v>222.57</v>
      </c>
      <c r="AB879" s="133"/>
      <c r="AC879" s="133"/>
      <c r="AD879" s="133"/>
      <c r="AE879" s="133">
        <v>1236.46</v>
      </c>
      <c r="AF879" s="133"/>
      <c r="AG879" s="133"/>
      <c r="AH879" s="133"/>
      <c r="AI879" s="133"/>
      <c r="AJ879" s="133"/>
      <c r="AK879" s="133"/>
      <c r="AL879" s="133"/>
      <c r="AM879" s="133"/>
      <c r="AN879" s="133"/>
      <c r="AO879" s="133"/>
      <c r="AP879" s="133"/>
      <c r="AQ879" s="133"/>
      <c r="AR879" s="133" t="s">
        <v>718</v>
      </c>
      <c r="AS879" s="153">
        <v>0</v>
      </c>
      <c r="AT879" s="153">
        <v>0</v>
      </c>
      <c r="AU879" s="153">
        <v>0</v>
      </c>
      <c r="AV879" s="153">
        <v>0</v>
      </c>
      <c r="AW879" s="153">
        <v>0</v>
      </c>
      <c r="AX879" s="153">
        <v>0</v>
      </c>
      <c r="AY879" s="135"/>
      <c r="AZ879" s="135"/>
      <c r="BA879" s="135"/>
      <c r="BB879" s="140">
        <f>(68000/1.18-AT879-AW879-AZ879)*0.1-BA879</f>
        <v>5762.7118644067805</v>
      </c>
      <c r="BC879" s="135">
        <v>57627.12</v>
      </c>
      <c r="BD879" s="135"/>
      <c r="BE879" s="135">
        <f>(H879/1.18-AT879-AW879-AZ879-BD879)*0.1-AU879-AX879-BA879-BB879</f>
        <v>123.64745762711846</v>
      </c>
      <c r="BF879" s="135"/>
      <c r="BG879" s="135"/>
      <c r="BH879" s="135"/>
      <c r="BI879" s="2" t="s">
        <v>11</v>
      </c>
      <c r="BJ879" s="136">
        <v>45728</v>
      </c>
      <c r="BK879" s="2" t="s">
        <v>8</v>
      </c>
      <c r="BL879" s="136" t="s">
        <v>18</v>
      </c>
      <c r="BM879" s="136">
        <v>45300</v>
      </c>
      <c r="BN879" s="2" t="s">
        <v>3105</v>
      </c>
      <c r="BO879" s="2"/>
      <c r="BP879" s="205"/>
      <c r="BQ879" s="137" t="s">
        <v>119</v>
      </c>
      <c r="BR879" s="138"/>
    </row>
    <row r="880" spans="1:70" ht="12.75" customHeight="1" x14ac:dyDescent="0.2">
      <c r="A880" s="2">
        <v>2369</v>
      </c>
      <c r="B880" s="2" t="s">
        <v>100</v>
      </c>
      <c r="C880" s="2" t="s">
        <v>95</v>
      </c>
      <c r="D880" s="2" t="s">
        <v>3023</v>
      </c>
      <c r="E880" s="2" t="s">
        <v>106</v>
      </c>
      <c r="F880" s="132">
        <f>2578*1.75</f>
        <v>4511.5</v>
      </c>
      <c r="G880" s="132">
        <v>2</v>
      </c>
      <c r="H880" s="132">
        <f>2578*1.75</f>
        <v>4511.5</v>
      </c>
      <c r="I880" s="132"/>
      <c r="J880" s="132">
        <v>4511.5</v>
      </c>
      <c r="K880" s="132">
        <f t="shared" si="85"/>
        <v>0</v>
      </c>
      <c r="L880" s="132">
        <f t="shared" si="86"/>
        <v>0</v>
      </c>
      <c r="M880" s="133"/>
      <c r="N880" s="133">
        <f t="shared" si="89"/>
        <v>0</v>
      </c>
      <c r="O880" s="134">
        <v>0</v>
      </c>
      <c r="P880" s="133"/>
      <c r="Q880" s="2" t="s">
        <v>2977</v>
      </c>
      <c r="R880" s="156">
        <f t="shared" si="87"/>
        <v>0</v>
      </c>
      <c r="S880" s="156">
        <f t="shared" si="88"/>
        <v>0</v>
      </c>
      <c r="T880" s="133"/>
      <c r="U880" s="133"/>
      <c r="V880" s="133"/>
      <c r="W880" s="133"/>
      <c r="X880" s="133"/>
      <c r="Y880" s="133"/>
      <c r="Z880" s="133"/>
      <c r="AA880" s="133"/>
      <c r="AB880" s="133"/>
      <c r="AC880" s="133"/>
      <c r="AD880" s="133"/>
      <c r="AE880" s="133"/>
      <c r="AF880" s="133"/>
      <c r="AG880" s="133"/>
      <c r="AH880" s="133"/>
      <c r="AI880" s="133"/>
      <c r="AJ880" s="133"/>
      <c r="AK880" s="133"/>
      <c r="AL880" s="133"/>
      <c r="AM880" s="133"/>
      <c r="AN880" s="133"/>
      <c r="AO880" s="133"/>
      <c r="AP880" s="133"/>
      <c r="AQ880" s="133"/>
      <c r="AR880" s="133"/>
      <c r="AS880" s="153">
        <v>0</v>
      </c>
      <c r="AT880" s="153">
        <v>0</v>
      </c>
      <c r="AU880" s="153">
        <v>0</v>
      </c>
      <c r="AV880" s="153">
        <v>0</v>
      </c>
      <c r="AW880" s="153">
        <v>0</v>
      </c>
      <c r="AX880" s="153">
        <v>0</v>
      </c>
      <c r="AY880" s="135"/>
      <c r="AZ880" s="135"/>
      <c r="BA880" s="135"/>
      <c r="BB880" s="135"/>
      <c r="BC880" s="135"/>
      <c r="BD880" s="135"/>
      <c r="BE880" s="135"/>
      <c r="BF880" s="135"/>
      <c r="BG880" s="135"/>
      <c r="BH880" s="135"/>
      <c r="BI880" s="2" t="s">
        <v>112</v>
      </c>
      <c r="BJ880" s="136">
        <v>45475</v>
      </c>
      <c r="BK880" s="2" t="s">
        <v>145</v>
      </c>
      <c r="BL880" s="136" t="s">
        <v>18</v>
      </c>
      <c r="BM880" s="136">
        <v>45300</v>
      </c>
      <c r="BN880" s="2" t="s">
        <v>3106</v>
      </c>
      <c r="BO880" s="2"/>
      <c r="BP880" s="205"/>
      <c r="BQ880" s="137" t="s">
        <v>134</v>
      </c>
      <c r="BR880" s="138"/>
    </row>
    <row r="881" spans="1:70" ht="12.75" customHeight="1" x14ac:dyDescent="0.2">
      <c r="A881" s="2">
        <v>2370</v>
      </c>
      <c r="B881" s="2" t="s">
        <v>100</v>
      </c>
      <c r="C881" s="2" t="s">
        <v>95</v>
      </c>
      <c r="D881" s="2" t="s">
        <v>3024</v>
      </c>
      <c r="E881" s="2" t="s">
        <v>90</v>
      </c>
      <c r="F881" s="132">
        <v>110000</v>
      </c>
      <c r="G881" s="132">
        <v>2</v>
      </c>
      <c r="H881" s="132">
        <f>100000+R881</f>
        <v>293675.11499999999</v>
      </c>
      <c r="I881" s="132"/>
      <c r="J881" s="132">
        <f>S881+AY881+BC881</f>
        <v>293675.11</v>
      </c>
      <c r="K881" s="132">
        <f t="shared" si="85"/>
        <v>-183675.11</v>
      </c>
      <c r="L881" s="132">
        <f t="shared" si="86"/>
        <v>5.0000000046566129E-3</v>
      </c>
      <c r="M881" s="133">
        <v>2660.3</v>
      </c>
      <c r="N881" s="133">
        <f t="shared" si="89"/>
        <v>5.0000000046566129E-3</v>
      </c>
      <c r="O881" s="134">
        <v>1</v>
      </c>
      <c r="P881" s="133"/>
      <c r="Q881" s="2" t="s">
        <v>2977</v>
      </c>
      <c r="R881" s="156">
        <f t="shared" si="87"/>
        <v>193675.11499999999</v>
      </c>
      <c r="S881" s="156">
        <f t="shared" si="88"/>
        <v>56386.979999999996</v>
      </c>
      <c r="T881" s="133"/>
      <c r="U881" s="133"/>
      <c r="V881" s="133">
        <v>180000</v>
      </c>
      <c r="W881" s="133"/>
      <c r="X881" s="133">
        <v>13675.115</v>
      </c>
      <c r="Y881" s="133">
        <v>27457.63</v>
      </c>
      <c r="Z881" s="133"/>
      <c r="AA881" s="133">
        <v>2086.0300000000002</v>
      </c>
      <c r="AB881" s="133"/>
      <c r="AC881" s="133"/>
      <c r="AD881" s="133"/>
      <c r="AE881" s="133">
        <v>26843.32</v>
      </c>
      <c r="AF881" s="133"/>
      <c r="AG881" s="133"/>
      <c r="AH881" s="133"/>
      <c r="AI881" s="133"/>
      <c r="AJ881" s="133"/>
      <c r="AK881" s="133"/>
      <c r="AL881" s="133"/>
      <c r="AM881" s="133"/>
      <c r="AN881" s="133"/>
      <c r="AO881" s="133"/>
      <c r="AP881" s="133"/>
      <c r="AQ881" s="133"/>
      <c r="AR881" s="133"/>
      <c r="AS881" s="153">
        <v>0</v>
      </c>
      <c r="AT881" s="153">
        <v>0</v>
      </c>
      <c r="AU881" s="153">
        <v>0</v>
      </c>
      <c r="AV881" s="153">
        <v>0</v>
      </c>
      <c r="AW881" s="153">
        <v>0</v>
      </c>
      <c r="AX881" s="153">
        <v>0</v>
      </c>
      <c r="AY881" s="153">
        <v>84745.76</v>
      </c>
      <c r="AZ881" s="153">
        <v>7690.97</v>
      </c>
      <c r="BA881" s="135"/>
      <c r="BB881" s="135"/>
      <c r="BC881" s="135">
        <v>152542.37</v>
      </c>
      <c r="BD881" s="135">
        <v>1872.3</v>
      </c>
      <c r="BE881" s="135">
        <f>(H881/1.18-AT881-AW881-AZ881-BD881)*0.1-AU881-AX881-BA881-BB881</f>
        <v>23931.394610169493</v>
      </c>
      <c r="BF881" s="135"/>
      <c r="BG881" s="135"/>
      <c r="BH881" s="135"/>
      <c r="BI881" s="2" t="s">
        <v>11</v>
      </c>
      <c r="BJ881" s="136">
        <v>45728</v>
      </c>
      <c r="BK881" s="2" t="s">
        <v>8</v>
      </c>
      <c r="BL881" s="136" t="s">
        <v>18</v>
      </c>
      <c r="BM881" s="136">
        <v>45300</v>
      </c>
      <c r="BN881" s="2" t="s">
        <v>3107</v>
      </c>
      <c r="BO881" s="2"/>
      <c r="BP881" s="205"/>
      <c r="BQ881" s="137" t="s">
        <v>119</v>
      </c>
      <c r="BR881" s="138"/>
    </row>
    <row r="882" spans="1:70" ht="12.75" customHeight="1" x14ac:dyDescent="0.2">
      <c r="A882" s="2">
        <v>2371</v>
      </c>
      <c r="B882" s="2" t="s">
        <v>39</v>
      </c>
      <c r="C882" s="2" t="s">
        <v>94</v>
      </c>
      <c r="D882" s="2" t="s">
        <v>3025</v>
      </c>
      <c r="E882" s="2" t="s">
        <v>106</v>
      </c>
      <c r="F882" s="132">
        <v>10316.25</v>
      </c>
      <c r="G882" s="132">
        <v>2</v>
      </c>
      <c r="H882" s="132">
        <f>5895*1.75</f>
        <v>10316.25</v>
      </c>
      <c r="I882" s="132"/>
      <c r="J882" s="132">
        <f>S882</f>
        <v>10316.244999999999</v>
      </c>
      <c r="K882" s="132">
        <f t="shared" si="85"/>
        <v>5.0000000010186341E-3</v>
      </c>
      <c r="L882" s="132">
        <f t="shared" si="86"/>
        <v>5.0000000010186341E-3</v>
      </c>
      <c r="M882" s="133"/>
      <c r="N882" s="133">
        <f t="shared" si="89"/>
        <v>5.0000000010186341E-3</v>
      </c>
      <c r="O882" s="134">
        <v>2</v>
      </c>
      <c r="P882" s="133"/>
      <c r="Q882" s="2" t="s">
        <v>2978</v>
      </c>
      <c r="R882" s="156">
        <f t="shared" si="87"/>
        <v>10316.25</v>
      </c>
      <c r="S882" s="156">
        <f t="shared" si="88"/>
        <v>10316.244999999999</v>
      </c>
      <c r="T882" s="133">
        <v>10316.25</v>
      </c>
      <c r="U882" s="133">
        <v>0</v>
      </c>
      <c r="V882" s="133"/>
      <c r="W882" s="133">
        <f>1573.665</f>
        <v>1573.665</v>
      </c>
      <c r="X882" s="133"/>
      <c r="Y882" s="133"/>
      <c r="Z882" s="133"/>
      <c r="AA882" s="133"/>
      <c r="AB882" s="133"/>
      <c r="AC882" s="133"/>
      <c r="AD882" s="133"/>
      <c r="AE882" s="133">
        <v>8742.58</v>
      </c>
      <c r="AF882" s="133"/>
      <c r="AG882" s="133"/>
      <c r="AH882" s="133"/>
      <c r="AI882" s="133"/>
      <c r="AJ882" s="133"/>
      <c r="AK882" s="133"/>
      <c r="AL882" s="133"/>
      <c r="AM882" s="133"/>
      <c r="AN882" s="133"/>
      <c r="AO882" s="133"/>
      <c r="AP882" s="133"/>
      <c r="AQ882" s="133"/>
      <c r="AR882" s="133"/>
      <c r="AS882" s="153">
        <v>0</v>
      </c>
      <c r="AT882" s="153">
        <v>0</v>
      </c>
      <c r="AU882" s="153">
        <v>0</v>
      </c>
      <c r="AV882" s="153">
        <v>0</v>
      </c>
      <c r="AW882" s="153">
        <v>0</v>
      </c>
      <c r="AX882" s="153">
        <v>0</v>
      </c>
      <c r="AY882" s="135"/>
      <c r="AZ882" s="135"/>
      <c r="BA882" s="135"/>
      <c r="BB882" s="135"/>
      <c r="BC882" s="135"/>
      <c r="BD882" s="135"/>
      <c r="BE882" s="135"/>
      <c r="BF882" s="135"/>
      <c r="BG882" s="135"/>
      <c r="BH882" s="135"/>
      <c r="BI882" s="2" t="s">
        <v>112</v>
      </c>
      <c r="BJ882" s="136">
        <v>45663</v>
      </c>
      <c r="BK882" s="2" t="s">
        <v>145</v>
      </c>
      <c r="BL882" s="136" t="s">
        <v>18</v>
      </c>
      <c r="BM882" s="136">
        <v>45300</v>
      </c>
      <c r="BN882" s="2" t="s">
        <v>3108</v>
      </c>
      <c r="BO882" s="2"/>
      <c r="BP882" s="205"/>
      <c r="BQ882" s="137" t="s">
        <v>134</v>
      </c>
      <c r="BR882" s="138"/>
    </row>
    <row r="883" spans="1:70" ht="12.75" customHeight="1" x14ac:dyDescent="0.2">
      <c r="A883" s="2">
        <v>2372</v>
      </c>
      <c r="B883" s="2" t="s">
        <v>39</v>
      </c>
      <c r="C883" s="2" t="s">
        <v>94</v>
      </c>
      <c r="D883" s="2" t="s">
        <v>3026</v>
      </c>
      <c r="E883" s="2" t="s">
        <v>90</v>
      </c>
      <c r="F883" s="132">
        <v>269528</v>
      </c>
      <c r="G883" s="132" t="s">
        <v>3789</v>
      </c>
      <c r="H883" s="132">
        <f>R883</f>
        <v>100000</v>
      </c>
      <c r="I883" s="132"/>
      <c r="J883" s="132">
        <f>S883+BC883</f>
        <v>100000.23699999999</v>
      </c>
      <c r="K883" s="132">
        <f t="shared" si="85"/>
        <v>169527.76300000001</v>
      </c>
      <c r="L883" s="132">
        <f t="shared" si="86"/>
        <v>-0.23699999999371357</v>
      </c>
      <c r="M883" s="133"/>
      <c r="N883" s="133">
        <f t="shared" si="89"/>
        <v>169527.76300000001</v>
      </c>
      <c r="O883" s="134">
        <v>1</v>
      </c>
      <c r="P883" s="133"/>
      <c r="Q883" s="2" t="s">
        <v>2978</v>
      </c>
      <c r="R883" s="156">
        <f t="shared" si="87"/>
        <v>100000</v>
      </c>
      <c r="S883" s="156">
        <f t="shared" si="88"/>
        <v>15254.236999999999</v>
      </c>
      <c r="T883" s="133">
        <v>100000</v>
      </c>
      <c r="U883" s="133"/>
      <c r="V883" s="133"/>
      <c r="W883" s="133">
        <f>15254.237</f>
        <v>15254.236999999999</v>
      </c>
      <c r="X883" s="133"/>
      <c r="Y883" s="133"/>
      <c r="Z883" s="133"/>
      <c r="AA883" s="133"/>
      <c r="AB883" s="133"/>
      <c r="AC883" s="133"/>
      <c r="AD883" s="133"/>
      <c r="AE883" s="133"/>
      <c r="AF883" s="133"/>
      <c r="AG883" s="133"/>
      <c r="AH883" s="133"/>
      <c r="AI883" s="133"/>
      <c r="AJ883" s="133"/>
      <c r="AK883" s="133"/>
      <c r="AL883" s="133"/>
      <c r="AM883" s="133"/>
      <c r="AN883" s="133"/>
      <c r="AO883" s="133"/>
      <c r="AP883" s="133"/>
      <c r="AQ883" s="133"/>
      <c r="AR883" s="133"/>
      <c r="AS883" s="153">
        <v>0</v>
      </c>
      <c r="AT883" s="153">
        <v>0</v>
      </c>
      <c r="AU883" s="153">
        <v>0</v>
      </c>
      <c r="AV883" s="153">
        <v>0</v>
      </c>
      <c r="AW883" s="153">
        <v>0</v>
      </c>
      <c r="AX883" s="153">
        <v>0</v>
      </c>
      <c r="AY883" s="135"/>
      <c r="AZ883" s="135"/>
      <c r="BA883" s="135"/>
      <c r="BB883" s="135"/>
      <c r="BC883" s="135">
        <f>84746</f>
        <v>84746</v>
      </c>
      <c r="BD883" s="135"/>
      <c r="BE883" s="135"/>
      <c r="BF883" s="135"/>
      <c r="BG883" s="135"/>
      <c r="BH883" s="135"/>
      <c r="BI883" s="2" t="s">
        <v>11</v>
      </c>
      <c r="BJ883" s="136"/>
      <c r="BK883" s="2">
        <v>55</v>
      </c>
      <c r="BL883" s="136" t="s">
        <v>18</v>
      </c>
      <c r="BM883" s="136">
        <v>45300</v>
      </c>
      <c r="BN883" s="2" t="s">
        <v>3109</v>
      </c>
      <c r="BO883" s="2"/>
      <c r="BP883" s="205"/>
      <c r="BQ883" s="137" t="s">
        <v>119</v>
      </c>
      <c r="BR883" s="138"/>
    </row>
    <row r="884" spans="1:70" ht="12.75" customHeight="1" x14ac:dyDescent="0.2">
      <c r="A884" s="2">
        <v>2373</v>
      </c>
      <c r="B884" s="2" t="s">
        <v>100</v>
      </c>
      <c r="C884" s="2" t="s">
        <v>95</v>
      </c>
      <c r="D884" s="2" t="s">
        <v>3027</v>
      </c>
      <c r="E884" s="2" t="s">
        <v>106</v>
      </c>
      <c r="F884" s="132">
        <v>0</v>
      </c>
      <c r="G884" s="132">
        <v>2</v>
      </c>
      <c r="H884" s="132"/>
      <c r="I884" s="132"/>
      <c r="J884" s="132"/>
      <c r="K884" s="132">
        <f t="shared" si="85"/>
        <v>0</v>
      </c>
      <c r="L884" s="132">
        <f t="shared" si="86"/>
        <v>0</v>
      </c>
      <c r="M884" s="133"/>
      <c r="N884" s="133">
        <f t="shared" si="89"/>
        <v>0</v>
      </c>
      <c r="O884" s="134">
        <v>2</v>
      </c>
      <c r="P884" s="133"/>
      <c r="Q884" s="2" t="s">
        <v>2979</v>
      </c>
      <c r="R884" s="156">
        <f t="shared" si="87"/>
        <v>0</v>
      </c>
      <c r="S884" s="156">
        <f t="shared" si="88"/>
        <v>0</v>
      </c>
      <c r="T884" s="133"/>
      <c r="U884" s="133"/>
      <c r="V884" s="133"/>
      <c r="W884" s="133"/>
      <c r="X884" s="133"/>
      <c r="Y884" s="133"/>
      <c r="Z884" s="133"/>
      <c r="AA884" s="133"/>
      <c r="AB884" s="133"/>
      <c r="AC884" s="133"/>
      <c r="AD884" s="133"/>
      <c r="AE884" s="133"/>
      <c r="AF884" s="133"/>
      <c r="AG884" s="133"/>
      <c r="AH884" s="133"/>
      <c r="AI884" s="133"/>
      <c r="AJ884" s="133"/>
      <c r="AK884" s="133"/>
      <c r="AL884" s="133"/>
      <c r="AM884" s="133"/>
      <c r="AN884" s="133"/>
      <c r="AO884" s="133"/>
      <c r="AP884" s="133"/>
      <c r="AQ884" s="133"/>
      <c r="AR884" s="133"/>
      <c r="AS884" s="153">
        <v>0</v>
      </c>
      <c r="AT884" s="153">
        <v>0</v>
      </c>
      <c r="AU884" s="153">
        <v>0</v>
      </c>
      <c r="AV884" s="153">
        <v>0</v>
      </c>
      <c r="AW884" s="153">
        <v>0</v>
      </c>
      <c r="AX884" s="153">
        <v>0</v>
      </c>
      <c r="AY884" s="135"/>
      <c r="AZ884" s="135"/>
      <c r="BA884" s="135"/>
      <c r="BB884" s="135"/>
      <c r="BC884" s="135"/>
      <c r="BD884" s="135"/>
      <c r="BE884" s="135"/>
      <c r="BF884" s="135"/>
      <c r="BG884" s="135"/>
      <c r="BH884" s="135"/>
      <c r="BI884" s="2" t="s">
        <v>112</v>
      </c>
      <c r="BJ884" s="136"/>
      <c r="BK884" s="2">
        <v>0</v>
      </c>
      <c r="BL884" s="136" t="s">
        <v>18</v>
      </c>
      <c r="BM884" s="136">
        <v>45300</v>
      </c>
      <c r="BN884" s="2" t="s">
        <v>3110</v>
      </c>
      <c r="BO884" s="2"/>
      <c r="BP884" s="205"/>
      <c r="BQ884" s="137" t="s">
        <v>134</v>
      </c>
      <c r="BR884" s="138"/>
    </row>
    <row r="885" spans="1:70" ht="12.75" customHeight="1" x14ac:dyDescent="0.2">
      <c r="A885" s="2">
        <v>2374</v>
      </c>
      <c r="B885" s="2" t="s">
        <v>100</v>
      </c>
      <c r="C885" s="2" t="s">
        <v>95</v>
      </c>
      <c r="D885" s="2" t="s">
        <v>3028</v>
      </c>
      <c r="E885" s="2" t="s">
        <v>90</v>
      </c>
      <c r="F885" s="132">
        <v>95000</v>
      </c>
      <c r="G885" s="132">
        <v>2</v>
      </c>
      <c r="H885" s="132"/>
      <c r="I885" s="132"/>
      <c r="J885" s="132"/>
      <c r="K885" s="132">
        <f t="shared" si="85"/>
        <v>95000</v>
      </c>
      <c r="L885" s="132">
        <f t="shared" si="86"/>
        <v>0</v>
      </c>
      <c r="M885" s="133"/>
      <c r="N885" s="133">
        <f t="shared" si="89"/>
        <v>95000</v>
      </c>
      <c r="O885" s="134">
        <v>1</v>
      </c>
      <c r="P885" s="133"/>
      <c r="Q885" s="2" t="s">
        <v>2979</v>
      </c>
      <c r="R885" s="156">
        <f t="shared" si="87"/>
        <v>0</v>
      </c>
      <c r="S885" s="156">
        <f t="shared" si="88"/>
        <v>0</v>
      </c>
      <c r="T885" s="133"/>
      <c r="U885" s="133"/>
      <c r="V885" s="133"/>
      <c r="W885" s="133"/>
      <c r="X885" s="133"/>
      <c r="Y885" s="133"/>
      <c r="Z885" s="133"/>
      <c r="AA885" s="133"/>
      <c r="AB885" s="133"/>
      <c r="AC885" s="133"/>
      <c r="AD885" s="133"/>
      <c r="AE885" s="133"/>
      <c r="AF885" s="133"/>
      <c r="AG885" s="133"/>
      <c r="AH885" s="133"/>
      <c r="AI885" s="133"/>
      <c r="AJ885" s="133"/>
      <c r="AK885" s="133"/>
      <c r="AL885" s="133"/>
      <c r="AM885" s="133"/>
      <c r="AN885" s="133"/>
      <c r="AO885" s="133"/>
      <c r="AP885" s="133"/>
      <c r="AQ885" s="133"/>
      <c r="AR885" s="133"/>
      <c r="AS885" s="153">
        <v>0</v>
      </c>
      <c r="AT885" s="153">
        <v>0</v>
      </c>
      <c r="AU885" s="153">
        <v>0</v>
      </c>
      <c r="AV885" s="153">
        <v>0</v>
      </c>
      <c r="AW885" s="153">
        <v>0</v>
      </c>
      <c r="AX885" s="153">
        <v>0</v>
      </c>
      <c r="AY885" s="135"/>
      <c r="AZ885" s="135"/>
      <c r="BA885" s="135"/>
      <c r="BB885" s="135"/>
      <c r="BC885" s="135"/>
      <c r="BD885" s="135"/>
      <c r="BE885" s="135"/>
      <c r="BF885" s="135"/>
      <c r="BG885" s="135"/>
      <c r="BH885" s="135"/>
      <c r="BI885" s="2" t="s">
        <v>11</v>
      </c>
      <c r="BJ885" s="136"/>
      <c r="BK885" s="2">
        <v>0</v>
      </c>
      <c r="BL885" s="136" t="s">
        <v>18</v>
      </c>
      <c r="BM885" s="136">
        <v>45300</v>
      </c>
      <c r="BN885" s="2" t="s">
        <v>3111</v>
      </c>
      <c r="BO885" s="2"/>
      <c r="BP885" s="205"/>
      <c r="BQ885" s="137" t="s">
        <v>119</v>
      </c>
      <c r="BR885" s="138"/>
    </row>
    <row r="886" spans="1:70" ht="12.75" customHeight="1" x14ac:dyDescent="0.2">
      <c r="A886" s="2">
        <v>2375</v>
      </c>
      <c r="B886" s="2" t="s">
        <v>39</v>
      </c>
      <c r="C886" s="2" t="s">
        <v>94</v>
      </c>
      <c r="D886" s="2" t="s">
        <v>3029</v>
      </c>
      <c r="E886" s="2" t="s">
        <v>106</v>
      </c>
      <c r="F886" s="132">
        <v>17886.75</v>
      </c>
      <c r="G886" s="132">
        <v>2</v>
      </c>
      <c r="H886" s="132">
        <f>10221*1.75</f>
        <v>17886.75</v>
      </c>
      <c r="I886" s="132"/>
      <c r="J886" s="132">
        <v>17886.75</v>
      </c>
      <c r="K886" s="132">
        <f t="shared" ref="K886:K949" si="90">F886-J886</f>
        <v>0</v>
      </c>
      <c r="L886" s="132">
        <f t="shared" si="86"/>
        <v>0</v>
      </c>
      <c r="M886" s="133"/>
      <c r="N886" s="133">
        <f t="shared" si="89"/>
        <v>0</v>
      </c>
      <c r="O886" s="134">
        <v>0</v>
      </c>
      <c r="P886" s="133"/>
      <c r="Q886" s="2" t="s">
        <v>2980</v>
      </c>
      <c r="R886" s="156">
        <f t="shared" si="87"/>
        <v>0</v>
      </c>
      <c r="S886" s="156">
        <f t="shared" si="88"/>
        <v>0</v>
      </c>
      <c r="T886" s="133"/>
      <c r="U886" s="133"/>
      <c r="V886" s="133"/>
      <c r="W886" s="133"/>
      <c r="X886" s="133"/>
      <c r="Y886" s="133"/>
      <c r="Z886" s="133"/>
      <c r="AA886" s="133"/>
      <c r="AB886" s="133"/>
      <c r="AC886" s="133"/>
      <c r="AD886" s="133"/>
      <c r="AE886" s="133"/>
      <c r="AF886" s="133"/>
      <c r="AG886" s="133"/>
      <c r="AH886" s="133"/>
      <c r="AI886" s="133"/>
      <c r="AJ886" s="133"/>
      <c r="AK886" s="133"/>
      <c r="AL886" s="133"/>
      <c r="AM886" s="133"/>
      <c r="AN886" s="133"/>
      <c r="AO886" s="133"/>
      <c r="AP886" s="133"/>
      <c r="AQ886" s="133"/>
      <c r="AR886" s="133"/>
      <c r="AS886" s="153">
        <v>0</v>
      </c>
      <c r="AT886" s="153">
        <v>0</v>
      </c>
      <c r="AU886" s="153">
        <v>0</v>
      </c>
      <c r="AV886" s="153">
        <v>0</v>
      </c>
      <c r="AW886" s="153">
        <v>0</v>
      </c>
      <c r="AX886" s="153">
        <v>0</v>
      </c>
      <c r="AY886" s="135"/>
      <c r="AZ886" s="135"/>
      <c r="BA886" s="135"/>
      <c r="BB886" s="135"/>
      <c r="BC886" s="135"/>
      <c r="BD886" s="135"/>
      <c r="BE886" s="135"/>
      <c r="BF886" s="135"/>
      <c r="BG886" s="135"/>
      <c r="BH886" s="135"/>
      <c r="BI886" s="2" t="s">
        <v>112</v>
      </c>
      <c r="BJ886" s="136">
        <v>45645</v>
      </c>
      <c r="BK886" s="2" t="s">
        <v>145</v>
      </c>
      <c r="BL886" s="136" t="s">
        <v>18</v>
      </c>
      <c r="BM886" s="136">
        <v>45300</v>
      </c>
      <c r="BN886" s="2" t="s">
        <v>3112</v>
      </c>
      <c r="BO886" s="2"/>
      <c r="BP886" s="205"/>
      <c r="BQ886" s="137" t="s">
        <v>134</v>
      </c>
      <c r="BR886" s="138"/>
    </row>
    <row r="887" spans="1:70" ht="12.75" customHeight="1" x14ac:dyDescent="0.2">
      <c r="A887" s="2">
        <v>2376</v>
      </c>
      <c r="B887" s="2" t="s">
        <v>39</v>
      </c>
      <c r="C887" s="2" t="s">
        <v>94</v>
      </c>
      <c r="D887" s="2" t="s">
        <v>3030</v>
      </c>
      <c r="E887" s="2" t="s">
        <v>90</v>
      </c>
      <c r="F887" s="132">
        <v>90000</v>
      </c>
      <c r="G887" s="132">
        <v>2</v>
      </c>
      <c r="H887" s="132">
        <f>R887</f>
        <v>400000</v>
      </c>
      <c r="I887" s="132"/>
      <c r="J887" s="132">
        <f>S887+AY887+BC887</f>
        <v>399999.95</v>
      </c>
      <c r="K887" s="132">
        <f t="shared" si="90"/>
        <v>-309999.95</v>
      </c>
      <c r="L887" s="132">
        <f t="shared" si="86"/>
        <v>4.9999999988358468E-2</v>
      </c>
      <c r="M887" s="133"/>
      <c r="N887" s="133">
        <f t="shared" si="89"/>
        <v>-309999.95</v>
      </c>
      <c r="O887" s="134">
        <v>1</v>
      </c>
      <c r="P887" s="133"/>
      <c r="Q887" s="2" t="s">
        <v>2980</v>
      </c>
      <c r="R887" s="156">
        <f t="shared" si="87"/>
        <v>400000</v>
      </c>
      <c r="S887" s="156">
        <f t="shared" si="88"/>
        <v>61016.95</v>
      </c>
      <c r="T887" s="133">
        <v>400000</v>
      </c>
      <c r="U887" s="133"/>
      <c r="V887" s="133"/>
      <c r="W887" s="133">
        <f>61016.95</f>
        <v>61016.95</v>
      </c>
      <c r="X887" s="133"/>
      <c r="Y887" s="133"/>
      <c r="Z887" s="133"/>
      <c r="AA887" s="133"/>
      <c r="AB887" s="133"/>
      <c r="AC887" s="133"/>
      <c r="AD887" s="133"/>
      <c r="AE887" s="133"/>
      <c r="AF887" s="133"/>
      <c r="AG887" s="133"/>
      <c r="AH887" s="133"/>
      <c r="AI887" s="133"/>
      <c r="AJ887" s="133"/>
      <c r="AK887" s="133"/>
      <c r="AL887" s="133"/>
      <c r="AM887" s="133"/>
      <c r="AN887" s="133"/>
      <c r="AO887" s="133"/>
      <c r="AP887" s="133"/>
      <c r="AQ887" s="133"/>
      <c r="AR887" s="133"/>
      <c r="AS887" s="153">
        <v>0</v>
      </c>
      <c r="AT887" s="153">
        <v>0</v>
      </c>
      <c r="AU887" s="153">
        <v>0</v>
      </c>
      <c r="AV887" s="153">
        <v>0</v>
      </c>
      <c r="AW887" s="153">
        <v>0</v>
      </c>
      <c r="AX887" s="153">
        <v>0</v>
      </c>
      <c r="AY887" s="135">
        <v>0</v>
      </c>
      <c r="AZ887" s="135"/>
      <c r="BA887" s="135"/>
      <c r="BB887" s="135"/>
      <c r="BC887" s="135">
        <f>338983</f>
        <v>338983</v>
      </c>
      <c r="BD887" s="135"/>
      <c r="BE887" s="135"/>
      <c r="BF887" s="135"/>
      <c r="BG887" s="135"/>
      <c r="BH887" s="135"/>
      <c r="BI887" s="2" t="s">
        <v>11</v>
      </c>
      <c r="BJ887" s="136"/>
      <c r="BK887" s="2">
        <v>80</v>
      </c>
      <c r="BL887" s="136" t="s">
        <v>18</v>
      </c>
      <c r="BM887" s="136">
        <v>45300</v>
      </c>
      <c r="BN887" s="2" t="s">
        <v>3113</v>
      </c>
      <c r="BO887" s="2"/>
      <c r="BP887" s="205"/>
      <c r="BQ887" s="137" t="s">
        <v>119</v>
      </c>
      <c r="BR887" s="138"/>
    </row>
    <row r="888" spans="1:70" ht="12.75" customHeight="1" x14ac:dyDescent="0.2">
      <c r="A888" s="2">
        <v>2377</v>
      </c>
      <c r="B888" s="2" t="s">
        <v>39</v>
      </c>
      <c r="C888" s="2" t="s">
        <v>94</v>
      </c>
      <c r="D888" s="2" t="s">
        <v>3031</v>
      </c>
      <c r="E888" s="2" t="s">
        <v>106</v>
      </c>
      <c r="F888" s="132">
        <v>0</v>
      </c>
      <c r="G888" s="132">
        <v>2</v>
      </c>
      <c r="H888" s="132"/>
      <c r="I888" s="132"/>
      <c r="J888" s="132"/>
      <c r="K888" s="132">
        <f t="shared" si="90"/>
        <v>0</v>
      </c>
      <c r="L888" s="132">
        <f t="shared" si="86"/>
        <v>0</v>
      </c>
      <c r="M888" s="133"/>
      <c r="N888" s="133">
        <f t="shared" si="89"/>
        <v>0</v>
      </c>
      <c r="O888" s="134">
        <v>2</v>
      </c>
      <c r="P888" s="133"/>
      <c r="Q888" s="2" t="s">
        <v>2981</v>
      </c>
      <c r="R888" s="156">
        <f t="shared" si="87"/>
        <v>0</v>
      </c>
      <c r="S888" s="156">
        <f t="shared" si="88"/>
        <v>0</v>
      </c>
      <c r="T888" s="133"/>
      <c r="U888" s="133"/>
      <c r="V888" s="133"/>
      <c r="W888" s="133"/>
      <c r="X888" s="133"/>
      <c r="Y888" s="133"/>
      <c r="Z888" s="133"/>
      <c r="AA888" s="133"/>
      <c r="AB888" s="133"/>
      <c r="AC888" s="133"/>
      <c r="AD888" s="133"/>
      <c r="AE888" s="133"/>
      <c r="AF888" s="133"/>
      <c r="AG888" s="133"/>
      <c r="AH888" s="133"/>
      <c r="AI888" s="133"/>
      <c r="AJ888" s="133"/>
      <c r="AK888" s="133"/>
      <c r="AL888" s="133"/>
      <c r="AM888" s="133"/>
      <c r="AN888" s="133"/>
      <c r="AO888" s="133"/>
      <c r="AP888" s="133"/>
      <c r="AQ888" s="133"/>
      <c r="AR888" s="133"/>
      <c r="AS888" s="153">
        <v>0</v>
      </c>
      <c r="AT888" s="153">
        <v>0</v>
      </c>
      <c r="AU888" s="153">
        <v>0</v>
      </c>
      <c r="AV888" s="153">
        <v>0</v>
      </c>
      <c r="AW888" s="153">
        <v>0</v>
      </c>
      <c r="AX888" s="153">
        <v>0</v>
      </c>
      <c r="AY888" s="135"/>
      <c r="AZ888" s="135"/>
      <c r="BA888" s="135"/>
      <c r="BB888" s="135"/>
      <c r="BC888" s="135"/>
      <c r="BD888" s="135"/>
      <c r="BE888" s="135"/>
      <c r="BF888" s="135"/>
      <c r="BG888" s="135"/>
      <c r="BH888" s="135"/>
      <c r="BI888" s="2" t="s">
        <v>112</v>
      </c>
      <c r="BJ888" s="136"/>
      <c r="BK888" s="2">
        <v>0</v>
      </c>
      <c r="BL888" s="136" t="s">
        <v>18</v>
      </c>
      <c r="BM888" s="136">
        <v>45300</v>
      </c>
      <c r="BN888" s="2" t="s">
        <v>3114</v>
      </c>
      <c r="BO888" s="2"/>
      <c r="BP888" s="205"/>
      <c r="BQ888" s="137" t="s">
        <v>134</v>
      </c>
      <c r="BR888" s="138"/>
    </row>
    <row r="889" spans="1:70" ht="12.75" customHeight="1" x14ac:dyDescent="0.2">
      <c r="A889" s="2">
        <v>2378</v>
      </c>
      <c r="B889" s="2" t="s">
        <v>39</v>
      </c>
      <c r="C889" s="2" t="s">
        <v>94</v>
      </c>
      <c r="D889" s="2" t="s">
        <v>3032</v>
      </c>
      <c r="E889" s="2" t="s">
        <v>90</v>
      </c>
      <c r="F889" s="132">
        <v>70000</v>
      </c>
      <c r="G889" s="132">
        <v>2</v>
      </c>
      <c r="H889" s="132"/>
      <c r="I889" s="132"/>
      <c r="J889" s="132"/>
      <c r="K889" s="132">
        <f t="shared" si="90"/>
        <v>70000</v>
      </c>
      <c r="L889" s="132">
        <f t="shared" si="86"/>
        <v>0</v>
      </c>
      <c r="M889" s="133"/>
      <c r="N889" s="133">
        <f t="shared" si="89"/>
        <v>70000</v>
      </c>
      <c r="O889" s="134">
        <v>1</v>
      </c>
      <c r="P889" s="133"/>
      <c r="Q889" s="2" t="s">
        <v>2981</v>
      </c>
      <c r="R889" s="156">
        <f t="shared" si="87"/>
        <v>0</v>
      </c>
      <c r="S889" s="156">
        <f t="shared" si="88"/>
        <v>0</v>
      </c>
      <c r="T889" s="133"/>
      <c r="U889" s="133"/>
      <c r="V889" s="133"/>
      <c r="W889" s="133"/>
      <c r="X889" s="133"/>
      <c r="Y889" s="133"/>
      <c r="Z889" s="133"/>
      <c r="AA889" s="133"/>
      <c r="AB889" s="133"/>
      <c r="AC889" s="133"/>
      <c r="AD889" s="133"/>
      <c r="AE889" s="133"/>
      <c r="AF889" s="133"/>
      <c r="AG889" s="133"/>
      <c r="AH889" s="133"/>
      <c r="AI889" s="133"/>
      <c r="AJ889" s="133"/>
      <c r="AK889" s="133"/>
      <c r="AL889" s="133"/>
      <c r="AM889" s="133"/>
      <c r="AN889" s="133"/>
      <c r="AO889" s="133"/>
      <c r="AP889" s="133"/>
      <c r="AQ889" s="133"/>
      <c r="AR889" s="133"/>
      <c r="AS889" s="153">
        <v>0</v>
      </c>
      <c r="AT889" s="153">
        <v>0</v>
      </c>
      <c r="AU889" s="153">
        <v>0</v>
      </c>
      <c r="AV889" s="153">
        <v>0</v>
      </c>
      <c r="AW889" s="153">
        <v>0</v>
      </c>
      <c r="AX889" s="153">
        <v>0</v>
      </c>
      <c r="AY889" s="135"/>
      <c r="AZ889" s="135"/>
      <c r="BA889" s="135"/>
      <c r="BB889" s="135"/>
      <c r="BC889" s="135"/>
      <c r="BD889" s="135"/>
      <c r="BE889" s="135"/>
      <c r="BF889" s="135"/>
      <c r="BG889" s="135"/>
      <c r="BH889" s="135"/>
      <c r="BI889" s="2" t="s">
        <v>11</v>
      </c>
      <c r="BJ889" s="136"/>
      <c r="BK889" s="2">
        <v>0</v>
      </c>
      <c r="BL889" s="136" t="s">
        <v>18</v>
      </c>
      <c r="BM889" s="136">
        <v>45300</v>
      </c>
      <c r="BN889" s="2" t="s">
        <v>3115</v>
      </c>
      <c r="BO889" s="2"/>
      <c r="BP889" s="205"/>
      <c r="BQ889" s="137" t="s">
        <v>119</v>
      </c>
      <c r="BR889" s="138"/>
    </row>
    <row r="890" spans="1:70" ht="12.75" customHeight="1" x14ac:dyDescent="0.2">
      <c r="A890" s="2">
        <v>2379</v>
      </c>
      <c r="B890" s="2" t="s">
        <v>39</v>
      </c>
      <c r="C890" s="2" t="s">
        <v>74</v>
      </c>
      <c r="D890" s="2" t="s">
        <v>3033</v>
      </c>
      <c r="E890" s="2" t="s">
        <v>106</v>
      </c>
      <c r="F890" s="132">
        <v>1604.05</v>
      </c>
      <c r="G890" s="132">
        <v>2</v>
      </c>
      <c r="H890" s="132">
        <f>916.6*1.75</f>
        <v>1604.05</v>
      </c>
      <c r="I890" s="132"/>
      <c r="J890" s="132">
        <f>S890</f>
        <v>1604.05</v>
      </c>
      <c r="K890" s="132">
        <f t="shared" si="90"/>
        <v>0</v>
      </c>
      <c r="L890" s="132">
        <f t="shared" si="86"/>
        <v>0</v>
      </c>
      <c r="M890" s="133"/>
      <c r="N890" s="133">
        <f t="shared" si="89"/>
        <v>0</v>
      </c>
      <c r="O890" s="134">
        <v>2</v>
      </c>
      <c r="P890" s="133"/>
      <c r="Q890" s="2" t="s">
        <v>2982</v>
      </c>
      <c r="R890" s="156">
        <f t="shared" si="87"/>
        <v>1604.05</v>
      </c>
      <c r="S890" s="156">
        <f t="shared" si="88"/>
        <v>1604.05</v>
      </c>
      <c r="T890" s="133">
        <v>1604.05</v>
      </c>
      <c r="U890" s="293">
        <v>0</v>
      </c>
      <c r="V890" s="133"/>
      <c r="W890" s="133">
        <f>244.69</f>
        <v>244.69</v>
      </c>
      <c r="X890" s="133"/>
      <c r="Y890" s="133"/>
      <c r="Z890" s="133"/>
      <c r="AA890" s="133"/>
      <c r="AB890" s="133"/>
      <c r="AC890" s="133"/>
      <c r="AD890" s="133"/>
      <c r="AE890" s="133">
        <v>1359.36</v>
      </c>
      <c r="AF890" s="133"/>
      <c r="AG890" s="133"/>
      <c r="AH890" s="133"/>
      <c r="AI890" s="133"/>
      <c r="AJ890" s="133"/>
      <c r="AK890" s="133"/>
      <c r="AL890" s="133"/>
      <c r="AM890" s="133"/>
      <c r="AN890" s="133"/>
      <c r="AO890" s="133"/>
      <c r="AP890" s="133"/>
      <c r="AQ890" s="133"/>
      <c r="AR890" s="133"/>
      <c r="AS890" s="153">
        <v>0</v>
      </c>
      <c r="AT890" s="153">
        <v>0</v>
      </c>
      <c r="AU890" s="153">
        <v>0</v>
      </c>
      <c r="AV890" s="153">
        <v>0</v>
      </c>
      <c r="AW890" s="153">
        <v>0</v>
      </c>
      <c r="AX890" s="153">
        <v>0</v>
      </c>
      <c r="AY890" s="135"/>
      <c r="AZ890" s="135"/>
      <c r="BA890" s="135"/>
      <c r="BB890" s="135"/>
      <c r="BC890" s="135"/>
      <c r="BD890" s="135"/>
      <c r="BE890" s="135"/>
      <c r="BF890" s="135"/>
      <c r="BG890" s="135"/>
      <c r="BH890" s="135"/>
      <c r="BI890" s="2" t="s">
        <v>112</v>
      </c>
      <c r="BJ890" s="136">
        <v>45663</v>
      </c>
      <c r="BK890" s="2" t="s">
        <v>145</v>
      </c>
      <c r="BL890" s="136" t="s">
        <v>18</v>
      </c>
      <c r="BM890" s="136">
        <v>45300</v>
      </c>
      <c r="BN890" s="2" t="s">
        <v>3116</v>
      </c>
      <c r="BO890" s="2"/>
      <c r="BP890" s="205"/>
      <c r="BQ890" s="137" t="s">
        <v>134</v>
      </c>
      <c r="BR890" s="138"/>
    </row>
    <row r="891" spans="1:70" ht="12.75" customHeight="1" x14ac:dyDescent="0.2">
      <c r="A891" s="2">
        <v>2380</v>
      </c>
      <c r="B891" s="2" t="s">
        <v>39</v>
      </c>
      <c r="C891" s="2" t="s">
        <v>74</v>
      </c>
      <c r="D891" s="2" t="s">
        <v>3034</v>
      </c>
      <c r="E891" s="2" t="s">
        <v>90</v>
      </c>
      <c r="F891" s="132">
        <v>67997</v>
      </c>
      <c r="G891" s="132" t="s">
        <v>3789</v>
      </c>
      <c r="H891" s="132">
        <f>R891</f>
        <v>56882.14</v>
      </c>
      <c r="I891" s="132"/>
      <c r="J891" s="132">
        <f>S891+BC891</f>
        <v>56882.14</v>
      </c>
      <c r="K891" s="132">
        <f t="shared" si="90"/>
        <v>11114.86</v>
      </c>
      <c r="L891" s="132">
        <f t="shared" si="86"/>
        <v>0</v>
      </c>
      <c r="M891" s="133">
        <v>686</v>
      </c>
      <c r="N891" s="133">
        <f t="shared" si="89"/>
        <v>0</v>
      </c>
      <c r="O891" s="134">
        <v>1</v>
      </c>
      <c r="P891" s="133"/>
      <c r="Q891" s="2" t="s">
        <v>2982</v>
      </c>
      <c r="R891" s="156">
        <f t="shared" si="87"/>
        <v>56882.14</v>
      </c>
      <c r="S891" s="156">
        <f t="shared" si="88"/>
        <v>14509.14</v>
      </c>
      <c r="T891" s="133"/>
      <c r="U891" s="133"/>
      <c r="V891" s="133"/>
      <c r="W891" s="133"/>
      <c r="X891" s="133">
        <v>50000</v>
      </c>
      <c r="Y891" s="133"/>
      <c r="Z891" s="133"/>
      <c r="AA891" s="133">
        <v>7627.12</v>
      </c>
      <c r="AB891" s="133"/>
      <c r="AC891" s="133"/>
      <c r="AD891" s="133">
        <v>6882.14</v>
      </c>
      <c r="AE891" s="133"/>
      <c r="AF891" s="133"/>
      <c r="AG891" s="133">
        <f>1049.81</f>
        <v>1049.81</v>
      </c>
      <c r="AH891" s="133"/>
      <c r="AI891" s="133"/>
      <c r="AJ891" s="133"/>
      <c r="AK891" s="133">
        <v>5832.2099999999991</v>
      </c>
      <c r="AL891" s="133"/>
      <c r="AM891" s="133"/>
      <c r="AN891" s="133"/>
      <c r="AO891" s="133"/>
      <c r="AP891" s="133"/>
      <c r="AQ891" s="133"/>
      <c r="AR891" s="133"/>
      <c r="AS891" s="153">
        <v>0</v>
      </c>
      <c r="AT891" s="153">
        <v>0</v>
      </c>
      <c r="AU891" s="153">
        <v>0</v>
      </c>
      <c r="AV891" s="153">
        <v>0</v>
      </c>
      <c r="AW891" s="153">
        <v>0</v>
      </c>
      <c r="AX891" s="153">
        <v>0</v>
      </c>
      <c r="AY891" s="135"/>
      <c r="AZ891" s="135"/>
      <c r="BA891" s="135"/>
      <c r="BB891" s="135"/>
      <c r="BC891" s="135">
        <v>42373</v>
      </c>
      <c r="BD891" s="135">
        <v>6387.86</v>
      </c>
      <c r="BE891" s="135">
        <f>(H891/1.18-AT891-AW891-AZ891-BD891)*0.1-AU891-AX891-BA891-BB891</f>
        <v>4181.7343389830512</v>
      </c>
      <c r="BF891" s="135"/>
      <c r="BG891" s="135"/>
      <c r="BH891" s="135"/>
      <c r="BI891" s="2" t="s">
        <v>11</v>
      </c>
      <c r="BJ891" s="136">
        <v>45831</v>
      </c>
      <c r="BK891" s="2" t="s">
        <v>8</v>
      </c>
      <c r="BL891" s="136" t="s">
        <v>18</v>
      </c>
      <c r="BM891" s="136">
        <v>45300</v>
      </c>
      <c r="BN891" s="2" t="s">
        <v>3117</v>
      </c>
      <c r="BO891" s="2"/>
      <c r="BP891" s="205"/>
      <c r="BQ891" s="137" t="s">
        <v>119</v>
      </c>
      <c r="BR891" s="138"/>
    </row>
    <row r="892" spans="1:70" ht="12.75" customHeight="1" x14ac:dyDescent="0.2">
      <c r="A892" s="2">
        <v>2381</v>
      </c>
      <c r="B892" s="2" t="s">
        <v>100</v>
      </c>
      <c r="C892" s="2" t="s">
        <v>99</v>
      </c>
      <c r="D892" s="2" t="s">
        <v>3035</v>
      </c>
      <c r="E892" s="2" t="s">
        <v>106</v>
      </c>
      <c r="F892" s="132">
        <v>754.25</v>
      </c>
      <c r="G892" s="132">
        <v>2</v>
      </c>
      <c r="H892" s="132">
        <f>431*1.75</f>
        <v>754.25</v>
      </c>
      <c r="I892" s="132"/>
      <c r="J892" s="132">
        <v>754.25</v>
      </c>
      <c r="K892" s="132">
        <f t="shared" si="90"/>
        <v>0</v>
      </c>
      <c r="L892" s="132">
        <f t="shared" si="86"/>
        <v>0</v>
      </c>
      <c r="M892" s="133"/>
      <c r="N892" s="133">
        <f t="shared" si="89"/>
        <v>0</v>
      </c>
      <c r="O892" s="134">
        <v>0</v>
      </c>
      <c r="P892" s="133"/>
      <c r="Q892" s="2" t="s">
        <v>2983</v>
      </c>
      <c r="R892" s="156">
        <f t="shared" si="87"/>
        <v>0</v>
      </c>
      <c r="S892" s="156">
        <f t="shared" si="88"/>
        <v>0</v>
      </c>
      <c r="T892" s="133"/>
      <c r="U892" s="133"/>
      <c r="V892" s="133"/>
      <c r="W892" s="133"/>
      <c r="X892" s="133"/>
      <c r="Y892" s="133"/>
      <c r="Z892" s="133"/>
      <c r="AA892" s="133"/>
      <c r="AB892" s="133"/>
      <c r="AC892" s="133"/>
      <c r="AD892" s="133"/>
      <c r="AE892" s="133"/>
      <c r="AF892" s="133"/>
      <c r="AG892" s="133"/>
      <c r="AH892" s="133"/>
      <c r="AI892" s="133"/>
      <c r="AJ892" s="133"/>
      <c r="AK892" s="133"/>
      <c r="AL892" s="133"/>
      <c r="AM892" s="133"/>
      <c r="AN892" s="133"/>
      <c r="AO892" s="133"/>
      <c r="AP892" s="133"/>
      <c r="AQ892" s="133"/>
      <c r="AR892" s="133"/>
      <c r="AS892" s="153">
        <v>0</v>
      </c>
      <c r="AT892" s="153">
        <v>0</v>
      </c>
      <c r="AU892" s="153">
        <v>0</v>
      </c>
      <c r="AV892" s="153">
        <v>0</v>
      </c>
      <c r="AW892" s="153">
        <v>0</v>
      </c>
      <c r="AX892" s="153">
        <v>0</v>
      </c>
      <c r="AY892" s="135"/>
      <c r="AZ892" s="135"/>
      <c r="BA892" s="135"/>
      <c r="BB892" s="135"/>
      <c r="BC892" s="135"/>
      <c r="BD892" s="135"/>
      <c r="BE892" s="135"/>
      <c r="BF892" s="135"/>
      <c r="BG892" s="135"/>
      <c r="BH892" s="135"/>
      <c r="BI892" s="2" t="s">
        <v>112</v>
      </c>
      <c r="BJ892" s="136">
        <v>45646</v>
      </c>
      <c r="BK892" s="2" t="s">
        <v>145</v>
      </c>
      <c r="BL892" s="136" t="s">
        <v>18</v>
      </c>
      <c r="BM892" s="136">
        <v>45300</v>
      </c>
      <c r="BN892" s="2" t="s">
        <v>3118</v>
      </c>
      <c r="BO892" s="2"/>
      <c r="BP892" s="205"/>
      <c r="BQ892" s="137" t="s">
        <v>134</v>
      </c>
      <c r="BR892" s="138"/>
    </row>
    <row r="893" spans="1:70" ht="12.75" customHeight="1" x14ac:dyDescent="0.2">
      <c r="A893" s="2">
        <v>2382</v>
      </c>
      <c r="B893" s="2" t="s">
        <v>100</v>
      </c>
      <c r="C893" s="2" t="s">
        <v>99</v>
      </c>
      <c r="D893" s="2" t="s">
        <v>3036</v>
      </c>
      <c r="E893" s="2" t="s">
        <v>90</v>
      </c>
      <c r="F893" s="132">
        <v>70000</v>
      </c>
      <c r="G893" s="132">
        <v>2</v>
      </c>
      <c r="H893" s="132">
        <f>R893</f>
        <v>14927.12</v>
      </c>
      <c r="I893" s="132"/>
      <c r="J893" s="132">
        <f>S893+BC893</f>
        <v>14927.119999999999</v>
      </c>
      <c r="K893" s="132">
        <f t="shared" si="90"/>
        <v>55072.880000000005</v>
      </c>
      <c r="L893" s="132">
        <f t="shared" si="86"/>
        <v>0</v>
      </c>
      <c r="M893" s="133">
        <v>398</v>
      </c>
      <c r="N893" s="133">
        <f t="shared" si="89"/>
        <v>1.8189894035458565E-12</v>
      </c>
      <c r="O893" s="134">
        <v>1</v>
      </c>
      <c r="P893" s="133"/>
      <c r="Q893" s="2" t="s">
        <v>2983</v>
      </c>
      <c r="R893" s="156">
        <f t="shared" si="87"/>
        <v>14927.12</v>
      </c>
      <c r="S893" s="156">
        <f t="shared" si="88"/>
        <v>3062.71</v>
      </c>
      <c r="T893" s="133"/>
      <c r="U893" s="133"/>
      <c r="V893" s="133">
        <v>14000</v>
      </c>
      <c r="W893" s="133"/>
      <c r="X893" s="133">
        <v>927.12</v>
      </c>
      <c r="Y893" s="133">
        <v>2135.59</v>
      </c>
      <c r="Z893" s="133"/>
      <c r="AA893" s="133">
        <v>141.41999999999999</v>
      </c>
      <c r="AB893" s="133"/>
      <c r="AC893" s="133"/>
      <c r="AD893" s="133"/>
      <c r="AE893" s="133">
        <v>785.7</v>
      </c>
      <c r="AF893" s="133"/>
      <c r="AG893" s="133"/>
      <c r="AH893" s="133"/>
      <c r="AI893" s="133"/>
      <c r="AJ893" s="133"/>
      <c r="AK893" s="133"/>
      <c r="AL893" s="133"/>
      <c r="AM893" s="133"/>
      <c r="AN893" s="133"/>
      <c r="AO893" s="133"/>
      <c r="AP893" s="133"/>
      <c r="AQ893" s="133"/>
      <c r="AR893" s="133"/>
      <c r="AS893" s="153">
        <v>0</v>
      </c>
      <c r="AT893" s="153">
        <v>0</v>
      </c>
      <c r="AU893" s="153">
        <v>0</v>
      </c>
      <c r="AV893" s="153">
        <v>0</v>
      </c>
      <c r="AW893" s="153">
        <v>0</v>
      </c>
      <c r="AX893" s="153">
        <v>0</v>
      </c>
      <c r="AY893" s="135"/>
      <c r="AZ893" s="135"/>
      <c r="BA893" s="135"/>
      <c r="BB893" s="135"/>
      <c r="BC893" s="135">
        <v>11864.41</v>
      </c>
      <c r="BD893" s="135">
        <v>145.62</v>
      </c>
      <c r="BE893" s="135">
        <f>(H893/1.18-AT893-AW893-AZ893-BD893)*0.1-AU893-AX893-BA893-BB893</f>
        <v>1250.4481694915257</v>
      </c>
      <c r="BF893" s="135"/>
      <c r="BG893" s="135"/>
      <c r="BH893" s="135"/>
      <c r="BI893" s="2" t="s">
        <v>11</v>
      </c>
      <c r="BJ893" s="136">
        <v>45728</v>
      </c>
      <c r="BK893" s="2" t="s">
        <v>8</v>
      </c>
      <c r="BL893" s="136" t="s">
        <v>18</v>
      </c>
      <c r="BM893" s="136">
        <v>45300</v>
      </c>
      <c r="BN893" s="2" t="s">
        <v>3119</v>
      </c>
      <c r="BO893" s="2"/>
      <c r="BP893" s="205"/>
      <c r="BQ893" s="137" t="s">
        <v>119</v>
      </c>
      <c r="BR893" s="138"/>
    </row>
    <row r="894" spans="1:70" ht="12.75" customHeight="1" x14ac:dyDescent="0.2">
      <c r="A894" s="2">
        <v>2383</v>
      </c>
      <c r="B894" s="2" t="s">
        <v>39</v>
      </c>
      <c r="C894" s="2" t="s">
        <v>74</v>
      </c>
      <c r="D894" s="2" t="s">
        <v>3037</v>
      </c>
      <c r="E894" s="2" t="s">
        <v>106</v>
      </c>
      <c r="F894" s="132">
        <v>0</v>
      </c>
      <c r="G894" s="132">
        <v>2</v>
      </c>
      <c r="H894" s="132">
        <f>R894</f>
        <v>0</v>
      </c>
      <c r="I894" s="132"/>
      <c r="J894" s="132">
        <f>S894</f>
        <v>0</v>
      </c>
      <c r="K894" s="132">
        <f t="shared" si="90"/>
        <v>0</v>
      </c>
      <c r="L894" s="132">
        <f t="shared" si="86"/>
        <v>0</v>
      </c>
      <c r="M894" s="133"/>
      <c r="N894" s="133">
        <f t="shared" si="89"/>
        <v>0</v>
      </c>
      <c r="O894" s="134">
        <v>2</v>
      </c>
      <c r="P894" s="133"/>
      <c r="Q894" s="2" t="s">
        <v>2984</v>
      </c>
      <c r="R894" s="156">
        <f t="shared" si="87"/>
        <v>0</v>
      </c>
      <c r="S894" s="156">
        <f t="shared" si="88"/>
        <v>0</v>
      </c>
      <c r="T894" s="133"/>
      <c r="U894" s="133"/>
      <c r="V894" s="133"/>
      <c r="W894" s="133"/>
      <c r="X894" s="133"/>
      <c r="Y894" s="133"/>
      <c r="Z894" s="133"/>
      <c r="AA894" s="133"/>
      <c r="AB894" s="133"/>
      <c r="AC894" s="133"/>
      <c r="AD894" s="133"/>
      <c r="AE894" s="133"/>
      <c r="AF894" s="133"/>
      <c r="AG894" s="133"/>
      <c r="AH894" s="133"/>
      <c r="AI894" s="133"/>
      <c r="AJ894" s="133"/>
      <c r="AK894" s="133"/>
      <c r="AL894" s="133"/>
      <c r="AM894" s="133"/>
      <c r="AN894" s="133"/>
      <c r="AO894" s="133"/>
      <c r="AP894" s="133"/>
      <c r="AQ894" s="133"/>
      <c r="AR894" s="133"/>
      <c r="AS894" s="153">
        <v>0</v>
      </c>
      <c r="AT894" s="153">
        <v>0</v>
      </c>
      <c r="AU894" s="153">
        <v>0</v>
      </c>
      <c r="AV894" s="153">
        <v>0</v>
      </c>
      <c r="AW894" s="153">
        <v>0</v>
      </c>
      <c r="AX894" s="153">
        <v>0</v>
      </c>
      <c r="AY894" s="135"/>
      <c r="AZ894" s="135"/>
      <c r="BA894" s="135"/>
      <c r="BB894" s="135"/>
      <c r="BC894" s="135"/>
      <c r="BD894" s="135"/>
      <c r="BE894" s="135"/>
      <c r="BF894" s="135"/>
      <c r="BG894" s="135"/>
      <c r="BH894" s="135"/>
      <c r="BI894" s="2" t="s">
        <v>112</v>
      </c>
      <c r="BJ894" s="136"/>
      <c r="BK894" s="2">
        <v>0</v>
      </c>
      <c r="BL894" s="136" t="s">
        <v>18</v>
      </c>
      <c r="BM894" s="136">
        <v>45300</v>
      </c>
      <c r="BN894" s="2" t="s">
        <v>3120</v>
      </c>
      <c r="BO894" s="2"/>
      <c r="BP894" s="205"/>
      <c r="BQ894" s="137" t="s">
        <v>134</v>
      </c>
      <c r="BR894" s="138"/>
    </row>
    <row r="895" spans="1:70" ht="12.75" customHeight="1" x14ac:dyDescent="0.2">
      <c r="A895" s="2">
        <v>2384</v>
      </c>
      <c r="B895" s="2" t="s">
        <v>39</v>
      </c>
      <c r="C895" s="2" t="s">
        <v>74</v>
      </c>
      <c r="D895" s="2" t="s">
        <v>3038</v>
      </c>
      <c r="E895" s="2" t="s">
        <v>90</v>
      </c>
      <c r="F895" s="132">
        <v>50000</v>
      </c>
      <c r="G895" s="132">
        <v>2</v>
      </c>
      <c r="H895" s="132">
        <f>R895</f>
        <v>41000</v>
      </c>
      <c r="I895" s="132"/>
      <c r="J895" s="132">
        <f>S895+BC895</f>
        <v>6254.2370000000001</v>
      </c>
      <c r="K895" s="132">
        <f t="shared" si="90"/>
        <v>43745.762999999999</v>
      </c>
      <c r="L895" s="132">
        <f t="shared" si="86"/>
        <v>34745.762999999999</v>
      </c>
      <c r="M895" s="133"/>
      <c r="N895" s="133">
        <f t="shared" si="89"/>
        <v>43745.762999999999</v>
      </c>
      <c r="O895" s="134">
        <v>1</v>
      </c>
      <c r="P895" s="133"/>
      <c r="Q895" s="2" t="s">
        <v>2984</v>
      </c>
      <c r="R895" s="156">
        <f t="shared" si="87"/>
        <v>41000</v>
      </c>
      <c r="S895" s="156">
        <f t="shared" si="88"/>
        <v>6254.2370000000001</v>
      </c>
      <c r="T895" s="133"/>
      <c r="U895" s="133"/>
      <c r="V895" s="133">
        <v>41000</v>
      </c>
      <c r="W895" s="133"/>
      <c r="X895" s="133"/>
      <c r="Y895" s="133">
        <v>6254.2370000000001</v>
      </c>
      <c r="Z895" s="133"/>
      <c r="AA895" s="133"/>
      <c r="AB895" s="133"/>
      <c r="AC895" s="133"/>
      <c r="AD895" s="133"/>
      <c r="AE895" s="133"/>
      <c r="AF895" s="133"/>
      <c r="AG895" s="133"/>
      <c r="AH895" s="133"/>
      <c r="AI895" s="133"/>
      <c r="AJ895" s="133"/>
      <c r="AK895" s="133"/>
      <c r="AL895" s="133"/>
      <c r="AM895" s="133"/>
      <c r="AN895" s="133"/>
      <c r="AO895" s="133"/>
      <c r="AP895" s="133"/>
      <c r="AQ895" s="133"/>
      <c r="AR895" s="133"/>
      <c r="AS895" s="153">
        <v>0</v>
      </c>
      <c r="AT895" s="153">
        <v>0</v>
      </c>
      <c r="AU895" s="153">
        <v>0</v>
      </c>
      <c r="AV895" s="153">
        <v>0</v>
      </c>
      <c r="AW895" s="153">
        <v>0</v>
      </c>
      <c r="AX895" s="153">
        <v>0</v>
      </c>
      <c r="AY895" s="135"/>
      <c r="AZ895" s="135"/>
      <c r="BA895" s="135"/>
      <c r="BB895" s="135"/>
      <c r="BC895" s="135"/>
      <c r="BD895" s="135"/>
      <c r="BE895" s="135"/>
      <c r="BF895" s="135"/>
      <c r="BG895" s="135"/>
      <c r="BH895" s="135"/>
      <c r="BI895" s="2" t="s">
        <v>11</v>
      </c>
      <c r="BJ895" s="136"/>
      <c r="BK895" s="2">
        <v>0</v>
      </c>
      <c r="BL895" s="136" t="s">
        <v>18</v>
      </c>
      <c r="BM895" s="136">
        <v>45300</v>
      </c>
      <c r="BN895" s="2" t="s">
        <v>3121</v>
      </c>
      <c r="BO895" s="2"/>
      <c r="BP895" s="205"/>
      <c r="BQ895" s="137" t="s">
        <v>119</v>
      </c>
      <c r="BR895" s="138"/>
    </row>
    <row r="896" spans="1:70" ht="12.75" customHeight="1" x14ac:dyDescent="0.2">
      <c r="A896" s="2">
        <v>2385</v>
      </c>
      <c r="B896" s="2" t="s">
        <v>39</v>
      </c>
      <c r="C896" s="2" t="s">
        <v>94</v>
      </c>
      <c r="D896" s="2" t="s">
        <v>3039</v>
      </c>
      <c r="E896" s="2" t="s">
        <v>106</v>
      </c>
      <c r="F896" s="132">
        <v>0</v>
      </c>
      <c r="G896" s="132">
        <v>2</v>
      </c>
      <c r="H896" s="132"/>
      <c r="I896" s="132"/>
      <c r="J896" s="132"/>
      <c r="K896" s="132">
        <f t="shared" si="90"/>
        <v>0</v>
      </c>
      <c r="L896" s="132">
        <f t="shared" si="86"/>
        <v>0</v>
      </c>
      <c r="M896" s="133"/>
      <c r="N896" s="133">
        <f t="shared" si="89"/>
        <v>0</v>
      </c>
      <c r="O896" s="134">
        <v>2</v>
      </c>
      <c r="P896" s="133"/>
      <c r="Q896" s="2" t="s">
        <v>2985</v>
      </c>
      <c r="R896" s="156">
        <f t="shared" si="87"/>
        <v>0</v>
      </c>
      <c r="S896" s="156">
        <f t="shared" si="88"/>
        <v>0</v>
      </c>
      <c r="T896" s="133"/>
      <c r="U896" s="133"/>
      <c r="V896" s="133"/>
      <c r="W896" s="133"/>
      <c r="X896" s="133"/>
      <c r="Y896" s="133"/>
      <c r="Z896" s="133"/>
      <c r="AA896" s="133"/>
      <c r="AB896" s="133"/>
      <c r="AC896" s="133"/>
      <c r="AD896" s="133"/>
      <c r="AE896" s="133"/>
      <c r="AF896" s="133"/>
      <c r="AG896" s="133"/>
      <c r="AH896" s="133"/>
      <c r="AI896" s="133"/>
      <c r="AJ896" s="133"/>
      <c r="AK896" s="133"/>
      <c r="AL896" s="133"/>
      <c r="AM896" s="133"/>
      <c r="AN896" s="133"/>
      <c r="AO896" s="133"/>
      <c r="AP896" s="133"/>
      <c r="AQ896" s="133"/>
      <c r="AR896" s="133"/>
      <c r="AS896" s="153">
        <v>0</v>
      </c>
      <c r="AT896" s="153">
        <v>0</v>
      </c>
      <c r="AU896" s="153">
        <v>0</v>
      </c>
      <c r="AV896" s="153">
        <v>0</v>
      </c>
      <c r="AW896" s="153">
        <v>0</v>
      </c>
      <c r="AX896" s="153">
        <v>0</v>
      </c>
      <c r="AY896" s="135"/>
      <c r="AZ896" s="135"/>
      <c r="BA896" s="135"/>
      <c r="BB896" s="135"/>
      <c r="BC896" s="135"/>
      <c r="BD896" s="135"/>
      <c r="BE896" s="135"/>
      <c r="BF896" s="135"/>
      <c r="BG896" s="135"/>
      <c r="BH896" s="135"/>
      <c r="BI896" s="2" t="s">
        <v>112</v>
      </c>
      <c r="BJ896" s="136"/>
      <c r="BK896" s="2">
        <v>0</v>
      </c>
      <c r="BL896" s="136" t="s">
        <v>18</v>
      </c>
      <c r="BM896" s="136">
        <v>45300</v>
      </c>
      <c r="BN896" s="2" t="s">
        <v>3122</v>
      </c>
      <c r="BO896" s="2"/>
      <c r="BP896" s="205"/>
      <c r="BQ896" s="137" t="s">
        <v>134</v>
      </c>
      <c r="BR896" s="138"/>
    </row>
    <row r="897" spans="1:70" ht="12.75" customHeight="1" x14ac:dyDescent="0.2">
      <c r="A897" s="2">
        <v>2386</v>
      </c>
      <c r="B897" s="2" t="s">
        <v>39</v>
      </c>
      <c r="C897" s="2" t="s">
        <v>94</v>
      </c>
      <c r="D897" s="2" t="s">
        <v>3040</v>
      </c>
      <c r="E897" s="2" t="s">
        <v>90</v>
      </c>
      <c r="F897" s="132">
        <v>40000</v>
      </c>
      <c r="G897" s="132">
        <v>2</v>
      </c>
      <c r="H897" s="132"/>
      <c r="I897" s="132"/>
      <c r="J897" s="132"/>
      <c r="K897" s="132">
        <f t="shared" si="90"/>
        <v>40000</v>
      </c>
      <c r="L897" s="132">
        <f t="shared" si="86"/>
        <v>0</v>
      </c>
      <c r="M897" s="133"/>
      <c r="N897" s="133">
        <f t="shared" si="89"/>
        <v>40000</v>
      </c>
      <c r="O897" s="134">
        <v>1</v>
      </c>
      <c r="P897" s="133"/>
      <c r="Q897" s="2" t="s">
        <v>2985</v>
      </c>
      <c r="R897" s="156">
        <f t="shared" si="87"/>
        <v>0</v>
      </c>
      <c r="S897" s="156">
        <f t="shared" si="88"/>
        <v>0</v>
      </c>
      <c r="T897" s="133"/>
      <c r="U897" s="133"/>
      <c r="V897" s="133"/>
      <c r="W897" s="133"/>
      <c r="X897" s="133"/>
      <c r="Y897" s="133"/>
      <c r="Z897" s="133"/>
      <c r="AA897" s="133"/>
      <c r="AB897" s="133"/>
      <c r="AC897" s="133"/>
      <c r="AD897" s="133"/>
      <c r="AE897" s="133"/>
      <c r="AF897" s="133"/>
      <c r="AG897" s="133"/>
      <c r="AH897" s="133"/>
      <c r="AI897" s="133"/>
      <c r="AJ897" s="133"/>
      <c r="AK897" s="133"/>
      <c r="AL897" s="133"/>
      <c r="AM897" s="133"/>
      <c r="AN897" s="133"/>
      <c r="AO897" s="133"/>
      <c r="AP897" s="133"/>
      <c r="AQ897" s="133"/>
      <c r="AR897" s="133"/>
      <c r="AS897" s="153">
        <v>0</v>
      </c>
      <c r="AT897" s="153">
        <v>0</v>
      </c>
      <c r="AU897" s="153">
        <v>0</v>
      </c>
      <c r="AV897" s="153">
        <v>0</v>
      </c>
      <c r="AW897" s="153">
        <v>0</v>
      </c>
      <c r="AX897" s="153">
        <v>0</v>
      </c>
      <c r="AY897" s="135"/>
      <c r="AZ897" s="135"/>
      <c r="BA897" s="135"/>
      <c r="BB897" s="135"/>
      <c r="BC897" s="135"/>
      <c r="BD897" s="135"/>
      <c r="BE897" s="135"/>
      <c r="BF897" s="135"/>
      <c r="BG897" s="135"/>
      <c r="BH897" s="135"/>
      <c r="BI897" s="2" t="s">
        <v>11</v>
      </c>
      <c r="BJ897" s="136"/>
      <c r="BK897" s="2">
        <v>0</v>
      </c>
      <c r="BL897" s="136" t="s">
        <v>18</v>
      </c>
      <c r="BM897" s="136">
        <v>45300</v>
      </c>
      <c r="BN897" s="2" t="s">
        <v>3123</v>
      </c>
      <c r="BO897" s="2"/>
      <c r="BP897" s="205"/>
      <c r="BQ897" s="137" t="s">
        <v>119</v>
      </c>
      <c r="BR897" s="138"/>
    </row>
    <row r="898" spans="1:70" ht="12.75" customHeight="1" x14ac:dyDescent="0.2">
      <c r="A898" s="2">
        <v>2387</v>
      </c>
      <c r="B898" s="2" t="s">
        <v>100</v>
      </c>
      <c r="C898" s="2" t="s">
        <v>95</v>
      </c>
      <c r="D898" s="2" t="s">
        <v>3041</v>
      </c>
      <c r="E898" s="2" t="s">
        <v>106</v>
      </c>
      <c r="F898" s="132">
        <v>2929.5</v>
      </c>
      <c r="G898" s="132">
        <v>2</v>
      </c>
      <c r="H898" s="132">
        <f>1674*1.75</f>
        <v>2929.5</v>
      </c>
      <c r="I898" s="132"/>
      <c r="J898" s="132">
        <f>S898</f>
        <v>2929.5</v>
      </c>
      <c r="K898" s="132">
        <f t="shared" si="90"/>
        <v>0</v>
      </c>
      <c r="L898" s="132">
        <f t="shared" si="86"/>
        <v>0</v>
      </c>
      <c r="M898" s="133"/>
      <c r="N898" s="133">
        <f t="shared" si="89"/>
        <v>0</v>
      </c>
      <c r="O898" s="134">
        <v>2</v>
      </c>
      <c r="P898" s="133"/>
      <c r="Q898" s="2" t="s">
        <v>2986</v>
      </c>
      <c r="R898" s="156">
        <f t="shared" si="87"/>
        <v>0</v>
      </c>
      <c r="S898" s="156">
        <f t="shared" si="88"/>
        <v>2929.5</v>
      </c>
      <c r="T898" s="133"/>
      <c r="U898" s="133">
        <f>446.87</f>
        <v>446.87</v>
      </c>
      <c r="V898" s="133"/>
      <c r="W898" s="133"/>
      <c r="X898" s="133"/>
      <c r="Y898" s="133"/>
      <c r="Z898" s="133"/>
      <c r="AA898" s="133"/>
      <c r="AB898" s="133"/>
      <c r="AC898" s="133"/>
      <c r="AD898" s="133"/>
      <c r="AE898" s="133">
        <v>2482.63</v>
      </c>
      <c r="AF898" s="133"/>
      <c r="AG898" s="133"/>
      <c r="AH898" s="133"/>
      <c r="AI898" s="133"/>
      <c r="AJ898" s="133"/>
      <c r="AK898" s="133"/>
      <c r="AL898" s="133"/>
      <c r="AM898" s="133"/>
      <c r="AN898" s="133"/>
      <c r="AO898" s="133"/>
      <c r="AP898" s="133"/>
      <c r="AQ898" s="133"/>
      <c r="AR898" s="133"/>
      <c r="AS898" s="153">
        <v>0</v>
      </c>
      <c r="AT898" s="153">
        <v>0</v>
      </c>
      <c r="AU898" s="153">
        <v>0</v>
      </c>
      <c r="AV898" s="153">
        <v>0</v>
      </c>
      <c r="AW898" s="153">
        <v>0</v>
      </c>
      <c r="AX898" s="153">
        <v>0</v>
      </c>
      <c r="AY898" s="135"/>
      <c r="AZ898" s="135"/>
      <c r="BA898" s="135"/>
      <c r="BB898" s="135"/>
      <c r="BC898" s="135"/>
      <c r="BD898" s="135"/>
      <c r="BE898" s="135"/>
      <c r="BF898" s="135"/>
      <c r="BG898" s="135"/>
      <c r="BH898" s="135"/>
      <c r="BI898" s="2" t="s">
        <v>112</v>
      </c>
      <c r="BJ898" s="136">
        <v>45645</v>
      </c>
      <c r="BK898" s="2" t="s">
        <v>145</v>
      </c>
      <c r="BL898" s="136" t="s">
        <v>18</v>
      </c>
      <c r="BM898" s="136">
        <v>45300</v>
      </c>
      <c r="BN898" s="2" t="s">
        <v>3124</v>
      </c>
      <c r="BO898" s="2"/>
      <c r="BP898" s="205"/>
      <c r="BQ898" s="137" t="s">
        <v>134</v>
      </c>
      <c r="BR898" s="138"/>
    </row>
    <row r="899" spans="1:70" ht="12.75" customHeight="1" x14ac:dyDescent="0.2">
      <c r="A899" s="2">
        <v>2388</v>
      </c>
      <c r="B899" s="2" t="s">
        <v>100</v>
      </c>
      <c r="C899" s="2" t="s">
        <v>95</v>
      </c>
      <c r="D899" s="2" t="s">
        <v>3042</v>
      </c>
      <c r="E899" s="2" t="s">
        <v>90</v>
      </c>
      <c r="F899" s="132">
        <v>40000</v>
      </c>
      <c r="G899" s="132">
        <v>2</v>
      </c>
      <c r="H899" s="132">
        <f>R899</f>
        <v>156000</v>
      </c>
      <c r="I899" s="132"/>
      <c r="J899" s="132">
        <f>S899</f>
        <v>23796.61</v>
      </c>
      <c r="K899" s="132">
        <f t="shared" si="90"/>
        <v>16203.39</v>
      </c>
      <c r="L899" s="132">
        <f t="shared" si="86"/>
        <v>132203.39000000001</v>
      </c>
      <c r="M899" s="133"/>
      <c r="N899" s="133">
        <f t="shared" si="89"/>
        <v>16203.39</v>
      </c>
      <c r="O899" s="134">
        <v>1</v>
      </c>
      <c r="P899" s="133"/>
      <c r="Q899" s="2" t="s">
        <v>2986</v>
      </c>
      <c r="R899" s="156">
        <f t="shared" si="87"/>
        <v>156000</v>
      </c>
      <c r="S899" s="156">
        <f t="shared" si="88"/>
        <v>23796.61</v>
      </c>
      <c r="T899" s="133"/>
      <c r="U899" s="133"/>
      <c r="V899" s="133">
        <v>156000</v>
      </c>
      <c r="W899" s="133"/>
      <c r="X899" s="133"/>
      <c r="Y899" s="133">
        <v>23796.61</v>
      </c>
      <c r="Z899" s="133"/>
      <c r="AA899" s="133"/>
      <c r="AB899" s="133"/>
      <c r="AC899" s="133"/>
      <c r="AD899" s="133"/>
      <c r="AE899" s="133"/>
      <c r="AF899" s="133"/>
      <c r="AG899" s="133"/>
      <c r="AH899" s="133"/>
      <c r="AI899" s="133"/>
      <c r="AJ899" s="133"/>
      <c r="AK899" s="133"/>
      <c r="AL899" s="133"/>
      <c r="AM899" s="133"/>
      <c r="AN899" s="133"/>
      <c r="AO899" s="133"/>
      <c r="AP899" s="133"/>
      <c r="AQ899" s="133"/>
      <c r="AR899" s="133"/>
      <c r="AS899" s="153">
        <v>0</v>
      </c>
      <c r="AT899" s="153">
        <v>0</v>
      </c>
      <c r="AU899" s="153">
        <v>0</v>
      </c>
      <c r="AV899" s="153">
        <v>0</v>
      </c>
      <c r="AW899" s="153">
        <v>0</v>
      </c>
      <c r="AX899" s="153">
        <v>0</v>
      </c>
      <c r="AY899" s="135"/>
      <c r="AZ899" s="135"/>
      <c r="BA899" s="135"/>
      <c r="BB899" s="135"/>
      <c r="BC899" s="135"/>
      <c r="BD899" s="135"/>
      <c r="BE899" s="135"/>
      <c r="BF899" s="135"/>
      <c r="BG899" s="135"/>
      <c r="BH899" s="135"/>
      <c r="BI899" s="2" t="s">
        <v>11</v>
      </c>
      <c r="BJ899" s="136"/>
      <c r="BK899" s="2">
        <v>99</v>
      </c>
      <c r="BL899" s="136" t="s">
        <v>18</v>
      </c>
      <c r="BM899" s="136">
        <v>45300</v>
      </c>
      <c r="BN899" s="2" t="s">
        <v>3125</v>
      </c>
      <c r="BO899" s="2"/>
      <c r="BP899" s="205"/>
      <c r="BQ899" s="137" t="s">
        <v>119</v>
      </c>
      <c r="BR899" s="138"/>
    </row>
    <row r="900" spans="1:70" ht="12.75" customHeight="1" x14ac:dyDescent="0.2">
      <c r="A900" s="2">
        <v>2389</v>
      </c>
      <c r="B900" s="2" t="s">
        <v>39</v>
      </c>
      <c r="C900" s="2" t="s">
        <v>74</v>
      </c>
      <c r="D900" s="2" t="s">
        <v>3043</v>
      </c>
      <c r="E900" s="2" t="s">
        <v>106</v>
      </c>
      <c r="F900" s="132">
        <v>663.94999999999993</v>
      </c>
      <c r="G900" s="132">
        <v>2</v>
      </c>
      <c r="H900" s="132">
        <f>379.4*1.75</f>
        <v>663.94999999999993</v>
      </c>
      <c r="I900" s="132"/>
      <c r="J900" s="132">
        <f>101.28+562.67</f>
        <v>663.94999999999993</v>
      </c>
      <c r="K900" s="132">
        <f t="shared" si="90"/>
        <v>0</v>
      </c>
      <c r="L900" s="132">
        <f t="shared" si="86"/>
        <v>0</v>
      </c>
      <c r="M900" s="133"/>
      <c r="N900" s="133">
        <f t="shared" si="89"/>
        <v>0</v>
      </c>
      <c r="O900" s="134">
        <v>0</v>
      </c>
      <c r="P900" s="133"/>
      <c r="Q900" s="2" t="s">
        <v>2987</v>
      </c>
      <c r="R900" s="156">
        <f t="shared" si="87"/>
        <v>0</v>
      </c>
      <c r="S900" s="156">
        <f t="shared" si="88"/>
        <v>0</v>
      </c>
      <c r="T900" s="133"/>
      <c r="U900" s="133"/>
      <c r="V900" s="133"/>
      <c r="W900" s="133"/>
      <c r="X900" s="133"/>
      <c r="Y900" s="133"/>
      <c r="Z900" s="133"/>
      <c r="AA900" s="133"/>
      <c r="AB900" s="133"/>
      <c r="AC900" s="133"/>
      <c r="AD900" s="133"/>
      <c r="AE900" s="133"/>
      <c r="AF900" s="133"/>
      <c r="AG900" s="133"/>
      <c r="AH900" s="133"/>
      <c r="AI900" s="133"/>
      <c r="AJ900" s="133"/>
      <c r="AK900" s="133"/>
      <c r="AL900" s="133"/>
      <c r="AM900" s="133"/>
      <c r="AN900" s="133"/>
      <c r="AO900" s="133"/>
      <c r="AP900" s="133"/>
      <c r="AQ900" s="133"/>
      <c r="AR900" s="133"/>
      <c r="AS900" s="153">
        <v>0</v>
      </c>
      <c r="AT900" s="153">
        <v>0</v>
      </c>
      <c r="AU900" s="153">
        <v>0</v>
      </c>
      <c r="AV900" s="153">
        <v>0</v>
      </c>
      <c r="AW900" s="153">
        <v>0</v>
      </c>
      <c r="AX900" s="153">
        <v>0</v>
      </c>
      <c r="AY900" s="135"/>
      <c r="AZ900" s="135"/>
      <c r="BA900" s="135"/>
      <c r="BB900" s="135"/>
      <c r="BC900" s="135"/>
      <c r="BD900" s="135"/>
      <c r="BE900" s="135"/>
      <c r="BF900" s="135"/>
      <c r="BG900" s="135"/>
      <c r="BH900" s="135"/>
      <c r="BI900" s="2" t="s">
        <v>112</v>
      </c>
      <c r="BJ900" s="136">
        <v>45597</v>
      </c>
      <c r="BK900" s="2" t="s">
        <v>145</v>
      </c>
      <c r="BL900" s="136" t="s">
        <v>18</v>
      </c>
      <c r="BM900" s="136">
        <v>45300</v>
      </c>
      <c r="BN900" s="2" t="s">
        <v>3126</v>
      </c>
      <c r="BO900" s="2"/>
      <c r="BP900" s="205"/>
      <c r="BQ900" s="137" t="s">
        <v>134</v>
      </c>
      <c r="BR900" s="138"/>
    </row>
    <row r="901" spans="1:70" ht="12.75" customHeight="1" x14ac:dyDescent="0.2">
      <c r="A901" s="2">
        <v>2390</v>
      </c>
      <c r="B901" s="2" t="s">
        <v>39</v>
      </c>
      <c r="C901" s="2" t="s">
        <v>74</v>
      </c>
      <c r="D901" s="2" t="s">
        <v>3044</v>
      </c>
      <c r="E901" s="2" t="s">
        <v>90</v>
      </c>
      <c r="F901" s="132">
        <v>35000</v>
      </c>
      <c r="G901" s="132">
        <v>2</v>
      </c>
      <c r="H901" s="132">
        <f>R901</f>
        <v>37443.78</v>
      </c>
      <c r="I901" s="132"/>
      <c r="J901" s="132">
        <f>S901+BC901</f>
        <v>37443.775000000001</v>
      </c>
      <c r="K901" s="132">
        <f t="shared" si="90"/>
        <v>-2443.7750000000015</v>
      </c>
      <c r="L901" s="132">
        <f t="shared" si="86"/>
        <v>4.9999999973806553E-3</v>
      </c>
      <c r="M901" s="133">
        <v>398</v>
      </c>
      <c r="N901" s="133">
        <f t="shared" si="89"/>
        <v>4.9999999973806553E-3</v>
      </c>
      <c r="O901" s="134">
        <v>1</v>
      </c>
      <c r="P901" s="133"/>
      <c r="Q901" s="2" t="s">
        <v>2987</v>
      </c>
      <c r="R901" s="156">
        <f t="shared" si="87"/>
        <v>37443.78</v>
      </c>
      <c r="S901" s="156">
        <f t="shared" si="88"/>
        <v>6935.3049999999994</v>
      </c>
      <c r="T901" s="133">
        <v>36000</v>
      </c>
      <c r="U901" s="133"/>
      <c r="V901" s="133"/>
      <c r="W901" s="133">
        <f>5491.525</f>
        <v>5491.5249999999996</v>
      </c>
      <c r="X901" s="133">
        <v>1443.78</v>
      </c>
      <c r="Y901" s="133"/>
      <c r="Z901" s="133"/>
      <c r="AA901" s="133">
        <v>220.24</v>
      </c>
      <c r="AB901" s="133"/>
      <c r="AC901" s="133"/>
      <c r="AD901" s="133"/>
      <c r="AE901" s="133">
        <v>1223.54</v>
      </c>
      <c r="AF901" s="133"/>
      <c r="AG901" s="133"/>
      <c r="AH901" s="133"/>
      <c r="AI901" s="133"/>
      <c r="AJ901" s="133"/>
      <c r="AK901" s="133"/>
      <c r="AL901" s="133"/>
      <c r="AM901" s="133"/>
      <c r="AN901" s="133"/>
      <c r="AO901" s="133"/>
      <c r="AP901" s="133"/>
      <c r="AQ901" s="133"/>
      <c r="AR901" s="133" t="s">
        <v>718</v>
      </c>
      <c r="AS901" s="153">
        <v>0</v>
      </c>
      <c r="AT901" s="153">
        <v>0</v>
      </c>
      <c r="AU901" s="153">
        <v>0</v>
      </c>
      <c r="AV901" s="153">
        <v>0</v>
      </c>
      <c r="AW901" s="153">
        <v>0</v>
      </c>
      <c r="AX901" s="153">
        <v>0</v>
      </c>
      <c r="AY901" s="135"/>
      <c r="AZ901" s="135"/>
      <c r="BA901" s="135"/>
      <c r="BB901" s="140">
        <f>(36000/1.18-AT901-AW901-AZ901)*0.1-BA901</f>
        <v>3050.8474576271187</v>
      </c>
      <c r="BC901" s="135">
        <v>30508.47</v>
      </c>
      <c r="BD901" s="135">
        <v>454.7</v>
      </c>
      <c r="BE901" s="135">
        <f>(H901/1.18-AT901-AW901-AZ901-BD901)*0.1-AU901-AX901-BA901-BB901</f>
        <v>76.884237288135864</v>
      </c>
      <c r="BF901" s="135"/>
      <c r="BG901" s="135"/>
      <c r="BH901" s="135"/>
      <c r="BI901" s="2" t="s">
        <v>11</v>
      </c>
      <c r="BJ901" s="136">
        <v>45728</v>
      </c>
      <c r="BK901" s="2" t="s">
        <v>8</v>
      </c>
      <c r="BL901" s="136" t="s">
        <v>18</v>
      </c>
      <c r="BM901" s="136">
        <v>45300</v>
      </c>
      <c r="BN901" s="2" t="s">
        <v>3127</v>
      </c>
      <c r="BO901" s="2"/>
      <c r="BP901" s="205"/>
      <c r="BQ901" s="137" t="s">
        <v>119</v>
      </c>
      <c r="BR901" s="138"/>
    </row>
    <row r="902" spans="1:70" ht="12.75" customHeight="1" x14ac:dyDescent="0.2">
      <c r="A902" s="2">
        <v>2391</v>
      </c>
      <c r="B902" s="2" t="s">
        <v>100</v>
      </c>
      <c r="C902" s="2" t="s">
        <v>95</v>
      </c>
      <c r="D902" s="2" t="s">
        <v>3045</v>
      </c>
      <c r="E902" s="2" t="s">
        <v>106</v>
      </c>
      <c r="F902" s="132">
        <v>0</v>
      </c>
      <c r="G902" s="132">
        <v>2</v>
      </c>
      <c r="H902" s="132"/>
      <c r="I902" s="132"/>
      <c r="J902" s="132"/>
      <c r="K902" s="132">
        <f t="shared" si="90"/>
        <v>0</v>
      </c>
      <c r="L902" s="132">
        <f t="shared" si="86"/>
        <v>0</v>
      </c>
      <c r="M902" s="133"/>
      <c r="N902" s="133">
        <f t="shared" si="89"/>
        <v>0</v>
      </c>
      <c r="O902" s="134">
        <v>2</v>
      </c>
      <c r="P902" s="133"/>
      <c r="Q902" s="2" t="s">
        <v>2988</v>
      </c>
      <c r="R902" s="156">
        <f t="shared" si="87"/>
        <v>0</v>
      </c>
      <c r="S902" s="156">
        <f t="shared" si="88"/>
        <v>0</v>
      </c>
      <c r="T902" s="133"/>
      <c r="U902" s="133"/>
      <c r="V902" s="133"/>
      <c r="W902" s="133"/>
      <c r="X902" s="133"/>
      <c r="Y902" s="133"/>
      <c r="Z902" s="133"/>
      <c r="AA902" s="133"/>
      <c r="AB902" s="133"/>
      <c r="AC902" s="133"/>
      <c r="AD902" s="133"/>
      <c r="AE902" s="133"/>
      <c r="AF902" s="133"/>
      <c r="AG902" s="133"/>
      <c r="AH902" s="133"/>
      <c r="AI902" s="133"/>
      <c r="AJ902" s="133"/>
      <c r="AK902" s="133"/>
      <c r="AL902" s="133"/>
      <c r="AM902" s="133"/>
      <c r="AN902" s="133"/>
      <c r="AO902" s="133"/>
      <c r="AP902" s="133"/>
      <c r="AQ902" s="133"/>
      <c r="AR902" s="133"/>
      <c r="AS902" s="153">
        <v>0</v>
      </c>
      <c r="AT902" s="153">
        <v>0</v>
      </c>
      <c r="AU902" s="153">
        <v>0</v>
      </c>
      <c r="AV902" s="153">
        <v>0</v>
      </c>
      <c r="AW902" s="153">
        <v>0</v>
      </c>
      <c r="AX902" s="153">
        <v>0</v>
      </c>
      <c r="AY902" s="135"/>
      <c r="AZ902" s="135"/>
      <c r="BA902" s="135"/>
      <c r="BB902" s="135"/>
      <c r="BC902" s="135"/>
      <c r="BD902" s="135"/>
      <c r="BE902" s="135"/>
      <c r="BF902" s="135"/>
      <c r="BG902" s="135"/>
      <c r="BH902" s="135"/>
      <c r="BI902" s="2" t="s">
        <v>112</v>
      </c>
      <c r="BJ902" s="136"/>
      <c r="BK902" s="2">
        <v>0</v>
      </c>
      <c r="BL902" s="136" t="s">
        <v>18</v>
      </c>
      <c r="BM902" s="136">
        <v>45300</v>
      </c>
      <c r="BN902" s="2" t="s">
        <v>3128</v>
      </c>
      <c r="BO902" s="2"/>
      <c r="BP902" s="205"/>
      <c r="BQ902" s="137" t="s">
        <v>134</v>
      </c>
      <c r="BR902" s="138"/>
    </row>
    <row r="903" spans="1:70" ht="12.75" customHeight="1" x14ac:dyDescent="0.2">
      <c r="A903" s="2">
        <v>2392</v>
      </c>
      <c r="B903" s="2" t="s">
        <v>100</v>
      </c>
      <c r="C903" s="2" t="s">
        <v>95</v>
      </c>
      <c r="D903" s="2" t="s">
        <v>3046</v>
      </c>
      <c r="E903" s="2" t="s">
        <v>90</v>
      </c>
      <c r="F903" s="132">
        <v>60000</v>
      </c>
      <c r="G903" s="132">
        <v>2</v>
      </c>
      <c r="H903" s="132">
        <f>R903</f>
        <v>1320.44</v>
      </c>
      <c r="I903" s="132"/>
      <c r="J903" s="132"/>
      <c r="K903" s="132">
        <f t="shared" si="90"/>
        <v>60000</v>
      </c>
      <c r="L903" s="132">
        <f t="shared" si="86"/>
        <v>1320.44</v>
      </c>
      <c r="M903" s="133"/>
      <c r="N903" s="133">
        <f t="shared" si="89"/>
        <v>60000</v>
      </c>
      <c r="O903" s="134">
        <v>1</v>
      </c>
      <c r="P903" s="133"/>
      <c r="Q903" s="2" t="s">
        <v>2988</v>
      </c>
      <c r="R903" s="156">
        <f t="shared" si="87"/>
        <v>1320.44</v>
      </c>
      <c r="S903" s="156">
        <f t="shared" si="88"/>
        <v>0</v>
      </c>
      <c r="T903" s="133"/>
      <c r="U903" s="133"/>
      <c r="V903" s="133"/>
      <c r="W903" s="133"/>
      <c r="X903" s="133"/>
      <c r="Y903" s="133"/>
      <c r="Z903" s="133"/>
      <c r="AA903" s="133"/>
      <c r="AB903" s="133"/>
      <c r="AC903" s="133"/>
      <c r="AD903" s="133"/>
      <c r="AE903" s="133"/>
      <c r="AF903" s="133"/>
      <c r="AG903" s="133"/>
      <c r="AH903" s="133"/>
      <c r="AI903" s="133"/>
      <c r="AJ903" s="133"/>
      <c r="AK903" s="133"/>
      <c r="AL903" s="133"/>
      <c r="AM903" s="133"/>
      <c r="AN903" s="133">
        <v>1320.44</v>
      </c>
      <c r="AO903" s="133"/>
      <c r="AP903" s="133"/>
      <c r="AQ903" s="133"/>
      <c r="AR903" s="133"/>
      <c r="AS903" s="153">
        <v>0</v>
      </c>
      <c r="AT903" s="153">
        <v>0</v>
      </c>
      <c r="AU903" s="153">
        <v>0</v>
      </c>
      <c r="AV903" s="153">
        <v>0</v>
      </c>
      <c r="AW903" s="153">
        <v>0</v>
      </c>
      <c r="AX903" s="153">
        <v>0</v>
      </c>
      <c r="AY903" s="135"/>
      <c r="AZ903" s="135"/>
      <c r="BA903" s="135"/>
      <c r="BB903" s="135"/>
      <c r="BC903" s="135"/>
      <c r="BD903" s="135"/>
      <c r="BE903" s="135"/>
      <c r="BF903" s="135"/>
      <c r="BG903" s="135"/>
      <c r="BH903" s="135"/>
      <c r="BI903" s="2" t="s">
        <v>11</v>
      </c>
      <c r="BJ903" s="136"/>
      <c r="BK903" s="2">
        <v>0</v>
      </c>
      <c r="BL903" s="136" t="s">
        <v>18</v>
      </c>
      <c r="BM903" s="136">
        <v>45300</v>
      </c>
      <c r="BN903" s="2" t="s">
        <v>3129</v>
      </c>
      <c r="BO903" s="2"/>
      <c r="BP903" s="205"/>
      <c r="BQ903" s="137" t="s">
        <v>119</v>
      </c>
      <c r="BR903" s="138"/>
    </row>
    <row r="904" spans="1:70" ht="12.75" customHeight="1" x14ac:dyDescent="0.2">
      <c r="A904" s="2">
        <v>2393</v>
      </c>
      <c r="B904" s="2" t="s">
        <v>39</v>
      </c>
      <c r="C904" s="2" t="s">
        <v>94</v>
      </c>
      <c r="D904" s="2" t="s">
        <v>3047</v>
      </c>
      <c r="E904" s="2" t="s">
        <v>106</v>
      </c>
      <c r="F904" s="132">
        <v>6303.5</v>
      </c>
      <c r="G904" s="132">
        <v>2</v>
      </c>
      <c r="H904" s="132">
        <f>3602*1.75</f>
        <v>6303.5</v>
      </c>
      <c r="I904" s="132"/>
      <c r="J904" s="132">
        <v>6303.5</v>
      </c>
      <c r="K904" s="132">
        <f t="shared" si="90"/>
        <v>0</v>
      </c>
      <c r="L904" s="132">
        <f t="shared" si="86"/>
        <v>0</v>
      </c>
      <c r="M904" s="133"/>
      <c r="N904" s="133">
        <f t="shared" si="89"/>
        <v>0</v>
      </c>
      <c r="O904" s="134">
        <v>0</v>
      </c>
      <c r="P904" s="133"/>
      <c r="Q904" s="2" t="s">
        <v>2989</v>
      </c>
      <c r="R904" s="156">
        <f t="shared" si="87"/>
        <v>0</v>
      </c>
      <c r="S904" s="156">
        <f t="shared" si="88"/>
        <v>0</v>
      </c>
      <c r="T904" s="133"/>
      <c r="U904" s="133"/>
      <c r="V904" s="133"/>
      <c r="W904" s="133"/>
      <c r="X904" s="133"/>
      <c r="Y904" s="133"/>
      <c r="Z904" s="133"/>
      <c r="AA904" s="133"/>
      <c r="AB904" s="133"/>
      <c r="AC904" s="133"/>
      <c r="AD904" s="133"/>
      <c r="AE904" s="133"/>
      <c r="AF904" s="133"/>
      <c r="AG904" s="133"/>
      <c r="AH904" s="133"/>
      <c r="AI904" s="133"/>
      <c r="AJ904" s="133"/>
      <c r="AK904" s="133"/>
      <c r="AL904" s="133"/>
      <c r="AM904" s="133"/>
      <c r="AN904" s="133"/>
      <c r="AO904" s="133"/>
      <c r="AP904" s="133"/>
      <c r="AQ904" s="133"/>
      <c r="AR904" s="133"/>
      <c r="AS904" s="153">
        <v>0</v>
      </c>
      <c r="AT904" s="153">
        <v>0</v>
      </c>
      <c r="AU904" s="153">
        <v>0</v>
      </c>
      <c r="AV904" s="153">
        <v>0</v>
      </c>
      <c r="AW904" s="153">
        <v>0</v>
      </c>
      <c r="AX904" s="153">
        <v>0</v>
      </c>
      <c r="AY904" s="135"/>
      <c r="AZ904" s="135"/>
      <c r="BA904" s="135"/>
      <c r="BB904" s="135"/>
      <c r="BC904" s="135"/>
      <c r="BD904" s="135"/>
      <c r="BE904" s="135"/>
      <c r="BF904" s="135"/>
      <c r="BG904" s="135"/>
      <c r="BH904" s="135"/>
      <c r="BI904" s="2" t="s">
        <v>112</v>
      </c>
      <c r="BJ904" s="136">
        <v>45636</v>
      </c>
      <c r="BK904" s="2" t="s">
        <v>145</v>
      </c>
      <c r="BL904" s="136" t="s">
        <v>18</v>
      </c>
      <c r="BM904" s="136">
        <v>45300</v>
      </c>
      <c r="BN904" s="2" t="s">
        <v>3130</v>
      </c>
      <c r="BO904" s="2"/>
      <c r="BP904" s="205"/>
      <c r="BQ904" s="137" t="s">
        <v>134</v>
      </c>
      <c r="BR904" s="138"/>
    </row>
    <row r="905" spans="1:70" ht="12.75" customHeight="1" x14ac:dyDescent="0.2">
      <c r="A905" s="2">
        <v>2394</v>
      </c>
      <c r="B905" s="2" t="s">
        <v>39</v>
      </c>
      <c r="C905" s="2" t="s">
        <v>94</v>
      </c>
      <c r="D905" s="2" t="s">
        <v>3048</v>
      </c>
      <c r="E905" s="2" t="s">
        <v>90</v>
      </c>
      <c r="F905" s="132">
        <v>35000</v>
      </c>
      <c r="G905" s="132">
        <v>2</v>
      </c>
      <c r="H905" s="132">
        <f>R905</f>
        <v>100000</v>
      </c>
      <c r="I905" s="132"/>
      <c r="J905" s="132">
        <f>S905+AY905+BC905</f>
        <v>100000.24</v>
      </c>
      <c r="K905" s="132">
        <f t="shared" si="90"/>
        <v>-65000.240000000005</v>
      </c>
      <c r="L905" s="132">
        <f t="shared" si="86"/>
        <v>-0.24000000000523869</v>
      </c>
      <c r="M905" s="133"/>
      <c r="N905" s="133">
        <f t="shared" si="89"/>
        <v>-65000.240000000005</v>
      </c>
      <c r="O905" s="134">
        <v>1</v>
      </c>
      <c r="P905" s="133"/>
      <c r="Q905" s="2" t="s">
        <v>2989</v>
      </c>
      <c r="R905" s="156">
        <f t="shared" si="87"/>
        <v>100000</v>
      </c>
      <c r="S905" s="156">
        <f t="shared" si="88"/>
        <v>15254.24</v>
      </c>
      <c r="T905" s="133">
        <v>100000</v>
      </c>
      <c r="U905" s="133"/>
      <c r="V905" s="133"/>
      <c r="W905" s="133">
        <f>15254.24</f>
        <v>15254.24</v>
      </c>
      <c r="X905" s="133"/>
      <c r="Y905" s="133"/>
      <c r="Z905" s="133"/>
      <c r="AA905" s="133"/>
      <c r="AB905" s="133"/>
      <c r="AC905" s="133"/>
      <c r="AD905" s="133"/>
      <c r="AE905" s="133"/>
      <c r="AF905" s="133"/>
      <c r="AG905" s="133"/>
      <c r="AH905" s="133"/>
      <c r="AI905" s="133"/>
      <c r="AJ905" s="133"/>
      <c r="AK905" s="133"/>
      <c r="AL905" s="133"/>
      <c r="AM905" s="133"/>
      <c r="AN905" s="133"/>
      <c r="AO905" s="133"/>
      <c r="AP905" s="133"/>
      <c r="AQ905" s="133"/>
      <c r="AR905" s="133"/>
      <c r="AS905" s="153">
        <v>0</v>
      </c>
      <c r="AT905" s="153">
        <v>0</v>
      </c>
      <c r="AU905" s="153">
        <v>0</v>
      </c>
      <c r="AV905" s="153">
        <v>0</v>
      </c>
      <c r="AW905" s="153">
        <v>0</v>
      </c>
      <c r="AX905" s="153">
        <v>0</v>
      </c>
      <c r="AY905" s="135"/>
      <c r="AZ905" s="135"/>
      <c r="BA905" s="135"/>
      <c r="BB905" s="135"/>
      <c r="BC905" s="135">
        <f>84746</f>
        <v>84746</v>
      </c>
      <c r="BD905" s="135"/>
      <c r="BE905" s="135"/>
      <c r="BF905" s="135"/>
      <c r="BG905" s="135"/>
      <c r="BH905" s="135"/>
      <c r="BI905" s="2" t="s">
        <v>11</v>
      </c>
      <c r="BJ905" s="136"/>
      <c r="BK905" s="2">
        <v>55</v>
      </c>
      <c r="BL905" s="136" t="s">
        <v>18</v>
      </c>
      <c r="BM905" s="136">
        <v>45300</v>
      </c>
      <c r="BN905" s="2" t="s">
        <v>3131</v>
      </c>
      <c r="BO905" s="2"/>
      <c r="BP905" s="205"/>
      <c r="BQ905" s="137" t="s">
        <v>119</v>
      </c>
      <c r="BR905" s="138"/>
    </row>
    <row r="906" spans="1:70" ht="12.75" customHeight="1" x14ac:dyDescent="0.2">
      <c r="A906" s="2">
        <v>2395</v>
      </c>
      <c r="B906" s="2" t="s">
        <v>39</v>
      </c>
      <c r="C906" s="2" t="s">
        <v>74</v>
      </c>
      <c r="D906" s="2" t="s">
        <v>3049</v>
      </c>
      <c r="E906" s="2" t="s">
        <v>106</v>
      </c>
      <c r="F906" s="132">
        <v>745.5</v>
      </c>
      <c r="G906" s="132">
        <v>2</v>
      </c>
      <c r="H906" s="132">
        <f>426*1.75</f>
        <v>745.5</v>
      </c>
      <c r="I906" s="132"/>
      <c r="J906" s="132">
        <v>745.5</v>
      </c>
      <c r="K906" s="132">
        <f t="shared" si="90"/>
        <v>0</v>
      </c>
      <c r="L906" s="132">
        <f t="shared" si="86"/>
        <v>0</v>
      </c>
      <c r="M906" s="133"/>
      <c r="N906" s="133">
        <f t="shared" si="89"/>
        <v>0</v>
      </c>
      <c r="O906" s="134">
        <v>0</v>
      </c>
      <c r="P906" s="133"/>
      <c r="Q906" s="2" t="s">
        <v>2990</v>
      </c>
      <c r="R906" s="156">
        <f t="shared" si="87"/>
        <v>0</v>
      </c>
      <c r="S906" s="156">
        <f t="shared" si="88"/>
        <v>0</v>
      </c>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53">
        <v>0</v>
      </c>
      <c r="AT906" s="153">
        <v>0</v>
      </c>
      <c r="AU906" s="153">
        <v>0</v>
      </c>
      <c r="AV906" s="153">
        <v>0</v>
      </c>
      <c r="AW906" s="153">
        <v>0</v>
      </c>
      <c r="AX906" s="153">
        <v>0</v>
      </c>
      <c r="AY906" s="135"/>
      <c r="AZ906" s="135"/>
      <c r="BA906" s="135"/>
      <c r="BB906" s="135"/>
      <c r="BC906" s="135"/>
      <c r="BD906" s="135"/>
      <c r="BE906" s="135"/>
      <c r="BF906" s="135"/>
      <c r="BG906" s="135"/>
      <c r="BH906" s="135"/>
      <c r="BI906" s="2" t="s">
        <v>112</v>
      </c>
      <c r="BJ906" s="136">
        <v>45642</v>
      </c>
      <c r="BK906" s="2" t="s">
        <v>145</v>
      </c>
      <c r="BL906" s="136" t="s">
        <v>18</v>
      </c>
      <c r="BM906" s="136">
        <v>45300</v>
      </c>
      <c r="BN906" s="2" t="s">
        <v>3132</v>
      </c>
      <c r="BO906" s="2"/>
      <c r="BP906" s="205"/>
      <c r="BQ906" s="137" t="s">
        <v>134</v>
      </c>
      <c r="BR906" s="138"/>
    </row>
    <row r="907" spans="1:70" ht="12.75" customHeight="1" x14ac:dyDescent="0.2">
      <c r="A907" s="2">
        <v>2396</v>
      </c>
      <c r="B907" s="2" t="s">
        <v>39</v>
      </c>
      <c r="C907" s="2" t="s">
        <v>74</v>
      </c>
      <c r="D907" s="2" t="s">
        <v>3050</v>
      </c>
      <c r="E907" s="2" t="s">
        <v>90</v>
      </c>
      <c r="F907" s="132">
        <v>30000</v>
      </c>
      <c r="G907" s="132">
        <v>2</v>
      </c>
      <c r="H907" s="132"/>
      <c r="I907" s="132"/>
      <c r="J907" s="132"/>
      <c r="K907" s="132">
        <f t="shared" si="90"/>
        <v>30000</v>
      </c>
      <c r="L907" s="132">
        <f t="shared" ref="L907:L970" si="91">H907-J907</f>
        <v>0</v>
      </c>
      <c r="M907" s="133"/>
      <c r="N907" s="133">
        <f t="shared" si="89"/>
        <v>30000</v>
      </c>
      <c r="O907" s="134">
        <v>1</v>
      </c>
      <c r="P907" s="133"/>
      <c r="Q907" s="2" t="s">
        <v>2990</v>
      </c>
      <c r="R907" s="156">
        <f t="shared" ref="R907:R970" si="92">T907+V907+X907+Z907+AB907+AD907+AF907+AH907+AJ907+AL907+AN907+AP907</f>
        <v>0</v>
      </c>
      <c r="S907" s="156">
        <f t="shared" ref="S907:S970" si="93">U907+W907+Y907+AA907+AC907+AE907+AG907+AI907+AK907+AM907+AO907+AQ907</f>
        <v>0</v>
      </c>
      <c r="T907" s="133"/>
      <c r="U907" s="133"/>
      <c r="V907" s="133"/>
      <c r="W907" s="133"/>
      <c r="X907" s="133"/>
      <c r="Y907" s="133"/>
      <c r="Z907" s="133"/>
      <c r="AA907" s="133"/>
      <c r="AB907" s="133"/>
      <c r="AC907" s="133"/>
      <c r="AD907" s="133"/>
      <c r="AE907" s="133"/>
      <c r="AF907" s="133"/>
      <c r="AG907" s="133"/>
      <c r="AH907" s="133"/>
      <c r="AI907" s="133"/>
      <c r="AJ907" s="133"/>
      <c r="AK907" s="133"/>
      <c r="AL907" s="133"/>
      <c r="AM907" s="133"/>
      <c r="AN907" s="133"/>
      <c r="AO907" s="133"/>
      <c r="AP907" s="133"/>
      <c r="AQ907" s="133"/>
      <c r="AR907" s="133"/>
      <c r="AS907" s="153">
        <v>0</v>
      </c>
      <c r="AT907" s="153">
        <v>0</v>
      </c>
      <c r="AU907" s="153">
        <v>0</v>
      </c>
      <c r="AV907" s="153">
        <v>0</v>
      </c>
      <c r="AW907" s="153">
        <v>0</v>
      </c>
      <c r="AX907" s="153">
        <v>0</v>
      </c>
      <c r="AY907" s="135"/>
      <c r="AZ907" s="135"/>
      <c r="BA907" s="135"/>
      <c r="BB907" s="135"/>
      <c r="BC907" s="135"/>
      <c r="BD907" s="135"/>
      <c r="BE907" s="135"/>
      <c r="BF907" s="135"/>
      <c r="BG907" s="135"/>
      <c r="BH907" s="135"/>
      <c r="BI907" s="2" t="s">
        <v>11</v>
      </c>
      <c r="BJ907" s="136"/>
      <c r="BK907" s="2">
        <v>0</v>
      </c>
      <c r="BL907" s="136" t="s">
        <v>18</v>
      </c>
      <c r="BM907" s="136">
        <v>45300</v>
      </c>
      <c r="BN907" s="2" t="s">
        <v>3133</v>
      </c>
      <c r="BO907" s="2"/>
      <c r="BP907" s="205"/>
      <c r="BQ907" s="137" t="s">
        <v>119</v>
      </c>
      <c r="BR907" s="138"/>
    </row>
    <row r="908" spans="1:70" ht="12.75" customHeight="1" x14ac:dyDescent="0.2">
      <c r="A908" s="2">
        <v>2397</v>
      </c>
      <c r="B908" s="2" t="s">
        <v>39</v>
      </c>
      <c r="C908" s="2" t="s">
        <v>74</v>
      </c>
      <c r="D908" s="2" t="s">
        <v>3051</v>
      </c>
      <c r="E908" s="2" t="s">
        <v>106</v>
      </c>
      <c r="F908" s="132">
        <v>561.75</v>
      </c>
      <c r="G908" s="132">
        <v>2</v>
      </c>
      <c r="H908" s="132">
        <f>321*1.75</f>
        <v>561.75</v>
      </c>
      <c r="I908" s="132"/>
      <c r="J908" s="132">
        <v>561.75</v>
      </c>
      <c r="K908" s="132">
        <f t="shared" si="90"/>
        <v>0</v>
      </c>
      <c r="L908" s="132">
        <f t="shared" si="91"/>
        <v>0</v>
      </c>
      <c r="M908" s="133"/>
      <c r="N908" s="133">
        <f t="shared" si="89"/>
        <v>0</v>
      </c>
      <c r="O908" s="134">
        <v>0</v>
      </c>
      <c r="P908" s="133"/>
      <c r="Q908" s="2" t="s">
        <v>2991</v>
      </c>
      <c r="R908" s="156">
        <f t="shared" si="92"/>
        <v>0</v>
      </c>
      <c r="S908" s="156">
        <f t="shared" si="93"/>
        <v>0</v>
      </c>
      <c r="T908" s="133"/>
      <c r="U908" s="133"/>
      <c r="V908" s="133"/>
      <c r="W908" s="133"/>
      <c r="X908" s="133"/>
      <c r="Y908" s="133"/>
      <c r="Z908" s="133"/>
      <c r="AA908" s="133"/>
      <c r="AB908" s="133"/>
      <c r="AC908" s="133"/>
      <c r="AD908" s="133"/>
      <c r="AE908" s="133"/>
      <c r="AF908" s="133"/>
      <c r="AG908" s="133"/>
      <c r="AH908" s="133"/>
      <c r="AI908" s="133"/>
      <c r="AJ908" s="133"/>
      <c r="AK908" s="133"/>
      <c r="AL908" s="133"/>
      <c r="AM908" s="133"/>
      <c r="AN908" s="133"/>
      <c r="AO908" s="133"/>
      <c r="AP908" s="133"/>
      <c r="AQ908" s="133"/>
      <c r="AR908" s="133"/>
      <c r="AS908" s="153">
        <v>0</v>
      </c>
      <c r="AT908" s="153">
        <v>0</v>
      </c>
      <c r="AU908" s="153">
        <v>0</v>
      </c>
      <c r="AV908" s="153">
        <v>0</v>
      </c>
      <c r="AW908" s="153">
        <v>0</v>
      </c>
      <c r="AX908" s="153">
        <v>0</v>
      </c>
      <c r="AY908" s="135"/>
      <c r="AZ908" s="135"/>
      <c r="BA908" s="135"/>
      <c r="BB908" s="135"/>
      <c r="BC908" s="135"/>
      <c r="BD908" s="135"/>
      <c r="BE908" s="135"/>
      <c r="BF908" s="135"/>
      <c r="BG908" s="135"/>
      <c r="BH908" s="135"/>
      <c r="BI908" s="2" t="s">
        <v>112</v>
      </c>
      <c r="BJ908" s="136">
        <v>45642</v>
      </c>
      <c r="BK908" s="2" t="s">
        <v>145</v>
      </c>
      <c r="BL908" s="136" t="s">
        <v>18</v>
      </c>
      <c r="BM908" s="136">
        <v>45300</v>
      </c>
      <c r="BN908" s="2" t="s">
        <v>3134</v>
      </c>
      <c r="BO908" s="2"/>
      <c r="BP908" s="205"/>
      <c r="BQ908" s="137" t="s">
        <v>134</v>
      </c>
      <c r="BR908" s="138"/>
    </row>
    <row r="909" spans="1:70" ht="12.75" customHeight="1" x14ac:dyDescent="0.2">
      <c r="A909" s="2">
        <v>2398</v>
      </c>
      <c r="B909" s="2" t="s">
        <v>39</v>
      </c>
      <c r="C909" s="2" t="s">
        <v>74</v>
      </c>
      <c r="D909" s="2" t="s">
        <v>3052</v>
      </c>
      <c r="E909" s="2" t="s">
        <v>90</v>
      </c>
      <c r="F909" s="132">
        <v>25000</v>
      </c>
      <c r="G909" s="132">
        <v>2</v>
      </c>
      <c r="H909" s="132"/>
      <c r="I909" s="132"/>
      <c r="J909" s="132"/>
      <c r="K909" s="132">
        <f t="shared" si="90"/>
        <v>25000</v>
      </c>
      <c r="L909" s="132">
        <f t="shared" si="91"/>
        <v>0</v>
      </c>
      <c r="M909" s="133"/>
      <c r="N909" s="133">
        <f t="shared" si="89"/>
        <v>25000</v>
      </c>
      <c r="O909" s="134">
        <v>1</v>
      </c>
      <c r="P909" s="133"/>
      <c r="Q909" s="2" t="s">
        <v>2991</v>
      </c>
      <c r="R909" s="156">
        <f t="shared" si="92"/>
        <v>0</v>
      </c>
      <c r="S909" s="156">
        <f t="shared" si="93"/>
        <v>0</v>
      </c>
      <c r="T909" s="133"/>
      <c r="U909" s="133"/>
      <c r="V909" s="133"/>
      <c r="W909" s="133"/>
      <c r="X909" s="133"/>
      <c r="Y909" s="133"/>
      <c r="Z909" s="133"/>
      <c r="AA909" s="133"/>
      <c r="AB909" s="133"/>
      <c r="AC909" s="133"/>
      <c r="AD909" s="133"/>
      <c r="AE909" s="133"/>
      <c r="AF909" s="133"/>
      <c r="AG909" s="133"/>
      <c r="AH909" s="133"/>
      <c r="AI909" s="133"/>
      <c r="AJ909" s="133"/>
      <c r="AK909" s="133"/>
      <c r="AL909" s="133"/>
      <c r="AM909" s="133"/>
      <c r="AN909" s="133"/>
      <c r="AO909" s="133"/>
      <c r="AP909" s="133"/>
      <c r="AQ909" s="133"/>
      <c r="AR909" s="133"/>
      <c r="AS909" s="153">
        <v>0</v>
      </c>
      <c r="AT909" s="153">
        <v>0</v>
      </c>
      <c r="AU909" s="153">
        <v>0</v>
      </c>
      <c r="AV909" s="153">
        <v>0</v>
      </c>
      <c r="AW909" s="153">
        <v>0</v>
      </c>
      <c r="AX909" s="153">
        <v>0</v>
      </c>
      <c r="AY909" s="135"/>
      <c r="AZ909" s="135"/>
      <c r="BA909" s="135"/>
      <c r="BB909" s="135"/>
      <c r="BC909" s="135"/>
      <c r="BD909" s="135"/>
      <c r="BE909" s="135"/>
      <c r="BF909" s="135"/>
      <c r="BG909" s="135"/>
      <c r="BH909" s="135"/>
      <c r="BI909" s="2" t="s">
        <v>11</v>
      </c>
      <c r="BJ909" s="136"/>
      <c r="BK909" s="2">
        <v>0</v>
      </c>
      <c r="BL909" s="136" t="s">
        <v>18</v>
      </c>
      <c r="BM909" s="136">
        <v>45300</v>
      </c>
      <c r="BN909" s="2" t="s">
        <v>3135</v>
      </c>
      <c r="BO909" s="2"/>
      <c r="BP909" s="205"/>
      <c r="BQ909" s="137" t="s">
        <v>119</v>
      </c>
      <c r="BR909" s="138"/>
    </row>
    <row r="910" spans="1:70" ht="12.75" customHeight="1" x14ac:dyDescent="0.2">
      <c r="A910" s="2">
        <v>2399</v>
      </c>
      <c r="B910" s="2" t="s">
        <v>39</v>
      </c>
      <c r="C910" s="2" t="s">
        <v>74</v>
      </c>
      <c r="D910" s="2" t="s">
        <v>3053</v>
      </c>
      <c r="E910" s="2" t="s">
        <v>106</v>
      </c>
      <c r="F910" s="132">
        <v>551.25</v>
      </c>
      <c r="G910" s="132">
        <v>2</v>
      </c>
      <c r="H910" s="132">
        <f>315*1.75</f>
        <v>551.25</v>
      </c>
      <c r="I910" s="132"/>
      <c r="J910" s="132">
        <v>551.25</v>
      </c>
      <c r="K910" s="132">
        <f t="shared" si="90"/>
        <v>0</v>
      </c>
      <c r="L910" s="132">
        <f t="shared" si="91"/>
        <v>0</v>
      </c>
      <c r="M910" s="133"/>
      <c r="N910" s="133">
        <f t="shared" si="89"/>
        <v>0</v>
      </c>
      <c r="O910" s="134">
        <v>0</v>
      </c>
      <c r="P910" s="133"/>
      <c r="Q910" s="2" t="s">
        <v>2992</v>
      </c>
      <c r="R910" s="156">
        <f t="shared" si="92"/>
        <v>0</v>
      </c>
      <c r="S910" s="156">
        <f t="shared" si="93"/>
        <v>0</v>
      </c>
      <c r="T910" s="133"/>
      <c r="U910" s="133"/>
      <c r="V910" s="133"/>
      <c r="W910" s="133"/>
      <c r="X910" s="133"/>
      <c r="Y910" s="133"/>
      <c r="Z910" s="133"/>
      <c r="AA910" s="133"/>
      <c r="AB910" s="133"/>
      <c r="AC910" s="133"/>
      <c r="AD910" s="133"/>
      <c r="AE910" s="133"/>
      <c r="AF910" s="133"/>
      <c r="AG910" s="133"/>
      <c r="AH910" s="133"/>
      <c r="AI910" s="133"/>
      <c r="AJ910" s="133"/>
      <c r="AK910" s="133"/>
      <c r="AL910" s="133"/>
      <c r="AM910" s="133"/>
      <c r="AN910" s="133"/>
      <c r="AO910" s="133"/>
      <c r="AP910" s="133"/>
      <c r="AQ910" s="133"/>
      <c r="AR910" s="133"/>
      <c r="AS910" s="153">
        <v>0</v>
      </c>
      <c r="AT910" s="153">
        <v>0</v>
      </c>
      <c r="AU910" s="153">
        <v>0</v>
      </c>
      <c r="AV910" s="153">
        <v>0</v>
      </c>
      <c r="AW910" s="153">
        <v>0</v>
      </c>
      <c r="AX910" s="153">
        <v>0</v>
      </c>
      <c r="AY910" s="135"/>
      <c r="AZ910" s="135"/>
      <c r="BA910" s="135"/>
      <c r="BB910" s="135"/>
      <c r="BC910" s="135"/>
      <c r="BD910" s="135"/>
      <c r="BE910" s="135"/>
      <c r="BF910" s="135"/>
      <c r="BG910" s="135"/>
      <c r="BH910" s="135"/>
      <c r="BI910" s="2" t="s">
        <v>112</v>
      </c>
      <c r="BJ910" s="136">
        <v>45637</v>
      </c>
      <c r="BK910" s="2" t="s">
        <v>145</v>
      </c>
      <c r="BL910" s="136" t="s">
        <v>18</v>
      </c>
      <c r="BM910" s="136">
        <v>45300</v>
      </c>
      <c r="BN910" s="2" t="s">
        <v>3136</v>
      </c>
      <c r="BO910" s="2"/>
      <c r="BP910" s="205"/>
      <c r="BQ910" s="137" t="s">
        <v>134</v>
      </c>
      <c r="BR910" s="138"/>
    </row>
    <row r="911" spans="1:70" ht="12.75" customHeight="1" x14ac:dyDescent="0.2">
      <c r="A911" s="2">
        <v>2400</v>
      </c>
      <c r="B911" s="2" t="s">
        <v>39</v>
      </c>
      <c r="C911" s="2" t="s">
        <v>74</v>
      </c>
      <c r="D911" s="2" t="s">
        <v>3054</v>
      </c>
      <c r="E911" s="2" t="s">
        <v>90</v>
      </c>
      <c r="F911" s="132">
        <v>25000</v>
      </c>
      <c r="G911" s="132">
        <v>2</v>
      </c>
      <c r="H911" s="132">
        <f>R911</f>
        <v>14653.247716453316</v>
      </c>
      <c r="I911" s="132"/>
      <c r="J911" s="132">
        <f>S911</f>
        <v>14653.247716453316</v>
      </c>
      <c r="K911" s="132">
        <f t="shared" si="90"/>
        <v>10346.752283546684</v>
      </c>
      <c r="L911" s="132">
        <f t="shared" si="91"/>
        <v>0</v>
      </c>
      <c r="M911" s="133">
        <v>211</v>
      </c>
      <c r="N911" s="133">
        <f t="shared" si="89"/>
        <v>0</v>
      </c>
      <c r="O911" s="134">
        <v>1</v>
      </c>
      <c r="P911" s="133"/>
      <c r="Q911" s="2" t="s">
        <v>2992</v>
      </c>
      <c r="R911" s="156">
        <f t="shared" si="92"/>
        <v>14653.247716453316</v>
      </c>
      <c r="S911" s="156">
        <f t="shared" si="93"/>
        <v>14653.247716453316</v>
      </c>
      <c r="T911" s="133"/>
      <c r="U911" s="133"/>
      <c r="V911" s="133"/>
      <c r="W911" s="133"/>
      <c r="X911" s="133"/>
      <c r="Y911" s="133"/>
      <c r="Z911" s="133"/>
      <c r="AA911" s="133"/>
      <c r="AB911" s="133"/>
      <c r="AC911" s="133"/>
      <c r="AD911" s="133"/>
      <c r="AE911" s="133"/>
      <c r="AF911" s="133">
        <v>14653.247716453316</v>
      </c>
      <c r="AG911" s="133"/>
      <c r="AH911" s="133"/>
      <c r="AI911" s="133">
        <v>2235.2399999999998</v>
      </c>
      <c r="AJ911" s="133"/>
      <c r="AK911" s="133">
        <v>12418.007716453316</v>
      </c>
      <c r="AL911" s="133"/>
      <c r="AM911" s="133"/>
      <c r="AN911" s="133"/>
      <c r="AO911" s="133"/>
      <c r="AP911" s="133"/>
      <c r="AQ911" s="133"/>
      <c r="AR911" s="133"/>
      <c r="AS911" s="153">
        <v>0</v>
      </c>
      <c r="AT911" s="153">
        <v>0</v>
      </c>
      <c r="AU911" s="153">
        <v>0</v>
      </c>
      <c r="AV911" s="153">
        <v>0</v>
      </c>
      <c r="AW911" s="153">
        <v>0</v>
      </c>
      <c r="AX911" s="153">
        <v>0</v>
      </c>
      <c r="AY911" s="135"/>
      <c r="AZ911" s="135"/>
      <c r="BA911" s="135"/>
      <c r="BB911" s="135"/>
      <c r="BC911" s="135"/>
      <c r="BD911" s="135"/>
      <c r="BE911" s="135"/>
      <c r="BF911" s="135"/>
      <c r="BG911" s="135"/>
      <c r="BH911" s="135"/>
      <c r="BI911" s="2" t="s">
        <v>11</v>
      </c>
      <c r="BJ911" s="136">
        <v>45869</v>
      </c>
      <c r="BK911" s="2" t="s">
        <v>8</v>
      </c>
      <c r="BL911" s="136" t="s">
        <v>18</v>
      </c>
      <c r="BM911" s="136">
        <v>45300</v>
      </c>
      <c r="BN911" s="2" t="s">
        <v>3137</v>
      </c>
      <c r="BO911" s="2"/>
      <c r="BP911" s="205"/>
      <c r="BQ911" s="137" t="s">
        <v>119</v>
      </c>
      <c r="BR911" s="138"/>
    </row>
    <row r="912" spans="1:70" ht="12.75" customHeight="1" x14ac:dyDescent="0.2">
      <c r="A912" s="2">
        <v>2401</v>
      </c>
      <c r="B912" s="2" t="s">
        <v>100</v>
      </c>
      <c r="C912" s="2" t="s">
        <v>99</v>
      </c>
      <c r="D912" s="2" t="s">
        <v>3796</v>
      </c>
      <c r="E912" s="2" t="s">
        <v>106</v>
      </c>
      <c r="F912" s="132">
        <f>904*1.75</f>
        <v>1582</v>
      </c>
      <c r="G912" s="132">
        <v>2</v>
      </c>
      <c r="H912" s="132">
        <f>904*1.75</f>
        <v>1582</v>
      </c>
      <c r="I912" s="132"/>
      <c r="J912" s="132">
        <f>S912+BC912</f>
        <v>1582</v>
      </c>
      <c r="K912" s="132">
        <f t="shared" si="90"/>
        <v>0</v>
      </c>
      <c r="L912" s="132">
        <f t="shared" si="91"/>
        <v>0</v>
      </c>
      <c r="M912" s="133"/>
      <c r="N912" s="133">
        <f t="shared" si="89"/>
        <v>0</v>
      </c>
      <c r="O912" s="134">
        <v>2</v>
      </c>
      <c r="P912" s="133"/>
      <c r="Q912" s="2" t="s">
        <v>3484</v>
      </c>
      <c r="R912" s="156">
        <f t="shared" si="92"/>
        <v>1582</v>
      </c>
      <c r="S912" s="156">
        <f t="shared" si="93"/>
        <v>1582</v>
      </c>
      <c r="T912" s="133">
        <v>1582</v>
      </c>
      <c r="U912" s="133"/>
      <c r="V912" s="133"/>
      <c r="W912" s="133">
        <f>241.32</f>
        <v>241.32</v>
      </c>
      <c r="X912" s="133"/>
      <c r="Y912" s="133"/>
      <c r="Z912" s="133"/>
      <c r="AA912" s="133"/>
      <c r="AB912" s="133"/>
      <c r="AC912" s="133"/>
      <c r="AD912" s="133"/>
      <c r="AE912" s="133">
        <v>1340.68</v>
      </c>
      <c r="AF912" s="133"/>
      <c r="AG912" s="133"/>
      <c r="AH912" s="133"/>
      <c r="AI912" s="133"/>
      <c r="AJ912" s="133"/>
      <c r="AK912" s="133"/>
      <c r="AL912" s="133"/>
      <c r="AM912" s="133"/>
      <c r="AN912" s="133"/>
      <c r="AO912" s="133"/>
      <c r="AP912" s="133"/>
      <c r="AQ912" s="133"/>
      <c r="AR912" s="133"/>
      <c r="AS912" s="263">
        <v>0</v>
      </c>
      <c r="AT912" s="263">
        <v>0</v>
      </c>
      <c r="AU912" s="263">
        <v>0</v>
      </c>
      <c r="AV912" s="263">
        <v>0</v>
      </c>
      <c r="AW912" s="263">
        <v>0</v>
      </c>
      <c r="AX912" s="263">
        <v>0</v>
      </c>
      <c r="AY912" s="264"/>
      <c r="AZ912" s="264"/>
      <c r="BA912" s="264"/>
      <c r="BB912" s="264"/>
      <c r="BC912" s="264"/>
      <c r="BD912" s="264"/>
      <c r="BE912" s="264"/>
      <c r="BF912" s="264"/>
      <c r="BG912" s="264"/>
      <c r="BH912" s="264"/>
      <c r="BI912" s="2" t="s">
        <v>112</v>
      </c>
      <c r="BJ912" s="136">
        <v>45663</v>
      </c>
      <c r="BK912" s="2" t="s">
        <v>145</v>
      </c>
      <c r="BL912" s="136" t="s">
        <v>18</v>
      </c>
      <c r="BM912" s="136">
        <v>45300</v>
      </c>
      <c r="BN912" s="2" t="s">
        <v>3138</v>
      </c>
      <c r="BO912" s="2"/>
      <c r="BP912" s="205"/>
      <c r="BQ912" s="137" t="s">
        <v>134</v>
      </c>
      <c r="BR912" s="138"/>
    </row>
    <row r="913" spans="1:70" ht="12.75" customHeight="1" x14ac:dyDescent="0.2">
      <c r="A913" s="2">
        <v>2402</v>
      </c>
      <c r="B913" s="2" t="s">
        <v>100</v>
      </c>
      <c r="C913" s="2" t="s">
        <v>99</v>
      </c>
      <c r="D913" s="2" t="s">
        <v>3842</v>
      </c>
      <c r="E913" s="2" t="s">
        <v>90</v>
      </c>
      <c r="F913" s="132">
        <v>42812</v>
      </c>
      <c r="G913" s="132" t="s">
        <v>3789</v>
      </c>
      <c r="H913" s="132">
        <f>R913</f>
        <v>45811.46</v>
      </c>
      <c r="I913" s="132"/>
      <c r="J913" s="132">
        <f>S913+BC913</f>
        <v>45811.46</v>
      </c>
      <c r="K913" s="132">
        <f t="shared" si="90"/>
        <v>-2999.4599999999991</v>
      </c>
      <c r="L913" s="132">
        <f t="shared" si="91"/>
        <v>0</v>
      </c>
      <c r="M913" s="133">
        <v>803</v>
      </c>
      <c r="N913" s="133">
        <f t="shared" si="89"/>
        <v>0</v>
      </c>
      <c r="O913" s="134">
        <v>1</v>
      </c>
      <c r="P913" s="133"/>
      <c r="Q913" s="2" t="s">
        <v>3484</v>
      </c>
      <c r="R913" s="156">
        <f t="shared" si="92"/>
        <v>45811.46</v>
      </c>
      <c r="S913" s="156">
        <f t="shared" si="93"/>
        <v>10218.24</v>
      </c>
      <c r="T913" s="133"/>
      <c r="U913" s="133"/>
      <c r="V913" s="133">
        <v>42000</v>
      </c>
      <c r="W913" s="133"/>
      <c r="X913" s="133">
        <v>3811.46</v>
      </c>
      <c r="Y913" s="133">
        <v>6406.78</v>
      </c>
      <c r="Z913" s="133"/>
      <c r="AA913" s="133">
        <v>581.41</v>
      </c>
      <c r="AB913" s="133"/>
      <c r="AC913" s="133"/>
      <c r="AD913" s="133"/>
      <c r="AE913" s="133">
        <v>3230.05</v>
      </c>
      <c r="AF913" s="133"/>
      <c r="AG913" s="133"/>
      <c r="AH913" s="133"/>
      <c r="AI913" s="133"/>
      <c r="AJ913" s="133"/>
      <c r="AK913" s="133"/>
      <c r="AL913" s="133"/>
      <c r="AM913" s="133"/>
      <c r="AN913" s="133"/>
      <c r="AO913" s="133"/>
      <c r="AP913" s="133"/>
      <c r="AQ913" s="133"/>
      <c r="AR913" s="133"/>
      <c r="AS913" s="153">
        <v>0</v>
      </c>
      <c r="AT913" s="153">
        <v>0</v>
      </c>
      <c r="AU913" s="153">
        <v>0</v>
      </c>
      <c r="AV913" s="153">
        <v>0</v>
      </c>
      <c r="AW913" s="153">
        <v>0</v>
      </c>
      <c r="AX913" s="153">
        <v>0</v>
      </c>
      <c r="AY913" s="135"/>
      <c r="AZ913" s="135"/>
      <c r="BA913" s="135"/>
      <c r="BB913" s="135"/>
      <c r="BC913" s="135">
        <v>35593.22</v>
      </c>
      <c r="BD913" s="135">
        <v>436.87</v>
      </c>
      <c r="BE913" s="135">
        <f>(H913/1.18-AT913-AW913-AZ913-BD913)*0.1-AU913-AX913-BA913-BB913</f>
        <v>3838.640118644068</v>
      </c>
      <c r="BF913" s="135"/>
      <c r="BG913" s="135"/>
      <c r="BH913" s="135"/>
      <c r="BI913" s="2" t="s">
        <v>11</v>
      </c>
      <c r="BJ913" s="136">
        <v>45728</v>
      </c>
      <c r="BK913" s="2" t="s">
        <v>8</v>
      </c>
      <c r="BL913" s="136" t="s">
        <v>18</v>
      </c>
      <c r="BM913" s="136">
        <v>45300</v>
      </c>
      <c r="BN913" s="2" t="s">
        <v>3139</v>
      </c>
      <c r="BO913" s="2"/>
      <c r="BP913" s="205"/>
      <c r="BQ913" s="137" t="s">
        <v>119</v>
      </c>
      <c r="BR913" s="138"/>
    </row>
    <row r="914" spans="1:70" ht="12.75" customHeight="1" x14ac:dyDescent="0.2">
      <c r="A914" s="2">
        <v>2403</v>
      </c>
      <c r="B914" s="2" t="s">
        <v>100</v>
      </c>
      <c r="C914" s="2" t="s">
        <v>99</v>
      </c>
      <c r="D914" s="2" t="s">
        <v>3708</v>
      </c>
      <c r="E914" s="2" t="s">
        <v>106</v>
      </c>
      <c r="F914" s="132">
        <v>392</v>
      </c>
      <c r="G914" s="132">
        <v>2</v>
      </c>
      <c r="H914" s="132">
        <f>224*1.75</f>
        <v>392</v>
      </c>
      <c r="I914" s="132"/>
      <c r="J914" s="132">
        <f>59.796+332.204</f>
        <v>392</v>
      </c>
      <c r="K914" s="132">
        <f t="shared" si="90"/>
        <v>0</v>
      </c>
      <c r="L914" s="132">
        <f t="shared" si="91"/>
        <v>0</v>
      </c>
      <c r="M914" s="133"/>
      <c r="N914" s="133">
        <f t="shared" si="89"/>
        <v>0</v>
      </c>
      <c r="O914" s="134">
        <v>0</v>
      </c>
      <c r="P914" s="133"/>
      <c r="Q914" s="2" t="s">
        <v>3603</v>
      </c>
      <c r="R914" s="156">
        <f t="shared" si="92"/>
        <v>0</v>
      </c>
      <c r="S914" s="156">
        <f t="shared" si="93"/>
        <v>0</v>
      </c>
      <c r="T914" s="133"/>
      <c r="U914" s="133"/>
      <c r="V914" s="133"/>
      <c r="W914" s="133"/>
      <c r="X914" s="133"/>
      <c r="Y914" s="133"/>
      <c r="Z914" s="133"/>
      <c r="AA914" s="133"/>
      <c r="AB914" s="133"/>
      <c r="AC914" s="133"/>
      <c r="AD914" s="133"/>
      <c r="AE914" s="133"/>
      <c r="AF914" s="133"/>
      <c r="AG914" s="133"/>
      <c r="AH914" s="133"/>
      <c r="AI914" s="133"/>
      <c r="AJ914" s="133"/>
      <c r="AK914" s="133"/>
      <c r="AL914" s="133"/>
      <c r="AM914" s="133"/>
      <c r="AN914" s="133"/>
      <c r="AO914" s="133"/>
      <c r="AP914" s="133"/>
      <c r="AQ914" s="133"/>
      <c r="AR914" s="133"/>
      <c r="AS914" s="153">
        <v>0</v>
      </c>
      <c r="AT914" s="153">
        <v>0</v>
      </c>
      <c r="AU914" s="153">
        <v>0</v>
      </c>
      <c r="AV914" s="153">
        <v>0</v>
      </c>
      <c r="AW914" s="153">
        <v>0</v>
      </c>
      <c r="AX914" s="153">
        <v>0</v>
      </c>
      <c r="AY914" s="135"/>
      <c r="AZ914" s="135"/>
      <c r="BA914" s="135"/>
      <c r="BB914" s="135"/>
      <c r="BC914" s="135"/>
      <c r="BD914" s="135"/>
      <c r="BE914" s="135"/>
      <c r="BF914" s="135"/>
      <c r="BG914" s="135"/>
      <c r="BH914" s="135"/>
      <c r="BI914" s="2" t="s">
        <v>112</v>
      </c>
      <c r="BJ914" s="136">
        <v>45597</v>
      </c>
      <c r="BK914" s="2" t="s">
        <v>145</v>
      </c>
      <c r="BL914" s="136" t="s">
        <v>18</v>
      </c>
      <c r="BM914" s="136">
        <v>45300</v>
      </c>
      <c r="BN914" s="2" t="s">
        <v>3140</v>
      </c>
      <c r="BO914" s="2"/>
      <c r="BP914" s="205"/>
      <c r="BQ914" s="137" t="s">
        <v>134</v>
      </c>
      <c r="BR914" s="138"/>
    </row>
    <row r="915" spans="1:70" ht="12.75" customHeight="1" x14ac:dyDescent="0.2">
      <c r="A915" s="2">
        <v>2404</v>
      </c>
      <c r="B915" s="2" t="s">
        <v>100</v>
      </c>
      <c r="C915" s="2" t="s">
        <v>99</v>
      </c>
      <c r="D915" s="2" t="s">
        <v>3709</v>
      </c>
      <c r="E915" s="2" t="s">
        <v>90</v>
      </c>
      <c r="F915" s="132">
        <v>70000</v>
      </c>
      <c r="G915" s="132">
        <v>2</v>
      </c>
      <c r="H915" s="132">
        <v>15892.05</v>
      </c>
      <c r="I915" s="132">
        <v>15892.05</v>
      </c>
      <c r="J915" s="132">
        <f>2424.211+13467.839</f>
        <v>15892.05</v>
      </c>
      <c r="K915" s="132">
        <f t="shared" si="90"/>
        <v>54107.95</v>
      </c>
      <c r="L915" s="132">
        <f t="shared" si="91"/>
        <v>0</v>
      </c>
      <c r="M915" s="133">
        <v>222.5</v>
      </c>
      <c r="N915" s="133">
        <f t="shared" si="89"/>
        <v>0</v>
      </c>
      <c r="O915" s="134">
        <v>0</v>
      </c>
      <c r="P915" s="133"/>
      <c r="Q915" s="2" t="s">
        <v>3603</v>
      </c>
      <c r="R915" s="156">
        <f t="shared" si="92"/>
        <v>0</v>
      </c>
      <c r="S915" s="156">
        <f t="shared" si="93"/>
        <v>0</v>
      </c>
      <c r="T915" s="133"/>
      <c r="U915" s="133"/>
      <c r="V915" s="133"/>
      <c r="W915" s="133"/>
      <c r="X915" s="133"/>
      <c r="Y915" s="133"/>
      <c r="Z915" s="133"/>
      <c r="AA915" s="133"/>
      <c r="AB915" s="133"/>
      <c r="AC915" s="133"/>
      <c r="AD915" s="133"/>
      <c r="AE915" s="133"/>
      <c r="AF915" s="133"/>
      <c r="AG915" s="133"/>
      <c r="AH915" s="133"/>
      <c r="AI915" s="133"/>
      <c r="AJ915" s="133"/>
      <c r="AK915" s="133"/>
      <c r="AL915" s="133"/>
      <c r="AM915" s="133"/>
      <c r="AN915" s="133"/>
      <c r="AO915" s="133"/>
      <c r="AP915" s="133"/>
      <c r="AQ915" s="133"/>
      <c r="AR915" s="133"/>
      <c r="AS915" s="153">
        <v>0</v>
      </c>
      <c r="AT915" s="153">
        <v>0</v>
      </c>
      <c r="AU915" s="153">
        <v>0</v>
      </c>
      <c r="AV915" s="153">
        <v>0</v>
      </c>
      <c r="AW915" s="153">
        <v>0</v>
      </c>
      <c r="AX915" s="153">
        <v>0</v>
      </c>
      <c r="AY915" s="135"/>
      <c r="AZ915" s="135"/>
      <c r="BA915" s="135">
        <v>0</v>
      </c>
      <c r="BB915" s="140">
        <f>(H915/1.18-AT915-AW915-AZ915)*0.1-BA915</f>
        <v>1346.7838983050849</v>
      </c>
      <c r="BC915" s="135"/>
      <c r="BD915" s="135"/>
      <c r="BE915" s="135">
        <f>(H915/1.18-AT915-AW915-AZ915-BD915)*0.1-AU915-AX915-BA915-BB915</f>
        <v>0</v>
      </c>
      <c r="BF915" s="135"/>
      <c r="BG915" s="135"/>
      <c r="BH915" s="135"/>
      <c r="BI915" s="2" t="s">
        <v>11</v>
      </c>
      <c r="BJ915" s="136">
        <v>45621</v>
      </c>
      <c r="BK915" s="2" t="s">
        <v>109</v>
      </c>
      <c r="BL915" s="136" t="s">
        <v>18</v>
      </c>
      <c r="BM915" s="136">
        <v>45300</v>
      </c>
      <c r="BN915" s="2" t="s">
        <v>3141</v>
      </c>
      <c r="BO915" s="2"/>
      <c r="BP915" s="205"/>
      <c r="BQ915" s="137" t="s">
        <v>119</v>
      </c>
      <c r="BR915" s="138"/>
    </row>
    <row r="916" spans="1:70" ht="12.75" customHeight="1" x14ac:dyDescent="0.2">
      <c r="A916" s="2">
        <v>2405</v>
      </c>
      <c r="B916" s="2" t="s">
        <v>100</v>
      </c>
      <c r="C916" s="2" t="s">
        <v>95</v>
      </c>
      <c r="D916" s="2" t="s">
        <v>3058</v>
      </c>
      <c r="E916" s="2" t="s">
        <v>106</v>
      </c>
      <c r="F916" s="132">
        <v>1951.25</v>
      </c>
      <c r="G916" s="132">
        <v>2</v>
      </c>
      <c r="H916" s="132">
        <f>1115*1.75</f>
        <v>1951.25</v>
      </c>
      <c r="I916" s="132"/>
      <c r="J916" s="132">
        <f>S916+BC916</f>
        <v>1951.248</v>
      </c>
      <c r="K916" s="132">
        <f t="shared" si="90"/>
        <v>1.9999999999527063E-3</v>
      </c>
      <c r="L916" s="132">
        <f t="shared" si="91"/>
        <v>1.9999999999527063E-3</v>
      </c>
      <c r="M916" s="133"/>
      <c r="N916" s="133">
        <f t="shared" si="89"/>
        <v>1.9999999999527063E-3</v>
      </c>
      <c r="O916" s="134">
        <v>2</v>
      </c>
      <c r="P916" s="133"/>
      <c r="Q916" s="2" t="s">
        <v>2993</v>
      </c>
      <c r="R916" s="156">
        <f t="shared" si="92"/>
        <v>1951.25</v>
      </c>
      <c r="S916" s="156">
        <f t="shared" si="93"/>
        <v>1951.248</v>
      </c>
      <c r="T916" s="133">
        <v>1951.25</v>
      </c>
      <c r="U916" s="133"/>
      <c r="V916" s="133"/>
      <c r="W916" s="133">
        <f>297.648</f>
        <v>297.64800000000002</v>
      </c>
      <c r="X916" s="133"/>
      <c r="Y916" s="133"/>
      <c r="Z916" s="133"/>
      <c r="AA916" s="133"/>
      <c r="AB916" s="133"/>
      <c r="AC916" s="133"/>
      <c r="AD916" s="133"/>
      <c r="AE916" s="133">
        <v>1653.6</v>
      </c>
      <c r="AF916" s="133"/>
      <c r="AG916" s="133"/>
      <c r="AH916" s="133"/>
      <c r="AI916" s="133"/>
      <c r="AJ916" s="133"/>
      <c r="AK916" s="133"/>
      <c r="AL916" s="133"/>
      <c r="AM916" s="133"/>
      <c r="AN916" s="133"/>
      <c r="AO916" s="133"/>
      <c r="AP916" s="133"/>
      <c r="AQ916" s="133"/>
      <c r="AR916" s="133"/>
      <c r="AS916" s="153">
        <v>0</v>
      </c>
      <c r="AT916" s="153">
        <v>0</v>
      </c>
      <c r="AU916" s="153">
        <v>0</v>
      </c>
      <c r="AV916" s="153">
        <v>0</v>
      </c>
      <c r="AW916" s="153">
        <v>0</v>
      </c>
      <c r="AX916" s="153">
        <v>0</v>
      </c>
      <c r="AY916" s="135"/>
      <c r="AZ916" s="135"/>
      <c r="BA916" s="135"/>
      <c r="BB916" s="135"/>
      <c r="BC916" s="135"/>
      <c r="BD916" s="135"/>
      <c r="BE916" s="135"/>
      <c r="BF916" s="135"/>
      <c r="BG916" s="135"/>
      <c r="BH916" s="135"/>
      <c r="BI916" s="2" t="s">
        <v>112</v>
      </c>
      <c r="BJ916" s="136">
        <v>45663</v>
      </c>
      <c r="BK916" s="2" t="s">
        <v>145</v>
      </c>
      <c r="BL916" s="136" t="s">
        <v>18</v>
      </c>
      <c r="BM916" s="136">
        <v>45300</v>
      </c>
      <c r="BN916" s="2" t="s">
        <v>3142</v>
      </c>
      <c r="BO916" s="2"/>
      <c r="BP916" s="205"/>
      <c r="BQ916" s="137" t="s">
        <v>134</v>
      </c>
      <c r="BR916" s="138"/>
    </row>
    <row r="917" spans="1:70" ht="12.75" customHeight="1" x14ac:dyDescent="0.2">
      <c r="A917" s="2">
        <v>2406</v>
      </c>
      <c r="B917" s="2" t="s">
        <v>100</v>
      </c>
      <c r="C917" s="2" t="s">
        <v>95</v>
      </c>
      <c r="D917" s="2" t="s">
        <v>3059</v>
      </c>
      <c r="E917" s="2" t="s">
        <v>90</v>
      </c>
      <c r="F917" s="132">
        <v>75823</v>
      </c>
      <c r="G917" s="132" t="s">
        <v>3789</v>
      </c>
      <c r="H917" s="132">
        <f>R917</f>
        <v>1740.58</v>
      </c>
      <c r="I917" s="132"/>
      <c r="J917" s="132"/>
      <c r="K917" s="132">
        <f t="shared" si="90"/>
        <v>75823</v>
      </c>
      <c r="L917" s="132">
        <f t="shared" si="91"/>
        <v>1740.58</v>
      </c>
      <c r="M917" s="133"/>
      <c r="N917" s="133">
        <f t="shared" si="89"/>
        <v>75823</v>
      </c>
      <c r="O917" s="134">
        <v>1</v>
      </c>
      <c r="P917" s="133"/>
      <c r="Q917" s="2" t="s">
        <v>2993</v>
      </c>
      <c r="R917" s="156">
        <f t="shared" si="92"/>
        <v>1740.58</v>
      </c>
      <c r="S917" s="156">
        <f t="shared" si="93"/>
        <v>0</v>
      </c>
      <c r="T917" s="133"/>
      <c r="U917" s="133"/>
      <c r="V917" s="133"/>
      <c r="W917" s="133"/>
      <c r="X917" s="133"/>
      <c r="Y917" s="133"/>
      <c r="Z917" s="133"/>
      <c r="AA917" s="133"/>
      <c r="AB917" s="133"/>
      <c r="AC917" s="133"/>
      <c r="AD917" s="133"/>
      <c r="AE917" s="133"/>
      <c r="AF917" s="133"/>
      <c r="AG917" s="133"/>
      <c r="AH917" s="133"/>
      <c r="AI917" s="133"/>
      <c r="AJ917" s="133"/>
      <c r="AK917" s="133"/>
      <c r="AL917" s="133"/>
      <c r="AM917" s="133"/>
      <c r="AN917" s="133">
        <v>1740.58</v>
      </c>
      <c r="AO917" s="133"/>
      <c r="AP917" s="133"/>
      <c r="AQ917" s="133"/>
      <c r="AR917" s="133"/>
      <c r="AS917" s="153">
        <v>0</v>
      </c>
      <c r="AT917" s="153">
        <v>0</v>
      </c>
      <c r="AU917" s="153">
        <v>0</v>
      </c>
      <c r="AV917" s="153">
        <v>0</v>
      </c>
      <c r="AW917" s="153">
        <v>0</v>
      </c>
      <c r="AX917" s="153">
        <v>0</v>
      </c>
      <c r="AY917" s="135"/>
      <c r="AZ917" s="135"/>
      <c r="BA917" s="135"/>
      <c r="BB917" s="135"/>
      <c r="BC917" s="135"/>
      <c r="BD917" s="135"/>
      <c r="BE917" s="135"/>
      <c r="BF917" s="135"/>
      <c r="BG917" s="135"/>
      <c r="BH917" s="135"/>
      <c r="BI917" s="2" t="s">
        <v>11</v>
      </c>
      <c r="BJ917" s="136"/>
      <c r="BK917" s="2">
        <v>0</v>
      </c>
      <c r="BL917" s="136" t="s">
        <v>18</v>
      </c>
      <c r="BM917" s="136">
        <v>45300</v>
      </c>
      <c r="BN917" s="2" t="s">
        <v>3143</v>
      </c>
      <c r="BO917" s="2"/>
      <c r="BP917" s="205"/>
      <c r="BQ917" s="137" t="s">
        <v>119</v>
      </c>
      <c r="BR917" s="138"/>
    </row>
    <row r="918" spans="1:70" ht="12.75" customHeight="1" x14ac:dyDescent="0.2">
      <c r="A918" s="2">
        <v>2407</v>
      </c>
      <c r="B918" s="2" t="s">
        <v>39</v>
      </c>
      <c r="C918" s="2" t="s">
        <v>74</v>
      </c>
      <c r="D918" s="2" t="s">
        <v>3060</v>
      </c>
      <c r="E918" s="2" t="s">
        <v>106</v>
      </c>
      <c r="F918" s="132">
        <v>406.87</v>
      </c>
      <c r="G918" s="132">
        <v>2</v>
      </c>
      <c r="H918" s="132">
        <f>232.5*1.75-0.005</f>
        <v>406.87</v>
      </c>
      <c r="I918" s="132"/>
      <c r="J918" s="132">
        <v>406.87</v>
      </c>
      <c r="K918" s="132">
        <f t="shared" si="90"/>
        <v>0</v>
      </c>
      <c r="L918" s="132">
        <f t="shared" si="91"/>
        <v>0</v>
      </c>
      <c r="M918" s="133"/>
      <c r="N918" s="133">
        <f t="shared" si="89"/>
        <v>0</v>
      </c>
      <c r="O918" s="134">
        <v>0</v>
      </c>
      <c r="P918" s="133"/>
      <c r="Q918" s="2" t="s">
        <v>2994</v>
      </c>
      <c r="R918" s="156">
        <f t="shared" si="92"/>
        <v>0</v>
      </c>
      <c r="S918" s="156">
        <f t="shared" si="93"/>
        <v>0</v>
      </c>
      <c r="T918" s="133"/>
      <c r="U918" s="133"/>
      <c r="V918" s="133"/>
      <c r="W918" s="133"/>
      <c r="X918" s="133"/>
      <c r="Y918" s="133"/>
      <c r="Z918" s="133"/>
      <c r="AA918" s="133"/>
      <c r="AB918" s="133"/>
      <c r="AC918" s="133"/>
      <c r="AD918" s="133"/>
      <c r="AE918" s="133"/>
      <c r="AF918" s="133"/>
      <c r="AG918" s="133"/>
      <c r="AH918" s="133"/>
      <c r="AI918" s="133"/>
      <c r="AJ918" s="133"/>
      <c r="AK918" s="133"/>
      <c r="AL918" s="133"/>
      <c r="AM918" s="133"/>
      <c r="AN918" s="133"/>
      <c r="AO918" s="133"/>
      <c r="AP918" s="133"/>
      <c r="AQ918" s="133"/>
      <c r="AR918" s="133"/>
      <c r="AS918" s="153">
        <v>0</v>
      </c>
      <c r="AT918" s="153">
        <v>0</v>
      </c>
      <c r="AU918" s="153">
        <v>0</v>
      </c>
      <c r="AV918" s="153">
        <v>0</v>
      </c>
      <c r="AW918" s="153">
        <v>0</v>
      </c>
      <c r="AX918" s="153">
        <v>0</v>
      </c>
      <c r="AY918" s="135"/>
      <c r="AZ918" s="135"/>
      <c r="BA918" s="135"/>
      <c r="BB918" s="135"/>
      <c r="BC918" s="135"/>
      <c r="BD918" s="135"/>
      <c r="BE918" s="135"/>
      <c r="BF918" s="135"/>
      <c r="BG918" s="135"/>
      <c r="BH918" s="135"/>
      <c r="BI918" s="2" t="s">
        <v>112</v>
      </c>
      <c r="BJ918" s="136">
        <v>45637</v>
      </c>
      <c r="BK918" s="2" t="s">
        <v>145</v>
      </c>
      <c r="BL918" s="136" t="s">
        <v>18</v>
      </c>
      <c r="BM918" s="136">
        <v>45300</v>
      </c>
      <c r="BN918" s="2" t="s">
        <v>3144</v>
      </c>
      <c r="BO918" s="2"/>
      <c r="BP918" s="205"/>
      <c r="BQ918" s="137" t="s">
        <v>134</v>
      </c>
      <c r="BR918" s="138"/>
    </row>
    <row r="919" spans="1:70" ht="12.75" customHeight="1" x14ac:dyDescent="0.2">
      <c r="A919" s="2">
        <v>2408</v>
      </c>
      <c r="B919" s="2" t="s">
        <v>39</v>
      </c>
      <c r="C919" s="2" t="s">
        <v>74</v>
      </c>
      <c r="D919" s="2" t="s">
        <v>3061</v>
      </c>
      <c r="E919" s="2" t="s">
        <v>90</v>
      </c>
      <c r="F919" s="132">
        <v>20000</v>
      </c>
      <c r="G919" s="132">
        <v>2</v>
      </c>
      <c r="H919" s="132">
        <f>R919</f>
        <v>15678.44</v>
      </c>
      <c r="I919" s="132"/>
      <c r="J919" s="132">
        <f>S919</f>
        <v>15678.439999999999</v>
      </c>
      <c r="K919" s="132">
        <f t="shared" si="90"/>
        <v>4321.5600000000013</v>
      </c>
      <c r="L919" s="132">
        <f t="shared" si="91"/>
        <v>0</v>
      </c>
      <c r="M919" s="133">
        <v>216</v>
      </c>
      <c r="N919" s="133">
        <f t="shared" si="89"/>
        <v>1.8189894035458565E-12</v>
      </c>
      <c r="O919" s="134">
        <v>1</v>
      </c>
      <c r="P919" s="133"/>
      <c r="Q919" s="2" t="s">
        <v>2994</v>
      </c>
      <c r="R919" s="156">
        <f t="shared" si="92"/>
        <v>15678.44</v>
      </c>
      <c r="S919" s="156">
        <f t="shared" si="93"/>
        <v>15678.439999999999</v>
      </c>
      <c r="T919" s="133"/>
      <c r="U919" s="133"/>
      <c r="V919" s="133"/>
      <c r="W919" s="133"/>
      <c r="X919" s="133"/>
      <c r="Y919" s="133"/>
      <c r="Z919" s="133">
        <v>15678.44</v>
      </c>
      <c r="AA919" s="133"/>
      <c r="AB919" s="133"/>
      <c r="AC919" s="133">
        <v>2391.63</v>
      </c>
      <c r="AD919" s="133"/>
      <c r="AE919" s="133">
        <v>13286.81</v>
      </c>
      <c r="AF919" s="133"/>
      <c r="AG919" s="133"/>
      <c r="AH919" s="133"/>
      <c r="AI919" s="133"/>
      <c r="AJ919" s="133"/>
      <c r="AK919" s="133"/>
      <c r="AL919" s="133"/>
      <c r="AM919" s="133"/>
      <c r="AN919" s="133"/>
      <c r="AO919" s="133"/>
      <c r="AP919" s="133"/>
      <c r="AQ919" s="133"/>
      <c r="AR919" s="133"/>
      <c r="AS919" s="153">
        <v>0</v>
      </c>
      <c r="AT919" s="153">
        <v>0</v>
      </c>
      <c r="AU919" s="153">
        <v>0</v>
      </c>
      <c r="AV919" s="153">
        <v>0</v>
      </c>
      <c r="AW919" s="153">
        <v>0</v>
      </c>
      <c r="AX919" s="153">
        <v>0</v>
      </c>
      <c r="AY919" s="135">
        <v>0</v>
      </c>
      <c r="AZ919" s="135">
        <v>0</v>
      </c>
      <c r="BA919" s="135">
        <v>0</v>
      </c>
      <c r="BB919" s="135">
        <v>0</v>
      </c>
      <c r="BC919" s="135">
        <v>0</v>
      </c>
      <c r="BD919" s="135">
        <v>0</v>
      </c>
      <c r="BE919" s="135">
        <f>(H919/1.18-AT919-AW919-AZ919-BD919)*0.1-AU919-AX919-BA919-BB919</f>
        <v>1328.6813559322036</v>
      </c>
      <c r="BF919" s="135"/>
      <c r="BG919" s="135">
        <v>0</v>
      </c>
      <c r="BH919" s="135">
        <v>0</v>
      </c>
      <c r="BI919" s="2" t="s">
        <v>11</v>
      </c>
      <c r="BJ919" s="136">
        <v>45777</v>
      </c>
      <c r="BK919" s="2" t="s">
        <v>8</v>
      </c>
      <c r="BL919" s="136" t="s">
        <v>18</v>
      </c>
      <c r="BM919" s="136">
        <v>45300</v>
      </c>
      <c r="BN919" s="2" t="s">
        <v>3145</v>
      </c>
      <c r="BO919" s="2"/>
      <c r="BP919" s="205"/>
      <c r="BQ919" s="137" t="s">
        <v>119</v>
      </c>
      <c r="BR919" s="138"/>
    </row>
    <row r="920" spans="1:70" ht="12.75" customHeight="1" x14ac:dyDescent="0.2">
      <c r="A920" s="2">
        <v>2409</v>
      </c>
      <c r="B920" s="2" t="s">
        <v>39</v>
      </c>
      <c r="C920" s="2" t="s">
        <v>94</v>
      </c>
      <c r="D920" s="2" t="s">
        <v>3062</v>
      </c>
      <c r="E920" s="2" t="s">
        <v>106</v>
      </c>
      <c r="F920" s="132">
        <v>0</v>
      </c>
      <c r="G920" s="132">
        <v>2</v>
      </c>
      <c r="H920" s="132"/>
      <c r="I920" s="132"/>
      <c r="J920" s="132"/>
      <c r="K920" s="132">
        <f t="shared" si="90"/>
        <v>0</v>
      </c>
      <c r="L920" s="132">
        <f t="shared" si="91"/>
        <v>0</v>
      </c>
      <c r="M920" s="133"/>
      <c r="N920" s="133">
        <f t="shared" si="89"/>
        <v>0</v>
      </c>
      <c r="O920" s="134">
        <v>2</v>
      </c>
      <c r="P920" s="133"/>
      <c r="Q920" s="2" t="s">
        <v>2995</v>
      </c>
      <c r="R920" s="156">
        <f t="shared" si="92"/>
        <v>0</v>
      </c>
      <c r="S920" s="156">
        <f t="shared" si="93"/>
        <v>0</v>
      </c>
      <c r="T920" s="133"/>
      <c r="U920" s="133"/>
      <c r="V920" s="133"/>
      <c r="W920" s="133"/>
      <c r="X920" s="133"/>
      <c r="Y920" s="133"/>
      <c r="Z920" s="133"/>
      <c r="AA920" s="133"/>
      <c r="AB920" s="133"/>
      <c r="AC920" s="133"/>
      <c r="AD920" s="133"/>
      <c r="AE920" s="133"/>
      <c r="AF920" s="133"/>
      <c r="AG920" s="133"/>
      <c r="AH920" s="133"/>
      <c r="AI920" s="133"/>
      <c r="AJ920" s="133"/>
      <c r="AK920" s="133"/>
      <c r="AL920" s="133"/>
      <c r="AM920" s="133"/>
      <c r="AN920" s="133"/>
      <c r="AO920" s="133"/>
      <c r="AP920" s="133"/>
      <c r="AQ920" s="133"/>
      <c r="AR920" s="133"/>
      <c r="AS920" s="153">
        <v>0</v>
      </c>
      <c r="AT920" s="153">
        <v>0</v>
      </c>
      <c r="AU920" s="153">
        <v>0</v>
      </c>
      <c r="AV920" s="153">
        <v>0</v>
      </c>
      <c r="AW920" s="153">
        <v>0</v>
      </c>
      <c r="AX920" s="153">
        <v>0</v>
      </c>
      <c r="AY920" s="135"/>
      <c r="AZ920" s="135"/>
      <c r="BA920" s="135"/>
      <c r="BB920" s="135"/>
      <c r="BC920" s="135"/>
      <c r="BD920" s="135"/>
      <c r="BE920" s="135"/>
      <c r="BF920" s="135"/>
      <c r="BG920" s="135"/>
      <c r="BH920" s="135"/>
      <c r="BI920" s="2" t="s">
        <v>112</v>
      </c>
      <c r="BJ920" s="136"/>
      <c r="BK920" s="2">
        <v>0</v>
      </c>
      <c r="BL920" s="136" t="s">
        <v>18</v>
      </c>
      <c r="BM920" s="136">
        <v>45300</v>
      </c>
      <c r="BN920" s="2" t="s">
        <v>3146</v>
      </c>
      <c r="BO920" s="2"/>
      <c r="BP920" s="205"/>
      <c r="BQ920" s="137" t="s">
        <v>134</v>
      </c>
      <c r="BR920" s="138"/>
    </row>
    <row r="921" spans="1:70" ht="12.75" customHeight="1" x14ac:dyDescent="0.2">
      <c r="A921" s="2">
        <v>2410</v>
      </c>
      <c r="B921" s="2" t="s">
        <v>39</v>
      </c>
      <c r="C921" s="2" t="s">
        <v>94</v>
      </c>
      <c r="D921" s="2" t="s">
        <v>3063</v>
      </c>
      <c r="E921" s="2" t="s">
        <v>90</v>
      </c>
      <c r="F921" s="132">
        <v>20000</v>
      </c>
      <c r="G921" s="132">
        <v>2</v>
      </c>
      <c r="H921" s="132"/>
      <c r="I921" s="132"/>
      <c r="J921" s="132"/>
      <c r="K921" s="132">
        <f t="shared" si="90"/>
        <v>20000</v>
      </c>
      <c r="L921" s="132">
        <f t="shared" si="91"/>
        <v>0</v>
      </c>
      <c r="M921" s="133"/>
      <c r="N921" s="133">
        <f t="shared" si="89"/>
        <v>20000</v>
      </c>
      <c r="O921" s="134">
        <v>1</v>
      </c>
      <c r="P921" s="133"/>
      <c r="Q921" s="2" t="s">
        <v>2995</v>
      </c>
      <c r="R921" s="156">
        <f t="shared" si="92"/>
        <v>0</v>
      </c>
      <c r="S921" s="156">
        <f t="shared" si="93"/>
        <v>0</v>
      </c>
      <c r="T921" s="133"/>
      <c r="U921" s="133"/>
      <c r="V921" s="133"/>
      <c r="W921" s="133"/>
      <c r="X921" s="133"/>
      <c r="Y921" s="133"/>
      <c r="Z921" s="133"/>
      <c r="AA921" s="133"/>
      <c r="AB921" s="133"/>
      <c r="AC921" s="133"/>
      <c r="AD921" s="133"/>
      <c r="AE921" s="133"/>
      <c r="AF921" s="133"/>
      <c r="AG921" s="133"/>
      <c r="AH921" s="133"/>
      <c r="AI921" s="133"/>
      <c r="AJ921" s="133"/>
      <c r="AK921" s="133"/>
      <c r="AL921" s="133"/>
      <c r="AM921" s="133"/>
      <c r="AN921" s="133"/>
      <c r="AO921" s="133"/>
      <c r="AP921" s="133"/>
      <c r="AQ921" s="133"/>
      <c r="AR921" s="133"/>
      <c r="AS921" s="153">
        <v>0</v>
      </c>
      <c r="AT921" s="153">
        <v>0</v>
      </c>
      <c r="AU921" s="153">
        <v>0</v>
      </c>
      <c r="AV921" s="153">
        <v>0</v>
      </c>
      <c r="AW921" s="153">
        <v>0</v>
      </c>
      <c r="AX921" s="153">
        <v>0</v>
      </c>
      <c r="AY921" s="135"/>
      <c r="AZ921" s="135"/>
      <c r="BA921" s="135"/>
      <c r="BB921" s="135"/>
      <c r="BC921" s="135"/>
      <c r="BD921" s="135"/>
      <c r="BE921" s="135"/>
      <c r="BF921" s="135"/>
      <c r="BG921" s="135"/>
      <c r="BH921" s="135"/>
      <c r="BI921" s="2" t="s">
        <v>11</v>
      </c>
      <c r="BJ921" s="136"/>
      <c r="BK921" s="2">
        <v>0</v>
      </c>
      <c r="BL921" s="136" t="s">
        <v>18</v>
      </c>
      <c r="BM921" s="136">
        <v>45300</v>
      </c>
      <c r="BN921" s="2" t="s">
        <v>3147</v>
      </c>
      <c r="BO921" s="2"/>
      <c r="BP921" s="205"/>
      <c r="BQ921" s="137" t="s">
        <v>119</v>
      </c>
      <c r="BR921" s="138"/>
    </row>
    <row r="922" spans="1:70" ht="12.75" customHeight="1" x14ac:dyDescent="0.2">
      <c r="A922" s="2">
        <v>2411</v>
      </c>
      <c r="B922" s="2" t="s">
        <v>39</v>
      </c>
      <c r="C922" s="2" t="s">
        <v>94</v>
      </c>
      <c r="D922" s="2" t="s">
        <v>3064</v>
      </c>
      <c r="E922" s="2" t="s">
        <v>106</v>
      </c>
      <c r="F922" s="132">
        <v>887.25</v>
      </c>
      <c r="G922" s="132">
        <v>2</v>
      </c>
      <c r="H922" s="132">
        <f>507*1.75</f>
        <v>887.25</v>
      </c>
      <c r="I922" s="132"/>
      <c r="J922" s="132">
        <v>887.25</v>
      </c>
      <c r="K922" s="132">
        <f t="shared" si="90"/>
        <v>0</v>
      </c>
      <c r="L922" s="132">
        <f t="shared" si="91"/>
        <v>0</v>
      </c>
      <c r="M922" s="133"/>
      <c r="N922" s="133">
        <f t="shared" si="89"/>
        <v>0</v>
      </c>
      <c r="O922" s="134">
        <v>0</v>
      </c>
      <c r="P922" s="133"/>
      <c r="Q922" s="2" t="s">
        <v>2996</v>
      </c>
      <c r="R922" s="156">
        <f t="shared" si="92"/>
        <v>0</v>
      </c>
      <c r="S922" s="156">
        <f t="shared" si="93"/>
        <v>0</v>
      </c>
      <c r="T922" s="133"/>
      <c r="U922" s="133"/>
      <c r="V922" s="133"/>
      <c r="W922" s="133"/>
      <c r="X922" s="133"/>
      <c r="Y922" s="133"/>
      <c r="Z922" s="133"/>
      <c r="AA922" s="133"/>
      <c r="AB922" s="133"/>
      <c r="AC922" s="133"/>
      <c r="AD922" s="133"/>
      <c r="AE922" s="133"/>
      <c r="AF922" s="133"/>
      <c r="AG922" s="133"/>
      <c r="AH922" s="133"/>
      <c r="AI922" s="133"/>
      <c r="AJ922" s="133"/>
      <c r="AK922" s="133"/>
      <c r="AL922" s="133"/>
      <c r="AM922" s="133"/>
      <c r="AN922" s="133"/>
      <c r="AO922" s="133"/>
      <c r="AP922" s="133"/>
      <c r="AQ922" s="133"/>
      <c r="AR922" s="133"/>
      <c r="AS922" s="153">
        <v>0</v>
      </c>
      <c r="AT922" s="153">
        <v>0</v>
      </c>
      <c r="AU922" s="153">
        <v>0</v>
      </c>
      <c r="AV922" s="153">
        <v>0</v>
      </c>
      <c r="AW922" s="153">
        <v>0</v>
      </c>
      <c r="AX922" s="153">
        <v>0</v>
      </c>
      <c r="AY922" s="135"/>
      <c r="AZ922" s="135"/>
      <c r="BA922" s="135"/>
      <c r="BB922" s="135"/>
      <c r="BC922" s="135"/>
      <c r="BD922" s="135"/>
      <c r="BE922" s="135"/>
      <c r="BF922" s="135"/>
      <c r="BG922" s="135"/>
      <c r="BH922" s="135"/>
      <c r="BI922" s="2" t="s">
        <v>112</v>
      </c>
      <c r="BJ922" s="136">
        <v>45636</v>
      </c>
      <c r="BK922" s="2" t="s">
        <v>145</v>
      </c>
      <c r="BL922" s="136" t="s">
        <v>18</v>
      </c>
      <c r="BM922" s="136">
        <v>45300</v>
      </c>
      <c r="BN922" s="2" t="s">
        <v>3148</v>
      </c>
      <c r="BO922" s="2"/>
      <c r="BP922" s="205"/>
      <c r="BQ922" s="137" t="s">
        <v>134</v>
      </c>
      <c r="BR922" s="138"/>
    </row>
    <row r="923" spans="1:70" ht="12.75" customHeight="1" x14ac:dyDescent="0.2">
      <c r="A923" s="2">
        <v>2412</v>
      </c>
      <c r="B923" s="2" t="s">
        <v>39</v>
      </c>
      <c r="C923" s="2" t="s">
        <v>94</v>
      </c>
      <c r="D923" s="2" t="s">
        <v>3065</v>
      </c>
      <c r="E923" s="2" t="s">
        <v>90</v>
      </c>
      <c r="F923" s="132">
        <v>20000</v>
      </c>
      <c r="G923" s="132">
        <v>2</v>
      </c>
      <c r="H923" s="132"/>
      <c r="I923" s="132"/>
      <c r="J923" s="132"/>
      <c r="K923" s="132">
        <f t="shared" si="90"/>
        <v>20000</v>
      </c>
      <c r="L923" s="132">
        <f t="shared" si="91"/>
        <v>0</v>
      </c>
      <c r="M923" s="133"/>
      <c r="N923" s="133">
        <f t="shared" si="89"/>
        <v>20000</v>
      </c>
      <c r="O923" s="134">
        <v>1</v>
      </c>
      <c r="P923" s="133"/>
      <c r="Q923" s="2" t="s">
        <v>2996</v>
      </c>
      <c r="R923" s="156">
        <f t="shared" si="92"/>
        <v>0</v>
      </c>
      <c r="S923" s="156">
        <f t="shared" si="93"/>
        <v>0</v>
      </c>
      <c r="T923" s="133"/>
      <c r="U923" s="133"/>
      <c r="V923" s="133"/>
      <c r="W923" s="133"/>
      <c r="X923" s="133"/>
      <c r="Y923" s="133"/>
      <c r="Z923" s="133"/>
      <c r="AA923" s="133"/>
      <c r="AB923" s="133"/>
      <c r="AC923" s="133"/>
      <c r="AD923" s="133"/>
      <c r="AE923" s="133"/>
      <c r="AF923" s="133"/>
      <c r="AG923" s="133"/>
      <c r="AH923" s="133"/>
      <c r="AI923" s="133"/>
      <c r="AJ923" s="133"/>
      <c r="AK923" s="133"/>
      <c r="AL923" s="133"/>
      <c r="AM923" s="133"/>
      <c r="AN923" s="133"/>
      <c r="AO923" s="133"/>
      <c r="AP923" s="133"/>
      <c r="AQ923" s="133"/>
      <c r="AR923" s="133"/>
      <c r="AS923" s="153">
        <v>0</v>
      </c>
      <c r="AT923" s="153">
        <v>0</v>
      </c>
      <c r="AU923" s="153">
        <v>0</v>
      </c>
      <c r="AV923" s="153">
        <v>0</v>
      </c>
      <c r="AW923" s="153">
        <v>0</v>
      </c>
      <c r="AX923" s="153">
        <v>0</v>
      </c>
      <c r="AY923" s="135"/>
      <c r="AZ923" s="135"/>
      <c r="BA923" s="135"/>
      <c r="BB923" s="135"/>
      <c r="BC923" s="135"/>
      <c r="BD923" s="135"/>
      <c r="BE923" s="135"/>
      <c r="BF923" s="135"/>
      <c r="BG923" s="135"/>
      <c r="BH923" s="135"/>
      <c r="BI923" s="2" t="s">
        <v>11</v>
      </c>
      <c r="BJ923" s="136"/>
      <c r="BK923" s="2">
        <v>0</v>
      </c>
      <c r="BL923" s="136" t="s">
        <v>18</v>
      </c>
      <c r="BM923" s="136">
        <v>45300</v>
      </c>
      <c r="BN923" s="2" t="s">
        <v>3149</v>
      </c>
      <c r="BO923" s="2"/>
      <c r="BP923" s="205"/>
      <c r="BQ923" s="137" t="s">
        <v>119</v>
      </c>
      <c r="BR923" s="138"/>
    </row>
    <row r="924" spans="1:70" ht="12.75" customHeight="1" x14ac:dyDescent="0.2">
      <c r="A924" s="2">
        <v>2413</v>
      </c>
      <c r="B924" s="2" t="s">
        <v>39</v>
      </c>
      <c r="C924" s="2" t="s">
        <v>94</v>
      </c>
      <c r="D924" s="2" t="s">
        <v>3066</v>
      </c>
      <c r="E924" s="2" t="s">
        <v>106</v>
      </c>
      <c r="F924" s="132">
        <v>0</v>
      </c>
      <c r="G924" s="132">
        <v>2</v>
      </c>
      <c r="H924" s="132"/>
      <c r="I924" s="132"/>
      <c r="J924" s="132"/>
      <c r="K924" s="132">
        <f t="shared" si="90"/>
        <v>0</v>
      </c>
      <c r="L924" s="132">
        <f t="shared" si="91"/>
        <v>0</v>
      </c>
      <c r="M924" s="133"/>
      <c r="N924" s="133">
        <f t="shared" si="89"/>
        <v>0</v>
      </c>
      <c r="O924" s="134">
        <v>2</v>
      </c>
      <c r="P924" s="133"/>
      <c r="Q924" s="2" t="s">
        <v>2997</v>
      </c>
      <c r="R924" s="156">
        <f t="shared" si="92"/>
        <v>0</v>
      </c>
      <c r="S924" s="156">
        <f t="shared" si="93"/>
        <v>0</v>
      </c>
      <c r="T924" s="133"/>
      <c r="U924" s="133"/>
      <c r="V924" s="133"/>
      <c r="W924" s="133"/>
      <c r="X924" s="133"/>
      <c r="Y924" s="133"/>
      <c r="Z924" s="133"/>
      <c r="AA924" s="133"/>
      <c r="AB924" s="133"/>
      <c r="AC924" s="133"/>
      <c r="AD924" s="133"/>
      <c r="AE924" s="133"/>
      <c r="AF924" s="133"/>
      <c r="AG924" s="133"/>
      <c r="AH924" s="133"/>
      <c r="AI924" s="133"/>
      <c r="AJ924" s="133"/>
      <c r="AK924" s="133"/>
      <c r="AL924" s="133"/>
      <c r="AM924" s="133"/>
      <c r="AN924" s="133"/>
      <c r="AO924" s="133"/>
      <c r="AP924" s="133"/>
      <c r="AQ924" s="133"/>
      <c r="AR924" s="133"/>
      <c r="AS924" s="153">
        <v>0</v>
      </c>
      <c r="AT924" s="153">
        <v>0</v>
      </c>
      <c r="AU924" s="153">
        <v>0</v>
      </c>
      <c r="AV924" s="153">
        <v>0</v>
      </c>
      <c r="AW924" s="153">
        <v>0</v>
      </c>
      <c r="AX924" s="153">
        <v>0</v>
      </c>
      <c r="AY924" s="135"/>
      <c r="AZ924" s="135"/>
      <c r="BA924" s="135"/>
      <c r="BB924" s="135"/>
      <c r="BC924" s="135"/>
      <c r="BD924" s="135"/>
      <c r="BE924" s="135"/>
      <c r="BF924" s="135"/>
      <c r="BG924" s="135"/>
      <c r="BH924" s="135"/>
      <c r="BI924" s="2" t="s">
        <v>112</v>
      </c>
      <c r="BJ924" s="136"/>
      <c r="BK924" s="2">
        <v>0</v>
      </c>
      <c r="BL924" s="136" t="s">
        <v>18</v>
      </c>
      <c r="BM924" s="136">
        <v>45300</v>
      </c>
      <c r="BN924" s="2" t="s">
        <v>3150</v>
      </c>
      <c r="BO924" s="2"/>
      <c r="BP924" s="205"/>
      <c r="BQ924" s="137" t="s">
        <v>134</v>
      </c>
      <c r="BR924" s="138"/>
    </row>
    <row r="925" spans="1:70" ht="12.75" customHeight="1" x14ac:dyDescent="0.2">
      <c r="A925" s="2">
        <v>2414</v>
      </c>
      <c r="B925" s="2" t="s">
        <v>39</v>
      </c>
      <c r="C925" s="2" t="s">
        <v>94</v>
      </c>
      <c r="D925" s="2" t="s">
        <v>3067</v>
      </c>
      <c r="E925" s="2" t="s">
        <v>90</v>
      </c>
      <c r="F925" s="132">
        <v>15000</v>
      </c>
      <c r="G925" s="132">
        <v>2</v>
      </c>
      <c r="H925" s="132"/>
      <c r="I925" s="132"/>
      <c r="J925" s="132"/>
      <c r="K925" s="132">
        <f t="shared" si="90"/>
        <v>15000</v>
      </c>
      <c r="L925" s="132">
        <f t="shared" si="91"/>
        <v>0</v>
      </c>
      <c r="M925" s="133"/>
      <c r="N925" s="133">
        <f t="shared" si="89"/>
        <v>15000</v>
      </c>
      <c r="O925" s="134">
        <v>1</v>
      </c>
      <c r="P925" s="133"/>
      <c r="Q925" s="2" t="s">
        <v>2997</v>
      </c>
      <c r="R925" s="156">
        <f t="shared" si="92"/>
        <v>0</v>
      </c>
      <c r="S925" s="156">
        <f t="shared" si="93"/>
        <v>0</v>
      </c>
      <c r="T925" s="133"/>
      <c r="U925" s="133"/>
      <c r="V925" s="133"/>
      <c r="W925" s="133"/>
      <c r="X925" s="133"/>
      <c r="Y925" s="133"/>
      <c r="Z925" s="133"/>
      <c r="AA925" s="133"/>
      <c r="AB925" s="133"/>
      <c r="AC925" s="133"/>
      <c r="AD925" s="133"/>
      <c r="AE925" s="133"/>
      <c r="AF925" s="133"/>
      <c r="AG925" s="133"/>
      <c r="AH925" s="133"/>
      <c r="AI925" s="133"/>
      <c r="AJ925" s="133"/>
      <c r="AK925" s="133"/>
      <c r="AL925" s="133"/>
      <c r="AM925" s="133"/>
      <c r="AN925" s="133"/>
      <c r="AO925" s="133"/>
      <c r="AP925" s="133"/>
      <c r="AQ925" s="133"/>
      <c r="AR925" s="133"/>
      <c r="AS925" s="153">
        <v>0</v>
      </c>
      <c r="AT925" s="153">
        <v>0</v>
      </c>
      <c r="AU925" s="153">
        <v>0</v>
      </c>
      <c r="AV925" s="153">
        <v>0</v>
      </c>
      <c r="AW925" s="153">
        <v>0</v>
      </c>
      <c r="AX925" s="153">
        <v>0</v>
      </c>
      <c r="AY925" s="135"/>
      <c r="AZ925" s="135"/>
      <c r="BA925" s="135"/>
      <c r="BB925" s="135"/>
      <c r="BC925" s="135"/>
      <c r="BD925" s="135"/>
      <c r="BE925" s="135"/>
      <c r="BF925" s="135"/>
      <c r="BG925" s="135"/>
      <c r="BH925" s="135"/>
      <c r="BI925" s="2" t="s">
        <v>11</v>
      </c>
      <c r="BJ925" s="136"/>
      <c r="BK925" s="2">
        <v>0</v>
      </c>
      <c r="BL925" s="136" t="s">
        <v>18</v>
      </c>
      <c r="BM925" s="136">
        <v>45300</v>
      </c>
      <c r="BN925" s="2" t="s">
        <v>3151</v>
      </c>
      <c r="BO925" s="2"/>
      <c r="BP925" s="205"/>
      <c r="BQ925" s="137" t="s">
        <v>119</v>
      </c>
      <c r="BR925" s="138"/>
    </row>
    <row r="926" spans="1:70" ht="12.75" customHeight="1" x14ac:dyDescent="0.2">
      <c r="A926" s="2">
        <v>2415</v>
      </c>
      <c r="B926" s="2" t="s">
        <v>100</v>
      </c>
      <c r="C926" s="2" t="s">
        <v>99</v>
      </c>
      <c r="D926" s="2" t="s">
        <v>3068</v>
      </c>
      <c r="E926" s="2" t="s">
        <v>106</v>
      </c>
      <c r="F926" s="132">
        <v>281.75</v>
      </c>
      <c r="G926" s="132">
        <v>2</v>
      </c>
      <c r="H926" s="132">
        <f>161*1.75</f>
        <v>281.75</v>
      </c>
      <c r="I926" s="132"/>
      <c r="J926" s="132">
        <v>281.75</v>
      </c>
      <c r="K926" s="132">
        <f t="shared" si="90"/>
        <v>0</v>
      </c>
      <c r="L926" s="132">
        <f t="shared" si="91"/>
        <v>0</v>
      </c>
      <c r="M926" s="133"/>
      <c r="N926" s="133">
        <f t="shared" si="89"/>
        <v>0</v>
      </c>
      <c r="O926" s="134">
        <v>0</v>
      </c>
      <c r="P926" s="133"/>
      <c r="Q926" s="2" t="s">
        <v>2998</v>
      </c>
      <c r="R926" s="156">
        <f t="shared" si="92"/>
        <v>0</v>
      </c>
      <c r="S926" s="156">
        <f t="shared" si="93"/>
        <v>0</v>
      </c>
      <c r="T926" s="133"/>
      <c r="U926" s="133"/>
      <c r="V926" s="133"/>
      <c r="W926" s="133"/>
      <c r="X926" s="133"/>
      <c r="Y926" s="133"/>
      <c r="Z926" s="133"/>
      <c r="AA926" s="133"/>
      <c r="AB926" s="133"/>
      <c r="AC926" s="133"/>
      <c r="AD926" s="133"/>
      <c r="AE926" s="133"/>
      <c r="AF926" s="133"/>
      <c r="AG926" s="133"/>
      <c r="AH926" s="133"/>
      <c r="AI926" s="133"/>
      <c r="AJ926" s="133"/>
      <c r="AK926" s="133"/>
      <c r="AL926" s="133"/>
      <c r="AM926" s="133"/>
      <c r="AN926" s="133"/>
      <c r="AO926" s="133"/>
      <c r="AP926" s="133"/>
      <c r="AQ926" s="133"/>
      <c r="AR926" s="133"/>
      <c r="AS926" s="153">
        <v>0</v>
      </c>
      <c r="AT926" s="153">
        <v>0</v>
      </c>
      <c r="AU926" s="153">
        <v>0</v>
      </c>
      <c r="AV926" s="153">
        <v>0</v>
      </c>
      <c r="AW926" s="153">
        <v>0</v>
      </c>
      <c r="AX926" s="153">
        <v>0</v>
      </c>
      <c r="AY926" s="135"/>
      <c r="AZ926" s="135"/>
      <c r="BA926" s="135"/>
      <c r="BB926" s="135"/>
      <c r="BC926" s="135"/>
      <c r="BD926" s="135"/>
      <c r="BE926" s="135"/>
      <c r="BF926" s="135"/>
      <c r="BG926" s="135"/>
      <c r="BH926" s="135"/>
      <c r="BI926" s="2" t="s">
        <v>112</v>
      </c>
      <c r="BJ926" s="136">
        <v>45642</v>
      </c>
      <c r="BK926" s="2" t="s">
        <v>145</v>
      </c>
      <c r="BL926" s="136" t="s">
        <v>18</v>
      </c>
      <c r="BM926" s="136">
        <v>45300</v>
      </c>
      <c r="BN926" s="2" t="s">
        <v>3152</v>
      </c>
      <c r="BO926" s="2"/>
      <c r="BP926" s="205"/>
      <c r="BQ926" s="137" t="s">
        <v>134</v>
      </c>
      <c r="BR926" s="138"/>
    </row>
    <row r="927" spans="1:70" ht="12.75" customHeight="1" x14ac:dyDescent="0.2">
      <c r="A927" s="2">
        <v>2416</v>
      </c>
      <c r="B927" s="2" t="s">
        <v>100</v>
      </c>
      <c r="C927" s="2" t="s">
        <v>99</v>
      </c>
      <c r="D927" s="2" t="s">
        <v>3069</v>
      </c>
      <c r="E927" s="2" t="s">
        <v>90</v>
      </c>
      <c r="F927" s="132">
        <v>15000</v>
      </c>
      <c r="G927" s="132">
        <v>2</v>
      </c>
      <c r="H927" s="132"/>
      <c r="I927" s="132"/>
      <c r="J927" s="132"/>
      <c r="K927" s="132">
        <f t="shared" si="90"/>
        <v>15000</v>
      </c>
      <c r="L927" s="132">
        <f t="shared" si="91"/>
        <v>0</v>
      </c>
      <c r="M927" s="133"/>
      <c r="N927" s="133">
        <f t="shared" si="89"/>
        <v>15000</v>
      </c>
      <c r="O927" s="134">
        <v>1</v>
      </c>
      <c r="P927" s="133"/>
      <c r="Q927" s="2" t="s">
        <v>2998</v>
      </c>
      <c r="R927" s="156">
        <f t="shared" si="92"/>
        <v>0</v>
      </c>
      <c r="S927" s="156">
        <f t="shared" si="93"/>
        <v>0</v>
      </c>
      <c r="T927" s="133"/>
      <c r="U927" s="133"/>
      <c r="V927" s="133"/>
      <c r="W927" s="133"/>
      <c r="X927" s="133"/>
      <c r="Y927" s="133"/>
      <c r="Z927" s="133"/>
      <c r="AA927" s="133"/>
      <c r="AB927" s="133"/>
      <c r="AC927" s="133"/>
      <c r="AD927" s="133"/>
      <c r="AE927" s="133"/>
      <c r="AF927" s="133"/>
      <c r="AG927" s="133"/>
      <c r="AH927" s="133"/>
      <c r="AI927" s="133"/>
      <c r="AJ927" s="133"/>
      <c r="AK927" s="133"/>
      <c r="AL927" s="133"/>
      <c r="AM927" s="133"/>
      <c r="AN927" s="133"/>
      <c r="AO927" s="133"/>
      <c r="AP927" s="133"/>
      <c r="AQ927" s="133"/>
      <c r="AR927" s="133"/>
      <c r="AS927" s="153">
        <v>0</v>
      </c>
      <c r="AT927" s="153">
        <v>0</v>
      </c>
      <c r="AU927" s="153">
        <v>0</v>
      </c>
      <c r="AV927" s="153">
        <v>0</v>
      </c>
      <c r="AW927" s="153">
        <v>0</v>
      </c>
      <c r="AX927" s="153">
        <v>0</v>
      </c>
      <c r="AY927" s="135"/>
      <c r="AZ927" s="135"/>
      <c r="BA927" s="135"/>
      <c r="BB927" s="135"/>
      <c r="BC927" s="135"/>
      <c r="BD927" s="135"/>
      <c r="BE927" s="135"/>
      <c r="BF927" s="135"/>
      <c r="BG927" s="135"/>
      <c r="BH927" s="135"/>
      <c r="BI927" s="2" t="s">
        <v>11</v>
      </c>
      <c r="BJ927" s="136"/>
      <c r="BK927" s="2">
        <v>0</v>
      </c>
      <c r="BL927" s="136" t="s">
        <v>18</v>
      </c>
      <c r="BM927" s="136">
        <v>45300</v>
      </c>
      <c r="BN927" s="2" t="s">
        <v>3153</v>
      </c>
      <c r="BO927" s="2"/>
      <c r="BP927" s="205"/>
      <c r="BQ927" s="137" t="s">
        <v>119</v>
      </c>
      <c r="BR927" s="138"/>
    </row>
    <row r="928" spans="1:70" ht="12.75" customHeight="1" x14ac:dyDescent="0.2">
      <c r="A928" s="2">
        <v>2417</v>
      </c>
      <c r="B928" s="2" t="s">
        <v>39</v>
      </c>
      <c r="C928" s="2" t="s">
        <v>74</v>
      </c>
      <c r="D928" s="2" t="s">
        <v>3070</v>
      </c>
      <c r="E928" s="2" t="s">
        <v>106</v>
      </c>
      <c r="F928" s="132">
        <v>294.87</v>
      </c>
      <c r="G928" s="132">
        <v>2</v>
      </c>
      <c r="H928" s="132">
        <f>168.5*1.75-0.005</f>
        <v>294.87</v>
      </c>
      <c r="I928" s="132"/>
      <c r="J928" s="132">
        <v>294.87</v>
      </c>
      <c r="K928" s="132">
        <f t="shared" si="90"/>
        <v>0</v>
      </c>
      <c r="L928" s="132">
        <f t="shared" si="91"/>
        <v>0</v>
      </c>
      <c r="M928" s="133"/>
      <c r="N928" s="133">
        <f t="shared" si="89"/>
        <v>0</v>
      </c>
      <c r="O928" s="134">
        <v>0</v>
      </c>
      <c r="P928" s="133"/>
      <c r="Q928" s="2" t="s">
        <v>2999</v>
      </c>
      <c r="R928" s="156">
        <f t="shared" si="92"/>
        <v>0</v>
      </c>
      <c r="S928" s="156">
        <f t="shared" si="93"/>
        <v>0</v>
      </c>
      <c r="T928" s="133"/>
      <c r="U928" s="133"/>
      <c r="V928" s="133"/>
      <c r="W928" s="133"/>
      <c r="X928" s="133"/>
      <c r="Y928" s="133"/>
      <c r="Z928" s="133"/>
      <c r="AA928" s="133"/>
      <c r="AB928" s="133"/>
      <c r="AC928" s="133"/>
      <c r="AD928" s="133"/>
      <c r="AE928" s="133"/>
      <c r="AF928" s="133"/>
      <c r="AG928" s="133"/>
      <c r="AH928" s="133"/>
      <c r="AI928" s="133"/>
      <c r="AJ928" s="133"/>
      <c r="AK928" s="133"/>
      <c r="AL928" s="133"/>
      <c r="AM928" s="133"/>
      <c r="AN928" s="133"/>
      <c r="AO928" s="133"/>
      <c r="AP928" s="133"/>
      <c r="AQ928" s="133"/>
      <c r="AR928" s="133"/>
      <c r="AS928" s="153">
        <v>0</v>
      </c>
      <c r="AT928" s="153">
        <v>0</v>
      </c>
      <c r="AU928" s="153">
        <v>0</v>
      </c>
      <c r="AV928" s="153">
        <v>0</v>
      </c>
      <c r="AW928" s="153">
        <v>0</v>
      </c>
      <c r="AX928" s="153">
        <v>0</v>
      </c>
      <c r="AY928" s="135"/>
      <c r="AZ928" s="135"/>
      <c r="BA928" s="135"/>
      <c r="BB928" s="135"/>
      <c r="BC928" s="135"/>
      <c r="BD928" s="135"/>
      <c r="BE928" s="135"/>
      <c r="BF928" s="135"/>
      <c r="BG928" s="135"/>
      <c r="BH928" s="135"/>
      <c r="BI928" s="2" t="s">
        <v>112</v>
      </c>
      <c r="BJ928" s="136">
        <v>45637</v>
      </c>
      <c r="BK928" s="2" t="s">
        <v>145</v>
      </c>
      <c r="BL928" s="136" t="s">
        <v>18</v>
      </c>
      <c r="BM928" s="136">
        <v>45300</v>
      </c>
      <c r="BN928" s="2" t="s">
        <v>3154</v>
      </c>
      <c r="BO928" s="2"/>
      <c r="BP928" s="205"/>
      <c r="BQ928" s="137" t="s">
        <v>134</v>
      </c>
      <c r="BR928" s="138"/>
    </row>
    <row r="929" spans="1:70" ht="12.75" customHeight="1" x14ac:dyDescent="0.2">
      <c r="A929" s="2">
        <v>2418</v>
      </c>
      <c r="B929" s="2" t="s">
        <v>39</v>
      </c>
      <c r="C929" s="2" t="s">
        <v>74</v>
      </c>
      <c r="D929" s="2" t="s">
        <v>3071</v>
      </c>
      <c r="E929" s="2" t="s">
        <v>90</v>
      </c>
      <c r="F929" s="132">
        <v>10000</v>
      </c>
      <c r="G929" s="132">
        <v>2</v>
      </c>
      <c r="H929" s="132"/>
      <c r="I929" s="132"/>
      <c r="J929" s="132"/>
      <c r="K929" s="132">
        <f t="shared" si="90"/>
        <v>10000</v>
      </c>
      <c r="L929" s="132">
        <f t="shared" si="91"/>
        <v>0</v>
      </c>
      <c r="M929" s="133"/>
      <c r="N929" s="133">
        <f t="shared" si="89"/>
        <v>10000</v>
      </c>
      <c r="O929" s="134">
        <v>1</v>
      </c>
      <c r="P929" s="133"/>
      <c r="Q929" s="2" t="s">
        <v>2999</v>
      </c>
      <c r="R929" s="156">
        <f t="shared" si="92"/>
        <v>0</v>
      </c>
      <c r="S929" s="156">
        <f t="shared" si="93"/>
        <v>0</v>
      </c>
      <c r="T929" s="133"/>
      <c r="U929" s="133"/>
      <c r="V929" s="133"/>
      <c r="W929" s="133"/>
      <c r="X929" s="133"/>
      <c r="Y929" s="133"/>
      <c r="Z929" s="133"/>
      <c r="AA929" s="133"/>
      <c r="AB929" s="133"/>
      <c r="AC929" s="133"/>
      <c r="AD929" s="133"/>
      <c r="AE929" s="133"/>
      <c r="AF929" s="133"/>
      <c r="AG929" s="133"/>
      <c r="AH929" s="133"/>
      <c r="AI929" s="133"/>
      <c r="AJ929" s="133"/>
      <c r="AK929" s="133"/>
      <c r="AL929" s="133"/>
      <c r="AM929" s="133"/>
      <c r="AN929" s="133"/>
      <c r="AO929" s="133"/>
      <c r="AP929" s="133"/>
      <c r="AQ929" s="133"/>
      <c r="AR929" s="133"/>
      <c r="AS929" s="153">
        <v>0</v>
      </c>
      <c r="AT929" s="153">
        <v>0</v>
      </c>
      <c r="AU929" s="153">
        <v>0</v>
      </c>
      <c r="AV929" s="153">
        <v>0</v>
      </c>
      <c r="AW929" s="153">
        <v>0</v>
      </c>
      <c r="AX929" s="153">
        <v>0</v>
      </c>
      <c r="AY929" s="135"/>
      <c r="AZ929" s="135"/>
      <c r="BA929" s="135"/>
      <c r="BB929" s="135"/>
      <c r="BC929" s="135"/>
      <c r="BD929" s="135"/>
      <c r="BE929" s="135"/>
      <c r="BF929" s="135"/>
      <c r="BG929" s="135"/>
      <c r="BH929" s="135"/>
      <c r="BI929" s="2" t="s">
        <v>11</v>
      </c>
      <c r="BJ929" s="136"/>
      <c r="BK929" s="2">
        <v>0</v>
      </c>
      <c r="BL929" s="136" t="s">
        <v>18</v>
      </c>
      <c r="BM929" s="136">
        <v>45300</v>
      </c>
      <c r="BN929" s="2" t="s">
        <v>3155</v>
      </c>
      <c r="BO929" s="2"/>
      <c r="BP929" s="205"/>
      <c r="BQ929" s="137" t="s">
        <v>119</v>
      </c>
      <c r="BR929" s="138"/>
    </row>
    <row r="930" spans="1:70" ht="12.75" customHeight="1" x14ac:dyDescent="0.2">
      <c r="A930" s="2">
        <v>2419</v>
      </c>
      <c r="B930" s="2" t="s">
        <v>39</v>
      </c>
      <c r="C930" s="2" t="s">
        <v>94</v>
      </c>
      <c r="D930" s="2" t="s">
        <v>3072</v>
      </c>
      <c r="E930" s="2" t="s">
        <v>106</v>
      </c>
      <c r="F930" s="132">
        <v>938</v>
      </c>
      <c r="G930" s="132">
        <v>2</v>
      </c>
      <c r="H930" s="132">
        <f>536*1.75</f>
        <v>938</v>
      </c>
      <c r="I930" s="132"/>
      <c r="J930" s="132">
        <v>938</v>
      </c>
      <c r="K930" s="132">
        <f t="shared" si="90"/>
        <v>0</v>
      </c>
      <c r="L930" s="132">
        <f t="shared" si="91"/>
        <v>0</v>
      </c>
      <c r="M930" s="133"/>
      <c r="N930" s="133">
        <f t="shared" si="89"/>
        <v>0</v>
      </c>
      <c r="O930" s="134">
        <v>0</v>
      </c>
      <c r="P930" s="133"/>
      <c r="Q930" s="2" t="s">
        <v>3000</v>
      </c>
      <c r="R930" s="156">
        <f t="shared" si="92"/>
        <v>0</v>
      </c>
      <c r="S930" s="156">
        <f t="shared" si="93"/>
        <v>0</v>
      </c>
      <c r="T930" s="133"/>
      <c r="U930" s="133"/>
      <c r="V930" s="133"/>
      <c r="W930" s="133"/>
      <c r="X930" s="133"/>
      <c r="Y930" s="133"/>
      <c r="Z930" s="133"/>
      <c r="AA930" s="133"/>
      <c r="AB930" s="133"/>
      <c r="AC930" s="133"/>
      <c r="AD930" s="133"/>
      <c r="AE930" s="133"/>
      <c r="AF930" s="133"/>
      <c r="AG930" s="133"/>
      <c r="AH930" s="133"/>
      <c r="AI930" s="133"/>
      <c r="AJ930" s="133"/>
      <c r="AK930" s="133"/>
      <c r="AL930" s="133"/>
      <c r="AM930" s="133"/>
      <c r="AN930" s="133"/>
      <c r="AO930" s="133"/>
      <c r="AP930" s="133"/>
      <c r="AQ930" s="133"/>
      <c r="AR930" s="133"/>
      <c r="AS930" s="153">
        <v>0</v>
      </c>
      <c r="AT930" s="153">
        <v>0</v>
      </c>
      <c r="AU930" s="153">
        <v>0</v>
      </c>
      <c r="AV930" s="153">
        <v>0</v>
      </c>
      <c r="AW930" s="153">
        <v>0</v>
      </c>
      <c r="AX930" s="153">
        <v>0</v>
      </c>
      <c r="AY930" s="135"/>
      <c r="AZ930" s="135"/>
      <c r="BA930" s="135"/>
      <c r="BB930" s="135"/>
      <c r="BC930" s="135"/>
      <c r="BD930" s="135"/>
      <c r="BE930" s="135"/>
      <c r="BF930" s="135"/>
      <c r="BG930" s="135"/>
      <c r="BH930" s="135"/>
      <c r="BI930" s="2" t="s">
        <v>112</v>
      </c>
      <c r="BJ930" s="136">
        <v>45636</v>
      </c>
      <c r="BK930" s="2" t="s">
        <v>145</v>
      </c>
      <c r="BL930" s="136" t="s">
        <v>18</v>
      </c>
      <c r="BM930" s="136">
        <v>45300</v>
      </c>
      <c r="BN930" s="2" t="s">
        <v>3156</v>
      </c>
      <c r="BO930" s="2"/>
      <c r="BP930" s="205"/>
      <c r="BQ930" s="137" t="s">
        <v>134</v>
      </c>
      <c r="BR930" s="138"/>
    </row>
    <row r="931" spans="1:70" ht="12.75" customHeight="1" x14ac:dyDescent="0.2">
      <c r="A931" s="2">
        <v>2420</v>
      </c>
      <c r="B931" s="2" t="s">
        <v>39</v>
      </c>
      <c r="C931" s="2" t="s">
        <v>94</v>
      </c>
      <c r="D931" s="2" t="s">
        <v>3073</v>
      </c>
      <c r="E931" s="2" t="s">
        <v>90</v>
      </c>
      <c r="F931" s="132">
        <v>10000</v>
      </c>
      <c r="G931" s="132">
        <v>2</v>
      </c>
      <c r="H931" s="132"/>
      <c r="I931" s="132"/>
      <c r="J931" s="132"/>
      <c r="K931" s="132">
        <f t="shared" si="90"/>
        <v>10000</v>
      </c>
      <c r="L931" s="132">
        <f t="shared" si="91"/>
        <v>0</v>
      </c>
      <c r="M931" s="133"/>
      <c r="N931" s="133">
        <f t="shared" si="89"/>
        <v>10000</v>
      </c>
      <c r="O931" s="134">
        <v>1</v>
      </c>
      <c r="P931" s="133"/>
      <c r="Q931" s="2" t="s">
        <v>3000</v>
      </c>
      <c r="R931" s="156">
        <f t="shared" si="92"/>
        <v>0</v>
      </c>
      <c r="S931" s="156">
        <f t="shared" si="93"/>
        <v>0</v>
      </c>
      <c r="T931" s="133"/>
      <c r="U931" s="133"/>
      <c r="V931" s="133"/>
      <c r="W931" s="133"/>
      <c r="X931" s="133"/>
      <c r="Y931" s="133"/>
      <c r="Z931" s="133"/>
      <c r="AA931" s="133"/>
      <c r="AB931" s="133"/>
      <c r="AC931" s="133"/>
      <c r="AD931" s="133"/>
      <c r="AE931" s="133"/>
      <c r="AF931" s="133"/>
      <c r="AG931" s="133"/>
      <c r="AH931" s="133"/>
      <c r="AI931" s="133"/>
      <c r="AJ931" s="133"/>
      <c r="AK931" s="133"/>
      <c r="AL931" s="133"/>
      <c r="AM931" s="133"/>
      <c r="AN931" s="133"/>
      <c r="AO931" s="133"/>
      <c r="AP931" s="133"/>
      <c r="AQ931" s="133"/>
      <c r="AR931" s="133"/>
      <c r="AS931" s="153">
        <v>0</v>
      </c>
      <c r="AT931" s="153">
        <v>0</v>
      </c>
      <c r="AU931" s="153">
        <v>0</v>
      </c>
      <c r="AV931" s="153">
        <v>0</v>
      </c>
      <c r="AW931" s="153">
        <v>0</v>
      </c>
      <c r="AX931" s="153">
        <v>0</v>
      </c>
      <c r="AY931" s="135"/>
      <c r="AZ931" s="135"/>
      <c r="BA931" s="135"/>
      <c r="BB931" s="135"/>
      <c r="BC931" s="135"/>
      <c r="BD931" s="135"/>
      <c r="BE931" s="135"/>
      <c r="BF931" s="135"/>
      <c r="BG931" s="135"/>
      <c r="BH931" s="135"/>
      <c r="BI931" s="2" t="s">
        <v>11</v>
      </c>
      <c r="BJ931" s="136"/>
      <c r="BK931" s="2">
        <v>0</v>
      </c>
      <c r="BL931" s="136" t="s">
        <v>18</v>
      </c>
      <c r="BM931" s="136">
        <v>45300</v>
      </c>
      <c r="BN931" s="2" t="s">
        <v>3157</v>
      </c>
      <c r="BO931" s="2"/>
      <c r="BP931" s="205"/>
      <c r="BQ931" s="137" t="s">
        <v>119</v>
      </c>
      <c r="BR931" s="138"/>
    </row>
    <row r="932" spans="1:70" ht="12.75" customHeight="1" x14ac:dyDescent="0.2">
      <c r="A932" s="2">
        <v>2421</v>
      </c>
      <c r="B932" s="2" t="s">
        <v>39</v>
      </c>
      <c r="C932" s="2" t="s">
        <v>94</v>
      </c>
      <c r="D932" s="2" t="s">
        <v>3074</v>
      </c>
      <c r="E932" s="2" t="s">
        <v>106</v>
      </c>
      <c r="F932" s="132">
        <v>0</v>
      </c>
      <c r="G932" s="132">
        <v>2</v>
      </c>
      <c r="H932" s="132"/>
      <c r="I932" s="132"/>
      <c r="J932" s="132"/>
      <c r="K932" s="132">
        <f t="shared" si="90"/>
        <v>0</v>
      </c>
      <c r="L932" s="132">
        <f t="shared" si="91"/>
        <v>0</v>
      </c>
      <c r="M932" s="133"/>
      <c r="N932" s="133">
        <f t="shared" si="89"/>
        <v>0</v>
      </c>
      <c r="O932" s="134">
        <v>2</v>
      </c>
      <c r="P932" s="133"/>
      <c r="Q932" s="2" t="s">
        <v>3001</v>
      </c>
      <c r="R932" s="156">
        <f t="shared" si="92"/>
        <v>0</v>
      </c>
      <c r="S932" s="156">
        <f t="shared" si="93"/>
        <v>0</v>
      </c>
      <c r="T932" s="133"/>
      <c r="U932" s="133"/>
      <c r="V932" s="133"/>
      <c r="W932" s="133"/>
      <c r="X932" s="133"/>
      <c r="Y932" s="133"/>
      <c r="Z932" s="133"/>
      <c r="AA932" s="133"/>
      <c r="AB932" s="133"/>
      <c r="AC932" s="133"/>
      <c r="AD932" s="133"/>
      <c r="AE932" s="133"/>
      <c r="AF932" s="133"/>
      <c r="AG932" s="133"/>
      <c r="AH932" s="133"/>
      <c r="AI932" s="133"/>
      <c r="AJ932" s="133"/>
      <c r="AK932" s="133"/>
      <c r="AL932" s="133"/>
      <c r="AM932" s="133"/>
      <c r="AN932" s="133"/>
      <c r="AO932" s="133"/>
      <c r="AP932" s="133"/>
      <c r="AQ932" s="133"/>
      <c r="AR932" s="133"/>
      <c r="AS932" s="153">
        <v>0</v>
      </c>
      <c r="AT932" s="153">
        <v>0</v>
      </c>
      <c r="AU932" s="153">
        <v>0</v>
      </c>
      <c r="AV932" s="153">
        <v>0</v>
      </c>
      <c r="AW932" s="153">
        <v>0</v>
      </c>
      <c r="AX932" s="153">
        <v>0</v>
      </c>
      <c r="AY932" s="135"/>
      <c r="AZ932" s="135"/>
      <c r="BA932" s="135"/>
      <c r="BB932" s="135"/>
      <c r="BC932" s="135"/>
      <c r="BD932" s="135"/>
      <c r="BE932" s="135"/>
      <c r="BF932" s="135"/>
      <c r="BG932" s="135"/>
      <c r="BH932" s="135"/>
      <c r="BI932" s="2" t="s">
        <v>112</v>
      </c>
      <c r="BJ932" s="136"/>
      <c r="BK932" s="2">
        <v>0</v>
      </c>
      <c r="BL932" s="136" t="s">
        <v>18</v>
      </c>
      <c r="BM932" s="136">
        <v>45300</v>
      </c>
      <c r="BN932" s="2" t="s">
        <v>3158</v>
      </c>
      <c r="BO932" s="2"/>
      <c r="BP932" s="205"/>
      <c r="BQ932" s="137" t="s">
        <v>134</v>
      </c>
      <c r="BR932" s="138"/>
    </row>
    <row r="933" spans="1:70" ht="12.75" customHeight="1" x14ac:dyDescent="0.2">
      <c r="A933" s="2">
        <v>2422</v>
      </c>
      <c r="B933" s="2" t="s">
        <v>39</v>
      </c>
      <c r="C933" s="2" t="s">
        <v>94</v>
      </c>
      <c r="D933" s="2" t="s">
        <v>3075</v>
      </c>
      <c r="E933" s="2" t="s">
        <v>90</v>
      </c>
      <c r="F933" s="132">
        <v>10000</v>
      </c>
      <c r="G933" s="132">
        <v>2</v>
      </c>
      <c r="H933" s="132"/>
      <c r="I933" s="132"/>
      <c r="J933" s="132"/>
      <c r="K933" s="132">
        <f t="shared" si="90"/>
        <v>10000</v>
      </c>
      <c r="L933" s="132">
        <f t="shared" si="91"/>
        <v>0</v>
      </c>
      <c r="M933" s="133"/>
      <c r="N933" s="133">
        <f t="shared" si="89"/>
        <v>10000</v>
      </c>
      <c r="O933" s="134">
        <v>1</v>
      </c>
      <c r="P933" s="133"/>
      <c r="Q933" s="2" t="s">
        <v>3001</v>
      </c>
      <c r="R933" s="156">
        <f t="shared" si="92"/>
        <v>0</v>
      </c>
      <c r="S933" s="156">
        <f t="shared" si="93"/>
        <v>0</v>
      </c>
      <c r="T933" s="133"/>
      <c r="U933" s="133"/>
      <c r="V933" s="133"/>
      <c r="W933" s="133"/>
      <c r="X933" s="133"/>
      <c r="Y933" s="133"/>
      <c r="Z933" s="133"/>
      <c r="AA933" s="133"/>
      <c r="AB933" s="133"/>
      <c r="AC933" s="133"/>
      <c r="AD933" s="133"/>
      <c r="AE933" s="133"/>
      <c r="AF933" s="133"/>
      <c r="AG933" s="133"/>
      <c r="AH933" s="133"/>
      <c r="AI933" s="133"/>
      <c r="AJ933" s="133"/>
      <c r="AK933" s="133"/>
      <c r="AL933" s="133"/>
      <c r="AM933" s="133"/>
      <c r="AN933" s="133"/>
      <c r="AO933" s="133"/>
      <c r="AP933" s="133"/>
      <c r="AQ933" s="133"/>
      <c r="AR933" s="133"/>
      <c r="AS933" s="153">
        <v>0</v>
      </c>
      <c r="AT933" s="153">
        <v>0</v>
      </c>
      <c r="AU933" s="153">
        <v>0</v>
      </c>
      <c r="AV933" s="153">
        <v>0</v>
      </c>
      <c r="AW933" s="153">
        <v>0</v>
      </c>
      <c r="AX933" s="153">
        <v>0</v>
      </c>
      <c r="AY933" s="135"/>
      <c r="AZ933" s="135"/>
      <c r="BA933" s="135"/>
      <c r="BB933" s="135"/>
      <c r="BC933" s="135"/>
      <c r="BD933" s="135"/>
      <c r="BE933" s="135"/>
      <c r="BF933" s="135"/>
      <c r="BG933" s="135"/>
      <c r="BH933" s="135"/>
      <c r="BI933" s="2" t="s">
        <v>11</v>
      </c>
      <c r="BJ933" s="136"/>
      <c r="BK933" s="2">
        <v>0</v>
      </c>
      <c r="BL933" s="136" t="s">
        <v>18</v>
      </c>
      <c r="BM933" s="136">
        <v>45300</v>
      </c>
      <c r="BN933" s="2" t="s">
        <v>3159</v>
      </c>
      <c r="BO933" s="2"/>
      <c r="BP933" s="205"/>
      <c r="BQ933" s="137" t="s">
        <v>119</v>
      </c>
      <c r="BR933" s="138"/>
    </row>
    <row r="934" spans="1:70" ht="12.75" customHeight="1" x14ac:dyDescent="0.2">
      <c r="A934" s="2">
        <v>2423</v>
      </c>
      <c r="B934" s="2" t="s">
        <v>39</v>
      </c>
      <c r="C934" s="2" t="s">
        <v>74</v>
      </c>
      <c r="D934" s="2" t="s">
        <v>3076</v>
      </c>
      <c r="E934" s="2" t="s">
        <v>106</v>
      </c>
      <c r="F934" s="132">
        <v>0</v>
      </c>
      <c r="G934" s="132">
        <v>2</v>
      </c>
      <c r="H934" s="132"/>
      <c r="I934" s="132"/>
      <c r="J934" s="132"/>
      <c r="K934" s="132">
        <f t="shared" si="90"/>
        <v>0</v>
      </c>
      <c r="L934" s="132">
        <f t="shared" si="91"/>
        <v>0</v>
      </c>
      <c r="M934" s="133"/>
      <c r="N934" s="133">
        <f t="shared" si="89"/>
        <v>0</v>
      </c>
      <c r="O934" s="134">
        <v>2</v>
      </c>
      <c r="P934" s="133"/>
      <c r="Q934" s="2" t="s">
        <v>3002</v>
      </c>
      <c r="R934" s="156">
        <f t="shared" si="92"/>
        <v>0</v>
      </c>
      <c r="S934" s="156">
        <f t="shared" si="93"/>
        <v>0</v>
      </c>
      <c r="T934" s="133"/>
      <c r="U934" s="133"/>
      <c r="V934" s="133"/>
      <c r="W934" s="133"/>
      <c r="X934" s="133"/>
      <c r="Y934" s="133"/>
      <c r="Z934" s="133"/>
      <c r="AA934" s="133"/>
      <c r="AB934" s="133"/>
      <c r="AC934" s="133"/>
      <c r="AD934" s="133"/>
      <c r="AE934" s="133"/>
      <c r="AF934" s="133"/>
      <c r="AG934" s="133"/>
      <c r="AH934" s="133"/>
      <c r="AI934" s="133"/>
      <c r="AJ934" s="133"/>
      <c r="AK934" s="133"/>
      <c r="AL934" s="133"/>
      <c r="AM934" s="133"/>
      <c r="AN934" s="133"/>
      <c r="AO934" s="133"/>
      <c r="AP934" s="133"/>
      <c r="AQ934" s="133"/>
      <c r="AR934" s="133"/>
      <c r="AS934" s="153">
        <v>0</v>
      </c>
      <c r="AT934" s="153">
        <v>0</v>
      </c>
      <c r="AU934" s="153">
        <v>0</v>
      </c>
      <c r="AV934" s="153">
        <v>0</v>
      </c>
      <c r="AW934" s="153">
        <v>0</v>
      </c>
      <c r="AX934" s="153">
        <v>0</v>
      </c>
      <c r="AY934" s="135"/>
      <c r="AZ934" s="135"/>
      <c r="BA934" s="135"/>
      <c r="BB934" s="135"/>
      <c r="BC934" s="135"/>
      <c r="BD934" s="135"/>
      <c r="BE934" s="135"/>
      <c r="BF934" s="135"/>
      <c r="BG934" s="135"/>
      <c r="BH934" s="135"/>
      <c r="BI934" s="2" t="s">
        <v>112</v>
      </c>
      <c r="BJ934" s="136"/>
      <c r="BK934" s="2">
        <v>0</v>
      </c>
      <c r="BL934" s="136" t="s">
        <v>18</v>
      </c>
      <c r="BM934" s="136">
        <v>45300</v>
      </c>
      <c r="BN934" s="2" t="s">
        <v>3160</v>
      </c>
      <c r="BO934" s="2"/>
      <c r="BP934" s="205"/>
      <c r="BQ934" s="137" t="s">
        <v>134</v>
      </c>
      <c r="BR934" s="138"/>
    </row>
    <row r="935" spans="1:70" ht="12.75" customHeight="1" x14ac:dyDescent="0.2">
      <c r="A935" s="2">
        <v>2424</v>
      </c>
      <c r="B935" s="2" t="s">
        <v>39</v>
      </c>
      <c r="C935" s="2" t="s">
        <v>74</v>
      </c>
      <c r="D935" s="2" t="s">
        <v>3077</v>
      </c>
      <c r="E935" s="2" t="s">
        <v>90</v>
      </c>
      <c r="F935" s="132">
        <v>10000</v>
      </c>
      <c r="G935" s="132">
        <v>2</v>
      </c>
      <c r="H935" s="132">
        <f>R935</f>
        <v>21000</v>
      </c>
      <c r="I935" s="132"/>
      <c r="J935" s="132">
        <f>S935</f>
        <v>3203.3890000000001</v>
      </c>
      <c r="K935" s="132">
        <f t="shared" si="90"/>
        <v>6796.6109999999999</v>
      </c>
      <c r="L935" s="132">
        <f t="shared" si="91"/>
        <v>17796.611000000001</v>
      </c>
      <c r="M935" s="133"/>
      <c r="N935" s="133">
        <f t="shared" si="89"/>
        <v>6796.6109999999999</v>
      </c>
      <c r="O935" s="134">
        <v>1</v>
      </c>
      <c r="P935" s="133"/>
      <c r="Q935" s="2" t="s">
        <v>3002</v>
      </c>
      <c r="R935" s="156">
        <f t="shared" si="92"/>
        <v>21000</v>
      </c>
      <c r="S935" s="156">
        <f t="shared" si="93"/>
        <v>3203.3890000000001</v>
      </c>
      <c r="T935" s="133"/>
      <c r="U935" s="133"/>
      <c r="V935" s="133">
        <v>21000</v>
      </c>
      <c r="W935" s="133"/>
      <c r="X935" s="133"/>
      <c r="Y935" s="133">
        <v>3203.3890000000001</v>
      </c>
      <c r="Z935" s="133"/>
      <c r="AA935" s="133"/>
      <c r="AB935" s="133"/>
      <c r="AC935" s="133"/>
      <c r="AD935" s="133"/>
      <c r="AE935" s="133"/>
      <c r="AF935" s="133"/>
      <c r="AG935" s="133"/>
      <c r="AH935" s="133"/>
      <c r="AI935" s="133"/>
      <c r="AJ935" s="133"/>
      <c r="AK935" s="133"/>
      <c r="AL935" s="133"/>
      <c r="AM935" s="133"/>
      <c r="AN935" s="133"/>
      <c r="AO935" s="133"/>
      <c r="AP935" s="133"/>
      <c r="AQ935" s="133"/>
      <c r="AR935" s="133"/>
      <c r="AS935" s="153">
        <v>0</v>
      </c>
      <c r="AT935" s="153">
        <v>0</v>
      </c>
      <c r="AU935" s="153">
        <v>0</v>
      </c>
      <c r="AV935" s="153">
        <v>0</v>
      </c>
      <c r="AW935" s="153">
        <v>0</v>
      </c>
      <c r="AX935" s="153">
        <v>0</v>
      </c>
      <c r="AY935" s="135"/>
      <c r="AZ935" s="135"/>
      <c r="BA935" s="135"/>
      <c r="BB935" s="135"/>
      <c r="BC935" s="135"/>
      <c r="BD935" s="135"/>
      <c r="BE935" s="135"/>
      <c r="BF935" s="135"/>
      <c r="BG935" s="135"/>
      <c r="BH935" s="135"/>
      <c r="BI935" s="2" t="s">
        <v>11</v>
      </c>
      <c r="BJ935" s="136"/>
      <c r="BK935" s="2">
        <v>99</v>
      </c>
      <c r="BL935" s="136" t="s">
        <v>18</v>
      </c>
      <c r="BM935" s="136">
        <v>45300</v>
      </c>
      <c r="BN935" s="2" t="s">
        <v>3161</v>
      </c>
      <c r="BO935" s="2"/>
      <c r="BP935" s="205"/>
      <c r="BQ935" s="137" t="s">
        <v>119</v>
      </c>
      <c r="BR935" s="138"/>
    </row>
    <row r="936" spans="1:70" ht="12.75" customHeight="1" x14ac:dyDescent="0.2">
      <c r="A936" s="2">
        <v>2425</v>
      </c>
      <c r="B936" s="2" t="s">
        <v>39</v>
      </c>
      <c r="C936" s="2" t="s">
        <v>74</v>
      </c>
      <c r="D936" s="2" t="s">
        <v>3078</v>
      </c>
      <c r="E936" s="2" t="s">
        <v>106</v>
      </c>
      <c r="F936" s="132">
        <v>207.37</v>
      </c>
      <c r="G936" s="132">
        <v>2</v>
      </c>
      <c r="H936" s="132">
        <f>118.5*1.75-0.005</f>
        <v>207.37</v>
      </c>
      <c r="I936" s="132"/>
      <c r="J936" s="132">
        <v>207.37</v>
      </c>
      <c r="K936" s="132">
        <f t="shared" si="90"/>
        <v>0</v>
      </c>
      <c r="L936" s="132">
        <f t="shared" si="91"/>
        <v>0</v>
      </c>
      <c r="M936" s="133"/>
      <c r="N936" s="133">
        <f t="shared" si="89"/>
        <v>0</v>
      </c>
      <c r="O936" s="134">
        <v>0</v>
      </c>
      <c r="P936" s="133"/>
      <c r="Q936" s="2" t="s">
        <v>3003</v>
      </c>
      <c r="R936" s="156">
        <f t="shared" si="92"/>
        <v>0</v>
      </c>
      <c r="S936" s="156">
        <f t="shared" si="93"/>
        <v>0</v>
      </c>
      <c r="T936" s="133"/>
      <c r="U936" s="133"/>
      <c r="V936" s="133"/>
      <c r="W936" s="133"/>
      <c r="X936" s="133"/>
      <c r="Y936" s="133"/>
      <c r="Z936" s="133"/>
      <c r="AA936" s="133"/>
      <c r="AB936" s="133"/>
      <c r="AC936" s="133"/>
      <c r="AD936" s="133"/>
      <c r="AE936" s="133"/>
      <c r="AF936" s="133"/>
      <c r="AG936" s="133"/>
      <c r="AH936" s="133"/>
      <c r="AI936" s="133"/>
      <c r="AJ936" s="133"/>
      <c r="AK936" s="133"/>
      <c r="AL936" s="133"/>
      <c r="AM936" s="133"/>
      <c r="AN936" s="133"/>
      <c r="AO936" s="133"/>
      <c r="AP936" s="133"/>
      <c r="AQ936" s="133"/>
      <c r="AR936" s="133"/>
      <c r="AS936" s="153">
        <v>0</v>
      </c>
      <c r="AT936" s="153">
        <v>0</v>
      </c>
      <c r="AU936" s="153">
        <v>0</v>
      </c>
      <c r="AV936" s="153">
        <v>0</v>
      </c>
      <c r="AW936" s="153">
        <v>0</v>
      </c>
      <c r="AX936" s="153">
        <v>0</v>
      </c>
      <c r="AY936" s="135"/>
      <c r="AZ936" s="135"/>
      <c r="BA936" s="135"/>
      <c r="BB936" s="135"/>
      <c r="BC936" s="135"/>
      <c r="BD936" s="135"/>
      <c r="BE936" s="135"/>
      <c r="BF936" s="135"/>
      <c r="BG936" s="135"/>
      <c r="BH936" s="135"/>
      <c r="BI936" s="2" t="s">
        <v>112</v>
      </c>
      <c r="BJ936" s="136">
        <v>45637</v>
      </c>
      <c r="BK936" s="2" t="s">
        <v>145</v>
      </c>
      <c r="BL936" s="136" t="s">
        <v>18</v>
      </c>
      <c r="BM936" s="136">
        <v>45300</v>
      </c>
      <c r="BN936" s="2" t="s">
        <v>3162</v>
      </c>
      <c r="BO936" s="2"/>
      <c r="BP936" s="205"/>
      <c r="BQ936" s="137" t="s">
        <v>134</v>
      </c>
      <c r="BR936" s="138"/>
    </row>
    <row r="937" spans="1:70" ht="12.75" customHeight="1" x14ac:dyDescent="0.2">
      <c r="A937" s="2">
        <v>2426</v>
      </c>
      <c r="B937" s="2" t="s">
        <v>39</v>
      </c>
      <c r="C937" s="2" t="s">
        <v>74</v>
      </c>
      <c r="D937" s="2" t="s">
        <v>3079</v>
      </c>
      <c r="E937" s="2" t="s">
        <v>90</v>
      </c>
      <c r="F937" s="132">
        <v>10000</v>
      </c>
      <c r="G937" s="132">
        <v>2</v>
      </c>
      <c r="H937" s="132">
        <f>R937</f>
        <v>5806.49</v>
      </c>
      <c r="I937" s="132"/>
      <c r="J937" s="132">
        <f>S937+BC937</f>
        <v>5806.49</v>
      </c>
      <c r="K937" s="132">
        <f t="shared" si="90"/>
        <v>4193.51</v>
      </c>
      <c r="L937" s="132">
        <f t="shared" si="91"/>
        <v>0</v>
      </c>
      <c r="M937" s="133"/>
      <c r="N937" s="133">
        <f t="shared" si="89"/>
        <v>0</v>
      </c>
      <c r="O937" s="134">
        <v>1</v>
      </c>
      <c r="P937" s="133"/>
      <c r="Q937" s="2" t="s">
        <v>3003</v>
      </c>
      <c r="R937" s="156">
        <f t="shared" si="92"/>
        <v>5806.49</v>
      </c>
      <c r="S937" s="156">
        <f t="shared" si="93"/>
        <v>5806.49</v>
      </c>
      <c r="T937" s="133"/>
      <c r="U937" s="133"/>
      <c r="V937" s="133"/>
      <c r="W937" s="133"/>
      <c r="X937" s="133"/>
      <c r="Y937" s="133"/>
      <c r="Z937" s="133"/>
      <c r="AA937" s="133"/>
      <c r="AB937" s="133"/>
      <c r="AC937" s="133"/>
      <c r="AD937" s="133">
        <v>5000</v>
      </c>
      <c r="AE937" s="133"/>
      <c r="AF937" s="133"/>
      <c r="AG937" s="133">
        <f>762.71</f>
        <v>762.71</v>
      </c>
      <c r="AH937" s="133">
        <v>806.49</v>
      </c>
      <c r="AI937" s="133"/>
      <c r="AJ937" s="133"/>
      <c r="AK937" s="133">
        <v>5043.78</v>
      </c>
      <c r="AL937" s="133"/>
      <c r="AM937" s="133"/>
      <c r="AN937" s="133"/>
      <c r="AO937" s="133"/>
      <c r="AP937" s="133"/>
      <c r="AQ937" s="133"/>
      <c r="AR937" s="133"/>
      <c r="AS937" s="153">
        <v>0</v>
      </c>
      <c r="AT937" s="153">
        <v>0</v>
      </c>
      <c r="AU937" s="153">
        <v>0</v>
      </c>
      <c r="AV937" s="153">
        <v>0</v>
      </c>
      <c r="AW937" s="153">
        <v>0</v>
      </c>
      <c r="AX937" s="153">
        <v>0</v>
      </c>
      <c r="AY937" s="135"/>
      <c r="AZ937" s="135"/>
      <c r="BA937" s="135"/>
      <c r="BB937" s="135"/>
      <c r="BC937" s="135"/>
      <c r="BD937" s="135"/>
      <c r="BE937" s="135"/>
      <c r="BF937" s="135"/>
      <c r="BG937" s="135"/>
      <c r="BH937" s="135"/>
      <c r="BI937" s="2" t="s">
        <v>11</v>
      </c>
      <c r="BJ937" s="136">
        <v>45896</v>
      </c>
      <c r="BK937" s="2" t="s">
        <v>8</v>
      </c>
      <c r="BL937" s="136" t="s">
        <v>18</v>
      </c>
      <c r="BM937" s="136">
        <v>45300</v>
      </c>
      <c r="BN937" s="2" t="s">
        <v>3163</v>
      </c>
      <c r="BO937" s="2"/>
      <c r="BP937" s="205"/>
      <c r="BQ937" s="137" t="s">
        <v>119</v>
      </c>
      <c r="BR937" s="138"/>
    </row>
    <row r="938" spans="1:70" ht="12.75" customHeight="1" x14ac:dyDescent="0.2">
      <c r="A938" s="2">
        <v>2427</v>
      </c>
      <c r="B938" s="2" t="s">
        <v>39</v>
      </c>
      <c r="C938" s="2" t="s">
        <v>94</v>
      </c>
      <c r="D938" s="2" t="s">
        <v>3080</v>
      </c>
      <c r="E938" s="2" t="s">
        <v>106</v>
      </c>
      <c r="F938" s="132">
        <v>0</v>
      </c>
      <c r="G938" s="132">
        <v>2</v>
      </c>
      <c r="H938" s="132"/>
      <c r="I938" s="132"/>
      <c r="J938" s="132"/>
      <c r="K938" s="132">
        <f t="shared" si="90"/>
        <v>0</v>
      </c>
      <c r="L938" s="132">
        <f t="shared" si="91"/>
        <v>0</v>
      </c>
      <c r="M938" s="133"/>
      <c r="N938" s="133">
        <f t="shared" ref="N938:N1001" si="94">IF(OR(BK938="принят",BK938="Завершено",BK938="ПриПро"),H938-J938,F938-J938)</f>
        <v>0</v>
      </c>
      <c r="O938" s="134">
        <v>2</v>
      </c>
      <c r="P938" s="133"/>
      <c r="Q938" s="2" t="s">
        <v>3004</v>
      </c>
      <c r="R938" s="156">
        <f t="shared" si="92"/>
        <v>0</v>
      </c>
      <c r="S938" s="156">
        <f t="shared" si="93"/>
        <v>0</v>
      </c>
      <c r="T938" s="133"/>
      <c r="U938" s="133"/>
      <c r="V938" s="133"/>
      <c r="W938" s="133"/>
      <c r="X938" s="133"/>
      <c r="Y938" s="133"/>
      <c r="Z938" s="133"/>
      <c r="AA938" s="133"/>
      <c r="AB938" s="133"/>
      <c r="AC938" s="133"/>
      <c r="AD938" s="133"/>
      <c r="AE938" s="133"/>
      <c r="AF938" s="133"/>
      <c r="AG938" s="133"/>
      <c r="AH938" s="133"/>
      <c r="AI938" s="133"/>
      <c r="AJ938" s="133"/>
      <c r="AK938" s="133"/>
      <c r="AL938" s="133"/>
      <c r="AM938" s="133"/>
      <c r="AN938" s="133"/>
      <c r="AO938" s="133"/>
      <c r="AP938" s="133"/>
      <c r="AQ938" s="133"/>
      <c r="AR938" s="133"/>
      <c r="AS938" s="153">
        <v>0</v>
      </c>
      <c r="AT938" s="153">
        <v>0</v>
      </c>
      <c r="AU938" s="153">
        <v>0</v>
      </c>
      <c r="AV938" s="153">
        <v>0</v>
      </c>
      <c r="AW938" s="153">
        <v>0</v>
      </c>
      <c r="AX938" s="153">
        <v>0</v>
      </c>
      <c r="AY938" s="135"/>
      <c r="AZ938" s="135"/>
      <c r="BA938" s="135"/>
      <c r="BB938" s="135"/>
      <c r="BC938" s="135"/>
      <c r="BD938" s="135"/>
      <c r="BE938" s="135"/>
      <c r="BF938" s="135"/>
      <c r="BG938" s="135"/>
      <c r="BH938" s="135"/>
      <c r="BI938" s="2" t="s">
        <v>112</v>
      </c>
      <c r="BJ938" s="136"/>
      <c r="BK938" s="2">
        <v>0</v>
      </c>
      <c r="BL938" s="136" t="s">
        <v>18</v>
      </c>
      <c r="BM938" s="136">
        <v>45300</v>
      </c>
      <c r="BN938" s="2" t="s">
        <v>3164</v>
      </c>
      <c r="BO938" s="2"/>
      <c r="BP938" s="205"/>
      <c r="BQ938" s="137" t="s">
        <v>134</v>
      </c>
      <c r="BR938" s="138"/>
    </row>
    <row r="939" spans="1:70" ht="12.75" customHeight="1" x14ac:dyDescent="0.2">
      <c r="A939" s="2">
        <v>2428</v>
      </c>
      <c r="B939" s="2" t="s">
        <v>39</v>
      </c>
      <c r="C939" s="2" t="s">
        <v>94</v>
      </c>
      <c r="D939" s="2" t="s">
        <v>3081</v>
      </c>
      <c r="E939" s="2" t="s">
        <v>90</v>
      </c>
      <c r="F939" s="132">
        <v>10000</v>
      </c>
      <c r="G939" s="132">
        <v>2</v>
      </c>
      <c r="H939" s="132"/>
      <c r="I939" s="132"/>
      <c r="J939" s="132"/>
      <c r="K939" s="132">
        <f t="shared" si="90"/>
        <v>10000</v>
      </c>
      <c r="L939" s="132">
        <f t="shared" si="91"/>
        <v>0</v>
      </c>
      <c r="M939" s="133"/>
      <c r="N939" s="133">
        <f t="shared" si="94"/>
        <v>10000</v>
      </c>
      <c r="O939" s="134">
        <v>1</v>
      </c>
      <c r="P939" s="133"/>
      <c r="Q939" s="2" t="s">
        <v>3004</v>
      </c>
      <c r="R939" s="156">
        <f t="shared" si="92"/>
        <v>0</v>
      </c>
      <c r="S939" s="156">
        <f t="shared" si="93"/>
        <v>0</v>
      </c>
      <c r="T939" s="133"/>
      <c r="U939" s="133"/>
      <c r="V939" s="133"/>
      <c r="W939" s="133"/>
      <c r="X939" s="133"/>
      <c r="Y939" s="133"/>
      <c r="Z939" s="133"/>
      <c r="AA939" s="133"/>
      <c r="AB939" s="133"/>
      <c r="AC939" s="133"/>
      <c r="AD939" s="133"/>
      <c r="AE939" s="133"/>
      <c r="AF939" s="133"/>
      <c r="AG939" s="133"/>
      <c r="AH939" s="133"/>
      <c r="AI939" s="133"/>
      <c r="AJ939" s="133"/>
      <c r="AK939" s="133"/>
      <c r="AL939" s="133"/>
      <c r="AM939" s="133"/>
      <c r="AN939" s="133"/>
      <c r="AO939" s="133"/>
      <c r="AP939" s="133"/>
      <c r="AQ939" s="133"/>
      <c r="AR939" s="133"/>
      <c r="AS939" s="153">
        <v>0</v>
      </c>
      <c r="AT939" s="153">
        <v>0</v>
      </c>
      <c r="AU939" s="153">
        <v>0</v>
      </c>
      <c r="AV939" s="153">
        <v>0</v>
      </c>
      <c r="AW939" s="153">
        <v>0</v>
      </c>
      <c r="AX939" s="153">
        <v>0</v>
      </c>
      <c r="AY939" s="135"/>
      <c r="AZ939" s="135"/>
      <c r="BA939" s="135"/>
      <c r="BB939" s="135"/>
      <c r="BC939" s="135"/>
      <c r="BD939" s="135"/>
      <c r="BE939" s="135"/>
      <c r="BF939" s="135"/>
      <c r="BG939" s="135"/>
      <c r="BH939" s="135"/>
      <c r="BI939" s="2" t="s">
        <v>11</v>
      </c>
      <c r="BJ939" s="136"/>
      <c r="BK939" s="2">
        <v>0</v>
      </c>
      <c r="BL939" s="136" t="s">
        <v>18</v>
      </c>
      <c r="BM939" s="136">
        <v>45300</v>
      </c>
      <c r="BN939" s="2" t="s">
        <v>3165</v>
      </c>
      <c r="BO939" s="2"/>
      <c r="BP939" s="205"/>
      <c r="BQ939" s="137" t="s">
        <v>119</v>
      </c>
      <c r="BR939" s="138"/>
    </row>
    <row r="940" spans="1:70" ht="12.75" customHeight="1" x14ac:dyDescent="0.2">
      <c r="A940" s="2">
        <v>2429</v>
      </c>
      <c r="B940" s="2" t="s">
        <v>39</v>
      </c>
      <c r="C940" s="2" t="s">
        <v>74</v>
      </c>
      <c r="D940" s="2" t="s">
        <v>3082</v>
      </c>
      <c r="E940" s="2" t="s">
        <v>106</v>
      </c>
      <c r="F940" s="132">
        <v>213.5</v>
      </c>
      <c r="G940" s="132">
        <v>2</v>
      </c>
      <c r="H940" s="132">
        <f>122*1.75</f>
        <v>213.5</v>
      </c>
      <c r="I940" s="132"/>
      <c r="J940" s="132">
        <v>213.5</v>
      </c>
      <c r="K940" s="132">
        <f t="shared" si="90"/>
        <v>0</v>
      </c>
      <c r="L940" s="132">
        <f t="shared" si="91"/>
        <v>0</v>
      </c>
      <c r="M940" s="133"/>
      <c r="N940" s="133">
        <f t="shared" si="94"/>
        <v>0</v>
      </c>
      <c r="O940" s="134">
        <v>0</v>
      </c>
      <c r="P940" s="133"/>
      <c r="Q940" s="2" t="s">
        <v>3005</v>
      </c>
      <c r="R940" s="156">
        <f t="shared" si="92"/>
        <v>0</v>
      </c>
      <c r="S940" s="156">
        <f t="shared" si="93"/>
        <v>0</v>
      </c>
      <c r="T940" s="133"/>
      <c r="U940" s="133"/>
      <c r="V940" s="133"/>
      <c r="W940" s="133"/>
      <c r="X940" s="133"/>
      <c r="Y940" s="133"/>
      <c r="Z940" s="133"/>
      <c r="AA940" s="133"/>
      <c r="AB940" s="133"/>
      <c r="AC940" s="133"/>
      <c r="AD940" s="133"/>
      <c r="AE940" s="133"/>
      <c r="AF940" s="133"/>
      <c r="AG940" s="133"/>
      <c r="AH940" s="133"/>
      <c r="AI940" s="133"/>
      <c r="AJ940" s="133"/>
      <c r="AK940" s="133"/>
      <c r="AL940" s="133"/>
      <c r="AM940" s="133"/>
      <c r="AN940" s="133"/>
      <c r="AO940" s="133"/>
      <c r="AP940" s="133"/>
      <c r="AQ940" s="133"/>
      <c r="AR940" s="133"/>
      <c r="AS940" s="153">
        <v>0</v>
      </c>
      <c r="AT940" s="153">
        <v>0</v>
      </c>
      <c r="AU940" s="153">
        <v>0</v>
      </c>
      <c r="AV940" s="153">
        <v>0</v>
      </c>
      <c r="AW940" s="153">
        <v>0</v>
      </c>
      <c r="AX940" s="153">
        <v>0</v>
      </c>
      <c r="AY940" s="135"/>
      <c r="AZ940" s="135"/>
      <c r="BA940" s="135"/>
      <c r="BB940" s="135"/>
      <c r="BC940" s="135"/>
      <c r="BD940" s="135"/>
      <c r="BE940" s="135"/>
      <c r="BF940" s="135"/>
      <c r="BG940" s="135"/>
      <c r="BH940" s="135"/>
      <c r="BI940" s="2" t="s">
        <v>112</v>
      </c>
      <c r="BJ940" s="136">
        <v>45637</v>
      </c>
      <c r="BK940" s="2" t="s">
        <v>145</v>
      </c>
      <c r="BL940" s="136" t="s">
        <v>18</v>
      </c>
      <c r="BM940" s="136">
        <v>45300</v>
      </c>
      <c r="BN940" s="2" t="s">
        <v>3166</v>
      </c>
      <c r="BO940" s="2"/>
      <c r="BP940" s="205"/>
      <c r="BQ940" s="137" t="s">
        <v>134</v>
      </c>
      <c r="BR940" s="138"/>
    </row>
    <row r="941" spans="1:70" ht="12.75" customHeight="1" x14ac:dyDescent="0.2">
      <c r="A941" s="2">
        <v>2430</v>
      </c>
      <c r="B941" s="2" t="s">
        <v>39</v>
      </c>
      <c r="C941" s="2" t="s">
        <v>74</v>
      </c>
      <c r="D941" s="2" t="s">
        <v>3083</v>
      </c>
      <c r="E941" s="2" t="s">
        <v>90</v>
      </c>
      <c r="F941" s="132">
        <v>5000</v>
      </c>
      <c r="G941" s="132">
        <v>2</v>
      </c>
      <c r="H941" s="132"/>
      <c r="I941" s="132"/>
      <c r="J941" s="132"/>
      <c r="K941" s="132">
        <f t="shared" si="90"/>
        <v>5000</v>
      </c>
      <c r="L941" s="132">
        <f t="shared" si="91"/>
        <v>0</v>
      </c>
      <c r="M941" s="133"/>
      <c r="N941" s="133">
        <f t="shared" si="94"/>
        <v>5000</v>
      </c>
      <c r="O941" s="134">
        <v>1</v>
      </c>
      <c r="P941" s="133"/>
      <c r="Q941" s="2" t="s">
        <v>3005</v>
      </c>
      <c r="R941" s="156">
        <f t="shared" si="92"/>
        <v>0</v>
      </c>
      <c r="S941" s="156">
        <f t="shared" si="93"/>
        <v>0</v>
      </c>
      <c r="T941" s="133"/>
      <c r="U941" s="133"/>
      <c r="V941" s="133"/>
      <c r="W941" s="133"/>
      <c r="X941" s="133"/>
      <c r="Y941" s="133"/>
      <c r="Z941" s="133"/>
      <c r="AA941" s="133"/>
      <c r="AB941" s="133"/>
      <c r="AC941" s="133"/>
      <c r="AD941" s="133"/>
      <c r="AE941" s="133"/>
      <c r="AF941" s="133"/>
      <c r="AG941" s="133"/>
      <c r="AH941" s="133"/>
      <c r="AI941" s="133"/>
      <c r="AJ941" s="133"/>
      <c r="AK941" s="133"/>
      <c r="AL941" s="133"/>
      <c r="AM941" s="133"/>
      <c r="AN941" s="133"/>
      <c r="AO941" s="133"/>
      <c r="AP941" s="133"/>
      <c r="AQ941" s="133"/>
      <c r="AR941" s="133"/>
      <c r="AS941" s="153">
        <v>0</v>
      </c>
      <c r="AT941" s="153">
        <v>0</v>
      </c>
      <c r="AU941" s="153">
        <v>0</v>
      </c>
      <c r="AV941" s="153">
        <v>0</v>
      </c>
      <c r="AW941" s="153">
        <v>0</v>
      </c>
      <c r="AX941" s="153">
        <v>0</v>
      </c>
      <c r="AY941" s="135"/>
      <c r="AZ941" s="135"/>
      <c r="BA941" s="135"/>
      <c r="BB941" s="135"/>
      <c r="BC941" s="135"/>
      <c r="BD941" s="135"/>
      <c r="BE941" s="135"/>
      <c r="BF941" s="135"/>
      <c r="BG941" s="135"/>
      <c r="BH941" s="135"/>
      <c r="BI941" s="2" t="s">
        <v>11</v>
      </c>
      <c r="BJ941" s="136"/>
      <c r="BK941" s="2">
        <v>0</v>
      </c>
      <c r="BL941" s="136" t="s">
        <v>18</v>
      </c>
      <c r="BM941" s="136">
        <v>45300</v>
      </c>
      <c r="BN941" s="2" t="s">
        <v>3167</v>
      </c>
      <c r="BO941" s="2"/>
      <c r="BP941" s="205"/>
      <c r="BQ941" s="137" t="s">
        <v>119</v>
      </c>
      <c r="BR941" s="138"/>
    </row>
    <row r="942" spans="1:70" ht="12.75" customHeight="1" x14ac:dyDescent="0.2">
      <c r="A942" s="2">
        <v>2431</v>
      </c>
      <c r="B942" s="2" t="s">
        <v>39</v>
      </c>
      <c r="C942" s="2" t="s">
        <v>74</v>
      </c>
      <c r="D942" s="2" t="s">
        <v>3084</v>
      </c>
      <c r="E942" s="2" t="s">
        <v>106</v>
      </c>
      <c r="F942" s="132">
        <v>75.25</v>
      </c>
      <c r="G942" s="132">
        <v>2</v>
      </c>
      <c r="H942" s="132">
        <f>43*1.75</f>
        <v>75.25</v>
      </c>
      <c r="I942" s="132"/>
      <c r="J942" s="132">
        <v>75.25</v>
      </c>
      <c r="K942" s="132">
        <f t="shared" si="90"/>
        <v>0</v>
      </c>
      <c r="L942" s="132">
        <f t="shared" si="91"/>
        <v>0</v>
      </c>
      <c r="M942" s="133"/>
      <c r="N942" s="133">
        <f t="shared" si="94"/>
        <v>0</v>
      </c>
      <c r="O942" s="134">
        <v>0</v>
      </c>
      <c r="P942" s="133"/>
      <c r="Q942" s="2" t="s">
        <v>3006</v>
      </c>
      <c r="R942" s="156">
        <f t="shared" si="92"/>
        <v>0</v>
      </c>
      <c r="S942" s="156">
        <f t="shared" si="93"/>
        <v>0</v>
      </c>
      <c r="T942" s="133"/>
      <c r="U942" s="133"/>
      <c r="V942" s="133"/>
      <c r="W942" s="133"/>
      <c r="X942" s="133"/>
      <c r="Y942" s="133"/>
      <c r="Z942" s="133"/>
      <c r="AA942" s="133"/>
      <c r="AB942" s="133"/>
      <c r="AC942" s="133"/>
      <c r="AD942" s="133"/>
      <c r="AE942" s="133"/>
      <c r="AF942" s="133"/>
      <c r="AG942" s="133"/>
      <c r="AH942" s="133"/>
      <c r="AI942" s="133"/>
      <c r="AJ942" s="133"/>
      <c r="AK942" s="133"/>
      <c r="AL942" s="133"/>
      <c r="AM942" s="133"/>
      <c r="AN942" s="133"/>
      <c r="AO942" s="133"/>
      <c r="AP942" s="133"/>
      <c r="AQ942" s="133"/>
      <c r="AR942" s="133"/>
      <c r="AS942" s="153">
        <v>0</v>
      </c>
      <c r="AT942" s="153">
        <v>0</v>
      </c>
      <c r="AU942" s="153">
        <v>0</v>
      </c>
      <c r="AV942" s="153">
        <v>0</v>
      </c>
      <c r="AW942" s="153">
        <v>0</v>
      </c>
      <c r="AX942" s="153">
        <v>0</v>
      </c>
      <c r="AY942" s="135"/>
      <c r="AZ942" s="135"/>
      <c r="BA942" s="135"/>
      <c r="BB942" s="135"/>
      <c r="BC942" s="135"/>
      <c r="BD942" s="135"/>
      <c r="BE942" s="135"/>
      <c r="BF942" s="135"/>
      <c r="BG942" s="135"/>
      <c r="BH942" s="135"/>
      <c r="BI942" s="2" t="s">
        <v>112</v>
      </c>
      <c r="BJ942" s="136">
        <v>45637</v>
      </c>
      <c r="BK942" s="2" t="s">
        <v>145</v>
      </c>
      <c r="BL942" s="136" t="s">
        <v>18</v>
      </c>
      <c r="BM942" s="136">
        <v>45300</v>
      </c>
      <c r="BN942" s="2" t="s">
        <v>3168</v>
      </c>
      <c r="BO942" s="2"/>
      <c r="BP942" s="205"/>
      <c r="BQ942" s="137" t="s">
        <v>134</v>
      </c>
      <c r="BR942" s="138"/>
    </row>
    <row r="943" spans="1:70" ht="12.75" customHeight="1" x14ac:dyDescent="0.2">
      <c r="A943" s="2">
        <v>2432</v>
      </c>
      <c r="B943" s="2" t="s">
        <v>39</v>
      </c>
      <c r="C943" s="2" t="s">
        <v>74</v>
      </c>
      <c r="D943" s="2" t="s">
        <v>3085</v>
      </c>
      <c r="E943" s="2" t="s">
        <v>90</v>
      </c>
      <c r="F943" s="132">
        <v>5000</v>
      </c>
      <c r="G943" s="132">
        <v>2</v>
      </c>
      <c r="H943" s="132">
        <f>R943</f>
        <v>4538.0511166548285</v>
      </c>
      <c r="I943" s="132"/>
      <c r="J943" s="132">
        <f>S943</f>
        <v>4538.0511166548285</v>
      </c>
      <c r="K943" s="132">
        <f t="shared" si="90"/>
        <v>461.94888334517145</v>
      </c>
      <c r="L943" s="132">
        <f t="shared" si="91"/>
        <v>0</v>
      </c>
      <c r="M943" s="133">
        <v>88</v>
      </c>
      <c r="N943" s="133">
        <f t="shared" si="94"/>
        <v>0</v>
      </c>
      <c r="O943" s="134">
        <v>1</v>
      </c>
      <c r="P943" s="133"/>
      <c r="Q943" s="2" t="s">
        <v>3006</v>
      </c>
      <c r="R943" s="156">
        <f t="shared" si="92"/>
        <v>4538.0511166548285</v>
      </c>
      <c r="S943" s="156">
        <f t="shared" si="93"/>
        <v>4538.0511166548285</v>
      </c>
      <c r="T943" s="133"/>
      <c r="U943" s="133"/>
      <c r="V943" s="133"/>
      <c r="W943" s="133"/>
      <c r="X943" s="133"/>
      <c r="Y943" s="133"/>
      <c r="Z943" s="133"/>
      <c r="AA943" s="133"/>
      <c r="AB943" s="133"/>
      <c r="AC943" s="133"/>
      <c r="AD943" s="133"/>
      <c r="AE943" s="133"/>
      <c r="AF943" s="133">
        <v>4538.0511166548285</v>
      </c>
      <c r="AG943" s="133"/>
      <c r="AH943" s="133"/>
      <c r="AI943" s="133">
        <v>692.25</v>
      </c>
      <c r="AJ943" s="133"/>
      <c r="AK943" s="133">
        <v>3845.8011166548285</v>
      </c>
      <c r="AL943" s="133"/>
      <c r="AM943" s="133"/>
      <c r="AN943" s="133"/>
      <c r="AO943" s="133"/>
      <c r="AP943" s="133"/>
      <c r="AQ943" s="133"/>
      <c r="AR943" s="133"/>
      <c r="AS943" s="153">
        <v>0</v>
      </c>
      <c r="AT943" s="153">
        <v>0</v>
      </c>
      <c r="AU943" s="153">
        <v>0</v>
      </c>
      <c r="AV943" s="153">
        <v>0</v>
      </c>
      <c r="AW943" s="153">
        <v>0</v>
      </c>
      <c r="AX943" s="153">
        <v>0</v>
      </c>
      <c r="AY943" s="135">
        <v>0</v>
      </c>
      <c r="AZ943" s="135">
        <v>0</v>
      </c>
      <c r="BA943" s="135">
        <v>0</v>
      </c>
      <c r="BB943" s="135">
        <v>0</v>
      </c>
      <c r="BC943" s="135">
        <v>0</v>
      </c>
      <c r="BD943" s="135">
        <v>0</v>
      </c>
      <c r="BE943" s="135">
        <v>0</v>
      </c>
      <c r="BF943" s="135"/>
      <c r="BG943" s="135"/>
      <c r="BH943" s="135"/>
      <c r="BI943" s="2" t="s">
        <v>11</v>
      </c>
      <c r="BJ943" s="136">
        <v>45869</v>
      </c>
      <c r="BK943" s="2" t="s">
        <v>8</v>
      </c>
      <c r="BL943" s="136" t="s">
        <v>18</v>
      </c>
      <c r="BM943" s="136">
        <v>45300</v>
      </c>
      <c r="BN943" s="2" t="s">
        <v>3169</v>
      </c>
      <c r="BO943" s="2"/>
      <c r="BP943" s="205"/>
      <c r="BQ943" s="137" t="s">
        <v>119</v>
      </c>
      <c r="BR943" s="138"/>
    </row>
    <row r="944" spans="1:70" ht="12.75" customHeight="1" x14ac:dyDescent="0.2">
      <c r="A944" s="2">
        <v>2433</v>
      </c>
      <c r="B944" s="2" t="s">
        <v>100</v>
      </c>
      <c r="C944" s="2" t="s">
        <v>95</v>
      </c>
      <c r="D944" s="2" t="s">
        <v>3086</v>
      </c>
      <c r="E944" s="2" t="s">
        <v>106</v>
      </c>
      <c r="F944" s="132">
        <v>0</v>
      </c>
      <c r="G944" s="132">
        <v>2</v>
      </c>
      <c r="H944" s="132">
        <f>R944</f>
        <v>1688.75</v>
      </c>
      <c r="I944" s="132"/>
      <c r="J944" s="132">
        <f>S944</f>
        <v>1688.3600000000001</v>
      </c>
      <c r="K944" s="132">
        <f t="shared" si="90"/>
        <v>-1688.3600000000001</v>
      </c>
      <c r="L944" s="132">
        <f t="shared" si="91"/>
        <v>0.38999999999987267</v>
      </c>
      <c r="M944" s="133"/>
      <c r="N944" s="133">
        <f t="shared" si="94"/>
        <v>0.38999999999987267</v>
      </c>
      <c r="O944" s="134">
        <v>2</v>
      </c>
      <c r="P944" s="133"/>
      <c r="Q944" s="2" t="s">
        <v>3007</v>
      </c>
      <c r="R944" s="156">
        <f t="shared" si="92"/>
        <v>1688.75</v>
      </c>
      <c r="S944" s="156">
        <f t="shared" si="93"/>
        <v>1688.3600000000001</v>
      </c>
      <c r="T944" s="133"/>
      <c r="U944" s="133"/>
      <c r="V944" s="133"/>
      <c r="W944" s="133"/>
      <c r="X944" s="133"/>
      <c r="Y944" s="133"/>
      <c r="Z944" s="133"/>
      <c r="AA944" s="133"/>
      <c r="AB944" s="133">
        <f>965*1.75</f>
        <v>1688.75</v>
      </c>
      <c r="AC944" s="133"/>
      <c r="AD944" s="133"/>
      <c r="AE944" s="133">
        <f>257.61+1430.75</f>
        <v>1688.3600000000001</v>
      </c>
      <c r="AF944" s="133"/>
      <c r="AG944" s="133"/>
      <c r="AH944" s="133"/>
      <c r="AI944" s="133"/>
      <c r="AJ944" s="133"/>
      <c r="AK944" s="133"/>
      <c r="AL944" s="133"/>
      <c r="AM944" s="133"/>
      <c r="AN944" s="133"/>
      <c r="AO944" s="133"/>
      <c r="AP944" s="133"/>
      <c r="AQ944" s="133"/>
      <c r="AR944" s="133"/>
      <c r="AS944" s="153">
        <v>0</v>
      </c>
      <c r="AT944" s="153">
        <v>0</v>
      </c>
      <c r="AU944" s="153">
        <v>0</v>
      </c>
      <c r="AV944" s="153">
        <v>0</v>
      </c>
      <c r="AW944" s="153">
        <v>0</v>
      </c>
      <c r="AX944" s="153">
        <v>0</v>
      </c>
      <c r="AY944" s="135"/>
      <c r="AZ944" s="135"/>
      <c r="BA944" s="135"/>
      <c r="BB944" s="135"/>
      <c r="BC944" s="135"/>
      <c r="BD944" s="135"/>
      <c r="BE944" s="135"/>
      <c r="BF944" s="135"/>
      <c r="BG944" s="135"/>
      <c r="BH944" s="135"/>
      <c r="BI944" s="2" t="s">
        <v>112</v>
      </c>
      <c r="BJ944" s="136">
        <v>45778</v>
      </c>
      <c r="BK944" s="2" t="s">
        <v>145</v>
      </c>
      <c r="BL944" s="136" t="s">
        <v>18</v>
      </c>
      <c r="BM944" s="136">
        <v>45300</v>
      </c>
      <c r="BN944" s="2" t="s">
        <v>3170</v>
      </c>
      <c r="BO944" s="2"/>
      <c r="BP944" s="205"/>
      <c r="BQ944" s="137" t="s">
        <v>134</v>
      </c>
      <c r="BR944" s="138"/>
    </row>
    <row r="945" spans="1:70" ht="12.75" customHeight="1" x14ac:dyDescent="0.2">
      <c r="A945" s="2">
        <v>2434</v>
      </c>
      <c r="B945" s="2" t="s">
        <v>100</v>
      </c>
      <c r="C945" s="2" t="s">
        <v>95</v>
      </c>
      <c r="D945" s="2" t="s">
        <v>3087</v>
      </c>
      <c r="E945" s="2" t="s">
        <v>90</v>
      </c>
      <c r="F945" s="132">
        <v>35000</v>
      </c>
      <c r="G945" s="132">
        <v>2</v>
      </c>
      <c r="H945" s="132">
        <f>R945</f>
        <v>91523.93</v>
      </c>
      <c r="I945" s="132"/>
      <c r="J945" s="132">
        <f>S945+BC945</f>
        <v>91523.93</v>
      </c>
      <c r="K945" s="132">
        <f t="shared" si="90"/>
        <v>-56523.929999999993</v>
      </c>
      <c r="L945" s="132">
        <f t="shared" si="91"/>
        <v>0</v>
      </c>
      <c r="M945" s="133">
        <v>974</v>
      </c>
      <c r="N945" s="133">
        <f t="shared" si="94"/>
        <v>0</v>
      </c>
      <c r="O945" s="134">
        <v>1</v>
      </c>
      <c r="P945" s="133"/>
      <c r="Q945" s="2" t="s">
        <v>3007</v>
      </c>
      <c r="R945" s="156">
        <f t="shared" si="92"/>
        <v>91523.93</v>
      </c>
      <c r="S945" s="156">
        <f t="shared" si="93"/>
        <v>23726.929999999989</v>
      </c>
      <c r="T945" s="133"/>
      <c r="U945" s="133"/>
      <c r="V945" s="133"/>
      <c r="W945" s="133"/>
      <c r="X945" s="133">
        <v>30000</v>
      </c>
      <c r="Y945" s="133"/>
      <c r="Z945" s="133"/>
      <c r="AA945" s="133">
        <v>4576.2700000000004</v>
      </c>
      <c r="AB945" s="133">
        <v>50000</v>
      </c>
      <c r="AC945" s="133"/>
      <c r="AD945" s="133">
        <v>11523.93</v>
      </c>
      <c r="AE945" s="133">
        <v>7627.12</v>
      </c>
      <c r="AF945" s="133"/>
      <c r="AG945" s="133">
        <f>1757.88</f>
        <v>1757.88</v>
      </c>
      <c r="AH945" s="133"/>
      <c r="AI945" s="133"/>
      <c r="AJ945" s="133"/>
      <c r="AK945" s="133">
        <v>9765.6599999999889</v>
      </c>
      <c r="AL945" s="133"/>
      <c r="AM945" s="133"/>
      <c r="AN945" s="133"/>
      <c r="AO945" s="133"/>
      <c r="AP945" s="133"/>
      <c r="AQ945" s="133"/>
      <c r="AR945" s="133"/>
      <c r="AS945" s="153">
        <v>0</v>
      </c>
      <c r="AT945" s="153">
        <v>0</v>
      </c>
      <c r="AU945" s="153">
        <v>0</v>
      </c>
      <c r="AV945" s="153">
        <v>0</v>
      </c>
      <c r="AW945" s="153">
        <v>0</v>
      </c>
      <c r="AX945" s="153">
        <v>0</v>
      </c>
      <c r="AY945" s="135"/>
      <c r="AZ945" s="135"/>
      <c r="BA945" s="135"/>
      <c r="BB945" s="135"/>
      <c r="BC945" s="135">
        <f>25424+42373</f>
        <v>67797</v>
      </c>
      <c r="BD945" s="135">
        <f>3832.71+5452.17</f>
        <v>9284.880000000001</v>
      </c>
      <c r="BE945" s="135">
        <f>(H945/1.18-AT945-AW945-AZ945-BD945)*0.1-AU945-AX945-BA945-BB945</f>
        <v>6827.7772542372877</v>
      </c>
      <c r="BF945" s="135"/>
      <c r="BG945" s="135"/>
      <c r="BH945" s="135"/>
      <c r="BI945" s="2" t="s">
        <v>11</v>
      </c>
      <c r="BJ945" s="136">
        <v>45831</v>
      </c>
      <c r="BK945" s="2" t="s">
        <v>8</v>
      </c>
      <c r="BL945" s="136" t="s">
        <v>18</v>
      </c>
      <c r="BM945" s="136">
        <v>45300</v>
      </c>
      <c r="BN945" s="2" t="s">
        <v>3171</v>
      </c>
      <c r="BO945" s="2"/>
      <c r="BP945" s="205"/>
      <c r="BQ945" s="137" t="s">
        <v>119</v>
      </c>
      <c r="BR945" s="138"/>
    </row>
    <row r="946" spans="1:70" ht="12.75" customHeight="1" x14ac:dyDescent="0.2">
      <c r="A946" s="2">
        <v>2435</v>
      </c>
      <c r="B946" s="2" t="s">
        <v>28</v>
      </c>
      <c r="C946" s="2" t="s">
        <v>91</v>
      </c>
      <c r="D946" s="2" t="s">
        <v>3543</v>
      </c>
      <c r="E946" s="2" t="s">
        <v>116</v>
      </c>
      <c r="F946" s="132">
        <v>28493.5</v>
      </c>
      <c r="G946" s="132">
        <v>2</v>
      </c>
      <c r="H946" s="132">
        <f>16282*1.75</f>
        <v>28493.5</v>
      </c>
      <c r="I946" s="132"/>
      <c r="J946" s="132">
        <v>28493.5</v>
      </c>
      <c r="K946" s="132">
        <f t="shared" si="90"/>
        <v>0</v>
      </c>
      <c r="L946" s="132">
        <f t="shared" si="91"/>
        <v>0</v>
      </c>
      <c r="M946" s="133"/>
      <c r="N946" s="133">
        <f t="shared" si="94"/>
        <v>0</v>
      </c>
      <c r="O946" s="134">
        <v>0</v>
      </c>
      <c r="P946" s="133"/>
      <c r="Q946" s="2" t="s">
        <v>3539</v>
      </c>
      <c r="R946" s="156">
        <f t="shared" si="92"/>
        <v>0</v>
      </c>
      <c r="S946" s="156">
        <f t="shared" si="93"/>
        <v>0</v>
      </c>
      <c r="T946" s="133"/>
      <c r="U946" s="133"/>
      <c r="V946" s="133"/>
      <c r="W946" s="133"/>
      <c r="X946" s="133"/>
      <c r="Y946" s="133"/>
      <c r="Z946" s="133"/>
      <c r="AA946" s="133"/>
      <c r="AB946" s="133"/>
      <c r="AC946" s="133"/>
      <c r="AD946" s="133"/>
      <c r="AE946" s="133"/>
      <c r="AF946" s="133"/>
      <c r="AG946" s="133"/>
      <c r="AH946" s="133"/>
      <c r="AI946" s="133"/>
      <c r="AJ946" s="133"/>
      <c r="AK946" s="133"/>
      <c r="AL946" s="133"/>
      <c r="AM946" s="133"/>
      <c r="AN946" s="133"/>
      <c r="AO946" s="133"/>
      <c r="AP946" s="133"/>
      <c r="AQ946" s="133"/>
      <c r="AR946" s="133"/>
      <c r="AS946" s="153">
        <v>0</v>
      </c>
      <c r="AT946" s="153">
        <v>0</v>
      </c>
      <c r="AU946" s="153">
        <v>0</v>
      </c>
      <c r="AV946" s="153">
        <v>0</v>
      </c>
      <c r="AW946" s="153">
        <v>0</v>
      </c>
      <c r="AX946" s="153">
        <v>0</v>
      </c>
      <c r="AY946" s="135"/>
      <c r="AZ946" s="135"/>
      <c r="BA946" s="135"/>
      <c r="BB946" s="135"/>
      <c r="BC946" s="135"/>
      <c r="BD946" s="135"/>
      <c r="BE946" s="135"/>
      <c r="BF946" s="135"/>
      <c r="BG946" s="135"/>
      <c r="BH946" s="135"/>
      <c r="BI946" s="2" t="s">
        <v>112</v>
      </c>
      <c r="BJ946" s="136">
        <v>45537</v>
      </c>
      <c r="BK946" s="2" t="s">
        <v>145</v>
      </c>
      <c r="BL946" s="136" t="s">
        <v>18</v>
      </c>
      <c r="BM946" s="136">
        <v>45307</v>
      </c>
      <c r="BN946" s="2" t="s">
        <v>3541</v>
      </c>
      <c r="BO946" s="2"/>
      <c r="BP946" s="136"/>
      <c r="BQ946" s="137" t="s">
        <v>134</v>
      </c>
      <c r="BR946" s="138"/>
    </row>
    <row r="947" spans="1:70" ht="12.75" customHeight="1" x14ac:dyDescent="0.2">
      <c r="A947" s="2">
        <v>2436</v>
      </c>
      <c r="B947" s="2" t="s">
        <v>28</v>
      </c>
      <c r="C947" s="2" t="s">
        <v>91</v>
      </c>
      <c r="D947" s="2" t="s">
        <v>3173</v>
      </c>
      <c r="E947" s="2" t="s">
        <v>116</v>
      </c>
      <c r="F947" s="132">
        <v>0</v>
      </c>
      <c r="G947" s="132" t="s">
        <v>3658</v>
      </c>
      <c r="H947" s="132"/>
      <c r="I947" s="132"/>
      <c r="J947" s="132"/>
      <c r="K947" s="132">
        <f t="shared" si="90"/>
        <v>0</v>
      </c>
      <c r="L947" s="132">
        <f t="shared" si="91"/>
        <v>0</v>
      </c>
      <c r="M947" s="133"/>
      <c r="N947" s="133">
        <f t="shared" si="94"/>
        <v>0</v>
      </c>
      <c r="O947" s="134" t="s">
        <v>1705</v>
      </c>
      <c r="P947" s="133"/>
      <c r="Q947" s="2" t="s">
        <v>3540</v>
      </c>
      <c r="R947" s="156">
        <f t="shared" si="92"/>
        <v>0</v>
      </c>
      <c r="S947" s="156">
        <f t="shared" si="93"/>
        <v>0</v>
      </c>
      <c r="T947" s="133"/>
      <c r="U947" s="133"/>
      <c r="V947" s="133"/>
      <c r="W947" s="133"/>
      <c r="X947" s="133"/>
      <c r="Y947" s="133"/>
      <c r="Z947" s="133"/>
      <c r="AA947" s="133"/>
      <c r="AB947" s="133"/>
      <c r="AC947" s="133"/>
      <c r="AD947" s="133"/>
      <c r="AE947" s="133"/>
      <c r="AF947" s="133"/>
      <c r="AG947" s="133"/>
      <c r="AH947" s="133"/>
      <c r="AI947" s="133"/>
      <c r="AJ947" s="133"/>
      <c r="AK947" s="133"/>
      <c r="AL947" s="133"/>
      <c r="AM947" s="133"/>
      <c r="AN947" s="133"/>
      <c r="AO947" s="133"/>
      <c r="AP947" s="133"/>
      <c r="AQ947" s="133"/>
      <c r="AR947" s="133"/>
      <c r="AS947" s="153">
        <v>0</v>
      </c>
      <c r="AT947" s="153">
        <v>0</v>
      </c>
      <c r="AU947" s="153">
        <v>0</v>
      </c>
      <c r="AV947" s="153">
        <v>0</v>
      </c>
      <c r="AW947" s="153">
        <v>0</v>
      </c>
      <c r="AX947" s="153">
        <v>0</v>
      </c>
      <c r="AY947" s="135"/>
      <c r="AZ947" s="135"/>
      <c r="BA947" s="135"/>
      <c r="BB947" s="135"/>
      <c r="BC947" s="135"/>
      <c r="BD947" s="135"/>
      <c r="BE947" s="135"/>
      <c r="BF947" s="135"/>
      <c r="BG947" s="135"/>
      <c r="BH947" s="135"/>
      <c r="BI947" s="2" t="s">
        <v>112</v>
      </c>
      <c r="BJ947" s="136"/>
      <c r="BK947" s="2">
        <v>0</v>
      </c>
      <c r="BL947" s="136" t="s">
        <v>18</v>
      </c>
      <c r="BM947" s="136">
        <v>45307</v>
      </c>
      <c r="BN947" s="2" t="s">
        <v>3174</v>
      </c>
      <c r="BO947" s="2"/>
      <c r="BP947" s="136"/>
      <c r="BQ947" s="137" t="s">
        <v>134</v>
      </c>
      <c r="BR947" s="138"/>
    </row>
    <row r="948" spans="1:70" ht="12.75" customHeight="1" x14ac:dyDescent="0.2">
      <c r="A948" s="2">
        <v>2437</v>
      </c>
      <c r="B948" s="2" t="s">
        <v>108</v>
      </c>
      <c r="C948" s="2" t="s">
        <v>40</v>
      </c>
      <c r="D948" s="2" t="s">
        <v>3180</v>
      </c>
      <c r="E948" s="2" t="s">
        <v>116</v>
      </c>
      <c r="F948" s="132">
        <v>28752.5</v>
      </c>
      <c r="G948" s="132">
        <v>2</v>
      </c>
      <c r="H948" s="132">
        <f>16430*1.75</f>
        <v>28752.5</v>
      </c>
      <c r="I948" s="132"/>
      <c r="J948" s="132">
        <v>28752.5</v>
      </c>
      <c r="K948" s="132">
        <f t="shared" si="90"/>
        <v>0</v>
      </c>
      <c r="L948" s="132">
        <f t="shared" si="91"/>
        <v>0</v>
      </c>
      <c r="M948" s="133"/>
      <c r="N948" s="133">
        <f t="shared" si="94"/>
        <v>0</v>
      </c>
      <c r="O948" s="134">
        <v>0</v>
      </c>
      <c r="P948" s="133"/>
      <c r="Q948" s="2" t="s">
        <v>2187</v>
      </c>
      <c r="R948" s="156">
        <f t="shared" si="92"/>
        <v>0</v>
      </c>
      <c r="S948" s="156">
        <f t="shared" si="93"/>
        <v>0</v>
      </c>
      <c r="T948" s="133"/>
      <c r="U948" s="133"/>
      <c r="V948" s="133"/>
      <c r="W948" s="133"/>
      <c r="X948" s="133"/>
      <c r="Y948" s="133"/>
      <c r="Z948" s="133"/>
      <c r="AA948" s="133"/>
      <c r="AB948" s="133"/>
      <c r="AC948" s="133"/>
      <c r="AD948" s="133"/>
      <c r="AE948" s="133"/>
      <c r="AF948" s="133"/>
      <c r="AG948" s="133"/>
      <c r="AH948" s="133"/>
      <c r="AI948" s="133"/>
      <c r="AJ948" s="133"/>
      <c r="AK948" s="133"/>
      <c r="AL948" s="133"/>
      <c r="AM948" s="133"/>
      <c r="AN948" s="133"/>
      <c r="AO948" s="133"/>
      <c r="AP948" s="133"/>
      <c r="AQ948" s="133"/>
      <c r="AR948" s="133"/>
      <c r="AS948" s="153">
        <v>0</v>
      </c>
      <c r="AT948" s="153">
        <v>0</v>
      </c>
      <c r="AU948" s="153">
        <v>0</v>
      </c>
      <c r="AV948" s="153">
        <v>0</v>
      </c>
      <c r="AW948" s="153">
        <v>0</v>
      </c>
      <c r="AX948" s="153">
        <v>0</v>
      </c>
      <c r="AY948" s="135"/>
      <c r="AZ948" s="135"/>
      <c r="BA948" s="135"/>
      <c r="BB948" s="135"/>
      <c r="BC948" s="135"/>
      <c r="BD948" s="135"/>
      <c r="BE948" s="135"/>
      <c r="BF948" s="135"/>
      <c r="BG948" s="135"/>
      <c r="BH948" s="135"/>
      <c r="BI948" s="2" t="s">
        <v>112</v>
      </c>
      <c r="BJ948" s="136">
        <v>45537</v>
      </c>
      <c r="BK948" s="2" t="s">
        <v>145</v>
      </c>
      <c r="BL948" s="136" t="s">
        <v>113</v>
      </c>
      <c r="BM948" s="136">
        <v>45307</v>
      </c>
      <c r="BN948" s="2" t="s">
        <v>3176</v>
      </c>
      <c r="BO948" s="2"/>
      <c r="BP948" s="136"/>
      <c r="BQ948" s="137" t="s">
        <v>134</v>
      </c>
      <c r="BR948" s="138"/>
    </row>
    <row r="949" spans="1:70" ht="12.75" customHeight="1" x14ac:dyDescent="0.2">
      <c r="A949" s="2">
        <v>2438</v>
      </c>
      <c r="B949" s="2" t="s">
        <v>39</v>
      </c>
      <c r="C949" s="2" t="s">
        <v>41</v>
      </c>
      <c r="D949" s="2" t="s">
        <v>3181</v>
      </c>
      <c r="E949" s="2" t="s">
        <v>116</v>
      </c>
      <c r="F949" s="132">
        <v>58738.75</v>
      </c>
      <c r="G949" s="132">
        <v>2</v>
      </c>
      <c r="H949" s="132">
        <f>33565*1.75</f>
        <v>58738.75</v>
      </c>
      <c r="I949" s="132"/>
      <c r="J949" s="132">
        <v>58738.75</v>
      </c>
      <c r="K949" s="132">
        <f t="shared" si="90"/>
        <v>0</v>
      </c>
      <c r="L949" s="132">
        <f t="shared" si="91"/>
        <v>0</v>
      </c>
      <c r="M949" s="133"/>
      <c r="N949" s="133">
        <f t="shared" si="94"/>
        <v>0</v>
      </c>
      <c r="O949" s="134">
        <v>0</v>
      </c>
      <c r="P949" s="133"/>
      <c r="Q949" s="2" t="s">
        <v>3182</v>
      </c>
      <c r="R949" s="156">
        <f t="shared" si="92"/>
        <v>0</v>
      </c>
      <c r="S949" s="156">
        <f t="shared" si="93"/>
        <v>0</v>
      </c>
      <c r="T949" s="133"/>
      <c r="U949" s="133"/>
      <c r="V949" s="133"/>
      <c r="W949" s="133"/>
      <c r="X949" s="133"/>
      <c r="Y949" s="133"/>
      <c r="Z949" s="133"/>
      <c r="AA949" s="133"/>
      <c r="AB949" s="133"/>
      <c r="AC949" s="133"/>
      <c r="AD949" s="133"/>
      <c r="AE949" s="133"/>
      <c r="AF949" s="133"/>
      <c r="AG949" s="133"/>
      <c r="AH949" s="133"/>
      <c r="AI949" s="133"/>
      <c r="AJ949" s="133"/>
      <c r="AK949" s="133"/>
      <c r="AL949" s="133"/>
      <c r="AM949" s="133"/>
      <c r="AN949" s="133"/>
      <c r="AO949" s="133"/>
      <c r="AP949" s="133"/>
      <c r="AQ949" s="133"/>
      <c r="AR949" s="133"/>
      <c r="AS949" s="153">
        <v>0</v>
      </c>
      <c r="AT949" s="153">
        <v>0</v>
      </c>
      <c r="AU949" s="153">
        <v>0</v>
      </c>
      <c r="AV949" s="153">
        <v>0</v>
      </c>
      <c r="AW949" s="153">
        <v>0</v>
      </c>
      <c r="AX949" s="153">
        <v>0</v>
      </c>
      <c r="AY949" s="135"/>
      <c r="AZ949" s="135"/>
      <c r="BA949" s="135"/>
      <c r="BB949" s="135"/>
      <c r="BC949" s="135"/>
      <c r="BD949" s="135"/>
      <c r="BE949" s="135"/>
      <c r="BF949" s="135"/>
      <c r="BG949" s="135"/>
      <c r="BH949" s="135"/>
      <c r="BI949" s="2" t="s">
        <v>112</v>
      </c>
      <c r="BJ949" s="136">
        <v>45537</v>
      </c>
      <c r="BK949" s="2" t="s">
        <v>145</v>
      </c>
      <c r="BL949" s="136" t="s">
        <v>113</v>
      </c>
      <c r="BM949" s="136">
        <v>45307</v>
      </c>
      <c r="BN949" s="2" t="s">
        <v>3175</v>
      </c>
      <c r="BO949" s="2"/>
      <c r="BP949" s="136"/>
      <c r="BQ949" s="137" t="s">
        <v>134</v>
      </c>
      <c r="BR949" s="138"/>
    </row>
    <row r="950" spans="1:70" ht="12.75" customHeight="1" x14ac:dyDescent="0.2">
      <c r="A950" s="2">
        <v>2439</v>
      </c>
      <c r="B950" s="2" t="s">
        <v>19</v>
      </c>
      <c r="C950" s="2" t="s">
        <v>20</v>
      </c>
      <c r="D950" s="2" t="s">
        <v>3183</v>
      </c>
      <c r="E950" s="2" t="s">
        <v>116</v>
      </c>
      <c r="F950" s="132">
        <v>12232.5</v>
      </c>
      <c r="G950" s="132">
        <v>2</v>
      </c>
      <c r="H950" s="132">
        <f>6990*1.75</f>
        <v>12232.5</v>
      </c>
      <c r="I950" s="132"/>
      <c r="J950" s="132">
        <v>12232.5</v>
      </c>
      <c r="K950" s="132">
        <f t="shared" ref="K950:K1013" si="95">F950-J950</f>
        <v>0</v>
      </c>
      <c r="L950" s="132">
        <f t="shared" si="91"/>
        <v>0</v>
      </c>
      <c r="M950" s="133"/>
      <c r="N950" s="133">
        <f t="shared" si="94"/>
        <v>0</v>
      </c>
      <c r="O950" s="134">
        <v>0</v>
      </c>
      <c r="P950" s="133"/>
      <c r="Q950" s="2" t="s">
        <v>2201</v>
      </c>
      <c r="R950" s="156">
        <f t="shared" si="92"/>
        <v>0</v>
      </c>
      <c r="S950" s="156">
        <f t="shared" si="93"/>
        <v>0</v>
      </c>
      <c r="T950" s="133"/>
      <c r="U950" s="133"/>
      <c r="V950" s="133"/>
      <c r="W950" s="133"/>
      <c r="X950" s="133"/>
      <c r="Y950" s="133"/>
      <c r="Z950" s="133"/>
      <c r="AA950" s="133"/>
      <c r="AB950" s="133"/>
      <c r="AC950" s="133"/>
      <c r="AD950" s="133"/>
      <c r="AE950" s="133"/>
      <c r="AF950" s="133"/>
      <c r="AG950" s="133"/>
      <c r="AH950" s="133"/>
      <c r="AI950" s="133"/>
      <c r="AJ950" s="133"/>
      <c r="AK950" s="133"/>
      <c r="AL950" s="133"/>
      <c r="AM950" s="133"/>
      <c r="AN950" s="133"/>
      <c r="AO950" s="133"/>
      <c r="AP950" s="133"/>
      <c r="AQ950" s="133"/>
      <c r="AR950" s="133"/>
      <c r="AS950" s="153">
        <v>0</v>
      </c>
      <c r="AT950" s="153">
        <v>0</v>
      </c>
      <c r="AU950" s="153">
        <v>0</v>
      </c>
      <c r="AV950" s="153">
        <v>0</v>
      </c>
      <c r="AW950" s="153">
        <v>0</v>
      </c>
      <c r="AX950" s="153">
        <v>0</v>
      </c>
      <c r="AY950" s="135"/>
      <c r="AZ950" s="135"/>
      <c r="BA950" s="135"/>
      <c r="BB950" s="135"/>
      <c r="BC950" s="135"/>
      <c r="BD950" s="135"/>
      <c r="BE950" s="135"/>
      <c r="BF950" s="135"/>
      <c r="BG950" s="135"/>
      <c r="BH950" s="135"/>
      <c r="BI950" s="2" t="s">
        <v>112</v>
      </c>
      <c r="BJ950" s="136">
        <v>45537</v>
      </c>
      <c r="BK950" s="2" t="s">
        <v>145</v>
      </c>
      <c r="BL950" s="136" t="s">
        <v>113</v>
      </c>
      <c r="BM950" s="136">
        <v>45307</v>
      </c>
      <c r="BN950" s="2" t="s">
        <v>3177</v>
      </c>
      <c r="BO950" s="2"/>
      <c r="BP950" s="136"/>
      <c r="BQ950" s="137" t="s">
        <v>134</v>
      </c>
      <c r="BR950" s="138"/>
    </row>
    <row r="951" spans="1:70" ht="12.75" customHeight="1" x14ac:dyDescent="0.2">
      <c r="A951" s="2">
        <v>2440</v>
      </c>
      <c r="B951" s="2" t="s">
        <v>19</v>
      </c>
      <c r="C951" s="2" t="s">
        <v>20</v>
      </c>
      <c r="D951" s="2" t="s">
        <v>3184</v>
      </c>
      <c r="E951" s="2" t="s">
        <v>116</v>
      </c>
      <c r="F951" s="132">
        <v>4373.25</v>
      </c>
      <c r="G951" s="132">
        <v>2</v>
      </c>
      <c r="H951" s="132">
        <f>2499*1.75</f>
        <v>4373.25</v>
      </c>
      <c r="I951" s="132"/>
      <c r="J951" s="132">
        <v>4373.25</v>
      </c>
      <c r="K951" s="132">
        <f t="shared" si="95"/>
        <v>0</v>
      </c>
      <c r="L951" s="132">
        <f t="shared" si="91"/>
        <v>0</v>
      </c>
      <c r="M951" s="133"/>
      <c r="N951" s="133">
        <f t="shared" si="94"/>
        <v>0</v>
      </c>
      <c r="O951" s="134">
        <v>0</v>
      </c>
      <c r="P951" s="133"/>
      <c r="Q951" s="2" t="s">
        <v>2204</v>
      </c>
      <c r="R951" s="156">
        <f t="shared" si="92"/>
        <v>0</v>
      </c>
      <c r="S951" s="156">
        <f t="shared" si="93"/>
        <v>0</v>
      </c>
      <c r="T951" s="133"/>
      <c r="U951" s="133"/>
      <c r="V951" s="133"/>
      <c r="W951" s="133"/>
      <c r="X951" s="133"/>
      <c r="Y951" s="133"/>
      <c r="Z951" s="133"/>
      <c r="AA951" s="133"/>
      <c r="AB951" s="133"/>
      <c r="AC951" s="133"/>
      <c r="AD951" s="133"/>
      <c r="AE951" s="133"/>
      <c r="AF951" s="133"/>
      <c r="AG951" s="133"/>
      <c r="AH951" s="133"/>
      <c r="AI951" s="133"/>
      <c r="AJ951" s="133"/>
      <c r="AK951" s="133"/>
      <c r="AL951" s="133"/>
      <c r="AM951" s="133"/>
      <c r="AN951" s="133"/>
      <c r="AO951" s="133"/>
      <c r="AP951" s="133"/>
      <c r="AQ951" s="133"/>
      <c r="AR951" s="133"/>
      <c r="AS951" s="153">
        <v>0</v>
      </c>
      <c r="AT951" s="153">
        <v>0</v>
      </c>
      <c r="AU951" s="153">
        <v>0</v>
      </c>
      <c r="AV951" s="153">
        <v>0</v>
      </c>
      <c r="AW951" s="153">
        <v>0</v>
      </c>
      <c r="AX951" s="153">
        <v>0</v>
      </c>
      <c r="AY951" s="135"/>
      <c r="AZ951" s="135"/>
      <c r="BA951" s="135"/>
      <c r="BB951" s="135"/>
      <c r="BC951" s="135"/>
      <c r="BD951" s="135"/>
      <c r="BE951" s="135"/>
      <c r="BF951" s="135"/>
      <c r="BG951" s="135"/>
      <c r="BH951" s="135"/>
      <c r="BI951" s="2" t="s">
        <v>112</v>
      </c>
      <c r="BJ951" s="136">
        <v>45537</v>
      </c>
      <c r="BK951" s="2" t="s">
        <v>145</v>
      </c>
      <c r="BL951" s="136" t="s">
        <v>113</v>
      </c>
      <c r="BM951" s="136">
        <v>45307</v>
      </c>
      <c r="BN951" s="2" t="s">
        <v>3178</v>
      </c>
      <c r="BO951" s="2"/>
      <c r="BP951" s="136"/>
      <c r="BQ951" s="137" t="s">
        <v>134</v>
      </c>
      <c r="BR951" s="138"/>
    </row>
    <row r="952" spans="1:70" ht="12.75" customHeight="1" x14ac:dyDescent="0.2">
      <c r="A952" s="2">
        <v>2441</v>
      </c>
      <c r="B952" s="2" t="s">
        <v>19</v>
      </c>
      <c r="C952" s="2" t="s">
        <v>24</v>
      </c>
      <c r="D952" s="2" t="s">
        <v>3185</v>
      </c>
      <c r="E952" s="2" t="s">
        <v>116</v>
      </c>
      <c r="F952" s="132">
        <v>1218</v>
      </c>
      <c r="G952" s="132">
        <v>2</v>
      </c>
      <c r="H952" s="132">
        <f>696*1.75</f>
        <v>1218</v>
      </c>
      <c r="I952" s="132"/>
      <c r="J952" s="132">
        <v>1218</v>
      </c>
      <c r="K952" s="132">
        <f t="shared" si="95"/>
        <v>0</v>
      </c>
      <c r="L952" s="132">
        <f t="shared" si="91"/>
        <v>0</v>
      </c>
      <c r="M952" s="133"/>
      <c r="N952" s="133">
        <f t="shared" si="94"/>
        <v>0</v>
      </c>
      <c r="O952" s="134">
        <v>0</v>
      </c>
      <c r="P952" s="133"/>
      <c r="Q952" s="2" t="s">
        <v>2210</v>
      </c>
      <c r="R952" s="156">
        <f t="shared" si="92"/>
        <v>0</v>
      </c>
      <c r="S952" s="156">
        <f t="shared" si="93"/>
        <v>0</v>
      </c>
      <c r="T952" s="133"/>
      <c r="U952" s="133"/>
      <c r="V952" s="133"/>
      <c r="W952" s="133"/>
      <c r="X952" s="133"/>
      <c r="Y952" s="133"/>
      <c r="Z952" s="133"/>
      <c r="AA952" s="133"/>
      <c r="AB952" s="133"/>
      <c r="AC952" s="133"/>
      <c r="AD952" s="133"/>
      <c r="AE952" s="133"/>
      <c r="AF952" s="133"/>
      <c r="AG952" s="133"/>
      <c r="AH952" s="133"/>
      <c r="AI952" s="133"/>
      <c r="AJ952" s="133"/>
      <c r="AK952" s="133"/>
      <c r="AL952" s="133"/>
      <c r="AM952" s="133"/>
      <c r="AN952" s="133"/>
      <c r="AO952" s="133"/>
      <c r="AP952" s="133"/>
      <c r="AQ952" s="133"/>
      <c r="AR952" s="133"/>
      <c r="AS952" s="153">
        <v>0</v>
      </c>
      <c r="AT952" s="153">
        <v>0</v>
      </c>
      <c r="AU952" s="153">
        <v>0</v>
      </c>
      <c r="AV952" s="153">
        <v>0</v>
      </c>
      <c r="AW952" s="153">
        <v>0</v>
      </c>
      <c r="AX952" s="153">
        <v>0</v>
      </c>
      <c r="AY952" s="135"/>
      <c r="AZ952" s="135"/>
      <c r="BA952" s="135"/>
      <c r="BB952" s="135"/>
      <c r="BC952" s="135"/>
      <c r="BD952" s="135"/>
      <c r="BE952" s="135"/>
      <c r="BF952" s="135"/>
      <c r="BG952" s="135"/>
      <c r="BH952" s="135"/>
      <c r="BI952" s="2" t="s">
        <v>112</v>
      </c>
      <c r="BJ952" s="136">
        <v>45537</v>
      </c>
      <c r="BK952" s="2" t="s">
        <v>145</v>
      </c>
      <c r="BL952" s="136" t="s">
        <v>113</v>
      </c>
      <c r="BM952" s="136">
        <v>45307</v>
      </c>
      <c r="BN952" s="2" t="s">
        <v>3179</v>
      </c>
      <c r="BO952" s="2"/>
      <c r="BP952" s="136"/>
      <c r="BQ952" s="137" t="s">
        <v>134</v>
      </c>
      <c r="BR952" s="138"/>
    </row>
    <row r="953" spans="1:70" ht="12.75" customHeight="1" x14ac:dyDescent="0.2">
      <c r="A953" s="2">
        <v>2442</v>
      </c>
      <c r="B953" s="2" t="s">
        <v>44</v>
      </c>
      <c r="C953" s="2" t="s">
        <v>47</v>
      </c>
      <c r="D953" s="2" t="s">
        <v>3192</v>
      </c>
      <c r="E953" s="2" t="s">
        <v>1853</v>
      </c>
      <c r="F953" s="132">
        <v>25606</v>
      </c>
      <c r="G953" s="132"/>
      <c r="H953" s="132">
        <f>14632*1.75</f>
        <v>25606</v>
      </c>
      <c r="I953" s="132"/>
      <c r="J953" s="132">
        <v>25606</v>
      </c>
      <c r="K953" s="132">
        <f t="shared" si="95"/>
        <v>0</v>
      </c>
      <c r="L953" s="132">
        <f t="shared" si="91"/>
        <v>0</v>
      </c>
      <c r="M953" s="133"/>
      <c r="N953" s="133">
        <f t="shared" si="94"/>
        <v>0</v>
      </c>
      <c r="O953" s="134">
        <v>0</v>
      </c>
      <c r="P953" s="133"/>
      <c r="Q953" s="2" t="s">
        <v>3186</v>
      </c>
      <c r="R953" s="156">
        <f t="shared" si="92"/>
        <v>0</v>
      </c>
      <c r="S953" s="156">
        <f t="shared" si="93"/>
        <v>0</v>
      </c>
      <c r="T953" s="133"/>
      <c r="U953" s="133"/>
      <c r="V953" s="133"/>
      <c r="W953" s="133"/>
      <c r="X953" s="133"/>
      <c r="Y953" s="133"/>
      <c r="Z953" s="133"/>
      <c r="AA953" s="133"/>
      <c r="AB953" s="133"/>
      <c r="AC953" s="133"/>
      <c r="AD953" s="133"/>
      <c r="AE953" s="133"/>
      <c r="AF953" s="133"/>
      <c r="AG953" s="133"/>
      <c r="AH953" s="133"/>
      <c r="AI953" s="133"/>
      <c r="AJ953" s="133"/>
      <c r="AK953" s="133"/>
      <c r="AL953" s="133"/>
      <c r="AM953" s="133"/>
      <c r="AN953" s="133"/>
      <c r="AO953" s="133"/>
      <c r="AP953" s="133"/>
      <c r="AQ953" s="133"/>
      <c r="AR953" s="133"/>
      <c r="AS953" s="153">
        <v>0</v>
      </c>
      <c r="AT953" s="153">
        <v>0</v>
      </c>
      <c r="AU953" s="153">
        <v>0</v>
      </c>
      <c r="AV953" s="153">
        <v>0</v>
      </c>
      <c r="AW953" s="153">
        <v>0</v>
      </c>
      <c r="AX953" s="153">
        <v>0</v>
      </c>
      <c r="AY953" s="135"/>
      <c r="AZ953" s="135"/>
      <c r="BA953" s="135"/>
      <c r="BB953" s="135"/>
      <c r="BC953" s="135"/>
      <c r="BD953" s="135"/>
      <c r="BE953" s="135"/>
      <c r="BF953" s="135"/>
      <c r="BG953" s="135"/>
      <c r="BH953" s="135"/>
      <c r="BI953" s="2" t="s">
        <v>112</v>
      </c>
      <c r="BJ953" s="136">
        <v>45576</v>
      </c>
      <c r="BK953" s="2" t="s">
        <v>145</v>
      </c>
      <c r="BL953" s="136" t="s">
        <v>113</v>
      </c>
      <c r="BM953" s="136">
        <v>45306</v>
      </c>
      <c r="BN953" s="2" t="s">
        <v>3187</v>
      </c>
      <c r="BO953" s="2"/>
      <c r="BP953" s="136"/>
      <c r="BQ953" s="137"/>
      <c r="BR953" s="138"/>
    </row>
    <row r="954" spans="1:70" ht="12.75" customHeight="1" x14ac:dyDescent="0.2">
      <c r="A954" s="2">
        <v>2443</v>
      </c>
      <c r="B954" s="2" t="s">
        <v>55</v>
      </c>
      <c r="C954" s="2" t="s">
        <v>68</v>
      </c>
      <c r="D954" s="2" t="s">
        <v>3190</v>
      </c>
      <c r="E954" s="2" t="s">
        <v>1853</v>
      </c>
      <c r="F954" s="132">
        <f>1858*1.75</f>
        <v>3251.5</v>
      </c>
      <c r="G954" s="132"/>
      <c r="H954" s="132">
        <f>1858*1.75</f>
        <v>3251.5</v>
      </c>
      <c r="I954" s="132"/>
      <c r="J954" s="132">
        <f>495.99+2755.51</f>
        <v>3251.5</v>
      </c>
      <c r="K954" s="132">
        <f t="shared" si="95"/>
        <v>0</v>
      </c>
      <c r="L954" s="132">
        <f t="shared" si="91"/>
        <v>0</v>
      </c>
      <c r="M954" s="133"/>
      <c r="N954" s="133">
        <f t="shared" si="94"/>
        <v>0</v>
      </c>
      <c r="O954" s="134">
        <v>0</v>
      </c>
      <c r="P954" s="133"/>
      <c r="Q954" s="2" t="s">
        <v>2190</v>
      </c>
      <c r="R954" s="156">
        <f t="shared" si="92"/>
        <v>0</v>
      </c>
      <c r="S954" s="156">
        <f t="shared" si="93"/>
        <v>0</v>
      </c>
      <c r="T954" s="133"/>
      <c r="U954" s="133"/>
      <c r="V954" s="133"/>
      <c r="W954" s="133"/>
      <c r="X954" s="133"/>
      <c r="Y954" s="133"/>
      <c r="Z954" s="133"/>
      <c r="AA954" s="133"/>
      <c r="AB954" s="133"/>
      <c r="AC954" s="133"/>
      <c r="AD954" s="133"/>
      <c r="AE954" s="133"/>
      <c r="AF954" s="133"/>
      <c r="AG954" s="133"/>
      <c r="AH954" s="133"/>
      <c r="AI954" s="133"/>
      <c r="AJ954" s="133"/>
      <c r="AK954" s="133"/>
      <c r="AL954" s="133"/>
      <c r="AM954" s="133"/>
      <c r="AN954" s="133"/>
      <c r="AO954" s="133"/>
      <c r="AP954" s="133"/>
      <c r="AQ954" s="133"/>
      <c r="AR954" s="133"/>
      <c r="AS954" s="153">
        <v>0</v>
      </c>
      <c r="AT954" s="153">
        <v>0</v>
      </c>
      <c r="AU954" s="153">
        <v>0</v>
      </c>
      <c r="AV954" s="153">
        <v>0</v>
      </c>
      <c r="AW954" s="153">
        <v>0</v>
      </c>
      <c r="AX954" s="153">
        <v>0</v>
      </c>
      <c r="AY954" s="135"/>
      <c r="AZ954" s="135"/>
      <c r="BA954" s="135"/>
      <c r="BB954" s="135"/>
      <c r="BC954" s="135"/>
      <c r="BD954" s="135"/>
      <c r="BE954" s="135"/>
      <c r="BF954" s="135"/>
      <c r="BG954" s="135"/>
      <c r="BH954" s="135"/>
      <c r="BI954" s="2" t="s">
        <v>112</v>
      </c>
      <c r="BJ954" s="136">
        <v>45398</v>
      </c>
      <c r="BK954" s="2" t="s">
        <v>145</v>
      </c>
      <c r="BL954" s="136" t="s">
        <v>113</v>
      </c>
      <c r="BM954" s="136">
        <v>45306</v>
      </c>
      <c r="BN954" s="2" t="s">
        <v>3188</v>
      </c>
      <c r="BO954" s="2"/>
      <c r="BP954" s="136"/>
      <c r="BQ954" s="137"/>
      <c r="BR954" s="138"/>
    </row>
    <row r="955" spans="1:70" ht="12.75" customHeight="1" x14ac:dyDescent="0.2">
      <c r="A955" s="2">
        <v>2444</v>
      </c>
      <c r="B955" s="2" t="s">
        <v>44</v>
      </c>
      <c r="C955" s="2" t="s">
        <v>52</v>
      </c>
      <c r="D955" s="2" t="s">
        <v>3191</v>
      </c>
      <c r="E955" s="2" t="s">
        <v>1853</v>
      </c>
      <c r="F955" s="132">
        <v>5876.5</v>
      </c>
      <c r="G955" s="132"/>
      <c r="H955" s="132">
        <f>3358*1.75</f>
        <v>5876.5</v>
      </c>
      <c r="I955" s="132"/>
      <c r="J955" s="132">
        <v>5876.5</v>
      </c>
      <c r="K955" s="132">
        <f t="shared" si="95"/>
        <v>0</v>
      </c>
      <c r="L955" s="132">
        <f t="shared" si="91"/>
        <v>0</v>
      </c>
      <c r="M955" s="133"/>
      <c r="N955" s="133">
        <f t="shared" si="94"/>
        <v>0</v>
      </c>
      <c r="O955" s="134">
        <v>0</v>
      </c>
      <c r="P955" s="133"/>
      <c r="Q955" s="2" t="s">
        <v>2202</v>
      </c>
      <c r="R955" s="156">
        <f t="shared" si="92"/>
        <v>0</v>
      </c>
      <c r="S955" s="156">
        <f t="shared" si="93"/>
        <v>0</v>
      </c>
      <c r="T955" s="133"/>
      <c r="U955" s="133"/>
      <c r="V955" s="133"/>
      <c r="W955" s="133"/>
      <c r="X955" s="133"/>
      <c r="Y955" s="133"/>
      <c r="Z955" s="133"/>
      <c r="AA955" s="133"/>
      <c r="AB955" s="133"/>
      <c r="AC955" s="133"/>
      <c r="AD955" s="133"/>
      <c r="AE955" s="133"/>
      <c r="AF955" s="133"/>
      <c r="AG955" s="133"/>
      <c r="AH955" s="133"/>
      <c r="AI955" s="133"/>
      <c r="AJ955" s="133"/>
      <c r="AK955" s="133"/>
      <c r="AL955" s="133"/>
      <c r="AM955" s="133"/>
      <c r="AN955" s="133"/>
      <c r="AO955" s="133"/>
      <c r="AP955" s="133"/>
      <c r="AQ955" s="133"/>
      <c r="AR955" s="133"/>
      <c r="AS955" s="153">
        <v>0</v>
      </c>
      <c r="AT955" s="153">
        <v>0</v>
      </c>
      <c r="AU955" s="153">
        <v>0</v>
      </c>
      <c r="AV955" s="153">
        <v>0</v>
      </c>
      <c r="AW955" s="153">
        <v>0</v>
      </c>
      <c r="AX955" s="153">
        <v>0</v>
      </c>
      <c r="AY955" s="135"/>
      <c r="AZ955" s="135"/>
      <c r="BA955" s="135"/>
      <c r="BB955" s="135"/>
      <c r="BC955" s="135"/>
      <c r="BD955" s="135"/>
      <c r="BE955" s="135"/>
      <c r="BF955" s="135"/>
      <c r="BG955" s="135"/>
      <c r="BH955" s="135"/>
      <c r="BI955" s="2" t="s">
        <v>112</v>
      </c>
      <c r="BJ955" s="136">
        <v>45601</v>
      </c>
      <c r="BK955" s="2" t="s">
        <v>145</v>
      </c>
      <c r="BL955" s="136" t="s">
        <v>113</v>
      </c>
      <c r="BM955" s="136">
        <v>45306</v>
      </c>
      <c r="BN955" s="2" t="s">
        <v>3189</v>
      </c>
      <c r="BO955" s="2"/>
      <c r="BP955" s="136"/>
      <c r="BQ955" s="137" t="s">
        <v>134</v>
      </c>
      <c r="BR955" s="138"/>
    </row>
    <row r="956" spans="1:70" ht="12.75" customHeight="1" x14ac:dyDescent="0.2">
      <c r="A956" s="2">
        <v>2445</v>
      </c>
      <c r="B956" s="2" t="s">
        <v>31</v>
      </c>
      <c r="C956" s="2" t="s">
        <v>38</v>
      </c>
      <c r="D956" s="2" t="s">
        <v>3194</v>
      </c>
      <c r="E956" s="2" t="s">
        <v>110</v>
      </c>
      <c r="F956" s="132">
        <v>15454.25</v>
      </c>
      <c r="G956" s="132">
        <v>2</v>
      </c>
      <c r="H956" s="132">
        <f>8831*1.75</f>
        <v>15454.25</v>
      </c>
      <c r="I956" s="132"/>
      <c r="J956" s="132">
        <v>15454.25</v>
      </c>
      <c r="K956" s="132">
        <f t="shared" si="95"/>
        <v>0</v>
      </c>
      <c r="L956" s="132">
        <f t="shared" si="91"/>
        <v>0</v>
      </c>
      <c r="M956" s="133"/>
      <c r="N956" s="133">
        <f t="shared" si="94"/>
        <v>0</v>
      </c>
      <c r="O956" s="134">
        <v>0</v>
      </c>
      <c r="P956" s="133"/>
      <c r="Q956" s="2" t="s">
        <v>2261</v>
      </c>
      <c r="R956" s="156">
        <f t="shared" si="92"/>
        <v>0</v>
      </c>
      <c r="S956" s="156">
        <f t="shared" si="93"/>
        <v>0</v>
      </c>
      <c r="T956" s="133"/>
      <c r="U956" s="133"/>
      <c r="V956" s="133"/>
      <c r="W956" s="133"/>
      <c r="X956" s="133"/>
      <c r="Y956" s="133"/>
      <c r="Z956" s="133"/>
      <c r="AA956" s="133"/>
      <c r="AB956" s="133"/>
      <c r="AC956" s="133"/>
      <c r="AD956" s="133"/>
      <c r="AE956" s="133"/>
      <c r="AF956" s="133"/>
      <c r="AG956" s="133"/>
      <c r="AH956" s="133"/>
      <c r="AI956" s="133"/>
      <c r="AJ956" s="133"/>
      <c r="AK956" s="133"/>
      <c r="AL956" s="133"/>
      <c r="AM956" s="133"/>
      <c r="AN956" s="133"/>
      <c r="AO956" s="133"/>
      <c r="AP956" s="133"/>
      <c r="AQ956" s="133"/>
      <c r="AR956" s="133"/>
      <c r="AS956" s="153">
        <v>0</v>
      </c>
      <c r="AT956" s="153">
        <v>0</v>
      </c>
      <c r="AU956" s="153">
        <v>0</v>
      </c>
      <c r="AV956" s="153">
        <v>0</v>
      </c>
      <c r="AW956" s="153">
        <v>0</v>
      </c>
      <c r="AX956" s="153">
        <v>0</v>
      </c>
      <c r="AY956" s="135"/>
      <c r="AZ956" s="135"/>
      <c r="BA956" s="135"/>
      <c r="BB956" s="135"/>
      <c r="BC956" s="135"/>
      <c r="BD956" s="135"/>
      <c r="BE956" s="135"/>
      <c r="BF956" s="135"/>
      <c r="BG956" s="135"/>
      <c r="BH956" s="135"/>
      <c r="BI956" s="2" t="s">
        <v>112</v>
      </c>
      <c r="BJ956" s="136">
        <v>45446</v>
      </c>
      <c r="BK956" s="2" t="s">
        <v>145</v>
      </c>
      <c r="BL956" s="136" t="s">
        <v>113</v>
      </c>
      <c r="BM956" s="136">
        <v>45309</v>
      </c>
      <c r="BN956" s="2" t="s">
        <v>3233</v>
      </c>
      <c r="BO956" s="2"/>
      <c r="BP956" s="136"/>
      <c r="BQ956" s="137" t="s">
        <v>134</v>
      </c>
      <c r="BR956" s="138"/>
    </row>
    <row r="957" spans="1:70" ht="12.75" customHeight="1" x14ac:dyDescent="0.2">
      <c r="A957" s="2">
        <v>2446</v>
      </c>
      <c r="B957" s="2" t="s">
        <v>31</v>
      </c>
      <c r="C957" s="2" t="s">
        <v>37</v>
      </c>
      <c r="D957" s="2" t="s">
        <v>3195</v>
      </c>
      <c r="E957" s="2" t="s">
        <v>110</v>
      </c>
      <c r="F957" s="132">
        <v>0</v>
      </c>
      <c r="G957" s="132">
        <v>2</v>
      </c>
      <c r="H957" s="132"/>
      <c r="I957" s="132"/>
      <c r="J957" s="132"/>
      <c r="K957" s="132">
        <f t="shared" si="95"/>
        <v>0</v>
      </c>
      <c r="L957" s="132">
        <f t="shared" si="91"/>
        <v>0</v>
      </c>
      <c r="M957" s="133"/>
      <c r="N957" s="133">
        <f t="shared" si="94"/>
        <v>0</v>
      </c>
      <c r="O957" s="134">
        <v>2</v>
      </c>
      <c r="P957" s="133"/>
      <c r="Q957" s="2" t="s">
        <v>2263</v>
      </c>
      <c r="R957" s="156">
        <f t="shared" si="92"/>
        <v>0</v>
      </c>
      <c r="S957" s="156">
        <f t="shared" si="93"/>
        <v>0</v>
      </c>
      <c r="T957" s="133"/>
      <c r="U957" s="133"/>
      <c r="V957" s="133"/>
      <c r="W957" s="133"/>
      <c r="X957" s="133"/>
      <c r="Y957" s="133"/>
      <c r="Z957" s="133"/>
      <c r="AA957" s="133"/>
      <c r="AB957" s="133"/>
      <c r="AC957" s="133"/>
      <c r="AD957" s="133"/>
      <c r="AE957" s="133"/>
      <c r="AF957" s="133"/>
      <c r="AG957" s="133"/>
      <c r="AH957" s="133"/>
      <c r="AI957" s="133"/>
      <c r="AJ957" s="133"/>
      <c r="AK957" s="133"/>
      <c r="AL957" s="133"/>
      <c r="AM957" s="133"/>
      <c r="AN957" s="133"/>
      <c r="AO957" s="133"/>
      <c r="AP957" s="133"/>
      <c r="AQ957" s="133"/>
      <c r="AR957" s="133"/>
      <c r="AS957" s="153">
        <v>0</v>
      </c>
      <c r="AT957" s="153">
        <v>0</v>
      </c>
      <c r="AU957" s="153">
        <v>0</v>
      </c>
      <c r="AV957" s="153">
        <v>0</v>
      </c>
      <c r="AW957" s="153">
        <v>0</v>
      </c>
      <c r="AX957" s="153">
        <v>0</v>
      </c>
      <c r="AY957" s="135"/>
      <c r="AZ957" s="135"/>
      <c r="BA957" s="135"/>
      <c r="BB957" s="135"/>
      <c r="BC957" s="135"/>
      <c r="BD957" s="135"/>
      <c r="BE957" s="135"/>
      <c r="BF957" s="135"/>
      <c r="BG957" s="135"/>
      <c r="BH957" s="135"/>
      <c r="BI957" s="2" t="s">
        <v>112</v>
      </c>
      <c r="BJ957" s="136"/>
      <c r="BK957" s="2">
        <v>0</v>
      </c>
      <c r="BL957" s="136" t="s">
        <v>113</v>
      </c>
      <c r="BM957" s="136">
        <v>45309</v>
      </c>
      <c r="BN957" s="2" t="s">
        <v>3234</v>
      </c>
      <c r="BO957" s="2"/>
      <c r="BP957" s="136"/>
      <c r="BQ957" s="137"/>
      <c r="BR957" s="138"/>
    </row>
    <row r="958" spans="1:70" ht="12.75" customHeight="1" x14ac:dyDescent="0.2">
      <c r="A958" s="2">
        <v>2447</v>
      </c>
      <c r="B958" s="2" t="s">
        <v>31</v>
      </c>
      <c r="C958" s="2" t="s">
        <v>37</v>
      </c>
      <c r="D958" s="2" t="s">
        <v>3196</v>
      </c>
      <c r="E958" s="2" t="s">
        <v>110</v>
      </c>
      <c r="F958" s="132">
        <f>1892*1.75</f>
        <v>3311</v>
      </c>
      <c r="G958" s="132">
        <v>2</v>
      </c>
      <c r="H958" s="132">
        <f>1892*1.75</f>
        <v>3311</v>
      </c>
      <c r="I958" s="132"/>
      <c r="J958" s="132">
        <v>3311</v>
      </c>
      <c r="K958" s="132">
        <f t="shared" si="95"/>
        <v>0</v>
      </c>
      <c r="L958" s="132">
        <f t="shared" si="91"/>
        <v>0</v>
      </c>
      <c r="M958" s="133"/>
      <c r="N958" s="133">
        <f t="shared" si="94"/>
        <v>0</v>
      </c>
      <c r="O958" s="134">
        <v>0</v>
      </c>
      <c r="P958" s="133"/>
      <c r="Q958" s="2" t="s">
        <v>2264</v>
      </c>
      <c r="R958" s="156">
        <f t="shared" si="92"/>
        <v>0</v>
      </c>
      <c r="S958" s="156">
        <f t="shared" si="93"/>
        <v>0</v>
      </c>
      <c r="T958" s="133"/>
      <c r="U958" s="133"/>
      <c r="V958" s="133"/>
      <c r="W958" s="133"/>
      <c r="X958" s="133"/>
      <c r="Y958" s="133"/>
      <c r="Z958" s="133"/>
      <c r="AA958" s="133"/>
      <c r="AB958" s="133"/>
      <c r="AC958" s="133"/>
      <c r="AD958" s="133"/>
      <c r="AE958" s="133"/>
      <c r="AF958" s="133"/>
      <c r="AG958" s="133"/>
      <c r="AH958" s="133"/>
      <c r="AI958" s="133"/>
      <c r="AJ958" s="133"/>
      <c r="AK958" s="133"/>
      <c r="AL958" s="133"/>
      <c r="AM958" s="133"/>
      <c r="AN958" s="133"/>
      <c r="AO958" s="133"/>
      <c r="AP958" s="133"/>
      <c r="AQ958" s="133"/>
      <c r="AR958" s="133"/>
      <c r="AS958" s="153">
        <v>0</v>
      </c>
      <c r="AT958" s="153">
        <v>0</v>
      </c>
      <c r="AU958" s="153">
        <v>0</v>
      </c>
      <c r="AV958" s="153">
        <v>0</v>
      </c>
      <c r="AW958" s="153">
        <v>0</v>
      </c>
      <c r="AX958" s="153">
        <v>0</v>
      </c>
      <c r="AY958" s="153"/>
      <c r="AZ958" s="135"/>
      <c r="BA958" s="135"/>
      <c r="BB958" s="135"/>
      <c r="BC958" s="135"/>
      <c r="BD958" s="135"/>
      <c r="BE958" s="135"/>
      <c r="BF958" s="135"/>
      <c r="BG958" s="135"/>
      <c r="BH958" s="135"/>
      <c r="BI958" s="2" t="s">
        <v>112</v>
      </c>
      <c r="BJ958" s="136">
        <v>45449</v>
      </c>
      <c r="BK958" s="2" t="s">
        <v>145</v>
      </c>
      <c r="BL958" s="136" t="s">
        <v>113</v>
      </c>
      <c r="BM958" s="136">
        <v>45309</v>
      </c>
      <c r="BN958" s="2" t="s">
        <v>3235</v>
      </c>
      <c r="BO958" s="2"/>
      <c r="BP958" s="136"/>
      <c r="BQ958" s="137" t="s">
        <v>134</v>
      </c>
      <c r="BR958" s="138"/>
    </row>
    <row r="959" spans="1:70" ht="12.75" customHeight="1" x14ac:dyDescent="0.2">
      <c r="A959" s="2">
        <v>2448</v>
      </c>
      <c r="B959" s="2" t="s">
        <v>31</v>
      </c>
      <c r="C959" s="2" t="s">
        <v>35</v>
      </c>
      <c r="D959" s="2" t="s">
        <v>3197</v>
      </c>
      <c r="E959" s="2" t="s">
        <v>110</v>
      </c>
      <c r="F959" s="132">
        <v>5146.75</v>
      </c>
      <c r="G959" s="132">
        <v>2</v>
      </c>
      <c r="H959" s="132">
        <f>2941*1.75</f>
        <v>5146.75</v>
      </c>
      <c r="I959" s="132"/>
      <c r="J959" s="132">
        <v>5146.75</v>
      </c>
      <c r="K959" s="132">
        <f t="shared" si="95"/>
        <v>0</v>
      </c>
      <c r="L959" s="132">
        <f t="shared" si="91"/>
        <v>0</v>
      </c>
      <c r="M959" s="133"/>
      <c r="N959" s="133">
        <f t="shared" si="94"/>
        <v>0</v>
      </c>
      <c r="O959" s="134">
        <v>0</v>
      </c>
      <c r="P959" s="133"/>
      <c r="Q959" s="2" t="s">
        <v>2266</v>
      </c>
      <c r="R959" s="156">
        <f t="shared" si="92"/>
        <v>0</v>
      </c>
      <c r="S959" s="156">
        <f t="shared" si="93"/>
        <v>0</v>
      </c>
      <c r="T959" s="133"/>
      <c r="U959" s="133"/>
      <c r="V959" s="133"/>
      <c r="W959" s="133"/>
      <c r="X959" s="133"/>
      <c r="Y959" s="133"/>
      <c r="Z959" s="133"/>
      <c r="AA959" s="133"/>
      <c r="AB959" s="133"/>
      <c r="AC959" s="133"/>
      <c r="AD959" s="133"/>
      <c r="AE959" s="133"/>
      <c r="AF959" s="133"/>
      <c r="AG959" s="133"/>
      <c r="AH959" s="133"/>
      <c r="AI959" s="133"/>
      <c r="AJ959" s="133"/>
      <c r="AK959" s="133"/>
      <c r="AL959" s="133"/>
      <c r="AM959" s="133"/>
      <c r="AN959" s="133"/>
      <c r="AO959" s="133"/>
      <c r="AP959" s="133"/>
      <c r="AQ959" s="133"/>
      <c r="AR959" s="133"/>
      <c r="AS959" s="153">
        <v>0</v>
      </c>
      <c r="AT959" s="153">
        <v>0</v>
      </c>
      <c r="AU959" s="153">
        <v>0</v>
      </c>
      <c r="AV959" s="153">
        <v>0</v>
      </c>
      <c r="AW959" s="153">
        <v>0</v>
      </c>
      <c r="AX959" s="153">
        <v>0</v>
      </c>
      <c r="AY959" s="135"/>
      <c r="AZ959" s="135"/>
      <c r="BA959" s="135"/>
      <c r="BB959" s="135"/>
      <c r="BC959" s="135"/>
      <c r="BD959" s="135"/>
      <c r="BE959" s="135"/>
      <c r="BF959" s="135"/>
      <c r="BG959" s="135"/>
      <c r="BH959" s="135"/>
      <c r="BI959" s="2" t="s">
        <v>112</v>
      </c>
      <c r="BJ959" s="136">
        <v>45572</v>
      </c>
      <c r="BK959" s="2" t="s">
        <v>145</v>
      </c>
      <c r="BL959" s="136" t="s">
        <v>113</v>
      </c>
      <c r="BM959" s="136">
        <v>45309</v>
      </c>
      <c r="BN959" s="2" t="s">
        <v>3236</v>
      </c>
      <c r="BO959" s="2"/>
      <c r="BP959" s="136"/>
      <c r="BQ959" s="137"/>
      <c r="BR959" s="138"/>
    </row>
    <row r="960" spans="1:70" ht="12.75" customHeight="1" x14ac:dyDescent="0.2">
      <c r="A960" s="2">
        <v>2449</v>
      </c>
      <c r="B960" s="2" t="s">
        <v>54</v>
      </c>
      <c r="C960" s="2" t="s">
        <v>17</v>
      </c>
      <c r="D960" s="2" t="s">
        <v>3198</v>
      </c>
      <c r="E960" s="2" t="s">
        <v>110</v>
      </c>
      <c r="F960" s="132">
        <v>26528.25</v>
      </c>
      <c r="G960" s="132">
        <v>2</v>
      </c>
      <c r="H960" s="132">
        <f>15159*1.75</f>
        <v>26528.25</v>
      </c>
      <c r="I960" s="132"/>
      <c r="J960" s="132">
        <v>26528.25</v>
      </c>
      <c r="K960" s="132">
        <f t="shared" si="95"/>
        <v>0</v>
      </c>
      <c r="L960" s="132">
        <f t="shared" si="91"/>
        <v>0</v>
      </c>
      <c r="M960" s="133"/>
      <c r="N960" s="133">
        <f t="shared" si="94"/>
        <v>0</v>
      </c>
      <c r="O960" s="134">
        <v>0</v>
      </c>
      <c r="P960" s="133"/>
      <c r="Q960" s="2" t="s">
        <v>2574</v>
      </c>
      <c r="R960" s="156">
        <f t="shared" si="92"/>
        <v>0</v>
      </c>
      <c r="S960" s="156">
        <f t="shared" si="93"/>
        <v>0</v>
      </c>
      <c r="T960" s="133"/>
      <c r="U960" s="133"/>
      <c r="V960" s="133"/>
      <c r="W960" s="133"/>
      <c r="X960" s="133"/>
      <c r="Y960" s="133"/>
      <c r="Z960" s="133"/>
      <c r="AA960" s="133"/>
      <c r="AB960" s="133"/>
      <c r="AC960" s="133"/>
      <c r="AD960" s="133"/>
      <c r="AE960" s="133"/>
      <c r="AF960" s="133"/>
      <c r="AG960" s="133"/>
      <c r="AH960" s="133"/>
      <c r="AI960" s="133"/>
      <c r="AJ960" s="133"/>
      <c r="AK960" s="133"/>
      <c r="AL960" s="133"/>
      <c r="AM960" s="133"/>
      <c r="AN960" s="133"/>
      <c r="AO960" s="133"/>
      <c r="AP960" s="133"/>
      <c r="AQ960" s="133"/>
      <c r="AR960" s="133"/>
      <c r="AS960" s="153">
        <v>0</v>
      </c>
      <c r="AT960" s="153">
        <v>0</v>
      </c>
      <c r="AU960" s="153">
        <v>0</v>
      </c>
      <c r="AV960" s="153">
        <v>0</v>
      </c>
      <c r="AW960" s="153">
        <v>0</v>
      </c>
      <c r="AX960" s="153">
        <v>0</v>
      </c>
      <c r="AY960" s="135"/>
      <c r="AZ960" s="135"/>
      <c r="BA960" s="135"/>
      <c r="BB960" s="135"/>
      <c r="BC960" s="135"/>
      <c r="BD960" s="135"/>
      <c r="BE960" s="135"/>
      <c r="BF960" s="135"/>
      <c r="BG960" s="135"/>
      <c r="BH960" s="135"/>
      <c r="BI960" s="2" t="s">
        <v>112</v>
      </c>
      <c r="BJ960" s="136">
        <v>45581</v>
      </c>
      <c r="BK960" s="2" t="s">
        <v>145</v>
      </c>
      <c r="BL960" s="136" t="s">
        <v>113</v>
      </c>
      <c r="BM960" s="136">
        <v>45309</v>
      </c>
      <c r="BN960" s="2" t="s">
        <v>3237</v>
      </c>
      <c r="BO960" s="2"/>
      <c r="BP960" s="136"/>
      <c r="BQ960" s="137"/>
      <c r="BR960" s="138"/>
    </row>
    <row r="961" spans="1:70" ht="12.75" customHeight="1" x14ac:dyDescent="0.2">
      <c r="A961" s="2">
        <v>2450</v>
      </c>
      <c r="B961" s="2" t="s">
        <v>31</v>
      </c>
      <c r="C961" s="2" t="s">
        <v>34</v>
      </c>
      <c r="D961" s="2" t="s">
        <v>3199</v>
      </c>
      <c r="E961" s="2" t="s">
        <v>110</v>
      </c>
      <c r="F961" s="132">
        <v>4221</v>
      </c>
      <c r="G961" s="132">
        <v>2</v>
      </c>
      <c r="H961" s="132">
        <f>2412*1.75</f>
        <v>4221</v>
      </c>
      <c r="I961" s="132"/>
      <c r="J961" s="132">
        <v>4221</v>
      </c>
      <c r="K961" s="132">
        <f t="shared" si="95"/>
        <v>0</v>
      </c>
      <c r="L961" s="132">
        <f t="shared" si="91"/>
        <v>0</v>
      </c>
      <c r="M961" s="133"/>
      <c r="N961" s="133">
        <f t="shared" si="94"/>
        <v>0</v>
      </c>
      <c r="O961" s="134">
        <v>0</v>
      </c>
      <c r="P961" s="133"/>
      <c r="Q961" s="2" t="s">
        <v>2575</v>
      </c>
      <c r="R961" s="156">
        <f t="shared" si="92"/>
        <v>0</v>
      </c>
      <c r="S961" s="156">
        <f t="shared" si="93"/>
        <v>0</v>
      </c>
      <c r="T961" s="133"/>
      <c r="U961" s="133"/>
      <c r="V961" s="133"/>
      <c r="W961" s="133"/>
      <c r="X961" s="133"/>
      <c r="Y961" s="133"/>
      <c r="Z961" s="133"/>
      <c r="AA961" s="133"/>
      <c r="AB961" s="133"/>
      <c r="AC961" s="133"/>
      <c r="AD961" s="133"/>
      <c r="AE961" s="133"/>
      <c r="AF961" s="133"/>
      <c r="AG961" s="133"/>
      <c r="AH961" s="133"/>
      <c r="AI961" s="133"/>
      <c r="AJ961" s="133"/>
      <c r="AK961" s="133"/>
      <c r="AL961" s="133"/>
      <c r="AM961" s="133"/>
      <c r="AN961" s="133"/>
      <c r="AO961" s="133"/>
      <c r="AP961" s="133"/>
      <c r="AQ961" s="133"/>
      <c r="AR961" s="133"/>
      <c r="AS961" s="153">
        <v>0</v>
      </c>
      <c r="AT961" s="153">
        <v>0</v>
      </c>
      <c r="AU961" s="153">
        <v>0</v>
      </c>
      <c r="AV961" s="153">
        <v>0</v>
      </c>
      <c r="AW961" s="153">
        <v>0</v>
      </c>
      <c r="AX961" s="153">
        <v>0</v>
      </c>
      <c r="AY961" s="135"/>
      <c r="AZ961" s="135"/>
      <c r="BA961" s="135"/>
      <c r="BB961" s="135"/>
      <c r="BC961" s="135"/>
      <c r="BD961" s="135"/>
      <c r="BE961" s="135"/>
      <c r="BF961" s="135"/>
      <c r="BG961" s="135"/>
      <c r="BH961" s="135"/>
      <c r="BI961" s="2" t="s">
        <v>112</v>
      </c>
      <c r="BJ961" s="136">
        <v>45449</v>
      </c>
      <c r="BK961" s="2" t="s">
        <v>145</v>
      </c>
      <c r="BL961" s="136" t="s">
        <v>113</v>
      </c>
      <c r="BM961" s="136">
        <v>45309</v>
      </c>
      <c r="BN961" s="2" t="s">
        <v>3238</v>
      </c>
      <c r="BO961" s="2"/>
      <c r="BP961" s="136"/>
      <c r="BQ961" s="137" t="s">
        <v>134</v>
      </c>
      <c r="BR961" s="138"/>
    </row>
    <row r="962" spans="1:70" ht="12.75" customHeight="1" x14ac:dyDescent="0.2">
      <c r="A962" s="2">
        <v>2451</v>
      </c>
      <c r="B962" s="2" t="s">
        <v>31</v>
      </c>
      <c r="C962" s="2" t="s">
        <v>32</v>
      </c>
      <c r="D962" s="2" t="s">
        <v>3200</v>
      </c>
      <c r="E962" s="2" t="s">
        <v>110</v>
      </c>
      <c r="F962" s="132">
        <v>0</v>
      </c>
      <c r="G962" s="132">
        <v>2</v>
      </c>
      <c r="H962" s="132"/>
      <c r="I962" s="132"/>
      <c r="J962" s="132"/>
      <c r="K962" s="132">
        <f t="shared" si="95"/>
        <v>0</v>
      </c>
      <c r="L962" s="132">
        <f t="shared" si="91"/>
        <v>0</v>
      </c>
      <c r="M962" s="133"/>
      <c r="N962" s="133">
        <f t="shared" si="94"/>
        <v>0</v>
      </c>
      <c r="O962" s="134">
        <v>2</v>
      </c>
      <c r="P962" s="133"/>
      <c r="Q962" s="2" t="s">
        <v>2576</v>
      </c>
      <c r="R962" s="156">
        <f t="shared" si="92"/>
        <v>0</v>
      </c>
      <c r="S962" s="156">
        <f t="shared" si="93"/>
        <v>0</v>
      </c>
      <c r="T962" s="133"/>
      <c r="U962" s="133"/>
      <c r="V962" s="133"/>
      <c r="W962" s="133"/>
      <c r="X962" s="133"/>
      <c r="Y962" s="133"/>
      <c r="Z962" s="133"/>
      <c r="AA962" s="133"/>
      <c r="AB962" s="133"/>
      <c r="AC962" s="133"/>
      <c r="AD962" s="133"/>
      <c r="AE962" s="133"/>
      <c r="AF962" s="133"/>
      <c r="AG962" s="133"/>
      <c r="AH962" s="133"/>
      <c r="AI962" s="133"/>
      <c r="AJ962" s="133"/>
      <c r="AK962" s="133"/>
      <c r="AL962" s="133"/>
      <c r="AM962" s="133"/>
      <c r="AN962" s="133"/>
      <c r="AO962" s="133"/>
      <c r="AP962" s="133"/>
      <c r="AQ962" s="133"/>
      <c r="AR962" s="133"/>
      <c r="AS962" s="153">
        <v>0</v>
      </c>
      <c r="AT962" s="153">
        <v>0</v>
      </c>
      <c r="AU962" s="153">
        <v>0</v>
      </c>
      <c r="AV962" s="153">
        <v>0</v>
      </c>
      <c r="AW962" s="153">
        <v>0</v>
      </c>
      <c r="AX962" s="153">
        <v>0</v>
      </c>
      <c r="AY962" s="135"/>
      <c r="AZ962" s="135"/>
      <c r="BA962" s="135"/>
      <c r="BB962" s="135"/>
      <c r="BC962" s="135"/>
      <c r="BD962" s="135"/>
      <c r="BE962" s="135"/>
      <c r="BF962" s="135"/>
      <c r="BG962" s="135"/>
      <c r="BH962" s="135"/>
      <c r="BI962" s="2" t="s">
        <v>112</v>
      </c>
      <c r="BJ962" s="136"/>
      <c r="BK962" s="2">
        <v>0</v>
      </c>
      <c r="BL962" s="136" t="s">
        <v>113</v>
      </c>
      <c r="BM962" s="136">
        <v>45309</v>
      </c>
      <c r="BN962" s="2" t="s">
        <v>3239</v>
      </c>
      <c r="BO962" s="2"/>
      <c r="BP962" s="136"/>
      <c r="BQ962" s="137"/>
      <c r="BR962" s="138"/>
    </row>
    <row r="963" spans="1:70" ht="12.75" customHeight="1" x14ac:dyDescent="0.2">
      <c r="A963" s="2">
        <v>2452</v>
      </c>
      <c r="B963" s="2" t="s">
        <v>31</v>
      </c>
      <c r="C963" s="2" t="s">
        <v>32</v>
      </c>
      <c r="D963" s="2" t="s">
        <v>3201</v>
      </c>
      <c r="E963" s="2" t="s">
        <v>110</v>
      </c>
      <c r="F963" s="132">
        <v>23567.25</v>
      </c>
      <c r="G963" s="132">
        <v>2</v>
      </c>
      <c r="H963" s="132">
        <f>13467*1.75</f>
        <v>23567.25</v>
      </c>
      <c r="I963" s="132"/>
      <c r="J963" s="132">
        <v>23567.25</v>
      </c>
      <c r="K963" s="132">
        <f t="shared" si="95"/>
        <v>0</v>
      </c>
      <c r="L963" s="132">
        <f t="shared" si="91"/>
        <v>0</v>
      </c>
      <c r="M963" s="133"/>
      <c r="N963" s="133">
        <f t="shared" si="94"/>
        <v>0</v>
      </c>
      <c r="O963" s="134">
        <v>0</v>
      </c>
      <c r="P963" s="133"/>
      <c r="Q963" s="2" t="s">
        <v>2577</v>
      </c>
      <c r="R963" s="156">
        <f t="shared" si="92"/>
        <v>0</v>
      </c>
      <c r="S963" s="156">
        <f t="shared" si="93"/>
        <v>0</v>
      </c>
      <c r="T963" s="133"/>
      <c r="U963" s="133"/>
      <c r="V963" s="133"/>
      <c r="W963" s="133"/>
      <c r="X963" s="133"/>
      <c r="Y963" s="133"/>
      <c r="Z963" s="133"/>
      <c r="AA963" s="133"/>
      <c r="AB963" s="133"/>
      <c r="AC963" s="133"/>
      <c r="AD963" s="133"/>
      <c r="AE963" s="133"/>
      <c r="AF963" s="133"/>
      <c r="AG963" s="133"/>
      <c r="AH963" s="133"/>
      <c r="AI963" s="133"/>
      <c r="AJ963" s="133"/>
      <c r="AK963" s="133"/>
      <c r="AL963" s="133"/>
      <c r="AM963" s="133"/>
      <c r="AN963" s="133"/>
      <c r="AO963" s="133"/>
      <c r="AP963" s="133"/>
      <c r="AQ963" s="133"/>
      <c r="AR963" s="133"/>
      <c r="AS963" s="153">
        <v>0</v>
      </c>
      <c r="AT963" s="153">
        <v>0</v>
      </c>
      <c r="AU963" s="153">
        <v>0</v>
      </c>
      <c r="AV963" s="153">
        <v>0</v>
      </c>
      <c r="AW963" s="153">
        <v>0</v>
      </c>
      <c r="AX963" s="153">
        <v>0</v>
      </c>
      <c r="AY963" s="135"/>
      <c r="AZ963" s="135"/>
      <c r="BA963" s="135"/>
      <c r="BB963" s="135"/>
      <c r="BC963" s="135"/>
      <c r="BD963" s="135"/>
      <c r="BE963" s="135"/>
      <c r="BF963" s="135"/>
      <c r="BG963" s="135"/>
      <c r="BH963" s="135"/>
      <c r="BI963" s="2" t="s">
        <v>112</v>
      </c>
      <c r="BJ963" s="136">
        <v>45581</v>
      </c>
      <c r="BK963" s="2" t="s">
        <v>145</v>
      </c>
      <c r="BL963" s="136" t="s">
        <v>113</v>
      </c>
      <c r="BM963" s="136">
        <v>45309</v>
      </c>
      <c r="BN963" s="2" t="s">
        <v>3240</v>
      </c>
      <c r="BO963" s="2"/>
      <c r="BP963" s="136"/>
      <c r="BQ963" s="137"/>
      <c r="BR963" s="138"/>
    </row>
    <row r="964" spans="1:70" ht="12.75" customHeight="1" x14ac:dyDescent="0.2">
      <c r="A964" s="2">
        <v>2453</v>
      </c>
      <c r="B964" s="2" t="s">
        <v>54</v>
      </c>
      <c r="C964" s="2" t="s">
        <v>50</v>
      </c>
      <c r="D964" s="2" t="s">
        <v>3202</v>
      </c>
      <c r="E964" s="2" t="s">
        <v>110</v>
      </c>
      <c r="F964" s="132">
        <v>0</v>
      </c>
      <c r="G964" s="132">
        <v>2</v>
      </c>
      <c r="H964" s="132"/>
      <c r="I964" s="132"/>
      <c r="J964" s="132"/>
      <c r="K964" s="132">
        <f t="shared" si="95"/>
        <v>0</v>
      </c>
      <c r="L964" s="132">
        <f t="shared" si="91"/>
        <v>0</v>
      </c>
      <c r="M964" s="133"/>
      <c r="N964" s="133">
        <f t="shared" si="94"/>
        <v>0</v>
      </c>
      <c r="O964" s="134">
        <v>2</v>
      </c>
      <c r="P964" s="133"/>
      <c r="Q964" s="2" t="s">
        <v>2578</v>
      </c>
      <c r="R964" s="156">
        <f t="shared" si="92"/>
        <v>0</v>
      </c>
      <c r="S964" s="156">
        <f t="shared" si="93"/>
        <v>0</v>
      </c>
      <c r="T964" s="133"/>
      <c r="U964" s="133"/>
      <c r="V964" s="133"/>
      <c r="W964" s="133"/>
      <c r="X964" s="133"/>
      <c r="Y964" s="133"/>
      <c r="Z964" s="133"/>
      <c r="AA964" s="133"/>
      <c r="AB964" s="133"/>
      <c r="AC964" s="133"/>
      <c r="AD964" s="133"/>
      <c r="AE964" s="133"/>
      <c r="AF964" s="133"/>
      <c r="AG964" s="133"/>
      <c r="AH964" s="133"/>
      <c r="AI964" s="133"/>
      <c r="AJ964" s="133"/>
      <c r="AK964" s="133"/>
      <c r="AL964" s="133"/>
      <c r="AM964" s="133"/>
      <c r="AN964" s="133"/>
      <c r="AO964" s="133"/>
      <c r="AP964" s="133"/>
      <c r="AQ964" s="133"/>
      <c r="AR964" s="133"/>
      <c r="AS964" s="153">
        <v>0</v>
      </c>
      <c r="AT964" s="153">
        <v>0</v>
      </c>
      <c r="AU964" s="153">
        <v>0</v>
      </c>
      <c r="AV964" s="153">
        <v>0</v>
      </c>
      <c r="AW964" s="153">
        <v>0</v>
      </c>
      <c r="AX964" s="153">
        <v>0</v>
      </c>
      <c r="AY964" s="135"/>
      <c r="AZ964" s="135"/>
      <c r="BA964" s="135"/>
      <c r="BB964" s="135"/>
      <c r="BC964" s="135"/>
      <c r="BD964" s="135"/>
      <c r="BE964" s="135"/>
      <c r="BF964" s="135"/>
      <c r="BG964" s="135"/>
      <c r="BH964" s="135"/>
      <c r="BI964" s="2" t="s">
        <v>112</v>
      </c>
      <c r="BJ964" s="136"/>
      <c r="BK964" s="2">
        <v>0</v>
      </c>
      <c r="BL964" s="136" t="s">
        <v>113</v>
      </c>
      <c r="BM964" s="136">
        <v>45309</v>
      </c>
      <c r="BN964" s="2" t="s">
        <v>3241</v>
      </c>
      <c r="BO964" s="2"/>
      <c r="BP964" s="136"/>
      <c r="BQ964" s="137"/>
      <c r="BR964" s="138"/>
    </row>
    <row r="965" spans="1:70" ht="12.75" customHeight="1" x14ac:dyDescent="0.2">
      <c r="A965" s="2">
        <v>2454</v>
      </c>
      <c r="B965" s="2" t="s">
        <v>54</v>
      </c>
      <c r="C965" s="2" t="s">
        <v>50</v>
      </c>
      <c r="D965" s="2" t="s">
        <v>3203</v>
      </c>
      <c r="E965" s="2" t="s">
        <v>110</v>
      </c>
      <c r="F965" s="132">
        <v>7505.75</v>
      </c>
      <c r="G965" s="132">
        <v>2</v>
      </c>
      <c r="H965" s="132">
        <f>4289*1.75</f>
        <v>7505.75</v>
      </c>
      <c r="I965" s="132"/>
      <c r="J965" s="132">
        <v>7505.75</v>
      </c>
      <c r="K965" s="132">
        <f t="shared" si="95"/>
        <v>0</v>
      </c>
      <c r="L965" s="132">
        <f t="shared" si="91"/>
        <v>0</v>
      </c>
      <c r="M965" s="133"/>
      <c r="N965" s="133">
        <f t="shared" si="94"/>
        <v>0</v>
      </c>
      <c r="O965" s="134">
        <v>0</v>
      </c>
      <c r="P965" s="133"/>
      <c r="Q965" s="2" t="s">
        <v>2579</v>
      </c>
      <c r="R965" s="156">
        <f t="shared" si="92"/>
        <v>0</v>
      </c>
      <c r="S965" s="156">
        <f t="shared" si="93"/>
        <v>0</v>
      </c>
      <c r="T965" s="133"/>
      <c r="U965" s="133"/>
      <c r="V965" s="133"/>
      <c r="W965" s="133"/>
      <c r="X965" s="133"/>
      <c r="Y965" s="133"/>
      <c r="Z965" s="133"/>
      <c r="AA965" s="133"/>
      <c r="AB965" s="133"/>
      <c r="AC965" s="133"/>
      <c r="AD965" s="133"/>
      <c r="AE965" s="133"/>
      <c r="AF965" s="133"/>
      <c r="AG965" s="133"/>
      <c r="AH965" s="133"/>
      <c r="AI965" s="133"/>
      <c r="AJ965" s="133"/>
      <c r="AK965" s="133"/>
      <c r="AL965" s="133"/>
      <c r="AM965" s="133"/>
      <c r="AN965" s="133"/>
      <c r="AO965" s="133"/>
      <c r="AP965" s="133"/>
      <c r="AQ965" s="133"/>
      <c r="AR965" s="133"/>
      <c r="AS965" s="153">
        <v>0</v>
      </c>
      <c r="AT965" s="153">
        <v>0</v>
      </c>
      <c r="AU965" s="153">
        <v>0</v>
      </c>
      <c r="AV965" s="153">
        <v>0</v>
      </c>
      <c r="AW965" s="153">
        <v>0</v>
      </c>
      <c r="AX965" s="153">
        <v>0</v>
      </c>
      <c r="AY965" s="135"/>
      <c r="AZ965" s="135"/>
      <c r="BA965" s="135"/>
      <c r="BB965" s="135"/>
      <c r="BC965" s="135"/>
      <c r="BD965" s="135"/>
      <c r="BE965" s="135"/>
      <c r="BF965" s="135"/>
      <c r="BG965" s="135"/>
      <c r="BH965" s="135"/>
      <c r="BI965" s="2" t="s">
        <v>112</v>
      </c>
      <c r="BJ965" s="136">
        <v>45581</v>
      </c>
      <c r="BK965" s="2" t="s">
        <v>145</v>
      </c>
      <c r="BL965" s="136" t="s">
        <v>113</v>
      </c>
      <c r="BM965" s="136">
        <v>45309</v>
      </c>
      <c r="BN965" s="2" t="s">
        <v>3242</v>
      </c>
      <c r="BO965" s="2"/>
      <c r="BP965" s="136"/>
      <c r="BQ965" s="137"/>
      <c r="BR965" s="138"/>
    </row>
    <row r="966" spans="1:70" ht="12.75" customHeight="1" x14ac:dyDescent="0.2">
      <c r="A966" s="2">
        <v>2455</v>
      </c>
      <c r="B966" s="2" t="s">
        <v>31</v>
      </c>
      <c r="C966" s="2" t="s">
        <v>35</v>
      </c>
      <c r="D966" s="2" t="s">
        <v>3204</v>
      </c>
      <c r="E966" s="2" t="s">
        <v>110</v>
      </c>
      <c r="F966" s="132">
        <v>8485.75</v>
      </c>
      <c r="G966" s="132">
        <v>2</v>
      </c>
      <c r="H966" s="132">
        <f>4849*1.75</f>
        <v>8485.75</v>
      </c>
      <c r="I966" s="132"/>
      <c r="J966" s="132">
        <v>8485.75</v>
      </c>
      <c r="K966" s="132">
        <f t="shared" si="95"/>
        <v>0</v>
      </c>
      <c r="L966" s="132">
        <f t="shared" si="91"/>
        <v>0</v>
      </c>
      <c r="M966" s="133"/>
      <c r="N966" s="133">
        <f t="shared" si="94"/>
        <v>0</v>
      </c>
      <c r="O966" s="134">
        <v>0</v>
      </c>
      <c r="P966" s="133"/>
      <c r="Q966" s="2" t="s">
        <v>2268</v>
      </c>
      <c r="R966" s="156">
        <f t="shared" si="92"/>
        <v>0</v>
      </c>
      <c r="S966" s="156">
        <f t="shared" si="93"/>
        <v>0</v>
      </c>
      <c r="T966" s="133"/>
      <c r="U966" s="133"/>
      <c r="V966" s="133"/>
      <c r="W966" s="133"/>
      <c r="X966" s="133"/>
      <c r="Y966" s="133"/>
      <c r="Z966" s="133"/>
      <c r="AA966" s="133"/>
      <c r="AB966" s="133"/>
      <c r="AC966" s="133"/>
      <c r="AD966" s="133"/>
      <c r="AE966" s="133"/>
      <c r="AF966" s="133"/>
      <c r="AG966" s="133"/>
      <c r="AH966" s="133"/>
      <c r="AI966" s="133"/>
      <c r="AJ966" s="133"/>
      <c r="AK966" s="133"/>
      <c r="AL966" s="133"/>
      <c r="AM966" s="133"/>
      <c r="AN966" s="133"/>
      <c r="AO966" s="133"/>
      <c r="AP966" s="133"/>
      <c r="AQ966" s="133"/>
      <c r="AR966" s="133"/>
      <c r="AS966" s="153">
        <v>0</v>
      </c>
      <c r="AT966" s="153">
        <v>0</v>
      </c>
      <c r="AU966" s="153">
        <v>0</v>
      </c>
      <c r="AV966" s="153">
        <v>0</v>
      </c>
      <c r="AW966" s="153">
        <v>0</v>
      </c>
      <c r="AX966" s="153">
        <v>0</v>
      </c>
      <c r="AY966" s="135"/>
      <c r="AZ966" s="135"/>
      <c r="BA966" s="135"/>
      <c r="BB966" s="135"/>
      <c r="BC966" s="135"/>
      <c r="BD966" s="135"/>
      <c r="BE966" s="135"/>
      <c r="BF966" s="135"/>
      <c r="BG966" s="135"/>
      <c r="BH966" s="135"/>
      <c r="BI966" s="2" t="s">
        <v>112</v>
      </c>
      <c r="BJ966" s="136">
        <v>45572</v>
      </c>
      <c r="BK966" s="2" t="s">
        <v>145</v>
      </c>
      <c r="BL966" s="136" t="s">
        <v>113</v>
      </c>
      <c r="BM966" s="136">
        <v>45309</v>
      </c>
      <c r="BN966" s="2" t="s">
        <v>3243</v>
      </c>
      <c r="BO966" s="2"/>
      <c r="BP966" s="136"/>
      <c r="BQ966" s="137"/>
      <c r="BR966" s="138"/>
    </row>
    <row r="967" spans="1:70" ht="12.75" customHeight="1" x14ac:dyDescent="0.2">
      <c r="A967" s="2">
        <v>2456</v>
      </c>
      <c r="B967" s="2" t="s">
        <v>54</v>
      </c>
      <c r="C967" s="2" t="s">
        <v>97</v>
      </c>
      <c r="D967" s="2" t="s">
        <v>3205</v>
      </c>
      <c r="E967" s="2" t="s">
        <v>110</v>
      </c>
      <c r="F967" s="132">
        <v>0</v>
      </c>
      <c r="G967" s="132">
        <v>2</v>
      </c>
      <c r="H967" s="132"/>
      <c r="I967" s="132"/>
      <c r="J967" s="132"/>
      <c r="K967" s="132">
        <f t="shared" si="95"/>
        <v>0</v>
      </c>
      <c r="L967" s="132">
        <f t="shared" si="91"/>
        <v>0</v>
      </c>
      <c r="M967" s="133"/>
      <c r="N967" s="133">
        <f t="shared" si="94"/>
        <v>0</v>
      </c>
      <c r="O967" s="134">
        <v>2</v>
      </c>
      <c r="P967" s="133"/>
      <c r="Q967" s="2" t="s">
        <v>2581</v>
      </c>
      <c r="R967" s="156">
        <f t="shared" si="92"/>
        <v>0</v>
      </c>
      <c r="S967" s="156">
        <f t="shared" si="93"/>
        <v>0</v>
      </c>
      <c r="T967" s="133"/>
      <c r="U967" s="133"/>
      <c r="V967" s="133"/>
      <c r="W967" s="133"/>
      <c r="X967" s="133"/>
      <c r="Y967" s="133"/>
      <c r="Z967" s="133"/>
      <c r="AA967" s="133"/>
      <c r="AB967" s="133"/>
      <c r="AC967" s="133"/>
      <c r="AD967" s="133"/>
      <c r="AE967" s="133"/>
      <c r="AF967" s="133"/>
      <c r="AG967" s="133"/>
      <c r="AH967" s="133"/>
      <c r="AI967" s="133"/>
      <c r="AJ967" s="133"/>
      <c r="AK967" s="133"/>
      <c r="AL967" s="133"/>
      <c r="AM967" s="133"/>
      <c r="AN967" s="133"/>
      <c r="AO967" s="133"/>
      <c r="AP967" s="133"/>
      <c r="AQ967" s="133"/>
      <c r="AR967" s="133"/>
      <c r="AS967" s="153">
        <v>0</v>
      </c>
      <c r="AT967" s="153">
        <v>0</v>
      </c>
      <c r="AU967" s="153">
        <v>0</v>
      </c>
      <c r="AV967" s="153">
        <v>0</v>
      </c>
      <c r="AW967" s="153">
        <v>0</v>
      </c>
      <c r="AX967" s="153">
        <v>0</v>
      </c>
      <c r="AY967" s="135"/>
      <c r="AZ967" s="135"/>
      <c r="BA967" s="135"/>
      <c r="BB967" s="135"/>
      <c r="BC967" s="135"/>
      <c r="BD967" s="135"/>
      <c r="BE967" s="135"/>
      <c r="BF967" s="135"/>
      <c r="BG967" s="135"/>
      <c r="BH967" s="135"/>
      <c r="BI967" s="2" t="s">
        <v>112</v>
      </c>
      <c r="BJ967" s="136"/>
      <c r="BK967" s="2">
        <v>0</v>
      </c>
      <c r="BL967" s="136" t="s">
        <v>113</v>
      </c>
      <c r="BM967" s="136">
        <v>45309</v>
      </c>
      <c r="BN967" s="2" t="s">
        <v>3244</v>
      </c>
      <c r="BO967" s="2"/>
      <c r="BP967" s="136"/>
      <c r="BQ967" s="137"/>
      <c r="BR967" s="138"/>
    </row>
    <row r="968" spans="1:70" ht="12.75" customHeight="1" x14ac:dyDescent="0.2">
      <c r="A968" s="2">
        <v>2457</v>
      </c>
      <c r="B968" s="2" t="s">
        <v>54</v>
      </c>
      <c r="C968" s="2" t="s">
        <v>36</v>
      </c>
      <c r="D968" s="2" t="s">
        <v>3206</v>
      </c>
      <c r="E968" s="2" t="s">
        <v>110</v>
      </c>
      <c r="F968" s="132">
        <f>2651*1.75</f>
        <v>4639.25</v>
      </c>
      <c r="G968" s="132">
        <v>2</v>
      </c>
      <c r="H968" s="132">
        <f>2651*1.75</f>
        <v>4639.25</v>
      </c>
      <c r="I968" s="132"/>
      <c r="J968" s="132">
        <v>4639.25</v>
      </c>
      <c r="K968" s="132">
        <f t="shared" si="95"/>
        <v>0</v>
      </c>
      <c r="L968" s="132">
        <f t="shared" si="91"/>
        <v>0</v>
      </c>
      <c r="M968" s="133"/>
      <c r="N968" s="133">
        <f t="shared" si="94"/>
        <v>0</v>
      </c>
      <c r="O968" s="134">
        <v>0</v>
      </c>
      <c r="P968" s="133"/>
      <c r="Q968" s="2" t="s">
        <v>2270</v>
      </c>
      <c r="R968" s="156">
        <f t="shared" si="92"/>
        <v>0</v>
      </c>
      <c r="S968" s="156">
        <f t="shared" si="93"/>
        <v>0</v>
      </c>
      <c r="T968" s="133"/>
      <c r="U968" s="133"/>
      <c r="V968" s="133"/>
      <c r="W968" s="133"/>
      <c r="X968" s="133"/>
      <c r="Y968" s="133"/>
      <c r="Z968" s="133"/>
      <c r="AA968" s="133"/>
      <c r="AB968" s="133"/>
      <c r="AC968" s="133"/>
      <c r="AD968" s="133"/>
      <c r="AE968" s="133"/>
      <c r="AF968" s="133"/>
      <c r="AG968" s="133"/>
      <c r="AH968" s="133"/>
      <c r="AI968" s="133"/>
      <c r="AJ968" s="133"/>
      <c r="AK968" s="133"/>
      <c r="AL968" s="133"/>
      <c r="AM968" s="133"/>
      <c r="AN968" s="133"/>
      <c r="AO968" s="133"/>
      <c r="AP968" s="133"/>
      <c r="AQ968" s="133"/>
      <c r="AR968" s="133"/>
      <c r="AS968" s="153">
        <v>0</v>
      </c>
      <c r="AT968" s="153">
        <v>0</v>
      </c>
      <c r="AU968" s="153">
        <v>0</v>
      </c>
      <c r="AV968" s="153">
        <v>0</v>
      </c>
      <c r="AW968" s="153">
        <v>0</v>
      </c>
      <c r="AX968" s="153">
        <v>0</v>
      </c>
      <c r="AY968" s="135"/>
      <c r="AZ968" s="135"/>
      <c r="BA968" s="135"/>
      <c r="BB968" s="135"/>
      <c r="BC968" s="135"/>
      <c r="BD968" s="135"/>
      <c r="BE968" s="135"/>
      <c r="BF968" s="135"/>
      <c r="BG968" s="135"/>
      <c r="BH968" s="135"/>
      <c r="BI968" s="2" t="s">
        <v>112</v>
      </c>
      <c r="BJ968" s="136">
        <v>45449</v>
      </c>
      <c r="BK968" s="2" t="s">
        <v>145</v>
      </c>
      <c r="BL968" s="136" t="s">
        <v>113</v>
      </c>
      <c r="BM968" s="136">
        <v>45309</v>
      </c>
      <c r="BN968" s="2" t="s">
        <v>3245</v>
      </c>
      <c r="BO968" s="2"/>
      <c r="BP968" s="136"/>
      <c r="BQ968" s="137"/>
      <c r="BR968" s="138"/>
    </row>
    <row r="969" spans="1:70" ht="12.75" customHeight="1" x14ac:dyDescent="0.2">
      <c r="A969" s="2">
        <v>2458</v>
      </c>
      <c r="B969" s="2" t="s">
        <v>54</v>
      </c>
      <c r="C969" s="2" t="s">
        <v>4</v>
      </c>
      <c r="D969" s="2" t="s">
        <v>3207</v>
      </c>
      <c r="E969" s="2" t="s">
        <v>110</v>
      </c>
      <c r="F969" s="132">
        <v>0</v>
      </c>
      <c r="G969" s="132">
        <v>2</v>
      </c>
      <c r="H969" s="132"/>
      <c r="I969" s="132"/>
      <c r="J969" s="132"/>
      <c r="K969" s="132">
        <f t="shared" si="95"/>
        <v>0</v>
      </c>
      <c r="L969" s="132">
        <f t="shared" si="91"/>
        <v>0</v>
      </c>
      <c r="M969" s="133"/>
      <c r="N969" s="133">
        <f t="shared" si="94"/>
        <v>0</v>
      </c>
      <c r="O969" s="134">
        <v>2</v>
      </c>
      <c r="P969" s="133"/>
      <c r="Q969" s="2" t="s">
        <v>2271</v>
      </c>
      <c r="R969" s="156">
        <f t="shared" si="92"/>
        <v>0</v>
      </c>
      <c r="S969" s="156">
        <f t="shared" si="93"/>
        <v>0</v>
      </c>
      <c r="T969" s="133"/>
      <c r="U969" s="133"/>
      <c r="V969" s="133"/>
      <c r="W969" s="133"/>
      <c r="X969" s="133"/>
      <c r="Y969" s="133"/>
      <c r="Z969" s="133"/>
      <c r="AA969" s="133"/>
      <c r="AB969" s="133"/>
      <c r="AC969" s="133"/>
      <c r="AD969" s="133"/>
      <c r="AE969" s="133"/>
      <c r="AF969" s="133"/>
      <c r="AG969" s="133"/>
      <c r="AH969" s="133"/>
      <c r="AI969" s="133"/>
      <c r="AJ969" s="133"/>
      <c r="AK969" s="133"/>
      <c r="AL969" s="133"/>
      <c r="AM969" s="133"/>
      <c r="AN969" s="133"/>
      <c r="AO969" s="133"/>
      <c r="AP969" s="133"/>
      <c r="AQ969" s="133"/>
      <c r="AR969" s="133"/>
      <c r="AS969" s="153">
        <v>0</v>
      </c>
      <c r="AT969" s="153">
        <v>0</v>
      </c>
      <c r="AU969" s="153">
        <v>0</v>
      </c>
      <c r="AV969" s="153">
        <v>0</v>
      </c>
      <c r="AW969" s="153">
        <v>0</v>
      </c>
      <c r="AX969" s="153">
        <v>0</v>
      </c>
      <c r="AY969" s="135"/>
      <c r="AZ969" s="135"/>
      <c r="BA969" s="135"/>
      <c r="BB969" s="135"/>
      <c r="BC969" s="135"/>
      <c r="BD969" s="135"/>
      <c r="BE969" s="135"/>
      <c r="BF969" s="135"/>
      <c r="BG969" s="135"/>
      <c r="BH969" s="135"/>
      <c r="BI969" s="2" t="s">
        <v>112</v>
      </c>
      <c r="BJ969" s="136"/>
      <c r="BK969" s="2">
        <v>0</v>
      </c>
      <c r="BL969" s="136" t="s">
        <v>113</v>
      </c>
      <c r="BM969" s="136">
        <v>45309</v>
      </c>
      <c r="BN969" s="2" t="s">
        <v>3246</v>
      </c>
      <c r="BO969" s="2"/>
      <c r="BP969" s="136"/>
      <c r="BQ969" s="137"/>
      <c r="BR969" s="138"/>
    </row>
    <row r="970" spans="1:70" ht="12.75" customHeight="1" x14ac:dyDescent="0.2">
      <c r="A970" s="2">
        <v>2459</v>
      </c>
      <c r="B970" s="2" t="s">
        <v>31</v>
      </c>
      <c r="C970" s="2" t="s">
        <v>34</v>
      </c>
      <c r="D970" s="2" t="s">
        <v>3208</v>
      </c>
      <c r="E970" s="2" t="s">
        <v>110</v>
      </c>
      <c r="F970" s="132">
        <v>1081.5</v>
      </c>
      <c r="G970" s="132">
        <v>2</v>
      </c>
      <c r="H970" s="132">
        <f>618*1.75</f>
        <v>1081.5</v>
      </c>
      <c r="I970" s="132"/>
      <c r="J970" s="132">
        <v>1081.5</v>
      </c>
      <c r="K970" s="132">
        <f t="shared" si="95"/>
        <v>0</v>
      </c>
      <c r="L970" s="132">
        <f t="shared" si="91"/>
        <v>0</v>
      </c>
      <c r="M970" s="133"/>
      <c r="N970" s="133">
        <f t="shared" si="94"/>
        <v>0</v>
      </c>
      <c r="O970" s="134">
        <v>0</v>
      </c>
      <c r="P970" s="133"/>
      <c r="Q970" s="2" t="s">
        <v>2583</v>
      </c>
      <c r="R970" s="156">
        <f t="shared" si="92"/>
        <v>0</v>
      </c>
      <c r="S970" s="156">
        <f t="shared" si="93"/>
        <v>0</v>
      </c>
      <c r="T970" s="133"/>
      <c r="U970" s="133"/>
      <c r="V970" s="133"/>
      <c r="W970" s="133"/>
      <c r="X970" s="133"/>
      <c r="Y970" s="133"/>
      <c r="Z970" s="133"/>
      <c r="AA970" s="133"/>
      <c r="AB970" s="133"/>
      <c r="AC970" s="133"/>
      <c r="AD970" s="133"/>
      <c r="AE970" s="133"/>
      <c r="AF970" s="133"/>
      <c r="AG970" s="133"/>
      <c r="AH970" s="133"/>
      <c r="AI970" s="133"/>
      <c r="AJ970" s="133"/>
      <c r="AK970" s="133"/>
      <c r="AL970" s="133"/>
      <c r="AM970" s="133"/>
      <c r="AN970" s="133"/>
      <c r="AO970" s="133"/>
      <c r="AP970" s="133"/>
      <c r="AQ970" s="133"/>
      <c r="AR970" s="133"/>
      <c r="AS970" s="153">
        <v>0</v>
      </c>
      <c r="AT970" s="153">
        <v>0</v>
      </c>
      <c r="AU970" s="153">
        <v>0</v>
      </c>
      <c r="AV970" s="153">
        <v>0</v>
      </c>
      <c r="AW970" s="153">
        <v>0</v>
      </c>
      <c r="AX970" s="153">
        <v>0</v>
      </c>
      <c r="AY970" s="135"/>
      <c r="AZ970" s="135"/>
      <c r="BA970" s="135"/>
      <c r="BB970" s="135"/>
      <c r="BC970" s="135"/>
      <c r="BD970" s="135"/>
      <c r="BE970" s="135"/>
      <c r="BF970" s="135"/>
      <c r="BG970" s="135"/>
      <c r="BH970" s="135"/>
      <c r="BI970" s="2" t="s">
        <v>112</v>
      </c>
      <c r="BJ970" s="136">
        <v>45449</v>
      </c>
      <c r="BK970" s="2" t="s">
        <v>145</v>
      </c>
      <c r="BL970" s="136" t="s">
        <v>113</v>
      </c>
      <c r="BM970" s="136">
        <v>45309</v>
      </c>
      <c r="BN970" s="2" t="s">
        <v>3247</v>
      </c>
      <c r="BO970" s="2"/>
      <c r="BP970" s="136"/>
      <c r="BQ970" s="137"/>
      <c r="BR970" s="138"/>
    </row>
    <row r="971" spans="1:70" ht="12.75" customHeight="1" x14ac:dyDescent="0.2">
      <c r="A971" s="2">
        <v>2460</v>
      </c>
      <c r="B971" s="2" t="s">
        <v>31</v>
      </c>
      <c r="C971" s="2" t="s">
        <v>38</v>
      </c>
      <c r="D971" s="2" t="s">
        <v>3209</v>
      </c>
      <c r="E971" s="2" t="s">
        <v>110</v>
      </c>
      <c r="F971" s="132">
        <v>3766</v>
      </c>
      <c r="G971" s="132">
        <v>2</v>
      </c>
      <c r="H971" s="132">
        <f>2152*1.75</f>
        <v>3766</v>
      </c>
      <c r="I971" s="132"/>
      <c r="J971" s="132">
        <v>3766</v>
      </c>
      <c r="K971" s="132">
        <f t="shared" si="95"/>
        <v>0</v>
      </c>
      <c r="L971" s="132">
        <f t="shared" ref="L971:L1034" si="96">H971-J971</f>
        <v>0</v>
      </c>
      <c r="M971" s="133"/>
      <c r="N971" s="133">
        <f t="shared" si="94"/>
        <v>0</v>
      </c>
      <c r="O971" s="134">
        <v>0</v>
      </c>
      <c r="P971" s="133"/>
      <c r="Q971" s="2" t="s">
        <v>2272</v>
      </c>
      <c r="R971" s="156">
        <f t="shared" ref="R971:R1034" si="97">T971+V971+X971+Z971+AB971+AD971+AF971+AH971+AJ971+AL971+AN971+AP971</f>
        <v>0</v>
      </c>
      <c r="S971" s="156">
        <f t="shared" ref="S971:S1034" si="98">U971+W971+Y971+AA971+AC971+AE971+AG971+AI971+AK971+AM971+AO971+AQ971</f>
        <v>0</v>
      </c>
      <c r="T971" s="133"/>
      <c r="U971" s="133"/>
      <c r="V971" s="133"/>
      <c r="W971" s="133"/>
      <c r="X971" s="133"/>
      <c r="Y971" s="133"/>
      <c r="Z971" s="133"/>
      <c r="AA971" s="133"/>
      <c r="AB971" s="133"/>
      <c r="AC971" s="133"/>
      <c r="AD971" s="133"/>
      <c r="AE971" s="133"/>
      <c r="AF971" s="133"/>
      <c r="AG971" s="133"/>
      <c r="AH971" s="133"/>
      <c r="AI971" s="133"/>
      <c r="AJ971" s="133"/>
      <c r="AK971" s="133"/>
      <c r="AL971" s="133"/>
      <c r="AM971" s="133"/>
      <c r="AN971" s="133"/>
      <c r="AO971" s="133"/>
      <c r="AP971" s="133"/>
      <c r="AQ971" s="133"/>
      <c r="AR971" s="133"/>
      <c r="AS971" s="153">
        <v>0</v>
      </c>
      <c r="AT971" s="153">
        <v>0</v>
      </c>
      <c r="AU971" s="153">
        <v>0</v>
      </c>
      <c r="AV971" s="153">
        <v>0</v>
      </c>
      <c r="AW971" s="153">
        <v>0</v>
      </c>
      <c r="AX971" s="153">
        <v>0</v>
      </c>
      <c r="AY971" s="135"/>
      <c r="AZ971" s="135"/>
      <c r="BA971" s="135"/>
      <c r="BB971" s="135"/>
      <c r="BC971" s="135"/>
      <c r="BD971" s="135"/>
      <c r="BE971" s="135"/>
      <c r="BF971" s="135"/>
      <c r="BG971" s="135"/>
      <c r="BH971" s="135"/>
      <c r="BI971" s="2" t="s">
        <v>112</v>
      </c>
      <c r="BJ971" s="136">
        <v>45449</v>
      </c>
      <c r="BK971" s="2" t="s">
        <v>145</v>
      </c>
      <c r="BL971" s="136" t="s">
        <v>113</v>
      </c>
      <c r="BM971" s="136">
        <v>45309</v>
      </c>
      <c r="BN971" s="2" t="s">
        <v>3248</v>
      </c>
      <c r="BO971" s="2"/>
      <c r="BP971" s="136"/>
      <c r="BQ971" s="137"/>
      <c r="BR971" s="138"/>
    </row>
    <row r="972" spans="1:70" ht="12.75" customHeight="1" x14ac:dyDescent="0.2">
      <c r="A972" s="2">
        <v>2461</v>
      </c>
      <c r="B972" s="2" t="s">
        <v>31</v>
      </c>
      <c r="C972" s="2" t="s">
        <v>32</v>
      </c>
      <c r="D972" s="2" t="s">
        <v>3210</v>
      </c>
      <c r="E972" s="2" t="s">
        <v>110</v>
      </c>
      <c r="F972" s="132">
        <v>3143</v>
      </c>
      <c r="G972" s="132">
        <v>2</v>
      </c>
      <c r="H972" s="132">
        <f>1796*1.75</f>
        <v>3143</v>
      </c>
      <c r="I972" s="132"/>
      <c r="J972" s="132">
        <v>3143</v>
      </c>
      <c r="K972" s="132">
        <f t="shared" si="95"/>
        <v>0</v>
      </c>
      <c r="L972" s="132">
        <f t="shared" si="96"/>
        <v>0</v>
      </c>
      <c r="M972" s="133"/>
      <c r="N972" s="133">
        <f t="shared" si="94"/>
        <v>0</v>
      </c>
      <c r="O972" s="134">
        <v>0</v>
      </c>
      <c r="P972" s="133"/>
      <c r="Q972" s="2" t="s">
        <v>2586</v>
      </c>
      <c r="R972" s="156">
        <f t="shared" si="97"/>
        <v>0</v>
      </c>
      <c r="S972" s="156">
        <f t="shared" si="98"/>
        <v>0</v>
      </c>
      <c r="T972" s="133"/>
      <c r="U972" s="133"/>
      <c r="V972" s="133"/>
      <c r="W972" s="133"/>
      <c r="X972" s="133"/>
      <c r="Y972" s="133"/>
      <c r="Z972" s="133"/>
      <c r="AA972" s="133"/>
      <c r="AB972" s="133"/>
      <c r="AC972" s="133"/>
      <c r="AD972" s="133"/>
      <c r="AE972" s="133"/>
      <c r="AF972" s="133"/>
      <c r="AG972" s="133"/>
      <c r="AH972" s="133"/>
      <c r="AI972" s="133"/>
      <c r="AJ972" s="133"/>
      <c r="AK972" s="133"/>
      <c r="AL972" s="133"/>
      <c r="AM972" s="133"/>
      <c r="AN972" s="133"/>
      <c r="AO972" s="133"/>
      <c r="AP972" s="133"/>
      <c r="AQ972" s="133"/>
      <c r="AR972" s="133"/>
      <c r="AS972" s="153">
        <v>0</v>
      </c>
      <c r="AT972" s="153">
        <v>0</v>
      </c>
      <c r="AU972" s="153">
        <v>0</v>
      </c>
      <c r="AV972" s="153">
        <v>0</v>
      </c>
      <c r="AW972" s="153">
        <v>0</v>
      </c>
      <c r="AX972" s="153">
        <v>0</v>
      </c>
      <c r="AY972" s="135"/>
      <c r="AZ972" s="135"/>
      <c r="BA972" s="135"/>
      <c r="BB972" s="135"/>
      <c r="BC972" s="135"/>
      <c r="BD972" s="135"/>
      <c r="BE972" s="135"/>
      <c r="BF972" s="135"/>
      <c r="BG972" s="135"/>
      <c r="BH972" s="135"/>
      <c r="BI972" s="2" t="s">
        <v>112</v>
      </c>
      <c r="BJ972" s="136">
        <v>45581</v>
      </c>
      <c r="BK972" s="2" t="s">
        <v>145</v>
      </c>
      <c r="BL972" s="136" t="s">
        <v>113</v>
      </c>
      <c r="BM972" s="136">
        <v>45309</v>
      </c>
      <c r="BN972" s="2" t="s">
        <v>3249</v>
      </c>
      <c r="BO972" s="2"/>
      <c r="BP972" s="136"/>
      <c r="BQ972" s="137"/>
      <c r="BR972" s="138"/>
    </row>
    <row r="973" spans="1:70" ht="12.75" customHeight="1" x14ac:dyDescent="0.2">
      <c r="A973" s="2">
        <v>2462</v>
      </c>
      <c r="B973" s="2" t="s">
        <v>31</v>
      </c>
      <c r="C973" s="2" t="s">
        <v>37</v>
      </c>
      <c r="D973" s="2" t="s">
        <v>3211</v>
      </c>
      <c r="E973" s="2" t="s">
        <v>110</v>
      </c>
      <c r="F973" s="132">
        <f>2002*1.75</f>
        <v>3503.5</v>
      </c>
      <c r="G973" s="132">
        <v>2</v>
      </c>
      <c r="H973" s="132">
        <f>2002*1.75</f>
        <v>3503.5</v>
      </c>
      <c r="I973" s="132"/>
      <c r="J973" s="132">
        <v>3503.5</v>
      </c>
      <c r="K973" s="132">
        <f t="shared" si="95"/>
        <v>0</v>
      </c>
      <c r="L973" s="132">
        <f t="shared" si="96"/>
        <v>0</v>
      </c>
      <c r="M973" s="133"/>
      <c r="N973" s="133">
        <f t="shared" si="94"/>
        <v>0</v>
      </c>
      <c r="O973" s="134">
        <v>0</v>
      </c>
      <c r="P973" s="133"/>
      <c r="Q973" s="2" t="s">
        <v>2589</v>
      </c>
      <c r="R973" s="156">
        <f t="shared" si="97"/>
        <v>0</v>
      </c>
      <c r="S973" s="156">
        <f t="shared" si="98"/>
        <v>0</v>
      </c>
      <c r="T973" s="133"/>
      <c r="U973" s="133"/>
      <c r="V973" s="133"/>
      <c r="W973" s="133"/>
      <c r="X973" s="133"/>
      <c r="Y973" s="133"/>
      <c r="Z973" s="133"/>
      <c r="AA973" s="133"/>
      <c r="AB973" s="133"/>
      <c r="AC973" s="133"/>
      <c r="AD973" s="133"/>
      <c r="AE973" s="133"/>
      <c r="AF973" s="133"/>
      <c r="AG973" s="133"/>
      <c r="AH973" s="133"/>
      <c r="AI973" s="133"/>
      <c r="AJ973" s="133"/>
      <c r="AK973" s="133"/>
      <c r="AL973" s="133"/>
      <c r="AM973" s="133"/>
      <c r="AN973" s="133"/>
      <c r="AO973" s="133"/>
      <c r="AP973" s="133"/>
      <c r="AQ973" s="133"/>
      <c r="AR973" s="133"/>
      <c r="AS973" s="153">
        <v>0</v>
      </c>
      <c r="AT973" s="153">
        <v>0</v>
      </c>
      <c r="AU973" s="153">
        <v>0</v>
      </c>
      <c r="AV973" s="153">
        <v>0</v>
      </c>
      <c r="AW973" s="153">
        <v>0</v>
      </c>
      <c r="AX973" s="153">
        <v>0</v>
      </c>
      <c r="AY973" s="135"/>
      <c r="AZ973" s="135"/>
      <c r="BA973" s="135"/>
      <c r="BB973" s="135"/>
      <c r="BC973" s="135"/>
      <c r="BD973" s="135"/>
      <c r="BE973" s="135"/>
      <c r="BF973" s="135"/>
      <c r="BG973" s="135"/>
      <c r="BH973" s="135"/>
      <c r="BI973" s="2" t="s">
        <v>112</v>
      </c>
      <c r="BJ973" s="136">
        <v>45495</v>
      </c>
      <c r="BK973" s="2" t="s">
        <v>145</v>
      </c>
      <c r="BL973" s="136" t="s">
        <v>113</v>
      </c>
      <c r="BM973" s="136">
        <v>45309</v>
      </c>
      <c r="BN973" s="2" t="s">
        <v>3250</v>
      </c>
      <c r="BO973" s="2"/>
      <c r="BP973" s="136"/>
      <c r="BQ973" s="137"/>
      <c r="BR973" s="138"/>
    </row>
    <row r="974" spans="1:70" ht="12.75" customHeight="1" x14ac:dyDescent="0.2">
      <c r="A974" s="2">
        <v>2463</v>
      </c>
      <c r="B974" s="2" t="s">
        <v>31</v>
      </c>
      <c r="C974" s="2" t="s">
        <v>32</v>
      </c>
      <c r="D974" s="2" t="s">
        <v>3212</v>
      </c>
      <c r="E974" s="2" t="s">
        <v>110</v>
      </c>
      <c r="F974" s="132">
        <v>0</v>
      </c>
      <c r="G974" s="132">
        <v>2</v>
      </c>
      <c r="H974" s="132"/>
      <c r="I974" s="132"/>
      <c r="J974" s="132"/>
      <c r="K974" s="132">
        <f t="shared" si="95"/>
        <v>0</v>
      </c>
      <c r="L974" s="132">
        <f t="shared" si="96"/>
        <v>0</v>
      </c>
      <c r="M974" s="133"/>
      <c r="N974" s="133">
        <f t="shared" si="94"/>
        <v>0</v>
      </c>
      <c r="O974" s="134">
        <v>2</v>
      </c>
      <c r="P974" s="133"/>
      <c r="Q974" s="2" t="s">
        <v>2590</v>
      </c>
      <c r="R974" s="156">
        <f t="shared" si="97"/>
        <v>0</v>
      </c>
      <c r="S974" s="156">
        <f t="shared" si="98"/>
        <v>0</v>
      </c>
      <c r="T974" s="133"/>
      <c r="U974" s="133"/>
      <c r="V974" s="133"/>
      <c r="W974" s="133"/>
      <c r="X974" s="133"/>
      <c r="Y974" s="133"/>
      <c r="Z974" s="133"/>
      <c r="AA974" s="133"/>
      <c r="AB974" s="133"/>
      <c r="AC974" s="133"/>
      <c r="AD974" s="133"/>
      <c r="AE974" s="133"/>
      <c r="AF974" s="133"/>
      <c r="AG974" s="133"/>
      <c r="AH974" s="133"/>
      <c r="AI974" s="133"/>
      <c r="AJ974" s="133"/>
      <c r="AK974" s="133"/>
      <c r="AL974" s="133"/>
      <c r="AM974" s="133"/>
      <c r="AN974" s="133"/>
      <c r="AO974" s="133"/>
      <c r="AP974" s="133"/>
      <c r="AQ974" s="133"/>
      <c r="AR974" s="133"/>
      <c r="AS974" s="153">
        <v>0</v>
      </c>
      <c r="AT974" s="153">
        <v>0</v>
      </c>
      <c r="AU974" s="153">
        <v>0</v>
      </c>
      <c r="AV974" s="153">
        <v>0</v>
      </c>
      <c r="AW974" s="153">
        <v>0</v>
      </c>
      <c r="AX974" s="153">
        <v>0</v>
      </c>
      <c r="AY974" s="135"/>
      <c r="AZ974" s="135"/>
      <c r="BA974" s="135"/>
      <c r="BB974" s="135"/>
      <c r="BC974" s="135"/>
      <c r="BD974" s="135"/>
      <c r="BE974" s="135"/>
      <c r="BF974" s="135"/>
      <c r="BG974" s="135"/>
      <c r="BH974" s="135"/>
      <c r="BI974" s="2" t="s">
        <v>112</v>
      </c>
      <c r="BJ974" s="136"/>
      <c r="BK974" s="2">
        <v>0</v>
      </c>
      <c r="BL974" s="136" t="s">
        <v>113</v>
      </c>
      <c r="BM974" s="136">
        <v>45309</v>
      </c>
      <c r="BN974" s="2" t="s">
        <v>3251</v>
      </c>
      <c r="BO974" s="2"/>
      <c r="BP974" s="136"/>
      <c r="BQ974" s="137"/>
      <c r="BR974" s="138"/>
    </row>
    <row r="975" spans="1:70" ht="12.75" customHeight="1" x14ac:dyDescent="0.2">
      <c r="A975" s="2">
        <v>2464</v>
      </c>
      <c r="B975" s="2" t="s">
        <v>31</v>
      </c>
      <c r="C975" s="2" t="s">
        <v>34</v>
      </c>
      <c r="D975" s="2" t="s">
        <v>3213</v>
      </c>
      <c r="E975" s="2" t="s">
        <v>110</v>
      </c>
      <c r="F975" s="132">
        <v>2800</v>
      </c>
      <c r="G975" s="132">
        <v>2</v>
      </c>
      <c r="H975" s="132">
        <f>1600*1.75</f>
        <v>2800</v>
      </c>
      <c r="I975" s="132"/>
      <c r="J975" s="132">
        <v>2800</v>
      </c>
      <c r="K975" s="132">
        <f t="shared" si="95"/>
        <v>0</v>
      </c>
      <c r="L975" s="132">
        <f t="shared" si="96"/>
        <v>0</v>
      </c>
      <c r="M975" s="133"/>
      <c r="N975" s="133">
        <f t="shared" si="94"/>
        <v>0</v>
      </c>
      <c r="O975" s="134">
        <v>0</v>
      </c>
      <c r="P975" s="133"/>
      <c r="Q975" s="2" t="s">
        <v>2591</v>
      </c>
      <c r="R975" s="156">
        <f t="shared" si="97"/>
        <v>0</v>
      </c>
      <c r="S975" s="156">
        <f t="shared" si="98"/>
        <v>0</v>
      </c>
      <c r="T975" s="133"/>
      <c r="U975" s="133"/>
      <c r="V975" s="133"/>
      <c r="W975" s="133"/>
      <c r="X975" s="133"/>
      <c r="Y975" s="133"/>
      <c r="Z975" s="133"/>
      <c r="AA975" s="133"/>
      <c r="AB975" s="133"/>
      <c r="AC975" s="133"/>
      <c r="AD975" s="133"/>
      <c r="AE975" s="133"/>
      <c r="AF975" s="133"/>
      <c r="AG975" s="133"/>
      <c r="AH975" s="133"/>
      <c r="AI975" s="133"/>
      <c r="AJ975" s="133"/>
      <c r="AK975" s="133"/>
      <c r="AL975" s="133"/>
      <c r="AM975" s="133"/>
      <c r="AN975" s="133"/>
      <c r="AO975" s="133"/>
      <c r="AP975" s="133"/>
      <c r="AQ975" s="133"/>
      <c r="AR975" s="133"/>
      <c r="AS975" s="153">
        <v>0</v>
      </c>
      <c r="AT975" s="153">
        <v>0</v>
      </c>
      <c r="AU975" s="153">
        <v>0</v>
      </c>
      <c r="AV975" s="153">
        <v>0</v>
      </c>
      <c r="AW975" s="153">
        <v>0</v>
      </c>
      <c r="AX975" s="153">
        <v>0</v>
      </c>
      <c r="AY975" s="135"/>
      <c r="AZ975" s="135"/>
      <c r="BA975" s="135"/>
      <c r="BB975" s="135"/>
      <c r="BC975" s="135"/>
      <c r="BD975" s="135"/>
      <c r="BE975" s="135"/>
      <c r="BF975" s="135"/>
      <c r="BG975" s="135"/>
      <c r="BH975" s="135"/>
      <c r="BI975" s="2" t="s">
        <v>112</v>
      </c>
      <c r="BJ975" s="136">
        <v>45449</v>
      </c>
      <c r="BK975" s="2" t="s">
        <v>145</v>
      </c>
      <c r="BL975" s="136" t="s">
        <v>113</v>
      </c>
      <c r="BM975" s="136">
        <v>45309</v>
      </c>
      <c r="BN975" s="2" t="s">
        <v>3252</v>
      </c>
      <c r="BO975" s="2"/>
      <c r="BP975" s="136"/>
      <c r="BQ975" s="137"/>
      <c r="BR975" s="138"/>
    </row>
    <row r="976" spans="1:70" ht="12.75" customHeight="1" x14ac:dyDescent="0.2">
      <c r="A976" s="2">
        <v>2465</v>
      </c>
      <c r="B976" s="2" t="s">
        <v>31</v>
      </c>
      <c r="C976" s="2" t="s">
        <v>32</v>
      </c>
      <c r="D976" s="2" t="s">
        <v>3214</v>
      </c>
      <c r="E976" s="2" t="s">
        <v>110</v>
      </c>
      <c r="F976" s="132">
        <v>5302.5</v>
      </c>
      <c r="G976" s="132">
        <v>2</v>
      </c>
      <c r="H976" s="132">
        <f>3030*1.75</f>
        <v>5302.5</v>
      </c>
      <c r="I976" s="132"/>
      <c r="J976" s="132">
        <v>5302.5</v>
      </c>
      <c r="K976" s="132">
        <f t="shared" si="95"/>
        <v>0</v>
      </c>
      <c r="L976" s="132">
        <f t="shared" si="96"/>
        <v>0</v>
      </c>
      <c r="M976" s="133"/>
      <c r="N976" s="133">
        <f t="shared" si="94"/>
        <v>0</v>
      </c>
      <c r="O976" s="134">
        <v>0</v>
      </c>
      <c r="P976" s="133"/>
      <c r="Q976" s="2" t="s">
        <v>2592</v>
      </c>
      <c r="R976" s="156">
        <f t="shared" si="97"/>
        <v>0</v>
      </c>
      <c r="S976" s="156">
        <f t="shared" si="98"/>
        <v>0</v>
      </c>
      <c r="T976" s="133"/>
      <c r="U976" s="133"/>
      <c r="V976" s="133"/>
      <c r="W976" s="133"/>
      <c r="X976" s="133"/>
      <c r="Y976" s="133"/>
      <c r="Z976" s="133"/>
      <c r="AA976" s="133"/>
      <c r="AB976" s="133"/>
      <c r="AC976" s="133"/>
      <c r="AD976" s="133"/>
      <c r="AE976" s="133"/>
      <c r="AF976" s="133"/>
      <c r="AG976" s="133"/>
      <c r="AH976" s="133"/>
      <c r="AI976" s="133"/>
      <c r="AJ976" s="133"/>
      <c r="AK976" s="133"/>
      <c r="AL976" s="133"/>
      <c r="AM976" s="133"/>
      <c r="AN976" s="133"/>
      <c r="AO976" s="133"/>
      <c r="AP976" s="133"/>
      <c r="AQ976" s="133"/>
      <c r="AR976" s="133"/>
      <c r="AS976" s="153">
        <v>0</v>
      </c>
      <c r="AT976" s="153">
        <v>0</v>
      </c>
      <c r="AU976" s="153">
        <v>0</v>
      </c>
      <c r="AV976" s="153">
        <v>0</v>
      </c>
      <c r="AW976" s="153">
        <v>0</v>
      </c>
      <c r="AX976" s="153">
        <v>0</v>
      </c>
      <c r="AY976" s="135"/>
      <c r="AZ976" s="135"/>
      <c r="BA976" s="135"/>
      <c r="BB976" s="135"/>
      <c r="BC976" s="135"/>
      <c r="BD976" s="135"/>
      <c r="BE976" s="135"/>
      <c r="BF976" s="135"/>
      <c r="BG976" s="135"/>
      <c r="BH976" s="135"/>
      <c r="BI976" s="2" t="s">
        <v>112</v>
      </c>
      <c r="BJ976" s="136">
        <v>45581</v>
      </c>
      <c r="BK976" s="2" t="s">
        <v>145</v>
      </c>
      <c r="BL976" s="136" t="s">
        <v>113</v>
      </c>
      <c r="BM976" s="136">
        <v>45309</v>
      </c>
      <c r="BN976" s="2" t="s">
        <v>3253</v>
      </c>
      <c r="BO976" s="2"/>
      <c r="BP976" s="136"/>
      <c r="BQ976" s="137"/>
      <c r="BR976" s="138"/>
    </row>
    <row r="977" spans="1:70" ht="12.75" customHeight="1" x14ac:dyDescent="0.2">
      <c r="A977" s="2">
        <v>2466</v>
      </c>
      <c r="B977" s="2" t="s">
        <v>31</v>
      </c>
      <c r="C977" s="2" t="s">
        <v>35</v>
      </c>
      <c r="D977" s="2" t="s">
        <v>3215</v>
      </c>
      <c r="E977" s="2" t="s">
        <v>110</v>
      </c>
      <c r="F977" s="132">
        <v>4077.5</v>
      </c>
      <c r="G977" s="132">
        <v>2</v>
      </c>
      <c r="H977" s="132">
        <f>2330*1.75</f>
        <v>4077.5</v>
      </c>
      <c r="I977" s="132"/>
      <c r="J977" s="132">
        <v>4077.5</v>
      </c>
      <c r="K977" s="132">
        <f t="shared" si="95"/>
        <v>0</v>
      </c>
      <c r="L977" s="132">
        <f t="shared" si="96"/>
        <v>0</v>
      </c>
      <c r="M977" s="133"/>
      <c r="N977" s="133">
        <f t="shared" si="94"/>
        <v>0</v>
      </c>
      <c r="O977" s="134">
        <v>0</v>
      </c>
      <c r="P977" s="133"/>
      <c r="Q977" s="2" t="s">
        <v>2273</v>
      </c>
      <c r="R977" s="156">
        <f t="shared" si="97"/>
        <v>0</v>
      </c>
      <c r="S977" s="156">
        <f t="shared" si="98"/>
        <v>0</v>
      </c>
      <c r="T977" s="133"/>
      <c r="U977" s="133"/>
      <c r="V977" s="133"/>
      <c r="W977" s="133"/>
      <c r="X977" s="133"/>
      <c r="Y977" s="133"/>
      <c r="Z977" s="133"/>
      <c r="AA977" s="133"/>
      <c r="AB977" s="133"/>
      <c r="AC977" s="133"/>
      <c r="AD977" s="133"/>
      <c r="AE977" s="133"/>
      <c r="AF977" s="133"/>
      <c r="AG977" s="133"/>
      <c r="AH977" s="133"/>
      <c r="AI977" s="133"/>
      <c r="AJ977" s="133"/>
      <c r="AK977" s="133"/>
      <c r="AL977" s="133"/>
      <c r="AM977" s="133"/>
      <c r="AN977" s="133"/>
      <c r="AO977" s="133"/>
      <c r="AP977" s="133"/>
      <c r="AQ977" s="133"/>
      <c r="AR977" s="133"/>
      <c r="AS977" s="153">
        <v>0</v>
      </c>
      <c r="AT977" s="153">
        <v>0</v>
      </c>
      <c r="AU977" s="153">
        <v>0</v>
      </c>
      <c r="AV977" s="153">
        <v>0</v>
      </c>
      <c r="AW977" s="153">
        <v>0</v>
      </c>
      <c r="AX977" s="153">
        <v>0</v>
      </c>
      <c r="AY977" s="135"/>
      <c r="AZ977" s="135"/>
      <c r="BA977" s="135"/>
      <c r="BB977" s="135"/>
      <c r="BC977" s="135"/>
      <c r="BD977" s="135"/>
      <c r="BE977" s="135"/>
      <c r="BF977" s="135"/>
      <c r="BG977" s="135"/>
      <c r="BH977" s="135"/>
      <c r="BI977" s="2" t="s">
        <v>112</v>
      </c>
      <c r="BJ977" s="136">
        <v>45495</v>
      </c>
      <c r="BK977" s="2" t="s">
        <v>145</v>
      </c>
      <c r="BL977" s="136" t="s">
        <v>113</v>
      </c>
      <c r="BM977" s="136">
        <v>45309</v>
      </c>
      <c r="BN977" s="2" t="s">
        <v>3254</v>
      </c>
      <c r="BO977" s="2"/>
      <c r="BP977" s="136"/>
      <c r="BQ977" s="137"/>
      <c r="BR977" s="138"/>
    </row>
    <row r="978" spans="1:70" ht="12.75" customHeight="1" x14ac:dyDescent="0.2">
      <c r="A978" s="2">
        <v>2467</v>
      </c>
      <c r="B978" s="2" t="s">
        <v>31</v>
      </c>
      <c r="C978" s="2" t="s">
        <v>34</v>
      </c>
      <c r="D978" s="2" t="s">
        <v>3216</v>
      </c>
      <c r="E978" s="2" t="s">
        <v>110</v>
      </c>
      <c r="F978" s="132">
        <v>4539.5</v>
      </c>
      <c r="G978" s="132">
        <v>2</v>
      </c>
      <c r="H978" s="132">
        <f>2594*1.75</f>
        <v>4539.5</v>
      </c>
      <c r="I978" s="132"/>
      <c r="J978" s="132">
        <v>4539.5</v>
      </c>
      <c r="K978" s="132">
        <f t="shared" si="95"/>
        <v>0</v>
      </c>
      <c r="L978" s="132">
        <f t="shared" si="96"/>
        <v>0</v>
      </c>
      <c r="M978" s="133"/>
      <c r="N978" s="133">
        <f t="shared" si="94"/>
        <v>0</v>
      </c>
      <c r="O978" s="134">
        <v>0</v>
      </c>
      <c r="P978" s="133"/>
      <c r="Q978" s="2" t="s">
        <v>2593</v>
      </c>
      <c r="R978" s="156">
        <f t="shared" si="97"/>
        <v>0</v>
      </c>
      <c r="S978" s="156">
        <f t="shared" si="98"/>
        <v>0</v>
      </c>
      <c r="T978" s="133"/>
      <c r="U978" s="133"/>
      <c r="V978" s="133"/>
      <c r="W978" s="133"/>
      <c r="X978" s="133"/>
      <c r="Y978" s="133"/>
      <c r="Z978" s="133"/>
      <c r="AA978" s="133"/>
      <c r="AB978" s="133"/>
      <c r="AC978" s="133"/>
      <c r="AD978" s="133"/>
      <c r="AE978" s="133"/>
      <c r="AF978" s="133"/>
      <c r="AG978" s="133"/>
      <c r="AH978" s="133"/>
      <c r="AI978" s="133"/>
      <c r="AJ978" s="133"/>
      <c r="AK978" s="133"/>
      <c r="AL978" s="133"/>
      <c r="AM978" s="133"/>
      <c r="AN978" s="133"/>
      <c r="AO978" s="133"/>
      <c r="AP978" s="133"/>
      <c r="AQ978" s="133"/>
      <c r="AR978" s="133"/>
      <c r="AS978" s="153">
        <v>0</v>
      </c>
      <c r="AT978" s="153">
        <v>0</v>
      </c>
      <c r="AU978" s="153">
        <v>0</v>
      </c>
      <c r="AV978" s="153">
        <v>0</v>
      </c>
      <c r="AW978" s="153">
        <v>0</v>
      </c>
      <c r="AX978" s="153">
        <v>0</v>
      </c>
      <c r="AY978" s="135"/>
      <c r="AZ978" s="135"/>
      <c r="BA978" s="135"/>
      <c r="BB978" s="135"/>
      <c r="BC978" s="135"/>
      <c r="BD978" s="135"/>
      <c r="BE978" s="135"/>
      <c r="BF978" s="135"/>
      <c r="BG978" s="135"/>
      <c r="BH978" s="135"/>
      <c r="BI978" s="2" t="s">
        <v>112</v>
      </c>
      <c r="BJ978" s="136">
        <v>45495</v>
      </c>
      <c r="BK978" s="2" t="s">
        <v>145</v>
      </c>
      <c r="BL978" s="136" t="s">
        <v>113</v>
      </c>
      <c r="BM978" s="136">
        <v>45309</v>
      </c>
      <c r="BN978" s="2" t="s">
        <v>3255</v>
      </c>
      <c r="BO978" s="2"/>
      <c r="BP978" s="136"/>
      <c r="BQ978" s="137"/>
      <c r="BR978" s="138"/>
    </row>
    <row r="979" spans="1:70" ht="12.75" customHeight="1" x14ac:dyDescent="0.2">
      <c r="A979" s="2">
        <v>2468</v>
      </c>
      <c r="B979" s="2" t="s">
        <v>31</v>
      </c>
      <c r="C979" s="2" t="s">
        <v>36</v>
      </c>
      <c r="D979" s="2" t="s">
        <v>3217</v>
      </c>
      <c r="E979" s="2" t="s">
        <v>110</v>
      </c>
      <c r="F979" s="132">
        <v>4786.25</v>
      </c>
      <c r="G979" s="132">
        <v>2</v>
      </c>
      <c r="H979" s="132">
        <f>2735*1.75</f>
        <v>4786.25</v>
      </c>
      <c r="I979" s="132"/>
      <c r="J979" s="132">
        <v>4786.25</v>
      </c>
      <c r="K979" s="132">
        <f t="shared" si="95"/>
        <v>0</v>
      </c>
      <c r="L979" s="132">
        <f t="shared" si="96"/>
        <v>0</v>
      </c>
      <c r="M979" s="133"/>
      <c r="N979" s="133">
        <f t="shared" si="94"/>
        <v>0</v>
      </c>
      <c r="O979" s="134">
        <v>0</v>
      </c>
      <c r="P979" s="133"/>
      <c r="Q979" s="2" t="s">
        <v>1800</v>
      </c>
      <c r="R979" s="156">
        <f t="shared" si="97"/>
        <v>0</v>
      </c>
      <c r="S979" s="156">
        <f t="shared" si="98"/>
        <v>0</v>
      </c>
      <c r="T979" s="133"/>
      <c r="U979" s="133"/>
      <c r="V979" s="133"/>
      <c r="W979" s="133"/>
      <c r="X979" s="133"/>
      <c r="Y979" s="133"/>
      <c r="Z979" s="133"/>
      <c r="AA979" s="133"/>
      <c r="AB979" s="133"/>
      <c r="AC979" s="133"/>
      <c r="AD979" s="133"/>
      <c r="AE979" s="133"/>
      <c r="AF979" s="133"/>
      <c r="AG979" s="133"/>
      <c r="AH979" s="133"/>
      <c r="AI979" s="133"/>
      <c r="AJ979" s="133"/>
      <c r="AK979" s="133"/>
      <c r="AL979" s="133"/>
      <c r="AM979" s="133"/>
      <c r="AN979" s="133"/>
      <c r="AO979" s="133"/>
      <c r="AP979" s="133"/>
      <c r="AQ979" s="133"/>
      <c r="AR979" s="133"/>
      <c r="AS979" s="153">
        <v>0</v>
      </c>
      <c r="AT979" s="153">
        <v>0</v>
      </c>
      <c r="AU979" s="153">
        <v>0</v>
      </c>
      <c r="AV979" s="153">
        <v>0</v>
      </c>
      <c r="AW979" s="153">
        <v>0</v>
      </c>
      <c r="AX979" s="153">
        <v>0</v>
      </c>
      <c r="AY979" s="135"/>
      <c r="AZ979" s="135"/>
      <c r="BA979" s="135"/>
      <c r="BB979" s="135"/>
      <c r="BC979" s="135"/>
      <c r="BD979" s="135"/>
      <c r="BE979" s="135"/>
      <c r="BF979" s="135"/>
      <c r="BG979" s="135"/>
      <c r="BH979" s="135"/>
      <c r="BI979" s="2" t="s">
        <v>112</v>
      </c>
      <c r="BJ979" s="136">
        <v>45572</v>
      </c>
      <c r="BK979" s="2" t="s">
        <v>145</v>
      </c>
      <c r="BL979" s="136" t="s">
        <v>113</v>
      </c>
      <c r="BM979" s="136">
        <v>45309</v>
      </c>
      <c r="BN979" s="2" t="s">
        <v>3256</v>
      </c>
      <c r="BO979" s="2"/>
      <c r="BP979" s="136"/>
      <c r="BQ979" s="137"/>
      <c r="BR979" s="138"/>
    </row>
    <row r="980" spans="1:70" ht="12.75" customHeight="1" x14ac:dyDescent="0.2">
      <c r="A980" s="2">
        <v>2469</v>
      </c>
      <c r="B980" s="2" t="s">
        <v>31</v>
      </c>
      <c r="C980" s="2" t="s">
        <v>34</v>
      </c>
      <c r="D980" s="2" t="s">
        <v>3218</v>
      </c>
      <c r="E980" s="2" t="s">
        <v>110</v>
      </c>
      <c r="F980" s="132">
        <v>1172.5</v>
      </c>
      <c r="G980" s="132">
        <v>2</v>
      </c>
      <c r="H980" s="132">
        <f>670*1.75</f>
        <v>1172.5</v>
      </c>
      <c r="I980" s="132"/>
      <c r="J980" s="132">
        <v>1172.5</v>
      </c>
      <c r="K980" s="132">
        <f t="shared" si="95"/>
        <v>0</v>
      </c>
      <c r="L980" s="132">
        <f t="shared" si="96"/>
        <v>0</v>
      </c>
      <c r="M980" s="133"/>
      <c r="N980" s="133">
        <f t="shared" si="94"/>
        <v>0</v>
      </c>
      <c r="O980" s="134">
        <v>0</v>
      </c>
      <c r="P980" s="133"/>
      <c r="Q980" s="2" t="s">
        <v>2596</v>
      </c>
      <c r="R980" s="156">
        <f t="shared" si="97"/>
        <v>0</v>
      </c>
      <c r="S980" s="156">
        <f t="shared" si="98"/>
        <v>0</v>
      </c>
      <c r="T980" s="133"/>
      <c r="U980" s="133"/>
      <c r="V980" s="133"/>
      <c r="W980" s="133"/>
      <c r="X980" s="133"/>
      <c r="Y980" s="133"/>
      <c r="Z980" s="133"/>
      <c r="AA980" s="133"/>
      <c r="AB980" s="133"/>
      <c r="AC980" s="133"/>
      <c r="AD980" s="133"/>
      <c r="AE980" s="133"/>
      <c r="AF980" s="133"/>
      <c r="AG980" s="133"/>
      <c r="AH980" s="133"/>
      <c r="AI980" s="133"/>
      <c r="AJ980" s="133"/>
      <c r="AK980" s="133"/>
      <c r="AL980" s="133"/>
      <c r="AM980" s="133"/>
      <c r="AN980" s="133"/>
      <c r="AO980" s="133"/>
      <c r="AP980" s="133"/>
      <c r="AQ980" s="133"/>
      <c r="AR980" s="133"/>
      <c r="AS980" s="153">
        <v>0</v>
      </c>
      <c r="AT980" s="153">
        <v>0</v>
      </c>
      <c r="AU980" s="153">
        <v>0</v>
      </c>
      <c r="AV980" s="153">
        <v>0</v>
      </c>
      <c r="AW980" s="153">
        <v>0</v>
      </c>
      <c r="AX980" s="153">
        <v>0</v>
      </c>
      <c r="AY980" s="135"/>
      <c r="AZ980" s="135"/>
      <c r="BA980" s="135"/>
      <c r="BB980" s="135"/>
      <c r="BC980" s="135"/>
      <c r="BD980" s="135"/>
      <c r="BE980" s="135"/>
      <c r="BF980" s="135"/>
      <c r="BG980" s="135"/>
      <c r="BH980" s="135"/>
      <c r="BI980" s="2" t="s">
        <v>112</v>
      </c>
      <c r="BJ980" s="136">
        <v>45449</v>
      </c>
      <c r="BK980" s="2" t="s">
        <v>145</v>
      </c>
      <c r="BL980" s="136" t="s">
        <v>113</v>
      </c>
      <c r="BM980" s="136">
        <v>45309</v>
      </c>
      <c r="BN980" s="2" t="s">
        <v>3257</v>
      </c>
      <c r="BO980" s="2"/>
      <c r="BP980" s="136"/>
      <c r="BQ980" s="137"/>
      <c r="BR980" s="138"/>
    </row>
    <row r="981" spans="1:70" ht="12.75" customHeight="1" x14ac:dyDescent="0.2">
      <c r="A981" s="2">
        <v>2470</v>
      </c>
      <c r="B981" s="2" t="s">
        <v>31</v>
      </c>
      <c r="C981" s="2" t="s">
        <v>34</v>
      </c>
      <c r="D981" s="2" t="s">
        <v>3219</v>
      </c>
      <c r="E981" s="2" t="s">
        <v>110</v>
      </c>
      <c r="F981" s="132">
        <v>2093</v>
      </c>
      <c r="G981" s="132">
        <v>2</v>
      </c>
      <c r="H981" s="132">
        <f>1196*1.75</f>
        <v>2093</v>
      </c>
      <c r="I981" s="132"/>
      <c r="J981" s="132">
        <v>2093</v>
      </c>
      <c r="K981" s="132">
        <f t="shared" si="95"/>
        <v>0</v>
      </c>
      <c r="L981" s="132">
        <f t="shared" si="96"/>
        <v>0</v>
      </c>
      <c r="M981" s="133"/>
      <c r="N981" s="133">
        <f t="shared" si="94"/>
        <v>0</v>
      </c>
      <c r="O981" s="134">
        <v>0</v>
      </c>
      <c r="P981" s="133"/>
      <c r="Q981" s="2" t="s">
        <v>2597</v>
      </c>
      <c r="R981" s="156">
        <f t="shared" si="97"/>
        <v>0</v>
      </c>
      <c r="S981" s="156">
        <f t="shared" si="98"/>
        <v>0</v>
      </c>
      <c r="T981" s="133"/>
      <c r="U981" s="133"/>
      <c r="V981" s="133"/>
      <c r="W981" s="133"/>
      <c r="X981" s="133"/>
      <c r="Y981" s="133"/>
      <c r="Z981" s="133"/>
      <c r="AA981" s="133"/>
      <c r="AB981" s="133"/>
      <c r="AC981" s="133"/>
      <c r="AD981" s="133"/>
      <c r="AE981" s="133"/>
      <c r="AF981" s="133"/>
      <c r="AG981" s="133"/>
      <c r="AH981" s="133"/>
      <c r="AI981" s="133"/>
      <c r="AJ981" s="133"/>
      <c r="AK981" s="133"/>
      <c r="AL981" s="133"/>
      <c r="AM981" s="133"/>
      <c r="AN981" s="133"/>
      <c r="AO981" s="133"/>
      <c r="AP981" s="133"/>
      <c r="AQ981" s="133"/>
      <c r="AR981" s="133"/>
      <c r="AS981" s="153">
        <v>0</v>
      </c>
      <c r="AT981" s="153">
        <v>0</v>
      </c>
      <c r="AU981" s="153">
        <v>0</v>
      </c>
      <c r="AV981" s="153">
        <v>0</v>
      </c>
      <c r="AW981" s="153">
        <v>0</v>
      </c>
      <c r="AX981" s="153">
        <v>0</v>
      </c>
      <c r="AY981" s="135"/>
      <c r="AZ981" s="135"/>
      <c r="BA981" s="135"/>
      <c r="BB981" s="135"/>
      <c r="BC981" s="135"/>
      <c r="BD981" s="135"/>
      <c r="BE981" s="135"/>
      <c r="BF981" s="135"/>
      <c r="BG981" s="135"/>
      <c r="BH981" s="135"/>
      <c r="BI981" s="2" t="s">
        <v>112</v>
      </c>
      <c r="BJ981" s="136">
        <v>45449</v>
      </c>
      <c r="BK981" s="2" t="s">
        <v>145</v>
      </c>
      <c r="BL981" s="136" t="s">
        <v>113</v>
      </c>
      <c r="BM981" s="136">
        <v>45309</v>
      </c>
      <c r="BN981" s="2" t="s">
        <v>3258</v>
      </c>
      <c r="BO981" s="2"/>
      <c r="BP981" s="136"/>
      <c r="BQ981" s="137"/>
      <c r="BR981" s="138"/>
    </row>
    <row r="982" spans="1:70" ht="12.75" customHeight="1" x14ac:dyDescent="0.2">
      <c r="A982" s="2">
        <v>2471</v>
      </c>
      <c r="B982" s="2" t="s">
        <v>54</v>
      </c>
      <c r="C982" s="2" t="s">
        <v>17</v>
      </c>
      <c r="D982" s="2" t="s">
        <v>3220</v>
      </c>
      <c r="E982" s="2" t="s">
        <v>110</v>
      </c>
      <c r="F982" s="132">
        <v>2619.75</v>
      </c>
      <c r="G982" s="132">
        <v>2</v>
      </c>
      <c r="H982" s="132">
        <f>1497*1.75</f>
        <v>2619.75</v>
      </c>
      <c r="I982" s="132"/>
      <c r="J982" s="132">
        <v>2619.75</v>
      </c>
      <c r="K982" s="132">
        <f t="shared" si="95"/>
        <v>0</v>
      </c>
      <c r="L982" s="132">
        <f t="shared" si="96"/>
        <v>0</v>
      </c>
      <c r="M982" s="133"/>
      <c r="N982" s="133">
        <f t="shared" si="94"/>
        <v>0</v>
      </c>
      <c r="O982" s="134">
        <v>0</v>
      </c>
      <c r="P982" s="133"/>
      <c r="Q982" s="2" t="s">
        <v>2598</v>
      </c>
      <c r="R982" s="156">
        <f t="shared" si="97"/>
        <v>0</v>
      </c>
      <c r="S982" s="156">
        <f t="shared" si="98"/>
        <v>0</v>
      </c>
      <c r="T982" s="133"/>
      <c r="U982" s="133"/>
      <c r="V982" s="133"/>
      <c r="W982" s="133"/>
      <c r="X982" s="133"/>
      <c r="Y982" s="133"/>
      <c r="Z982" s="133"/>
      <c r="AA982" s="133"/>
      <c r="AB982" s="133"/>
      <c r="AC982" s="133"/>
      <c r="AD982" s="133"/>
      <c r="AE982" s="133"/>
      <c r="AF982" s="133"/>
      <c r="AG982" s="133"/>
      <c r="AH982" s="133"/>
      <c r="AI982" s="133"/>
      <c r="AJ982" s="133"/>
      <c r="AK982" s="133"/>
      <c r="AL982" s="133"/>
      <c r="AM982" s="133"/>
      <c r="AN982" s="133"/>
      <c r="AO982" s="133"/>
      <c r="AP982" s="133"/>
      <c r="AQ982" s="133"/>
      <c r="AR982" s="133"/>
      <c r="AS982" s="153">
        <v>0</v>
      </c>
      <c r="AT982" s="153">
        <v>0</v>
      </c>
      <c r="AU982" s="153">
        <v>0</v>
      </c>
      <c r="AV982" s="153">
        <v>0</v>
      </c>
      <c r="AW982" s="153">
        <v>0</v>
      </c>
      <c r="AX982" s="153">
        <v>0</v>
      </c>
      <c r="AY982" s="135"/>
      <c r="AZ982" s="135"/>
      <c r="BA982" s="135"/>
      <c r="BB982" s="135"/>
      <c r="BC982" s="135"/>
      <c r="BD982" s="135"/>
      <c r="BE982" s="135"/>
      <c r="BF982" s="135"/>
      <c r="BG982" s="135"/>
      <c r="BH982" s="135"/>
      <c r="BI982" s="2" t="s">
        <v>112</v>
      </c>
      <c r="BJ982" s="136">
        <v>45449</v>
      </c>
      <c r="BK982" s="2" t="s">
        <v>145</v>
      </c>
      <c r="BL982" s="136" t="s">
        <v>113</v>
      </c>
      <c r="BM982" s="136">
        <v>45309</v>
      </c>
      <c r="BN982" s="2" t="s">
        <v>3259</v>
      </c>
      <c r="BO982" s="2"/>
      <c r="BP982" s="136"/>
      <c r="BQ982" s="137"/>
      <c r="BR982" s="138"/>
    </row>
    <row r="983" spans="1:70" ht="12.75" customHeight="1" x14ac:dyDescent="0.2">
      <c r="A983" s="2">
        <v>2472</v>
      </c>
      <c r="B983" s="2" t="s">
        <v>31</v>
      </c>
      <c r="C983" s="2" t="s">
        <v>34</v>
      </c>
      <c r="D983" s="2" t="s">
        <v>2659</v>
      </c>
      <c r="E983" s="2" t="s">
        <v>110</v>
      </c>
      <c r="F983" s="132">
        <v>2908.5</v>
      </c>
      <c r="G983" s="132">
        <v>2</v>
      </c>
      <c r="H983" s="132">
        <f>1662*1.75</f>
        <v>2908.5</v>
      </c>
      <c r="I983" s="132"/>
      <c r="J983" s="132">
        <v>2908.5</v>
      </c>
      <c r="K983" s="132">
        <f t="shared" si="95"/>
        <v>0</v>
      </c>
      <c r="L983" s="132">
        <f t="shared" si="96"/>
        <v>0</v>
      </c>
      <c r="M983" s="133"/>
      <c r="N983" s="133">
        <f t="shared" si="94"/>
        <v>0</v>
      </c>
      <c r="O983" s="134">
        <v>0</v>
      </c>
      <c r="P983" s="133"/>
      <c r="Q983" s="2" t="s">
        <v>2601</v>
      </c>
      <c r="R983" s="156">
        <f t="shared" si="97"/>
        <v>0</v>
      </c>
      <c r="S983" s="156">
        <f t="shared" si="98"/>
        <v>0</v>
      </c>
      <c r="T983" s="133"/>
      <c r="U983" s="133"/>
      <c r="V983" s="133"/>
      <c r="W983" s="133"/>
      <c r="X983" s="133"/>
      <c r="Y983" s="133"/>
      <c r="Z983" s="133"/>
      <c r="AA983" s="133"/>
      <c r="AB983" s="133"/>
      <c r="AC983" s="133"/>
      <c r="AD983" s="133"/>
      <c r="AE983" s="133"/>
      <c r="AF983" s="133"/>
      <c r="AG983" s="133"/>
      <c r="AH983" s="133"/>
      <c r="AI983" s="133"/>
      <c r="AJ983" s="133"/>
      <c r="AK983" s="133"/>
      <c r="AL983" s="133"/>
      <c r="AM983" s="133"/>
      <c r="AN983" s="133"/>
      <c r="AO983" s="133"/>
      <c r="AP983" s="133"/>
      <c r="AQ983" s="133"/>
      <c r="AR983" s="133"/>
      <c r="AS983" s="153">
        <v>0</v>
      </c>
      <c r="AT983" s="153">
        <v>0</v>
      </c>
      <c r="AU983" s="153">
        <v>0</v>
      </c>
      <c r="AV983" s="153">
        <v>0</v>
      </c>
      <c r="AW983" s="153">
        <v>0</v>
      </c>
      <c r="AX983" s="153">
        <v>0</v>
      </c>
      <c r="AY983" s="135"/>
      <c r="AZ983" s="135"/>
      <c r="BA983" s="135"/>
      <c r="BB983" s="135"/>
      <c r="BC983" s="135"/>
      <c r="BD983" s="135"/>
      <c r="BE983" s="135"/>
      <c r="BF983" s="135"/>
      <c r="BG983" s="135"/>
      <c r="BH983" s="135"/>
      <c r="BI983" s="2" t="s">
        <v>112</v>
      </c>
      <c r="BJ983" s="136">
        <v>45495</v>
      </c>
      <c r="BK983" s="2" t="s">
        <v>145</v>
      </c>
      <c r="BL983" s="136" t="s">
        <v>113</v>
      </c>
      <c r="BM983" s="136">
        <v>45309</v>
      </c>
      <c r="BN983" s="2" t="s">
        <v>3260</v>
      </c>
      <c r="BO983" s="2"/>
      <c r="BP983" s="136"/>
      <c r="BQ983" s="137"/>
      <c r="BR983" s="138"/>
    </row>
    <row r="984" spans="1:70" ht="12.75" customHeight="1" x14ac:dyDescent="0.2">
      <c r="A984" s="2">
        <v>2473</v>
      </c>
      <c r="B984" s="2" t="s">
        <v>31</v>
      </c>
      <c r="C984" s="2" t="s">
        <v>34</v>
      </c>
      <c r="D984" s="2" t="s">
        <v>2660</v>
      </c>
      <c r="E984" s="2" t="s">
        <v>110</v>
      </c>
      <c r="F984" s="132">
        <v>2957.5</v>
      </c>
      <c r="G984" s="132">
        <v>2</v>
      </c>
      <c r="H984" s="132">
        <f>1690*1.75</f>
        <v>2957.5</v>
      </c>
      <c r="I984" s="132"/>
      <c r="J984" s="132">
        <v>2957.5</v>
      </c>
      <c r="K984" s="132">
        <f t="shared" si="95"/>
        <v>0</v>
      </c>
      <c r="L984" s="132">
        <f t="shared" si="96"/>
        <v>0</v>
      </c>
      <c r="M984" s="133"/>
      <c r="N984" s="133">
        <f t="shared" si="94"/>
        <v>0</v>
      </c>
      <c r="O984" s="134">
        <v>0</v>
      </c>
      <c r="P984" s="133"/>
      <c r="Q984" s="2" t="s">
        <v>2602</v>
      </c>
      <c r="R984" s="156">
        <f t="shared" si="97"/>
        <v>0</v>
      </c>
      <c r="S984" s="156">
        <f t="shared" si="98"/>
        <v>0</v>
      </c>
      <c r="T984" s="133"/>
      <c r="U984" s="133"/>
      <c r="V984" s="133"/>
      <c r="W984" s="133"/>
      <c r="X984" s="133"/>
      <c r="Y984" s="133"/>
      <c r="Z984" s="133"/>
      <c r="AA984" s="133"/>
      <c r="AB984" s="133"/>
      <c r="AC984" s="133"/>
      <c r="AD984" s="133"/>
      <c r="AE984" s="133"/>
      <c r="AF984" s="133"/>
      <c r="AG984" s="133"/>
      <c r="AH984" s="133"/>
      <c r="AI984" s="133"/>
      <c r="AJ984" s="133"/>
      <c r="AK984" s="133"/>
      <c r="AL984" s="133"/>
      <c r="AM984" s="133"/>
      <c r="AN984" s="133"/>
      <c r="AO984" s="133"/>
      <c r="AP984" s="133"/>
      <c r="AQ984" s="133"/>
      <c r="AR984" s="133"/>
      <c r="AS984" s="153">
        <v>0</v>
      </c>
      <c r="AT984" s="153">
        <v>0</v>
      </c>
      <c r="AU984" s="153">
        <v>0</v>
      </c>
      <c r="AV984" s="153">
        <v>0</v>
      </c>
      <c r="AW984" s="153">
        <v>0</v>
      </c>
      <c r="AX984" s="153">
        <v>0</v>
      </c>
      <c r="AY984" s="135"/>
      <c r="AZ984" s="135"/>
      <c r="BA984" s="135"/>
      <c r="BB984" s="135"/>
      <c r="BC984" s="135"/>
      <c r="BD984" s="135"/>
      <c r="BE984" s="135"/>
      <c r="BF984" s="135"/>
      <c r="BG984" s="135"/>
      <c r="BH984" s="135"/>
      <c r="BI984" s="2" t="s">
        <v>112</v>
      </c>
      <c r="BJ984" s="136">
        <v>45449</v>
      </c>
      <c r="BK984" s="2" t="s">
        <v>145</v>
      </c>
      <c r="BL984" s="136" t="s">
        <v>113</v>
      </c>
      <c r="BM984" s="136">
        <v>45309</v>
      </c>
      <c r="BN984" s="2" t="s">
        <v>3261</v>
      </c>
      <c r="BO984" s="2"/>
      <c r="BP984" s="136"/>
      <c r="BQ984" s="137"/>
      <c r="BR984" s="138"/>
    </row>
    <row r="985" spans="1:70" ht="12.75" customHeight="1" x14ac:dyDescent="0.2">
      <c r="A985" s="2">
        <v>2474</v>
      </c>
      <c r="B985" s="2" t="s">
        <v>31</v>
      </c>
      <c r="C985" s="2" t="s">
        <v>36</v>
      </c>
      <c r="D985" s="2" t="s">
        <v>3221</v>
      </c>
      <c r="E985" s="2" t="s">
        <v>110</v>
      </c>
      <c r="F985" s="132">
        <f>800*1.75</f>
        <v>1400</v>
      </c>
      <c r="G985" s="132">
        <v>2</v>
      </c>
      <c r="H985" s="132">
        <f>800*1.75</f>
        <v>1400</v>
      </c>
      <c r="I985" s="132"/>
      <c r="J985" s="132">
        <v>1400</v>
      </c>
      <c r="K985" s="132">
        <f t="shared" si="95"/>
        <v>0</v>
      </c>
      <c r="L985" s="132">
        <f t="shared" si="96"/>
        <v>0</v>
      </c>
      <c r="M985" s="133"/>
      <c r="N985" s="133">
        <f t="shared" si="94"/>
        <v>0</v>
      </c>
      <c r="O985" s="134">
        <v>0</v>
      </c>
      <c r="P985" s="133"/>
      <c r="Q985" s="2" t="s">
        <v>1799</v>
      </c>
      <c r="R985" s="156">
        <f t="shared" si="97"/>
        <v>0</v>
      </c>
      <c r="S985" s="156">
        <f t="shared" si="98"/>
        <v>0</v>
      </c>
      <c r="T985" s="133"/>
      <c r="U985" s="133"/>
      <c r="V985" s="133"/>
      <c r="W985" s="133"/>
      <c r="X985" s="133"/>
      <c r="Y985" s="133"/>
      <c r="Z985" s="133"/>
      <c r="AA985" s="133"/>
      <c r="AB985" s="133"/>
      <c r="AC985" s="133"/>
      <c r="AD985" s="133"/>
      <c r="AE985" s="133"/>
      <c r="AF985" s="133"/>
      <c r="AG985" s="133"/>
      <c r="AH985" s="133"/>
      <c r="AI985" s="133"/>
      <c r="AJ985" s="133"/>
      <c r="AK985" s="133"/>
      <c r="AL985" s="133"/>
      <c r="AM985" s="133"/>
      <c r="AN985" s="133"/>
      <c r="AO985" s="133"/>
      <c r="AP985" s="133"/>
      <c r="AQ985" s="133"/>
      <c r="AR985" s="133"/>
      <c r="AS985" s="153">
        <v>0</v>
      </c>
      <c r="AT985" s="153">
        <v>0</v>
      </c>
      <c r="AU985" s="153">
        <v>0</v>
      </c>
      <c r="AV985" s="153">
        <v>0</v>
      </c>
      <c r="AW985" s="153">
        <v>0</v>
      </c>
      <c r="AX985" s="153">
        <v>0</v>
      </c>
      <c r="AY985" s="135"/>
      <c r="AZ985" s="135"/>
      <c r="BA985" s="135"/>
      <c r="BB985" s="135"/>
      <c r="BC985" s="135"/>
      <c r="BD985" s="135"/>
      <c r="BE985" s="135"/>
      <c r="BF985" s="135"/>
      <c r="BG985" s="135"/>
      <c r="BH985" s="135"/>
      <c r="BI985" s="2" t="s">
        <v>112</v>
      </c>
      <c r="BJ985" s="136">
        <v>45449</v>
      </c>
      <c r="BK985" s="2" t="s">
        <v>145</v>
      </c>
      <c r="BL985" s="136" t="s">
        <v>113</v>
      </c>
      <c r="BM985" s="136">
        <v>45309</v>
      </c>
      <c r="BN985" s="2" t="s">
        <v>3262</v>
      </c>
      <c r="BO985" s="2"/>
      <c r="BP985" s="136"/>
      <c r="BQ985" s="137"/>
      <c r="BR985" s="138"/>
    </row>
    <row r="986" spans="1:70" ht="12.75" customHeight="1" x14ac:dyDescent="0.2">
      <c r="A986" s="2">
        <v>2475</v>
      </c>
      <c r="B986" s="2" t="s">
        <v>31</v>
      </c>
      <c r="C986" s="2" t="s">
        <v>33</v>
      </c>
      <c r="D986" s="2" t="s">
        <v>2661</v>
      </c>
      <c r="E986" s="2" t="s">
        <v>110</v>
      </c>
      <c r="F986" s="132">
        <v>0</v>
      </c>
      <c r="G986" s="132">
        <v>2</v>
      </c>
      <c r="H986" s="132"/>
      <c r="I986" s="132"/>
      <c r="J986" s="132"/>
      <c r="K986" s="132">
        <f t="shared" si="95"/>
        <v>0</v>
      </c>
      <c r="L986" s="132">
        <f t="shared" si="96"/>
        <v>0</v>
      </c>
      <c r="M986" s="133"/>
      <c r="N986" s="133">
        <f t="shared" si="94"/>
        <v>0</v>
      </c>
      <c r="O986" s="134">
        <v>2</v>
      </c>
      <c r="P986" s="133"/>
      <c r="Q986" s="2" t="s">
        <v>2604</v>
      </c>
      <c r="R986" s="156">
        <f t="shared" si="97"/>
        <v>0</v>
      </c>
      <c r="S986" s="156">
        <f t="shared" si="98"/>
        <v>0</v>
      </c>
      <c r="T986" s="133"/>
      <c r="U986" s="133"/>
      <c r="V986" s="133"/>
      <c r="W986" s="133"/>
      <c r="X986" s="133"/>
      <c r="Y986" s="133"/>
      <c r="Z986" s="133"/>
      <c r="AA986" s="133"/>
      <c r="AB986" s="133"/>
      <c r="AC986" s="133"/>
      <c r="AD986" s="133"/>
      <c r="AE986" s="133"/>
      <c r="AF986" s="133"/>
      <c r="AG986" s="133"/>
      <c r="AH986" s="133"/>
      <c r="AI986" s="133"/>
      <c r="AJ986" s="133"/>
      <c r="AK986" s="133"/>
      <c r="AL986" s="133"/>
      <c r="AM986" s="133"/>
      <c r="AN986" s="133"/>
      <c r="AO986" s="133"/>
      <c r="AP986" s="133"/>
      <c r="AQ986" s="133"/>
      <c r="AR986" s="133"/>
      <c r="AS986" s="153">
        <v>0</v>
      </c>
      <c r="AT986" s="153">
        <v>0</v>
      </c>
      <c r="AU986" s="153">
        <v>0</v>
      </c>
      <c r="AV986" s="153">
        <v>0</v>
      </c>
      <c r="AW986" s="153">
        <v>0</v>
      </c>
      <c r="AX986" s="153">
        <v>0</v>
      </c>
      <c r="AY986" s="135"/>
      <c r="AZ986" s="135"/>
      <c r="BA986" s="135"/>
      <c r="BB986" s="135"/>
      <c r="BC986" s="135"/>
      <c r="BD986" s="135"/>
      <c r="BE986" s="135"/>
      <c r="BF986" s="135"/>
      <c r="BG986" s="135"/>
      <c r="BH986" s="135"/>
      <c r="BI986" s="2" t="s">
        <v>112</v>
      </c>
      <c r="BJ986" s="136"/>
      <c r="BK986" s="2">
        <v>0</v>
      </c>
      <c r="BL986" s="136" t="s">
        <v>113</v>
      </c>
      <c r="BM986" s="136">
        <v>45309</v>
      </c>
      <c r="BN986" s="2" t="s">
        <v>3263</v>
      </c>
      <c r="BO986" s="2"/>
      <c r="BP986" s="136"/>
      <c r="BQ986" s="137"/>
      <c r="BR986" s="138"/>
    </row>
    <row r="987" spans="1:70" ht="12.75" customHeight="1" x14ac:dyDescent="0.2">
      <c r="A987" s="2">
        <v>2476</v>
      </c>
      <c r="B987" s="2" t="s">
        <v>31</v>
      </c>
      <c r="C987" s="2" t="s">
        <v>34</v>
      </c>
      <c r="D987" s="2" t="s">
        <v>2662</v>
      </c>
      <c r="E987" s="2" t="s">
        <v>110</v>
      </c>
      <c r="F987" s="132">
        <v>2443</v>
      </c>
      <c r="G987" s="132">
        <v>2</v>
      </c>
      <c r="H987" s="132">
        <f>1396*1.75</f>
        <v>2443</v>
      </c>
      <c r="I987" s="132"/>
      <c r="J987" s="132">
        <v>2443</v>
      </c>
      <c r="K987" s="132">
        <f t="shared" si="95"/>
        <v>0</v>
      </c>
      <c r="L987" s="132">
        <f t="shared" si="96"/>
        <v>0</v>
      </c>
      <c r="M987" s="133"/>
      <c r="N987" s="133">
        <f t="shared" si="94"/>
        <v>0</v>
      </c>
      <c r="O987" s="134">
        <v>0</v>
      </c>
      <c r="P987" s="133"/>
      <c r="Q987" s="2" t="s">
        <v>2605</v>
      </c>
      <c r="R987" s="156">
        <f t="shared" si="97"/>
        <v>0</v>
      </c>
      <c r="S987" s="156">
        <f t="shared" si="98"/>
        <v>0</v>
      </c>
      <c r="T987" s="133"/>
      <c r="U987" s="133"/>
      <c r="V987" s="133"/>
      <c r="W987" s="133"/>
      <c r="X987" s="133"/>
      <c r="Y987" s="133"/>
      <c r="Z987" s="133"/>
      <c r="AA987" s="133"/>
      <c r="AB987" s="133"/>
      <c r="AC987" s="133"/>
      <c r="AD987" s="133"/>
      <c r="AE987" s="133"/>
      <c r="AF987" s="133"/>
      <c r="AG987" s="133"/>
      <c r="AH987" s="133"/>
      <c r="AI987" s="133"/>
      <c r="AJ987" s="133"/>
      <c r="AK987" s="133"/>
      <c r="AL987" s="133"/>
      <c r="AM987" s="133"/>
      <c r="AN987" s="133"/>
      <c r="AO987" s="133"/>
      <c r="AP987" s="133"/>
      <c r="AQ987" s="133"/>
      <c r="AR987" s="133"/>
      <c r="AS987" s="153">
        <v>0</v>
      </c>
      <c r="AT987" s="153">
        <v>0</v>
      </c>
      <c r="AU987" s="153">
        <v>0</v>
      </c>
      <c r="AV987" s="153">
        <v>0</v>
      </c>
      <c r="AW987" s="153">
        <v>0</v>
      </c>
      <c r="AX987" s="153">
        <v>0</v>
      </c>
      <c r="AY987" s="135"/>
      <c r="AZ987" s="135"/>
      <c r="BA987" s="135"/>
      <c r="BB987" s="135"/>
      <c r="BC987" s="135"/>
      <c r="BD987" s="135"/>
      <c r="BE987" s="135"/>
      <c r="BF987" s="135"/>
      <c r="BG987" s="135"/>
      <c r="BH987" s="135"/>
      <c r="BI987" s="2" t="s">
        <v>112</v>
      </c>
      <c r="BJ987" s="136">
        <v>45449</v>
      </c>
      <c r="BK987" s="2" t="s">
        <v>145</v>
      </c>
      <c r="BL987" s="136" t="s">
        <v>113</v>
      </c>
      <c r="BM987" s="136">
        <v>45309</v>
      </c>
      <c r="BN987" s="2" t="s">
        <v>3264</v>
      </c>
      <c r="BO987" s="2"/>
      <c r="BP987" s="136"/>
      <c r="BQ987" s="137"/>
      <c r="BR987" s="138"/>
    </row>
    <row r="988" spans="1:70" ht="12.75" customHeight="1" x14ac:dyDescent="0.2">
      <c r="A988" s="2">
        <v>2477</v>
      </c>
      <c r="B988" s="2" t="s">
        <v>31</v>
      </c>
      <c r="C988" s="2" t="s">
        <v>35</v>
      </c>
      <c r="D988" s="2" t="s">
        <v>2685</v>
      </c>
      <c r="E988" s="2" t="s">
        <v>110</v>
      </c>
      <c r="F988" s="132">
        <v>4425.75</v>
      </c>
      <c r="G988" s="132">
        <v>2</v>
      </c>
      <c r="H988" s="132">
        <f>2529*1.75</f>
        <v>4425.75</v>
      </c>
      <c r="I988" s="132"/>
      <c r="J988" s="132">
        <v>4425.75</v>
      </c>
      <c r="K988" s="132">
        <f t="shared" si="95"/>
        <v>0</v>
      </c>
      <c r="L988" s="132">
        <f t="shared" si="96"/>
        <v>0</v>
      </c>
      <c r="M988" s="133"/>
      <c r="N988" s="133">
        <f t="shared" si="94"/>
        <v>0</v>
      </c>
      <c r="O988" s="134">
        <v>0</v>
      </c>
      <c r="P988" s="133"/>
      <c r="Q988" s="2" t="s">
        <v>2606</v>
      </c>
      <c r="R988" s="156">
        <f t="shared" si="97"/>
        <v>0</v>
      </c>
      <c r="S988" s="156">
        <f t="shared" si="98"/>
        <v>0</v>
      </c>
      <c r="T988" s="133"/>
      <c r="U988" s="133"/>
      <c r="V988" s="133"/>
      <c r="W988" s="133"/>
      <c r="X988" s="133"/>
      <c r="Y988" s="133"/>
      <c r="Z988" s="133"/>
      <c r="AA988" s="133"/>
      <c r="AB988" s="133"/>
      <c r="AC988" s="133"/>
      <c r="AD988" s="133"/>
      <c r="AE988" s="133"/>
      <c r="AF988" s="133"/>
      <c r="AG988" s="133"/>
      <c r="AH988" s="133"/>
      <c r="AI988" s="133"/>
      <c r="AJ988" s="133"/>
      <c r="AK988" s="133"/>
      <c r="AL988" s="133"/>
      <c r="AM988" s="133"/>
      <c r="AN988" s="133"/>
      <c r="AO988" s="133"/>
      <c r="AP988" s="133"/>
      <c r="AQ988" s="133"/>
      <c r="AR988" s="133"/>
      <c r="AS988" s="153">
        <v>0</v>
      </c>
      <c r="AT988" s="153">
        <v>0</v>
      </c>
      <c r="AU988" s="153">
        <v>0</v>
      </c>
      <c r="AV988" s="153">
        <v>0</v>
      </c>
      <c r="AW988" s="153">
        <v>0</v>
      </c>
      <c r="AX988" s="153">
        <v>0</v>
      </c>
      <c r="AY988" s="135"/>
      <c r="AZ988" s="135"/>
      <c r="BA988" s="135"/>
      <c r="BB988" s="135"/>
      <c r="BC988" s="135"/>
      <c r="BD988" s="135"/>
      <c r="BE988" s="135"/>
      <c r="BF988" s="135"/>
      <c r="BG988" s="135"/>
      <c r="BH988" s="135"/>
      <c r="BI988" s="2" t="s">
        <v>112</v>
      </c>
      <c r="BJ988" s="136">
        <v>45572</v>
      </c>
      <c r="BK988" s="2" t="s">
        <v>145</v>
      </c>
      <c r="BL988" s="136" t="s">
        <v>113</v>
      </c>
      <c r="BM988" s="136">
        <v>45309</v>
      </c>
      <c r="BN988" s="2" t="s">
        <v>3265</v>
      </c>
      <c r="BO988" s="2"/>
      <c r="BP988" s="136"/>
      <c r="BQ988" s="137"/>
      <c r="BR988" s="138"/>
    </row>
    <row r="989" spans="1:70" ht="12.75" customHeight="1" x14ac:dyDescent="0.2">
      <c r="A989" s="2">
        <v>2478</v>
      </c>
      <c r="B989" s="2" t="s">
        <v>31</v>
      </c>
      <c r="C989" s="2" t="s">
        <v>32</v>
      </c>
      <c r="D989" s="2" t="s">
        <v>2663</v>
      </c>
      <c r="E989" s="2" t="s">
        <v>110</v>
      </c>
      <c r="F989" s="132">
        <v>0</v>
      </c>
      <c r="G989" s="132">
        <v>2</v>
      </c>
      <c r="H989" s="132"/>
      <c r="I989" s="132"/>
      <c r="J989" s="132"/>
      <c r="K989" s="132">
        <f t="shared" si="95"/>
        <v>0</v>
      </c>
      <c r="L989" s="132">
        <f t="shared" si="96"/>
        <v>0</v>
      </c>
      <c r="M989" s="133"/>
      <c r="N989" s="133">
        <f t="shared" si="94"/>
        <v>0</v>
      </c>
      <c r="O989" s="134">
        <v>2</v>
      </c>
      <c r="P989" s="133"/>
      <c r="Q989" s="2" t="s">
        <v>2607</v>
      </c>
      <c r="R989" s="156">
        <f t="shared" si="97"/>
        <v>0</v>
      </c>
      <c r="S989" s="156">
        <f t="shared" si="98"/>
        <v>0</v>
      </c>
      <c r="T989" s="133"/>
      <c r="U989" s="133"/>
      <c r="V989" s="133"/>
      <c r="W989" s="133"/>
      <c r="X989" s="133"/>
      <c r="Y989" s="133"/>
      <c r="Z989" s="133"/>
      <c r="AA989" s="133"/>
      <c r="AB989" s="133"/>
      <c r="AC989" s="133"/>
      <c r="AD989" s="133"/>
      <c r="AE989" s="133"/>
      <c r="AF989" s="133"/>
      <c r="AG989" s="133"/>
      <c r="AH989" s="133"/>
      <c r="AI989" s="133"/>
      <c r="AJ989" s="133"/>
      <c r="AK989" s="133"/>
      <c r="AL989" s="133"/>
      <c r="AM989" s="133"/>
      <c r="AN989" s="133"/>
      <c r="AO989" s="133"/>
      <c r="AP989" s="133"/>
      <c r="AQ989" s="133"/>
      <c r="AR989" s="133"/>
      <c r="AS989" s="153">
        <v>0</v>
      </c>
      <c r="AT989" s="153">
        <v>0</v>
      </c>
      <c r="AU989" s="153">
        <v>0</v>
      </c>
      <c r="AV989" s="153">
        <v>0</v>
      </c>
      <c r="AW989" s="153">
        <v>0</v>
      </c>
      <c r="AX989" s="153">
        <v>0</v>
      </c>
      <c r="AY989" s="135"/>
      <c r="AZ989" s="135"/>
      <c r="BA989" s="135"/>
      <c r="BB989" s="135"/>
      <c r="BC989" s="135"/>
      <c r="BD989" s="135"/>
      <c r="BE989" s="135"/>
      <c r="BF989" s="135"/>
      <c r="BG989" s="135"/>
      <c r="BH989" s="135"/>
      <c r="BI989" s="2" t="s">
        <v>112</v>
      </c>
      <c r="BJ989" s="136"/>
      <c r="BK989" s="2">
        <v>0</v>
      </c>
      <c r="BL989" s="136" t="s">
        <v>113</v>
      </c>
      <c r="BM989" s="136">
        <v>45309</v>
      </c>
      <c r="BN989" s="2" t="s">
        <v>3266</v>
      </c>
      <c r="BO989" s="2"/>
      <c r="BP989" s="136"/>
      <c r="BQ989" s="137"/>
      <c r="BR989" s="138"/>
    </row>
    <row r="990" spans="1:70" ht="12.75" customHeight="1" x14ac:dyDescent="0.2">
      <c r="A990" s="2">
        <v>2479</v>
      </c>
      <c r="B990" s="2" t="s">
        <v>54</v>
      </c>
      <c r="C990" s="2" t="s">
        <v>4</v>
      </c>
      <c r="D990" s="2" t="s">
        <v>3222</v>
      </c>
      <c r="E990" s="2" t="s">
        <v>110</v>
      </c>
      <c r="F990" s="132">
        <v>2138.5</v>
      </c>
      <c r="G990" s="132">
        <v>2</v>
      </c>
      <c r="H990" s="132">
        <f>1222*1.75</f>
        <v>2138.5</v>
      </c>
      <c r="I990" s="132"/>
      <c r="J990" s="132">
        <v>2138.5</v>
      </c>
      <c r="K990" s="132">
        <f t="shared" si="95"/>
        <v>0</v>
      </c>
      <c r="L990" s="132">
        <f t="shared" si="96"/>
        <v>0</v>
      </c>
      <c r="M990" s="133"/>
      <c r="N990" s="133">
        <f t="shared" si="94"/>
        <v>0</v>
      </c>
      <c r="O990" s="134">
        <v>0</v>
      </c>
      <c r="P990" s="133"/>
      <c r="Q990" s="2" t="s">
        <v>2274</v>
      </c>
      <c r="R990" s="156">
        <f t="shared" si="97"/>
        <v>0</v>
      </c>
      <c r="S990" s="156">
        <f t="shared" si="98"/>
        <v>0</v>
      </c>
      <c r="T990" s="133"/>
      <c r="U990" s="133"/>
      <c r="V990" s="133"/>
      <c r="W990" s="133"/>
      <c r="X990" s="133"/>
      <c r="Y990" s="133"/>
      <c r="Z990" s="133"/>
      <c r="AA990" s="133"/>
      <c r="AB990" s="133"/>
      <c r="AC990" s="133"/>
      <c r="AD990" s="133"/>
      <c r="AE990" s="133"/>
      <c r="AF990" s="133"/>
      <c r="AG990" s="133"/>
      <c r="AH990" s="133"/>
      <c r="AI990" s="133"/>
      <c r="AJ990" s="133"/>
      <c r="AK990" s="133"/>
      <c r="AL990" s="133"/>
      <c r="AM990" s="133"/>
      <c r="AN990" s="133"/>
      <c r="AO990" s="133"/>
      <c r="AP990" s="133"/>
      <c r="AQ990" s="133"/>
      <c r="AR990" s="133"/>
      <c r="AS990" s="153">
        <v>0</v>
      </c>
      <c r="AT990" s="153">
        <v>0</v>
      </c>
      <c r="AU990" s="153">
        <v>0</v>
      </c>
      <c r="AV990" s="153">
        <v>0</v>
      </c>
      <c r="AW990" s="153">
        <v>0</v>
      </c>
      <c r="AX990" s="153">
        <v>0</v>
      </c>
      <c r="AY990" s="135"/>
      <c r="AZ990" s="135"/>
      <c r="BA990" s="135"/>
      <c r="BB990" s="135"/>
      <c r="BC990" s="135"/>
      <c r="BD990" s="135"/>
      <c r="BE990" s="135"/>
      <c r="BF990" s="135"/>
      <c r="BG990" s="135"/>
      <c r="BH990" s="135"/>
      <c r="BI990" s="2" t="s">
        <v>112</v>
      </c>
      <c r="BJ990" s="136">
        <v>45572</v>
      </c>
      <c r="BK990" s="2" t="s">
        <v>145</v>
      </c>
      <c r="BL990" s="136" t="s">
        <v>113</v>
      </c>
      <c r="BM990" s="136">
        <v>45309</v>
      </c>
      <c r="BN990" s="2" t="s">
        <v>3267</v>
      </c>
      <c r="BO990" s="2"/>
      <c r="BP990" s="136"/>
      <c r="BQ990" s="137"/>
      <c r="BR990" s="138"/>
    </row>
    <row r="991" spans="1:70" ht="12.75" customHeight="1" x14ac:dyDescent="0.2">
      <c r="A991" s="2">
        <v>2480</v>
      </c>
      <c r="B991" s="2" t="s">
        <v>31</v>
      </c>
      <c r="C991" s="2" t="s">
        <v>32</v>
      </c>
      <c r="D991" s="2" t="s">
        <v>2665</v>
      </c>
      <c r="E991" s="2" t="s">
        <v>110</v>
      </c>
      <c r="F991" s="132">
        <v>0</v>
      </c>
      <c r="G991" s="132">
        <v>2</v>
      </c>
      <c r="H991" s="132"/>
      <c r="I991" s="132"/>
      <c r="J991" s="132"/>
      <c r="K991" s="132">
        <f t="shared" si="95"/>
        <v>0</v>
      </c>
      <c r="L991" s="132">
        <f t="shared" si="96"/>
        <v>0</v>
      </c>
      <c r="M991" s="133"/>
      <c r="N991" s="133">
        <f t="shared" si="94"/>
        <v>0</v>
      </c>
      <c r="O991" s="134">
        <v>2</v>
      </c>
      <c r="P991" s="133"/>
      <c r="Q991" s="2" t="s">
        <v>2609</v>
      </c>
      <c r="R991" s="156">
        <f t="shared" si="97"/>
        <v>0</v>
      </c>
      <c r="S991" s="156">
        <f t="shared" si="98"/>
        <v>0</v>
      </c>
      <c r="T991" s="133"/>
      <c r="U991" s="133"/>
      <c r="V991" s="133"/>
      <c r="W991" s="133"/>
      <c r="X991" s="133"/>
      <c r="Y991" s="133"/>
      <c r="Z991" s="133"/>
      <c r="AA991" s="133"/>
      <c r="AB991" s="133"/>
      <c r="AC991" s="133"/>
      <c r="AD991" s="133"/>
      <c r="AE991" s="133"/>
      <c r="AF991" s="133"/>
      <c r="AG991" s="133"/>
      <c r="AH991" s="133"/>
      <c r="AI991" s="133"/>
      <c r="AJ991" s="133"/>
      <c r="AK991" s="133"/>
      <c r="AL991" s="133"/>
      <c r="AM991" s="133"/>
      <c r="AN991" s="133"/>
      <c r="AO991" s="133"/>
      <c r="AP991" s="133"/>
      <c r="AQ991" s="133"/>
      <c r="AR991" s="133"/>
      <c r="AS991" s="153">
        <v>0</v>
      </c>
      <c r="AT991" s="153">
        <v>0</v>
      </c>
      <c r="AU991" s="153">
        <v>0</v>
      </c>
      <c r="AV991" s="153">
        <v>0</v>
      </c>
      <c r="AW991" s="153">
        <v>0</v>
      </c>
      <c r="AX991" s="153">
        <v>0</v>
      </c>
      <c r="AY991" s="135"/>
      <c r="AZ991" s="135"/>
      <c r="BA991" s="135"/>
      <c r="BB991" s="135"/>
      <c r="BC991" s="135"/>
      <c r="BD991" s="135"/>
      <c r="BE991" s="135"/>
      <c r="BF991" s="135"/>
      <c r="BG991" s="135"/>
      <c r="BH991" s="135"/>
      <c r="BI991" s="2" t="s">
        <v>112</v>
      </c>
      <c r="BJ991" s="136"/>
      <c r="BK991" s="2">
        <v>0</v>
      </c>
      <c r="BL991" s="136" t="s">
        <v>113</v>
      </c>
      <c r="BM991" s="136">
        <v>45309</v>
      </c>
      <c r="BN991" s="2" t="s">
        <v>3268</v>
      </c>
      <c r="BO991" s="2"/>
      <c r="BP991" s="136"/>
      <c r="BQ991" s="137"/>
      <c r="BR991" s="138"/>
    </row>
    <row r="992" spans="1:70" ht="12.75" customHeight="1" x14ac:dyDescent="0.2">
      <c r="A992" s="2">
        <v>2481</v>
      </c>
      <c r="B992" s="2" t="s">
        <v>31</v>
      </c>
      <c r="C992" s="2" t="s">
        <v>38</v>
      </c>
      <c r="D992" s="2" t="s">
        <v>2666</v>
      </c>
      <c r="E992" s="2" t="s">
        <v>110</v>
      </c>
      <c r="F992" s="132">
        <v>1417.5</v>
      </c>
      <c r="G992" s="132">
        <v>2</v>
      </c>
      <c r="H992" s="132">
        <f>810*1.75</f>
        <v>1417.5</v>
      </c>
      <c r="I992" s="132"/>
      <c r="J992" s="132">
        <v>1417.5</v>
      </c>
      <c r="K992" s="132">
        <f t="shared" si="95"/>
        <v>0</v>
      </c>
      <c r="L992" s="132">
        <f t="shared" si="96"/>
        <v>0</v>
      </c>
      <c r="M992" s="133"/>
      <c r="N992" s="133">
        <f t="shared" si="94"/>
        <v>0</v>
      </c>
      <c r="O992" s="134">
        <v>0</v>
      </c>
      <c r="P992" s="133"/>
      <c r="Q992" s="2" t="s">
        <v>2610</v>
      </c>
      <c r="R992" s="156">
        <f t="shared" si="97"/>
        <v>0</v>
      </c>
      <c r="S992" s="156">
        <f t="shared" si="98"/>
        <v>0</v>
      </c>
      <c r="T992" s="133"/>
      <c r="U992" s="133"/>
      <c r="V992" s="133"/>
      <c r="W992" s="133"/>
      <c r="X992" s="133"/>
      <c r="Y992" s="133"/>
      <c r="Z992" s="133"/>
      <c r="AA992" s="133"/>
      <c r="AB992" s="133"/>
      <c r="AC992" s="133"/>
      <c r="AD992" s="133"/>
      <c r="AE992" s="133"/>
      <c r="AF992" s="133"/>
      <c r="AG992" s="133"/>
      <c r="AH992" s="133"/>
      <c r="AI992" s="133"/>
      <c r="AJ992" s="133"/>
      <c r="AK992" s="133"/>
      <c r="AL992" s="133"/>
      <c r="AM992" s="133"/>
      <c r="AN992" s="133"/>
      <c r="AO992" s="133"/>
      <c r="AP992" s="133"/>
      <c r="AQ992" s="133"/>
      <c r="AR992" s="133"/>
      <c r="AS992" s="153">
        <v>0</v>
      </c>
      <c r="AT992" s="153">
        <v>0</v>
      </c>
      <c r="AU992" s="153">
        <v>0</v>
      </c>
      <c r="AV992" s="153">
        <v>0</v>
      </c>
      <c r="AW992" s="153">
        <v>0</v>
      </c>
      <c r="AX992" s="153">
        <v>0</v>
      </c>
      <c r="AY992" s="135"/>
      <c r="AZ992" s="135"/>
      <c r="BA992" s="135"/>
      <c r="BB992" s="135"/>
      <c r="BC992" s="135"/>
      <c r="BD992" s="135"/>
      <c r="BE992" s="135"/>
      <c r="BF992" s="135"/>
      <c r="BG992" s="135"/>
      <c r="BH992" s="135"/>
      <c r="BI992" s="2" t="s">
        <v>112</v>
      </c>
      <c r="BJ992" s="136">
        <v>45449</v>
      </c>
      <c r="BK992" s="2" t="s">
        <v>145</v>
      </c>
      <c r="BL992" s="136" t="s">
        <v>113</v>
      </c>
      <c r="BM992" s="136">
        <v>45309</v>
      </c>
      <c r="BN992" s="2" t="s">
        <v>3269</v>
      </c>
      <c r="BO992" s="2"/>
      <c r="BP992" s="136"/>
      <c r="BQ992" s="137"/>
      <c r="BR992" s="138"/>
    </row>
    <row r="993" spans="1:70" ht="12.75" customHeight="1" x14ac:dyDescent="0.2">
      <c r="A993" s="2">
        <v>2482</v>
      </c>
      <c r="B993" s="2" t="s">
        <v>31</v>
      </c>
      <c r="C993" s="2" t="s">
        <v>33</v>
      </c>
      <c r="D993" s="2" t="s">
        <v>2667</v>
      </c>
      <c r="E993" s="2" t="s">
        <v>110</v>
      </c>
      <c r="F993" s="132">
        <v>2754.5</v>
      </c>
      <c r="G993" s="132">
        <v>2</v>
      </c>
      <c r="H993" s="132">
        <f>1574*1.75</f>
        <v>2754.5</v>
      </c>
      <c r="I993" s="132"/>
      <c r="J993" s="132">
        <v>2754.5</v>
      </c>
      <c r="K993" s="132">
        <f t="shared" si="95"/>
        <v>0</v>
      </c>
      <c r="L993" s="132">
        <f t="shared" si="96"/>
        <v>0</v>
      </c>
      <c r="M993" s="133"/>
      <c r="N993" s="133">
        <f t="shared" si="94"/>
        <v>0</v>
      </c>
      <c r="O993" s="134">
        <v>0</v>
      </c>
      <c r="P993" s="133"/>
      <c r="Q993" s="2" t="s">
        <v>2611</v>
      </c>
      <c r="R993" s="156">
        <f t="shared" si="97"/>
        <v>0</v>
      </c>
      <c r="S993" s="156">
        <f t="shared" si="98"/>
        <v>0</v>
      </c>
      <c r="T993" s="133"/>
      <c r="U993" s="133"/>
      <c r="V993" s="133"/>
      <c r="W993" s="133"/>
      <c r="X993" s="133"/>
      <c r="Y993" s="133"/>
      <c r="Z993" s="133"/>
      <c r="AA993" s="133"/>
      <c r="AB993" s="133"/>
      <c r="AC993" s="133"/>
      <c r="AD993" s="133"/>
      <c r="AE993" s="133"/>
      <c r="AF993" s="133"/>
      <c r="AG993" s="133"/>
      <c r="AH993" s="133"/>
      <c r="AI993" s="133"/>
      <c r="AJ993" s="133"/>
      <c r="AK993" s="133"/>
      <c r="AL993" s="133"/>
      <c r="AM993" s="133"/>
      <c r="AN993" s="133"/>
      <c r="AO993" s="133"/>
      <c r="AP993" s="133"/>
      <c r="AQ993" s="133"/>
      <c r="AR993" s="133"/>
      <c r="AS993" s="153">
        <v>0</v>
      </c>
      <c r="AT993" s="153">
        <v>0</v>
      </c>
      <c r="AU993" s="153">
        <v>0</v>
      </c>
      <c r="AV993" s="153">
        <v>0</v>
      </c>
      <c r="AW993" s="153">
        <v>0</v>
      </c>
      <c r="AX993" s="153">
        <v>0</v>
      </c>
      <c r="AY993" s="135"/>
      <c r="AZ993" s="135"/>
      <c r="BA993" s="135"/>
      <c r="BB993" s="135"/>
      <c r="BC993" s="135"/>
      <c r="BD993" s="135"/>
      <c r="BE993" s="135"/>
      <c r="BF993" s="135"/>
      <c r="BG993" s="135"/>
      <c r="BH993" s="135"/>
      <c r="BI993" s="2" t="s">
        <v>112</v>
      </c>
      <c r="BJ993" s="136">
        <v>45449</v>
      </c>
      <c r="BK993" s="2" t="s">
        <v>145</v>
      </c>
      <c r="BL993" s="136" t="s">
        <v>113</v>
      </c>
      <c r="BM993" s="136">
        <v>45309</v>
      </c>
      <c r="BN993" s="2" t="s">
        <v>3270</v>
      </c>
      <c r="BO993" s="2"/>
      <c r="BP993" s="136"/>
      <c r="BQ993" s="137" t="s">
        <v>134</v>
      </c>
      <c r="BR993" s="138"/>
    </row>
    <row r="994" spans="1:70" ht="12.75" customHeight="1" x14ac:dyDescent="0.2">
      <c r="A994" s="2">
        <v>2483</v>
      </c>
      <c r="B994" s="2" t="s">
        <v>31</v>
      </c>
      <c r="C994" s="2" t="s">
        <v>34</v>
      </c>
      <c r="D994" s="2" t="s">
        <v>3223</v>
      </c>
      <c r="E994" s="2" t="s">
        <v>110</v>
      </c>
      <c r="F994" s="132">
        <v>945</v>
      </c>
      <c r="G994" s="132">
        <v>2</v>
      </c>
      <c r="H994" s="132">
        <f>540*1.75</f>
        <v>945</v>
      </c>
      <c r="I994" s="132"/>
      <c r="J994" s="132">
        <v>945</v>
      </c>
      <c r="K994" s="132">
        <f t="shared" si="95"/>
        <v>0</v>
      </c>
      <c r="L994" s="132">
        <f t="shared" si="96"/>
        <v>0</v>
      </c>
      <c r="M994" s="133"/>
      <c r="N994" s="133">
        <f t="shared" si="94"/>
        <v>0</v>
      </c>
      <c r="O994" s="134">
        <v>0</v>
      </c>
      <c r="P994" s="133"/>
      <c r="Q994" s="2" t="s">
        <v>2613</v>
      </c>
      <c r="R994" s="156">
        <f t="shared" si="97"/>
        <v>0</v>
      </c>
      <c r="S994" s="156">
        <f t="shared" si="98"/>
        <v>0</v>
      </c>
      <c r="T994" s="133"/>
      <c r="U994" s="133"/>
      <c r="V994" s="133"/>
      <c r="W994" s="133"/>
      <c r="X994" s="133"/>
      <c r="Y994" s="133"/>
      <c r="Z994" s="133"/>
      <c r="AA994" s="133"/>
      <c r="AB994" s="133"/>
      <c r="AC994" s="133"/>
      <c r="AD994" s="133"/>
      <c r="AE994" s="133"/>
      <c r="AF994" s="133"/>
      <c r="AG994" s="133"/>
      <c r="AH994" s="133"/>
      <c r="AI994" s="133"/>
      <c r="AJ994" s="133"/>
      <c r="AK994" s="133"/>
      <c r="AL994" s="133"/>
      <c r="AM994" s="133"/>
      <c r="AN994" s="133"/>
      <c r="AO994" s="133"/>
      <c r="AP994" s="133"/>
      <c r="AQ994" s="133"/>
      <c r="AR994" s="133"/>
      <c r="AS994" s="153">
        <v>0</v>
      </c>
      <c r="AT994" s="153">
        <v>0</v>
      </c>
      <c r="AU994" s="153">
        <v>0</v>
      </c>
      <c r="AV994" s="153">
        <v>0</v>
      </c>
      <c r="AW994" s="153">
        <v>0</v>
      </c>
      <c r="AX994" s="153">
        <v>0</v>
      </c>
      <c r="AY994" s="135"/>
      <c r="AZ994" s="135"/>
      <c r="BA994" s="135"/>
      <c r="BB994" s="135"/>
      <c r="BC994" s="135"/>
      <c r="BD994" s="135"/>
      <c r="BE994" s="135"/>
      <c r="BF994" s="135"/>
      <c r="BG994" s="135"/>
      <c r="BH994" s="135"/>
      <c r="BI994" s="2" t="s">
        <v>112</v>
      </c>
      <c r="BJ994" s="136">
        <v>45449</v>
      </c>
      <c r="BK994" s="2" t="s">
        <v>145</v>
      </c>
      <c r="BL994" s="136" t="s">
        <v>113</v>
      </c>
      <c r="BM994" s="136">
        <v>45309</v>
      </c>
      <c r="BN994" s="2" t="s">
        <v>3271</v>
      </c>
      <c r="BO994" s="2"/>
      <c r="BP994" s="136"/>
      <c r="BQ994" s="137"/>
      <c r="BR994" s="138"/>
    </row>
    <row r="995" spans="1:70" ht="12.75" customHeight="1" x14ac:dyDescent="0.2">
      <c r="A995" s="2">
        <v>2484</v>
      </c>
      <c r="B995" s="2" t="s">
        <v>31</v>
      </c>
      <c r="C995" s="2" t="s">
        <v>38</v>
      </c>
      <c r="D995" s="2" t="s">
        <v>3224</v>
      </c>
      <c r="E995" s="2" t="s">
        <v>110</v>
      </c>
      <c r="F995" s="132">
        <v>1242.5</v>
      </c>
      <c r="G995" s="132">
        <v>2</v>
      </c>
      <c r="H995" s="132">
        <f>710*1.75</f>
        <v>1242.5</v>
      </c>
      <c r="I995" s="132"/>
      <c r="J995" s="132">
        <v>1242.5</v>
      </c>
      <c r="K995" s="132">
        <f t="shared" si="95"/>
        <v>0</v>
      </c>
      <c r="L995" s="132">
        <f t="shared" si="96"/>
        <v>0</v>
      </c>
      <c r="M995" s="133"/>
      <c r="N995" s="133">
        <f t="shared" si="94"/>
        <v>0</v>
      </c>
      <c r="O995" s="134">
        <v>0</v>
      </c>
      <c r="P995" s="133"/>
      <c r="Q995" s="2" t="s">
        <v>2275</v>
      </c>
      <c r="R995" s="156">
        <f t="shared" si="97"/>
        <v>0</v>
      </c>
      <c r="S995" s="156">
        <f t="shared" si="98"/>
        <v>0</v>
      </c>
      <c r="T995" s="133"/>
      <c r="U995" s="133"/>
      <c r="V995" s="133"/>
      <c r="W995" s="133"/>
      <c r="X995" s="133"/>
      <c r="Y995" s="133"/>
      <c r="Z995" s="133"/>
      <c r="AA995" s="133"/>
      <c r="AB995" s="133"/>
      <c r="AC995" s="133"/>
      <c r="AD995" s="133"/>
      <c r="AE995" s="133"/>
      <c r="AF995" s="133"/>
      <c r="AG995" s="133"/>
      <c r="AH995" s="133"/>
      <c r="AI995" s="133"/>
      <c r="AJ995" s="133"/>
      <c r="AK995" s="133"/>
      <c r="AL995" s="133"/>
      <c r="AM995" s="133"/>
      <c r="AN995" s="133"/>
      <c r="AO995" s="133"/>
      <c r="AP995" s="133"/>
      <c r="AQ995" s="133"/>
      <c r="AR995" s="133"/>
      <c r="AS995" s="153">
        <v>0</v>
      </c>
      <c r="AT995" s="153">
        <v>0</v>
      </c>
      <c r="AU995" s="153">
        <v>0</v>
      </c>
      <c r="AV995" s="153">
        <v>0</v>
      </c>
      <c r="AW995" s="153">
        <v>0</v>
      </c>
      <c r="AX995" s="153">
        <v>0</v>
      </c>
      <c r="AY995" s="135"/>
      <c r="AZ995" s="135"/>
      <c r="BA995" s="135"/>
      <c r="BB995" s="135"/>
      <c r="BC995" s="135"/>
      <c r="BD995" s="135"/>
      <c r="BE995" s="135"/>
      <c r="BF995" s="135"/>
      <c r="BG995" s="135"/>
      <c r="BH995" s="135"/>
      <c r="BI995" s="2" t="s">
        <v>112</v>
      </c>
      <c r="BJ995" s="136">
        <v>45449</v>
      </c>
      <c r="BK995" s="2" t="s">
        <v>145</v>
      </c>
      <c r="BL995" s="136" t="s">
        <v>113</v>
      </c>
      <c r="BM995" s="136">
        <v>45309</v>
      </c>
      <c r="BN995" s="2" t="s">
        <v>3272</v>
      </c>
      <c r="BO995" s="2"/>
      <c r="BP995" s="136"/>
      <c r="BQ995" s="137" t="s">
        <v>134</v>
      </c>
      <c r="BR995" s="138"/>
    </row>
    <row r="996" spans="1:70" ht="12.75" customHeight="1" x14ac:dyDescent="0.2">
      <c r="A996" s="2">
        <v>2485</v>
      </c>
      <c r="B996" s="2" t="s">
        <v>31</v>
      </c>
      <c r="C996" s="2" t="s">
        <v>33</v>
      </c>
      <c r="D996" s="2" t="s">
        <v>2670</v>
      </c>
      <c r="E996" s="2" t="s">
        <v>110</v>
      </c>
      <c r="F996" s="132">
        <v>1338.75</v>
      </c>
      <c r="G996" s="132">
        <v>2</v>
      </c>
      <c r="H996" s="132">
        <f>765*1.75</f>
        <v>1338.75</v>
      </c>
      <c r="I996" s="132"/>
      <c r="J996" s="132">
        <v>1338.75</v>
      </c>
      <c r="K996" s="132">
        <f t="shared" si="95"/>
        <v>0</v>
      </c>
      <c r="L996" s="132">
        <f t="shared" si="96"/>
        <v>0</v>
      </c>
      <c r="M996" s="133"/>
      <c r="N996" s="133">
        <f t="shared" si="94"/>
        <v>0</v>
      </c>
      <c r="O996" s="134">
        <v>0</v>
      </c>
      <c r="P996" s="133"/>
      <c r="Q996" s="2" t="s">
        <v>2614</v>
      </c>
      <c r="R996" s="156">
        <f t="shared" si="97"/>
        <v>0</v>
      </c>
      <c r="S996" s="156">
        <f t="shared" si="98"/>
        <v>0</v>
      </c>
      <c r="T996" s="133"/>
      <c r="U996" s="133"/>
      <c r="V996" s="133"/>
      <c r="W996" s="133"/>
      <c r="X996" s="133"/>
      <c r="Y996" s="133"/>
      <c r="Z996" s="133"/>
      <c r="AA996" s="133"/>
      <c r="AB996" s="133"/>
      <c r="AC996" s="133"/>
      <c r="AD996" s="133"/>
      <c r="AE996" s="133"/>
      <c r="AF996" s="133"/>
      <c r="AG996" s="133"/>
      <c r="AH996" s="133"/>
      <c r="AI996" s="133"/>
      <c r="AJ996" s="133"/>
      <c r="AK996" s="133"/>
      <c r="AL996" s="133"/>
      <c r="AM996" s="133"/>
      <c r="AN996" s="133"/>
      <c r="AO996" s="133"/>
      <c r="AP996" s="133"/>
      <c r="AQ996" s="133"/>
      <c r="AR996" s="133"/>
      <c r="AS996" s="153">
        <v>0</v>
      </c>
      <c r="AT996" s="153">
        <v>0</v>
      </c>
      <c r="AU996" s="153">
        <v>0</v>
      </c>
      <c r="AV996" s="153">
        <v>0</v>
      </c>
      <c r="AW996" s="153">
        <v>0</v>
      </c>
      <c r="AX996" s="153">
        <v>0</v>
      </c>
      <c r="AY996" s="135"/>
      <c r="AZ996" s="135"/>
      <c r="BA996" s="135"/>
      <c r="BB996" s="135"/>
      <c r="BC996" s="135"/>
      <c r="BD996" s="135"/>
      <c r="BE996" s="135"/>
      <c r="BF996" s="135"/>
      <c r="BG996" s="135"/>
      <c r="BH996" s="135"/>
      <c r="BI996" s="2" t="s">
        <v>112</v>
      </c>
      <c r="BJ996" s="136">
        <v>45449</v>
      </c>
      <c r="BK996" s="2" t="s">
        <v>145</v>
      </c>
      <c r="BL996" s="136" t="s">
        <v>113</v>
      </c>
      <c r="BM996" s="136">
        <v>45309</v>
      </c>
      <c r="BN996" s="2" t="s">
        <v>3273</v>
      </c>
      <c r="BO996" s="2"/>
      <c r="BP996" s="136"/>
      <c r="BQ996" s="137"/>
      <c r="BR996" s="138"/>
    </row>
    <row r="997" spans="1:70" ht="12.75" customHeight="1" x14ac:dyDescent="0.2">
      <c r="A997" s="2">
        <v>2486</v>
      </c>
      <c r="B997" s="2" t="s">
        <v>31</v>
      </c>
      <c r="C997" s="2" t="s">
        <v>36</v>
      </c>
      <c r="D997" s="2" t="s">
        <v>3225</v>
      </c>
      <c r="E997" s="2" t="s">
        <v>110</v>
      </c>
      <c r="F997" s="132">
        <f>1383*1.75</f>
        <v>2420.25</v>
      </c>
      <c r="G997" s="132">
        <v>2</v>
      </c>
      <c r="H997" s="132">
        <f>1383*1.75</f>
        <v>2420.25</v>
      </c>
      <c r="I997" s="132"/>
      <c r="J997" s="132">
        <v>2420.25</v>
      </c>
      <c r="K997" s="132">
        <f t="shared" si="95"/>
        <v>0</v>
      </c>
      <c r="L997" s="132">
        <f t="shared" si="96"/>
        <v>0</v>
      </c>
      <c r="M997" s="133"/>
      <c r="N997" s="133">
        <f t="shared" si="94"/>
        <v>0</v>
      </c>
      <c r="O997" s="134">
        <v>0</v>
      </c>
      <c r="P997" s="133"/>
      <c r="Q997" s="2" t="s">
        <v>2276</v>
      </c>
      <c r="R997" s="156">
        <f t="shared" si="97"/>
        <v>0</v>
      </c>
      <c r="S997" s="156">
        <f t="shared" si="98"/>
        <v>0</v>
      </c>
      <c r="T997" s="133"/>
      <c r="U997" s="133"/>
      <c r="V997" s="133"/>
      <c r="W997" s="133"/>
      <c r="X997" s="133"/>
      <c r="Y997" s="133"/>
      <c r="Z997" s="133"/>
      <c r="AA997" s="133"/>
      <c r="AB997" s="133"/>
      <c r="AC997" s="133"/>
      <c r="AD997" s="133"/>
      <c r="AE997" s="133"/>
      <c r="AF997" s="133"/>
      <c r="AG997" s="133"/>
      <c r="AH997" s="133"/>
      <c r="AI997" s="133"/>
      <c r="AJ997" s="133"/>
      <c r="AK997" s="133"/>
      <c r="AL997" s="133"/>
      <c r="AM997" s="133"/>
      <c r="AN997" s="133"/>
      <c r="AO997" s="133"/>
      <c r="AP997" s="133"/>
      <c r="AQ997" s="133"/>
      <c r="AR997" s="133"/>
      <c r="AS997" s="153">
        <v>0</v>
      </c>
      <c r="AT997" s="153">
        <v>0</v>
      </c>
      <c r="AU997" s="153">
        <v>0</v>
      </c>
      <c r="AV997" s="153">
        <v>0</v>
      </c>
      <c r="AW997" s="153">
        <v>0</v>
      </c>
      <c r="AX997" s="153">
        <v>0</v>
      </c>
      <c r="AY997" s="135"/>
      <c r="AZ997" s="135"/>
      <c r="BA997" s="135"/>
      <c r="BB997" s="135"/>
      <c r="BC997" s="135"/>
      <c r="BD997" s="135"/>
      <c r="BE997" s="135"/>
      <c r="BF997" s="135"/>
      <c r="BG997" s="135"/>
      <c r="BH997" s="135"/>
      <c r="BI997" s="2" t="s">
        <v>112</v>
      </c>
      <c r="BJ997" s="136">
        <v>45449</v>
      </c>
      <c r="BK997" s="2" t="s">
        <v>145</v>
      </c>
      <c r="BL997" s="136" t="s">
        <v>113</v>
      </c>
      <c r="BM997" s="136">
        <v>45309</v>
      </c>
      <c r="BN997" s="2" t="s">
        <v>3274</v>
      </c>
      <c r="BO997" s="2"/>
      <c r="BP997" s="136"/>
      <c r="BQ997" s="137"/>
      <c r="BR997" s="138"/>
    </row>
    <row r="998" spans="1:70" ht="12.75" customHeight="1" x14ac:dyDescent="0.2">
      <c r="A998" s="2">
        <v>2487</v>
      </c>
      <c r="B998" s="2" t="s">
        <v>31</v>
      </c>
      <c r="C998" s="2" t="s">
        <v>33</v>
      </c>
      <c r="D998" s="2" t="s">
        <v>3226</v>
      </c>
      <c r="E998" s="2" t="s">
        <v>110</v>
      </c>
      <c r="F998" s="132">
        <v>985.25</v>
      </c>
      <c r="G998" s="132">
        <v>2</v>
      </c>
      <c r="H998" s="132">
        <f>563*1.75</f>
        <v>985.25</v>
      </c>
      <c r="I998" s="132"/>
      <c r="J998" s="132">
        <v>985.25</v>
      </c>
      <c r="K998" s="132">
        <f t="shared" si="95"/>
        <v>0</v>
      </c>
      <c r="L998" s="132">
        <f t="shared" si="96"/>
        <v>0</v>
      </c>
      <c r="M998" s="133"/>
      <c r="N998" s="133">
        <f t="shared" si="94"/>
        <v>0</v>
      </c>
      <c r="O998" s="134">
        <v>0</v>
      </c>
      <c r="P998" s="133"/>
      <c r="Q998" s="2" t="s">
        <v>2617</v>
      </c>
      <c r="R998" s="156">
        <f t="shared" si="97"/>
        <v>0</v>
      </c>
      <c r="S998" s="156">
        <f t="shared" si="98"/>
        <v>0</v>
      </c>
      <c r="T998" s="133"/>
      <c r="U998" s="133"/>
      <c r="V998" s="133"/>
      <c r="W998" s="133"/>
      <c r="X998" s="133"/>
      <c r="Y998" s="133"/>
      <c r="Z998" s="133"/>
      <c r="AA998" s="133"/>
      <c r="AB998" s="133"/>
      <c r="AC998" s="133"/>
      <c r="AD998" s="133"/>
      <c r="AE998" s="133"/>
      <c r="AF998" s="133"/>
      <c r="AG998" s="133"/>
      <c r="AH998" s="133"/>
      <c r="AI998" s="133"/>
      <c r="AJ998" s="133"/>
      <c r="AK998" s="133"/>
      <c r="AL998" s="133"/>
      <c r="AM998" s="133"/>
      <c r="AN998" s="133"/>
      <c r="AO998" s="133"/>
      <c r="AP998" s="133"/>
      <c r="AQ998" s="133"/>
      <c r="AR998" s="133"/>
      <c r="AS998" s="153">
        <v>0</v>
      </c>
      <c r="AT998" s="153">
        <v>0</v>
      </c>
      <c r="AU998" s="153">
        <v>0</v>
      </c>
      <c r="AV998" s="153">
        <v>0</v>
      </c>
      <c r="AW998" s="153">
        <v>0</v>
      </c>
      <c r="AX998" s="153">
        <v>0</v>
      </c>
      <c r="AY998" s="135"/>
      <c r="AZ998" s="135"/>
      <c r="BA998" s="135"/>
      <c r="BB998" s="135"/>
      <c r="BC998" s="135"/>
      <c r="BD998" s="135"/>
      <c r="BE998" s="135"/>
      <c r="BF998" s="135"/>
      <c r="BG998" s="135"/>
      <c r="BH998" s="135"/>
      <c r="BI998" s="2" t="s">
        <v>112</v>
      </c>
      <c r="BJ998" s="136">
        <v>45449</v>
      </c>
      <c r="BK998" s="2" t="s">
        <v>145</v>
      </c>
      <c r="BL998" s="136" t="s">
        <v>113</v>
      </c>
      <c r="BM998" s="136">
        <v>45309</v>
      </c>
      <c r="BN998" s="2" t="s">
        <v>3275</v>
      </c>
      <c r="BO998" s="2"/>
      <c r="BP998" s="136"/>
      <c r="BQ998" s="137"/>
      <c r="BR998" s="138"/>
    </row>
    <row r="999" spans="1:70" ht="12.75" customHeight="1" x14ac:dyDescent="0.2">
      <c r="A999" s="2">
        <v>2488</v>
      </c>
      <c r="B999" s="2" t="s">
        <v>31</v>
      </c>
      <c r="C999" s="2" t="s">
        <v>34</v>
      </c>
      <c r="D999" s="2" t="s">
        <v>3227</v>
      </c>
      <c r="E999" s="2" t="s">
        <v>110</v>
      </c>
      <c r="F999" s="132">
        <v>1029</v>
      </c>
      <c r="G999" s="132">
        <v>2</v>
      </c>
      <c r="H999" s="132">
        <f>588*1.75</f>
        <v>1029</v>
      </c>
      <c r="I999" s="132"/>
      <c r="J999" s="132">
        <v>1029</v>
      </c>
      <c r="K999" s="132">
        <f t="shared" si="95"/>
        <v>0</v>
      </c>
      <c r="L999" s="132">
        <f t="shared" si="96"/>
        <v>0</v>
      </c>
      <c r="M999" s="133"/>
      <c r="N999" s="133">
        <f t="shared" si="94"/>
        <v>0</v>
      </c>
      <c r="O999" s="134">
        <v>0</v>
      </c>
      <c r="P999" s="133"/>
      <c r="Q999" s="2" t="s">
        <v>2618</v>
      </c>
      <c r="R999" s="156">
        <f t="shared" si="97"/>
        <v>0</v>
      </c>
      <c r="S999" s="156">
        <f t="shared" si="98"/>
        <v>0</v>
      </c>
      <c r="T999" s="133"/>
      <c r="U999" s="133"/>
      <c r="V999" s="133"/>
      <c r="W999" s="133"/>
      <c r="X999" s="133"/>
      <c r="Y999" s="133"/>
      <c r="Z999" s="133"/>
      <c r="AA999" s="133"/>
      <c r="AB999" s="133"/>
      <c r="AC999" s="133"/>
      <c r="AD999" s="133"/>
      <c r="AE999" s="133"/>
      <c r="AF999" s="133"/>
      <c r="AG999" s="133"/>
      <c r="AH999" s="133"/>
      <c r="AI999" s="133"/>
      <c r="AJ999" s="133"/>
      <c r="AK999" s="133"/>
      <c r="AL999" s="133"/>
      <c r="AM999" s="133"/>
      <c r="AN999" s="133"/>
      <c r="AO999" s="133"/>
      <c r="AP999" s="133"/>
      <c r="AQ999" s="133"/>
      <c r="AR999" s="133"/>
      <c r="AS999" s="153">
        <v>0</v>
      </c>
      <c r="AT999" s="153">
        <v>0</v>
      </c>
      <c r="AU999" s="153">
        <v>0</v>
      </c>
      <c r="AV999" s="153">
        <v>0</v>
      </c>
      <c r="AW999" s="153">
        <v>0</v>
      </c>
      <c r="AX999" s="153">
        <v>0</v>
      </c>
      <c r="AY999" s="135"/>
      <c r="AZ999" s="135"/>
      <c r="BA999" s="135"/>
      <c r="BB999" s="135"/>
      <c r="BC999" s="135"/>
      <c r="BD999" s="135"/>
      <c r="BE999" s="135"/>
      <c r="BF999" s="135"/>
      <c r="BG999" s="135"/>
      <c r="BH999" s="135"/>
      <c r="BI999" s="2" t="s">
        <v>112</v>
      </c>
      <c r="BJ999" s="136">
        <v>45449</v>
      </c>
      <c r="BK999" s="2" t="s">
        <v>145</v>
      </c>
      <c r="BL999" s="136" t="s">
        <v>113</v>
      </c>
      <c r="BM999" s="136">
        <v>45309</v>
      </c>
      <c r="BN999" s="2" t="s">
        <v>3276</v>
      </c>
      <c r="BO999" s="2"/>
      <c r="BP999" s="136"/>
      <c r="BQ999" s="137"/>
      <c r="BR999" s="138"/>
    </row>
    <row r="1000" spans="1:70" ht="12.75" customHeight="1" x14ac:dyDescent="0.2">
      <c r="A1000" s="2">
        <v>2489</v>
      </c>
      <c r="B1000" s="2" t="s">
        <v>31</v>
      </c>
      <c r="C1000" s="2" t="s">
        <v>35</v>
      </c>
      <c r="D1000" s="2" t="s">
        <v>3228</v>
      </c>
      <c r="E1000" s="2" t="s">
        <v>110</v>
      </c>
      <c r="F1000" s="132">
        <v>1314.25</v>
      </c>
      <c r="G1000" s="132">
        <v>2</v>
      </c>
      <c r="H1000" s="132">
        <f>751*1.75</f>
        <v>1314.25</v>
      </c>
      <c r="I1000" s="132"/>
      <c r="J1000" s="132">
        <v>1314.25</v>
      </c>
      <c r="K1000" s="132">
        <f t="shared" si="95"/>
        <v>0</v>
      </c>
      <c r="L1000" s="132">
        <f t="shared" si="96"/>
        <v>0</v>
      </c>
      <c r="M1000" s="133"/>
      <c r="N1000" s="133">
        <f t="shared" si="94"/>
        <v>0</v>
      </c>
      <c r="O1000" s="134">
        <v>0</v>
      </c>
      <c r="P1000" s="133"/>
      <c r="Q1000" s="2" t="s">
        <v>2620</v>
      </c>
      <c r="R1000" s="156">
        <f t="shared" si="97"/>
        <v>0</v>
      </c>
      <c r="S1000" s="156">
        <f t="shared" si="98"/>
        <v>0</v>
      </c>
      <c r="T1000" s="133"/>
      <c r="U1000" s="133"/>
      <c r="V1000" s="133"/>
      <c r="W1000" s="133"/>
      <c r="X1000" s="133"/>
      <c r="Y1000" s="133"/>
      <c r="Z1000" s="133"/>
      <c r="AA1000" s="133"/>
      <c r="AB1000" s="133"/>
      <c r="AC1000" s="133"/>
      <c r="AD1000" s="133"/>
      <c r="AE1000" s="133"/>
      <c r="AF1000" s="133"/>
      <c r="AG1000" s="133"/>
      <c r="AH1000" s="133"/>
      <c r="AI1000" s="133"/>
      <c r="AJ1000" s="133"/>
      <c r="AK1000" s="133"/>
      <c r="AL1000" s="133"/>
      <c r="AM1000" s="133"/>
      <c r="AN1000" s="133"/>
      <c r="AO1000" s="133"/>
      <c r="AP1000" s="133"/>
      <c r="AQ1000" s="133"/>
      <c r="AR1000" s="133"/>
      <c r="AS1000" s="153">
        <v>0</v>
      </c>
      <c r="AT1000" s="153">
        <v>0</v>
      </c>
      <c r="AU1000" s="153">
        <v>0</v>
      </c>
      <c r="AV1000" s="153">
        <v>0</v>
      </c>
      <c r="AW1000" s="153">
        <v>0</v>
      </c>
      <c r="AX1000" s="153">
        <v>0</v>
      </c>
      <c r="AY1000" s="135"/>
      <c r="AZ1000" s="135"/>
      <c r="BA1000" s="135"/>
      <c r="BB1000" s="135"/>
      <c r="BC1000" s="135"/>
      <c r="BD1000" s="135"/>
      <c r="BE1000" s="135"/>
      <c r="BF1000" s="135"/>
      <c r="BG1000" s="135"/>
      <c r="BH1000" s="135"/>
      <c r="BI1000" s="2" t="s">
        <v>112</v>
      </c>
      <c r="BJ1000" s="136">
        <v>45495</v>
      </c>
      <c r="BK1000" s="2" t="s">
        <v>145</v>
      </c>
      <c r="BL1000" s="136" t="s">
        <v>113</v>
      </c>
      <c r="BM1000" s="136">
        <v>45309</v>
      </c>
      <c r="BN1000" s="2" t="s">
        <v>3277</v>
      </c>
      <c r="BO1000" s="2"/>
      <c r="BP1000" s="136"/>
      <c r="BQ1000" s="137"/>
      <c r="BR1000" s="138"/>
    </row>
    <row r="1001" spans="1:70" ht="12.75" customHeight="1" x14ac:dyDescent="0.2">
      <c r="A1001" s="2">
        <v>2490</v>
      </c>
      <c r="B1001" s="2" t="s">
        <v>31</v>
      </c>
      <c r="C1001" s="2" t="s">
        <v>34</v>
      </c>
      <c r="D1001" s="2" t="s">
        <v>3229</v>
      </c>
      <c r="E1001" s="2" t="s">
        <v>110</v>
      </c>
      <c r="F1001" s="132">
        <v>2261</v>
      </c>
      <c r="G1001" s="132">
        <v>2</v>
      </c>
      <c r="H1001" s="132">
        <f>1292*1.75</f>
        <v>2261</v>
      </c>
      <c r="I1001" s="132"/>
      <c r="J1001" s="132">
        <v>2261</v>
      </c>
      <c r="K1001" s="132">
        <f t="shared" si="95"/>
        <v>0</v>
      </c>
      <c r="L1001" s="132">
        <f t="shared" si="96"/>
        <v>0</v>
      </c>
      <c r="M1001" s="133"/>
      <c r="N1001" s="133">
        <f t="shared" si="94"/>
        <v>0</v>
      </c>
      <c r="O1001" s="134">
        <v>0</v>
      </c>
      <c r="P1001" s="133"/>
      <c r="Q1001" s="2" t="s">
        <v>2624</v>
      </c>
      <c r="R1001" s="156">
        <f t="shared" si="97"/>
        <v>0</v>
      </c>
      <c r="S1001" s="156">
        <f t="shared" si="98"/>
        <v>0</v>
      </c>
      <c r="T1001" s="133"/>
      <c r="U1001" s="133"/>
      <c r="V1001" s="133"/>
      <c r="W1001" s="133"/>
      <c r="X1001" s="133"/>
      <c r="Y1001" s="133"/>
      <c r="Z1001" s="133"/>
      <c r="AA1001" s="133"/>
      <c r="AB1001" s="133"/>
      <c r="AC1001" s="133"/>
      <c r="AD1001" s="133"/>
      <c r="AE1001" s="133"/>
      <c r="AF1001" s="133"/>
      <c r="AG1001" s="133"/>
      <c r="AH1001" s="133"/>
      <c r="AI1001" s="133"/>
      <c r="AJ1001" s="133"/>
      <c r="AK1001" s="133"/>
      <c r="AL1001" s="133"/>
      <c r="AM1001" s="133"/>
      <c r="AN1001" s="133"/>
      <c r="AO1001" s="133"/>
      <c r="AP1001" s="133"/>
      <c r="AQ1001" s="133"/>
      <c r="AR1001" s="133"/>
      <c r="AS1001" s="153">
        <v>0</v>
      </c>
      <c r="AT1001" s="153">
        <v>0</v>
      </c>
      <c r="AU1001" s="153">
        <v>0</v>
      </c>
      <c r="AV1001" s="153">
        <v>0</v>
      </c>
      <c r="AW1001" s="153">
        <v>0</v>
      </c>
      <c r="AX1001" s="153">
        <v>0</v>
      </c>
      <c r="AY1001" s="135"/>
      <c r="AZ1001" s="135"/>
      <c r="BA1001" s="135"/>
      <c r="BB1001" s="135"/>
      <c r="BC1001" s="135"/>
      <c r="BD1001" s="135"/>
      <c r="BE1001" s="135"/>
      <c r="BF1001" s="135"/>
      <c r="BG1001" s="135"/>
      <c r="BH1001" s="135"/>
      <c r="BI1001" s="2" t="s">
        <v>112</v>
      </c>
      <c r="BJ1001" s="136">
        <v>45449</v>
      </c>
      <c r="BK1001" s="2" t="s">
        <v>145</v>
      </c>
      <c r="BL1001" s="136" t="s">
        <v>113</v>
      </c>
      <c r="BM1001" s="136">
        <v>45309</v>
      </c>
      <c r="BN1001" s="2" t="s">
        <v>3278</v>
      </c>
      <c r="BO1001" s="2"/>
      <c r="BP1001" s="136"/>
      <c r="BQ1001" s="137"/>
      <c r="BR1001" s="138"/>
    </row>
    <row r="1002" spans="1:70" ht="12.75" customHeight="1" x14ac:dyDescent="0.2">
      <c r="A1002" s="2">
        <v>2491</v>
      </c>
      <c r="B1002" s="2" t="s">
        <v>31</v>
      </c>
      <c r="C1002" s="2" t="s">
        <v>34</v>
      </c>
      <c r="D1002" s="2" t="s">
        <v>3230</v>
      </c>
      <c r="E1002" s="2" t="s">
        <v>110</v>
      </c>
      <c r="F1002" s="132">
        <v>1100.75</v>
      </c>
      <c r="G1002" s="132">
        <v>2</v>
      </c>
      <c r="H1002" s="132">
        <f>629*1.75</f>
        <v>1100.75</v>
      </c>
      <c r="I1002" s="132"/>
      <c r="J1002" s="132">
        <v>1100.75</v>
      </c>
      <c r="K1002" s="132">
        <f t="shared" si="95"/>
        <v>0</v>
      </c>
      <c r="L1002" s="132">
        <f t="shared" si="96"/>
        <v>0</v>
      </c>
      <c r="M1002" s="133"/>
      <c r="N1002" s="133">
        <f t="shared" ref="N1002:N1065" si="99">IF(OR(BK1002="принят",BK1002="Завершено",BK1002="ПриПро"),H1002-J1002,F1002-J1002)</f>
        <v>0</v>
      </c>
      <c r="O1002" s="134">
        <v>0</v>
      </c>
      <c r="P1002" s="133"/>
      <c r="Q1002" s="2" t="s">
        <v>2625</v>
      </c>
      <c r="R1002" s="156">
        <f t="shared" si="97"/>
        <v>0</v>
      </c>
      <c r="S1002" s="156">
        <f t="shared" si="98"/>
        <v>0</v>
      </c>
      <c r="T1002" s="133"/>
      <c r="U1002" s="133"/>
      <c r="V1002" s="133"/>
      <c r="W1002" s="133"/>
      <c r="X1002" s="133"/>
      <c r="Y1002" s="133"/>
      <c r="Z1002" s="133"/>
      <c r="AA1002" s="133"/>
      <c r="AB1002" s="133"/>
      <c r="AC1002" s="133"/>
      <c r="AD1002" s="133"/>
      <c r="AE1002" s="133"/>
      <c r="AF1002" s="133"/>
      <c r="AG1002" s="133"/>
      <c r="AH1002" s="133"/>
      <c r="AI1002" s="133"/>
      <c r="AJ1002" s="133"/>
      <c r="AK1002" s="133"/>
      <c r="AL1002" s="133"/>
      <c r="AM1002" s="133"/>
      <c r="AN1002" s="133"/>
      <c r="AO1002" s="133"/>
      <c r="AP1002" s="133"/>
      <c r="AQ1002" s="133"/>
      <c r="AR1002" s="133"/>
      <c r="AS1002" s="153">
        <v>0</v>
      </c>
      <c r="AT1002" s="153">
        <v>0</v>
      </c>
      <c r="AU1002" s="153">
        <v>0</v>
      </c>
      <c r="AV1002" s="153">
        <v>0</v>
      </c>
      <c r="AW1002" s="153">
        <v>0</v>
      </c>
      <c r="AX1002" s="153">
        <v>0</v>
      </c>
      <c r="AY1002" s="135"/>
      <c r="AZ1002" s="135"/>
      <c r="BA1002" s="135"/>
      <c r="BB1002" s="135"/>
      <c r="BC1002" s="135"/>
      <c r="BD1002" s="135"/>
      <c r="BE1002" s="135"/>
      <c r="BF1002" s="135"/>
      <c r="BG1002" s="135"/>
      <c r="BH1002" s="135"/>
      <c r="BI1002" s="2" t="s">
        <v>112</v>
      </c>
      <c r="BJ1002" s="136">
        <v>45449</v>
      </c>
      <c r="BK1002" s="2" t="s">
        <v>145</v>
      </c>
      <c r="BL1002" s="136" t="s">
        <v>113</v>
      </c>
      <c r="BM1002" s="136">
        <v>45309</v>
      </c>
      <c r="BN1002" s="2" t="s">
        <v>3279</v>
      </c>
      <c r="BO1002" s="2"/>
      <c r="BP1002" s="136"/>
      <c r="BQ1002" s="137"/>
      <c r="BR1002" s="138"/>
    </row>
    <row r="1003" spans="1:70" ht="12.75" customHeight="1" x14ac:dyDescent="0.2">
      <c r="A1003" s="2">
        <v>2492</v>
      </c>
      <c r="B1003" s="2" t="s">
        <v>31</v>
      </c>
      <c r="C1003" s="2" t="s">
        <v>33</v>
      </c>
      <c r="D1003" s="2" t="s">
        <v>3231</v>
      </c>
      <c r="E1003" s="2" t="s">
        <v>110</v>
      </c>
      <c r="F1003" s="132">
        <v>829.5</v>
      </c>
      <c r="G1003" s="132">
        <v>2</v>
      </c>
      <c r="H1003" s="132">
        <f>474*1.75</f>
        <v>829.5</v>
      </c>
      <c r="I1003" s="132"/>
      <c r="J1003" s="132">
        <v>829.5</v>
      </c>
      <c r="K1003" s="132">
        <f t="shared" si="95"/>
        <v>0</v>
      </c>
      <c r="L1003" s="132">
        <f t="shared" si="96"/>
        <v>0</v>
      </c>
      <c r="M1003" s="133"/>
      <c r="N1003" s="133">
        <f t="shared" si="99"/>
        <v>0</v>
      </c>
      <c r="O1003" s="134">
        <v>0</v>
      </c>
      <c r="P1003" s="133"/>
      <c r="Q1003" s="2" t="s">
        <v>2626</v>
      </c>
      <c r="R1003" s="156">
        <f t="shared" si="97"/>
        <v>0</v>
      </c>
      <c r="S1003" s="156">
        <f t="shared" si="98"/>
        <v>0</v>
      </c>
      <c r="T1003" s="133"/>
      <c r="U1003" s="133"/>
      <c r="V1003" s="133"/>
      <c r="W1003" s="133"/>
      <c r="X1003" s="133"/>
      <c r="Y1003" s="133"/>
      <c r="Z1003" s="133"/>
      <c r="AA1003" s="133"/>
      <c r="AB1003" s="133"/>
      <c r="AC1003" s="133"/>
      <c r="AD1003" s="133"/>
      <c r="AE1003" s="133"/>
      <c r="AF1003" s="133"/>
      <c r="AG1003" s="133"/>
      <c r="AH1003" s="133"/>
      <c r="AI1003" s="133"/>
      <c r="AJ1003" s="133"/>
      <c r="AK1003" s="133"/>
      <c r="AL1003" s="133"/>
      <c r="AM1003" s="133"/>
      <c r="AN1003" s="133"/>
      <c r="AO1003" s="133"/>
      <c r="AP1003" s="133"/>
      <c r="AQ1003" s="133"/>
      <c r="AR1003" s="133"/>
      <c r="AS1003" s="153">
        <v>0</v>
      </c>
      <c r="AT1003" s="153">
        <v>0</v>
      </c>
      <c r="AU1003" s="153">
        <v>0</v>
      </c>
      <c r="AV1003" s="153">
        <v>0</v>
      </c>
      <c r="AW1003" s="153">
        <v>0</v>
      </c>
      <c r="AX1003" s="153">
        <v>0</v>
      </c>
      <c r="AY1003" s="135"/>
      <c r="AZ1003" s="135"/>
      <c r="BA1003" s="135"/>
      <c r="BB1003" s="135"/>
      <c r="BC1003" s="135"/>
      <c r="BD1003" s="135"/>
      <c r="BE1003" s="135"/>
      <c r="BF1003" s="135"/>
      <c r="BG1003" s="135"/>
      <c r="BH1003" s="135"/>
      <c r="BI1003" s="2" t="s">
        <v>112</v>
      </c>
      <c r="BJ1003" s="136">
        <v>45449</v>
      </c>
      <c r="BK1003" s="2" t="s">
        <v>145</v>
      </c>
      <c r="BL1003" s="136" t="s">
        <v>113</v>
      </c>
      <c r="BM1003" s="136">
        <v>45309</v>
      </c>
      <c r="BN1003" s="2" t="s">
        <v>3280</v>
      </c>
      <c r="BO1003" s="2"/>
      <c r="BP1003" s="136"/>
      <c r="BQ1003" s="137"/>
      <c r="BR1003" s="138"/>
    </row>
    <row r="1004" spans="1:70" ht="12.75" customHeight="1" x14ac:dyDescent="0.2">
      <c r="A1004" s="2">
        <v>2493</v>
      </c>
      <c r="B1004" s="2" t="s">
        <v>31</v>
      </c>
      <c r="C1004" s="2" t="s">
        <v>33</v>
      </c>
      <c r="D1004" s="2" t="s">
        <v>3232</v>
      </c>
      <c r="E1004" s="2" t="s">
        <v>110</v>
      </c>
      <c r="F1004" s="132">
        <v>416.5</v>
      </c>
      <c r="G1004" s="132">
        <v>2</v>
      </c>
      <c r="H1004" s="132">
        <f>238*1.75</f>
        <v>416.5</v>
      </c>
      <c r="I1004" s="132"/>
      <c r="J1004" s="132">
        <v>416.5</v>
      </c>
      <c r="K1004" s="132">
        <f t="shared" si="95"/>
        <v>0</v>
      </c>
      <c r="L1004" s="132">
        <f t="shared" si="96"/>
        <v>0</v>
      </c>
      <c r="M1004" s="133"/>
      <c r="N1004" s="133">
        <f t="shared" si="99"/>
        <v>0</v>
      </c>
      <c r="O1004" s="134">
        <v>0</v>
      </c>
      <c r="P1004" s="133"/>
      <c r="Q1004" s="2" t="s">
        <v>2627</v>
      </c>
      <c r="R1004" s="156">
        <f t="shared" si="97"/>
        <v>0</v>
      </c>
      <c r="S1004" s="156">
        <f t="shared" si="98"/>
        <v>0</v>
      </c>
      <c r="T1004" s="133"/>
      <c r="U1004" s="133"/>
      <c r="V1004" s="133"/>
      <c r="W1004" s="133"/>
      <c r="X1004" s="133"/>
      <c r="Y1004" s="133"/>
      <c r="Z1004" s="133"/>
      <c r="AA1004" s="133"/>
      <c r="AB1004" s="133"/>
      <c r="AC1004" s="133"/>
      <c r="AD1004" s="133"/>
      <c r="AE1004" s="133"/>
      <c r="AF1004" s="133"/>
      <c r="AG1004" s="133"/>
      <c r="AH1004" s="133"/>
      <c r="AI1004" s="133"/>
      <c r="AJ1004" s="133"/>
      <c r="AK1004" s="133"/>
      <c r="AL1004" s="133"/>
      <c r="AM1004" s="133"/>
      <c r="AN1004" s="133"/>
      <c r="AO1004" s="133"/>
      <c r="AP1004" s="133"/>
      <c r="AQ1004" s="133"/>
      <c r="AR1004" s="133"/>
      <c r="AS1004" s="153">
        <v>0</v>
      </c>
      <c r="AT1004" s="153">
        <v>0</v>
      </c>
      <c r="AU1004" s="153">
        <v>0</v>
      </c>
      <c r="AV1004" s="153">
        <v>0</v>
      </c>
      <c r="AW1004" s="153">
        <v>0</v>
      </c>
      <c r="AX1004" s="153">
        <v>0</v>
      </c>
      <c r="AY1004" s="135"/>
      <c r="AZ1004" s="135"/>
      <c r="BA1004" s="135"/>
      <c r="BB1004" s="135"/>
      <c r="BC1004" s="135"/>
      <c r="BD1004" s="135"/>
      <c r="BE1004" s="135"/>
      <c r="BF1004" s="135"/>
      <c r="BG1004" s="135"/>
      <c r="BH1004" s="135"/>
      <c r="BI1004" s="2" t="s">
        <v>112</v>
      </c>
      <c r="BJ1004" s="136">
        <v>45449</v>
      </c>
      <c r="BK1004" s="2" t="s">
        <v>145</v>
      </c>
      <c r="BL1004" s="136" t="s">
        <v>113</v>
      </c>
      <c r="BM1004" s="136">
        <v>45309</v>
      </c>
      <c r="BN1004" s="2" t="s">
        <v>3281</v>
      </c>
      <c r="BO1004" s="2"/>
      <c r="BP1004" s="136"/>
      <c r="BQ1004" s="137"/>
      <c r="BR1004" s="138"/>
    </row>
    <row r="1005" spans="1:70" ht="12.75" customHeight="1" x14ac:dyDescent="0.2">
      <c r="A1005" s="2">
        <v>2494</v>
      </c>
      <c r="B1005" s="2" t="s">
        <v>54</v>
      </c>
      <c r="C1005" s="2" t="s">
        <v>96</v>
      </c>
      <c r="D1005" s="2" t="s">
        <v>3284</v>
      </c>
      <c r="E1005" s="2" t="s">
        <v>110</v>
      </c>
      <c r="F1005" s="132">
        <v>0</v>
      </c>
      <c r="G1005" s="132">
        <v>2</v>
      </c>
      <c r="H1005" s="132"/>
      <c r="I1005" s="132"/>
      <c r="J1005" s="132"/>
      <c r="K1005" s="132">
        <f t="shared" si="95"/>
        <v>0</v>
      </c>
      <c r="L1005" s="132">
        <f t="shared" si="96"/>
        <v>0</v>
      </c>
      <c r="M1005" s="133"/>
      <c r="N1005" s="133">
        <f t="shared" si="99"/>
        <v>0</v>
      </c>
      <c r="O1005" s="134">
        <v>2</v>
      </c>
      <c r="P1005" s="133"/>
      <c r="Q1005" s="2" t="s">
        <v>3282</v>
      </c>
      <c r="R1005" s="156">
        <f t="shared" si="97"/>
        <v>0</v>
      </c>
      <c r="S1005" s="156">
        <f t="shared" si="98"/>
        <v>0</v>
      </c>
      <c r="T1005" s="133"/>
      <c r="U1005" s="133"/>
      <c r="V1005" s="133"/>
      <c r="W1005" s="133"/>
      <c r="X1005" s="133"/>
      <c r="Y1005" s="133"/>
      <c r="Z1005" s="133"/>
      <c r="AA1005" s="133"/>
      <c r="AB1005" s="133"/>
      <c r="AC1005" s="133"/>
      <c r="AD1005" s="133"/>
      <c r="AE1005" s="133"/>
      <c r="AF1005" s="133"/>
      <c r="AG1005" s="133"/>
      <c r="AH1005" s="133"/>
      <c r="AI1005" s="133"/>
      <c r="AJ1005" s="133"/>
      <c r="AK1005" s="133"/>
      <c r="AL1005" s="133"/>
      <c r="AM1005" s="133"/>
      <c r="AN1005" s="133"/>
      <c r="AO1005" s="133"/>
      <c r="AP1005" s="133"/>
      <c r="AQ1005" s="133"/>
      <c r="AR1005" s="133"/>
      <c r="AS1005" s="153">
        <v>0</v>
      </c>
      <c r="AT1005" s="153">
        <v>0</v>
      </c>
      <c r="AU1005" s="153">
        <v>0</v>
      </c>
      <c r="AV1005" s="153">
        <v>0</v>
      </c>
      <c r="AW1005" s="153">
        <v>0</v>
      </c>
      <c r="AX1005" s="153">
        <v>0</v>
      </c>
      <c r="AY1005" s="135"/>
      <c r="AZ1005" s="135"/>
      <c r="BA1005" s="135"/>
      <c r="BB1005" s="135"/>
      <c r="BC1005" s="135"/>
      <c r="BD1005" s="135"/>
      <c r="BE1005" s="135"/>
      <c r="BF1005" s="135"/>
      <c r="BG1005" s="135"/>
      <c r="BH1005" s="135"/>
      <c r="BI1005" s="2" t="s">
        <v>112</v>
      </c>
      <c r="BJ1005" s="136"/>
      <c r="BK1005" s="2">
        <v>0</v>
      </c>
      <c r="BL1005" s="136" t="s">
        <v>18</v>
      </c>
      <c r="BM1005" s="136">
        <v>45309</v>
      </c>
      <c r="BN1005" s="2" t="s">
        <v>3288</v>
      </c>
      <c r="BO1005" s="2"/>
      <c r="BP1005" s="136"/>
      <c r="BQ1005" s="137"/>
      <c r="BR1005" s="138"/>
    </row>
    <row r="1006" spans="1:70" ht="12.75" customHeight="1" x14ac:dyDescent="0.2">
      <c r="A1006" s="2">
        <v>2495</v>
      </c>
      <c r="B1006" s="2" t="s">
        <v>54</v>
      </c>
      <c r="C1006" s="2" t="s">
        <v>96</v>
      </c>
      <c r="D1006" s="2" t="s">
        <v>2778</v>
      </c>
      <c r="E1006" s="2" t="s">
        <v>110</v>
      </c>
      <c r="F1006" s="132">
        <v>0</v>
      </c>
      <c r="G1006" s="132">
        <v>2</v>
      </c>
      <c r="H1006" s="132"/>
      <c r="I1006" s="132"/>
      <c r="J1006" s="132"/>
      <c r="K1006" s="132">
        <f t="shared" si="95"/>
        <v>0</v>
      </c>
      <c r="L1006" s="132">
        <f t="shared" si="96"/>
        <v>0</v>
      </c>
      <c r="M1006" s="133"/>
      <c r="N1006" s="133">
        <f t="shared" si="99"/>
        <v>0</v>
      </c>
      <c r="O1006" s="134">
        <v>2</v>
      </c>
      <c r="P1006" s="133"/>
      <c r="Q1006" s="2" t="s">
        <v>2766</v>
      </c>
      <c r="R1006" s="156">
        <f t="shared" si="97"/>
        <v>0</v>
      </c>
      <c r="S1006" s="156">
        <f t="shared" si="98"/>
        <v>0</v>
      </c>
      <c r="T1006" s="133"/>
      <c r="U1006" s="133"/>
      <c r="V1006" s="133"/>
      <c r="W1006" s="133"/>
      <c r="X1006" s="133"/>
      <c r="Y1006" s="133"/>
      <c r="Z1006" s="133"/>
      <c r="AA1006" s="133"/>
      <c r="AB1006" s="133"/>
      <c r="AC1006" s="133"/>
      <c r="AD1006" s="133"/>
      <c r="AE1006" s="133"/>
      <c r="AF1006" s="133"/>
      <c r="AG1006" s="133"/>
      <c r="AH1006" s="133"/>
      <c r="AI1006" s="133"/>
      <c r="AJ1006" s="133"/>
      <c r="AK1006" s="133"/>
      <c r="AL1006" s="133"/>
      <c r="AM1006" s="133"/>
      <c r="AN1006" s="133"/>
      <c r="AO1006" s="133"/>
      <c r="AP1006" s="133"/>
      <c r="AQ1006" s="133"/>
      <c r="AR1006" s="133"/>
      <c r="AS1006" s="153">
        <v>0</v>
      </c>
      <c r="AT1006" s="153">
        <v>0</v>
      </c>
      <c r="AU1006" s="153">
        <v>0</v>
      </c>
      <c r="AV1006" s="153">
        <v>0</v>
      </c>
      <c r="AW1006" s="153">
        <v>0</v>
      </c>
      <c r="AX1006" s="153">
        <v>0</v>
      </c>
      <c r="AY1006" s="135"/>
      <c r="AZ1006" s="135"/>
      <c r="BA1006" s="135"/>
      <c r="BB1006" s="135"/>
      <c r="BC1006" s="135"/>
      <c r="BD1006" s="135"/>
      <c r="BE1006" s="135"/>
      <c r="BF1006" s="135"/>
      <c r="BG1006" s="135"/>
      <c r="BH1006" s="135"/>
      <c r="BI1006" s="2" t="s">
        <v>112</v>
      </c>
      <c r="BJ1006" s="136"/>
      <c r="BK1006" s="2">
        <v>0</v>
      </c>
      <c r="BL1006" s="136" t="s">
        <v>18</v>
      </c>
      <c r="BM1006" s="136">
        <v>45309</v>
      </c>
      <c r="BN1006" s="2" t="s">
        <v>3289</v>
      </c>
      <c r="BO1006" s="2"/>
      <c r="BP1006" s="136"/>
      <c r="BQ1006" s="137"/>
      <c r="BR1006" s="138"/>
    </row>
    <row r="1007" spans="1:70" ht="12.75" customHeight="1" x14ac:dyDescent="0.2">
      <c r="A1007" s="2">
        <v>2496</v>
      </c>
      <c r="B1007" s="2" t="s">
        <v>54</v>
      </c>
      <c r="C1007" s="2" t="s">
        <v>97</v>
      </c>
      <c r="D1007" s="2" t="s">
        <v>2779</v>
      </c>
      <c r="E1007" s="2" t="s">
        <v>110</v>
      </c>
      <c r="F1007" s="132">
        <f>6880*1.75</f>
        <v>12040</v>
      </c>
      <c r="G1007" s="132">
        <v>2</v>
      </c>
      <c r="H1007" s="132">
        <f>6880*1.75</f>
        <v>12040</v>
      </c>
      <c r="I1007" s="132"/>
      <c r="J1007" s="132">
        <f>1836.61+10203.39</f>
        <v>12040</v>
      </c>
      <c r="K1007" s="132">
        <f t="shared" si="95"/>
        <v>0</v>
      </c>
      <c r="L1007" s="132">
        <f t="shared" si="96"/>
        <v>0</v>
      </c>
      <c r="M1007" s="133"/>
      <c r="N1007" s="133">
        <f t="shared" si="99"/>
        <v>0</v>
      </c>
      <c r="O1007" s="134">
        <v>0</v>
      </c>
      <c r="P1007" s="133"/>
      <c r="Q1007" s="2" t="s">
        <v>2767</v>
      </c>
      <c r="R1007" s="156">
        <f t="shared" si="97"/>
        <v>0</v>
      </c>
      <c r="S1007" s="156">
        <f t="shared" si="98"/>
        <v>0</v>
      </c>
      <c r="T1007" s="133"/>
      <c r="U1007" s="133"/>
      <c r="V1007" s="133"/>
      <c r="W1007" s="133"/>
      <c r="X1007" s="133"/>
      <c r="Y1007" s="133"/>
      <c r="Z1007" s="133"/>
      <c r="AA1007" s="133"/>
      <c r="AB1007" s="133"/>
      <c r="AC1007" s="133"/>
      <c r="AD1007" s="133"/>
      <c r="AE1007" s="133"/>
      <c r="AF1007" s="133"/>
      <c r="AG1007" s="133"/>
      <c r="AH1007" s="133"/>
      <c r="AI1007" s="133"/>
      <c r="AJ1007" s="133"/>
      <c r="AK1007" s="133"/>
      <c r="AL1007" s="133"/>
      <c r="AM1007" s="133"/>
      <c r="AN1007" s="133"/>
      <c r="AO1007" s="133"/>
      <c r="AP1007" s="133"/>
      <c r="AQ1007" s="133"/>
      <c r="AR1007" s="133"/>
      <c r="AS1007" s="153">
        <v>0</v>
      </c>
      <c r="AT1007" s="153">
        <v>0</v>
      </c>
      <c r="AU1007" s="153">
        <v>0</v>
      </c>
      <c r="AV1007" s="153">
        <v>0</v>
      </c>
      <c r="AW1007" s="153">
        <v>0</v>
      </c>
      <c r="AX1007" s="153">
        <v>0</v>
      </c>
      <c r="AY1007" s="135"/>
      <c r="AZ1007" s="135"/>
      <c r="BA1007" s="135"/>
      <c r="BB1007" s="135"/>
      <c r="BC1007" s="135"/>
      <c r="BD1007" s="135"/>
      <c r="BE1007" s="135"/>
      <c r="BF1007" s="135"/>
      <c r="BG1007" s="135"/>
      <c r="BH1007" s="135"/>
      <c r="BI1007" s="2" t="s">
        <v>112</v>
      </c>
      <c r="BJ1007" s="136">
        <v>45509</v>
      </c>
      <c r="BK1007" s="2" t="s">
        <v>145</v>
      </c>
      <c r="BL1007" s="136" t="s">
        <v>18</v>
      </c>
      <c r="BM1007" s="136">
        <v>45309</v>
      </c>
      <c r="BN1007" s="2" t="s">
        <v>3290</v>
      </c>
      <c r="BO1007" s="2"/>
      <c r="BP1007" s="136"/>
      <c r="BQ1007" s="137"/>
      <c r="BR1007" s="138"/>
    </row>
    <row r="1008" spans="1:70" ht="12.75" customHeight="1" x14ac:dyDescent="0.2">
      <c r="A1008" s="2">
        <v>2497</v>
      </c>
      <c r="B1008" s="2" t="s">
        <v>54</v>
      </c>
      <c r="C1008" s="2" t="s">
        <v>97</v>
      </c>
      <c r="D1008" s="2" t="s">
        <v>3285</v>
      </c>
      <c r="E1008" s="2" t="s">
        <v>110</v>
      </c>
      <c r="F1008" s="132">
        <v>0</v>
      </c>
      <c r="G1008" s="132">
        <v>2</v>
      </c>
      <c r="H1008" s="132"/>
      <c r="I1008" s="132"/>
      <c r="J1008" s="132"/>
      <c r="K1008" s="132">
        <f t="shared" si="95"/>
        <v>0</v>
      </c>
      <c r="L1008" s="132">
        <f t="shared" si="96"/>
        <v>0</v>
      </c>
      <c r="M1008" s="133"/>
      <c r="N1008" s="133">
        <f t="shared" si="99"/>
        <v>0</v>
      </c>
      <c r="O1008" s="134">
        <v>2</v>
      </c>
      <c r="P1008" s="133"/>
      <c r="Q1008" s="2" t="s">
        <v>2769</v>
      </c>
      <c r="R1008" s="156">
        <f t="shared" si="97"/>
        <v>0</v>
      </c>
      <c r="S1008" s="156">
        <f t="shared" si="98"/>
        <v>0</v>
      </c>
      <c r="T1008" s="133"/>
      <c r="U1008" s="133"/>
      <c r="V1008" s="133"/>
      <c r="W1008" s="133"/>
      <c r="X1008" s="133"/>
      <c r="Y1008" s="133"/>
      <c r="Z1008" s="133"/>
      <c r="AA1008" s="133"/>
      <c r="AB1008" s="133"/>
      <c r="AC1008" s="133"/>
      <c r="AD1008" s="133"/>
      <c r="AE1008" s="133"/>
      <c r="AF1008" s="133"/>
      <c r="AG1008" s="133"/>
      <c r="AH1008" s="133"/>
      <c r="AI1008" s="133"/>
      <c r="AJ1008" s="133"/>
      <c r="AK1008" s="133"/>
      <c r="AL1008" s="133"/>
      <c r="AM1008" s="133"/>
      <c r="AN1008" s="133"/>
      <c r="AO1008" s="133"/>
      <c r="AP1008" s="133"/>
      <c r="AQ1008" s="133"/>
      <c r="AR1008" s="133"/>
      <c r="AS1008" s="153">
        <v>0</v>
      </c>
      <c r="AT1008" s="153">
        <v>0</v>
      </c>
      <c r="AU1008" s="153">
        <v>0</v>
      </c>
      <c r="AV1008" s="153">
        <v>0</v>
      </c>
      <c r="AW1008" s="153">
        <v>0</v>
      </c>
      <c r="AX1008" s="153">
        <v>0</v>
      </c>
      <c r="AY1008" s="135"/>
      <c r="AZ1008" s="135"/>
      <c r="BA1008" s="135"/>
      <c r="BB1008" s="135"/>
      <c r="BC1008" s="135"/>
      <c r="BD1008" s="135"/>
      <c r="BE1008" s="135"/>
      <c r="BF1008" s="135"/>
      <c r="BG1008" s="135"/>
      <c r="BH1008" s="135"/>
      <c r="BI1008" s="2" t="s">
        <v>112</v>
      </c>
      <c r="BJ1008" s="136"/>
      <c r="BK1008" s="2">
        <v>0</v>
      </c>
      <c r="BL1008" s="136" t="s">
        <v>18</v>
      </c>
      <c r="BM1008" s="136">
        <v>45309</v>
      </c>
      <c r="BN1008" s="2" t="s">
        <v>3291</v>
      </c>
      <c r="BO1008" s="2"/>
      <c r="BP1008" s="136"/>
      <c r="BQ1008" s="137"/>
      <c r="BR1008" s="138"/>
    </row>
    <row r="1009" spans="1:70" ht="12.75" customHeight="1" x14ac:dyDescent="0.2">
      <c r="A1009" s="2">
        <v>2498</v>
      </c>
      <c r="B1009" s="2" t="s">
        <v>54</v>
      </c>
      <c r="C1009" s="2" t="s">
        <v>96</v>
      </c>
      <c r="D1009" s="2" t="s">
        <v>3286</v>
      </c>
      <c r="E1009" s="2" t="s">
        <v>110</v>
      </c>
      <c r="F1009" s="132">
        <v>0</v>
      </c>
      <c r="G1009" s="132">
        <v>2</v>
      </c>
      <c r="H1009" s="132"/>
      <c r="I1009" s="132"/>
      <c r="J1009" s="132"/>
      <c r="K1009" s="132">
        <f t="shared" si="95"/>
        <v>0</v>
      </c>
      <c r="L1009" s="132">
        <f t="shared" si="96"/>
        <v>0</v>
      </c>
      <c r="M1009" s="133"/>
      <c r="N1009" s="133">
        <f t="shared" si="99"/>
        <v>0</v>
      </c>
      <c r="O1009" s="134">
        <v>2</v>
      </c>
      <c r="P1009" s="133"/>
      <c r="Q1009" s="2" t="s">
        <v>3283</v>
      </c>
      <c r="R1009" s="156">
        <f t="shared" si="97"/>
        <v>0</v>
      </c>
      <c r="S1009" s="156">
        <f t="shared" si="98"/>
        <v>0</v>
      </c>
      <c r="T1009" s="133"/>
      <c r="U1009" s="133"/>
      <c r="V1009" s="133"/>
      <c r="W1009" s="133"/>
      <c r="X1009" s="133"/>
      <c r="Y1009" s="133"/>
      <c r="Z1009" s="133"/>
      <c r="AA1009" s="133"/>
      <c r="AB1009" s="133"/>
      <c r="AC1009" s="133"/>
      <c r="AD1009" s="133"/>
      <c r="AE1009" s="133"/>
      <c r="AF1009" s="133"/>
      <c r="AG1009" s="133"/>
      <c r="AH1009" s="133"/>
      <c r="AI1009" s="133"/>
      <c r="AJ1009" s="133"/>
      <c r="AK1009" s="133"/>
      <c r="AL1009" s="133"/>
      <c r="AM1009" s="133"/>
      <c r="AN1009" s="133"/>
      <c r="AO1009" s="133"/>
      <c r="AP1009" s="133"/>
      <c r="AQ1009" s="133"/>
      <c r="AR1009" s="133"/>
      <c r="AS1009" s="153">
        <v>0</v>
      </c>
      <c r="AT1009" s="153">
        <v>0</v>
      </c>
      <c r="AU1009" s="153">
        <v>0</v>
      </c>
      <c r="AV1009" s="153">
        <v>0</v>
      </c>
      <c r="AW1009" s="153">
        <v>0</v>
      </c>
      <c r="AX1009" s="153">
        <v>0</v>
      </c>
      <c r="AY1009" s="135"/>
      <c r="AZ1009" s="135"/>
      <c r="BA1009" s="135"/>
      <c r="BB1009" s="135"/>
      <c r="BC1009" s="135"/>
      <c r="BD1009" s="135"/>
      <c r="BE1009" s="135"/>
      <c r="BF1009" s="135"/>
      <c r="BG1009" s="135"/>
      <c r="BH1009" s="135"/>
      <c r="BI1009" s="2" t="s">
        <v>112</v>
      </c>
      <c r="BJ1009" s="136"/>
      <c r="BK1009" s="2">
        <v>0</v>
      </c>
      <c r="BL1009" s="136" t="s">
        <v>18</v>
      </c>
      <c r="BM1009" s="136">
        <v>45309</v>
      </c>
      <c r="BN1009" s="2" t="s">
        <v>3292</v>
      </c>
      <c r="BO1009" s="2"/>
      <c r="BP1009" s="136"/>
      <c r="BQ1009" s="137"/>
      <c r="BR1009" s="138"/>
    </row>
    <row r="1010" spans="1:70" ht="12.75" customHeight="1" x14ac:dyDescent="0.2">
      <c r="A1010" s="2">
        <v>2499</v>
      </c>
      <c r="B1010" s="2" t="s">
        <v>54</v>
      </c>
      <c r="C1010" s="2" t="s">
        <v>97</v>
      </c>
      <c r="D1010" s="2" t="s">
        <v>2782</v>
      </c>
      <c r="E1010" s="2" t="s">
        <v>110</v>
      </c>
      <c r="F1010" s="132">
        <f>1461*1.75</f>
        <v>2556.75</v>
      </c>
      <c r="G1010" s="132">
        <v>2</v>
      </c>
      <c r="H1010" s="132">
        <f>1461*1.75</f>
        <v>2556.75</v>
      </c>
      <c r="I1010" s="132"/>
      <c r="J1010" s="132">
        <v>2556.75</v>
      </c>
      <c r="K1010" s="132">
        <f t="shared" si="95"/>
        <v>0</v>
      </c>
      <c r="L1010" s="132">
        <f t="shared" si="96"/>
        <v>0</v>
      </c>
      <c r="M1010" s="133"/>
      <c r="N1010" s="133">
        <f t="shared" si="99"/>
        <v>0</v>
      </c>
      <c r="O1010" s="134">
        <v>0</v>
      </c>
      <c r="P1010" s="133"/>
      <c r="Q1010" s="2" t="s">
        <v>2770</v>
      </c>
      <c r="R1010" s="156">
        <f t="shared" si="97"/>
        <v>0</v>
      </c>
      <c r="S1010" s="156">
        <f t="shared" si="98"/>
        <v>0</v>
      </c>
      <c r="T1010" s="133"/>
      <c r="U1010" s="133"/>
      <c r="V1010" s="133"/>
      <c r="W1010" s="133"/>
      <c r="X1010" s="133"/>
      <c r="Y1010" s="133"/>
      <c r="Z1010" s="133"/>
      <c r="AA1010" s="133"/>
      <c r="AB1010" s="133"/>
      <c r="AC1010" s="133"/>
      <c r="AD1010" s="133"/>
      <c r="AE1010" s="133"/>
      <c r="AF1010" s="133"/>
      <c r="AG1010" s="133"/>
      <c r="AH1010" s="133"/>
      <c r="AI1010" s="133"/>
      <c r="AJ1010" s="133"/>
      <c r="AK1010" s="133"/>
      <c r="AL1010" s="133"/>
      <c r="AM1010" s="133"/>
      <c r="AN1010" s="133"/>
      <c r="AO1010" s="133"/>
      <c r="AP1010" s="133"/>
      <c r="AQ1010" s="133"/>
      <c r="AR1010" s="133"/>
      <c r="AS1010" s="153">
        <v>0</v>
      </c>
      <c r="AT1010" s="153">
        <v>0</v>
      </c>
      <c r="AU1010" s="153">
        <v>0</v>
      </c>
      <c r="AV1010" s="153">
        <v>0</v>
      </c>
      <c r="AW1010" s="153">
        <v>0</v>
      </c>
      <c r="AX1010" s="153">
        <v>0</v>
      </c>
      <c r="AY1010" s="135"/>
      <c r="AZ1010" s="135"/>
      <c r="BA1010" s="135"/>
      <c r="BB1010" s="135"/>
      <c r="BC1010" s="135"/>
      <c r="BD1010" s="135"/>
      <c r="BE1010" s="135"/>
      <c r="BF1010" s="135"/>
      <c r="BG1010" s="135"/>
      <c r="BH1010" s="135"/>
      <c r="BI1010" s="2" t="s">
        <v>112</v>
      </c>
      <c r="BJ1010" s="136">
        <v>45540</v>
      </c>
      <c r="BK1010" s="2" t="s">
        <v>145</v>
      </c>
      <c r="BL1010" s="136" t="s">
        <v>18</v>
      </c>
      <c r="BM1010" s="136">
        <v>45309</v>
      </c>
      <c r="BN1010" s="2" t="s">
        <v>3293</v>
      </c>
      <c r="BO1010" s="2"/>
      <c r="BP1010" s="136"/>
      <c r="BQ1010" s="137" t="s">
        <v>134</v>
      </c>
      <c r="BR1010" s="138"/>
    </row>
    <row r="1011" spans="1:70" ht="12.75" customHeight="1" x14ac:dyDescent="0.2">
      <c r="A1011" s="2">
        <v>2500</v>
      </c>
      <c r="B1011" s="2" t="s">
        <v>54</v>
      </c>
      <c r="C1011" s="2" t="s">
        <v>96</v>
      </c>
      <c r="D1011" s="2" t="s">
        <v>2783</v>
      </c>
      <c r="E1011" s="2" t="s">
        <v>110</v>
      </c>
      <c r="F1011" s="132">
        <v>0</v>
      </c>
      <c r="G1011" s="132">
        <v>2</v>
      </c>
      <c r="H1011" s="132"/>
      <c r="I1011" s="132"/>
      <c r="J1011" s="132"/>
      <c r="K1011" s="132">
        <f t="shared" si="95"/>
        <v>0</v>
      </c>
      <c r="L1011" s="132">
        <f t="shared" si="96"/>
        <v>0</v>
      </c>
      <c r="M1011" s="133"/>
      <c r="N1011" s="133">
        <f t="shared" si="99"/>
        <v>0</v>
      </c>
      <c r="O1011" s="134">
        <v>2</v>
      </c>
      <c r="P1011" s="133"/>
      <c r="Q1011" s="2" t="s">
        <v>2771</v>
      </c>
      <c r="R1011" s="156">
        <f t="shared" si="97"/>
        <v>0</v>
      </c>
      <c r="S1011" s="156">
        <f t="shared" si="98"/>
        <v>0</v>
      </c>
      <c r="T1011" s="133"/>
      <c r="U1011" s="133"/>
      <c r="V1011" s="133"/>
      <c r="W1011" s="133"/>
      <c r="X1011" s="133"/>
      <c r="Y1011" s="133"/>
      <c r="Z1011" s="133"/>
      <c r="AA1011" s="133"/>
      <c r="AB1011" s="133"/>
      <c r="AC1011" s="133"/>
      <c r="AD1011" s="133"/>
      <c r="AE1011" s="133"/>
      <c r="AF1011" s="133"/>
      <c r="AG1011" s="133"/>
      <c r="AH1011" s="133"/>
      <c r="AI1011" s="133"/>
      <c r="AJ1011" s="133"/>
      <c r="AK1011" s="133"/>
      <c r="AL1011" s="133"/>
      <c r="AM1011" s="133"/>
      <c r="AN1011" s="133"/>
      <c r="AO1011" s="133"/>
      <c r="AP1011" s="133"/>
      <c r="AQ1011" s="133"/>
      <c r="AR1011" s="133"/>
      <c r="AS1011" s="153">
        <v>0</v>
      </c>
      <c r="AT1011" s="153">
        <v>0</v>
      </c>
      <c r="AU1011" s="153">
        <v>0</v>
      </c>
      <c r="AV1011" s="153">
        <v>0</v>
      </c>
      <c r="AW1011" s="153">
        <v>0</v>
      </c>
      <c r="AX1011" s="153">
        <v>0</v>
      </c>
      <c r="AY1011" s="135"/>
      <c r="AZ1011" s="135"/>
      <c r="BA1011" s="135"/>
      <c r="BB1011" s="135"/>
      <c r="BC1011" s="135"/>
      <c r="BD1011" s="135"/>
      <c r="BE1011" s="135"/>
      <c r="BF1011" s="135"/>
      <c r="BG1011" s="135"/>
      <c r="BH1011" s="135"/>
      <c r="BI1011" s="2" t="s">
        <v>112</v>
      </c>
      <c r="BJ1011" s="136"/>
      <c r="BK1011" s="2">
        <v>0</v>
      </c>
      <c r="BL1011" s="136" t="s">
        <v>18</v>
      </c>
      <c r="BM1011" s="136">
        <v>45309</v>
      </c>
      <c r="BN1011" s="2" t="s">
        <v>3294</v>
      </c>
      <c r="BO1011" s="2"/>
      <c r="BP1011" s="136"/>
      <c r="BQ1011" s="137"/>
      <c r="BR1011" s="138"/>
    </row>
    <row r="1012" spans="1:70" ht="12.75" customHeight="1" x14ac:dyDescent="0.2">
      <c r="A1012" s="2">
        <v>2501</v>
      </c>
      <c r="B1012" s="2" t="s">
        <v>54</v>
      </c>
      <c r="C1012" s="2" t="s">
        <v>96</v>
      </c>
      <c r="D1012" s="2" t="s">
        <v>3287</v>
      </c>
      <c r="E1012" s="2" t="s">
        <v>110</v>
      </c>
      <c r="F1012" s="132">
        <v>0</v>
      </c>
      <c r="G1012" s="132">
        <v>2</v>
      </c>
      <c r="H1012" s="132"/>
      <c r="I1012" s="132"/>
      <c r="J1012" s="132"/>
      <c r="K1012" s="132">
        <f t="shared" si="95"/>
        <v>0</v>
      </c>
      <c r="L1012" s="132">
        <f t="shared" si="96"/>
        <v>0</v>
      </c>
      <c r="M1012" s="133"/>
      <c r="N1012" s="133">
        <f t="shared" si="99"/>
        <v>0</v>
      </c>
      <c r="O1012" s="134">
        <v>2</v>
      </c>
      <c r="P1012" s="133"/>
      <c r="Q1012" s="2" t="s">
        <v>2772</v>
      </c>
      <c r="R1012" s="156">
        <f t="shared" si="97"/>
        <v>0</v>
      </c>
      <c r="S1012" s="156">
        <f t="shared" si="98"/>
        <v>0</v>
      </c>
      <c r="T1012" s="133"/>
      <c r="U1012" s="133"/>
      <c r="V1012" s="133"/>
      <c r="W1012" s="133"/>
      <c r="X1012" s="133"/>
      <c r="Y1012" s="133"/>
      <c r="Z1012" s="133"/>
      <c r="AA1012" s="133"/>
      <c r="AB1012" s="133"/>
      <c r="AC1012" s="133"/>
      <c r="AD1012" s="133"/>
      <c r="AE1012" s="133"/>
      <c r="AF1012" s="133"/>
      <c r="AG1012" s="133"/>
      <c r="AH1012" s="133"/>
      <c r="AI1012" s="133"/>
      <c r="AJ1012" s="133"/>
      <c r="AK1012" s="133"/>
      <c r="AL1012" s="133"/>
      <c r="AM1012" s="133"/>
      <c r="AN1012" s="133"/>
      <c r="AO1012" s="133"/>
      <c r="AP1012" s="133"/>
      <c r="AQ1012" s="133"/>
      <c r="AR1012" s="133"/>
      <c r="AS1012" s="153">
        <v>0</v>
      </c>
      <c r="AT1012" s="153">
        <v>0</v>
      </c>
      <c r="AU1012" s="153">
        <v>0</v>
      </c>
      <c r="AV1012" s="153">
        <v>0</v>
      </c>
      <c r="AW1012" s="153">
        <v>0</v>
      </c>
      <c r="AX1012" s="153">
        <v>0</v>
      </c>
      <c r="AY1012" s="135"/>
      <c r="AZ1012" s="135"/>
      <c r="BA1012" s="135"/>
      <c r="BB1012" s="135"/>
      <c r="BC1012" s="135"/>
      <c r="BD1012" s="135"/>
      <c r="BE1012" s="135"/>
      <c r="BF1012" s="135"/>
      <c r="BG1012" s="135"/>
      <c r="BH1012" s="135"/>
      <c r="BI1012" s="2" t="s">
        <v>112</v>
      </c>
      <c r="BJ1012" s="136"/>
      <c r="BK1012" s="2">
        <v>0</v>
      </c>
      <c r="BL1012" s="136" t="s">
        <v>18</v>
      </c>
      <c r="BM1012" s="136">
        <v>45309</v>
      </c>
      <c r="BN1012" s="2" t="s">
        <v>3295</v>
      </c>
      <c r="BO1012" s="2"/>
      <c r="BP1012" s="136"/>
      <c r="BQ1012" s="137"/>
      <c r="BR1012" s="138"/>
    </row>
    <row r="1013" spans="1:70" ht="12.75" customHeight="1" x14ac:dyDescent="0.2">
      <c r="A1013" s="2">
        <v>2502</v>
      </c>
      <c r="B1013" s="2" t="s">
        <v>54</v>
      </c>
      <c r="C1013" s="2" t="s">
        <v>96</v>
      </c>
      <c r="D1013" s="2" t="s">
        <v>2785</v>
      </c>
      <c r="E1013" s="2" t="s">
        <v>110</v>
      </c>
      <c r="F1013" s="132">
        <v>199.5</v>
      </c>
      <c r="G1013" s="132">
        <v>2</v>
      </c>
      <c r="H1013" s="132">
        <f>114*1.75</f>
        <v>199.5</v>
      </c>
      <c r="I1013" s="132"/>
      <c r="J1013" s="132">
        <v>199.5</v>
      </c>
      <c r="K1013" s="132">
        <f t="shared" si="95"/>
        <v>0</v>
      </c>
      <c r="L1013" s="132">
        <f t="shared" si="96"/>
        <v>0</v>
      </c>
      <c r="M1013" s="133"/>
      <c r="N1013" s="133">
        <f t="shared" si="99"/>
        <v>0</v>
      </c>
      <c r="O1013" s="134">
        <v>0</v>
      </c>
      <c r="P1013" s="133"/>
      <c r="Q1013" s="2" t="s">
        <v>2773</v>
      </c>
      <c r="R1013" s="156">
        <f t="shared" si="97"/>
        <v>0</v>
      </c>
      <c r="S1013" s="156">
        <f t="shared" si="98"/>
        <v>0</v>
      </c>
      <c r="T1013" s="133"/>
      <c r="U1013" s="133"/>
      <c r="V1013" s="133"/>
      <c r="W1013" s="133"/>
      <c r="X1013" s="133"/>
      <c r="Y1013" s="133"/>
      <c r="Z1013" s="133"/>
      <c r="AA1013" s="133"/>
      <c r="AB1013" s="133"/>
      <c r="AC1013" s="133"/>
      <c r="AD1013" s="133"/>
      <c r="AE1013" s="133"/>
      <c r="AF1013" s="133"/>
      <c r="AG1013" s="133"/>
      <c r="AH1013" s="133"/>
      <c r="AI1013" s="133"/>
      <c r="AJ1013" s="133"/>
      <c r="AK1013" s="133"/>
      <c r="AL1013" s="133"/>
      <c r="AM1013" s="133"/>
      <c r="AN1013" s="133"/>
      <c r="AO1013" s="133"/>
      <c r="AP1013" s="133"/>
      <c r="AQ1013" s="133"/>
      <c r="AR1013" s="133"/>
      <c r="AS1013" s="153">
        <v>0</v>
      </c>
      <c r="AT1013" s="153">
        <v>0</v>
      </c>
      <c r="AU1013" s="153">
        <v>0</v>
      </c>
      <c r="AV1013" s="153">
        <v>0</v>
      </c>
      <c r="AW1013" s="153">
        <v>0</v>
      </c>
      <c r="AX1013" s="153">
        <v>0</v>
      </c>
      <c r="AY1013" s="135"/>
      <c r="AZ1013" s="135"/>
      <c r="BA1013" s="135"/>
      <c r="BB1013" s="135"/>
      <c r="BC1013" s="135"/>
      <c r="BD1013" s="135"/>
      <c r="BE1013" s="135"/>
      <c r="BF1013" s="135"/>
      <c r="BG1013" s="135"/>
      <c r="BH1013" s="135"/>
      <c r="BI1013" s="2" t="s">
        <v>112</v>
      </c>
      <c r="BJ1013" s="136">
        <v>45540</v>
      </c>
      <c r="BK1013" s="2" t="s">
        <v>145</v>
      </c>
      <c r="BL1013" s="136" t="s">
        <v>18</v>
      </c>
      <c r="BM1013" s="136">
        <v>45309</v>
      </c>
      <c r="BN1013" s="2" t="s">
        <v>3296</v>
      </c>
      <c r="BO1013" s="2"/>
      <c r="BP1013" s="136"/>
      <c r="BQ1013" s="137" t="s">
        <v>134</v>
      </c>
      <c r="BR1013" s="138"/>
    </row>
    <row r="1014" spans="1:70" ht="12.75" customHeight="1" x14ac:dyDescent="0.2">
      <c r="A1014" s="2">
        <v>2503</v>
      </c>
      <c r="B1014" s="2" t="s">
        <v>54</v>
      </c>
      <c r="C1014" s="2" t="s">
        <v>96</v>
      </c>
      <c r="D1014" s="2" t="s">
        <v>2786</v>
      </c>
      <c r="E1014" s="2" t="s">
        <v>110</v>
      </c>
      <c r="F1014" s="132">
        <v>176.75</v>
      </c>
      <c r="G1014" s="132">
        <v>2</v>
      </c>
      <c r="H1014" s="132">
        <f>101*1.75</f>
        <v>176.75</v>
      </c>
      <c r="I1014" s="132"/>
      <c r="J1014" s="132">
        <v>176.75</v>
      </c>
      <c r="K1014" s="132">
        <f t="shared" ref="K1014:K1077" si="100">F1014-J1014</f>
        <v>0</v>
      </c>
      <c r="L1014" s="132">
        <f t="shared" si="96"/>
        <v>0</v>
      </c>
      <c r="M1014" s="133"/>
      <c r="N1014" s="133">
        <f t="shared" si="99"/>
        <v>0</v>
      </c>
      <c r="O1014" s="134">
        <v>0</v>
      </c>
      <c r="P1014" s="133"/>
      <c r="Q1014" s="2" t="s">
        <v>2774</v>
      </c>
      <c r="R1014" s="156">
        <f t="shared" si="97"/>
        <v>0</v>
      </c>
      <c r="S1014" s="156">
        <f t="shared" si="98"/>
        <v>0</v>
      </c>
      <c r="T1014" s="133"/>
      <c r="U1014" s="133"/>
      <c r="V1014" s="133"/>
      <c r="W1014" s="133"/>
      <c r="X1014" s="133"/>
      <c r="Y1014" s="133"/>
      <c r="Z1014" s="133"/>
      <c r="AA1014" s="133"/>
      <c r="AB1014" s="133"/>
      <c r="AC1014" s="133"/>
      <c r="AD1014" s="133"/>
      <c r="AE1014" s="133"/>
      <c r="AF1014" s="133"/>
      <c r="AG1014" s="133"/>
      <c r="AH1014" s="133"/>
      <c r="AI1014" s="133"/>
      <c r="AJ1014" s="133"/>
      <c r="AK1014" s="133"/>
      <c r="AL1014" s="133"/>
      <c r="AM1014" s="133"/>
      <c r="AN1014" s="133"/>
      <c r="AO1014" s="133"/>
      <c r="AP1014" s="133"/>
      <c r="AQ1014" s="133"/>
      <c r="AR1014" s="133"/>
      <c r="AS1014" s="153">
        <v>0</v>
      </c>
      <c r="AT1014" s="153">
        <v>0</v>
      </c>
      <c r="AU1014" s="153">
        <v>0</v>
      </c>
      <c r="AV1014" s="153">
        <v>0</v>
      </c>
      <c r="AW1014" s="153">
        <v>0</v>
      </c>
      <c r="AX1014" s="153">
        <v>0</v>
      </c>
      <c r="AY1014" s="135"/>
      <c r="AZ1014" s="135"/>
      <c r="BA1014" s="135"/>
      <c r="BB1014" s="135"/>
      <c r="BC1014" s="135"/>
      <c r="BD1014" s="135"/>
      <c r="BE1014" s="135"/>
      <c r="BF1014" s="135"/>
      <c r="BG1014" s="135"/>
      <c r="BH1014" s="135"/>
      <c r="BI1014" s="2" t="s">
        <v>112</v>
      </c>
      <c r="BJ1014" s="136">
        <v>45540</v>
      </c>
      <c r="BK1014" s="2" t="s">
        <v>145</v>
      </c>
      <c r="BL1014" s="136" t="s">
        <v>18</v>
      </c>
      <c r="BM1014" s="136">
        <v>45309</v>
      </c>
      <c r="BN1014" s="2" t="s">
        <v>3297</v>
      </c>
      <c r="BO1014" s="2"/>
      <c r="BP1014" s="136"/>
      <c r="BQ1014" s="137" t="s">
        <v>134</v>
      </c>
      <c r="BR1014" s="138"/>
    </row>
    <row r="1015" spans="1:70" ht="12.75" customHeight="1" x14ac:dyDescent="0.2">
      <c r="A1015" s="2">
        <v>2504</v>
      </c>
      <c r="B1015" s="2" t="s">
        <v>54</v>
      </c>
      <c r="C1015" s="2" t="s">
        <v>96</v>
      </c>
      <c r="D1015" s="2" t="s">
        <v>2787</v>
      </c>
      <c r="E1015" s="2" t="s">
        <v>110</v>
      </c>
      <c r="F1015" s="132">
        <v>196</v>
      </c>
      <c r="G1015" s="132">
        <v>2</v>
      </c>
      <c r="H1015" s="132">
        <f>112*1.75</f>
        <v>196</v>
      </c>
      <c r="I1015" s="132"/>
      <c r="J1015" s="132">
        <v>196</v>
      </c>
      <c r="K1015" s="132">
        <f t="shared" si="100"/>
        <v>0</v>
      </c>
      <c r="L1015" s="132">
        <f t="shared" si="96"/>
        <v>0</v>
      </c>
      <c r="M1015" s="133"/>
      <c r="N1015" s="133">
        <f t="shared" si="99"/>
        <v>0</v>
      </c>
      <c r="O1015" s="134">
        <v>0</v>
      </c>
      <c r="P1015" s="133"/>
      <c r="Q1015" s="2" t="s">
        <v>2775</v>
      </c>
      <c r="R1015" s="156">
        <f t="shared" si="97"/>
        <v>0</v>
      </c>
      <c r="S1015" s="156">
        <f t="shared" si="98"/>
        <v>0</v>
      </c>
      <c r="T1015" s="133"/>
      <c r="U1015" s="133"/>
      <c r="V1015" s="133"/>
      <c r="W1015" s="133"/>
      <c r="X1015" s="133"/>
      <c r="Y1015" s="133"/>
      <c r="Z1015" s="133"/>
      <c r="AA1015" s="133"/>
      <c r="AB1015" s="133"/>
      <c r="AC1015" s="133"/>
      <c r="AD1015" s="133"/>
      <c r="AE1015" s="133"/>
      <c r="AF1015" s="133"/>
      <c r="AG1015" s="133"/>
      <c r="AH1015" s="133"/>
      <c r="AI1015" s="133"/>
      <c r="AJ1015" s="133"/>
      <c r="AK1015" s="133"/>
      <c r="AL1015" s="133"/>
      <c r="AM1015" s="133"/>
      <c r="AN1015" s="133"/>
      <c r="AO1015" s="133"/>
      <c r="AP1015" s="133"/>
      <c r="AQ1015" s="133"/>
      <c r="AR1015" s="133"/>
      <c r="AS1015" s="153">
        <v>0</v>
      </c>
      <c r="AT1015" s="153">
        <v>0</v>
      </c>
      <c r="AU1015" s="153">
        <v>0</v>
      </c>
      <c r="AV1015" s="153">
        <v>0</v>
      </c>
      <c r="AW1015" s="153">
        <v>0</v>
      </c>
      <c r="AX1015" s="153">
        <v>0</v>
      </c>
      <c r="AY1015" s="135"/>
      <c r="AZ1015" s="135"/>
      <c r="BA1015" s="135"/>
      <c r="BB1015" s="135"/>
      <c r="BC1015" s="135"/>
      <c r="BD1015" s="135"/>
      <c r="BE1015" s="135"/>
      <c r="BF1015" s="135"/>
      <c r="BG1015" s="135"/>
      <c r="BH1015" s="135"/>
      <c r="BI1015" s="2" t="s">
        <v>112</v>
      </c>
      <c r="BJ1015" s="136">
        <v>45540</v>
      </c>
      <c r="BK1015" s="2" t="s">
        <v>145</v>
      </c>
      <c r="BL1015" s="136" t="s">
        <v>18</v>
      </c>
      <c r="BM1015" s="136">
        <v>45309</v>
      </c>
      <c r="BN1015" s="2" t="s">
        <v>3298</v>
      </c>
      <c r="BO1015" s="2"/>
      <c r="BP1015" s="136"/>
      <c r="BQ1015" s="137" t="s">
        <v>134</v>
      </c>
      <c r="BR1015" s="138"/>
    </row>
    <row r="1016" spans="1:70" ht="12.75" customHeight="1" x14ac:dyDescent="0.2">
      <c r="A1016" s="2">
        <v>2505</v>
      </c>
      <c r="B1016" s="2" t="s">
        <v>44</v>
      </c>
      <c r="C1016" s="2" t="s">
        <v>52</v>
      </c>
      <c r="D1016" s="2" t="s">
        <v>3347</v>
      </c>
      <c r="E1016" s="2" t="s">
        <v>3345</v>
      </c>
      <c r="F1016" s="132">
        <v>58351</v>
      </c>
      <c r="G1016" s="132"/>
      <c r="H1016" s="132">
        <v>58351</v>
      </c>
      <c r="I1016" s="132">
        <v>0</v>
      </c>
      <c r="J1016" s="132">
        <f>26880+31471</f>
        <v>58351</v>
      </c>
      <c r="K1016" s="132">
        <f t="shared" si="100"/>
        <v>0</v>
      </c>
      <c r="L1016" s="132">
        <f t="shared" si="96"/>
        <v>0</v>
      </c>
      <c r="M1016" s="133"/>
      <c r="N1016" s="133">
        <f t="shared" si="99"/>
        <v>0</v>
      </c>
      <c r="O1016" s="134">
        <v>0</v>
      </c>
      <c r="P1016" s="133"/>
      <c r="Q1016" s="2" t="s">
        <v>1620</v>
      </c>
      <c r="R1016" s="156">
        <f t="shared" si="97"/>
        <v>0</v>
      </c>
      <c r="S1016" s="156">
        <f t="shared" si="98"/>
        <v>0</v>
      </c>
      <c r="T1016" s="133"/>
      <c r="U1016" s="133"/>
      <c r="V1016" s="133"/>
      <c r="W1016" s="133"/>
      <c r="X1016" s="133"/>
      <c r="Y1016" s="133"/>
      <c r="Z1016" s="133"/>
      <c r="AA1016" s="133"/>
      <c r="AB1016" s="133"/>
      <c r="AC1016" s="133"/>
      <c r="AD1016" s="133"/>
      <c r="AE1016" s="133"/>
      <c r="AF1016" s="133"/>
      <c r="AG1016" s="133"/>
      <c r="AH1016" s="133"/>
      <c r="AI1016" s="133"/>
      <c r="AJ1016" s="133"/>
      <c r="AK1016" s="133"/>
      <c r="AL1016" s="133"/>
      <c r="AM1016" s="133"/>
      <c r="AN1016" s="133"/>
      <c r="AO1016" s="133"/>
      <c r="AP1016" s="133"/>
      <c r="AQ1016" s="133"/>
      <c r="AR1016" s="133"/>
      <c r="AS1016" s="153">
        <v>0</v>
      </c>
      <c r="AT1016" s="153">
        <v>0</v>
      </c>
      <c r="AU1016" s="153">
        <v>0</v>
      </c>
      <c r="AV1016" s="153">
        <v>0</v>
      </c>
      <c r="AW1016" s="153">
        <v>0</v>
      </c>
      <c r="AX1016" s="153">
        <v>0</v>
      </c>
      <c r="AY1016" s="135"/>
      <c r="AZ1016" s="135"/>
      <c r="BA1016" s="135"/>
      <c r="BB1016" s="135"/>
      <c r="BC1016" s="135"/>
      <c r="BD1016" s="135"/>
      <c r="BE1016" s="135"/>
      <c r="BF1016" s="135"/>
      <c r="BG1016" s="135"/>
      <c r="BH1016" s="135"/>
      <c r="BI1016" s="2" t="s">
        <v>112</v>
      </c>
      <c r="BJ1016" s="136">
        <v>45441</v>
      </c>
      <c r="BK1016" s="2" t="s">
        <v>145</v>
      </c>
      <c r="BL1016" s="136" t="s">
        <v>113</v>
      </c>
      <c r="BM1016" s="136">
        <v>45425</v>
      </c>
      <c r="BN1016" s="2" t="s">
        <v>3346</v>
      </c>
      <c r="BO1016" s="2"/>
      <c r="BP1016" s="136"/>
      <c r="BQ1016" s="137" t="s">
        <v>134</v>
      </c>
      <c r="BR1016" s="138"/>
    </row>
    <row r="1017" spans="1:70" ht="12.75" customHeight="1" x14ac:dyDescent="0.2">
      <c r="A1017" s="2">
        <v>2506</v>
      </c>
      <c r="B1017" s="2" t="s">
        <v>108</v>
      </c>
      <c r="C1017" s="2" t="s">
        <v>40</v>
      </c>
      <c r="D1017" s="2" t="s">
        <v>3349</v>
      </c>
      <c r="E1017" s="2" t="s">
        <v>128</v>
      </c>
      <c r="F1017" s="132">
        <f>10848*1.75</f>
        <v>18984</v>
      </c>
      <c r="G1017" s="132"/>
      <c r="H1017" s="132">
        <f>10848*1.75</f>
        <v>18984</v>
      </c>
      <c r="I1017" s="132"/>
      <c r="J1017" s="132">
        <f>2895.86+16088.14</f>
        <v>18984</v>
      </c>
      <c r="K1017" s="132">
        <f t="shared" si="100"/>
        <v>0</v>
      </c>
      <c r="L1017" s="132">
        <f t="shared" si="96"/>
        <v>0</v>
      </c>
      <c r="M1017" s="133"/>
      <c r="N1017" s="133">
        <f t="shared" si="99"/>
        <v>0</v>
      </c>
      <c r="O1017" s="134">
        <v>0</v>
      </c>
      <c r="P1017" s="133"/>
      <c r="Q1017" s="2" t="s">
        <v>2262</v>
      </c>
      <c r="R1017" s="156">
        <f t="shared" si="97"/>
        <v>0</v>
      </c>
      <c r="S1017" s="156">
        <f t="shared" si="98"/>
        <v>0</v>
      </c>
      <c r="T1017" s="133"/>
      <c r="U1017" s="133"/>
      <c r="V1017" s="133"/>
      <c r="W1017" s="133"/>
      <c r="X1017" s="133"/>
      <c r="Y1017" s="133"/>
      <c r="Z1017" s="133"/>
      <c r="AA1017" s="133"/>
      <c r="AB1017" s="133"/>
      <c r="AC1017" s="133"/>
      <c r="AD1017" s="133"/>
      <c r="AE1017" s="133"/>
      <c r="AF1017" s="133"/>
      <c r="AG1017" s="133"/>
      <c r="AH1017" s="133"/>
      <c r="AI1017" s="133"/>
      <c r="AJ1017" s="133"/>
      <c r="AK1017" s="133"/>
      <c r="AL1017" s="133"/>
      <c r="AM1017" s="133"/>
      <c r="AN1017" s="133"/>
      <c r="AO1017" s="133"/>
      <c r="AP1017" s="133"/>
      <c r="AQ1017" s="133"/>
      <c r="AR1017" s="133"/>
      <c r="AS1017" s="153">
        <v>0</v>
      </c>
      <c r="AT1017" s="153">
        <v>0</v>
      </c>
      <c r="AU1017" s="153">
        <v>0</v>
      </c>
      <c r="AV1017" s="153">
        <v>0</v>
      </c>
      <c r="AW1017" s="153">
        <v>0</v>
      </c>
      <c r="AX1017" s="153">
        <v>0</v>
      </c>
      <c r="AY1017" s="135"/>
      <c r="AZ1017" s="135"/>
      <c r="BA1017" s="135"/>
      <c r="BB1017" s="135"/>
      <c r="BC1017" s="135"/>
      <c r="BD1017" s="135"/>
      <c r="BE1017" s="135"/>
      <c r="BF1017" s="135"/>
      <c r="BG1017" s="135"/>
      <c r="BH1017" s="135"/>
      <c r="BI1017" s="2" t="s">
        <v>112</v>
      </c>
      <c r="BJ1017" s="136">
        <v>45530</v>
      </c>
      <c r="BK1017" s="2" t="s">
        <v>145</v>
      </c>
      <c r="BL1017" s="136" t="s">
        <v>113</v>
      </c>
      <c r="BM1017" s="136">
        <v>45310</v>
      </c>
      <c r="BN1017" s="2" t="s">
        <v>3351</v>
      </c>
      <c r="BO1017" s="2"/>
      <c r="BP1017" s="136"/>
      <c r="BQ1017" s="137" t="s">
        <v>134</v>
      </c>
      <c r="BR1017" s="138"/>
    </row>
    <row r="1018" spans="1:70" ht="12.75" customHeight="1" x14ac:dyDescent="0.2">
      <c r="A1018" s="2">
        <v>2507</v>
      </c>
      <c r="B1018" s="2" t="s">
        <v>108</v>
      </c>
      <c r="C1018" s="2" t="s">
        <v>40</v>
      </c>
      <c r="D1018" s="2" t="s">
        <v>3350</v>
      </c>
      <c r="E1018" s="2" t="s">
        <v>128</v>
      </c>
      <c r="F1018" s="132">
        <f>9745*1.75</f>
        <v>17053.75</v>
      </c>
      <c r="G1018" s="132"/>
      <c r="H1018" s="132">
        <f>9745*1.75</f>
        <v>17053.75</v>
      </c>
      <c r="I1018" s="132"/>
      <c r="J1018" s="132">
        <f>2601.42+14452.33</f>
        <v>17053.75</v>
      </c>
      <c r="K1018" s="132">
        <f t="shared" si="100"/>
        <v>0</v>
      </c>
      <c r="L1018" s="132">
        <f t="shared" si="96"/>
        <v>0</v>
      </c>
      <c r="M1018" s="133"/>
      <c r="N1018" s="133">
        <f t="shared" si="99"/>
        <v>0</v>
      </c>
      <c r="O1018" s="134">
        <v>0</v>
      </c>
      <c r="P1018" s="133"/>
      <c r="Q1018" s="2" t="s">
        <v>2265</v>
      </c>
      <c r="R1018" s="156">
        <f t="shared" si="97"/>
        <v>0</v>
      </c>
      <c r="S1018" s="156">
        <f t="shared" si="98"/>
        <v>0</v>
      </c>
      <c r="T1018" s="133"/>
      <c r="U1018" s="133"/>
      <c r="V1018" s="133"/>
      <c r="W1018" s="133"/>
      <c r="X1018" s="133"/>
      <c r="Y1018" s="133"/>
      <c r="Z1018" s="133"/>
      <c r="AA1018" s="133"/>
      <c r="AB1018" s="133"/>
      <c r="AC1018" s="133"/>
      <c r="AD1018" s="133"/>
      <c r="AE1018" s="133"/>
      <c r="AF1018" s="133"/>
      <c r="AG1018" s="133"/>
      <c r="AH1018" s="133"/>
      <c r="AI1018" s="133"/>
      <c r="AJ1018" s="133"/>
      <c r="AK1018" s="133"/>
      <c r="AL1018" s="133"/>
      <c r="AM1018" s="133"/>
      <c r="AN1018" s="133"/>
      <c r="AO1018" s="133"/>
      <c r="AP1018" s="133"/>
      <c r="AQ1018" s="133"/>
      <c r="AR1018" s="133"/>
      <c r="AS1018" s="153">
        <v>0</v>
      </c>
      <c r="AT1018" s="153">
        <v>0</v>
      </c>
      <c r="AU1018" s="153">
        <v>0</v>
      </c>
      <c r="AV1018" s="153">
        <v>0</v>
      </c>
      <c r="AW1018" s="153">
        <v>0</v>
      </c>
      <c r="AX1018" s="153">
        <v>0</v>
      </c>
      <c r="AY1018" s="135"/>
      <c r="AZ1018" s="135"/>
      <c r="BA1018" s="135"/>
      <c r="BB1018" s="135"/>
      <c r="BC1018" s="135"/>
      <c r="BD1018" s="135"/>
      <c r="BE1018" s="135"/>
      <c r="BF1018" s="135"/>
      <c r="BG1018" s="135"/>
      <c r="BH1018" s="135"/>
      <c r="BI1018" s="2" t="s">
        <v>112</v>
      </c>
      <c r="BJ1018" s="136">
        <v>45530</v>
      </c>
      <c r="BK1018" s="2" t="s">
        <v>145</v>
      </c>
      <c r="BL1018" s="136" t="s">
        <v>113</v>
      </c>
      <c r="BM1018" s="136">
        <v>45310</v>
      </c>
      <c r="BN1018" s="2" t="s">
        <v>3352</v>
      </c>
      <c r="BO1018" s="2"/>
      <c r="BP1018" s="136"/>
      <c r="BQ1018" s="137" t="s">
        <v>134</v>
      </c>
      <c r="BR1018" s="138"/>
    </row>
    <row r="1019" spans="1:70" ht="12.75" customHeight="1" x14ac:dyDescent="0.2">
      <c r="A1019" s="2">
        <v>2508</v>
      </c>
      <c r="B1019" s="2" t="s">
        <v>31</v>
      </c>
      <c r="C1019" s="2" t="s">
        <v>32</v>
      </c>
      <c r="D1019" s="2" t="s">
        <v>3472</v>
      </c>
      <c r="E1019" s="2" t="s">
        <v>71</v>
      </c>
      <c r="F1019" s="132">
        <v>202519.94</v>
      </c>
      <c r="G1019" s="132" t="s">
        <v>3657</v>
      </c>
      <c r="H1019" s="132">
        <v>202519.94</v>
      </c>
      <c r="I1019" s="132">
        <v>202519.94</v>
      </c>
      <c r="J1019" s="132">
        <v>202519.94</v>
      </c>
      <c r="K1019" s="132">
        <f t="shared" si="100"/>
        <v>0</v>
      </c>
      <c r="L1019" s="132">
        <f t="shared" si="96"/>
        <v>0</v>
      </c>
      <c r="M1019" s="133">
        <v>0</v>
      </c>
      <c r="N1019" s="133">
        <f t="shared" si="99"/>
        <v>0</v>
      </c>
      <c r="O1019" s="134">
        <v>0</v>
      </c>
      <c r="P1019" s="133"/>
      <c r="Q1019" s="2"/>
      <c r="R1019" s="156">
        <f t="shared" si="97"/>
        <v>0</v>
      </c>
      <c r="S1019" s="156">
        <f t="shared" si="98"/>
        <v>0</v>
      </c>
      <c r="T1019" s="133"/>
      <c r="U1019" s="133"/>
      <c r="V1019" s="133"/>
      <c r="W1019" s="133"/>
      <c r="X1019" s="133"/>
      <c r="Y1019" s="133"/>
      <c r="Z1019" s="133"/>
      <c r="AA1019" s="133"/>
      <c r="AB1019" s="133"/>
      <c r="AC1019" s="133"/>
      <c r="AD1019" s="133"/>
      <c r="AE1019" s="133"/>
      <c r="AF1019" s="133"/>
      <c r="AG1019" s="133"/>
      <c r="AH1019" s="133"/>
      <c r="AI1019" s="133"/>
      <c r="AJ1019" s="133"/>
      <c r="AK1019" s="133"/>
      <c r="AL1019" s="133"/>
      <c r="AM1019" s="133"/>
      <c r="AN1019" s="133"/>
      <c r="AO1019" s="133"/>
      <c r="AP1019" s="133"/>
      <c r="AQ1019" s="133"/>
      <c r="AR1019" s="133"/>
      <c r="AS1019" s="153">
        <v>0</v>
      </c>
      <c r="AT1019" s="153">
        <v>0</v>
      </c>
      <c r="AU1019" s="153">
        <v>0</v>
      </c>
      <c r="AV1019" s="153">
        <v>0</v>
      </c>
      <c r="AW1019" s="153">
        <v>0</v>
      </c>
      <c r="AX1019" s="153">
        <v>0</v>
      </c>
      <c r="AY1019" s="135"/>
      <c r="AZ1019" s="135"/>
      <c r="BA1019" s="135">
        <f>IF(BK1019="Принят",(H1019/1.18-AW1019-AZ1019)*0.1,H1019/1.18*0.8*0.1)</f>
        <v>17162.706779661017</v>
      </c>
      <c r="BB1019" s="135">
        <f>(H1019/1.18-AT1019-AW1019-AZ1019)*0.1-AU1019-AX1019-BA1019</f>
        <v>0</v>
      </c>
      <c r="BC1019" s="135"/>
      <c r="BD1019" s="135"/>
      <c r="BE1019" s="135">
        <f>(H1019/1.18-AT1019-AW1019-AZ1019-BD1019)*0.1-AU1019-AX1019-BA1019-BB1019</f>
        <v>0</v>
      </c>
      <c r="BF1019" s="135"/>
      <c r="BG1019" s="135"/>
      <c r="BH1019" s="135"/>
      <c r="BI1019" s="2" t="s">
        <v>149</v>
      </c>
      <c r="BJ1019" s="136">
        <v>45373</v>
      </c>
      <c r="BK1019" s="2" t="s">
        <v>109</v>
      </c>
      <c r="BL1019" s="136" t="s">
        <v>113</v>
      </c>
      <c r="BM1019" s="136">
        <v>45085</v>
      </c>
      <c r="BN1019" s="2" t="s">
        <v>3473</v>
      </c>
      <c r="BO1019" s="2"/>
      <c r="BP1019" s="136" t="s">
        <v>3474</v>
      </c>
      <c r="BQ1019" s="137" t="s">
        <v>119</v>
      </c>
      <c r="BR1019" s="138"/>
    </row>
    <row r="1020" spans="1:70" ht="12.75" customHeight="1" x14ac:dyDescent="0.2">
      <c r="A1020" s="2">
        <v>2509</v>
      </c>
      <c r="B1020" s="2" t="s">
        <v>44</v>
      </c>
      <c r="C1020" s="2" t="s">
        <v>47</v>
      </c>
      <c r="D1020" s="2" t="s">
        <v>3886</v>
      </c>
      <c r="E1020" s="2" t="s">
        <v>105</v>
      </c>
      <c r="F1020" s="132">
        <v>3500000</v>
      </c>
      <c r="G1020" s="132"/>
      <c r="H1020" s="132">
        <f>1000000+R1020</f>
        <v>4761920.58</v>
      </c>
      <c r="I1020" s="132"/>
      <c r="J1020" s="132">
        <f>S1020+AY1020+BC1020</f>
        <v>4761920.58</v>
      </c>
      <c r="K1020" s="132">
        <f t="shared" si="100"/>
        <v>-1261920.58</v>
      </c>
      <c r="L1020" s="132">
        <f>H1020-J1020</f>
        <v>0</v>
      </c>
      <c r="M1020" s="133">
        <v>14913</v>
      </c>
      <c r="N1020" s="133">
        <f t="shared" si="99"/>
        <v>0</v>
      </c>
      <c r="O1020" s="134">
        <v>1</v>
      </c>
      <c r="P1020" s="133"/>
      <c r="Q1020" s="2" t="s">
        <v>3186</v>
      </c>
      <c r="R1020" s="156">
        <f t="shared" si="97"/>
        <v>3761920.58</v>
      </c>
      <c r="S1020" s="156">
        <f t="shared" si="98"/>
        <v>1067005.32</v>
      </c>
      <c r="T1020" s="133">
        <v>1200000</v>
      </c>
      <c r="U1020" s="133"/>
      <c r="V1020" s="133">
        <v>1160000</v>
      </c>
      <c r="W1020" s="133">
        <f>183050.85</f>
        <v>183050.85</v>
      </c>
      <c r="X1020" s="133">
        <v>1000000</v>
      </c>
      <c r="Y1020" s="133"/>
      <c r="Z1020" s="133"/>
      <c r="AA1020" s="133">
        <f>482033.89+N("გადაირიცხა პირდაპირ")</f>
        <v>482033.89</v>
      </c>
      <c r="AB1020" s="133"/>
      <c r="AC1020" s="133"/>
      <c r="AD1020" s="133"/>
      <c r="AE1020" s="133"/>
      <c r="AF1020" s="133"/>
      <c r="AG1020" s="133"/>
      <c r="AH1020" s="133">
        <v>401920.58</v>
      </c>
      <c r="AI1020" s="133">
        <v>401920.58</v>
      </c>
      <c r="AJ1020" s="133"/>
      <c r="AK1020" s="133"/>
      <c r="AL1020" s="133"/>
      <c r="AM1020" s="133"/>
      <c r="AN1020" s="133"/>
      <c r="AO1020" s="133"/>
      <c r="AP1020" s="133"/>
      <c r="AQ1020" s="133"/>
      <c r="AR1020" s="133"/>
      <c r="AS1020" s="153">
        <v>0</v>
      </c>
      <c r="AT1020" s="153">
        <v>0</v>
      </c>
      <c r="AU1020" s="153">
        <v>0</v>
      </c>
      <c r="AV1020" s="153">
        <v>0</v>
      </c>
      <c r="AW1020" s="153">
        <v>0</v>
      </c>
      <c r="AX1020" s="153">
        <v>0</v>
      </c>
      <c r="AY1020" s="135">
        <v>847457.63</v>
      </c>
      <c r="AZ1020" s="135">
        <v>46453.45</v>
      </c>
      <c r="BA1020" s="135"/>
      <c r="BB1020" s="135"/>
      <c r="BC1020" s="135">
        <f>1016949.15+983050.85+847457.63</f>
        <v>2847457.63</v>
      </c>
      <c r="BD1020" s="135">
        <f>20673.32+18913.63+125957.74</f>
        <v>165544.69</v>
      </c>
      <c r="BE1020" s="135"/>
      <c r="BF1020" s="135"/>
      <c r="BG1020" s="135"/>
      <c r="BH1020" s="135"/>
      <c r="BI1020" s="2" t="s">
        <v>11</v>
      </c>
      <c r="BJ1020" s="136">
        <v>45876</v>
      </c>
      <c r="BK1020" s="2" t="s">
        <v>109</v>
      </c>
      <c r="BL1020" s="136" t="s">
        <v>113</v>
      </c>
      <c r="BM1020" s="136">
        <v>45488</v>
      </c>
      <c r="BN1020" s="2" t="s">
        <v>3482</v>
      </c>
      <c r="BO1020" s="2"/>
      <c r="BP1020" s="136"/>
      <c r="BQ1020" s="137" t="s">
        <v>119</v>
      </c>
      <c r="BR1020" s="138"/>
    </row>
    <row r="1021" spans="1:70" ht="12.75" customHeight="1" x14ac:dyDescent="0.2">
      <c r="A1021" s="2">
        <v>2510</v>
      </c>
      <c r="B1021" s="2" t="s">
        <v>54</v>
      </c>
      <c r="C1021" s="2" t="s">
        <v>4</v>
      </c>
      <c r="D1021" s="2" t="s">
        <v>3565</v>
      </c>
      <c r="E1021" s="2" t="s">
        <v>110</v>
      </c>
      <c r="F1021" s="132">
        <f>12657*1.75</f>
        <v>22149.75</v>
      </c>
      <c r="G1021" s="132">
        <v>2</v>
      </c>
      <c r="H1021" s="132">
        <v>22150</v>
      </c>
      <c r="I1021" s="132"/>
      <c r="J1021" s="132">
        <f>3378.78+18771.22</f>
        <v>22150</v>
      </c>
      <c r="K1021" s="132">
        <f t="shared" si="100"/>
        <v>-0.25</v>
      </c>
      <c r="L1021" s="132">
        <f t="shared" si="96"/>
        <v>0</v>
      </c>
      <c r="M1021" s="133"/>
      <c r="N1021" s="133">
        <f t="shared" si="99"/>
        <v>0</v>
      </c>
      <c r="O1021" s="134">
        <v>0</v>
      </c>
      <c r="P1021" s="133"/>
      <c r="Q1021" s="2"/>
      <c r="R1021" s="156">
        <f t="shared" si="97"/>
        <v>0</v>
      </c>
      <c r="S1021" s="156">
        <f t="shared" si="98"/>
        <v>0</v>
      </c>
      <c r="T1021" s="133"/>
      <c r="U1021" s="133"/>
      <c r="V1021" s="133"/>
      <c r="W1021" s="133"/>
      <c r="X1021" s="133"/>
      <c r="Y1021" s="133"/>
      <c r="Z1021" s="133"/>
      <c r="AA1021" s="133"/>
      <c r="AB1021" s="133"/>
      <c r="AC1021" s="133"/>
      <c r="AD1021" s="133"/>
      <c r="AE1021" s="133"/>
      <c r="AF1021" s="133"/>
      <c r="AG1021" s="133"/>
      <c r="AH1021" s="133"/>
      <c r="AI1021" s="133"/>
      <c r="AJ1021" s="133"/>
      <c r="AK1021" s="133"/>
      <c r="AL1021" s="133"/>
      <c r="AM1021" s="133"/>
      <c r="AN1021" s="133"/>
      <c r="AO1021" s="133"/>
      <c r="AP1021" s="133"/>
      <c r="AQ1021" s="133"/>
      <c r="AR1021" s="133"/>
      <c r="AS1021" s="153">
        <v>0</v>
      </c>
      <c r="AT1021" s="153">
        <v>0</v>
      </c>
      <c r="AU1021" s="153">
        <v>0</v>
      </c>
      <c r="AV1021" s="153">
        <v>0</v>
      </c>
      <c r="AW1021" s="153">
        <v>0</v>
      </c>
      <c r="AX1021" s="153">
        <v>0</v>
      </c>
      <c r="AY1021" s="135"/>
      <c r="AZ1021" s="135"/>
      <c r="BA1021" s="135"/>
      <c r="BB1021" s="135"/>
      <c r="BC1021" s="135"/>
      <c r="BD1021" s="135"/>
      <c r="BE1021" s="135"/>
      <c r="BF1021" s="135"/>
      <c r="BG1021" s="135"/>
      <c r="BH1021" s="135"/>
      <c r="BI1021" s="2" t="s">
        <v>112</v>
      </c>
      <c r="BJ1021" s="136">
        <v>45616</v>
      </c>
      <c r="BK1021" s="2" t="s">
        <v>145</v>
      </c>
      <c r="BL1021" s="136" t="s">
        <v>113</v>
      </c>
      <c r="BM1021" s="136">
        <v>45527</v>
      </c>
      <c r="BN1021" s="2" t="s">
        <v>3570</v>
      </c>
      <c r="BO1021" s="2"/>
      <c r="BP1021" s="136" t="s">
        <v>3572</v>
      </c>
      <c r="BQ1021" s="137" t="s">
        <v>134</v>
      </c>
      <c r="BR1021" s="138"/>
    </row>
    <row r="1022" spans="1:70" ht="12.75" customHeight="1" x14ac:dyDescent="0.2">
      <c r="A1022" s="2">
        <v>2511</v>
      </c>
      <c r="B1022" s="2" t="s">
        <v>54</v>
      </c>
      <c r="C1022" s="2" t="s">
        <v>4</v>
      </c>
      <c r="D1022" s="2" t="s">
        <v>3564</v>
      </c>
      <c r="E1022" s="2" t="s">
        <v>71</v>
      </c>
      <c r="F1022" s="132">
        <v>850000</v>
      </c>
      <c r="G1022" s="132">
        <v>2</v>
      </c>
      <c r="H1022" s="132">
        <f>R1022</f>
        <v>0</v>
      </c>
      <c r="I1022" s="132"/>
      <c r="J1022" s="132">
        <f>S1022</f>
        <v>0</v>
      </c>
      <c r="K1022" s="132">
        <f t="shared" si="100"/>
        <v>850000</v>
      </c>
      <c r="L1022" s="132">
        <f t="shared" si="96"/>
        <v>0</v>
      </c>
      <c r="M1022" s="133"/>
      <c r="N1022" s="133">
        <f t="shared" si="99"/>
        <v>850000</v>
      </c>
      <c r="O1022" s="134">
        <v>1</v>
      </c>
      <c r="P1022" s="133"/>
      <c r="Q1022" s="2"/>
      <c r="R1022" s="156">
        <f t="shared" si="97"/>
        <v>0</v>
      </c>
      <c r="S1022" s="156">
        <f t="shared" si="98"/>
        <v>0</v>
      </c>
      <c r="T1022" s="133"/>
      <c r="U1022" s="133"/>
      <c r="V1022" s="133"/>
      <c r="W1022" s="133"/>
      <c r="X1022" s="133"/>
      <c r="Y1022" s="133"/>
      <c r="Z1022" s="133"/>
      <c r="AA1022" s="133"/>
      <c r="AB1022" s="133"/>
      <c r="AC1022" s="133"/>
      <c r="AD1022" s="133"/>
      <c r="AE1022" s="133"/>
      <c r="AF1022" s="133"/>
      <c r="AG1022" s="133"/>
      <c r="AH1022" s="133"/>
      <c r="AI1022" s="133"/>
      <c r="AJ1022" s="133"/>
      <c r="AK1022" s="133"/>
      <c r="AL1022" s="133"/>
      <c r="AM1022" s="133"/>
      <c r="AN1022" s="133"/>
      <c r="AO1022" s="133"/>
      <c r="AP1022" s="133"/>
      <c r="AQ1022" s="133"/>
      <c r="AR1022" s="133"/>
      <c r="AS1022" s="153">
        <v>0</v>
      </c>
      <c r="AT1022" s="153">
        <v>0</v>
      </c>
      <c r="AU1022" s="153">
        <v>0</v>
      </c>
      <c r="AV1022" s="153">
        <v>0</v>
      </c>
      <c r="AW1022" s="153">
        <v>0</v>
      </c>
      <c r="AX1022" s="153">
        <v>0</v>
      </c>
      <c r="AY1022" s="135"/>
      <c r="AZ1022" s="135"/>
      <c r="BA1022" s="135"/>
      <c r="BB1022" s="135"/>
      <c r="BC1022" s="135"/>
      <c r="BD1022" s="135"/>
      <c r="BE1022" s="135"/>
      <c r="BF1022" s="135"/>
      <c r="BG1022" s="135"/>
      <c r="BH1022" s="135"/>
      <c r="BI1022" s="2" t="s">
        <v>11</v>
      </c>
      <c r="BJ1022" s="136"/>
      <c r="BK1022" s="2">
        <v>0</v>
      </c>
      <c r="BL1022" s="136" t="s">
        <v>113</v>
      </c>
      <c r="BM1022" s="136">
        <v>45527</v>
      </c>
      <c r="BN1022" s="2" t="s">
        <v>3571</v>
      </c>
      <c r="BO1022" s="2"/>
      <c r="BP1022" s="136" t="s">
        <v>3572</v>
      </c>
      <c r="BQ1022" s="137" t="s">
        <v>119</v>
      </c>
      <c r="BR1022" s="138"/>
    </row>
    <row r="1023" spans="1:70" ht="12.75" customHeight="1" x14ac:dyDescent="0.2">
      <c r="A1023" s="2">
        <v>2512</v>
      </c>
      <c r="B1023" s="2" t="s">
        <v>44</v>
      </c>
      <c r="C1023" s="2" t="s">
        <v>47</v>
      </c>
      <c r="D1023" s="2" t="s">
        <v>3561</v>
      </c>
      <c r="E1023" s="2" t="s">
        <v>123</v>
      </c>
      <c r="F1023" s="132">
        <v>7626.5</v>
      </c>
      <c r="G1023" s="132">
        <v>2</v>
      </c>
      <c r="H1023" s="132">
        <f>4358*1.75</f>
        <v>7626.5</v>
      </c>
      <c r="I1023" s="132"/>
      <c r="J1023" s="132">
        <f>1163.36+6463.14</f>
        <v>7626.5</v>
      </c>
      <c r="K1023" s="132">
        <f t="shared" si="100"/>
        <v>0</v>
      </c>
      <c r="L1023" s="132">
        <f t="shared" si="96"/>
        <v>0</v>
      </c>
      <c r="M1023" s="133"/>
      <c r="N1023" s="133">
        <f t="shared" si="99"/>
        <v>0</v>
      </c>
      <c r="O1023" s="134">
        <v>0</v>
      </c>
      <c r="P1023" s="133"/>
      <c r="Q1023" s="2"/>
      <c r="R1023" s="156">
        <f t="shared" si="97"/>
        <v>0</v>
      </c>
      <c r="S1023" s="156">
        <f t="shared" si="98"/>
        <v>0</v>
      </c>
      <c r="T1023" s="133"/>
      <c r="U1023" s="133"/>
      <c r="V1023" s="133"/>
      <c r="W1023" s="133"/>
      <c r="X1023" s="133"/>
      <c r="Y1023" s="133"/>
      <c r="Z1023" s="133"/>
      <c r="AA1023" s="133"/>
      <c r="AB1023" s="133"/>
      <c r="AC1023" s="133"/>
      <c r="AD1023" s="133"/>
      <c r="AE1023" s="133"/>
      <c r="AF1023" s="133"/>
      <c r="AG1023" s="133"/>
      <c r="AH1023" s="133"/>
      <c r="AI1023" s="133"/>
      <c r="AJ1023" s="133"/>
      <c r="AK1023" s="133"/>
      <c r="AL1023" s="133"/>
      <c r="AM1023" s="133"/>
      <c r="AN1023" s="133"/>
      <c r="AO1023" s="133"/>
      <c r="AP1023" s="133"/>
      <c r="AQ1023" s="133"/>
      <c r="AR1023" s="133"/>
      <c r="AS1023" s="153">
        <v>0</v>
      </c>
      <c r="AT1023" s="153">
        <v>0</v>
      </c>
      <c r="AU1023" s="153">
        <v>0</v>
      </c>
      <c r="AV1023" s="153">
        <v>0</v>
      </c>
      <c r="AW1023" s="153">
        <v>0</v>
      </c>
      <c r="AX1023" s="153">
        <v>0</v>
      </c>
      <c r="AY1023" s="135"/>
      <c r="AZ1023" s="135"/>
      <c r="BA1023" s="135"/>
      <c r="BB1023" s="135"/>
      <c r="BC1023" s="135"/>
      <c r="BD1023" s="135"/>
      <c r="BE1023" s="135"/>
      <c r="BF1023" s="135"/>
      <c r="BG1023" s="135"/>
      <c r="BH1023" s="135"/>
      <c r="BI1023" s="2" t="s">
        <v>112</v>
      </c>
      <c r="BJ1023" s="136">
        <v>45615</v>
      </c>
      <c r="BK1023" s="2" t="s">
        <v>145</v>
      </c>
      <c r="BL1023" s="136" t="s">
        <v>113</v>
      </c>
      <c r="BM1023" s="136">
        <v>45509</v>
      </c>
      <c r="BN1023" s="2" t="s">
        <v>3562</v>
      </c>
      <c r="BO1023" s="2"/>
      <c r="BP1023" s="136" t="s">
        <v>3560</v>
      </c>
      <c r="BQ1023" s="137" t="s">
        <v>134</v>
      </c>
      <c r="BR1023" s="138"/>
    </row>
    <row r="1024" spans="1:70" ht="12.75" customHeight="1" x14ac:dyDescent="0.2">
      <c r="A1024" s="2">
        <v>2513</v>
      </c>
      <c r="B1024" s="2" t="s">
        <v>44</v>
      </c>
      <c r="C1024" s="2" t="s">
        <v>47</v>
      </c>
      <c r="D1024" s="2" t="s">
        <v>4061</v>
      </c>
      <c r="E1024" s="2" t="s">
        <v>115</v>
      </c>
      <c r="F1024" s="132">
        <v>600000</v>
      </c>
      <c r="G1024" s="132" t="s">
        <v>3836</v>
      </c>
      <c r="H1024" s="132">
        <f>R1024</f>
        <v>449551</v>
      </c>
      <c r="I1024" s="132"/>
      <c r="J1024" s="132">
        <f>S1024+AY1024+BC1024</f>
        <v>449551</v>
      </c>
      <c r="K1024" s="132">
        <f t="shared" si="100"/>
        <v>150449</v>
      </c>
      <c r="L1024" s="132">
        <f t="shared" si="96"/>
        <v>0</v>
      </c>
      <c r="M1024" s="133">
        <v>3308</v>
      </c>
      <c r="N1024" s="133">
        <f t="shared" si="99"/>
        <v>0</v>
      </c>
      <c r="O1024" s="134">
        <v>1</v>
      </c>
      <c r="P1024" s="133"/>
      <c r="Q1024" s="2"/>
      <c r="R1024" s="156">
        <f t="shared" si="97"/>
        <v>449551</v>
      </c>
      <c r="S1024" s="156">
        <f t="shared" si="98"/>
        <v>117347.61</v>
      </c>
      <c r="T1024" s="133">
        <f>392000</f>
        <v>392000</v>
      </c>
      <c r="U1024" s="133"/>
      <c r="V1024" s="133"/>
      <c r="W1024" s="133">
        <f>59796.61</f>
        <v>59796.61</v>
      </c>
      <c r="X1024" s="133"/>
      <c r="Y1024" s="133"/>
      <c r="Z1024" s="133">
        <v>57551</v>
      </c>
      <c r="AA1024" s="133"/>
      <c r="AB1024" s="133"/>
      <c r="AC1024" s="133">
        <v>8778.9699999999993</v>
      </c>
      <c r="AD1024" s="133"/>
      <c r="AE1024" s="133">
        <v>48772.03</v>
      </c>
      <c r="AF1024" s="133"/>
      <c r="AG1024" s="133"/>
      <c r="AH1024" s="133"/>
      <c r="AI1024" s="133"/>
      <c r="AJ1024" s="133"/>
      <c r="AK1024" s="133"/>
      <c r="AL1024" s="133"/>
      <c r="AM1024" s="133"/>
      <c r="AN1024" s="133"/>
      <c r="AO1024" s="133"/>
      <c r="AP1024" s="133"/>
      <c r="AQ1024" s="133"/>
      <c r="AR1024" s="133" t="s">
        <v>718</v>
      </c>
      <c r="AS1024" s="153">
        <v>0</v>
      </c>
      <c r="AT1024" s="153">
        <v>0</v>
      </c>
      <c r="AU1024" s="153">
        <v>0</v>
      </c>
      <c r="AV1024" s="153">
        <v>0</v>
      </c>
      <c r="AW1024" s="153">
        <v>0</v>
      </c>
      <c r="AX1024" s="153">
        <v>0</v>
      </c>
      <c r="AY1024" s="135"/>
      <c r="AZ1024" s="135"/>
      <c r="BA1024" s="135"/>
      <c r="BB1024" s="140">
        <f>(392000/1.18-AT1024-AW1024-AZ1024)*0.1-BA1024</f>
        <v>33220.338983050853</v>
      </c>
      <c r="BC1024" s="135">
        <v>332203.39</v>
      </c>
      <c r="BD1024" s="135">
        <v>48246.85</v>
      </c>
      <c r="BE1024" s="135">
        <f>(H1024/1.18-AT1024-AW1024-AZ1024-BD1024)*0.1-AU1024-AX1024-BA1024-BB1024</f>
        <v>52.518389830511296</v>
      </c>
      <c r="BF1024" s="135"/>
      <c r="BG1024" s="135"/>
      <c r="BH1024" s="135"/>
      <c r="BI1024" s="2" t="s">
        <v>11</v>
      </c>
      <c r="BJ1024" s="136">
        <v>45769</v>
      </c>
      <c r="BK1024" s="2" t="s">
        <v>109</v>
      </c>
      <c r="BL1024" s="136" t="s">
        <v>113</v>
      </c>
      <c r="BM1024" s="136">
        <v>45509</v>
      </c>
      <c r="BN1024" s="2" t="s">
        <v>3563</v>
      </c>
      <c r="BO1024" s="2"/>
      <c r="BP1024" s="136" t="s">
        <v>3560</v>
      </c>
      <c r="BQ1024" s="137" t="s">
        <v>119</v>
      </c>
      <c r="BR1024" s="138"/>
    </row>
    <row r="1025" spans="1:70" ht="12.75" customHeight="1" x14ac:dyDescent="0.2">
      <c r="A1025" s="2">
        <v>2514</v>
      </c>
      <c r="B1025" s="2" t="s">
        <v>55</v>
      </c>
      <c r="C1025" s="2" t="s">
        <v>3566</v>
      </c>
      <c r="D1025" s="2" t="s">
        <v>3567</v>
      </c>
      <c r="E1025" s="2" t="s">
        <v>123</v>
      </c>
      <c r="F1025" s="132">
        <v>5225.5</v>
      </c>
      <c r="G1025" s="132">
        <v>2</v>
      </c>
      <c r="H1025" s="132">
        <f>2986*1.75</f>
        <v>5225.5</v>
      </c>
      <c r="I1025" s="132"/>
      <c r="J1025" s="132">
        <f>797.11+4428.39</f>
        <v>5225.5</v>
      </c>
      <c r="K1025" s="132">
        <f t="shared" si="100"/>
        <v>0</v>
      </c>
      <c r="L1025" s="132">
        <f t="shared" si="96"/>
        <v>0</v>
      </c>
      <c r="M1025" s="133"/>
      <c r="N1025" s="133">
        <f t="shared" si="99"/>
        <v>0</v>
      </c>
      <c r="O1025" s="134">
        <v>0</v>
      </c>
      <c r="P1025" s="133"/>
      <c r="Q1025" s="2"/>
      <c r="R1025" s="156">
        <f t="shared" si="97"/>
        <v>0</v>
      </c>
      <c r="S1025" s="156">
        <f t="shared" si="98"/>
        <v>0</v>
      </c>
      <c r="T1025" s="133"/>
      <c r="U1025" s="133"/>
      <c r="V1025" s="133"/>
      <c r="W1025" s="133"/>
      <c r="X1025" s="133"/>
      <c r="Y1025" s="133"/>
      <c r="Z1025" s="133"/>
      <c r="AA1025" s="133"/>
      <c r="AB1025" s="133"/>
      <c r="AC1025" s="133"/>
      <c r="AD1025" s="133"/>
      <c r="AE1025" s="133"/>
      <c r="AF1025" s="133"/>
      <c r="AG1025" s="133"/>
      <c r="AH1025" s="133"/>
      <c r="AI1025" s="133"/>
      <c r="AJ1025" s="133"/>
      <c r="AK1025" s="133"/>
      <c r="AL1025" s="133"/>
      <c r="AM1025" s="133"/>
      <c r="AN1025" s="133"/>
      <c r="AO1025" s="133"/>
      <c r="AP1025" s="133"/>
      <c r="AQ1025" s="133"/>
      <c r="AR1025" s="133"/>
      <c r="AS1025" s="153">
        <v>0</v>
      </c>
      <c r="AT1025" s="153">
        <v>0</v>
      </c>
      <c r="AU1025" s="153">
        <v>0</v>
      </c>
      <c r="AV1025" s="153">
        <v>0</v>
      </c>
      <c r="AW1025" s="153">
        <v>0</v>
      </c>
      <c r="AX1025" s="153">
        <v>0</v>
      </c>
      <c r="AY1025" s="135"/>
      <c r="AZ1025" s="135"/>
      <c r="BA1025" s="135"/>
      <c r="BB1025" s="135"/>
      <c r="BC1025" s="135"/>
      <c r="BD1025" s="135"/>
      <c r="BE1025" s="135"/>
      <c r="BF1025" s="135"/>
      <c r="BG1025" s="135"/>
      <c r="BH1025" s="135"/>
      <c r="BI1025" s="2" t="s">
        <v>112</v>
      </c>
      <c r="BJ1025" s="136">
        <v>45626</v>
      </c>
      <c r="BK1025" s="2" t="s">
        <v>145</v>
      </c>
      <c r="BL1025" s="136" t="s">
        <v>113</v>
      </c>
      <c r="BM1025" s="136">
        <v>45509</v>
      </c>
      <c r="BN1025" s="2" t="s">
        <v>3568</v>
      </c>
      <c r="BO1025" s="2"/>
      <c r="BP1025" s="136" t="s">
        <v>3560</v>
      </c>
      <c r="BQ1025" s="137" t="s">
        <v>134</v>
      </c>
      <c r="BR1025" s="138"/>
    </row>
    <row r="1026" spans="1:70" ht="12.75" customHeight="1" x14ac:dyDescent="0.2">
      <c r="A1026" s="2">
        <v>2515</v>
      </c>
      <c r="B1026" s="2" t="s">
        <v>55</v>
      </c>
      <c r="C1026" s="2" t="s">
        <v>3566</v>
      </c>
      <c r="D1026" s="2" t="s">
        <v>4062</v>
      </c>
      <c r="E1026" s="2" t="s">
        <v>115</v>
      </c>
      <c r="F1026" s="132">
        <v>180000</v>
      </c>
      <c r="G1026" s="132" t="s">
        <v>3836</v>
      </c>
      <c r="H1026" s="132">
        <f>R1026</f>
        <v>184930</v>
      </c>
      <c r="I1026" s="132"/>
      <c r="J1026" s="132">
        <f>S1026+AY1026+BC1026</f>
        <v>184930</v>
      </c>
      <c r="K1026" s="132">
        <f t="shared" si="100"/>
        <v>-4930</v>
      </c>
      <c r="L1026" s="132">
        <f t="shared" si="96"/>
        <v>0</v>
      </c>
      <c r="M1026" s="133">
        <v>2870</v>
      </c>
      <c r="N1026" s="133">
        <f t="shared" si="99"/>
        <v>0</v>
      </c>
      <c r="O1026" s="134">
        <v>1</v>
      </c>
      <c r="P1026" s="133"/>
      <c r="Q1026" s="2"/>
      <c r="R1026" s="156">
        <f t="shared" si="97"/>
        <v>184930</v>
      </c>
      <c r="S1026" s="156">
        <f t="shared" si="98"/>
        <v>48489.32</v>
      </c>
      <c r="T1026" s="133">
        <v>161000</v>
      </c>
      <c r="U1026" s="133"/>
      <c r="V1026" s="133"/>
      <c r="W1026" s="133">
        <f>24559.32</f>
        <v>24559.32</v>
      </c>
      <c r="X1026" s="133"/>
      <c r="Y1026" s="133"/>
      <c r="Z1026" s="133">
        <v>23930</v>
      </c>
      <c r="AA1026" s="133"/>
      <c r="AB1026" s="133"/>
      <c r="AC1026" s="133">
        <v>3650.34</v>
      </c>
      <c r="AD1026" s="133"/>
      <c r="AE1026" s="133">
        <v>20279.66</v>
      </c>
      <c r="AF1026" s="133"/>
      <c r="AG1026" s="133"/>
      <c r="AH1026" s="133"/>
      <c r="AI1026" s="133"/>
      <c r="AJ1026" s="133"/>
      <c r="AK1026" s="133"/>
      <c r="AL1026" s="133"/>
      <c r="AM1026" s="133"/>
      <c r="AN1026" s="133"/>
      <c r="AO1026" s="133"/>
      <c r="AP1026" s="133"/>
      <c r="AQ1026" s="133"/>
      <c r="AR1026" s="133" t="s">
        <v>718</v>
      </c>
      <c r="AS1026" s="153">
        <v>0</v>
      </c>
      <c r="AT1026" s="153">
        <v>0</v>
      </c>
      <c r="AU1026" s="153">
        <v>0</v>
      </c>
      <c r="AV1026" s="153">
        <v>0</v>
      </c>
      <c r="AW1026" s="153">
        <v>0</v>
      </c>
      <c r="AX1026" s="153">
        <v>0</v>
      </c>
      <c r="AY1026" s="135"/>
      <c r="AZ1026" s="135"/>
      <c r="BA1026" s="135"/>
      <c r="BB1026" s="140">
        <f>(161000/1.18-AT1026-AW1026-AZ1026)*0.1-BA1026</f>
        <v>13644.067796610172</v>
      </c>
      <c r="BC1026" s="135">
        <v>136440.68</v>
      </c>
      <c r="BD1026" s="135">
        <v>19815.669999999998</v>
      </c>
      <c r="BE1026" s="135">
        <f>(H1026/1.18-AT1026-AW1026-AZ1026-BD1026)*0.1-AU1026-AX1026-BA1026-BB1026</f>
        <v>46.399101694914862</v>
      </c>
      <c r="BF1026" s="135"/>
      <c r="BG1026" s="135"/>
      <c r="BH1026" s="135"/>
      <c r="BI1026" s="2" t="s">
        <v>11</v>
      </c>
      <c r="BJ1026" s="136">
        <v>45769</v>
      </c>
      <c r="BK1026" s="2" t="s">
        <v>109</v>
      </c>
      <c r="BL1026" s="136" t="s">
        <v>113</v>
      </c>
      <c r="BM1026" s="136">
        <v>45509</v>
      </c>
      <c r="BN1026" s="2" t="s">
        <v>3569</v>
      </c>
      <c r="BO1026" s="2"/>
      <c r="BP1026" s="136" t="s">
        <v>3560</v>
      </c>
      <c r="BQ1026" s="137" t="s">
        <v>119</v>
      </c>
      <c r="BR1026" s="138"/>
    </row>
    <row r="1027" spans="1:70" ht="12.75" customHeight="1" x14ac:dyDescent="0.2">
      <c r="A1027" s="2">
        <v>2516</v>
      </c>
      <c r="B1027" s="2" t="s">
        <v>28</v>
      </c>
      <c r="C1027" s="2" t="s">
        <v>30</v>
      </c>
      <c r="D1027" s="2" t="s">
        <v>3573</v>
      </c>
      <c r="E1027" s="2" t="s">
        <v>117</v>
      </c>
      <c r="F1027" s="132">
        <v>2819.25</v>
      </c>
      <c r="G1027" s="132">
        <v>2</v>
      </c>
      <c r="H1027" s="132">
        <f>1611*1.75</f>
        <v>2819.25</v>
      </c>
      <c r="I1027" s="132"/>
      <c r="J1027" s="132">
        <v>2819.25</v>
      </c>
      <c r="K1027" s="132">
        <f t="shared" si="100"/>
        <v>0</v>
      </c>
      <c r="L1027" s="132">
        <f t="shared" si="96"/>
        <v>0</v>
      </c>
      <c r="M1027" s="133"/>
      <c r="N1027" s="133">
        <f t="shared" si="99"/>
        <v>0</v>
      </c>
      <c r="O1027" s="134">
        <v>0</v>
      </c>
      <c r="P1027" s="133"/>
      <c r="Q1027" s="2"/>
      <c r="R1027" s="156">
        <f t="shared" si="97"/>
        <v>0</v>
      </c>
      <c r="S1027" s="156">
        <f t="shared" si="98"/>
        <v>0</v>
      </c>
      <c r="T1027" s="133"/>
      <c r="U1027" s="133"/>
      <c r="V1027" s="133"/>
      <c r="W1027" s="133"/>
      <c r="X1027" s="133"/>
      <c r="Y1027" s="133"/>
      <c r="Z1027" s="133"/>
      <c r="AA1027" s="133"/>
      <c r="AB1027" s="133"/>
      <c r="AC1027" s="133"/>
      <c r="AD1027" s="133"/>
      <c r="AE1027" s="133"/>
      <c r="AF1027" s="133"/>
      <c r="AG1027" s="133"/>
      <c r="AH1027" s="133"/>
      <c r="AI1027" s="133"/>
      <c r="AJ1027" s="133"/>
      <c r="AK1027" s="133"/>
      <c r="AL1027" s="133"/>
      <c r="AM1027" s="133"/>
      <c r="AN1027" s="133"/>
      <c r="AO1027" s="133"/>
      <c r="AP1027" s="133"/>
      <c r="AQ1027" s="133"/>
      <c r="AR1027" s="133"/>
      <c r="AS1027" s="153">
        <v>0</v>
      </c>
      <c r="AT1027" s="153">
        <v>0</v>
      </c>
      <c r="AU1027" s="153">
        <v>0</v>
      </c>
      <c r="AV1027" s="153">
        <v>0</v>
      </c>
      <c r="AW1027" s="153">
        <v>0</v>
      </c>
      <c r="AX1027" s="153">
        <v>0</v>
      </c>
      <c r="AY1027" s="135"/>
      <c r="AZ1027" s="135"/>
      <c r="BA1027" s="135"/>
      <c r="BB1027" s="135"/>
      <c r="BC1027" s="135"/>
      <c r="BD1027" s="135"/>
      <c r="BE1027" s="135"/>
      <c r="BF1027" s="135"/>
      <c r="BG1027" s="135"/>
      <c r="BH1027" s="135"/>
      <c r="BI1027" s="2" t="s">
        <v>112</v>
      </c>
      <c r="BJ1027" s="136">
        <v>45580</v>
      </c>
      <c r="BK1027" s="2" t="s">
        <v>145</v>
      </c>
      <c r="BL1027" s="136" t="s">
        <v>113</v>
      </c>
      <c r="BM1027" s="136">
        <v>45537</v>
      </c>
      <c r="BN1027" s="2" t="s">
        <v>3574</v>
      </c>
      <c r="BO1027" s="2"/>
      <c r="BP1027" s="136" t="s">
        <v>3560</v>
      </c>
      <c r="BQ1027" s="137" t="s">
        <v>134</v>
      </c>
      <c r="BR1027" s="138"/>
    </row>
    <row r="1028" spans="1:70" ht="12.75" customHeight="1" x14ac:dyDescent="0.2">
      <c r="A1028" s="2">
        <v>2517</v>
      </c>
      <c r="B1028" s="2" t="s">
        <v>28</v>
      </c>
      <c r="C1028" s="2" t="s">
        <v>30</v>
      </c>
      <c r="D1028" s="2" t="s">
        <v>4063</v>
      </c>
      <c r="E1028" s="2" t="s">
        <v>87</v>
      </c>
      <c r="F1028" s="132">
        <v>230000</v>
      </c>
      <c r="G1028" s="132">
        <v>2</v>
      </c>
      <c r="H1028" s="132">
        <v>249153.79</v>
      </c>
      <c r="I1028" s="132">
        <v>249153.79</v>
      </c>
      <c r="J1028" s="132">
        <f>38006.51+211147.28</f>
        <v>249153.79</v>
      </c>
      <c r="K1028" s="132">
        <f t="shared" si="100"/>
        <v>-19153.790000000008</v>
      </c>
      <c r="L1028" s="132">
        <f t="shared" si="96"/>
        <v>0</v>
      </c>
      <c r="M1028" s="133">
        <v>1624</v>
      </c>
      <c r="N1028" s="133">
        <f t="shared" si="99"/>
        <v>0</v>
      </c>
      <c r="O1028" s="134">
        <v>0</v>
      </c>
      <c r="P1028" s="133"/>
      <c r="Q1028" s="2"/>
      <c r="R1028" s="156">
        <f t="shared" si="97"/>
        <v>0</v>
      </c>
      <c r="S1028" s="156">
        <f t="shared" si="98"/>
        <v>0</v>
      </c>
      <c r="T1028" s="133"/>
      <c r="U1028" s="133"/>
      <c r="V1028" s="133"/>
      <c r="W1028" s="133"/>
      <c r="X1028" s="133"/>
      <c r="Y1028" s="133"/>
      <c r="Z1028" s="133"/>
      <c r="AA1028" s="133"/>
      <c r="AB1028" s="133"/>
      <c r="AC1028" s="133"/>
      <c r="AD1028" s="133"/>
      <c r="AE1028" s="133"/>
      <c r="AF1028" s="133"/>
      <c r="AG1028" s="133"/>
      <c r="AH1028" s="133"/>
      <c r="AI1028" s="133"/>
      <c r="AJ1028" s="133"/>
      <c r="AK1028" s="133"/>
      <c r="AL1028" s="133"/>
      <c r="AM1028" s="133"/>
      <c r="AN1028" s="133"/>
      <c r="AO1028" s="133"/>
      <c r="AP1028" s="133"/>
      <c r="AQ1028" s="133"/>
      <c r="AR1028" s="133"/>
      <c r="AS1028" s="153">
        <v>0</v>
      </c>
      <c r="AT1028" s="153">
        <v>0</v>
      </c>
      <c r="AU1028" s="153">
        <v>0</v>
      </c>
      <c r="AV1028" s="153">
        <v>0</v>
      </c>
      <c r="AW1028" s="153">
        <v>0</v>
      </c>
      <c r="AX1028" s="153">
        <v>0</v>
      </c>
      <c r="AY1028" s="135"/>
      <c r="AZ1028" s="135"/>
      <c r="BA1028" s="135">
        <v>0</v>
      </c>
      <c r="BB1028" s="140">
        <f>(H1028/1.18-AT1028-AW1028-AZ1028)*0.1-AU1028-AX1028-BA1028</f>
        <v>21114.727966101698</v>
      </c>
      <c r="BC1028" s="135"/>
      <c r="BD1028" s="135"/>
      <c r="BE1028" s="135">
        <f>(H1028/1.18-AT1028-AW1028-AZ1028-BD1028)*0.1-AU1028-AX1028-BA1028-BB1028</f>
        <v>0</v>
      </c>
      <c r="BF1028" s="135"/>
      <c r="BG1028" s="135"/>
      <c r="BH1028" s="135"/>
      <c r="BI1028" s="2" t="s">
        <v>10</v>
      </c>
      <c r="BJ1028" s="136">
        <v>45624</v>
      </c>
      <c r="BK1028" s="2" t="s">
        <v>109</v>
      </c>
      <c r="BL1028" s="136" t="s">
        <v>113</v>
      </c>
      <c r="BM1028" s="136">
        <v>45537</v>
      </c>
      <c r="BN1028" s="2" t="s">
        <v>3575</v>
      </c>
      <c r="BO1028" s="2"/>
      <c r="BP1028" s="136" t="s">
        <v>3560</v>
      </c>
      <c r="BQ1028" s="137" t="s">
        <v>119</v>
      </c>
      <c r="BR1028" s="138"/>
    </row>
    <row r="1029" spans="1:70" ht="12.75" customHeight="1" x14ac:dyDescent="0.2">
      <c r="A1029" s="2">
        <v>2518</v>
      </c>
      <c r="B1029" s="2" t="s">
        <v>28</v>
      </c>
      <c r="C1029" s="2" t="s">
        <v>29</v>
      </c>
      <c r="D1029" s="2" t="s">
        <v>3578</v>
      </c>
      <c r="E1029" s="2" t="s">
        <v>87</v>
      </c>
      <c r="F1029" s="132">
        <v>114914</v>
      </c>
      <c r="G1029" s="132">
        <v>2</v>
      </c>
      <c r="H1029" s="150">
        <f>R1029</f>
        <v>160172.26999999999</v>
      </c>
      <c r="I1029" s="132"/>
      <c r="J1029" s="132">
        <f>S1029</f>
        <v>160172.26999999999</v>
      </c>
      <c r="K1029" s="132">
        <f t="shared" si="100"/>
        <v>-45258.26999999999</v>
      </c>
      <c r="L1029" s="132">
        <f t="shared" si="96"/>
        <v>0</v>
      </c>
      <c r="M1029" s="133">
        <v>0</v>
      </c>
      <c r="N1029" s="133">
        <f t="shared" si="99"/>
        <v>0</v>
      </c>
      <c r="O1029" s="134">
        <v>1</v>
      </c>
      <c r="P1029" s="133">
        <v>0</v>
      </c>
      <c r="Q1029" s="2"/>
      <c r="R1029" s="156">
        <f t="shared" si="97"/>
        <v>160172.26999999999</v>
      </c>
      <c r="S1029" s="156">
        <f t="shared" si="98"/>
        <v>160172.26999999999</v>
      </c>
      <c r="T1029" s="133"/>
      <c r="U1029" s="133"/>
      <c r="V1029" s="297"/>
      <c r="W1029" s="133"/>
      <c r="X1029" s="133">
        <v>160172.26999999999</v>
      </c>
      <c r="Y1029" s="133"/>
      <c r="Z1029" s="133"/>
      <c r="AA1029" s="133">
        <v>24433.06</v>
      </c>
      <c r="AB1029" s="133"/>
      <c r="AC1029" s="133"/>
      <c r="AD1029" s="133"/>
      <c r="AE1029" s="133">
        <v>135739.21</v>
      </c>
      <c r="AF1029" s="133"/>
      <c r="AG1029" s="133"/>
      <c r="AH1029" s="133"/>
      <c r="AI1029" s="133"/>
      <c r="AJ1029" s="133"/>
      <c r="AK1029" s="133"/>
      <c r="AL1029" s="133"/>
      <c r="AM1029" s="133"/>
      <c r="AN1029" s="133"/>
      <c r="AO1029" s="133"/>
      <c r="AP1029" s="133"/>
      <c r="AQ1029" s="133"/>
      <c r="AR1029" s="133"/>
      <c r="AS1029" s="153">
        <v>0</v>
      </c>
      <c r="AT1029" s="153">
        <v>0</v>
      </c>
      <c r="AU1029" s="153">
        <v>0</v>
      </c>
      <c r="AV1029" s="153">
        <v>0</v>
      </c>
      <c r="AW1029" s="153">
        <v>0</v>
      </c>
      <c r="AX1029" s="153">
        <v>0</v>
      </c>
      <c r="AY1029" s="135"/>
      <c r="AZ1029" s="135"/>
      <c r="BA1029" s="135"/>
      <c r="BB1029" s="135"/>
      <c r="BC1029" s="135"/>
      <c r="BD1029" s="135"/>
      <c r="BE1029" s="135">
        <f>(H1029/1.18-AT1029-AW1029-AZ1029-BD1029)*0.1-AU1029-AX1029-BA1029-BB1029</f>
        <v>13573.921186440677</v>
      </c>
      <c r="BF1029" s="135"/>
      <c r="BG1029" s="135"/>
      <c r="BH1029" s="135"/>
      <c r="BI1029" s="2" t="s">
        <v>118</v>
      </c>
      <c r="BJ1029" s="136">
        <v>45747</v>
      </c>
      <c r="BK1029" s="2" t="s">
        <v>109</v>
      </c>
      <c r="BL1029" s="136" t="s">
        <v>113</v>
      </c>
      <c r="BM1029" s="136">
        <v>45509</v>
      </c>
      <c r="BN1029" s="2" t="s">
        <v>3579</v>
      </c>
      <c r="BO1029" s="2"/>
      <c r="BP1029" s="136"/>
      <c r="BQ1029" s="137" t="s">
        <v>119</v>
      </c>
      <c r="BR1029" s="138"/>
    </row>
    <row r="1030" spans="1:70" ht="12.75" customHeight="1" x14ac:dyDescent="0.2">
      <c r="A1030" s="2">
        <v>2519</v>
      </c>
      <c r="B1030" s="2" t="s">
        <v>55</v>
      </c>
      <c r="C1030" s="2" t="s">
        <v>68</v>
      </c>
      <c r="D1030" s="2" t="s">
        <v>3648</v>
      </c>
      <c r="E1030" s="2" t="s">
        <v>115</v>
      </c>
      <c r="F1030" s="132">
        <v>74614</v>
      </c>
      <c r="G1030" s="132">
        <v>2</v>
      </c>
      <c r="H1030" s="132">
        <f>R1030</f>
        <v>84044</v>
      </c>
      <c r="I1030" s="132"/>
      <c r="J1030" s="132">
        <f>S1030+AY1030+BC1030</f>
        <v>84044</v>
      </c>
      <c r="K1030" s="132">
        <f t="shared" si="100"/>
        <v>-9430</v>
      </c>
      <c r="L1030" s="132">
        <f t="shared" si="96"/>
        <v>0</v>
      </c>
      <c r="M1030" s="133">
        <v>0</v>
      </c>
      <c r="N1030" s="133">
        <f t="shared" si="99"/>
        <v>0</v>
      </c>
      <c r="O1030" s="134">
        <v>1</v>
      </c>
      <c r="P1030" s="133"/>
      <c r="Q1030" s="2"/>
      <c r="R1030" s="156">
        <f t="shared" si="97"/>
        <v>84044</v>
      </c>
      <c r="S1030" s="156">
        <f t="shared" si="98"/>
        <v>84044</v>
      </c>
      <c r="T1030" s="133">
        <v>84000</v>
      </c>
      <c r="U1030" s="133"/>
      <c r="V1030" s="133"/>
      <c r="W1030" s="133">
        <f>12813.56</f>
        <v>12813.56</v>
      </c>
      <c r="X1030" s="133"/>
      <c r="Y1030" s="133"/>
      <c r="Z1030" s="133">
        <v>44</v>
      </c>
      <c r="AA1030" s="133"/>
      <c r="AB1030" s="133"/>
      <c r="AC1030" s="133">
        <v>44</v>
      </c>
      <c r="AD1030" s="133"/>
      <c r="AE1030" s="133">
        <v>71186.44</v>
      </c>
      <c r="AF1030" s="133"/>
      <c r="AG1030" s="133"/>
      <c r="AH1030" s="133"/>
      <c r="AI1030" s="133"/>
      <c r="AJ1030" s="133"/>
      <c r="AK1030" s="133"/>
      <c r="AL1030" s="133"/>
      <c r="AM1030" s="133"/>
      <c r="AN1030" s="133"/>
      <c r="AO1030" s="133"/>
      <c r="AP1030" s="133"/>
      <c r="AQ1030" s="133"/>
      <c r="AR1030" s="133" t="s">
        <v>718</v>
      </c>
      <c r="AS1030" s="153">
        <v>0</v>
      </c>
      <c r="AT1030" s="153">
        <v>0</v>
      </c>
      <c r="AU1030" s="153">
        <v>0</v>
      </c>
      <c r="AV1030" s="153">
        <v>0</v>
      </c>
      <c r="AW1030" s="153">
        <v>0</v>
      </c>
      <c r="AX1030" s="153">
        <v>0</v>
      </c>
      <c r="AY1030" s="135"/>
      <c r="AZ1030" s="135"/>
      <c r="BA1030" s="135"/>
      <c r="BB1030" s="140">
        <f>(84000/1.18-AT1030-AW1030-AZ1030)*0.1-BA1030</f>
        <v>7118.6440677966111</v>
      </c>
      <c r="BC1030" s="135"/>
      <c r="BD1030" s="135"/>
      <c r="BE1030" s="135">
        <f>(H1030/1.18-AT1030-AW1030-AZ1030-BD1030)*0.1-AU1030-AX1030-BA1030-BB1030</f>
        <v>3.7288135593216793</v>
      </c>
      <c r="BF1030" s="135"/>
      <c r="BG1030" s="135"/>
      <c r="BH1030" s="135"/>
      <c r="BI1030" s="2" t="s">
        <v>118</v>
      </c>
      <c r="BJ1030" s="136">
        <v>45776</v>
      </c>
      <c r="BK1030" s="2" t="s">
        <v>109</v>
      </c>
      <c r="BL1030" s="136" t="s">
        <v>113</v>
      </c>
      <c r="BM1030" s="136">
        <v>45258</v>
      </c>
      <c r="BN1030" s="2" t="s">
        <v>3671</v>
      </c>
      <c r="BO1030" s="2"/>
      <c r="BP1030" s="136"/>
      <c r="BQ1030" s="137" t="s">
        <v>119</v>
      </c>
      <c r="BR1030" s="138"/>
    </row>
    <row r="1031" spans="1:70" ht="12.75" customHeight="1" x14ac:dyDescent="0.2">
      <c r="A1031" s="2">
        <v>2520</v>
      </c>
      <c r="B1031" s="2" t="s">
        <v>28</v>
      </c>
      <c r="C1031" s="2" t="s">
        <v>88</v>
      </c>
      <c r="D1031" s="2" t="s">
        <v>3665</v>
      </c>
      <c r="E1031" s="2" t="s">
        <v>87</v>
      </c>
      <c r="F1031" s="132">
        <v>197910</v>
      </c>
      <c r="G1031" s="132">
        <v>2</v>
      </c>
      <c r="H1031" s="132">
        <f>R1031</f>
        <v>382563.43</v>
      </c>
      <c r="I1031" s="132"/>
      <c r="J1031" s="132">
        <f>S1031</f>
        <v>382563.43</v>
      </c>
      <c r="K1031" s="132">
        <f t="shared" si="100"/>
        <v>-184653.43</v>
      </c>
      <c r="L1031" s="132">
        <f t="shared" si="96"/>
        <v>0</v>
      </c>
      <c r="M1031" s="133">
        <v>0</v>
      </c>
      <c r="N1031" s="133">
        <f t="shared" si="99"/>
        <v>0</v>
      </c>
      <c r="O1031" s="134">
        <v>1</v>
      </c>
      <c r="P1031" s="133">
        <v>0</v>
      </c>
      <c r="Q1031" s="2"/>
      <c r="R1031" s="156">
        <f t="shared" si="97"/>
        <v>382563.43</v>
      </c>
      <c r="S1031" s="156">
        <f t="shared" si="98"/>
        <v>382563.43</v>
      </c>
      <c r="T1031" s="133"/>
      <c r="U1031" s="133"/>
      <c r="V1031" s="133"/>
      <c r="W1031" s="133"/>
      <c r="X1031" s="133"/>
      <c r="Y1031" s="133"/>
      <c r="Z1031" s="133">
        <v>382563.43</v>
      </c>
      <c r="AA1031" s="133"/>
      <c r="AB1031" s="133"/>
      <c r="AC1031" s="133">
        <v>58357.13</v>
      </c>
      <c r="AD1031" s="133"/>
      <c r="AE1031" s="133">
        <v>324206.3</v>
      </c>
      <c r="AF1031" s="133"/>
      <c r="AG1031" s="133"/>
      <c r="AH1031" s="133"/>
      <c r="AI1031" s="133"/>
      <c r="AJ1031" s="133"/>
      <c r="AK1031" s="133"/>
      <c r="AL1031" s="133"/>
      <c r="AM1031" s="133"/>
      <c r="AN1031" s="133"/>
      <c r="AO1031" s="133"/>
      <c r="AP1031" s="133"/>
      <c r="AQ1031" s="133"/>
      <c r="AR1031" s="133"/>
      <c r="AS1031" s="153">
        <v>0</v>
      </c>
      <c r="AT1031" s="153">
        <v>0</v>
      </c>
      <c r="AU1031" s="153">
        <v>0</v>
      </c>
      <c r="AV1031" s="153">
        <v>0</v>
      </c>
      <c r="AW1031" s="153">
        <v>0</v>
      </c>
      <c r="AX1031" s="153">
        <v>0</v>
      </c>
      <c r="AY1031" s="135"/>
      <c r="AZ1031" s="135"/>
      <c r="BA1031" s="135"/>
      <c r="BB1031" s="135">
        <v>0</v>
      </c>
      <c r="BC1031" s="135"/>
      <c r="BD1031" s="135"/>
      <c r="BE1031" s="135"/>
      <c r="BF1031" s="135"/>
      <c r="BG1031" s="135"/>
      <c r="BH1031" s="135"/>
      <c r="BI1031" s="2" t="s">
        <v>118</v>
      </c>
      <c r="BJ1031" s="136">
        <v>45777</v>
      </c>
      <c r="BK1031" s="2" t="s">
        <v>109</v>
      </c>
      <c r="BL1031" s="136" t="s">
        <v>18</v>
      </c>
      <c r="BM1031" s="136">
        <v>45352</v>
      </c>
      <c r="BN1031" s="2" t="s">
        <v>3672</v>
      </c>
      <c r="BO1031" s="2"/>
      <c r="BP1031" s="136"/>
      <c r="BQ1031" s="137" t="s">
        <v>134</v>
      </c>
      <c r="BR1031" s="138"/>
    </row>
    <row r="1032" spans="1:70" ht="12.75" customHeight="1" x14ac:dyDescent="0.2">
      <c r="A1032" s="2">
        <v>2521</v>
      </c>
      <c r="B1032" s="2" t="s">
        <v>31</v>
      </c>
      <c r="C1032" s="2" t="s">
        <v>96</v>
      </c>
      <c r="D1032" s="2" t="s">
        <v>3638</v>
      </c>
      <c r="E1032" s="2" t="s">
        <v>3635</v>
      </c>
      <c r="F1032" s="132">
        <v>27000</v>
      </c>
      <c r="G1032" s="132"/>
      <c r="H1032" s="132">
        <v>27000</v>
      </c>
      <c r="I1032" s="132">
        <v>27000</v>
      </c>
      <c r="J1032" s="132">
        <v>27000</v>
      </c>
      <c r="K1032" s="132">
        <f t="shared" si="100"/>
        <v>0</v>
      </c>
      <c r="L1032" s="132">
        <f t="shared" si="96"/>
        <v>0</v>
      </c>
      <c r="M1032" s="135">
        <v>0</v>
      </c>
      <c r="N1032" s="133">
        <f t="shared" si="99"/>
        <v>0</v>
      </c>
      <c r="O1032" s="134">
        <v>0</v>
      </c>
      <c r="P1032" s="133"/>
      <c r="Q1032" s="2" t="s">
        <v>3729</v>
      </c>
      <c r="R1032" s="156">
        <f t="shared" si="97"/>
        <v>0</v>
      </c>
      <c r="S1032" s="156">
        <f t="shared" si="98"/>
        <v>0</v>
      </c>
      <c r="T1032" s="133"/>
      <c r="U1032" s="133"/>
      <c r="V1032" s="133"/>
      <c r="W1032" s="133"/>
      <c r="X1032" s="133"/>
      <c r="Y1032" s="133"/>
      <c r="Z1032" s="133"/>
      <c r="AA1032" s="133"/>
      <c r="AB1032" s="133"/>
      <c r="AC1032" s="133"/>
      <c r="AD1032" s="133"/>
      <c r="AE1032" s="133"/>
      <c r="AF1032" s="133"/>
      <c r="AG1032" s="133"/>
      <c r="AH1032" s="133"/>
      <c r="AI1032" s="133"/>
      <c r="AJ1032" s="133"/>
      <c r="AK1032" s="133"/>
      <c r="AL1032" s="133"/>
      <c r="AM1032" s="133"/>
      <c r="AN1032" s="133"/>
      <c r="AO1032" s="133"/>
      <c r="AP1032" s="133"/>
      <c r="AQ1032" s="133"/>
      <c r="AR1032" s="133"/>
      <c r="AS1032" s="153">
        <v>0</v>
      </c>
      <c r="AT1032" s="153">
        <v>0</v>
      </c>
      <c r="AU1032" s="153">
        <v>0</v>
      </c>
      <c r="AV1032" s="153">
        <v>0</v>
      </c>
      <c r="AW1032" s="153">
        <v>0</v>
      </c>
      <c r="AX1032" s="153">
        <v>0</v>
      </c>
      <c r="AY1032" s="135"/>
      <c r="AZ1032" s="135"/>
      <c r="BA1032" s="135">
        <v>0</v>
      </c>
      <c r="BB1032" s="135">
        <v>0</v>
      </c>
      <c r="BC1032" s="135"/>
      <c r="BD1032" s="135"/>
      <c r="BE1032" s="135">
        <f t="shared" ref="BE1032:BE1040" si="101">(H1032/1.18-AT1032-AW1032-AZ1032-BD1032)*0.1-AU1032-AX1032-BA1032-BB1032</f>
        <v>2288.1355932203392</v>
      </c>
      <c r="BF1032" s="135"/>
      <c r="BG1032" s="135"/>
      <c r="BH1032" s="135"/>
      <c r="BI1032" s="2" t="s">
        <v>3746</v>
      </c>
      <c r="BJ1032" s="136">
        <v>45635</v>
      </c>
      <c r="BK1032" s="2" t="s">
        <v>109</v>
      </c>
      <c r="BL1032" s="136" t="s">
        <v>18</v>
      </c>
      <c r="BM1032" s="136">
        <v>45635</v>
      </c>
      <c r="BN1032" s="2" t="s">
        <v>3636</v>
      </c>
      <c r="BO1032" s="2"/>
      <c r="BP1032" s="136"/>
      <c r="BQ1032" s="137" t="s">
        <v>119</v>
      </c>
      <c r="BR1032" s="138"/>
    </row>
    <row r="1033" spans="1:70" ht="12.75" customHeight="1" x14ac:dyDescent="0.2">
      <c r="A1033" s="2">
        <v>2522</v>
      </c>
      <c r="B1033" s="2" t="s">
        <v>44</v>
      </c>
      <c r="C1033" s="2" t="s">
        <v>45</v>
      </c>
      <c r="D1033" s="2" t="s">
        <v>3712</v>
      </c>
      <c r="E1033" s="2" t="s">
        <v>3635</v>
      </c>
      <c r="F1033" s="132">
        <v>8500</v>
      </c>
      <c r="G1033" s="132"/>
      <c r="H1033" s="132">
        <v>8500</v>
      </c>
      <c r="I1033" s="132">
        <v>8500</v>
      </c>
      <c r="J1033" s="132">
        <f t="shared" ref="J1033:J1040" si="102">S1033</f>
        <v>8500</v>
      </c>
      <c r="K1033" s="132">
        <f t="shared" si="100"/>
        <v>0</v>
      </c>
      <c r="L1033" s="132">
        <f t="shared" si="96"/>
        <v>0</v>
      </c>
      <c r="M1033" s="135">
        <v>0</v>
      </c>
      <c r="N1033" s="133">
        <f t="shared" si="99"/>
        <v>0</v>
      </c>
      <c r="O1033" s="134">
        <v>1</v>
      </c>
      <c r="P1033" s="133"/>
      <c r="Q1033" s="2" t="s">
        <v>3730</v>
      </c>
      <c r="R1033" s="156">
        <f t="shared" si="97"/>
        <v>0</v>
      </c>
      <c r="S1033" s="156">
        <f t="shared" si="98"/>
        <v>8500</v>
      </c>
      <c r="T1033" s="133"/>
      <c r="U1033" s="133">
        <v>1296.6099999999999</v>
      </c>
      <c r="V1033" s="133"/>
      <c r="W1033" s="133"/>
      <c r="X1033" s="133"/>
      <c r="Y1033" s="133"/>
      <c r="Z1033" s="133"/>
      <c r="AA1033" s="133"/>
      <c r="AB1033" s="133"/>
      <c r="AC1033" s="133"/>
      <c r="AD1033" s="133"/>
      <c r="AE1033" s="133"/>
      <c r="AF1033" s="133"/>
      <c r="AG1033" s="133"/>
      <c r="AH1033" s="133"/>
      <c r="AI1033" s="133"/>
      <c r="AJ1033" s="133"/>
      <c r="AK1033" s="133">
        <v>7203.39</v>
      </c>
      <c r="AL1033" s="133"/>
      <c r="AM1033" s="133"/>
      <c r="AN1033" s="133"/>
      <c r="AO1033" s="133"/>
      <c r="AP1033" s="133"/>
      <c r="AQ1033" s="133"/>
      <c r="AR1033" s="133"/>
      <c r="AS1033" s="153">
        <v>0</v>
      </c>
      <c r="AT1033" s="153">
        <v>0</v>
      </c>
      <c r="AU1033" s="153">
        <v>0</v>
      </c>
      <c r="AV1033" s="153">
        <v>0</v>
      </c>
      <c r="AW1033" s="153">
        <v>0</v>
      </c>
      <c r="AX1033" s="153">
        <v>0</v>
      </c>
      <c r="AY1033" s="135"/>
      <c r="AZ1033" s="135"/>
      <c r="BA1033" s="135">
        <v>0</v>
      </c>
      <c r="BB1033" s="135">
        <v>0</v>
      </c>
      <c r="BC1033" s="135"/>
      <c r="BD1033" s="135"/>
      <c r="BE1033" s="135">
        <f t="shared" si="101"/>
        <v>720.33898305084756</v>
      </c>
      <c r="BF1033" s="135"/>
      <c r="BG1033" s="135"/>
      <c r="BH1033" s="135"/>
      <c r="BI1033" s="2" t="s">
        <v>3746</v>
      </c>
      <c r="BJ1033" s="136">
        <v>45639</v>
      </c>
      <c r="BK1033" s="2" t="s">
        <v>109</v>
      </c>
      <c r="BL1033" s="136" t="s">
        <v>113</v>
      </c>
      <c r="BM1033" s="136">
        <v>45635</v>
      </c>
      <c r="BN1033" s="2" t="s">
        <v>3641</v>
      </c>
      <c r="BO1033" s="2"/>
      <c r="BP1033" s="136"/>
      <c r="BQ1033" s="137" t="s">
        <v>119</v>
      </c>
      <c r="BR1033" s="138"/>
    </row>
    <row r="1034" spans="1:70" ht="12.75" customHeight="1" x14ac:dyDescent="0.2">
      <c r="A1034" s="2">
        <v>2523</v>
      </c>
      <c r="B1034" s="2" t="s">
        <v>44</v>
      </c>
      <c r="C1034" s="2" t="s">
        <v>45</v>
      </c>
      <c r="D1034" s="2" t="s">
        <v>3711</v>
      </c>
      <c r="E1034" s="2" t="s">
        <v>3635</v>
      </c>
      <c r="F1034" s="132">
        <v>8500</v>
      </c>
      <c r="G1034" s="132"/>
      <c r="H1034" s="132">
        <v>8500</v>
      </c>
      <c r="I1034" s="132">
        <v>8500</v>
      </c>
      <c r="J1034" s="132">
        <f t="shared" si="102"/>
        <v>8500</v>
      </c>
      <c r="K1034" s="132">
        <f t="shared" si="100"/>
        <v>0</v>
      </c>
      <c r="L1034" s="132">
        <f t="shared" si="96"/>
        <v>0</v>
      </c>
      <c r="M1034" s="135">
        <v>0</v>
      </c>
      <c r="N1034" s="133">
        <f t="shared" si="99"/>
        <v>0</v>
      </c>
      <c r="O1034" s="134">
        <v>1</v>
      </c>
      <c r="P1034" s="133"/>
      <c r="Q1034" s="2" t="s">
        <v>3730</v>
      </c>
      <c r="R1034" s="156">
        <f t="shared" si="97"/>
        <v>0</v>
      </c>
      <c r="S1034" s="156">
        <f t="shared" si="98"/>
        <v>8500</v>
      </c>
      <c r="T1034" s="133"/>
      <c r="U1034" s="133">
        <v>1296.6099999999999</v>
      </c>
      <c r="V1034" s="133"/>
      <c r="W1034" s="133"/>
      <c r="X1034" s="133"/>
      <c r="Y1034" s="133"/>
      <c r="Z1034" s="133"/>
      <c r="AA1034" s="133"/>
      <c r="AB1034" s="133"/>
      <c r="AC1034" s="133"/>
      <c r="AD1034" s="133"/>
      <c r="AE1034" s="133"/>
      <c r="AF1034" s="133"/>
      <c r="AG1034" s="133"/>
      <c r="AH1034" s="133"/>
      <c r="AI1034" s="133"/>
      <c r="AJ1034" s="133"/>
      <c r="AK1034" s="133">
        <v>7203.39</v>
      </c>
      <c r="AL1034" s="133"/>
      <c r="AM1034" s="133"/>
      <c r="AN1034" s="133"/>
      <c r="AO1034" s="133"/>
      <c r="AP1034" s="133"/>
      <c r="AQ1034" s="133"/>
      <c r="AR1034" s="133"/>
      <c r="AS1034" s="153">
        <v>0</v>
      </c>
      <c r="AT1034" s="153">
        <v>0</v>
      </c>
      <c r="AU1034" s="153">
        <v>0</v>
      </c>
      <c r="AV1034" s="153">
        <v>0</v>
      </c>
      <c r="AW1034" s="153">
        <v>0</v>
      </c>
      <c r="AX1034" s="153">
        <v>0</v>
      </c>
      <c r="AY1034" s="135"/>
      <c r="AZ1034" s="135"/>
      <c r="BA1034" s="135">
        <v>0</v>
      </c>
      <c r="BB1034" s="135">
        <v>0</v>
      </c>
      <c r="BC1034" s="135"/>
      <c r="BD1034" s="135"/>
      <c r="BE1034" s="135">
        <f t="shared" si="101"/>
        <v>720.33898305084756</v>
      </c>
      <c r="BF1034" s="135"/>
      <c r="BG1034" s="135"/>
      <c r="BH1034" s="135"/>
      <c r="BI1034" s="2" t="s">
        <v>3746</v>
      </c>
      <c r="BJ1034" s="136">
        <v>45644</v>
      </c>
      <c r="BK1034" s="2" t="s">
        <v>109</v>
      </c>
      <c r="BL1034" s="136" t="s">
        <v>113</v>
      </c>
      <c r="BM1034" s="136">
        <v>45635</v>
      </c>
      <c r="BN1034" s="2" t="s">
        <v>3641</v>
      </c>
      <c r="BO1034" s="2"/>
      <c r="BP1034" s="136"/>
      <c r="BQ1034" s="137" t="s">
        <v>119</v>
      </c>
      <c r="BR1034" s="138"/>
    </row>
    <row r="1035" spans="1:70" ht="12.75" customHeight="1" x14ac:dyDescent="0.2">
      <c r="A1035" s="2">
        <v>2524</v>
      </c>
      <c r="B1035" s="2" t="s">
        <v>44</v>
      </c>
      <c r="C1035" s="2" t="s">
        <v>47</v>
      </c>
      <c r="D1035" s="2" t="s">
        <v>3713</v>
      </c>
      <c r="E1035" s="2" t="s">
        <v>3635</v>
      </c>
      <c r="F1035" s="132">
        <v>8500</v>
      </c>
      <c r="G1035" s="132"/>
      <c r="H1035" s="132">
        <v>8500</v>
      </c>
      <c r="I1035" s="132">
        <v>8500</v>
      </c>
      <c r="J1035" s="132">
        <f>S1035</f>
        <v>8500</v>
      </c>
      <c r="K1035" s="132">
        <f t="shared" si="100"/>
        <v>0</v>
      </c>
      <c r="L1035" s="132">
        <f t="shared" ref="L1035:L1098" si="103">H1035-J1035</f>
        <v>0</v>
      </c>
      <c r="M1035" s="135">
        <v>0</v>
      </c>
      <c r="N1035" s="133">
        <f t="shared" si="99"/>
        <v>0</v>
      </c>
      <c r="O1035" s="134">
        <v>1</v>
      </c>
      <c r="P1035" s="133"/>
      <c r="Q1035" s="2" t="s">
        <v>3730</v>
      </c>
      <c r="R1035" s="156">
        <f t="shared" ref="R1035:R1098" si="104">T1035+V1035+X1035+Z1035+AB1035+AD1035+AF1035+AH1035+AJ1035+AL1035+AN1035+AP1035</f>
        <v>0</v>
      </c>
      <c r="S1035" s="156">
        <f t="shared" ref="S1035:S1098" si="105">U1035+W1035+Y1035+AA1035+AC1035+AE1035+AG1035+AI1035+AK1035+AM1035+AO1035+AQ1035</f>
        <v>8500</v>
      </c>
      <c r="T1035" s="133"/>
      <c r="U1035" s="133">
        <v>1296.6099999999999</v>
      </c>
      <c r="V1035" s="133"/>
      <c r="W1035" s="133"/>
      <c r="X1035" s="133"/>
      <c r="Y1035" s="133"/>
      <c r="Z1035" s="133"/>
      <c r="AA1035" s="133"/>
      <c r="AB1035" s="133"/>
      <c r="AC1035" s="133"/>
      <c r="AD1035" s="133"/>
      <c r="AE1035" s="133"/>
      <c r="AF1035" s="133"/>
      <c r="AG1035" s="133"/>
      <c r="AH1035" s="133"/>
      <c r="AI1035" s="133"/>
      <c r="AJ1035" s="133"/>
      <c r="AK1035" s="133">
        <v>7203.39</v>
      </c>
      <c r="AL1035" s="133"/>
      <c r="AM1035" s="133"/>
      <c r="AN1035" s="133"/>
      <c r="AO1035" s="133"/>
      <c r="AP1035" s="133"/>
      <c r="AQ1035" s="133"/>
      <c r="AR1035" s="133"/>
      <c r="AS1035" s="153">
        <v>0</v>
      </c>
      <c r="AT1035" s="153">
        <v>0</v>
      </c>
      <c r="AU1035" s="153">
        <v>0</v>
      </c>
      <c r="AV1035" s="153">
        <v>0</v>
      </c>
      <c r="AW1035" s="153">
        <v>0</v>
      </c>
      <c r="AX1035" s="153">
        <v>0</v>
      </c>
      <c r="AY1035" s="135"/>
      <c r="AZ1035" s="135"/>
      <c r="BA1035" s="135">
        <v>0</v>
      </c>
      <c r="BB1035" s="135">
        <v>0</v>
      </c>
      <c r="BC1035" s="135"/>
      <c r="BD1035" s="135"/>
      <c r="BE1035" s="135">
        <f t="shared" si="101"/>
        <v>720.33898305084756</v>
      </c>
      <c r="BF1035" s="135"/>
      <c r="BG1035" s="135"/>
      <c r="BH1035" s="135"/>
      <c r="BI1035" s="2" t="s">
        <v>3746</v>
      </c>
      <c r="BJ1035" s="136">
        <v>45644</v>
      </c>
      <c r="BK1035" s="2" t="s">
        <v>109</v>
      </c>
      <c r="BL1035" s="136" t="s">
        <v>113</v>
      </c>
      <c r="BM1035" s="136">
        <v>45635</v>
      </c>
      <c r="BN1035" s="2" t="s">
        <v>3641</v>
      </c>
      <c r="BO1035" s="2"/>
      <c r="BP1035" s="136"/>
      <c r="BQ1035" s="137" t="s">
        <v>119</v>
      </c>
      <c r="BR1035" s="138"/>
    </row>
    <row r="1036" spans="1:70" ht="12.75" customHeight="1" x14ac:dyDescent="0.2">
      <c r="A1036" s="2">
        <v>2525</v>
      </c>
      <c r="B1036" s="2" t="s">
        <v>44</v>
      </c>
      <c r="C1036" s="131" t="s">
        <v>52</v>
      </c>
      <c r="D1036" s="2" t="s">
        <v>3786</v>
      </c>
      <c r="E1036" s="2" t="s">
        <v>3635</v>
      </c>
      <c r="F1036" s="132">
        <v>120000</v>
      </c>
      <c r="G1036" s="132"/>
      <c r="H1036" s="132">
        <f t="shared" ref="H1036:H1040" si="106">R1036</f>
        <v>120000</v>
      </c>
      <c r="I1036" s="132"/>
      <c r="J1036" s="132">
        <f t="shared" si="102"/>
        <v>120000</v>
      </c>
      <c r="K1036" s="132">
        <f t="shared" si="100"/>
        <v>0</v>
      </c>
      <c r="L1036" s="132">
        <f t="shared" si="103"/>
        <v>0</v>
      </c>
      <c r="M1036" s="133"/>
      <c r="N1036" s="133">
        <f t="shared" si="99"/>
        <v>0</v>
      </c>
      <c r="O1036" s="134">
        <v>1</v>
      </c>
      <c r="P1036" s="133">
        <v>0</v>
      </c>
      <c r="Q1036" s="2" t="s">
        <v>1620</v>
      </c>
      <c r="R1036" s="156">
        <f t="shared" si="104"/>
        <v>120000</v>
      </c>
      <c r="S1036" s="156">
        <f t="shared" si="105"/>
        <v>120000</v>
      </c>
      <c r="T1036" s="133">
        <v>120000</v>
      </c>
      <c r="U1036" s="133"/>
      <c r="V1036" s="133"/>
      <c r="W1036" s="133">
        <f>18305.084</f>
        <v>18305.083999999999</v>
      </c>
      <c r="X1036" s="133"/>
      <c r="Y1036" s="133"/>
      <c r="Z1036" s="133"/>
      <c r="AA1036" s="133"/>
      <c r="AB1036" s="133"/>
      <c r="AC1036" s="133"/>
      <c r="AD1036" s="133"/>
      <c r="AE1036" s="133"/>
      <c r="AF1036" s="133"/>
      <c r="AG1036" s="133"/>
      <c r="AH1036" s="133"/>
      <c r="AI1036" s="133"/>
      <c r="AJ1036" s="133"/>
      <c r="AK1036" s="133">
        <v>101694.916</v>
      </c>
      <c r="AL1036" s="133"/>
      <c r="AM1036" s="133"/>
      <c r="AN1036" s="133"/>
      <c r="AO1036" s="133"/>
      <c r="AP1036" s="133"/>
      <c r="AQ1036" s="133"/>
      <c r="AR1036" s="133"/>
      <c r="AS1036" s="153">
        <v>0</v>
      </c>
      <c r="AT1036" s="153">
        <v>0</v>
      </c>
      <c r="AU1036" s="153">
        <v>0</v>
      </c>
      <c r="AV1036" s="153">
        <v>0</v>
      </c>
      <c r="AW1036" s="153">
        <v>0</v>
      </c>
      <c r="AX1036" s="153">
        <v>0</v>
      </c>
      <c r="AY1036" s="135"/>
      <c r="AZ1036" s="135"/>
      <c r="BA1036" s="135">
        <v>0</v>
      </c>
      <c r="BB1036" s="135">
        <v>0</v>
      </c>
      <c r="BC1036" s="135"/>
      <c r="BD1036" s="135"/>
      <c r="BE1036" s="135">
        <f t="shared" si="101"/>
        <v>10169.491525423729</v>
      </c>
      <c r="BF1036" s="135"/>
      <c r="BG1036" s="135"/>
      <c r="BH1036" s="135"/>
      <c r="BI1036" s="2" t="s">
        <v>3773</v>
      </c>
      <c r="BJ1036" s="136">
        <v>45663</v>
      </c>
      <c r="BK1036" s="2" t="s">
        <v>109</v>
      </c>
      <c r="BL1036" s="136" t="s">
        <v>113</v>
      </c>
      <c r="BM1036" s="136">
        <v>45597</v>
      </c>
      <c r="BN1036" s="2" t="s">
        <v>3772</v>
      </c>
      <c r="BO1036" s="2" t="s">
        <v>1620</v>
      </c>
      <c r="BP1036" s="2"/>
      <c r="BQ1036" s="137" t="s">
        <v>119</v>
      </c>
      <c r="BR1036" s="138"/>
    </row>
    <row r="1037" spans="1:70" ht="12.75" customHeight="1" x14ac:dyDescent="0.2">
      <c r="A1037" s="2">
        <v>2526</v>
      </c>
      <c r="B1037" s="2" t="s">
        <v>44</v>
      </c>
      <c r="C1037" s="131" t="s">
        <v>52</v>
      </c>
      <c r="D1037" s="2" t="s">
        <v>3787</v>
      </c>
      <c r="E1037" s="2" t="s">
        <v>3635</v>
      </c>
      <c r="F1037" s="132">
        <v>160000</v>
      </c>
      <c r="G1037" s="132"/>
      <c r="H1037" s="132">
        <f t="shared" si="106"/>
        <v>160000</v>
      </c>
      <c r="I1037" s="132"/>
      <c r="J1037" s="132">
        <f t="shared" si="102"/>
        <v>160000</v>
      </c>
      <c r="K1037" s="132">
        <f t="shared" si="100"/>
        <v>0</v>
      </c>
      <c r="L1037" s="132">
        <f t="shared" si="103"/>
        <v>0</v>
      </c>
      <c r="M1037" s="133"/>
      <c r="N1037" s="133">
        <f t="shared" si="99"/>
        <v>0</v>
      </c>
      <c r="O1037" s="134">
        <v>1</v>
      </c>
      <c r="P1037" s="133">
        <v>0</v>
      </c>
      <c r="Q1037" s="2" t="s">
        <v>1620</v>
      </c>
      <c r="R1037" s="156">
        <f t="shared" si="104"/>
        <v>160000</v>
      </c>
      <c r="S1037" s="156">
        <f t="shared" si="105"/>
        <v>160000</v>
      </c>
      <c r="T1037" s="133">
        <v>160000</v>
      </c>
      <c r="U1037" s="133"/>
      <c r="V1037" s="133"/>
      <c r="W1037" s="133">
        <f>24406.78</f>
        <v>24406.78</v>
      </c>
      <c r="X1037" s="133"/>
      <c r="Y1037" s="133"/>
      <c r="Z1037" s="133"/>
      <c r="AA1037" s="133"/>
      <c r="AB1037" s="133"/>
      <c r="AC1037" s="133"/>
      <c r="AD1037" s="133"/>
      <c r="AE1037" s="133"/>
      <c r="AF1037" s="133"/>
      <c r="AG1037" s="133"/>
      <c r="AH1037" s="133"/>
      <c r="AI1037" s="133"/>
      <c r="AJ1037" s="133"/>
      <c r="AK1037" s="133">
        <v>135593.22</v>
      </c>
      <c r="AL1037" s="133"/>
      <c r="AM1037" s="133"/>
      <c r="AN1037" s="133"/>
      <c r="AO1037" s="133"/>
      <c r="AP1037" s="133"/>
      <c r="AQ1037" s="133"/>
      <c r="AR1037" s="133"/>
      <c r="AS1037" s="153">
        <v>0</v>
      </c>
      <c r="AT1037" s="153">
        <v>0</v>
      </c>
      <c r="AU1037" s="153">
        <v>0</v>
      </c>
      <c r="AV1037" s="153">
        <v>0</v>
      </c>
      <c r="AW1037" s="153">
        <v>0</v>
      </c>
      <c r="AX1037" s="153">
        <v>0</v>
      </c>
      <c r="AY1037" s="135"/>
      <c r="AZ1037" s="135"/>
      <c r="BA1037" s="135">
        <v>0</v>
      </c>
      <c r="BB1037" s="135">
        <v>0</v>
      </c>
      <c r="BC1037" s="135"/>
      <c r="BD1037" s="135"/>
      <c r="BE1037" s="135">
        <f t="shared" si="101"/>
        <v>13559.322033898306</v>
      </c>
      <c r="BF1037" s="135"/>
      <c r="BG1037" s="135"/>
      <c r="BH1037" s="135"/>
      <c r="BI1037" s="2" t="s">
        <v>3773</v>
      </c>
      <c r="BJ1037" s="136">
        <v>45663</v>
      </c>
      <c r="BK1037" s="2" t="s">
        <v>109</v>
      </c>
      <c r="BL1037" s="136" t="s">
        <v>113</v>
      </c>
      <c r="BM1037" s="136">
        <v>45597</v>
      </c>
      <c r="BN1037" s="2" t="s">
        <v>3772</v>
      </c>
      <c r="BO1037" s="2" t="s">
        <v>1620</v>
      </c>
      <c r="BP1037" s="2"/>
      <c r="BQ1037" s="137" t="s">
        <v>119</v>
      </c>
      <c r="BR1037" s="138"/>
    </row>
    <row r="1038" spans="1:70" ht="12.75" customHeight="1" x14ac:dyDescent="0.2">
      <c r="A1038" s="2">
        <v>2527</v>
      </c>
      <c r="B1038" s="2" t="s">
        <v>108</v>
      </c>
      <c r="C1038" s="2" t="s">
        <v>40</v>
      </c>
      <c r="D1038" s="2" t="s">
        <v>3780</v>
      </c>
      <c r="E1038" s="2" t="s">
        <v>3635</v>
      </c>
      <c r="F1038" s="132">
        <v>42700</v>
      </c>
      <c r="G1038" s="132"/>
      <c r="H1038" s="132">
        <f t="shared" si="106"/>
        <v>42700</v>
      </c>
      <c r="I1038" s="132"/>
      <c r="J1038" s="132">
        <f t="shared" si="102"/>
        <v>42700</v>
      </c>
      <c r="K1038" s="132">
        <f t="shared" si="100"/>
        <v>0</v>
      </c>
      <c r="L1038" s="132">
        <f t="shared" si="103"/>
        <v>0</v>
      </c>
      <c r="M1038" s="133"/>
      <c r="N1038" s="133">
        <f t="shared" si="99"/>
        <v>0</v>
      </c>
      <c r="O1038" s="134">
        <v>1</v>
      </c>
      <c r="P1038" s="133">
        <v>0</v>
      </c>
      <c r="Q1038" s="2" t="s">
        <v>3777</v>
      </c>
      <c r="R1038" s="156">
        <f t="shared" si="104"/>
        <v>42700</v>
      </c>
      <c r="S1038" s="156">
        <f t="shared" si="105"/>
        <v>42700</v>
      </c>
      <c r="T1038" s="133">
        <v>42700</v>
      </c>
      <c r="U1038" s="133"/>
      <c r="V1038" s="133"/>
      <c r="W1038" s="133">
        <f>6513.56</f>
        <v>6513.56</v>
      </c>
      <c r="X1038" s="133"/>
      <c r="Y1038" s="133"/>
      <c r="Z1038" s="133"/>
      <c r="AA1038" s="133"/>
      <c r="AB1038" s="133"/>
      <c r="AC1038" s="133"/>
      <c r="AD1038" s="133"/>
      <c r="AE1038" s="133"/>
      <c r="AF1038" s="133"/>
      <c r="AG1038" s="133"/>
      <c r="AH1038" s="133"/>
      <c r="AI1038" s="133"/>
      <c r="AJ1038" s="133"/>
      <c r="AK1038" s="133">
        <v>36186.44</v>
      </c>
      <c r="AL1038" s="133"/>
      <c r="AM1038" s="133"/>
      <c r="AN1038" s="133"/>
      <c r="AO1038" s="133"/>
      <c r="AP1038" s="133"/>
      <c r="AQ1038" s="133"/>
      <c r="AR1038" s="133"/>
      <c r="AS1038" s="153">
        <v>0</v>
      </c>
      <c r="AT1038" s="153">
        <v>0</v>
      </c>
      <c r="AU1038" s="153">
        <v>0</v>
      </c>
      <c r="AV1038" s="153">
        <v>0</v>
      </c>
      <c r="AW1038" s="153">
        <v>0</v>
      </c>
      <c r="AX1038" s="153">
        <v>0</v>
      </c>
      <c r="AY1038" s="135"/>
      <c r="AZ1038" s="135"/>
      <c r="BA1038" s="135">
        <v>0</v>
      </c>
      <c r="BB1038" s="135">
        <v>0</v>
      </c>
      <c r="BC1038" s="135"/>
      <c r="BD1038" s="135"/>
      <c r="BE1038" s="135">
        <f t="shared" si="101"/>
        <v>3618.6440677966102</v>
      </c>
      <c r="BF1038" s="135"/>
      <c r="BG1038" s="135"/>
      <c r="BH1038" s="135"/>
      <c r="BI1038" s="2" t="s">
        <v>3773</v>
      </c>
      <c r="BJ1038" s="136">
        <v>45663</v>
      </c>
      <c r="BK1038" s="2" t="s">
        <v>109</v>
      </c>
      <c r="BL1038" s="136" t="s">
        <v>113</v>
      </c>
      <c r="BM1038" s="136">
        <v>45597</v>
      </c>
      <c r="BN1038" s="2" t="s">
        <v>3774</v>
      </c>
      <c r="BO1038" s="2" t="s">
        <v>3777</v>
      </c>
      <c r="BP1038" s="2"/>
      <c r="BQ1038" s="137" t="s">
        <v>119</v>
      </c>
    </row>
    <row r="1039" spans="1:70" ht="12.75" customHeight="1" x14ac:dyDescent="0.2">
      <c r="A1039" s="2">
        <v>2528</v>
      </c>
      <c r="B1039" s="2" t="s">
        <v>108</v>
      </c>
      <c r="C1039" s="2" t="s">
        <v>40</v>
      </c>
      <c r="D1039" s="2" t="s">
        <v>3781</v>
      </c>
      <c r="E1039" s="2" t="s">
        <v>3635</v>
      </c>
      <c r="F1039" s="132">
        <v>27000</v>
      </c>
      <c r="G1039" s="132"/>
      <c r="H1039" s="132">
        <f t="shared" si="106"/>
        <v>27000</v>
      </c>
      <c r="I1039" s="132"/>
      <c r="J1039" s="132">
        <f t="shared" si="102"/>
        <v>27000</v>
      </c>
      <c r="K1039" s="132">
        <f t="shared" si="100"/>
        <v>0</v>
      </c>
      <c r="L1039" s="132">
        <f t="shared" si="103"/>
        <v>0</v>
      </c>
      <c r="M1039" s="133"/>
      <c r="N1039" s="133">
        <f t="shared" si="99"/>
        <v>0</v>
      </c>
      <c r="O1039" s="134">
        <v>1</v>
      </c>
      <c r="P1039" s="133">
        <v>0</v>
      </c>
      <c r="Q1039" s="2" t="s">
        <v>3778</v>
      </c>
      <c r="R1039" s="156">
        <f t="shared" si="104"/>
        <v>27000</v>
      </c>
      <c r="S1039" s="156">
        <f t="shared" si="105"/>
        <v>27000</v>
      </c>
      <c r="T1039" s="133">
        <v>27000</v>
      </c>
      <c r="U1039" s="133"/>
      <c r="V1039" s="133"/>
      <c r="W1039" s="133">
        <f>4118.64</f>
        <v>4118.6400000000003</v>
      </c>
      <c r="X1039" s="133"/>
      <c r="Y1039" s="133"/>
      <c r="Z1039" s="133"/>
      <c r="AA1039" s="133"/>
      <c r="AB1039" s="133"/>
      <c r="AC1039" s="133"/>
      <c r="AD1039" s="133"/>
      <c r="AE1039" s="133"/>
      <c r="AF1039" s="133"/>
      <c r="AG1039" s="133"/>
      <c r="AH1039" s="133"/>
      <c r="AI1039" s="133"/>
      <c r="AJ1039" s="133"/>
      <c r="AK1039" s="133">
        <v>22881.360000000001</v>
      </c>
      <c r="AL1039" s="133"/>
      <c r="AM1039" s="133"/>
      <c r="AN1039" s="133"/>
      <c r="AO1039" s="133"/>
      <c r="AP1039" s="133"/>
      <c r="AQ1039" s="133"/>
      <c r="AR1039" s="133"/>
      <c r="AS1039" s="153">
        <v>0</v>
      </c>
      <c r="AT1039" s="153">
        <v>0</v>
      </c>
      <c r="AU1039" s="153">
        <v>0</v>
      </c>
      <c r="AV1039" s="153">
        <v>0</v>
      </c>
      <c r="AW1039" s="153">
        <v>0</v>
      </c>
      <c r="AX1039" s="153">
        <v>0</v>
      </c>
      <c r="AY1039" s="135"/>
      <c r="AZ1039" s="135"/>
      <c r="BA1039" s="135">
        <v>0</v>
      </c>
      <c r="BB1039" s="135">
        <v>0</v>
      </c>
      <c r="BC1039" s="135"/>
      <c r="BD1039" s="135"/>
      <c r="BE1039" s="135">
        <f t="shared" si="101"/>
        <v>2288.1355932203392</v>
      </c>
      <c r="BF1039" s="135"/>
      <c r="BG1039" s="135"/>
      <c r="BH1039" s="135"/>
      <c r="BI1039" s="2" t="s">
        <v>3773</v>
      </c>
      <c r="BJ1039" s="136">
        <v>45663</v>
      </c>
      <c r="BK1039" s="2" t="s">
        <v>109</v>
      </c>
      <c r="BL1039" s="136" t="s">
        <v>113</v>
      </c>
      <c r="BM1039" s="136">
        <v>45597</v>
      </c>
      <c r="BN1039" s="2" t="s">
        <v>3775</v>
      </c>
      <c r="BO1039" s="2" t="s">
        <v>3778</v>
      </c>
      <c r="BP1039" s="2"/>
      <c r="BQ1039" s="137" t="s">
        <v>119</v>
      </c>
    </row>
    <row r="1040" spans="1:70" ht="12.75" customHeight="1" x14ac:dyDescent="0.2">
      <c r="A1040" s="2">
        <v>2529</v>
      </c>
      <c r="B1040" s="2" t="s">
        <v>108</v>
      </c>
      <c r="C1040" s="2" t="s">
        <v>40</v>
      </c>
      <c r="D1040" s="2" t="s">
        <v>3782</v>
      </c>
      <c r="E1040" s="2" t="s">
        <v>3635</v>
      </c>
      <c r="F1040" s="132">
        <v>27000</v>
      </c>
      <c r="G1040" s="132"/>
      <c r="H1040" s="132">
        <f t="shared" si="106"/>
        <v>27000</v>
      </c>
      <c r="I1040" s="132"/>
      <c r="J1040" s="132">
        <f t="shared" si="102"/>
        <v>27000</v>
      </c>
      <c r="K1040" s="132">
        <f t="shared" si="100"/>
        <v>0</v>
      </c>
      <c r="L1040" s="132">
        <f t="shared" si="103"/>
        <v>0</v>
      </c>
      <c r="M1040" s="133"/>
      <c r="N1040" s="133">
        <f t="shared" si="99"/>
        <v>0</v>
      </c>
      <c r="O1040" s="134">
        <v>1</v>
      </c>
      <c r="P1040" s="133">
        <v>0</v>
      </c>
      <c r="Q1040" s="2" t="s">
        <v>3779</v>
      </c>
      <c r="R1040" s="156">
        <f t="shared" si="104"/>
        <v>27000</v>
      </c>
      <c r="S1040" s="156">
        <f t="shared" si="105"/>
        <v>27000</v>
      </c>
      <c r="T1040" s="133">
        <v>27000</v>
      </c>
      <c r="U1040" s="133"/>
      <c r="V1040" s="133"/>
      <c r="W1040" s="133">
        <f>4118.64</f>
        <v>4118.6400000000003</v>
      </c>
      <c r="X1040" s="133"/>
      <c r="Y1040" s="133"/>
      <c r="Z1040" s="133"/>
      <c r="AA1040" s="133"/>
      <c r="AB1040" s="133"/>
      <c r="AC1040" s="133"/>
      <c r="AD1040" s="133"/>
      <c r="AE1040" s="133"/>
      <c r="AF1040" s="133"/>
      <c r="AG1040" s="133"/>
      <c r="AH1040" s="133"/>
      <c r="AI1040" s="133"/>
      <c r="AJ1040" s="133"/>
      <c r="AK1040" s="133">
        <v>22881.360000000001</v>
      </c>
      <c r="AL1040" s="133"/>
      <c r="AM1040" s="133"/>
      <c r="AN1040" s="133"/>
      <c r="AO1040" s="133"/>
      <c r="AP1040" s="133"/>
      <c r="AQ1040" s="133"/>
      <c r="AR1040" s="133"/>
      <c r="AS1040" s="153">
        <v>0</v>
      </c>
      <c r="AT1040" s="153">
        <v>0</v>
      </c>
      <c r="AU1040" s="153">
        <v>0</v>
      </c>
      <c r="AV1040" s="153">
        <v>0</v>
      </c>
      <c r="AW1040" s="153">
        <v>0</v>
      </c>
      <c r="AX1040" s="153">
        <v>0</v>
      </c>
      <c r="AY1040" s="135"/>
      <c r="AZ1040" s="135"/>
      <c r="BA1040" s="135">
        <v>0</v>
      </c>
      <c r="BB1040" s="135">
        <v>0</v>
      </c>
      <c r="BC1040" s="135"/>
      <c r="BD1040" s="135"/>
      <c r="BE1040" s="135">
        <f t="shared" si="101"/>
        <v>2288.1355932203392</v>
      </c>
      <c r="BF1040" s="135"/>
      <c r="BG1040" s="135"/>
      <c r="BH1040" s="135"/>
      <c r="BI1040" s="2" t="s">
        <v>3773</v>
      </c>
      <c r="BJ1040" s="136">
        <v>45663</v>
      </c>
      <c r="BK1040" s="2" t="s">
        <v>109</v>
      </c>
      <c r="BL1040" s="136" t="s">
        <v>113</v>
      </c>
      <c r="BM1040" s="136">
        <v>45597</v>
      </c>
      <c r="BN1040" s="2" t="s">
        <v>3776</v>
      </c>
      <c r="BO1040" s="2" t="s">
        <v>3779</v>
      </c>
      <c r="BP1040" s="2"/>
      <c r="BQ1040" s="137" t="s">
        <v>119</v>
      </c>
    </row>
    <row r="1041" spans="1:69" ht="12.75" customHeight="1" x14ac:dyDescent="0.2">
      <c r="A1041" s="2">
        <v>2530</v>
      </c>
      <c r="B1041" s="2" t="s">
        <v>100</v>
      </c>
      <c r="C1041" s="2" t="s">
        <v>95</v>
      </c>
      <c r="D1041" s="2" t="s">
        <v>3845</v>
      </c>
      <c r="E1041" s="2" t="s">
        <v>90</v>
      </c>
      <c r="F1041" s="132">
        <v>0</v>
      </c>
      <c r="G1041" s="132"/>
      <c r="H1041" s="132">
        <f>R1041</f>
        <v>101207.93</v>
      </c>
      <c r="I1041" s="132"/>
      <c r="J1041" s="132">
        <f>S1041</f>
        <v>15438.5</v>
      </c>
      <c r="K1041" s="132">
        <f t="shared" si="100"/>
        <v>-15438.5</v>
      </c>
      <c r="L1041" s="132">
        <f t="shared" si="103"/>
        <v>85769.43</v>
      </c>
      <c r="M1041" s="133"/>
      <c r="N1041" s="133">
        <f t="shared" si="99"/>
        <v>85769.43</v>
      </c>
      <c r="O1041" s="134">
        <v>1</v>
      </c>
      <c r="P1041" s="133"/>
      <c r="Q1041" s="2"/>
      <c r="R1041" s="156">
        <f t="shared" si="104"/>
        <v>101207.93</v>
      </c>
      <c r="S1041" s="156">
        <f t="shared" si="105"/>
        <v>15438.5</v>
      </c>
      <c r="T1041" s="133"/>
      <c r="U1041" s="133"/>
      <c r="V1041" s="133">
        <v>100000</v>
      </c>
      <c r="W1041" s="133"/>
      <c r="X1041" s="133"/>
      <c r="Y1041" s="133">
        <v>15254.24</v>
      </c>
      <c r="Z1041" s="133"/>
      <c r="AA1041" s="133"/>
      <c r="AB1041" s="133"/>
      <c r="AC1041" s="133"/>
      <c r="AD1041" s="133"/>
      <c r="AE1041" s="133"/>
      <c r="AF1041" s="133"/>
      <c r="AG1041" s="133"/>
      <c r="AH1041" s="133"/>
      <c r="AI1041" s="133"/>
      <c r="AJ1041" s="133"/>
      <c r="AK1041" s="133"/>
      <c r="AL1041" s="133">
        <v>1207.93</v>
      </c>
      <c r="AM1041" s="133">
        <v>184.26</v>
      </c>
      <c r="AN1041" s="133"/>
      <c r="AO1041" s="133"/>
      <c r="AP1041" s="133"/>
      <c r="AQ1041" s="133"/>
      <c r="AR1041" s="133"/>
      <c r="AS1041" s="153">
        <v>0</v>
      </c>
      <c r="AT1041" s="153">
        <v>0</v>
      </c>
      <c r="AU1041" s="153">
        <v>0</v>
      </c>
      <c r="AV1041" s="153">
        <v>0</v>
      </c>
      <c r="AW1041" s="153">
        <v>0</v>
      </c>
      <c r="AX1041" s="153">
        <v>0</v>
      </c>
      <c r="AY1041" s="135"/>
      <c r="AZ1041" s="135"/>
      <c r="BA1041" s="135"/>
      <c r="BB1041" s="135"/>
      <c r="BC1041" s="135"/>
      <c r="BD1041" s="135"/>
      <c r="BE1041" s="135"/>
      <c r="BF1041" s="135"/>
      <c r="BG1041" s="135"/>
      <c r="BH1041" s="135"/>
      <c r="BI1041" s="2" t="s">
        <v>118</v>
      </c>
      <c r="BJ1041" s="136">
        <v>45937</v>
      </c>
      <c r="BK1041" s="2" t="s">
        <v>109</v>
      </c>
      <c r="BL1041" s="136" t="s">
        <v>18</v>
      </c>
      <c r="BM1041" s="136">
        <v>44865</v>
      </c>
      <c r="BN1041" s="2" t="s">
        <v>3844</v>
      </c>
      <c r="BO1041" s="2"/>
      <c r="BP1041" s="136" t="s">
        <v>3783</v>
      </c>
      <c r="BQ1041" s="137" t="s">
        <v>134</v>
      </c>
    </row>
    <row r="1042" spans="1:69" ht="12.75" customHeight="1" x14ac:dyDescent="0.2">
      <c r="A1042" s="2">
        <v>2531</v>
      </c>
      <c r="B1042" s="2" t="s">
        <v>54</v>
      </c>
      <c r="C1042" s="2" t="s">
        <v>96</v>
      </c>
      <c r="D1042" s="2" t="s">
        <v>3340</v>
      </c>
      <c r="E1042" s="2" t="s">
        <v>71</v>
      </c>
      <c r="F1042" s="132">
        <v>0</v>
      </c>
      <c r="G1042" s="132"/>
      <c r="H1042" s="324">
        <f>50000+R1042</f>
        <v>78598.720000000001</v>
      </c>
      <c r="I1042" s="132"/>
      <c r="J1042" s="132">
        <f>7627.118+S1042+AY1042+BC1042</f>
        <v>78598.717999999993</v>
      </c>
      <c r="K1042" s="132">
        <f t="shared" si="100"/>
        <v>-78598.717999999993</v>
      </c>
      <c r="L1042" s="132">
        <f t="shared" si="103"/>
        <v>2.0000000076834112E-3</v>
      </c>
      <c r="M1042" s="133">
        <v>1376</v>
      </c>
      <c r="N1042" s="133">
        <f t="shared" si="99"/>
        <v>2.0000000076834112E-3</v>
      </c>
      <c r="O1042" s="134" t="s">
        <v>1993</v>
      </c>
      <c r="P1042" s="133"/>
      <c r="Q1042" s="2" t="s">
        <v>2766</v>
      </c>
      <c r="R1042" s="156">
        <f t="shared" si="104"/>
        <v>28598.720000000001</v>
      </c>
      <c r="S1042" s="156">
        <f t="shared" si="105"/>
        <v>4869.9000000000005</v>
      </c>
      <c r="T1042" s="133">
        <v>10000</v>
      </c>
      <c r="U1042" s="133"/>
      <c r="V1042" s="133">
        <v>18000</v>
      </c>
      <c r="W1042" s="133">
        <f>1525.42</f>
        <v>1525.42</v>
      </c>
      <c r="X1042" s="133">
        <v>598.72</v>
      </c>
      <c r="Y1042" s="133">
        <v>2745.76</v>
      </c>
      <c r="Z1042" s="133"/>
      <c r="AA1042" s="133"/>
      <c r="AB1042" s="133"/>
      <c r="AC1042" s="133"/>
      <c r="AD1042" s="133"/>
      <c r="AE1042" s="133">
        <v>598.72</v>
      </c>
      <c r="AF1042" s="133"/>
      <c r="AG1042" s="133"/>
      <c r="AH1042" s="133"/>
      <c r="AI1042" s="133"/>
      <c r="AJ1042" s="133"/>
      <c r="AK1042" s="133"/>
      <c r="AL1042" s="133"/>
      <c r="AM1042" s="133"/>
      <c r="AN1042" s="133"/>
      <c r="AO1042" s="133"/>
      <c r="AP1042" s="133"/>
      <c r="AQ1042" s="133"/>
      <c r="AR1042" s="133"/>
      <c r="AS1042" s="153">
        <v>0</v>
      </c>
      <c r="AT1042" s="153">
        <v>0</v>
      </c>
      <c r="AU1042" s="153">
        <v>0</v>
      </c>
      <c r="AV1042" s="153">
        <v>0</v>
      </c>
      <c r="AW1042" s="153">
        <v>0</v>
      </c>
      <c r="AX1042" s="153">
        <v>0</v>
      </c>
      <c r="AY1042" s="135">
        <v>42372.88</v>
      </c>
      <c r="AZ1042" s="135">
        <v>4260.8</v>
      </c>
      <c r="BA1042" s="135"/>
      <c r="BB1042" s="135"/>
      <c r="BC1042" s="135">
        <f>8474.58+15254.24</f>
        <v>23728.82</v>
      </c>
      <c r="BD1042" s="135">
        <f>126.31+180.54</f>
        <v>306.85000000000002</v>
      </c>
      <c r="BE1042" s="135">
        <f t="shared" ref="BE1042:BE1047" si="107">(H1042/1.18-AT1042-AW1042-AZ1042-BD1042)*0.1-AU1042-AX1042-BA1042-BB1042</f>
        <v>6204.1434745762708</v>
      </c>
      <c r="BF1042" s="135"/>
      <c r="BG1042" s="135"/>
      <c r="BH1042" s="135"/>
      <c r="BI1042" s="2" t="s">
        <v>11</v>
      </c>
      <c r="BJ1042" s="136">
        <v>45734</v>
      </c>
      <c r="BK1042" s="2" t="s">
        <v>109</v>
      </c>
      <c r="BL1042" s="136" t="s">
        <v>18</v>
      </c>
      <c r="BM1042" s="136">
        <v>45303</v>
      </c>
      <c r="BN1042" s="2" t="s">
        <v>3358</v>
      </c>
      <c r="BO1042" s="2"/>
      <c r="BP1042" s="136"/>
      <c r="BQ1042" s="137" t="s">
        <v>119</v>
      </c>
    </row>
    <row r="1043" spans="1:69" ht="12.75" customHeight="1" x14ac:dyDescent="0.2">
      <c r="A1043" s="2">
        <v>2532</v>
      </c>
      <c r="B1043" s="2" t="s">
        <v>54</v>
      </c>
      <c r="C1043" s="2" t="s">
        <v>96</v>
      </c>
      <c r="D1043" s="2" t="s">
        <v>3327</v>
      </c>
      <c r="E1043" s="2" t="s">
        <v>71</v>
      </c>
      <c r="F1043" s="132">
        <v>0</v>
      </c>
      <c r="G1043" s="132"/>
      <c r="H1043" s="324">
        <f>25000+R1043</f>
        <v>40647.629999999997</v>
      </c>
      <c r="I1043" s="132"/>
      <c r="J1043" s="132">
        <f>S1043+AY1043+BC1043</f>
        <v>40647.629999999997</v>
      </c>
      <c r="K1043" s="132">
        <f t="shared" si="100"/>
        <v>-40647.629999999997</v>
      </c>
      <c r="L1043" s="132">
        <f t="shared" si="103"/>
        <v>0</v>
      </c>
      <c r="M1043" s="133">
        <v>595</v>
      </c>
      <c r="N1043" s="133">
        <f t="shared" si="99"/>
        <v>0</v>
      </c>
      <c r="O1043" s="134" t="s">
        <v>1993</v>
      </c>
      <c r="P1043" s="133">
        <v>0</v>
      </c>
      <c r="Q1043" s="2" t="s">
        <v>3282</v>
      </c>
      <c r="R1043" s="156">
        <f t="shared" si="104"/>
        <v>15647.63</v>
      </c>
      <c r="S1043" s="156">
        <f t="shared" si="105"/>
        <v>15223.900000000001</v>
      </c>
      <c r="T1043" s="133">
        <v>5000</v>
      </c>
      <c r="U1043" s="133"/>
      <c r="V1043" s="133">
        <v>10000</v>
      </c>
      <c r="W1043" s="133">
        <f>762.71</f>
        <v>762.71</v>
      </c>
      <c r="X1043" s="133">
        <v>647.63</v>
      </c>
      <c r="Y1043" s="133">
        <v>1525.42</v>
      </c>
      <c r="Z1043" s="133"/>
      <c r="AA1043" s="133"/>
      <c r="AB1043" s="133"/>
      <c r="AC1043" s="133"/>
      <c r="AD1043" s="133"/>
      <c r="AE1043" s="133">
        <v>12935.77</v>
      </c>
      <c r="AF1043" s="133"/>
      <c r="AG1043" s="133"/>
      <c r="AH1043" s="133"/>
      <c r="AI1043" s="133"/>
      <c r="AJ1043" s="133"/>
      <c r="AK1043" s="133"/>
      <c r="AL1043" s="133"/>
      <c r="AM1043" s="133"/>
      <c r="AN1043" s="133"/>
      <c r="AO1043" s="133"/>
      <c r="AP1043" s="133"/>
      <c r="AQ1043" s="133"/>
      <c r="AR1043" s="133"/>
      <c r="AS1043" s="153">
        <v>0</v>
      </c>
      <c r="AT1043" s="153">
        <v>0</v>
      </c>
      <c r="AU1043" s="153">
        <v>0</v>
      </c>
      <c r="AV1043" s="153">
        <v>0</v>
      </c>
      <c r="AW1043" s="153">
        <v>0</v>
      </c>
      <c r="AX1043" s="153">
        <v>0</v>
      </c>
      <c r="AY1043" s="135">
        <v>21186.44</v>
      </c>
      <c r="AZ1043" s="135">
        <v>1922.74</v>
      </c>
      <c r="BA1043" s="135"/>
      <c r="BB1043" s="135"/>
      <c r="BC1043" s="135">
        <f>4237.29</f>
        <v>4237.29</v>
      </c>
      <c r="BD1043" s="135">
        <v>95.37</v>
      </c>
      <c r="BE1043" s="135">
        <f t="shared" si="107"/>
        <v>3242.9034067796611</v>
      </c>
      <c r="BF1043" s="135"/>
      <c r="BG1043" s="135"/>
      <c r="BH1043" s="135"/>
      <c r="BI1043" s="2" t="s">
        <v>11</v>
      </c>
      <c r="BJ1043" s="136">
        <v>45734</v>
      </c>
      <c r="BK1043" s="2" t="s">
        <v>109</v>
      </c>
      <c r="BL1043" s="136" t="s">
        <v>18</v>
      </c>
      <c r="BM1043" s="136">
        <v>45303</v>
      </c>
      <c r="BN1043" s="2" t="s">
        <v>3359</v>
      </c>
      <c r="BO1043" s="2"/>
      <c r="BP1043" s="136"/>
      <c r="BQ1043" s="137" t="s">
        <v>119</v>
      </c>
    </row>
    <row r="1044" spans="1:69" ht="12.75" customHeight="1" x14ac:dyDescent="0.2">
      <c r="A1044" s="2">
        <v>2533</v>
      </c>
      <c r="B1044" s="2" t="s">
        <v>54</v>
      </c>
      <c r="C1044" s="2" t="s">
        <v>96</v>
      </c>
      <c r="D1044" s="2" t="s">
        <v>3338</v>
      </c>
      <c r="E1044" s="2" t="s">
        <v>71</v>
      </c>
      <c r="F1044" s="132">
        <v>0</v>
      </c>
      <c r="G1044" s="132"/>
      <c r="H1044" s="324">
        <f>60000+R1044</f>
        <v>83417.440000000002</v>
      </c>
      <c r="I1044" s="132"/>
      <c r="J1044" s="132">
        <f>S1044+AY1044+BC1044</f>
        <v>83417.440000000002</v>
      </c>
      <c r="K1044" s="132">
        <f t="shared" si="100"/>
        <v>-83417.440000000002</v>
      </c>
      <c r="L1044" s="132">
        <f t="shared" si="103"/>
        <v>0</v>
      </c>
      <c r="M1044" s="133">
        <v>1495</v>
      </c>
      <c r="N1044" s="133">
        <f t="shared" si="99"/>
        <v>0</v>
      </c>
      <c r="O1044" s="134" t="s">
        <v>1993</v>
      </c>
      <c r="P1044" s="133"/>
      <c r="Q1044" s="2" t="s">
        <v>2766</v>
      </c>
      <c r="R1044" s="156">
        <f t="shared" si="104"/>
        <v>23417.440000000002</v>
      </c>
      <c r="S1044" s="156">
        <f t="shared" si="105"/>
        <v>24095.4</v>
      </c>
      <c r="T1044" s="133"/>
      <c r="U1044" s="133"/>
      <c r="V1044" s="133"/>
      <c r="W1044" s="133"/>
      <c r="X1044" s="133">
        <v>10000</v>
      </c>
      <c r="Y1044" s="133"/>
      <c r="Z1044" s="133">
        <v>13417.44</v>
      </c>
      <c r="AA1044" s="133">
        <v>1525.42</v>
      </c>
      <c r="AB1044" s="133"/>
      <c r="AC1044" s="133">
        <v>2046.73</v>
      </c>
      <c r="AD1044" s="133"/>
      <c r="AE1044" s="133">
        <v>20523.25</v>
      </c>
      <c r="AF1044" s="133"/>
      <c r="AG1044" s="133"/>
      <c r="AH1044" s="133"/>
      <c r="AI1044" s="133"/>
      <c r="AJ1044" s="133"/>
      <c r="AK1044" s="133"/>
      <c r="AL1044" s="133"/>
      <c r="AM1044" s="133"/>
      <c r="AN1044" s="133"/>
      <c r="AO1044" s="133"/>
      <c r="AP1044" s="133"/>
      <c r="AQ1044" s="133"/>
      <c r="AR1044" s="133"/>
      <c r="AS1044" s="153">
        <v>0</v>
      </c>
      <c r="AT1044" s="153">
        <v>0</v>
      </c>
      <c r="AU1044" s="153">
        <v>0</v>
      </c>
      <c r="AV1044" s="153">
        <v>0</v>
      </c>
      <c r="AW1044" s="153">
        <v>0</v>
      </c>
      <c r="AX1044" s="153">
        <v>0</v>
      </c>
      <c r="AY1044" s="135">
        <v>50847.46</v>
      </c>
      <c r="AZ1044" s="135">
        <v>4614.58</v>
      </c>
      <c r="BA1044" s="135"/>
      <c r="BB1044" s="135"/>
      <c r="BC1044" s="135">
        <v>8474.58</v>
      </c>
      <c r="BD1044" s="135">
        <v>1263.18</v>
      </c>
      <c r="BE1044" s="135">
        <f t="shared" si="107"/>
        <v>6481.4985762711876</v>
      </c>
      <c r="BF1044" s="135"/>
      <c r="BG1044" s="135"/>
      <c r="BH1044" s="135"/>
      <c r="BI1044" s="2" t="s">
        <v>11</v>
      </c>
      <c r="BJ1044" s="136">
        <v>45770</v>
      </c>
      <c r="BK1044" s="2" t="s">
        <v>109</v>
      </c>
      <c r="BL1044" s="136" t="s">
        <v>18</v>
      </c>
      <c r="BM1044" s="136">
        <v>45303</v>
      </c>
      <c r="BN1044" s="2" t="s">
        <v>3358</v>
      </c>
      <c r="BO1044" s="2"/>
      <c r="BP1044" s="136"/>
      <c r="BQ1044" s="137" t="s">
        <v>119</v>
      </c>
    </row>
    <row r="1045" spans="1:69" ht="12.75" customHeight="1" x14ac:dyDescent="0.2">
      <c r="A1045" s="2">
        <v>2534</v>
      </c>
      <c r="B1045" s="2" t="s">
        <v>54</v>
      </c>
      <c r="C1045" s="2" t="s">
        <v>96</v>
      </c>
      <c r="D1045" s="2" t="s">
        <v>3462</v>
      </c>
      <c r="E1045" s="2" t="s">
        <v>71</v>
      </c>
      <c r="F1045" s="132">
        <v>0</v>
      </c>
      <c r="G1045" s="132"/>
      <c r="H1045" s="324">
        <f>20000+R1045</f>
        <v>33843.49</v>
      </c>
      <c r="I1045" s="132"/>
      <c r="J1045" s="132">
        <f>S1045+AY1045+BC1045</f>
        <v>33843.490000000005</v>
      </c>
      <c r="K1045" s="132">
        <f t="shared" si="100"/>
        <v>-33843.490000000005</v>
      </c>
      <c r="L1045" s="132">
        <f t="shared" si="103"/>
        <v>0</v>
      </c>
      <c r="M1045" s="133">
        <v>755</v>
      </c>
      <c r="N1045" s="133">
        <f t="shared" si="99"/>
        <v>-7.2759576141834259E-12</v>
      </c>
      <c r="O1045" s="134" t="s">
        <v>1993</v>
      </c>
      <c r="P1045" s="133">
        <v>0</v>
      </c>
      <c r="Q1045" s="2" t="s">
        <v>2766</v>
      </c>
      <c r="R1045" s="156">
        <f t="shared" si="104"/>
        <v>13843.49</v>
      </c>
      <c r="S1045" s="156">
        <f t="shared" si="105"/>
        <v>16894.34</v>
      </c>
      <c r="T1045" s="133"/>
      <c r="U1045" s="133"/>
      <c r="V1045" s="133">
        <v>13000</v>
      </c>
      <c r="W1045" s="133"/>
      <c r="X1045" s="133">
        <v>843.49</v>
      </c>
      <c r="Y1045" s="133">
        <v>1983.05</v>
      </c>
      <c r="Z1045" s="133"/>
      <c r="AA1045" s="133"/>
      <c r="AB1045" s="133"/>
      <c r="AC1045" s="133"/>
      <c r="AD1045" s="133"/>
      <c r="AE1045" s="133">
        <v>14911.29</v>
      </c>
      <c r="AF1045" s="133"/>
      <c r="AG1045" s="133"/>
      <c r="AH1045" s="133"/>
      <c r="AI1045" s="133"/>
      <c r="AJ1045" s="133"/>
      <c r="AK1045" s="133"/>
      <c r="AL1045" s="133"/>
      <c r="AM1045" s="133"/>
      <c r="AN1045" s="133"/>
      <c r="AO1045" s="133"/>
      <c r="AP1045" s="133"/>
      <c r="AQ1045" s="133"/>
      <c r="AR1045" s="133"/>
      <c r="AS1045" s="153">
        <v>0</v>
      </c>
      <c r="AT1045" s="153">
        <v>0</v>
      </c>
      <c r="AU1045" s="153">
        <v>0</v>
      </c>
      <c r="AV1045" s="153">
        <v>0</v>
      </c>
      <c r="AW1045" s="153">
        <v>0</v>
      </c>
      <c r="AX1045" s="153">
        <v>0</v>
      </c>
      <c r="AY1045" s="135">
        <v>16949.150000000001</v>
      </c>
      <c r="AZ1045" s="135">
        <v>1538.19</v>
      </c>
      <c r="BA1045" s="135"/>
      <c r="BB1045" s="135"/>
      <c r="BC1045" s="135">
        <v>0</v>
      </c>
      <c r="BD1045" s="135">
        <v>0</v>
      </c>
      <c r="BE1045" s="135">
        <f t="shared" si="107"/>
        <v>2714.2733728813564</v>
      </c>
      <c r="BF1045" s="135"/>
      <c r="BG1045" s="135"/>
      <c r="BH1045" s="135"/>
      <c r="BI1045" s="2" t="s">
        <v>11</v>
      </c>
      <c r="BJ1045" s="136">
        <v>45734</v>
      </c>
      <c r="BK1045" s="2" t="s">
        <v>109</v>
      </c>
      <c r="BL1045" s="136" t="s">
        <v>18</v>
      </c>
      <c r="BM1045" s="136">
        <v>45303</v>
      </c>
      <c r="BN1045" s="2" t="s">
        <v>3358</v>
      </c>
      <c r="BO1045" s="2"/>
      <c r="BP1045" s="136"/>
      <c r="BQ1045" s="137" t="s">
        <v>119</v>
      </c>
    </row>
    <row r="1046" spans="1:69" ht="12.75" customHeight="1" x14ac:dyDescent="0.2">
      <c r="A1046" s="2">
        <v>2535</v>
      </c>
      <c r="B1046" s="2" t="s">
        <v>54</v>
      </c>
      <c r="C1046" s="2" t="s">
        <v>96</v>
      </c>
      <c r="D1046" s="2" t="s">
        <v>3627</v>
      </c>
      <c r="E1046" s="2" t="s">
        <v>71</v>
      </c>
      <c r="F1046" s="132">
        <v>0</v>
      </c>
      <c r="G1046" s="132"/>
      <c r="H1046" s="324">
        <f>70000+20000+2000+R1046</f>
        <v>144049.69</v>
      </c>
      <c r="I1046" s="132"/>
      <c r="J1046" s="132">
        <f>10677.966+3050.84+S1046+AY1046+BC1046</f>
        <v>144049.68599999999</v>
      </c>
      <c r="K1046" s="132">
        <f t="shared" si="100"/>
        <v>-144049.68599999999</v>
      </c>
      <c r="L1046" s="132">
        <f t="shared" si="103"/>
        <v>4.0000000153668225E-3</v>
      </c>
      <c r="M1046" s="133">
        <v>1946</v>
      </c>
      <c r="N1046" s="133">
        <f t="shared" si="99"/>
        <v>4.0000000153668225E-3</v>
      </c>
      <c r="O1046" s="134" t="s">
        <v>1993</v>
      </c>
      <c r="P1046" s="133">
        <v>0</v>
      </c>
      <c r="Q1046" s="2" t="s">
        <v>3282</v>
      </c>
      <c r="R1046" s="156">
        <f t="shared" si="104"/>
        <v>52049.69</v>
      </c>
      <c r="S1046" s="156">
        <f t="shared" si="105"/>
        <v>9134.59</v>
      </c>
      <c r="T1046" s="133">
        <v>33000</v>
      </c>
      <c r="U1046" s="133">
        <f>305.08</f>
        <v>305.08</v>
      </c>
      <c r="V1046" s="133">
        <v>18000</v>
      </c>
      <c r="W1046" s="133">
        <f>5033.9</f>
        <v>5033.8999999999996</v>
      </c>
      <c r="X1046" s="133">
        <v>1049.69</v>
      </c>
      <c r="Y1046" s="133">
        <v>2745.76</v>
      </c>
      <c r="Z1046" s="133"/>
      <c r="AA1046" s="133"/>
      <c r="AB1046" s="133"/>
      <c r="AC1046" s="133"/>
      <c r="AD1046" s="133"/>
      <c r="AE1046" s="133">
        <v>1049.8499999999999</v>
      </c>
      <c r="AF1046" s="133"/>
      <c r="AG1046" s="133"/>
      <c r="AH1046" s="133"/>
      <c r="AI1046" s="133"/>
      <c r="AJ1046" s="133"/>
      <c r="AK1046" s="133"/>
      <c r="AL1046" s="133"/>
      <c r="AM1046" s="133"/>
      <c r="AN1046" s="133"/>
      <c r="AO1046" s="133"/>
      <c r="AP1046" s="133"/>
      <c r="AQ1046" s="133"/>
      <c r="AR1046" s="133"/>
      <c r="AS1046" s="153">
        <v>0</v>
      </c>
      <c r="AT1046" s="153">
        <v>0</v>
      </c>
      <c r="AU1046" s="153">
        <v>0</v>
      </c>
      <c r="AV1046" s="153">
        <v>0</v>
      </c>
      <c r="AW1046" s="153">
        <v>0</v>
      </c>
      <c r="AX1046" s="153">
        <v>0</v>
      </c>
      <c r="AY1046" s="135">
        <f>59322.03+16949+1694.92</f>
        <v>77965.95</v>
      </c>
      <c r="AZ1046" s="135">
        <f>4629.96+756.79+59.07</f>
        <v>5445.82</v>
      </c>
      <c r="BA1046" s="135"/>
      <c r="BB1046" s="135"/>
      <c r="BC1046" s="135">
        <f>27966.1+15254.24</f>
        <v>43220.34</v>
      </c>
      <c r="BD1046" s="135">
        <f>416.81+180.54</f>
        <v>597.35</v>
      </c>
      <c r="BE1046" s="135">
        <f t="shared" si="107"/>
        <v>11603.283847457627</v>
      </c>
      <c r="BF1046" s="135"/>
      <c r="BG1046" s="135"/>
      <c r="BH1046" s="135"/>
      <c r="BI1046" s="2" t="s">
        <v>11</v>
      </c>
      <c r="BJ1046" s="136">
        <v>45734</v>
      </c>
      <c r="BK1046" s="2" t="s">
        <v>109</v>
      </c>
      <c r="BL1046" s="136" t="s">
        <v>18</v>
      </c>
      <c r="BM1046" s="136">
        <v>45303</v>
      </c>
      <c r="BN1046" s="2" t="s">
        <v>3359</v>
      </c>
      <c r="BO1046" s="2"/>
      <c r="BP1046" s="136"/>
      <c r="BQ1046" s="137" t="s">
        <v>119</v>
      </c>
    </row>
    <row r="1047" spans="1:69" ht="12.75" customHeight="1" x14ac:dyDescent="0.2">
      <c r="A1047" s="2">
        <v>2536</v>
      </c>
      <c r="B1047" s="2" t="s">
        <v>54</v>
      </c>
      <c r="C1047" s="2" t="s">
        <v>96</v>
      </c>
      <c r="D1047" s="2" t="s">
        <v>3480</v>
      </c>
      <c r="E1047" s="2" t="s">
        <v>71</v>
      </c>
      <c r="F1047" s="132">
        <v>0</v>
      </c>
      <c r="G1047" s="132"/>
      <c r="H1047" s="324">
        <f>92000+R1047</f>
        <v>125238.95</v>
      </c>
      <c r="I1047" s="132"/>
      <c r="J1047" s="132">
        <f>12203.389+1525.423+S1047+AY1047+BC1047</f>
        <v>125238.94200000001</v>
      </c>
      <c r="K1047" s="132">
        <f t="shared" si="100"/>
        <v>-125238.94200000001</v>
      </c>
      <c r="L1047" s="132">
        <f t="shared" si="103"/>
        <v>7.9999999870778993E-3</v>
      </c>
      <c r="M1047" s="133">
        <v>2578</v>
      </c>
      <c r="N1047" s="133">
        <f t="shared" si="99"/>
        <v>7.9999999870778993E-3</v>
      </c>
      <c r="O1047" s="134" t="s">
        <v>1993</v>
      </c>
      <c r="P1047" s="133">
        <v>0</v>
      </c>
      <c r="Q1047" s="2" t="s">
        <v>3282</v>
      </c>
      <c r="R1047" s="156">
        <f t="shared" si="104"/>
        <v>33238.949999999997</v>
      </c>
      <c r="S1047" s="156">
        <f t="shared" si="105"/>
        <v>5577.5</v>
      </c>
      <c r="T1047" s="133">
        <v>15000</v>
      </c>
      <c r="U1047" s="133">
        <f>305.08</f>
        <v>305.08</v>
      </c>
      <c r="V1047" s="133">
        <v>18000</v>
      </c>
      <c r="W1047" s="133">
        <f>2288.14</f>
        <v>2288.14</v>
      </c>
      <c r="X1047" s="133">
        <v>238.95</v>
      </c>
      <c r="Y1047" s="133">
        <v>2745.76</v>
      </c>
      <c r="Z1047" s="133"/>
      <c r="AA1047" s="133"/>
      <c r="AB1047" s="133"/>
      <c r="AC1047" s="133"/>
      <c r="AD1047" s="133"/>
      <c r="AE1047" s="133">
        <v>238.52</v>
      </c>
      <c r="AF1047" s="133"/>
      <c r="AG1047" s="133"/>
      <c r="AH1047" s="133"/>
      <c r="AI1047" s="133"/>
      <c r="AJ1047" s="133"/>
      <c r="AK1047" s="133"/>
      <c r="AL1047" s="133"/>
      <c r="AM1047" s="133"/>
      <c r="AN1047" s="133"/>
      <c r="AO1047" s="133"/>
      <c r="AP1047" s="133"/>
      <c r="AQ1047" s="133"/>
      <c r="AR1047" s="133"/>
      <c r="AS1047" s="153">
        <v>0</v>
      </c>
      <c r="AT1047" s="153">
        <v>0</v>
      </c>
      <c r="AU1047" s="153">
        <v>0</v>
      </c>
      <c r="AV1047" s="153">
        <v>0</v>
      </c>
      <c r="AW1047" s="153">
        <v>0</v>
      </c>
      <c r="AX1047" s="153">
        <v>0</v>
      </c>
      <c r="AY1047" s="135">
        <f>67796.61+8475+1694.92</f>
        <v>77966.53</v>
      </c>
      <c r="AZ1047" s="135">
        <f>4479.22+378.4+59.07</f>
        <v>4916.6899999999996</v>
      </c>
      <c r="BA1047" s="135"/>
      <c r="BB1047" s="135"/>
      <c r="BC1047" s="135">
        <f>12711.86+15254.24</f>
        <v>27966.1</v>
      </c>
      <c r="BD1047" s="135">
        <f>286.1+180.54</f>
        <v>466.64</v>
      </c>
      <c r="BE1047" s="135">
        <f t="shared" si="107"/>
        <v>10075.137338983051</v>
      </c>
      <c r="BF1047" s="135"/>
      <c r="BG1047" s="135"/>
      <c r="BH1047" s="135"/>
      <c r="BI1047" s="2" t="s">
        <v>11</v>
      </c>
      <c r="BJ1047" s="136">
        <v>45734</v>
      </c>
      <c r="BK1047" s="2" t="s">
        <v>109</v>
      </c>
      <c r="BL1047" s="136" t="s">
        <v>18</v>
      </c>
      <c r="BM1047" s="136">
        <v>45303</v>
      </c>
      <c r="BN1047" s="2" t="s">
        <v>3359</v>
      </c>
      <c r="BO1047" s="2"/>
      <c r="BP1047" s="136"/>
      <c r="BQ1047" s="137" t="s">
        <v>119</v>
      </c>
    </row>
    <row r="1048" spans="1:69" ht="12.75" customHeight="1" x14ac:dyDescent="0.2">
      <c r="A1048" s="2">
        <v>2537</v>
      </c>
      <c r="B1048" s="2" t="s">
        <v>54</v>
      </c>
      <c r="C1048" s="2" t="s">
        <v>50</v>
      </c>
      <c r="D1048" s="2" t="s">
        <v>3545</v>
      </c>
      <c r="E1048" s="2" t="s">
        <v>141</v>
      </c>
      <c r="F1048" s="132">
        <v>0</v>
      </c>
      <c r="G1048" s="132"/>
      <c r="H1048" s="132">
        <f>50900+R1048</f>
        <v>63031</v>
      </c>
      <c r="I1048" s="132"/>
      <c r="J1048" s="132">
        <f>7627.118+137.288+S1048+AY1048+BC1048</f>
        <v>63031</v>
      </c>
      <c r="K1048" s="132">
        <f t="shared" si="100"/>
        <v>-63031</v>
      </c>
      <c r="L1048" s="132">
        <f t="shared" si="103"/>
        <v>0</v>
      </c>
      <c r="M1048" s="133">
        <v>1366</v>
      </c>
      <c r="N1048" s="133">
        <f t="shared" si="99"/>
        <v>0</v>
      </c>
      <c r="O1048" s="134" t="s">
        <v>1993</v>
      </c>
      <c r="P1048" s="133"/>
      <c r="Q1048" s="2" t="s">
        <v>338</v>
      </c>
      <c r="R1048" s="156">
        <f t="shared" si="104"/>
        <v>12131</v>
      </c>
      <c r="S1048" s="156">
        <f t="shared" si="105"/>
        <v>2724.2240000000043</v>
      </c>
      <c r="T1048" s="133">
        <v>12000</v>
      </c>
      <c r="U1048" s="133"/>
      <c r="V1048" s="133"/>
      <c r="W1048" s="133">
        <f>1830.51</f>
        <v>1830.51</v>
      </c>
      <c r="X1048" s="133">
        <v>25</v>
      </c>
      <c r="Y1048" s="133"/>
      <c r="Z1048" s="133"/>
      <c r="AA1048" s="133"/>
      <c r="AB1048" s="133"/>
      <c r="AC1048" s="133"/>
      <c r="AD1048" s="133"/>
      <c r="AE1048" s="133"/>
      <c r="AF1048" s="133">
        <v>106</v>
      </c>
      <c r="AG1048" s="133"/>
      <c r="AH1048" s="133"/>
      <c r="AI1048" s="133">
        <v>16.169491525423723</v>
      </c>
      <c r="AJ1048" s="133"/>
      <c r="AK1048" s="133">
        <v>877.54450847458065</v>
      </c>
      <c r="AL1048" s="133"/>
      <c r="AM1048" s="133"/>
      <c r="AN1048" s="133"/>
      <c r="AO1048" s="133"/>
      <c r="AP1048" s="133"/>
      <c r="AQ1048" s="133"/>
      <c r="AR1048" s="133"/>
      <c r="AS1048" s="153">
        <v>0</v>
      </c>
      <c r="AT1048" s="153">
        <v>0</v>
      </c>
      <c r="AU1048" s="153">
        <v>0</v>
      </c>
      <c r="AV1048" s="153">
        <v>0</v>
      </c>
      <c r="AW1048" s="153">
        <v>0</v>
      </c>
      <c r="AX1048" s="153">
        <v>0</v>
      </c>
      <c r="AY1048" s="135">
        <v>42372.88</v>
      </c>
      <c r="AZ1048" s="135">
        <v>2645.69</v>
      </c>
      <c r="BA1048" s="135"/>
      <c r="BB1048" s="135"/>
      <c r="BC1048" s="135">
        <f>10169.49</f>
        <v>10169.49</v>
      </c>
      <c r="BD1048" s="135">
        <v>221.5</v>
      </c>
      <c r="BE1048" s="135"/>
      <c r="BF1048" s="135"/>
      <c r="BG1048" s="135"/>
      <c r="BH1048" s="135"/>
      <c r="BI1048" s="2" t="s">
        <v>11</v>
      </c>
      <c r="BJ1048" s="136">
        <v>45866</v>
      </c>
      <c r="BK1048" s="2" t="s">
        <v>109</v>
      </c>
      <c r="BL1048" s="136" t="s">
        <v>113</v>
      </c>
      <c r="BM1048" s="136">
        <v>45308</v>
      </c>
      <c r="BN1048" s="2" t="s">
        <v>2198</v>
      </c>
      <c r="BO1048" s="2"/>
      <c r="BP1048" s="136"/>
      <c r="BQ1048" s="137" t="s">
        <v>134</v>
      </c>
    </row>
    <row r="1049" spans="1:69" ht="12.75" customHeight="1" x14ac:dyDescent="0.2">
      <c r="A1049" s="2">
        <v>2538</v>
      </c>
      <c r="B1049" s="2" t="s">
        <v>54</v>
      </c>
      <c r="C1049" s="2" t="s">
        <v>50</v>
      </c>
      <c r="D1049" s="2" t="s">
        <v>3546</v>
      </c>
      <c r="E1049" s="2" t="s">
        <v>141</v>
      </c>
      <c r="F1049" s="132">
        <v>0</v>
      </c>
      <c r="G1049" s="132"/>
      <c r="H1049" s="132">
        <f>50000+R1049</f>
        <v>63720</v>
      </c>
      <c r="I1049" s="132"/>
      <c r="J1049" s="132">
        <f>7627.118+S1049+AY1049+BC1049</f>
        <v>63720</v>
      </c>
      <c r="K1049" s="132">
        <f t="shared" si="100"/>
        <v>-63720</v>
      </c>
      <c r="L1049" s="132">
        <f t="shared" si="103"/>
        <v>0</v>
      </c>
      <c r="M1049" s="133">
        <v>1442</v>
      </c>
      <c r="N1049" s="133">
        <f t="shared" si="99"/>
        <v>0</v>
      </c>
      <c r="O1049" s="134" t="s">
        <v>1993</v>
      </c>
      <c r="P1049" s="133"/>
      <c r="Q1049" s="2" t="s">
        <v>338</v>
      </c>
      <c r="R1049" s="156">
        <f t="shared" si="104"/>
        <v>13720</v>
      </c>
      <c r="S1049" s="156">
        <f t="shared" si="105"/>
        <v>2703.0520000000033</v>
      </c>
      <c r="T1049" s="133">
        <v>13000</v>
      </c>
      <c r="U1049" s="133"/>
      <c r="V1049" s="133"/>
      <c r="W1049" s="133">
        <f>1983.05</f>
        <v>1983.05</v>
      </c>
      <c r="X1049" s="133"/>
      <c r="Y1049" s="133"/>
      <c r="Z1049" s="133"/>
      <c r="AA1049" s="133"/>
      <c r="AB1049" s="133"/>
      <c r="AC1049" s="133"/>
      <c r="AD1049" s="133"/>
      <c r="AE1049" s="133"/>
      <c r="AF1049" s="133">
        <v>720</v>
      </c>
      <c r="AG1049" s="133"/>
      <c r="AH1049" s="133"/>
      <c r="AI1049" s="133">
        <v>109.83050847457628</v>
      </c>
      <c r="AJ1049" s="133"/>
      <c r="AK1049" s="133">
        <v>610.17149152542697</v>
      </c>
      <c r="AL1049" s="133"/>
      <c r="AM1049" s="133"/>
      <c r="AN1049" s="133"/>
      <c r="AO1049" s="133"/>
      <c r="AP1049" s="133"/>
      <c r="AQ1049" s="133"/>
      <c r="AR1049" s="133"/>
      <c r="AS1049" s="153">
        <v>0</v>
      </c>
      <c r="AT1049" s="153">
        <v>0</v>
      </c>
      <c r="AU1049" s="153">
        <v>0</v>
      </c>
      <c r="AV1049" s="153">
        <v>0</v>
      </c>
      <c r="AW1049" s="153">
        <v>0</v>
      </c>
      <c r="AX1049" s="153">
        <v>0</v>
      </c>
      <c r="AY1049" s="135">
        <v>42372.88</v>
      </c>
      <c r="AZ1049" s="135">
        <v>2645.69</v>
      </c>
      <c r="BA1049" s="135"/>
      <c r="BB1049" s="135"/>
      <c r="BC1049" s="135">
        <f>11016.95</f>
        <v>11016.95</v>
      </c>
      <c r="BD1049" s="135">
        <v>239.96</v>
      </c>
      <c r="BE1049" s="135"/>
      <c r="BF1049" s="135"/>
      <c r="BG1049" s="135"/>
      <c r="BH1049" s="135"/>
      <c r="BI1049" s="2" t="s">
        <v>11</v>
      </c>
      <c r="BJ1049" s="136">
        <v>45866</v>
      </c>
      <c r="BK1049" s="2" t="s">
        <v>109</v>
      </c>
      <c r="BL1049" s="136" t="s">
        <v>113</v>
      </c>
      <c r="BM1049" s="136">
        <v>45308</v>
      </c>
      <c r="BN1049" s="2" t="s">
        <v>2198</v>
      </c>
      <c r="BO1049" s="2"/>
      <c r="BP1049" s="136"/>
      <c r="BQ1049" s="137" t="s">
        <v>134</v>
      </c>
    </row>
    <row r="1050" spans="1:69" ht="12.75" customHeight="1" x14ac:dyDescent="0.2">
      <c r="A1050" s="2">
        <v>2539</v>
      </c>
      <c r="B1050" s="2" t="s">
        <v>54</v>
      </c>
      <c r="C1050" s="2" t="s">
        <v>50</v>
      </c>
      <c r="D1050" s="2" t="s">
        <v>3548</v>
      </c>
      <c r="E1050" s="2" t="s">
        <v>141</v>
      </c>
      <c r="F1050" s="132">
        <v>0</v>
      </c>
      <c r="G1050" s="132"/>
      <c r="H1050" s="132">
        <f>50700+R1050</f>
        <v>65353</v>
      </c>
      <c r="I1050" s="132"/>
      <c r="J1050" s="132">
        <f>7627.118+106.779+S1050+AY1050+BC1050</f>
        <v>65353</v>
      </c>
      <c r="K1050" s="132">
        <f t="shared" si="100"/>
        <v>-65353</v>
      </c>
      <c r="L1050" s="132">
        <f t="shared" si="103"/>
        <v>0</v>
      </c>
      <c r="M1050" s="133">
        <v>1484</v>
      </c>
      <c r="N1050" s="133">
        <f t="shared" si="99"/>
        <v>0</v>
      </c>
      <c r="O1050" s="134" t="s">
        <v>1993</v>
      </c>
      <c r="P1050" s="133"/>
      <c r="Q1050" s="2" t="s">
        <v>338</v>
      </c>
      <c r="R1050" s="156">
        <f t="shared" si="104"/>
        <v>14653</v>
      </c>
      <c r="S1050" s="156">
        <f t="shared" si="105"/>
        <v>3381.8129999999969</v>
      </c>
      <c r="T1050" s="133">
        <v>14000</v>
      </c>
      <c r="U1050" s="133"/>
      <c r="V1050" s="133"/>
      <c r="W1050" s="133">
        <f>2135.59</f>
        <v>2135.59</v>
      </c>
      <c r="X1050" s="133"/>
      <c r="Y1050" s="133"/>
      <c r="Z1050" s="133"/>
      <c r="AA1050" s="133"/>
      <c r="AB1050" s="133"/>
      <c r="AC1050" s="133"/>
      <c r="AD1050" s="133"/>
      <c r="AE1050" s="133"/>
      <c r="AF1050" s="133">
        <v>653</v>
      </c>
      <c r="AG1050" s="133"/>
      <c r="AH1050" s="133"/>
      <c r="AI1050" s="133">
        <v>99.610169491525426</v>
      </c>
      <c r="AJ1050" s="133"/>
      <c r="AK1050" s="133">
        <v>1146.6128305084712</v>
      </c>
      <c r="AL1050" s="133"/>
      <c r="AM1050" s="133"/>
      <c r="AN1050" s="133"/>
      <c r="AO1050" s="133"/>
      <c r="AP1050" s="133"/>
      <c r="AQ1050" s="133"/>
      <c r="AR1050" s="133"/>
      <c r="AS1050" s="288">
        <v>0</v>
      </c>
      <c r="AT1050" s="288">
        <v>0</v>
      </c>
      <c r="AU1050" s="288">
        <v>0</v>
      </c>
      <c r="AV1050" s="288">
        <v>0</v>
      </c>
      <c r="AW1050" s="288">
        <v>0</v>
      </c>
      <c r="AX1050" s="288">
        <v>0</v>
      </c>
      <c r="AY1050" s="289">
        <v>42372.88</v>
      </c>
      <c r="AZ1050" s="289">
        <v>2645.69</v>
      </c>
      <c r="BA1050" s="289"/>
      <c r="BB1050" s="289"/>
      <c r="BC1050" s="289">
        <f>11864.41</f>
        <v>11864.41</v>
      </c>
      <c r="BD1050" s="289">
        <v>258.42</v>
      </c>
      <c r="BE1050" s="289"/>
      <c r="BF1050" s="289"/>
      <c r="BG1050" s="289"/>
      <c r="BH1050" s="289"/>
      <c r="BI1050" s="2" t="s">
        <v>11</v>
      </c>
      <c r="BJ1050" s="136">
        <v>45866</v>
      </c>
      <c r="BK1050" s="2" t="s">
        <v>109</v>
      </c>
      <c r="BL1050" s="136" t="s">
        <v>113</v>
      </c>
      <c r="BM1050" s="136">
        <v>45308</v>
      </c>
      <c r="BN1050" s="2" t="s">
        <v>2198</v>
      </c>
      <c r="BO1050" s="2"/>
      <c r="BP1050" s="136"/>
      <c r="BQ1050" s="137" t="s">
        <v>134</v>
      </c>
    </row>
    <row r="1051" spans="1:69" ht="12.75" customHeight="1" x14ac:dyDescent="0.2">
      <c r="A1051" s="2">
        <v>2540</v>
      </c>
      <c r="B1051" s="2" t="s">
        <v>54</v>
      </c>
      <c r="C1051" s="2" t="s">
        <v>50</v>
      </c>
      <c r="D1051" s="2" t="s">
        <v>3547</v>
      </c>
      <c r="E1051" s="2" t="s">
        <v>141</v>
      </c>
      <c r="F1051" s="132">
        <v>0</v>
      </c>
      <c r="G1051" s="132"/>
      <c r="H1051" s="132">
        <f>50800+R1051</f>
        <v>65214</v>
      </c>
      <c r="I1051" s="132"/>
      <c r="J1051" s="132">
        <f>7627.118+122.033+S1051+AY1051+BC1051</f>
        <v>65214</v>
      </c>
      <c r="K1051" s="132">
        <f t="shared" si="100"/>
        <v>-65214</v>
      </c>
      <c r="L1051" s="132">
        <f t="shared" si="103"/>
        <v>0</v>
      </c>
      <c r="M1051" s="133">
        <v>1483</v>
      </c>
      <c r="N1051" s="133">
        <f t="shared" si="99"/>
        <v>0</v>
      </c>
      <c r="O1051" s="134" t="s">
        <v>1993</v>
      </c>
      <c r="P1051" s="133"/>
      <c r="Q1051" s="2" t="s">
        <v>338</v>
      </c>
      <c r="R1051" s="156">
        <f t="shared" si="104"/>
        <v>14414</v>
      </c>
      <c r="S1051" s="156">
        <f t="shared" si="105"/>
        <v>3227.5590000000043</v>
      </c>
      <c r="T1051" s="133">
        <v>14000</v>
      </c>
      <c r="U1051" s="133"/>
      <c r="V1051" s="133"/>
      <c r="W1051" s="133">
        <f>2135.59</f>
        <v>2135.59</v>
      </c>
      <c r="X1051" s="133"/>
      <c r="Y1051" s="133"/>
      <c r="Z1051" s="133"/>
      <c r="AA1051" s="133"/>
      <c r="AB1051" s="133"/>
      <c r="AC1051" s="133"/>
      <c r="AD1051" s="133"/>
      <c r="AE1051" s="133"/>
      <c r="AF1051" s="133">
        <v>414</v>
      </c>
      <c r="AG1051" s="133"/>
      <c r="AH1051" s="133"/>
      <c r="AI1051" s="133">
        <v>63.152542372881328</v>
      </c>
      <c r="AJ1051" s="133"/>
      <c r="AK1051" s="133">
        <v>1028.8164576271229</v>
      </c>
      <c r="AL1051" s="133"/>
      <c r="AM1051" s="133"/>
      <c r="AN1051" s="133"/>
      <c r="AO1051" s="133"/>
      <c r="AP1051" s="133"/>
      <c r="AQ1051" s="133"/>
      <c r="AR1051" s="133"/>
      <c r="AS1051" s="153">
        <v>0</v>
      </c>
      <c r="AT1051" s="153">
        <v>0</v>
      </c>
      <c r="AU1051" s="153">
        <v>0</v>
      </c>
      <c r="AV1051" s="153">
        <v>0</v>
      </c>
      <c r="AW1051" s="153">
        <v>0</v>
      </c>
      <c r="AX1051" s="153">
        <v>0</v>
      </c>
      <c r="AY1051" s="135">
        <v>42372.88</v>
      </c>
      <c r="AZ1051" s="135">
        <v>2645.69</v>
      </c>
      <c r="BA1051" s="135"/>
      <c r="BB1051" s="135"/>
      <c r="BC1051" s="135">
        <f>11864.41</f>
        <v>11864.41</v>
      </c>
      <c r="BD1051" s="135">
        <v>258.42</v>
      </c>
      <c r="BE1051" s="135"/>
      <c r="BF1051" s="135"/>
      <c r="BG1051" s="135"/>
      <c r="BH1051" s="135"/>
      <c r="BI1051" s="2" t="s">
        <v>11</v>
      </c>
      <c r="BJ1051" s="136">
        <v>45866</v>
      </c>
      <c r="BK1051" s="2" t="s">
        <v>109</v>
      </c>
      <c r="BL1051" s="136" t="s">
        <v>113</v>
      </c>
      <c r="BM1051" s="136">
        <v>45308</v>
      </c>
      <c r="BN1051" s="2" t="s">
        <v>2198</v>
      </c>
      <c r="BO1051" s="2"/>
      <c r="BP1051" s="136"/>
      <c r="BQ1051" s="137" t="s">
        <v>134</v>
      </c>
    </row>
    <row r="1052" spans="1:69" ht="12.75" customHeight="1" x14ac:dyDescent="0.2">
      <c r="A1052" s="2">
        <v>2541</v>
      </c>
      <c r="B1052" s="2" t="s">
        <v>54</v>
      </c>
      <c r="C1052" s="2" t="s">
        <v>50</v>
      </c>
      <c r="D1052" s="2" t="s">
        <v>3549</v>
      </c>
      <c r="E1052" s="2" t="s">
        <v>141</v>
      </c>
      <c r="F1052" s="132">
        <v>0</v>
      </c>
      <c r="G1052" s="132"/>
      <c r="H1052" s="132">
        <f>50600+R1052</f>
        <v>62708</v>
      </c>
      <c r="I1052" s="132"/>
      <c r="J1052" s="132">
        <f>7627.118+91.525+S1052+AY1052+BC1052</f>
        <v>62708</v>
      </c>
      <c r="K1052" s="132">
        <f t="shared" si="100"/>
        <v>-62708</v>
      </c>
      <c r="L1052" s="132">
        <f t="shared" si="103"/>
        <v>0</v>
      </c>
      <c r="M1052" s="133">
        <v>1389</v>
      </c>
      <c r="N1052" s="133">
        <f t="shared" si="99"/>
        <v>0</v>
      </c>
      <c r="O1052" s="134" t="s">
        <v>1993</v>
      </c>
      <c r="P1052" s="133"/>
      <c r="Q1052" s="2" t="s">
        <v>338</v>
      </c>
      <c r="R1052" s="156">
        <f t="shared" si="104"/>
        <v>12108</v>
      </c>
      <c r="S1052" s="156">
        <f t="shared" si="105"/>
        <v>2446.9870000000028</v>
      </c>
      <c r="T1052" s="133">
        <v>12000</v>
      </c>
      <c r="U1052" s="133"/>
      <c r="V1052" s="133"/>
      <c r="W1052" s="133">
        <f>1830.51</f>
        <v>1830.51</v>
      </c>
      <c r="X1052" s="133"/>
      <c r="Y1052" s="133"/>
      <c r="Z1052" s="133"/>
      <c r="AA1052" s="133"/>
      <c r="AB1052" s="133"/>
      <c r="AC1052" s="133"/>
      <c r="AD1052" s="133"/>
      <c r="AE1052" s="133"/>
      <c r="AF1052" s="133">
        <v>108</v>
      </c>
      <c r="AG1052" s="133"/>
      <c r="AH1052" s="133"/>
      <c r="AI1052" s="133">
        <v>16.474576271186436</v>
      </c>
      <c r="AJ1052" s="133"/>
      <c r="AK1052" s="133">
        <v>600.00242372881621</v>
      </c>
      <c r="AL1052" s="133"/>
      <c r="AM1052" s="133"/>
      <c r="AN1052" s="133"/>
      <c r="AO1052" s="133"/>
      <c r="AP1052" s="133"/>
      <c r="AQ1052" s="133"/>
      <c r="AR1052" s="133"/>
      <c r="AS1052" s="153">
        <v>0</v>
      </c>
      <c r="AT1052" s="153">
        <v>0</v>
      </c>
      <c r="AU1052" s="153">
        <v>0</v>
      </c>
      <c r="AV1052" s="153">
        <v>0</v>
      </c>
      <c r="AW1052" s="153">
        <v>0</v>
      </c>
      <c r="AX1052" s="153">
        <v>0</v>
      </c>
      <c r="AY1052" s="135">
        <v>42372.88</v>
      </c>
      <c r="AZ1052" s="135">
        <v>2645.69</v>
      </c>
      <c r="BA1052" s="135"/>
      <c r="BB1052" s="135"/>
      <c r="BC1052" s="135">
        <f>10169.49</f>
        <v>10169.49</v>
      </c>
      <c r="BD1052" s="135">
        <v>221.5</v>
      </c>
      <c r="BE1052" s="135"/>
      <c r="BF1052" s="135"/>
      <c r="BG1052" s="135"/>
      <c r="BH1052" s="135"/>
      <c r="BI1052" s="2" t="s">
        <v>11</v>
      </c>
      <c r="BJ1052" s="136">
        <v>45866</v>
      </c>
      <c r="BK1052" s="2" t="s">
        <v>109</v>
      </c>
      <c r="BL1052" s="136" t="s">
        <v>113</v>
      </c>
      <c r="BM1052" s="136">
        <v>45308</v>
      </c>
      <c r="BN1052" s="2" t="s">
        <v>2198</v>
      </c>
      <c r="BO1052" s="2"/>
      <c r="BP1052" s="136"/>
      <c r="BQ1052" s="137" t="s">
        <v>134</v>
      </c>
    </row>
    <row r="1053" spans="1:69" ht="12.75" customHeight="1" x14ac:dyDescent="0.2">
      <c r="A1053" s="2">
        <v>2542</v>
      </c>
      <c r="B1053" s="2" t="s">
        <v>54</v>
      </c>
      <c r="C1053" s="2" t="s">
        <v>50</v>
      </c>
      <c r="D1053" s="2" t="s">
        <v>3550</v>
      </c>
      <c r="E1053" s="2" t="s">
        <v>141</v>
      </c>
      <c r="F1053" s="132">
        <v>0</v>
      </c>
      <c r="G1053" s="132"/>
      <c r="H1053" s="132">
        <f>50800+R1053</f>
        <v>67006</v>
      </c>
      <c r="I1053" s="132"/>
      <c r="J1053" s="132">
        <f>7627.118+122.033+S1053+AY1053+BC1053</f>
        <v>67006</v>
      </c>
      <c r="K1053" s="132">
        <f t="shared" si="100"/>
        <v>-67006</v>
      </c>
      <c r="L1053" s="132">
        <f t="shared" si="103"/>
        <v>0</v>
      </c>
      <c r="M1053" s="133">
        <v>1574</v>
      </c>
      <c r="N1053" s="133">
        <f t="shared" si="99"/>
        <v>0</v>
      </c>
      <c r="O1053" s="134" t="s">
        <v>1993</v>
      </c>
      <c r="P1053" s="133"/>
      <c r="Q1053" s="2" t="s">
        <v>338</v>
      </c>
      <c r="R1053" s="156">
        <f t="shared" si="104"/>
        <v>16206</v>
      </c>
      <c r="S1053" s="156">
        <f t="shared" si="105"/>
        <v>3324.6490000000081</v>
      </c>
      <c r="T1053" s="133">
        <v>16000</v>
      </c>
      <c r="U1053" s="133"/>
      <c r="V1053" s="133"/>
      <c r="W1053" s="133">
        <f>2440.68</f>
        <v>2440.6799999999998</v>
      </c>
      <c r="X1053" s="133"/>
      <c r="Y1053" s="133"/>
      <c r="Z1053" s="133"/>
      <c r="AA1053" s="133"/>
      <c r="AB1053" s="133"/>
      <c r="AC1053" s="133"/>
      <c r="AD1053" s="133"/>
      <c r="AE1053" s="133"/>
      <c r="AF1053" s="133">
        <v>206</v>
      </c>
      <c r="AG1053" s="133"/>
      <c r="AH1053" s="133"/>
      <c r="AI1053" s="133">
        <v>31.423728813559308</v>
      </c>
      <c r="AJ1053" s="133"/>
      <c r="AK1053" s="133">
        <v>852.5452711864491</v>
      </c>
      <c r="AL1053" s="133"/>
      <c r="AM1053" s="133"/>
      <c r="AN1053" s="133"/>
      <c r="AO1053" s="133"/>
      <c r="AP1053" s="133"/>
      <c r="AQ1053" s="133"/>
      <c r="AR1053" s="133"/>
      <c r="AS1053" s="153">
        <v>0</v>
      </c>
      <c r="AT1053" s="153">
        <v>0</v>
      </c>
      <c r="AU1053" s="153">
        <v>0</v>
      </c>
      <c r="AV1053" s="153">
        <v>0</v>
      </c>
      <c r="AW1053" s="153">
        <v>0</v>
      </c>
      <c r="AX1053" s="153">
        <v>0</v>
      </c>
      <c r="AY1053" s="135">
        <v>42372.88</v>
      </c>
      <c r="AZ1053" s="135">
        <v>2645.69</v>
      </c>
      <c r="BA1053" s="135"/>
      <c r="BB1053" s="135"/>
      <c r="BC1053" s="135">
        <f>13559.32</f>
        <v>13559.32</v>
      </c>
      <c r="BD1053" s="135">
        <v>295.33</v>
      </c>
      <c r="BE1053" s="135"/>
      <c r="BF1053" s="135"/>
      <c r="BG1053" s="135"/>
      <c r="BH1053" s="135"/>
      <c r="BI1053" s="2" t="s">
        <v>11</v>
      </c>
      <c r="BJ1053" s="136">
        <v>45866</v>
      </c>
      <c r="BK1053" s="2" t="s">
        <v>109</v>
      </c>
      <c r="BL1053" s="136" t="s">
        <v>113</v>
      </c>
      <c r="BM1053" s="136">
        <v>45308</v>
      </c>
      <c r="BN1053" s="2" t="s">
        <v>2198</v>
      </c>
      <c r="BO1053" s="2"/>
      <c r="BP1053" s="136"/>
      <c r="BQ1053" s="137" t="s">
        <v>134</v>
      </c>
    </row>
    <row r="1054" spans="1:69" ht="12.75" customHeight="1" x14ac:dyDescent="0.2">
      <c r="A1054" s="2">
        <v>2543</v>
      </c>
      <c r="B1054" s="2" t="s">
        <v>54</v>
      </c>
      <c r="C1054" s="2" t="s">
        <v>96</v>
      </c>
      <c r="D1054" s="2" t="s">
        <v>3465</v>
      </c>
      <c r="E1054" s="2" t="s">
        <v>71</v>
      </c>
      <c r="F1054" s="132">
        <v>0</v>
      </c>
      <c r="G1054" s="132"/>
      <c r="H1054" s="324">
        <f>65000+R1054</f>
        <v>84103.57</v>
      </c>
      <c r="I1054" s="132"/>
      <c r="J1054" s="132">
        <f>7627.118+1525.423+S1054+AY1054+BC1054</f>
        <v>84103.561000000002</v>
      </c>
      <c r="K1054" s="132">
        <f t="shared" si="100"/>
        <v>-84103.561000000002</v>
      </c>
      <c r="L1054" s="132">
        <f t="shared" si="103"/>
        <v>9.0000000054715201E-3</v>
      </c>
      <c r="M1054" s="133">
        <v>1003</v>
      </c>
      <c r="N1054" s="133">
        <f t="shared" si="99"/>
        <v>9.0000000054715201E-3</v>
      </c>
      <c r="O1054" s="134" t="s">
        <v>1993</v>
      </c>
      <c r="P1054" s="133">
        <v>0</v>
      </c>
      <c r="Q1054" s="2" t="s">
        <v>2766</v>
      </c>
      <c r="R1054" s="156">
        <f t="shared" si="104"/>
        <v>19103.57</v>
      </c>
      <c r="S1054" s="156">
        <f t="shared" si="105"/>
        <v>4611.6100000000006</v>
      </c>
      <c r="T1054" s="133"/>
      <c r="U1054" s="133">
        <f>762.71</f>
        <v>762.71</v>
      </c>
      <c r="V1054" s="133">
        <v>18000</v>
      </c>
      <c r="W1054" s="133"/>
      <c r="X1054" s="133">
        <v>1103.57</v>
      </c>
      <c r="Y1054" s="133">
        <v>2745.76</v>
      </c>
      <c r="Z1054" s="133"/>
      <c r="AA1054" s="133"/>
      <c r="AB1054" s="133"/>
      <c r="AC1054" s="133"/>
      <c r="AD1054" s="133"/>
      <c r="AE1054" s="133">
        <v>1103.1400000000001</v>
      </c>
      <c r="AF1054" s="133"/>
      <c r="AG1054" s="133"/>
      <c r="AH1054" s="133"/>
      <c r="AI1054" s="133"/>
      <c r="AJ1054" s="133"/>
      <c r="AK1054" s="133"/>
      <c r="AL1054" s="133"/>
      <c r="AM1054" s="133"/>
      <c r="AN1054" s="133"/>
      <c r="AO1054" s="133"/>
      <c r="AP1054" s="133"/>
      <c r="AQ1054" s="133"/>
      <c r="AR1054" s="133"/>
      <c r="AS1054" s="153">
        <v>0</v>
      </c>
      <c r="AT1054" s="153">
        <v>0</v>
      </c>
      <c r="AU1054" s="153">
        <v>0</v>
      </c>
      <c r="AV1054" s="153">
        <v>0</v>
      </c>
      <c r="AW1054" s="153">
        <v>0</v>
      </c>
      <c r="AX1054" s="153">
        <v>0</v>
      </c>
      <c r="AY1054" s="135">
        <f>42372.88+8475+4237.29</f>
        <v>55085.17</v>
      </c>
      <c r="AZ1054" s="135">
        <f>2445.73+378.4+147.67</f>
        <v>2971.8</v>
      </c>
      <c r="BA1054" s="135"/>
      <c r="BB1054" s="135"/>
      <c r="BC1054" s="135">
        <v>15254.24</v>
      </c>
      <c r="BD1054" s="135">
        <v>180.54</v>
      </c>
      <c r="BE1054" s="135">
        <f t="shared" ref="BE1054:BE1057" si="108">(H1054/1.18-AT1054-AW1054-AZ1054-BD1054)*0.1-AU1054-AX1054-BA1054-BB1054</f>
        <v>6812.1871864406803</v>
      </c>
      <c r="BF1054" s="135"/>
      <c r="BG1054" s="135"/>
      <c r="BH1054" s="135"/>
      <c r="BI1054" s="2" t="s">
        <v>11</v>
      </c>
      <c r="BJ1054" s="136">
        <v>45734</v>
      </c>
      <c r="BK1054" s="2" t="s">
        <v>109</v>
      </c>
      <c r="BL1054" s="136" t="s">
        <v>18</v>
      </c>
      <c r="BM1054" s="136">
        <v>45303</v>
      </c>
      <c r="BN1054" s="2" t="s">
        <v>3358</v>
      </c>
      <c r="BO1054" s="2"/>
      <c r="BP1054" s="136"/>
      <c r="BQ1054" s="137" t="s">
        <v>119</v>
      </c>
    </row>
    <row r="1055" spans="1:69" ht="12.75" customHeight="1" x14ac:dyDescent="0.2">
      <c r="A1055" s="2">
        <v>2544</v>
      </c>
      <c r="B1055" s="2" t="s">
        <v>54</v>
      </c>
      <c r="C1055" s="2" t="s">
        <v>96</v>
      </c>
      <c r="D1055" s="2" t="s">
        <v>3507</v>
      </c>
      <c r="E1055" s="2" t="s">
        <v>71</v>
      </c>
      <c r="F1055" s="132">
        <v>0</v>
      </c>
      <c r="G1055" s="132"/>
      <c r="H1055" s="324">
        <f>35000+R1055</f>
        <v>83593.17</v>
      </c>
      <c r="I1055" s="132"/>
      <c r="J1055" s="132">
        <f>4576.27+S1055+AY1055+BC1055</f>
        <v>83593.17</v>
      </c>
      <c r="K1055" s="132">
        <f t="shared" si="100"/>
        <v>-83593.17</v>
      </c>
      <c r="L1055" s="132">
        <f t="shared" si="103"/>
        <v>0</v>
      </c>
      <c r="M1055" s="133">
        <v>1873</v>
      </c>
      <c r="N1055" s="133">
        <f t="shared" si="99"/>
        <v>0</v>
      </c>
      <c r="O1055" s="134" t="s">
        <v>1993</v>
      </c>
      <c r="P1055" s="133"/>
      <c r="Q1055" s="2" t="s">
        <v>3282</v>
      </c>
      <c r="R1055" s="156">
        <f t="shared" si="104"/>
        <v>48593.17</v>
      </c>
      <c r="S1055" s="156">
        <f t="shared" si="105"/>
        <v>15457.3</v>
      </c>
      <c r="T1055" s="133">
        <v>40000</v>
      </c>
      <c r="U1055" s="133">
        <f>762.71</f>
        <v>762.71</v>
      </c>
      <c r="V1055" s="133">
        <v>8000</v>
      </c>
      <c r="W1055" s="133">
        <f>6101.69</f>
        <v>6101.69</v>
      </c>
      <c r="X1055" s="133">
        <v>593.16999999999996</v>
      </c>
      <c r="Y1055" s="133">
        <v>1220.3399999999999</v>
      </c>
      <c r="Z1055" s="133"/>
      <c r="AA1055" s="133"/>
      <c r="AB1055" s="133"/>
      <c r="AC1055" s="133"/>
      <c r="AD1055" s="133"/>
      <c r="AE1055" s="133">
        <v>7372.56</v>
      </c>
      <c r="AF1055" s="133"/>
      <c r="AG1055" s="133"/>
      <c r="AH1055" s="133"/>
      <c r="AI1055" s="133"/>
      <c r="AJ1055" s="133"/>
      <c r="AK1055" s="133"/>
      <c r="AL1055" s="133"/>
      <c r="AM1055" s="133"/>
      <c r="AN1055" s="133"/>
      <c r="AO1055" s="133"/>
      <c r="AP1055" s="133"/>
      <c r="AQ1055" s="133"/>
      <c r="AR1055" s="133"/>
      <c r="AS1055" s="153">
        <v>0</v>
      </c>
      <c r="AT1055" s="153">
        <v>0</v>
      </c>
      <c r="AU1055" s="153">
        <v>0</v>
      </c>
      <c r="AV1055" s="153">
        <v>0</v>
      </c>
      <c r="AW1055" s="153">
        <v>0</v>
      </c>
      <c r="AX1055" s="153">
        <v>0</v>
      </c>
      <c r="AY1055" s="135">
        <f>25424+4237.29</f>
        <v>29661.29</v>
      </c>
      <c r="AZ1055" s="135">
        <f>1135.19+147.67</f>
        <v>1282.8600000000001</v>
      </c>
      <c r="BA1055" s="135"/>
      <c r="BB1055" s="135"/>
      <c r="BC1055" s="135">
        <f>33898.31</f>
        <v>33898.31</v>
      </c>
      <c r="BD1055" s="135">
        <v>762.94</v>
      </c>
      <c r="BE1055" s="135">
        <f t="shared" si="108"/>
        <v>6879.5869491525418</v>
      </c>
      <c r="BF1055" s="135"/>
      <c r="BG1055" s="135"/>
      <c r="BH1055" s="135"/>
      <c r="BI1055" s="2" t="s">
        <v>11</v>
      </c>
      <c r="BJ1055" s="136">
        <v>45734</v>
      </c>
      <c r="BK1055" s="2" t="s">
        <v>109</v>
      </c>
      <c r="BL1055" s="136" t="s">
        <v>18</v>
      </c>
      <c r="BM1055" s="136">
        <v>45303</v>
      </c>
      <c r="BN1055" s="2" t="s">
        <v>3359</v>
      </c>
      <c r="BO1055" s="2"/>
      <c r="BP1055" s="136"/>
      <c r="BQ1055" s="137" t="s">
        <v>119</v>
      </c>
    </row>
    <row r="1056" spans="1:69" ht="12.75" customHeight="1" x14ac:dyDescent="0.2">
      <c r="A1056" s="2">
        <v>2545</v>
      </c>
      <c r="B1056" s="2" t="s">
        <v>54</v>
      </c>
      <c r="C1056" s="2" t="s">
        <v>96</v>
      </c>
      <c r="D1056" s="2" t="s">
        <v>3616</v>
      </c>
      <c r="E1056" s="2" t="s">
        <v>71</v>
      </c>
      <c r="F1056" s="132">
        <v>0</v>
      </c>
      <c r="G1056" s="132"/>
      <c r="H1056" s="324">
        <f>20000+R1056</f>
        <v>32959.46</v>
      </c>
      <c r="I1056" s="132"/>
      <c r="J1056" s="132">
        <f>3050.847+S1056+AY1056+BC1056</f>
        <v>32959.456999999995</v>
      </c>
      <c r="K1056" s="132">
        <f t="shared" si="100"/>
        <v>-32959.456999999995</v>
      </c>
      <c r="L1056" s="132">
        <f t="shared" si="103"/>
        <v>3.0000000042491592E-3</v>
      </c>
      <c r="M1056" s="133">
        <v>409</v>
      </c>
      <c r="N1056" s="133">
        <f t="shared" si="99"/>
        <v>3.0000000042491592E-3</v>
      </c>
      <c r="O1056" s="134" t="s">
        <v>1993</v>
      </c>
      <c r="P1056" s="133"/>
      <c r="Q1056" s="2" t="s">
        <v>3282</v>
      </c>
      <c r="R1056" s="156">
        <f t="shared" si="104"/>
        <v>12959.46</v>
      </c>
      <c r="S1056" s="156">
        <f t="shared" si="105"/>
        <v>6179.95</v>
      </c>
      <c r="T1056" s="133"/>
      <c r="U1056" s="133"/>
      <c r="V1056" s="133"/>
      <c r="W1056" s="133"/>
      <c r="X1056" s="133">
        <v>8000</v>
      </c>
      <c r="Y1056" s="133"/>
      <c r="Z1056" s="133">
        <v>4959.46</v>
      </c>
      <c r="AA1056" s="133">
        <v>1220.3399999999999</v>
      </c>
      <c r="AB1056" s="133"/>
      <c r="AC1056" s="133">
        <v>756.53</v>
      </c>
      <c r="AD1056" s="133"/>
      <c r="AE1056" s="133">
        <v>4203.08</v>
      </c>
      <c r="AF1056" s="133"/>
      <c r="AG1056" s="133"/>
      <c r="AH1056" s="133"/>
      <c r="AI1056" s="133"/>
      <c r="AJ1056" s="133"/>
      <c r="AK1056" s="133"/>
      <c r="AL1056" s="133"/>
      <c r="AM1056" s="133"/>
      <c r="AN1056" s="133"/>
      <c r="AO1056" s="133"/>
      <c r="AP1056" s="133"/>
      <c r="AQ1056" s="133"/>
      <c r="AR1056" s="133"/>
      <c r="AS1056" s="153">
        <v>0</v>
      </c>
      <c r="AT1056" s="153">
        <v>0</v>
      </c>
      <c r="AU1056" s="153">
        <v>0</v>
      </c>
      <c r="AV1056" s="153">
        <v>0</v>
      </c>
      <c r="AW1056" s="153">
        <v>0</v>
      </c>
      <c r="AX1056" s="153">
        <v>0</v>
      </c>
      <c r="AY1056" s="135">
        <v>16949</v>
      </c>
      <c r="AZ1056" s="135">
        <v>756.79</v>
      </c>
      <c r="BA1056" s="135"/>
      <c r="BB1056" s="135"/>
      <c r="BC1056" s="135">
        <v>6779.66</v>
      </c>
      <c r="BD1056" s="135">
        <v>1010.54</v>
      </c>
      <c r="BE1056" s="135">
        <f t="shared" si="108"/>
        <v>2616.4415762711865</v>
      </c>
      <c r="BF1056" s="135"/>
      <c r="BG1056" s="135"/>
      <c r="BH1056" s="135"/>
      <c r="BI1056" s="2" t="s">
        <v>11</v>
      </c>
      <c r="BJ1056" s="136">
        <v>45770</v>
      </c>
      <c r="BK1056" s="2" t="s">
        <v>109</v>
      </c>
      <c r="BL1056" s="136" t="s">
        <v>18</v>
      </c>
      <c r="BM1056" s="136">
        <v>45303</v>
      </c>
      <c r="BN1056" s="2" t="s">
        <v>3359</v>
      </c>
      <c r="BO1056" s="2"/>
      <c r="BP1056" s="136"/>
      <c r="BQ1056" s="137" t="s">
        <v>119</v>
      </c>
    </row>
    <row r="1057" spans="1:69" ht="12.75" customHeight="1" x14ac:dyDescent="0.2">
      <c r="A1057" s="2">
        <v>2546</v>
      </c>
      <c r="B1057" s="2" t="s">
        <v>54</v>
      </c>
      <c r="C1057" s="2" t="s">
        <v>96</v>
      </c>
      <c r="D1057" s="2" t="s">
        <v>3530</v>
      </c>
      <c r="E1057" s="2" t="s">
        <v>71</v>
      </c>
      <c r="F1057" s="132">
        <v>0</v>
      </c>
      <c r="G1057" s="132"/>
      <c r="H1057" s="324">
        <f>23000+R1057</f>
        <v>37755.33</v>
      </c>
      <c r="I1057" s="132"/>
      <c r="J1057" s="132">
        <f>3508.474+S1057+AY1057+BC1057</f>
        <v>37755.324000000001</v>
      </c>
      <c r="K1057" s="132">
        <f t="shared" si="100"/>
        <v>-37755.324000000001</v>
      </c>
      <c r="L1057" s="132">
        <f t="shared" si="103"/>
        <v>6.0000000012223609E-3</v>
      </c>
      <c r="M1057" s="133">
        <v>792</v>
      </c>
      <c r="N1057" s="133">
        <f t="shared" si="99"/>
        <v>6.0000000012223609E-3</v>
      </c>
      <c r="O1057" s="134" t="s">
        <v>1993</v>
      </c>
      <c r="P1057" s="133">
        <v>0</v>
      </c>
      <c r="Q1057" s="2" t="s">
        <v>2766</v>
      </c>
      <c r="R1057" s="156">
        <f t="shared" si="104"/>
        <v>14755.33</v>
      </c>
      <c r="S1057" s="156">
        <f t="shared" si="105"/>
        <v>2890.44</v>
      </c>
      <c r="T1057" s="133"/>
      <c r="U1057" s="133"/>
      <c r="V1057" s="133">
        <v>14000</v>
      </c>
      <c r="W1057" s="133"/>
      <c r="X1057" s="133">
        <v>755.33</v>
      </c>
      <c r="Y1057" s="133">
        <v>2135.59</v>
      </c>
      <c r="Z1057" s="133"/>
      <c r="AA1057" s="133"/>
      <c r="AB1057" s="133"/>
      <c r="AC1057" s="133"/>
      <c r="AD1057" s="133"/>
      <c r="AE1057" s="133">
        <v>754.85</v>
      </c>
      <c r="AF1057" s="133"/>
      <c r="AG1057" s="133"/>
      <c r="AH1057" s="133"/>
      <c r="AI1057" s="133"/>
      <c r="AJ1057" s="133"/>
      <c r="AK1057" s="133"/>
      <c r="AL1057" s="133"/>
      <c r="AM1057" s="133"/>
      <c r="AN1057" s="133"/>
      <c r="AO1057" s="133"/>
      <c r="AP1057" s="133"/>
      <c r="AQ1057" s="133"/>
      <c r="AR1057" s="133"/>
      <c r="AS1057" s="153">
        <v>0</v>
      </c>
      <c r="AT1057" s="153">
        <v>0</v>
      </c>
      <c r="AU1057" s="153">
        <v>0</v>
      </c>
      <c r="AV1057" s="153">
        <v>0</v>
      </c>
      <c r="AW1057" s="153">
        <v>0</v>
      </c>
      <c r="AX1057" s="153">
        <v>0</v>
      </c>
      <c r="AY1057" s="135">
        <v>19492</v>
      </c>
      <c r="AZ1057" s="135">
        <v>870.31</v>
      </c>
      <c r="BA1057" s="135"/>
      <c r="BB1057" s="135"/>
      <c r="BC1057" s="135">
        <v>11864.41</v>
      </c>
      <c r="BD1057" s="135">
        <v>140.41999999999999</v>
      </c>
      <c r="BE1057" s="135">
        <f t="shared" si="108"/>
        <v>3098.5312372881363</v>
      </c>
      <c r="BF1057" s="135"/>
      <c r="BG1057" s="135"/>
      <c r="BH1057" s="135"/>
      <c r="BI1057" s="2" t="s">
        <v>11</v>
      </c>
      <c r="BJ1057" s="136">
        <v>45734</v>
      </c>
      <c r="BK1057" s="2" t="s">
        <v>109</v>
      </c>
      <c r="BL1057" s="136" t="s">
        <v>18</v>
      </c>
      <c r="BM1057" s="136">
        <v>45303</v>
      </c>
      <c r="BN1057" s="2" t="s">
        <v>3358</v>
      </c>
      <c r="BO1057" s="2"/>
      <c r="BP1057" s="136"/>
      <c r="BQ1057" s="137" t="s">
        <v>119</v>
      </c>
    </row>
    <row r="1058" spans="1:69" ht="12.75" customHeight="1" x14ac:dyDescent="0.2">
      <c r="A1058" s="2">
        <v>2547</v>
      </c>
      <c r="B1058" s="2" t="s">
        <v>54</v>
      </c>
      <c r="C1058" s="2" t="s">
        <v>50</v>
      </c>
      <c r="D1058" s="2" t="s">
        <v>3633</v>
      </c>
      <c r="E1058" s="2" t="s">
        <v>141</v>
      </c>
      <c r="F1058" s="132">
        <v>0</v>
      </c>
      <c r="G1058" s="132"/>
      <c r="H1058" s="132">
        <f>500+R1058</f>
        <v>42256</v>
      </c>
      <c r="I1058" s="132"/>
      <c r="J1058" s="132">
        <f>76.27+S1058+AY1058+BC1058</f>
        <v>42256.004406779663</v>
      </c>
      <c r="K1058" s="132">
        <f t="shared" si="100"/>
        <v>-42256.004406779663</v>
      </c>
      <c r="L1058" s="132">
        <f t="shared" si="103"/>
        <v>-4.4067796625313349E-3</v>
      </c>
      <c r="M1058" s="133">
        <v>1004</v>
      </c>
      <c r="N1058" s="133">
        <f t="shared" si="99"/>
        <v>-4.4067796625313349E-3</v>
      </c>
      <c r="O1058" s="134" t="s">
        <v>1993</v>
      </c>
      <c r="P1058" s="133"/>
      <c r="Q1058" s="2" t="s">
        <v>338</v>
      </c>
      <c r="R1058" s="156">
        <f t="shared" si="104"/>
        <v>41756</v>
      </c>
      <c r="S1058" s="156">
        <f t="shared" si="105"/>
        <v>8281.4244067796626</v>
      </c>
      <c r="T1058" s="133">
        <v>40000</v>
      </c>
      <c r="U1058" s="133"/>
      <c r="V1058" s="133"/>
      <c r="W1058" s="133">
        <f>6101.69</f>
        <v>6101.69</v>
      </c>
      <c r="X1058" s="133"/>
      <c r="Y1058" s="133"/>
      <c r="Z1058" s="133"/>
      <c r="AA1058" s="133"/>
      <c r="AB1058" s="133"/>
      <c r="AC1058" s="133"/>
      <c r="AD1058" s="133"/>
      <c r="AE1058" s="133"/>
      <c r="AF1058" s="133">
        <v>1756</v>
      </c>
      <c r="AG1058" s="133"/>
      <c r="AH1058" s="133"/>
      <c r="AI1058" s="133">
        <v>267.86440677966084</v>
      </c>
      <c r="AJ1058" s="133"/>
      <c r="AK1058" s="133">
        <v>1911.8700000000026</v>
      </c>
      <c r="AL1058" s="133"/>
      <c r="AM1058" s="133"/>
      <c r="AN1058" s="133"/>
      <c r="AO1058" s="133"/>
      <c r="AP1058" s="133"/>
      <c r="AQ1058" s="133"/>
      <c r="AR1058" s="133"/>
      <c r="AS1058" s="153">
        <v>0</v>
      </c>
      <c r="AT1058" s="153">
        <v>0</v>
      </c>
      <c r="AU1058" s="153">
        <v>0</v>
      </c>
      <c r="AV1058" s="153">
        <v>0</v>
      </c>
      <c r="AW1058" s="153">
        <v>0</v>
      </c>
      <c r="AX1058" s="153">
        <v>0</v>
      </c>
      <c r="AY1058" s="135">
        <v>0</v>
      </c>
      <c r="AZ1058" s="135"/>
      <c r="BA1058" s="135"/>
      <c r="BB1058" s="135"/>
      <c r="BC1058" s="135">
        <f>33898.31</f>
        <v>33898.31</v>
      </c>
      <c r="BD1058" s="135">
        <v>738.33</v>
      </c>
      <c r="BE1058" s="135"/>
      <c r="BF1058" s="135"/>
      <c r="BG1058" s="135"/>
      <c r="BH1058" s="135"/>
      <c r="BI1058" s="2" t="s">
        <v>11</v>
      </c>
      <c r="BJ1058" s="136">
        <v>45866</v>
      </c>
      <c r="BK1058" s="2" t="s">
        <v>109</v>
      </c>
      <c r="BL1058" s="136" t="s">
        <v>113</v>
      </c>
      <c r="BM1058" s="136">
        <v>45308</v>
      </c>
      <c r="BN1058" s="2" t="s">
        <v>2198</v>
      </c>
      <c r="BO1058" s="2"/>
      <c r="BP1058" s="136"/>
      <c r="BQ1058" s="137" t="s">
        <v>134</v>
      </c>
    </row>
    <row r="1059" spans="1:69" ht="12.75" customHeight="1" x14ac:dyDescent="0.2">
      <c r="A1059" s="2">
        <v>2548</v>
      </c>
      <c r="B1059" s="2" t="s">
        <v>54</v>
      </c>
      <c r="C1059" s="2" t="s">
        <v>50</v>
      </c>
      <c r="D1059" s="2" t="s">
        <v>3634</v>
      </c>
      <c r="E1059" s="2" t="s">
        <v>141</v>
      </c>
      <c r="F1059" s="132">
        <v>0</v>
      </c>
      <c r="G1059" s="132"/>
      <c r="H1059" s="132">
        <f>500+R1059</f>
        <v>43520</v>
      </c>
      <c r="I1059" s="132"/>
      <c r="J1059" s="132">
        <f t="shared" ref="J1059:J1071" si="109">S1059+AY1059+BC1059</f>
        <v>43520</v>
      </c>
      <c r="K1059" s="132">
        <f t="shared" si="100"/>
        <v>-43520</v>
      </c>
      <c r="L1059" s="132">
        <f t="shared" si="103"/>
        <v>0</v>
      </c>
      <c r="M1059" s="133">
        <v>1053</v>
      </c>
      <c r="N1059" s="133">
        <f t="shared" si="99"/>
        <v>0</v>
      </c>
      <c r="O1059" s="134" t="s">
        <v>1993</v>
      </c>
      <c r="P1059" s="133"/>
      <c r="Q1059" s="2" t="s">
        <v>338</v>
      </c>
      <c r="R1059" s="156">
        <f t="shared" si="104"/>
        <v>43020</v>
      </c>
      <c r="S1059" s="156">
        <f t="shared" si="105"/>
        <v>7926.779999999997</v>
      </c>
      <c r="T1059" s="133">
        <v>42000</v>
      </c>
      <c r="U1059" s="133">
        <v>76.27</v>
      </c>
      <c r="V1059" s="133"/>
      <c r="W1059" s="133">
        <f>6406.78</f>
        <v>6406.78</v>
      </c>
      <c r="X1059" s="133"/>
      <c r="Y1059" s="133"/>
      <c r="Z1059" s="133"/>
      <c r="AA1059" s="133"/>
      <c r="AB1059" s="133"/>
      <c r="AC1059" s="133"/>
      <c r="AD1059" s="133"/>
      <c r="AE1059" s="133"/>
      <c r="AF1059" s="133">
        <v>1020</v>
      </c>
      <c r="AG1059" s="133"/>
      <c r="AH1059" s="133"/>
      <c r="AI1059" s="133">
        <v>155.59322033898297</v>
      </c>
      <c r="AJ1059" s="133"/>
      <c r="AK1059" s="133">
        <v>1288.1367796610139</v>
      </c>
      <c r="AL1059" s="133"/>
      <c r="AM1059" s="133"/>
      <c r="AN1059" s="133"/>
      <c r="AO1059" s="133"/>
      <c r="AP1059" s="133"/>
      <c r="AQ1059" s="133"/>
      <c r="AR1059" s="133"/>
      <c r="AS1059" s="153">
        <v>0</v>
      </c>
      <c r="AT1059" s="153">
        <v>0</v>
      </c>
      <c r="AU1059" s="153">
        <v>0</v>
      </c>
      <c r="AV1059" s="153">
        <v>0</v>
      </c>
      <c r="AW1059" s="153">
        <v>0</v>
      </c>
      <c r="AX1059" s="153">
        <v>0</v>
      </c>
      <c r="AY1059" s="135">
        <v>0</v>
      </c>
      <c r="AZ1059" s="135"/>
      <c r="BA1059" s="135"/>
      <c r="BB1059" s="135"/>
      <c r="BC1059" s="135">
        <f>35593.22</f>
        <v>35593.22</v>
      </c>
      <c r="BD1059" s="135">
        <v>775.25</v>
      </c>
      <c r="BE1059" s="135"/>
      <c r="BF1059" s="135"/>
      <c r="BG1059" s="135"/>
      <c r="BH1059" s="135"/>
      <c r="BI1059" s="2" t="s">
        <v>11</v>
      </c>
      <c r="BJ1059" s="136">
        <v>45866</v>
      </c>
      <c r="BK1059" s="2" t="s">
        <v>109</v>
      </c>
      <c r="BL1059" s="136" t="s">
        <v>113</v>
      </c>
      <c r="BM1059" s="136">
        <v>45308</v>
      </c>
      <c r="BN1059" s="2" t="s">
        <v>2198</v>
      </c>
      <c r="BO1059" s="2"/>
      <c r="BP1059" s="136"/>
      <c r="BQ1059" s="137" t="s">
        <v>134</v>
      </c>
    </row>
    <row r="1060" spans="1:69" ht="12.75" customHeight="1" x14ac:dyDescent="0.2">
      <c r="A1060" s="2">
        <v>2549</v>
      </c>
      <c r="B1060" s="2" t="s">
        <v>54</v>
      </c>
      <c r="C1060" s="2" t="s">
        <v>96</v>
      </c>
      <c r="D1060" s="2" t="s">
        <v>3427</v>
      </c>
      <c r="E1060" s="2" t="s">
        <v>71</v>
      </c>
      <c r="F1060" s="132">
        <v>0</v>
      </c>
      <c r="G1060" s="132"/>
      <c r="H1060" s="132">
        <f>15000+R1060</f>
        <v>18000</v>
      </c>
      <c r="I1060" s="132"/>
      <c r="J1060" s="132">
        <f t="shared" si="109"/>
        <v>15457.630000000001</v>
      </c>
      <c r="K1060" s="132">
        <f t="shared" si="100"/>
        <v>-15457.630000000001</v>
      </c>
      <c r="L1060" s="132">
        <f t="shared" si="103"/>
        <v>2542.369999999999</v>
      </c>
      <c r="M1060" s="133"/>
      <c r="N1060" s="133">
        <f t="shared" si="99"/>
        <v>-15457.630000000001</v>
      </c>
      <c r="O1060" s="134" t="s">
        <v>1993</v>
      </c>
      <c r="P1060" s="133"/>
      <c r="Q1060" s="2" t="s">
        <v>3282</v>
      </c>
      <c r="R1060" s="156">
        <f t="shared" si="104"/>
        <v>3000</v>
      </c>
      <c r="S1060" s="156">
        <f t="shared" si="105"/>
        <v>2745.77</v>
      </c>
      <c r="T1060" s="133"/>
      <c r="U1060" s="133">
        <f>2288.14</f>
        <v>2288.14</v>
      </c>
      <c r="V1060" s="133"/>
      <c r="W1060" s="133"/>
      <c r="X1060" s="133">
        <v>3000</v>
      </c>
      <c r="Y1060" s="133"/>
      <c r="Z1060" s="133"/>
      <c r="AA1060" s="133">
        <v>457.63</v>
      </c>
      <c r="AB1060" s="133"/>
      <c r="AC1060" s="133"/>
      <c r="AD1060" s="133"/>
      <c r="AE1060" s="133"/>
      <c r="AF1060" s="133"/>
      <c r="AG1060" s="133"/>
      <c r="AH1060" s="133"/>
      <c r="AI1060" s="133"/>
      <c r="AJ1060" s="133"/>
      <c r="AK1060" s="133"/>
      <c r="AL1060" s="133"/>
      <c r="AM1060" s="133"/>
      <c r="AN1060" s="133"/>
      <c r="AO1060" s="133"/>
      <c r="AP1060" s="133"/>
      <c r="AQ1060" s="133"/>
      <c r="AR1060" s="133"/>
      <c r="AS1060" s="153">
        <v>0</v>
      </c>
      <c r="AT1060" s="153">
        <v>0</v>
      </c>
      <c r="AU1060" s="153">
        <v>0</v>
      </c>
      <c r="AV1060" s="153">
        <v>0</v>
      </c>
      <c r="AW1060" s="153">
        <v>0</v>
      </c>
      <c r="AX1060" s="153">
        <v>0</v>
      </c>
      <c r="AY1060" s="135">
        <v>12711.86</v>
      </c>
      <c r="AZ1060" s="135"/>
      <c r="BA1060" s="135"/>
      <c r="BB1060" s="135"/>
      <c r="BC1060" s="135"/>
      <c r="BD1060" s="135"/>
      <c r="BE1060" s="135"/>
      <c r="BF1060" s="135"/>
      <c r="BG1060" s="135"/>
      <c r="BH1060" s="135"/>
      <c r="BI1060" s="2" t="s">
        <v>11</v>
      </c>
      <c r="BJ1060" s="136"/>
      <c r="BK1060" s="2">
        <v>50</v>
      </c>
      <c r="BL1060" s="136" t="s">
        <v>18</v>
      </c>
      <c r="BM1060" s="136">
        <v>45303</v>
      </c>
      <c r="BN1060" s="2" t="s">
        <v>3359</v>
      </c>
      <c r="BO1060" s="2"/>
      <c r="BP1060" s="136"/>
      <c r="BQ1060" s="137"/>
    </row>
    <row r="1061" spans="1:69" ht="12.75" customHeight="1" x14ac:dyDescent="0.2">
      <c r="A1061" s="2">
        <v>2550</v>
      </c>
      <c r="B1061" s="2" t="s">
        <v>54</v>
      </c>
      <c r="C1061" s="2" t="s">
        <v>96</v>
      </c>
      <c r="D1061" s="2" t="s">
        <v>3429</v>
      </c>
      <c r="E1061" s="2" t="s">
        <v>71</v>
      </c>
      <c r="F1061" s="132">
        <v>0</v>
      </c>
      <c r="G1061" s="132"/>
      <c r="H1061" s="132">
        <f>15000+R1061</f>
        <v>38000</v>
      </c>
      <c r="I1061" s="132"/>
      <c r="J1061" s="132">
        <f t="shared" si="109"/>
        <v>18508.48</v>
      </c>
      <c r="K1061" s="132">
        <f t="shared" si="100"/>
        <v>-18508.48</v>
      </c>
      <c r="L1061" s="132">
        <f t="shared" si="103"/>
        <v>19491.52</v>
      </c>
      <c r="M1061" s="133"/>
      <c r="N1061" s="133">
        <f t="shared" si="99"/>
        <v>-18508.48</v>
      </c>
      <c r="O1061" s="134" t="s">
        <v>1993</v>
      </c>
      <c r="P1061" s="133"/>
      <c r="Q1061" s="2" t="s">
        <v>3282</v>
      </c>
      <c r="R1061" s="156">
        <f t="shared" si="104"/>
        <v>23000</v>
      </c>
      <c r="S1061" s="156">
        <f t="shared" si="105"/>
        <v>5796.62</v>
      </c>
      <c r="T1061" s="133"/>
      <c r="U1061" s="133">
        <f>2288.14</f>
        <v>2288.14</v>
      </c>
      <c r="V1061" s="133">
        <v>20000</v>
      </c>
      <c r="W1061" s="133"/>
      <c r="X1061" s="133">
        <v>3000</v>
      </c>
      <c r="Y1061" s="133">
        <v>3050.85</v>
      </c>
      <c r="Z1061" s="133"/>
      <c r="AA1061" s="133">
        <v>457.63</v>
      </c>
      <c r="AB1061" s="133"/>
      <c r="AC1061" s="133"/>
      <c r="AD1061" s="133"/>
      <c r="AE1061" s="133"/>
      <c r="AF1061" s="133"/>
      <c r="AG1061" s="133"/>
      <c r="AH1061" s="133"/>
      <c r="AI1061" s="133"/>
      <c r="AJ1061" s="133"/>
      <c r="AK1061" s="133"/>
      <c r="AL1061" s="133"/>
      <c r="AM1061" s="133"/>
      <c r="AN1061" s="133"/>
      <c r="AO1061" s="133"/>
      <c r="AP1061" s="133"/>
      <c r="AQ1061" s="133"/>
      <c r="AR1061" s="133"/>
      <c r="AS1061" s="153">
        <v>0</v>
      </c>
      <c r="AT1061" s="153">
        <v>0</v>
      </c>
      <c r="AU1061" s="153">
        <v>0</v>
      </c>
      <c r="AV1061" s="153">
        <v>0</v>
      </c>
      <c r="AW1061" s="153">
        <v>0</v>
      </c>
      <c r="AX1061" s="153">
        <v>0</v>
      </c>
      <c r="AY1061" s="135">
        <v>12711.86</v>
      </c>
      <c r="AZ1061" s="135"/>
      <c r="BA1061" s="135"/>
      <c r="BB1061" s="135"/>
      <c r="BC1061" s="135"/>
      <c r="BD1061" s="135"/>
      <c r="BE1061" s="135"/>
      <c r="BF1061" s="135"/>
      <c r="BG1061" s="135"/>
      <c r="BH1061" s="135"/>
      <c r="BI1061" s="2" t="s">
        <v>11</v>
      </c>
      <c r="BJ1061" s="136"/>
      <c r="BK1061" s="2">
        <v>60</v>
      </c>
      <c r="BL1061" s="136" t="s">
        <v>18</v>
      </c>
      <c r="BM1061" s="136">
        <v>45303</v>
      </c>
      <c r="BN1061" s="2" t="s">
        <v>3359</v>
      </c>
      <c r="BO1061" s="2"/>
      <c r="BP1061" s="136"/>
      <c r="BQ1061" s="137"/>
    </row>
    <row r="1062" spans="1:69" ht="12.75" customHeight="1" x14ac:dyDescent="0.2">
      <c r="A1062" s="2">
        <v>2551</v>
      </c>
      <c r="B1062" s="2" t="s">
        <v>54</v>
      </c>
      <c r="C1062" s="2" t="s">
        <v>96</v>
      </c>
      <c r="D1062" s="2" t="s">
        <v>3704</v>
      </c>
      <c r="E1062" s="2" t="s">
        <v>71</v>
      </c>
      <c r="F1062" s="132">
        <v>0</v>
      </c>
      <c r="G1062" s="132"/>
      <c r="H1062" s="324">
        <f>17000+R1062</f>
        <v>98765.53</v>
      </c>
      <c r="I1062" s="132"/>
      <c r="J1062" s="132">
        <f t="shared" si="109"/>
        <v>98765.53</v>
      </c>
      <c r="K1062" s="132">
        <f t="shared" si="100"/>
        <v>-98765.53</v>
      </c>
      <c r="L1062" s="132">
        <f t="shared" si="103"/>
        <v>0</v>
      </c>
      <c r="M1062" s="133">
        <v>1355</v>
      </c>
      <c r="N1062" s="133">
        <f t="shared" si="99"/>
        <v>0</v>
      </c>
      <c r="O1062" s="134" t="s">
        <v>1993</v>
      </c>
      <c r="P1062" s="133">
        <v>0</v>
      </c>
      <c r="Q1062" s="2" t="s">
        <v>2766</v>
      </c>
      <c r="R1062" s="156">
        <f t="shared" si="104"/>
        <v>81765.53</v>
      </c>
      <c r="S1062" s="156">
        <f t="shared" si="105"/>
        <v>41985.87</v>
      </c>
      <c r="T1062" s="133">
        <v>50000</v>
      </c>
      <c r="U1062" s="133">
        <f>2593.22</f>
        <v>2593.2199999999998</v>
      </c>
      <c r="V1062" s="133">
        <v>31000</v>
      </c>
      <c r="W1062" s="133">
        <f>7627.12</f>
        <v>7627.12</v>
      </c>
      <c r="X1062" s="133">
        <v>765.53</v>
      </c>
      <c r="Y1062" s="133">
        <v>4728.8100000000004</v>
      </c>
      <c r="Z1062" s="133"/>
      <c r="AA1062" s="133"/>
      <c r="AB1062" s="133"/>
      <c r="AC1062" s="133"/>
      <c r="AD1062" s="133"/>
      <c r="AE1062" s="133">
        <v>27036.720000000001</v>
      </c>
      <c r="AF1062" s="133"/>
      <c r="AG1062" s="133"/>
      <c r="AH1062" s="133"/>
      <c r="AI1062" s="133"/>
      <c r="AJ1062" s="133"/>
      <c r="AK1062" s="133"/>
      <c r="AL1062" s="133"/>
      <c r="AM1062" s="133"/>
      <c r="AN1062" s="133"/>
      <c r="AO1062" s="133"/>
      <c r="AP1062" s="133"/>
      <c r="AQ1062" s="133"/>
      <c r="AR1062" s="133"/>
      <c r="AS1062" s="153">
        <v>0</v>
      </c>
      <c r="AT1062" s="153">
        <v>0</v>
      </c>
      <c r="AU1062" s="153">
        <v>0</v>
      </c>
      <c r="AV1062" s="153">
        <v>0</v>
      </c>
      <c r="AW1062" s="153">
        <v>0</v>
      </c>
      <c r="AX1062" s="153">
        <v>0</v>
      </c>
      <c r="AY1062" s="135">
        <v>14406.78</v>
      </c>
      <c r="AZ1062" s="135">
        <v>502.07</v>
      </c>
      <c r="BA1062" s="135"/>
      <c r="BB1062" s="135"/>
      <c r="BC1062" s="135">
        <f>42372.88</f>
        <v>42372.88</v>
      </c>
      <c r="BD1062" s="135">
        <v>953.68</v>
      </c>
      <c r="BE1062" s="135">
        <f t="shared" ref="BE1062:BE1065" si="110">(H1062/1.18-AT1062-AW1062-AZ1062-BD1062)*0.1-AU1062-AX1062-BA1062-BB1062</f>
        <v>8224.3851694915265</v>
      </c>
      <c r="BF1062" s="135"/>
      <c r="BG1062" s="135"/>
      <c r="BH1062" s="135"/>
      <c r="BI1062" s="2" t="s">
        <v>11</v>
      </c>
      <c r="BJ1062" s="136">
        <v>45734</v>
      </c>
      <c r="BK1062" s="2" t="s">
        <v>109</v>
      </c>
      <c r="BL1062" s="136" t="s">
        <v>18</v>
      </c>
      <c r="BM1062" s="136">
        <v>45303</v>
      </c>
      <c r="BN1062" s="2" t="s">
        <v>3358</v>
      </c>
      <c r="BO1062" s="2"/>
      <c r="BP1062" s="136"/>
      <c r="BQ1062" s="137" t="s">
        <v>119</v>
      </c>
    </row>
    <row r="1063" spans="1:69" ht="12.75" customHeight="1" x14ac:dyDescent="0.2">
      <c r="A1063" s="2">
        <v>2552</v>
      </c>
      <c r="B1063" s="2" t="s">
        <v>54</v>
      </c>
      <c r="C1063" s="2" t="s">
        <v>96</v>
      </c>
      <c r="D1063" s="2" t="s">
        <v>3442</v>
      </c>
      <c r="E1063" s="2" t="s">
        <v>71</v>
      </c>
      <c r="F1063" s="132">
        <v>0</v>
      </c>
      <c r="G1063" s="132"/>
      <c r="H1063" s="324">
        <f>5000+R1063</f>
        <v>33969.4</v>
      </c>
      <c r="I1063" s="132"/>
      <c r="J1063" s="132">
        <f t="shared" si="109"/>
        <v>33969.4</v>
      </c>
      <c r="K1063" s="132">
        <f t="shared" si="100"/>
        <v>-33969.4</v>
      </c>
      <c r="L1063" s="132">
        <f t="shared" si="103"/>
        <v>0</v>
      </c>
      <c r="M1063" s="133">
        <v>464</v>
      </c>
      <c r="N1063" s="133">
        <f t="shared" si="99"/>
        <v>0</v>
      </c>
      <c r="O1063" s="134" t="s">
        <v>1993</v>
      </c>
      <c r="P1063" s="133">
        <v>0</v>
      </c>
      <c r="Q1063" s="2" t="s">
        <v>3282</v>
      </c>
      <c r="R1063" s="156">
        <f t="shared" si="104"/>
        <v>28969.4</v>
      </c>
      <c r="S1063" s="156">
        <f t="shared" si="105"/>
        <v>29732.11</v>
      </c>
      <c r="T1063" s="133"/>
      <c r="U1063" s="133">
        <f>762.71</f>
        <v>762.71</v>
      </c>
      <c r="V1063" s="133">
        <v>25000</v>
      </c>
      <c r="W1063" s="133"/>
      <c r="X1063" s="133">
        <v>3969.4</v>
      </c>
      <c r="Y1063" s="133">
        <v>3813.56</v>
      </c>
      <c r="Z1063" s="133"/>
      <c r="AA1063" s="133">
        <v>605.5</v>
      </c>
      <c r="AB1063" s="133"/>
      <c r="AC1063" s="133"/>
      <c r="AD1063" s="133"/>
      <c r="AE1063" s="133">
        <v>24550.34</v>
      </c>
      <c r="AF1063" s="133"/>
      <c r="AG1063" s="133"/>
      <c r="AH1063" s="133"/>
      <c r="AI1063" s="133"/>
      <c r="AJ1063" s="133"/>
      <c r="AK1063" s="133"/>
      <c r="AL1063" s="133"/>
      <c r="AM1063" s="133"/>
      <c r="AN1063" s="133"/>
      <c r="AO1063" s="133"/>
      <c r="AP1063" s="133"/>
      <c r="AQ1063" s="133"/>
      <c r="AR1063" s="133"/>
      <c r="AS1063" s="153">
        <v>0</v>
      </c>
      <c r="AT1063" s="153">
        <v>0</v>
      </c>
      <c r="AU1063" s="153">
        <v>0</v>
      </c>
      <c r="AV1063" s="153">
        <v>0</v>
      </c>
      <c r="AW1063" s="153">
        <v>0</v>
      </c>
      <c r="AX1063" s="153">
        <v>0</v>
      </c>
      <c r="AY1063" s="135">
        <v>4237.29</v>
      </c>
      <c r="AZ1063" s="135">
        <v>147.66999999999999</v>
      </c>
      <c r="BA1063" s="135"/>
      <c r="BB1063" s="135"/>
      <c r="BC1063" s="135">
        <v>0</v>
      </c>
      <c r="BD1063" s="135">
        <v>0</v>
      </c>
      <c r="BE1063" s="135">
        <f t="shared" si="110"/>
        <v>2863.9957118644074</v>
      </c>
      <c r="BF1063" s="135"/>
      <c r="BG1063" s="135"/>
      <c r="BH1063" s="135"/>
      <c r="BI1063" s="2" t="s">
        <v>11</v>
      </c>
      <c r="BJ1063" s="136">
        <v>45734</v>
      </c>
      <c r="BK1063" s="2" t="s">
        <v>109</v>
      </c>
      <c r="BL1063" s="136" t="s">
        <v>18</v>
      </c>
      <c r="BM1063" s="136">
        <v>45303</v>
      </c>
      <c r="BN1063" s="2" t="s">
        <v>3359</v>
      </c>
      <c r="BO1063" s="2"/>
      <c r="BP1063" s="136"/>
      <c r="BQ1063" s="137" t="s">
        <v>119</v>
      </c>
    </row>
    <row r="1064" spans="1:69" ht="12.75" customHeight="1" x14ac:dyDescent="0.2">
      <c r="A1064" s="2">
        <v>2553</v>
      </c>
      <c r="B1064" s="2" t="s">
        <v>54</v>
      </c>
      <c r="C1064" s="2" t="s">
        <v>96</v>
      </c>
      <c r="D1064" s="2" t="s">
        <v>3443</v>
      </c>
      <c r="E1064" s="2" t="s">
        <v>71</v>
      </c>
      <c r="F1064" s="132">
        <v>0</v>
      </c>
      <c r="G1064" s="132"/>
      <c r="H1064" s="324">
        <f>5000+R1064</f>
        <v>34706.589999999997</v>
      </c>
      <c r="I1064" s="132"/>
      <c r="J1064" s="132">
        <f t="shared" si="109"/>
        <v>34706.590000000004</v>
      </c>
      <c r="K1064" s="132">
        <f t="shared" si="100"/>
        <v>-34706.590000000004</v>
      </c>
      <c r="L1064" s="132">
        <f t="shared" si="103"/>
        <v>0</v>
      </c>
      <c r="M1064" s="133">
        <v>490</v>
      </c>
      <c r="N1064" s="133">
        <f t="shared" si="99"/>
        <v>-7.2759576141834259E-12</v>
      </c>
      <c r="O1064" s="134" t="s">
        <v>1993</v>
      </c>
      <c r="P1064" s="133">
        <v>0</v>
      </c>
      <c r="Q1064" s="2" t="s">
        <v>3282</v>
      </c>
      <c r="R1064" s="156">
        <f t="shared" si="104"/>
        <v>29706.59</v>
      </c>
      <c r="S1064" s="156">
        <f t="shared" si="105"/>
        <v>30469.300000000003</v>
      </c>
      <c r="T1064" s="133"/>
      <c r="U1064" s="133">
        <f>762.71</f>
        <v>762.71</v>
      </c>
      <c r="V1064" s="133">
        <v>25000</v>
      </c>
      <c r="W1064" s="133"/>
      <c r="X1064" s="133">
        <v>4706.59</v>
      </c>
      <c r="Y1064" s="133">
        <v>3813.56</v>
      </c>
      <c r="Z1064" s="133"/>
      <c r="AA1064" s="133">
        <v>717.95</v>
      </c>
      <c r="AB1064" s="133"/>
      <c r="AC1064" s="133"/>
      <c r="AD1064" s="133"/>
      <c r="AE1064" s="133">
        <v>25175.08</v>
      </c>
      <c r="AF1064" s="133"/>
      <c r="AG1064" s="133"/>
      <c r="AH1064" s="133"/>
      <c r="AI1064" s="133"/>
      <c r="AJ1064" s="133"/>
      <c r="AK1064" s="133"/>
      <c r="AL1064" s="133"/>
      <c r="AM1064" s="133"/>
      <c r="AN1064" s="133"/>
      <c r="AO1064" s="133"/>
      <c r="AP1064" s="133"/>
      <c r="AQ1064" s="133"/>
      <c r="AR1064" s="133"/>
      <c r="AS1064" s="153">
        <v>0</v>
      </c>
      <c r="AT1064" s="153">
        <v>0</v>
      </c>
      <c r="AU1064" s="153">
        <v>0</v>
      </c>
      <c r="AV1064" s="153">
        <v>0</v>
      </c>
      <c r="AW1064" s="153">
        <v>0</v>
      </c>
      <c r="AX1064" s="153">
        <v>0</v>
      </c>
      <c r="AY1064" s="135">
        <v>4237.29</v>
      </c>
      <c r="AZ1064" s="135">
        <v>147.66999999999999</v>
      </c>
      <c r="BA1064" s="135"/>
      <c r="BB1064" s="135"/>
      <c r="BC1064" s="135">
        <v>0</v>
      </c>
      <c r="BD1064" s="135">
        <v>0</v>
      </c>
      <c r="BE1064" s="135">
        <f t="shared" si="110"/>
        <v>2926.4694406779663</v>
      </c>
      <c r="BF1064" s="135"/>
      <c r="BG1064" s="135"/>
      <c r="BH1064" s="135"/>
      <c r="BI1064" s="2" t="s">
        <v>11</v>
      </c>
      <c r="BJ1064" s="136">
        <v>45734</v>
      </c>
      <c r="BK1064" s="2" t="s">
        <v>109</v>
      </c>
      <c r="BL1064" s="136" t="s">
        <v>18</v>
      </c>
      <c r="BM1064" s="136">
        <v>45303</v>
      </c>
      <c r="BN1064" s="2" t="s">
        <v>3359</v>
      </c>
      <c r="BO1064" s="2"/>
      <c r="BP1064" s="136"/>
      <c r="BQ1064" s="137" t="s">
        <v>119</v>
      </c>
    </row>
    <row r="1065" spans="1:69" ht="12.75" customHeight="1" x14ac:dyDescent="0.2">
      <c r="A1065" s="2">
        <v>2554</v>
      </c>
      <c r="B1065" s="2" t="s">
        <v>54</v>
      </c>
      <c r="C1065" s="2" t="s">
        <v>96</v>
      </c>
      <c r="D1065" s="2" t="s">
        <v>3445</v>
      </c>
      <c r="E1065" s="2" t="s">
        <v>71</v>
      </c>
      <c r="F1065" s="132">
        <v>0</v>
      </c>
      <c r="G1065" s="132"/>
      <c r="H1065" s="324">
        <f>5000+R1065</f>
        <v>33020.660000000003</v>
      </c>
      <c r="I1065" s="132"/>
      <c r="J1065" s="132">
        <f t="shared" si="109"/>
        <v>33020.660000000003</v>
      </c>
      <c r="K1065" s="132">
        <f t="shared" si="100"/>
        <v>-33020.660000000003</v>
      </c>
      <c r="L1065" s="132">
        <f t="shared" si="103"/>
        <v>0</v>
      </c>
      <c r="M1065" s="133">
        <v>378</v>
      </c>
      <c r="N1065" s="133">
        <f t="shared" si="99"/>
        <v>0</v>
      </c>
      <c r="O1065" s="134" t="s">
        <v>1993</v>
      </c>
      <c r="P1065" s="133">
        <v>0</v>
      </c>
      <c r="Q1065" s="2" t="s">
        <v>3282</v>
      </c>
      <c r="R1065" s="156">
        <f t="shared" si="104"/>
        <v>28020.66</v>
      </c>
      <c r="S1065" s="156">
        <f t="shared" si="105"/>
        <v>11834.22</v>
      </c>
      <c r="T1065" s="133">
        <v>20000</v>
      </c>
      <c r="U1065" s="133">
        <f>762.71</f>
        <v>762.71</v>
      </c>
      <c r="V1065" s="133">
        <v>8000</v>
      </c>
      <c r="W1065" s="133">
        <f>3050.85</f>
        <v>3050.85</v>
      </c>
      <c r="X1065" s="133">
        <v>20.66</v>
      </c>
      <c r="Y1065" s="133">
        <v>1220.3399999999999</v>
      </c>
      <c r="Z1065" s="133"/>
      <c r="AA1065" s="133"/>
      <c r="AB1065" s="133"/>
      <c r="AC1065" s="133"/>
      <c r="AD1065" s="133"/>
      <c r="AE1065" s="133">
        <v>6800.32</v>
      </c>
      <c r="AF1065" s="133"/>
      <c r="AG1065" s="133"/>
      <c r="AH1065" s="133"/>
      <c r="AI1065" s="133"/>
      <c r="AJ1065" s="133"/>
      <c r="AK1065" s="133"/>
      <c r="AL1065" s="133"/>
      <c r="AM1065" s="133"/>
      <c r="AN1065" s="133"/>
      <c r="AO1065" s="133"/>
      <c r="AP1065" s="133"/>
      <c r="AQ1065" s="133"/>
      <c r="AR1065" s="133"/>
      <c r="AS1065" s="153">
        <v>0</v>
      </c>
      <c r="AT1065" s="153">
        <v>0</v>
      </c>
      <c r="AU1065" s="153">
        <v>0</v>
      </c>
      <c r="AV1065" s="153">
        <v>0</v>
      </c>
      <c r="AW1065" s="153">
        <v>0</v>
      </c>
      <c r="AX1065" s="153">
        <v>0</v>
      </c>
      <c r="AY1065" s="135">
        <v>4237.29</v>
      </c>
      <c r="AZ1065" s="135">
        <v>147.66999999999999</v>
      </c>
      <c r="BA1065" s="135"/>
      <c r="BB1065" s="135"/>
      <c r="BC1065" s="135">
        <f>16949.15</f>
        <v>16949.150000000001</v>
      </c>
      <c r="BD1065" s="135">
        <v>381.47</v>
      </c>
      <c r="BE1065" s="135">
        <f t="shared" si="110"/>
        <v>2745.4470169491533</v>
      </c>
      <c r="BF1065" s="135"/>
      <c r="BG1065" s="135"/>
      <c r="BH1065" s="135"/>
      <c r="BI1065" s="2" t="s">
        <v>11</v>
      </c>
      <c r="BJ1065" s="136">
        <v>45734</v>
      </c>
      <c r="BK1065" s="2" t="s">
        <v>109</v>
      </c>
      <c r="BL1065" s="136" t="s">
        <v>18</v>
      </c>
      <c r="BM1065" s="136">
        <v>45303</v>
      </c>
      <c r="BN1065" s="2" t="s">
        <v>3359</v>
      </c>
      <c r="BO1065" s="2"/>
      <c r="BP1065" s="136"/>
      <c r="BQ1065" s="137" t="s">
        <v>119</v>
      </c>
    </row>
    <row r="1066" spans="1:69" ht="12.75" customHeight="1" x14ac:dyDescent="0.2">
      <c r="A1066" s="2">
        <v>2555</v>
      </c>
      <c r="B1066" s="2" t="s">
        <v>54</v>
      </c>
      <c r="C1066" s="2" t="s">
        <v>50</v>
      </c>
      <c r="D1066" s="2" t="s">
        <v>3731</v>
      </c>
      <c r="E1066" s="2" t="s">
        <v>141</v>
      </c>
      <c r="F1066" s="132">
        <v>0</v>
      </c>
      <c r="G1066" s="132"/>
      <c r="H1066" s="132">
        <f>600+R1066</f>
        <v>44767</v>
      </c>
      <c r="I1066" s="132"/>
      <c r="J1066" s="132">
        <f t="shared" si="109"/>
        <v>44767</v>
      </c>
      <c r="K1066" s="132">
        <f t="shared" si="100"/>
        <v>-44767</v>
      </c>
      <c r="L1066" s="132">
        <f t="shared" si="103"/>
        <v>0</v>
      </c>
      <c r="M1066" s="133">
        <v>1047</v>
      </c>
      <c r="N1066" s="133">
        <f t="shared" ref="N1066:N1129" si="111">IF(OR(BK1066="принят",BK1066="Завершено",BK1066="ПриПро"),H1066-J1066,F1066-J1066)</f>
        <v>0</v>
      </c>
      <c r="O1066" s="134" t="s">
        <v>1993</v>
      </c>
      <c r="P1066" s="133"/>
      <c r="Q1066" s="2" t="s">
        <v>338</v>
      </c>
      <c r="R1066" s="156">
        <f t="shared" si="104"/>
        <v>44167</v>
      </c>
      <c r="S1066" s="156">
        <f t="shared" si="105"/>
        <v>10021.24</v>
      </c>
      <c r="T1066" s="133">
        <v>41000</v>
      </c>
      <c r="U1066" s="133">
        <v>91.53</v>
      </c>
      <c r="V1066" s="133"/>
      <c r="W1066" s="133">
        <f>6254.24</f>
        <v>6254.24</v>
      </c>
      <c r="X1066" s="133"/>
      <c r="Y1066" s="133"/>
      <c r="Z1066" s="133"/>
      <c r="AA1066" s="133"/>
      <c r="AB1066" s="133"/>
      <c r="AC1066" s="133"/>
      <c r="AD1066" s="133"/>
      <c r="AE1066" s="133"/>
      <c r="AF1066" s="133">
        <v>3167</v>
      </c>
      <c r="AG1066" s="133"/>
      <c r="AH1066" s="133"/>
      <c r="AI1066" s="133">
        <v>483.10169491525403</v>
      </c>
      <c r="AJ1066" s="133"/>
      <c r="AK1066" s="133">
        <v>3192.3683050847467</v>
      </c>
      <c r="AL1066" s="133"/>
      <c r="AM1066" s="133"/>
      <c r="AN1066" s="133"/>
      <c r="AO1066" s="133"/>
      <c r="AP1066" s="133"/>
      <c r="AQ1066" s="133"/>
      <c r="AR1066" s="133"/>
      <c r="AS1066" s="154">
        <v>0</v>
      </c>
      <c r="AT1066" s="154">
        <v>0</v>
      </c>
      <c r="AU1066" s="154">
        <v>0</v>
      </c>
      <c r="AV1066" s="154">
        <v>0</v>
      </c>
      <c r="AW1066" s="154">
        <v>0</v>
      </c>
      <c r="AX1066" s="154">
        <v>0</v>
      </c>
      <c r="AY1066" s="140">
        <v>0</v>
      </c>
      <c r="AZ1066" s="140"/>
      <c r="BA1066" s="140"/>
      <c r="BB1066" s="140"/>
      <c r="BC1066" s="140">
        <f>34745.76</f>
        <v>34745.760000000002</v>
      </c>
      <c r="BD1066" s="140">
        <v>756.79</v>
      </c>
      <c r="BE1066" s="140"/>
      <c r="BF1066" s="140"/>
      <c r="BG1066" s="140"/>
      <c r="BH1066" s="140"/>
      <c r="BI1066" s="2" t="s">
        <v>11</v>
      </c>
      <c r="BJ1066" s="136">
        <v>45866</v>
      </c>
      <c r="BK1066" s="2" t="s">
        <v>109</v>
      </c>
      <c r="BL1066" s="136" t="s">
        <v>113</v>
      </c>
      <c r="BM1066" s="136">
        <v>45308</v>
      </c>
      <c r="BN1066" s="2" t="s">
        <v>2198</v>
      </c>
      <c r="BO1066" s="2"/>
      <c r="BP1066" s="136"/>
      <c r="BQ1066" s="137" t="s">
        <v>134</v>
      </c>
    </row>
    <row r="1067" spans="1:69" ht="12.75" customHeight="1" x14ac:dyDescent="0.2">
      <c r="A1067" s="2">
        <v>2556</v>
      </c>
      <c r="B1067" s="2" t="s">
        <v>100</v>
      </c>
      <c r="C1067" s="2" t="s">
        <v>95</v>
      </c>
      <c r="D1067" s="2" t="s">
        <v>3652</v>
      </c>
      <c r="E1067" s="2" t="s">
        <v>90</v>
      </c>
      <c r="F1067" s="132">
        <v>114561</v>
      </c>
      <c r="G1067" s="132" t="s">
        <v>3789</v>
      </c>
      <c r="H1067" s="132">
        <f>R1067</f>
        <v>105234.79</v>
      </c>
      <c r="I1067" s="132"/>
      <c r="J1067" s="132">
        <f t="shared" si="109"/>
        <v>105234.78</v>
      </c>
      <c r="K1067" s="132">
        <f t="shared" si="100"/>
        <v>9326.2200000000012</v>
      </c>
      <c r="L1067" s="132">
        <f t="shared" si="103"/>
        <v>9.9999999947613105E-3</v>
      </c>
      <c r="M1067" s="133">
        <v>3063.2</v>
      </c>
      <c r="N1067" s="133">
        <f t="shared" si="111"/>
        <v>9.9999999947613105E-3</v>
      </c>
      <c r="O1067" s="134" t="s">
        <v>1993</v>
      </c>
      <c r="P1067" s="133">
        <v>0</v>
      </c>
      <c r="Q1067" s="2" t="s">
        <v>317</v>
      </c>
      <c r="R1067" s="156">
        <f t="shared" si="104"/>
        <v>105234.79</v>
      </c>
      <c r="S1067" s="156">
        <f t="shared" si="105"/>
        <v>20489.02</v>
      </c>
      <c r="T1067" s="133">
        <v>100000</v>
      </c>
      <c r="U1067" s="133"/>
      <c r="V1067" s="133"/>
      <c r="W1067" s="133">
        <f>15254.24</f>
        <v>15254.24</v>
      </c>
      <c r="X1067" s="133">
        <v>5234.79</v>
      </c>
      <c r="Y1067" s="133"/>
      <c r="Z1067" s="133"/>
      <c r="AA1067" s="133">
        <v>798.53</v>
      </c>
      <c r="AB1067" s="133"/>
      <c r="AC1067" s="133"/>
      <c r="AD1067" s="133"/>
      <c r="AE1067" s="133">
        <v>4436.25</v>
      </c>
      <c r="AF1067" s="133"/>
      <c r="AG1067" s="133"/>
      <c r="AH1067" s="133"/>
      <c r="AI1067" s="133"/>
      <c r="AJ1067" s="133"/>
      <c r="AK1067" s="133"/>
      <c r="AL1067" s="133"/>
      <c r="AM1067" s="133"/>
      <c r="AN1067" s="133"/>
      <c r="AO1067" s="133"/>
      <c r="AP1067" s="133"/>
      <c r="AQ1067" s="133"/>
      <c r="AR1067" s="133"/>
      <c r="AS1067" s="153">
        <v>0</v>
      </c>
      <c r="AT1067" s="153">
        <v>0</v>
      </c>
      <c r="AU1067" s="153">
        <v>0</v>
      </c>
      <c r="AV1067" s="153">
        <v>0</v>
      </c>
      <c r="AW1067" s="153">
        <v>0</v>
      </c>
      <c r="AX1067" s="153">
        <v>0</v>
      </c>
      <c r="AY1067" s="135"/>
      <c r="AZ1067" s="135"/>
      <c r="BA1067" s="135"/>
      <c r="BB1067" s="135"/>
      <c r="BC1067" s="135">
        <v>84745.76</v>
      </c>
      <c r="BD1067" s="135">
        <v>1263.06</v>
      </c>
      <c r="BE1067" s="135">
        <f>(H1067/1.18-AT1067-AW1067-AZ1067-BD1067)*0.1-AU1067-AX1067-BA1067-BB1067</f>
        <v>8791.8965423728823</v>
      </c>
      <c r="BF1067" s="135"/>
      <c r="BG1067" s="135"/>
      <c r="BH1067" s="135"/>
      <c r="BI1067" s="2" t="s">
        <v>11</v>
      </c>
      <c r="BJ1067" s="136">
        <v>45747</v>
      </c>
      <c r="BK1067" s="2" t="s">
        <v>109</v>
      </c>
      <c r="BL1067" s="136" t="s">
        <v>18</v>
      </c>
      <c r="BM1067" s="136">
        <v>44676</v>
      </c>
      <c r="BN1067" s="2" t="s">
        <v>1534</v>
      </c>
      <c r="BO1067" s="2"/>
      <c r="BP1067" s="136"/>
      <c r="BQ1067" s="137" t="s">
        <v>119</v>
      </c>
    </row>
    <row r="1068" spans="1:69" ht="12.75" customHeight="1" x14ac:dyDescent="0.2">
      <c r="A1068" s="2">
        <v>2557</v>
      </c>
      <c r="B1068" s="2" t="s">
        <v>54</v>
      </c>
      <c r="C1068" s="2" t="s">
        <v>96</v>
      </c>
      <c r="D1068" s="2" t="s">
        <v>3698</v>
      </c>
      <c r="E1068" s="2" t="s">
        <v>71</v>
      </c>
      <c r="F1068" s="132">
        <v>0</v>
      </c>
      <c r="G1068" s="132"/>
      <c r="H1068" s="132">
        <f>R1068</f>
        <v>80000</v>
      </c>
      <c r="I1068" s="132"/>
      <c r="J1068" s="132">
        <f t="shared" si="109"/>
        <v>12203.39</v>
      </c>
      <c r="K1068" s="132">
        <f t="shared" si="100"/>
        <v>-12203.39</v>
      </c>
      <c r="L1068" s="132">
        <f t="shared" si="103"/>
        <v>67796.61</v>
      </c>
      <c r="M1068" s="133"/>
      <c r="N1068" s="133">
        <f t="shared" si="111"/>
        <v>-12203.39</v>
      </c>
      <c r="O1068" s="134" t="s">
        <v>1993</v>
      </c>
      <c r="P1068" s="133"/>
      <c r="Q1068" s="2" t="s">
        <v>2766</v>
      </c>
      <c r="R1068" s="156">
        <f t="shared" si="104"/>
        <v>80000</v>
      </c>
      <c r="S1068" s="156">
        <f t="shared" si="105"/>
        <v>12203.39</v>
      </c>
      <c r="T1068" s="133">
        <v>80000</v>
      </c>
      <c r="U1068" s="133"/>
      <c r="V1068" s="133"/>
      <c r="W1068" s="133">
        <f>12203.39</f>
        <v>12203.39</v>
      </c>
      <c r="X1068" s="133"/>
      <c r="Y1068" s="133"/>
      <c r="Z1068" s="133"/>
      <c r="AA1068" s="133"/>
      <c r="AB1068" s="133"/>
      <c r="AC1068" s="133"/>
      <c r="AD1068" s="133"/>
      <c r="AE1068" s="133"/>
      <c r="AF1068" s="133"/>
      <c r="AG1068" s="133"/>
      <c r="AH1068" s="133"/>
      <c r="AI1068" s="133"/>
      <c r="AJ1068" s="133"/>
      <c r="AK1068" s="133"/>
      <c r="AL1068" s="133"/>
      <c r="AM1068" s="133"/>
      <c r="AN1068" s="133"/>
      <c r="AO1068" s="133"/>
      <c r="AP1068" s="133"/>
      <c r="AQ1068" s="133"/>
      <c r="AR1068" s="133"/>
      <c r="AS1068" s="153">
        <v>0</v>
      </c>
      <c r="AT1068" s="153">
        <v>0</v>
      </c>
      <c r="AU1068" s="153">
        <v>0</v>
      </c>
      <c r="AV1068" s="153">
        <v>0</v>
      </c>
      <c r="AW1068" s="153">
        <v>0</v>
      </c>
      <c r="AX1068" s="153">
        <v>0</v>
      </c>
      <c r="AY1068" s="135"/>
      <c r="AZ1068" s="135"/>
      <c r="BA1068" s="135"/>
      <c r="BB1068" s="135"/>
      <c r="BC1068" s="135"/>
      <c r="BD1068" s="135"/>
      <c r="BE1068" s="135"/>
      <c r="BF1068" s="135"/>
      <c r="BG1068" s="135"/>
      <c r="BH1068" s="135"/>
      <c r="BI1068" s="2" t="s">
        <v>11</v>
      </c>
      <c r="BJ1068" s="136"/>
      <c r="BK1068" s="2">
        <v>75</v>
      </c>
      <c r="BL1068" s="136" t="s">
        <v>18</v>
      </c>
      <c r="BM1068" s="136">
        <v>45303</v>
      </c>
      <c r="BN1068" s="305" t="s">
        <v>3358</v>
      </c>
      <c r="BO1068" s="2"/>
      <c r="BP1068" s="136"/>
      <c r="BQ1068" s="137"/>
    </row>
    <row r="1069" spans="1:69" ht="12.75" customHeight="1" x14ac:dyDescent="0.2">
      <c r="A1069" s="2">
        <v>2558</v>
      </c>
      <c r="B1069" s="2" t="s">
        <v>54</v>
      </c>
      <c r="C1069" s="2" t="s">
        <v>96</v>
      </c>
      <c r="D1069" s="2" t="s">
        <v>3622</v>
      </c>
      <c r="E1069" s="2" t="s">
        <v>71</v>
      </c>
      <c r="F1069" s="132">
        <v>0</v>
      </c>
      <c r="G1069" s="132"/>
      <c r="H1069" s="132">
        <f>R1069</f>
        <v>30000</v>
      </c>
      <c r="I1069" s="132"/>
      <c r="J1069" s="132">
        <f t="shared" si="109"/>
        <v>30000</v>
      </c>
      <c r="K1069" s="132">
        <f t="shared" si="100"/>
        <v>-30000</v>
      </c>
      <c r="L1069" s="132">
        <f t="shared" si="103"/>
        <v>0</v>
      </c>
      <c r="M1069" s="133"/>
      <c r="N1069" s="133">
        <f t="shared" si="111"/>
        <v>-30000</v>
      </c>
      <c r="O1069" s="134" t="s">
        <v>1993</v>
      </c>
      <c r="P1069" s="133"/>
      <c r="Q1069" s="2" t="s">
        <v>2766</v>
      </c>
      <c r="R1069" s="156">
        <f t="shared" si="104"/>
        <v>30000</v>
      </c>
      <c r="S1069" s="156">
        <f t="shared" si="105"/>
        <v>4576.2700000000004</v>
      </c>
      <c r="T1069" s="133">
        <v>30000</v>
      </c>
      <c r="U1069" s="133"/>
      <c r="V1069" s="133"/>
      <c r="W1069" s="133">
        <f>4576.27</f>
        <v>4576.2700000000004</v>
      </c>
      <c r="X1069" s="133"/>
      <c r="Y1069" s="133"/>
      <c r="Z1069" s="133"/>
      <c r="AA1069" s="133"/>
      <c r="AB1069" s="133"/>
      <c r="AC1069" s="133"/>
      <c r="AD1069" s="133"/>
      <c r="AE1069" s="133"/>
      <c r="AF1069" s="133"/>
      <c r="AG1069" s="133"/>
      <c r="AH1069" s="133"/>
      <c r="AI1069" s="133"/>
      <c r="AJ1069" s="133"/>
      <c r="AK1069" s="133"/>
      <c r="AL1069" s="133"/>
      <c r="AM1069" s="133"/>
      <c r="AN1069" s="133"/>
      <c r="AO1069" s="133"/>
      <c r="AP1069" s="133"/>
      <c r="AQ1069" s="133"/>
      <c r="AR1069" s="133"/>
      <c r="AS1069" s="153">
        <v>0</v>
      </c>
      <c r="AT1069" s="153">
        <v>0</v>
      </c>
      <c r="AU1069" s="153">
        <v>0</v>
      </c>
      <c r="AV1069" s="153">
        <v>0</v>
      </c>
      <c r="AW1069" s="153">
        <v>0</v>
      </c>
      <c r="AX1069" s="153">
        <v>0</v>
      </c>
      <c r="AY1069" s="135"/>
      <c r="AZ1069" s="135"/>
      <c r="BA1069" s="135"/>
      <c r="BB1069" s="135"/>
      <c r="BC1069" s="135">
        <f>25423.73</f>
        <v>25423.73</v>
      </c>
      <c r="BD1069" s="135"/>
      <c r="BE1069" s="135"/>
      <c r="BF1069" s="135"/>
      <c r="BG1069" s="135"/>
      <c r="BH1069" s="135"/>
      <c r="BI1069" s="2" t="s">
        <v>11</v>
      </c>
      <c r="BJ1069" s="136"/>
      <c r="BK1069" s="2">
        <v>75</v>
      </c>
      <c r="BL1069" s="136" t="s">
        <v>18</v>
      </c>
      <c r="BM1069" s="136">
        <v>45303</v>
      </c>
      <c r="BN1069" s="2" t="s">
        <v>3358</v>
      </c>
      <c r="BO1069" s="2"/>
      <c r="BP1069" s="136"/>
      <c r="BQ1069" s="137"/>
    </row>
    <row r="1070" spans="1:69" ht="12.75" customHeight="1" x14ac:dyDescent="0.2">
      <c r="A1070" s="2">
        <v>2559</v>
      </c>
      <c r="B1070" s="2" t="s">
        <v>54</v>
      </c>
      <c r="C1070" s="2" t="s">
        <v>96</v>
      </c>
      <c r="D1070" s="2" t="s">
        <v>3625</v>
      </c>
      <c r="E1070" s="2" t="s">
        <v>71</v>
      </c>
      <c r="F1070" s="132">
        <v>0</v>
      </c>
      <c r="G1070" s="132"/>
      <c r="H1070" s="132">
        <f t="shared" ref="H1070:H1133" si="112">R1070</f>
        <v>30000</v>
      </c>
      <c r="I1070" s="132"/>
      <c r="J1070" s="132">
        <f t="shared" si="109"/>
        <v>30000</v>
      </c>
      <c r="K1070" s="132">
        <f t="shared" si="100"/>
        <v>-30000</v>
      </c>
      <c r="L1070" s="132">
        <f t="shared" si="103"/>
        <v>0</v>
      </c>
      <c r="M1070" s="133"/>
      <c r="N1070" s="133">
        <f t="shared" si="111"/>
        <v>-30000</v>
      </c>
      <c r="O1070" s="134" t="s">
        <v>1993</v>
      </c>
      <c r="P1070" s="133"/>
      <c r="Q1070" s="2" t="s">
        <v>2766</v>
      </c>
      <c r="R1070" s="156">
        <f t="shared" si="104"/>
        <v>30000</v>
      </c>
      <c r="S1070" s="156">
        <f t="shared" si="105"/>
        <v>4576.2700000000004</v>
      </c>
      <c r="T1070" s="133">
        <v>30000</v>
      </c>
      <c r="U1070" s="133"/>
      <c r="V1070" s="133"/>
      <c r="W1070" s="133">
        <f>4576.27</f>
        <v>4576.2700000000004</v>
      </c>
      <c r="X1070" s="133"/>
      <c r="Y1070" s="133"/>
      <c r="Z1070" s="133"/>
      <c r="AA1070" s="133"/>
      <c r="AB1070" s="133"/>
      <c r="AC1070" s="133"/>
      <c r="AD1070" s="133"/>
      <c r="AE1070" s="133"/>
      <c r="AF1070" s="133"/>
      <c r="AG1070" s="133"/>
      <c r="AH1070" s="133"/>
      <c r="AI1070" s="133"/>
      <c r="AJ1070" s="133"/>
      <c r="AK1070" s="133"/>
      <c r="AL1070" s="133"/>
      <c r="AM1070" s="133"/>
      <c r="AN1070" s="133"/>
      <c r="AO1070" s="133"/>
      <c r="AP1070" s="133"/>
      <c r="AQ1070" s="133"/>
      <c r="AR1070" s="133"/>
      <c r="AS1070" s="153">
        <v>0</v>
      </c>
      <c r="AT1070" s="153">
        <v>0</v>
      </c>
      <c r="AU1070" s="153">
        <v>0</v>
      </c>
      <c r="AV1070" s="153">
        <v>0</v>
      </c>
      <c r="AW1070" s="153">
        <v>0</v>
      </c>
      <c r="AX1070" s="153">
        <v>0</v>
      </c>
      <c r="AY1070" s="135">
        <v>0</v>
      </c>
      <c r="AZ1070" s="135"/>
      <c r="BA1070" s="135"/>
      <c r="BB1070" s="135"/>
      <c r="BC1070" s="135">
        <f>25423.73</f>
        <v>25423.73</v>
      </c>
      <c r="BD1070" s="135"/>
      <c r="BE1070" s="135"/>
      <c r="BF1070" s="135"/>
      <c r="BG1070" s="135"/>
      <c r="BH1070" s="135"/>
      <c r="BI1070" s="2" t="s">
        <v>11</v>
      </c>
      <c r="BJ1070" s="136"/>
      <c r="BK1070" s="2">
        <v>75</v>
      </c>
      <c r="BL1070" s="136" t="s">
        <v>18</v>
      </c>
      <c r="BM1070" s="136">
        <v>45303</v>
      </c>
      <c r="BN1070" s="2" t="s">
        <v>3358</v>
      </c>
      <c r="BO1070" s="2"/>
      <c r="BP1070" s="136"/>
      <c r="BQ1070" s="137"/>
    </row>
    <row r="1071" spans="1:69" ht="12.75" customHeight="1" x14ac:dyDescent="0.2">
      <c r="A1071" s="2">
        <v>2560</v>
      </c>
      <c r="B1071" s="2" t="s">
        <v>54</v>
      </c>
      <c r="C1071" s="2" t="s">
        <v>96</v>
      </c>
      <c r="D1071" s="2" t="s">
        <v>3593</v>
      </c>
      <c r="E1071" s="2" t="s">
        <v>71</v>
      </c>
      <c r="F1071" s="132">
        <v>0</v>
      </c>
      <c r="G1071" s="132"/>
      <c r="H1071" s="324">
        <f t="shared" si="112"/>
        <v>103090</v>
      </c>
      <c r="I1071" s="132"/>
      <c r="J1071" s="132">
        <f t="shared" si="109"/>
        <v>103090</v>
      </c>
      <c r="K1071" s="132">
        <f t="shared" si="100"/>
        <v>-103090</v>
      </c>
      <c r="L1071" s="132">
        <f t="shared" si="103"/>
        <v>0</v>
      </c>
      <c r="M1071" s="133">
        <v>1590</v>
      </c>
      <c r="N1071" s="133">
        <f t="shared" si="111"/>
        <v>0</v>
      </c>
      <c r="O1071" s="134" t="s">
        <v>1993</v>
      </c>
      <c r="P1071" s="133"/>
      <c r="Q1071" s="2" t="s">
        <v>2766</v>
      </c>
      <c r="R1071" s="156">
        <f t="shared" si="104"/>
        <v>103090</v>
      </c>
      <c r="S1071" s="156">
        <f t="shared" si="105"/>
        <v>26818.809999999998</v>
      </c>
      <c r="T1071" s="133">
        <v>80000</v>
      </c>
      <c r="U1071" s="133"/>
      <c r="V1071" s="133">
        <v>10000</v>
      </c>
      <c r="W1071" s="133">
        <f>12203.39</f>
        <v>12203.39</v>
      </c>
      <c r="X1071" s="133"/>
      <c r="Y1071" s="133">
        <v>1525.42</v>
      </c>
      <c r="Z1071" s="133">
        <v>13090</v>
      </c>
      <c r="AA1071" s="133"/>
      <c r="AB1071" s="133"/>
      <c r="AC1071" s="133">
        <v>1996.78</v>
      </c>
      <c r="AD1071" s="133"/>
      <c r="AE1071" s="133">
        <v>11093.22</v>
      </c>
      <c r="AF1071" s="133"/>
      <c r="AG1071" s="133"/>
      <c r="AH1071" s="133"/>
      <c r="AI1071" s="133"/>
      <c r="AJ1071" s="133"/>
      <c r="AK1071" s="133"/>
      <c r="AL1071" s="133"/>
      <c r="AM1071" s="133"/>
      <c r="AN1071" s="133"/>
      <c r="AO1071" s="133"/>
      <c r="AP1071" s="133"/>
      <c r="AQ1071" s="133"/>
      <c r="AR1071" s="133"/>
      <c r="AS1071" s="153">
        <v>0</v>
      </c>
      <c r="AT1071" s="153">
        <v>0</v>
      </c>
      <c r="AU1071" s="153">
        <v>0</v>
      </c>
      <c r="AV1071" s="153">
        <v>0</v>
      </c>
      <c r="AW1071" s="153">
        <v>0</v>
      </c>
      <c r="AX1071" s="153">
        <v>0</v>
      </c>
      <c r="AY1071" s="135"/>
      <c r="AZ1071" s="135"/>
      <c r="BA1071" s="135"/>
      <c r="BB1071" s="135"/>
      <c r="BC1071" s="135">
        <f>67796.61+8474.58</f>
        <v>76271.19</v>
      </c>
      <c r="BD1071" s="135">
        <f>1010.45+1263.18</f>
        <v>2273.63</v>
      </c>
      <c r="BE1071" s="135">
        <f t="shared" ref="BE1071" si="113">(H1071/1.18-AT1071-AW1071-AZ1071-BD1071)*0.1-AU1071-AX1071-BA1071-BB1071</f>
        <v>8509.077677966101</v>
      </c>
      <c r="BF1071" s="135"/>
      <c r="BG1071" s="135"/>
      <c r="BH1071" s="135"/>
      <c r="BI1071" s="2" t="s">
        <v>11</v>
      </c>
      <c r="BJ1071" s="136">
        <v>45770</v>
      </c>
      <c r="BK1071" s="2" t="s">
        <v>109</v>
      </c>
      <c r="BL1071" s="136" t="s">
        <v>18</v>
      </c>
      <c r="BM1071" s="136">
        <v>45303</v>
      </c>
      <c r="BN1071" s="2" t="s">
        <v>3358</v>
      </c>
      <c r="BO1071" s="2"/>
      <c r="BP1071" s="136"/>
      <c r="BQ1071" s="137" t="s">
        <v>119</v>
      </c>
    </row>
    <row r="1072" spans="1:69" ht="12.75" customHeight="1" x14ac:dyDescent="0.2">
      <c r="A1072" s="2">
        <v>2561</v>
      </c>
      <c r="B1072" s="2" t="s">
        <v>55</v>
      </c>
      <c r="C1072" s="2" t="s">
        <v>103</v>
      </c>
      <c r="D1072" s="2" t="s">
        <v>4106</v>
      </c>
      <c r="E1072" s="2" t="s">
        <v>117</v>
      </c>
      <c r="F1072" s="132">
        <v>0</v>
      </c>
      <c r="G1072" s="132"/>
      <c r="H1072" s="132">
        <f t="shared" si="112"/>
        <v>47593</v>
      </c>
      <c r="I1072" s="132"/>
      <c r="J1072" s="132">
        <f t="shared" ref="J1072:J1123" si="114">S1072</f>
        <v>7259.95</v>
      </c>
      <c r="K1072" s="132">
        <f t="shared" si="100"/>
        <v>-7259.95</v>
      </c>
      <c r="L1072" s="132">
        <f t="shared" si="103"/>
        <v>40333.050000000003</v>
      </c>
      <c r="M1072" s="133"/>
      <c r="N1072" s="133">
        <f t="shared" si="111"/>
        <v>40333.050000000003</v>
      </c>
      <c r="O1072" s="134">
        <v>2</v>
      </c>
      <c r="P1072" s="133"/>
      <c r="Q1072" s="2" t="s">
        <v>4105</v>
      </c>
      <c r="R1072" s="156">
        <f t="shared" si="104"/>
        <v>47593</v>
      </c>
      <c r="S1072" s="156">
        <f t="shared" si="105"/>
        <v>7259.95</v>
      </c>
      <c r="T1072" s="133"/>
      <c r="U1072" s="133"/>
      <c r="V1072" s="133"/>
      <c r="W1072" s="133"/>
      <c r="X1072" s="133"/>
      <c r="Y1072" s="133"/>
      <c r="Z1072" s="133"/>
      <c r="AA1072" s="133"/>
      <c r="AB1072" s="133"/>
      <c r="AC1072" s="133"/>
      <c r="AD1072" s="133"/>
      <c r="AE1072" s="133"/>
      <c r="AF1072" s="133"/>
      <c r="AG1072" s="133"/>
      <c r="AH1072" s="133"/>
      <c r="AI1072" s="133"/>
      <c r="AJ1072" s="133"/>
      <c r="AK1072" s="133"/>
      <c r="AL1072" s="133">
        <f>27196*1.75</f>
        <v>47593</v>
      </c>
      <c r="AM1072" s="133"/>
      <c r="AN1072" s="133"/>
      <c r="AO1072" s="133">
        <v>7259.95</v>
      </c>
      <c r="AP1072" s="133"/>
      <c r="AQ1072" s="133"/>
      <c r="AR1072" s="133"/>
      <c r="AS1072" s="153">
        <v>0</v>
      </c>
      <c r="AT1072" s="153">
        <v>0</v>
      </c>
      <c r="AU1072" s="153">
        <v>0</v>
      </c>
      <c r="AV1072" s="153">
        <v>0</v>
      </c>
      <c r="AW1072" s="153">
        <v>0</v>
      </c>
      <c r="AX1072" s="153">
        <v>0</v>
      </c>
      <c r="AY1072" s="135"/>
      <c r="AZ1072" s="135"/>
      <c r="BA1072" s="135"/>
      <c r="BB1072" s="135"/>
      <c r="BC1072" s="135"/>
      <c r="BD1072" s="135"/>
      <c r="BE1072" s="135"/>
      <c r="BF1072" s="135"/>
      <c r="BG1072" s="135"/>
      <c r="BH1072" s="135"/>
      <c r="BI1072" s="2" t="s">
        <v>112</v>
      </c>
      <c r="BJ1072" s="136">
        <v>45931</v>
      </c>
      <c r="BK1072" s="2" t="s">
        <v>145</v>
      </c>
      <c r="BL1072" s="136" t="s">
        <v>18</v>
      </c>
      <c r="BM1072" s="136">
        <v>45629</v>
      </c>
      <c r="BN1072" s="2" t="s">
        <v>3808</v>
      </c>
      <c r="BO1072" s="2"/>
      <c r="BP1072" s="136" t="s">
        <v>3807</v>
      </c>
      <c r="BQ1072" s="137"/>
    </row>
    <row r="1073" spans="1:69" ht="12.75" customHeight="1" x14ac:dyDescent="0.2">
      <c r="A1073" s="2">
        <v>2562</v>
      </c>
      <c r="B1073" s="2" t="s">
        <v>54</v>
      </c>
      <c r="C1073" s="2" t="s">
        <v>96</v>
      </c>
      <c r="D1073" s="2" t="s">
        <v>3797</v>
      </c>
      <c r="E1073" s="2" t="s">
        <v>71</v>
      </c>
      <c r="F1073" s="132">
        <v>0</v>
      </c>
      <c r="G1073" s="132"/>
      <c r="H1073" s="324">
        <f t="shared" si="112"/>
        <v>65538.720000000001</v>
      </c>
      <c r="I1073" s="132"/>
      <c r="J1073" s="132">
        <f>S1073+AY1073+BC1073</f>
        <v>65538.720000000001</v>
      </c>
      <c r="K1073" s="132">
        <f t="shared" si="100"/>
        <v>-65538.720000000001</v>
      </c>
      <c r="L1073" s="132">
        <f t="shared" si="103"/>
        <v>0</v>
      </c>
      <c r="M1073" s="133">
        <v>932</v>
      </c>
      <c r="N1073" s="133">
        <f t="shared" si="111"/>
        <v>0</v>
      </c>
      <c r="O1073" s="134" t="s">
        <v>1993</v>
      </c>
      <c r="P1073" s="133"/>
      <c r="Q1073" s="2" t="s">
        <v>2766</v>
      </c>
      <c r="R1073" s="156">
        <f t="shared" si="104"/>
        <v>65538.720000000001</v>
      </c>
      <c r="S1073" s="156">
        <f t="shared" si="105"/>
        <v>12148.89</v>
      </c>
      <c r="T1073" s="133">
        <v>50000</v>
      </c>
      <c r="U1073" s="133"/>
      <c r="V1073" s="133">
        <v>3000</v>
      </c>
      <c r="W1073" s="133">
        <f>7627.12</f>
        <v>7627.12</v>
      </c>
      <c r="X1073" s="133">
        <v>10000</v>
      </c>
      <c r="Y1073" s="133">
        <v>457.63</v>
      </c>
      <c r="Z1073" s="133">
        <v>2538.7199999999998</v>
      </c>
      <c r="AA1073" s="133">
        <v>1525.42</v>
      </c>
      <c r="AB1073" s="133"/>
      <c r="AC1073" s="133">
        <v>387.26</v>
      </c>
      <c r="AD1073" s="133"/>
      <c r="AE1073" s="133">
        <v>2151.46</v>
      </c>
      <c r="AF1073" s="133"/>
      <c r="AG1073" s="133"/>
      <c r="AH1073" s="133"/>
      <c r="AI1073" s="133"/>
      <c r="AJ1073" s="133"/>
      <c r="AK1073" s="133"/>
      <c r="AL1073" s="133"/>
      <c r="AM1073" s="133"/>
      <c r="AN1073" s="133"/>
      <c r="AO1073" s="133"/>
      <c r="AP1073" s="133"/>
      <c r="AQ1073" s="133"/>
      <c r="AR1073" s="133"/>
      <c r="AS1073" s="153">
        <v>0</v>
      </c>
      <c r="AT1073" s="153">
        <v>0</v>
      </c>
      <c r="AU1073" s="153">
        <v>0</v>
      </c>
      <c r="AV1073" s="153">
        <v>0</v>
      </c>
      <c r="AW1073" s="153">
        <v>0</v>
      </c>
      <c r="AX1073" s="153">
        <v>0</v>
      </c>
      <c r="AY1073" s="135">
        <v>0</v>
      </c>
      <c r="AZ1073" s="135"/>
      <c r="BA1073" s="135"/>
      <c r="BB1073" s="135"/>
      <c r="BC1073" s="135">
        <f>42372.88+2542.37+8474.58</f>
        <v>53389.83</v>
      </c>
      <c r="BD1073" s="135">
        <f>953.68+378.95+1263.18</f>
        <v>2595.81</v>
      </c>
      <c r="BE1073" s="135">
        <f t="shared" ref="BE1073:BE1074" si="115">(H1073/1.18-AT1073-AW1073-AZ1073-BD1073)*0.1-AU1073-AX1073-BA1073-BB1073</f>
        <v>5294.547813559323</v>
      </c>
      <c r="BF1073" s="135"/>
      <c r="BG1073" s="135"/>
      <c r="BH1073" s="135"/>
      <c r="BI1073" s="2" t="s">
        <v>11</v>
      </c>
      <c r="BJ1073" s="136">
        <v>45770</v>
      </c>
      <c r="BK1073" s="2" t="s">
        <v>109</v>
      </c>
      <c r="BL1073" s="136" t="s">
        <v>18</v>
      </c>
      <c r="BM1073" s="136">
        <v>45303</v>
      </c>
      <c r="BN1073" s="2" t="s">
        <v>3358</v>
      </c>
      <c r="BO1073" s="2"/>
      <c r="BP1073" s="136"/>
      <c r="BQ1073" s="137" t="s">
        <v>119</v>
      </c>
    </row>
    <row r="1074" spans="1:69" ht="12.75" customHeight="1" x14ac:dyDescent="0.2">
      <c r="A1074" s="2">
        <v>2563</v>
      </c>
      <c r="B1074" s="2" t="s">
        <v>54</v>
      </c>
      <c r="C1074" s="2" t="s">
        <v>96</v>
      </c>
      <c r="D1074" s="2" t="s">
        <v>3692</v>
      </c>
      <c r="E1074" s="2" t="s">
        <v>71</v>
      </c>
      <c r="F1074" s="132">
        <v>0</v>
      </c>
      <c r="G1074" s="132"/>
      <c r="H1074" s="132">
        <f t="shared" si="112"/>
        <v>33455.54</v>
      </c>
      <c r="I1074" s="132"/>
      <c r="J1074" s="132">
        <f>S1074+AY1074+BC1074</f>
        <v>33455.54</v>
      </c>
      <c r="K1074" s="132">
        <f t="shared" si="100"/>
        <v>-33455.54</v>
      </c>
      <c r="L1074" s="132">
        <f t="shared" si="103"/>
        <v>0</v>
      </c>
      <c r="M1074" s="133">
        <v>311</v>
      </c>
      <c r="N1074" s="133">
        <f t="shared" si="111"/>
        <v>0</v>
      </c>
      <c r="O1074" s="134" t="s">
        <v>1993</v>
      </c>
      <c r="P1074" s="133"/>
      <c r="Q1074" s="2" t="s">
        <v>3282</v>
      </c>
      <c r="R1074" s="156">
        <f t="shared" si="104"/>
        <v>33455.54</v>
      </c>
      <c r="S1074" s="156">
        <f t="shared" si="105"/>
        <v>8031.81</v>
      </c>
      <c r="T1074" s="133">
        <v>20000</v>
      </c>
      <c r="U1074" s="133"/>
      <c r="V1074" s="133"/>
      <c r="W1074" s="133">
        <f>3050.85</f>
        <v>3050.85</v>
      </c>
      <c r="X1074" s="133">
        <v>10000</v>
      </c>
      <c r="Y1074" s="133"/>
      <c r="Z1074" s="133">
        <v>3455.54</v>
      </c>
      <c r="AA1074" s="133">
        <v>1525.42</v>
      </c>
      <c r="AB1074" s="133"/>
      <c r="AC1074" s="133">
        <v>527.12</v>
      </c>
      <c r="AD1074" s="133"/>
      <c r="AE1074" s="133">
        <v>2928.42</v>
      </c>
      <c r="AF1074" s="133"/>
      <c r="AG1074" s="133"/>
      <c r="AH1074" s="133"/>
      <c r="AI1074" s="133"/>
      <c r="AJ1074" s="133"/>
      <c r="AK1074" s="133"/>
      <c r="AL1074" s="133"/>
      <c r="AM1074" s="133"/>
      <c r="AN1074" s="133"/>
      <c r="AO1074" s="133"/>
      <c r="AP1074" s="133"/>
      <c r="AQ1074" s="133"/>
      <c r="AR1074" s="133"/>
      <c r="AS1074" s="153">
        <v>0</v>
      </c>
      <c r="AT1074" s="153">
        <v>0</v>
      </c>
      <c r="AU1074" s="153">
        <v>0</v>
      </c>
      <c r="AV1074" s="153">
        <v>0</v>
      </c>
      <c r="AW1074" s="153">
        <v>0</v>
      </c>
      <c r="AX1074" s="153">
        <v>0</v>
      </c>
      <c r="AY1074" s="135"/>
      <c r="AZ1074" s="135"/>
      <c r="BA1074" s="135"/>
      <c r="BB1074" s="135"/>
      <c r="BC1074" s="135">
        <f>16949.15+8474.58</f>
        <v>25423.730000000003</v>
      </c>
      <c r="BD1074" s="135">
        <f>381.47+1263.18</f>
        <v>1644.65</v>
      </c>
      <c r="BE1074" s="135">
        <f t="shared" si="115"/>
        <v>2670.7502542372886</v>
      </c>
      <c r="BF1074" s="135"/>
      <c r="BG1074" s="135"/>
      <c r="BH1074" s="135"/>
      <c r="BI1074" s="2" t="s">
        <v>11</v>
      </c>
      <c r="BJ1074" s="136">
        <v>45770</v>
      </c>
      <c r="BK1074" s="2" t="s">
        <v>109</v>
      </c>
      <c r="BL1074" s="136" t="s">
        <v>18</v>
      </c>
      <c r="BM1074" s="136">
        <v>45303</v>
      </c>
      <c r="BN1074" s="2" t="s">
        <v>3359</v>
      </c>
      <c r="BO1074" s="2"/>
      <c r="BP1074" s="136"/>
      <c r="BQ1074" s="137" t="s">
        <v>119</v>
      </c>
    </row>
    <row r="1075" spans="1:69" ht="12.75" customHeight="1" x14ac:dyDescent="0.2">
      <c r="A1075" s="2">
        <v>2564</v>
      </c>
      <c r="B1075" s="2" t="s">
        <v>54</v>
      </c>
      <c r="C1075" s="2" t="s">
        <v>96</v>
      </c>
      <c r="D1075" s="2" t="s">
        <v>3441</v>
      </c>
      <c r="E1075" s="2" t="s">
        <v>71</v>
      </c>
      <c r="F1075" s="132">
        <v>0</v>
      </c>
      <c r="G1075" s="132"/>
      <c r="H1075" s="132">
        <f t="shared" si="112"/>
        <v>20000</v>
      </c>
      <c r="I1075" s="132"/>
      <c r="J1075" s="132">
        <f>S1075+AY1075+BC1075</f>
        <v>20000</v>
      </c>
      <c r="K1075" s="132">
        <f t="shared" si="100"/>
        <v>-20000</v>
      </c>
      <c r="L1075" s="132">
        <f t="shared" si="103"/>
        <v>0</v>
      </c>
      <c r="M1075" s="133"/>
      <c r="N1075" s="133">
        <f t="shared" si="111"/>
        <v>-20000</v>
      </c>
      <c r="O1075" s="134" t="s">
        <v>1993</v>
      </c>
      <c r="P1075" s="133"/>
      <c r="Q1075" s="2" t="s">
        <v>3282</v>
      </c>
      <c r="R1075" s="156">
        <f t="shared" si="104"/>
        <v>20000</v>
      </c>
      <c r="S1075" s="156">
        <f t="shared" si="105"/>
        <v>3050.85</v>
      </c>
      <c r="T1075" s="133">
        <v>20000</v>
      </c>
      <c r="U1075" s="133"/>
      <c r="V1075" s="133"/>
      <c r="W1075" s="133">
        <f>3050.85</f>
        <v>3050.85</v>
      </c>
      <c r="X1075" s="133"/>
      <c r="Y1075" s="133"/>
      <c r="Z1075" s="133"/>
      <c r="AA1075" s="133"/>
      <c r="AB1075" s="133"/>
      <c r="AC1075" s="133"/>
      <c r="AD1075" s="133"/>
      <c r="AE1075" s="133"/>
      <c r="AF1075" s="133"/>
      <c r="AG1075" s="133"/>
      <c r="AH1075" s="133"/>
      <c r="AI1075" s="133"/>
      <c r="AJ1075" s="133"/>
      <c r="AK1075" s="133"/>
      <c r="AL1075" s="133"/>
      <c r="AM1075" s="133"/>
      <c r="AN1075" s="133"/>
      <c r="AO1075" s="133"/>
      <c r="AP1075" s="133"/>
      <c r="AQ1075" s="133"/>
      <c r="AR1075" s="133"/>
      <c r="AS1075" s="153">
        <v>0</v>
      </c>
      <c r="AT1075" s="153">
        <v>0</v>
      </c>
      <c r="AU1075" s="153">
        <v>0</v>
      </c>
      <c r="AV1075" s="153">
        <v>0</v>
      </c>
      <c r="AW1075" s="153">
        <v>0</v>
      </c>
      <c r="AX1075" s="153">
        <v>0</v>
      </c>
      <c r="AY1075" s="135"/>
      <c r="AZ1075" s="135"/>
      <c r="BA1075" s="135"/>
      <c r="BB1075" s="135"/>
      <c r="BC1075" s="135">
        <f>16949.15</f>
        <v>16949.150000000001</v>
      </c>
      <c r="BD1075" s="135"/>
      <c r="BE1075" s="135"/>
      <c r="BF1075" s="135"/>
      <c r="BG1075" s="135"/>
      <c r="BH1075" s="135"/>
      <c r="BI1075" s="2" t="s">
        <v>11</v>
      </c>
      <c r="BJ1075" s="136"/>
      <c r="BK1075" s="2">
        <v>75</v>
      </c>
      <c r="BL1075" s="136" t="s">
        <v>18</v>
      </c>
      <c r="BM1075" s="136">
        <v>45303</v>
      </c>
      <c r="BN1075" s="2" t="s">
        <v>3359</v>
      </c>
      <c r="BO1075" s="2"/>
      <c r="BP1075" s="136"/>
      <c r="BQ1075" s="137"/>
    </row>
    <row r="1076" spans="1:69" ht="12.75" customHeight="1" x14ac:dyDescent="0.2">
      <c r="A1076" s="2">
        <v>2565</v>
      </c>
      <c r="B1076" s="2" t="s">
        <v>54</v>
      </c>
      <c r="C1076" s="2" t="s">
        <v>96</v>
      </c>
      <c r="D1076" s="2" t="s">
        <v>3439</v>
      </c>
      <c r="E1076" s="2" t="s">
        <v>71</v>
      </c>
      <c r="F1076" s="132">
        <v>0</v>
      </c>
      <c r="G1076" s="132"/>
      <c r="H1076" s="132">
        <f t="shared" si="112"/>
        <v>20000</v>
      </c>
      <c r="I1076" s="132"/>
      <c r="J1076" s="132">
        <f>S1076+AY1076+BC1076</f>
        <v>20000</v>
      </c>
      <c r="K1076" s="132">
        <f t="shared" si="100"/>
        <v>-20000</v>
      </c>
      <c r="L1076" s="132">
        <f t="shared" si="103"/>
        <v>0</v>
      </c>
      <c r="M1076" s="133"/>
      <c r="N1076" s="133">
        <f t="shared" si="111"/>
        <v>-20000</v>
      </c>
      <c r="O1076" s="134" t="s">
        <v>1993</v>
      </c>
      <c r="P1076" s="133"/>
      <c r="Q1076" s="2" t="s">
        <v>3282</v>
      </c>
      <c r="R1076" s="156">
        <f t="shared" si="104"/>
        <v>20000</v>
      </c>
      <c r="S1076" s="156">
        <f t="shared" si="105"/>
        <v>3050.85</v>
      </c>
      <c r="T1076" s="133">
        <v>20000</v>
      </c>
      <c r="U1076" s="133"/>
      <c r="V1076" s="133"/>
      <c r="W1076" s="133">
        <f>3050.85</f>
        <v>3050.85</v>
      </c>
      <c r="X1076" s="133"/>
      <c r="Y1076" s="133"/>
      <c r="Z1076" s="133"/>
      <c r="AA1076" s="133"/>
      <c r="AB1076" s="133"/>
      <c r="AC1076" s="133"/>
      <c r="AD1076" s="133"/>
      <c r="AE1076" s="133"/>
      <c r="AF1076" s="133"/>
      <c r="AG1076" s="133"/>
      <c r="AH1076" s="133"/>
      <c r="AI1076" s="133"/>
      <c r="AJ1076" s="133"/>
      <c r="AK1076" s="133"/>
      <c r="AL1076" s="133"/>
      <c r="AM1076" s="133"/>
      <c r="AN1076" s="133"/>
      <c r="AO1076" s="133"/>
      <c r="AP1076" s="133"/>
      <c r="AQ1076" s="133"/>
      <c r="AR1076" s="133"/>
      <c r="AS1076" s="153">
        <v>0</v>
      </c>
      <c r="AT1076" s="153">
        <v>0</v>
      </c>
      <c r="AU1076" s="153">
        <v>0</v>
      </c>
      <c r="AV1076" s="153">
        <v>0</v>
      </c>
      <c r="AW1076" s="153">
        <v>0</v>
      </c>
      <c r="AX1076" s="153">
        <v>0</v>
      </c>
      <c r="AY1076" s="135"/>
      <c r="AZ1076" s="135"/>
      <c r="BA1076" s="135"/>
      <c r="BB1076" s="135"/>
      <c r="BC1076" s="135">
        <f>16949.15</f>
        <v>16949.150000000001</v>
      </c>
      <c r="BD1076" s="135"/>
      <c r="BE1076" s="135"/>
      <c r="BF1076" s="135"/>
      <c r="BG1076" s="135"/>
      <c r="BH1076" s="135"/>
      <c r="BI1076" s="2" t="s">
        <v>11</v>
      </c>
      <c r="BJ1076" s="136"/>
      <c r="BK1076" s="2">
        <v>75</v>
      </c>
      <c r="BL1076" s="136" t="s">
        <v>18</v>
      </c>
      <c r="BM1076" s="136">
        <v>45303</v>
      </c>
      <c r="BN1076" s="2" t="s">
        <v>3359</v>
      </c>
      <c r="BO1076" s="2"/>
      <c r="BP1076" s="136"/>
      <c r="BQ1076" s="137"/>
    </row>
    <row r="1077" spans="1:69" ht="12.75" customHeight="1" x14ac:dyDescent="0.2">
      <c r="A1077" s="2">
        <v>2566</v>
      </c>
      <c r="B1077" s="2" t="s">
        <v>108</v>
      </c>
      <c r="C1077" s="131" t="s">
        <v>40</v>
      </c>
      <c r="D1077" s="2" t="s">
        <v>3888</v>
      </c>
      <c r="E1077" s="2" t="s">
        <v>3635</v>
      </c>
      <c r="F1077" s="132">
        <v>160000</v>
      </c>
      <c r="G1077" s="132"/>
      <c r="H1077" s="132">
        <f t="shared" si="112"/>
        <v>160000</v>
      </c>
      <c r="I1077" s="132"/>
      <c r="J1077" s="132">
        <f t="shared" si="114"/>
        <v>160000</v>
      </c>
      <c r="K1077" s="132">
        <f t="shared" si="100"/>
        <v>0</v>
      </c>
      <c r="L1077" s="132">
        <f t="shared" si="103"/>
        <v>0</v>
      </c>
      <c r="M1077" s="133"/>
      <c r="N1077" s="133">
        <f t="shared" si="111"/>
        <v>0</v>
      </c>
      <c r="O1077" s="134">
        <v>1</v>
      </c>
      <c r="P1077" s="133">
        <v>0</v>
      </c>
      <c r="Q1077" s="2" t="s">
        <v>3856</v>
      </c>
      <c r="R1077" s="156">
        <f t="shared" si="104"/>
        <v>160000</v>
      </c>
      <c r="S1077" s="156">
        <f t="shared" si="105"/>
        <v>160000</v>
      </c>
      <c r="T1077" s="133"/>
      <c r="U1077" s="133"/>
      <c r="V1077" s="133">
        <v>160000</v>
      </c>
      <c r="W1077" s="133"/>
      <c r="X1077" s="133"/>
      <c r="Y1077" s="133">
        <v>24406.78</v>
      </c>
      <c r="Z1077" s="133"/>
      <c r="AA1077" s="133"/>
      <c r="AB1077" s="133"/>
      <c r="AC1077" s="133"/>
      <c r="AD1077" s="133"/>
      <c r="AE1077" s="133"/>
      <c r="AF1077" s="133"/>
      <c r="AG1077" s="133"/>
      <c r="AH1077" s="133"/>
      <c r="AI1077" s="133"/>
      <c r="AJ1077" s="133"/>
      <c r="AK1077" s="133">
        <v>135593.22</v>
      </c>
      <c r="AL1077" s="133"/>
      <c r="AM1077" s="133"/>
      <c r="AN1077" s="133"/>
      <c r="AO1077" s="133"/>
      <c r="AP1077" s="133"/>
      <c r="AQ1077" s="133"/>
      <c r="AR1077" s="133"/>
      <c r="AS1077" s="153">
        <v>0</v>
      </c>
      <c r="AT1077" s="153">
        <v>0</v>
      </c>
      <c r="AU1077" s="153">
        <v>0</v>
      </c>
      <c r="AV1077" s="153">
        <v>0</v>
      </c>
      <c r="AW1077" s="153">
        <v>0</v>
      </c>
      <c r="AX1077" s="153">
        <v>0</v>
      </c>
      <c r="AY1077" s="135"/>
      <c r="AZ1077" s="135"/>
      <c r="BA1077" s="135"/>
      <c r="BB1077" s="135"/>
      <c r="BC1077" s="135"/>
      <c r="BD1077" s="135"/>
      <c r="BE1077" s="135">
        <f>(H1077/1.18-AT1077-AW1077-AZ1077-BD1077)*0.1-AU1077-AX1077-BA1077-BB1077</f>
        <v>13559.322033898306</v>
      </c>
      <c r="BF1077" s="135"/>
      <c r="BG1077" s="135"/>
      <c r="BH1077" s="135"/>
      <c r="BI1077" s="2" t="s">
        <v>3773</v>
      </c>
      <c r="BJ1077" s="136">
        <v>45716</v>
      </c>
      <c r="BK1077" s="2" t="s">
        <v>109</v>
      </c>
      <c r="BL1077" s="136" t="s">
        <v>113</v>
      </c>
      <c r="BM1077" s="136">
        <v>45597</v>
      </c>
      <c r="BN1077" s="2" t="s">
        <v>3855</v>
      </c>
      <c r="BO1077" s="2" t="s">
        <v>3856</v>
      </c>
      <c r="BP1077" s="136"/>
      <c r="BQ1077" s="137" t="s">
        <v>119</v>
      </c>
    </row>
    <row r="1078" spans="1:69" ht="12.75" customHeight="1" x14ac:dyDescent="0.2">
      <c r="A1078" s="2">
        <v>2567</v>
      </c>
      <c r="B1078" s="2" t="s">
        <v>54</v>
      </c>
      <c r="C1078" s="2" t="s">
        <v>96</v>
      </c>
      <c r="D1078" s="2" t="s">
        <v>3798</v>
      </c>
      <c r="E1078" s="2" t="s">
        <v>71</v>
      </c>
      <c r="F1078" s="132">
        <v>0</v>
      </c>
      <c r="G1078" s="132"/>
      <c r="H1078" s="132">
        <f t="shared" si="112"/>
        <v>60000</v>
      </c>
      <c r="I1078" s="132"/>
      <c r="J1078" s="132">
        <f>S1078+AY1078+BC1078</f>
        <v>9152.5400000000009</v>
      </c>
      <c r="K1078" s="132">
        <f t="shared" ref="K1078:K1141" si="116">F1078-J1078</f>
        <v>-9152.5400000000009</v>
      </c>
      <c r="L1078" s="132">
        <f t="shared" si="103"/>
        <v>50847.46</v>
      </c>
      <c r="M1078" s="133"/>
      <c r="N1078" s="133">
        <f t="shared" si="111"/>
        <v>-9152.5400000000009</v>
      </c>
      <c r="O1078" s="134" t="s">
        <v>1993</v>
      </c>
      <c r="P1078" s="133"/>
      <c r="Q1078" s="2" t="s">
        <v>3282</v>
      </c>
      <c r="R1078" s="156">
        <f t="shared" si="104"/>
        <v>60000</v>
      </c>
      <c r="S1078" s="156">
        <f t="shared" si="105"/>
        <v>9152.5400000000009</v>
      </c>
      <c r="T1078" s="133">
        <v>60000</v>
      </c>
      <c r="U1078" s="133"/>
      <c r="V1078" s="133"/>
      <c r="W1078" s="133">
        <f>9152.54</f>
        <v>9152.5400000000009</v>
      </c>
      <c r="X1078" s="133"/>
      <c r="Y1078" s="133"/>
      <c r="Z1078" s="133"/>
      <c r="AA1078" s="133"/>
      <c r="AB1078" s="133"/>
      <c r="AC1078" s="133"/>
      <c r="AD1078" s="133"/>
      <c r="AE1078" s="133"/>
      <c r="AF1078" s="133"/>
      <c r="AG1078" s="133"/>
      <c r="AH1078" s="133"/>
      <c r="AI1078" s="133"/>
      <c r="AJ1078" s="133"/>
      <c r="AK1078" s="133"/>
      <c r="AL1078" s="133"/>
      <c r="AM1078" s="133"/>
      <c r="AN1078" s="133"/>
      <c r="AO1078" s="133"/>
      <c r="AP1078" s="133"/>
      <c r="AQ1078" s="133"/>
      <c r="AR1078" s="133"/>
      <c r="AS1078" s="153">
        <v>0</v>
      </c>
      <c r="AT1078" s="153">
        <v>0</v>
      </c>
      <c r="AU1078" s="153">
        <v>0</v>
      </c>
      <c r="AV1078" s="153">
        <v>0</v>
      </c>
      <c r="AW1078" s="153">
        <v>0</v>
      </c>
      <c r="AX1078" s="153">
        <v>0</v>
      </c>
      <c r="AY1078" s="135"/>
      <c r="AZ1078" s="135"/>
      <c r="BA1078" s="135"/>
      <c r="BB1078" s="135"/>
      <c r="BC1078" s="135"/>
      <c r="BD1078" s="135"/>
      <c r="BE1078" s="135"/>
      <c r="BF1078" s="135"/>
      <c r="BG1078" s="135"/>
      <c r="BH1078" s="135"/>
      <c r="BI1078" s="2" t="s">
        <v>11</v>
      </c>
      <c r="BJ1078" s="136"/>
      <c r="BK1078" s="2">
        <v>75</v>
      </c>
      <c r="BL1078" s="136" t="s">
        <v>18</v>
      </c>
      <c r="BM1078" s="136">
        <v>45303</v>
      </c>
      <c r="BN1078" s="2" t="s">
        <v>3359</v>
      </c>
      <c r="BO1078" s="2"/>
      <c r="BP1078" s="136"/>
      <c r="BQ1078" s="137"/>
    </row>
    <row r="1079" spans="1:69" ht="12.75" customHeight="1" x14ac:dyDescent="0.2">
      <c r="A1079" s="2">
        <v>2568</v>
      </c>
      <c r="B1079" s="2" t="s">
        <v>54</v>
      </c>
      <c r="C1079" s="2" t="s">
        <v>96</v>
      </c>
      <c r="D1079" s="2" t="s">
        <v>3508</v>
      </c>
      <c r="E1079" s="2" t="s">
        <v>71</v>
      </c>
      <c r="F1079" s="132">
        <v>0</v>
      </c>
      <c r="G1079" s="132"/>
      <c r="H1079" s="132">
        <f t="shared" si="112"/>
        <v>70000</v>
      </c>
      <c r="I1079" s="132"/>
      <c r="J1079" s="132">
        <f>S1079+AY1079+BC1079</f>
        <v>70000</v>
      </c>
      <c r="K1079" s="132">
        <f t="shared" si="116"/>
        <v>-70000</v>
      </c>
      <c r="L1079" s="132">
        <f t="shared" si="103"/>
        <v>0</v>
      </c>
      <c r="M1079" s="133"/>
      <c r="N1079" s="133">
        <f t="shared" si="111"/>
        <v>-70000</v>
      </c>
      <c r="O1079" s="134" t="s">
        <v>1993</v>
      </c>
      <c r="P1079" s="133"/>
      <c r="Q1079" s="2" t="s">
        <v>3282</v>
      </c>
      <c r="R1079" s="156">
        <f t="shared" si="104"/>
        <v>70000</v>
      </c>
      <c r="S1079" s="156">
        <f t="shared" si="105"/>
        <v>10677.97</v>
      </c>
      <c r="T1079" s="133">
        <v>70000</v>
      </c>
      <c r="U1079" s="133"/>
      <c r="V1079" s="133"/>
      <c r="W1079" s="133">
        <f>10677.97</f>
        <v>10677.97</v>
      </c>
      <c r="X1079" s="133"/>
      <c r="Y1079" s="133"/>
      <c r="Z1079" s="133"/>
      <c r="AA1079" s="133"/>
      <c r="AB1079" s="133"/>
      <c r="AC1079" s="133"/>
      <c r="AD1079" s="133"/>
      <c r="AE1079" s="133"/>
      <c r="AF1079" s="133"/>
      <c r="AG1079" s="133"/>
      <c r="AH1079" s="133"/>
      <c r="AI1079" s="133"/>
      <c r="AJ1079" s="133"/>
      <c r="AK1079" s="133"/>
      <c r="AL1079" s="133"/>
      <c r="AM1079" s="133"/>
      <c r="AN1079" s="133"/>
      <c r="AO1079" s="133"/>
      <c r="AP1079" s="133"/>
      <c r="AQ1079" s="133"/>
      <c r="AR1079" s="133"/>
      <c r="AS1079" s="153">
        <v>0</v>
      </c>
      <c r="AT1079" s="153">
        <v>0</v>
      </c>
      <c r="AU1079" s="153">
        <v>0</v>
      </c>
      <c r="AV1079" s="153">
        <v>0</v>
      </c>
      <c r="AW1079" s="153">
        <v>0</v>
      </c>
      <c r="AX1079" s="153">
        <v>0</v>
      </c>
      <c r="AY1079" s="135">
        <v>0</v>
      </c>
      <c r="AZ1079" s="135"/>
      <c r="BA1079" s="135"/>
      <c r="BB1079" s="135"/>
      <c r="BC1079" s="135">
        <f>59322.03</f>
        <v>59322.03</v>
      </c>
      <c r="BD1079" s="135"/>
      <c r="BE1079" s="135"/>
      <c r="BF1079" s="135"/>
      <c r="BG1079" s="135"/>
      <c r="BH1079" s="135"/>
      <c r="BI1079" s="2" t="s">
        <v>11</v>
      </c>
      <c r="BJ1079" s="136"/>
      <c r="BK1079" s="2">
        <v>75</v>
      </c>
      <c r="BL1079" s="136" t="s">
        <v>18</v>
      </c>
      <c r="BM1079" s="136">
        <v>45303</v>
      </c>
      <c r="BN1079" s="2" t="s">
        <v>3359</v>
      </c>
      <c r="BO1079" s="2"/>
      <c r="BP1079" s="136"/>
      <c r="BQ1079" s="137"/>
    </row>
    <row r="1080" spans="1:69" ht="12.75" customHeight="1" x14ac:dyDescent="0.2">
      <c r="A1080" s="2">
        <v>2569</v>
      </c>
      <c r="B1080" s="2" t="s">
        <v>54</v>
      </c>
      <c r="C1080" s="2" t="s">
        <v>96</v>
      </c>
      <c r="D1080" s="2" t="s">
        <v>3444</v>
      </c>
      <c r="E1080" s="2" t="s">
        <v>71</v>
      </c>
      <c r="F1080" s="132">
        <v>0</v>
      </c>
      <c r="G1080" s="132"/>
      <c r="H1080" s="324">
        <f t="shared" si="112"/>
        <v>33384.949999999997</v>
      </c>
      <c r="I1080" s="132"/>
      <c r="J1080" s="132">
        <f>S1080+AY1080+BC1080</f>
        <v>33384.94</v>
      </c>
      <c r="K1080" s="132">
        <f t="shared" si="116"/>
        <v>-33384.94</v>
      </c>
      <c r="L1080" s="132">
        <f t="shared" si="103"/>
        <v>9.9999999947613105E-3</v>
      </c>
      <c r="M1080" s="133">
        <v>384</v>
      </c>
      <c r="N1080" s="133">
        <f t="shared" si="111"/>
        <v>9.9999999947613105E-3</v>
      </c>
      <c r="O1080" s="134" t="s">
        <v>1993</v>
      </c>
      <c r="P1080" s="133"/>
      <c r="Q1080" s="2" t="s">
        <v>3282</v>
      </c>
      <c r="R1080" s="156">
        <f t="shared" si="104"/>
        <v>33384.949999999997</v>
      </c>
      <c r="S1080" s="156">
        <f t="shared" si="105"/>
        <v>5418.8399999999992</v>
      </c>
      <c r="T1080" s="133">
        <v>20000</v>
      </c>
      <c r="U1080" s="133"/>
      <c r="V1080" s="133">
        <v>13000</v>
      </c>
      <c r="W1080" s="133">
        <f>3050.85</f>
        <v>3050.85</v>
      </c>
      <c r="X1080" s="133">
        <v>384.95</v>
      </c>
      <c r="Y1080" s="133">
        <v>1983.05</v>
      </c>
      <c r="Z1080" s="133"/>
      <c r="AA1080" s="133"/>
      <c r="AB1080" s="133"/>
      <c r="AC1080" s="133"/>
      <c r="AD1080" s="133"/>
      <c r="AE1080" s="133">
        <v>384.94</v>
      </c>
      <c r="AF1080" s="133"/>
      <c r="AG1080" s="133"/>
      <c r="AH1080" s="133"/>
      <c r="AI1080" s="133"/>
      <c r="AJ1080" s="133"/>
      <c r="AK1080" s="133"/>
      <c r="AL1080" s="133"/>
      <c r="AM1080" s="133"/>
      <c r="AN1080" s="133"/>
      <c r="AO1080" s="133"/>
      <c r="AP1080" s="133"/>
      <c r="AQ1080" s="133"/>
      <c r="AR1080" s="133"/>
      <c r="AS1080" s="153">
        <v>0</v>
      </c>
      <c r="AT1080" s="153">
        <v>0</v>
      </c>
      <c r="AU1080" s="153">
        <v>0</v>
      </c>
      <c r="AV1080" s="153">
        <v>0</v>
      </c>
      <c r="AW1080" s="153">
        <v>0</v>
      </c>
      <c r="AX1080" s="153">
        <v>0</v>
      </c>
      <c r="AY1080" s="135"/>
      <c r="AZ1080" s="135"/>
      <c r="BA1080" s="135"/>
      <c r="BB1080" s="135"/>
      <c r="BC1080" s="135">
        <f>16949.15+11016.95</f>
        <v>27966.100000000002</v>
      </c>
      <c r="BD1080" s="135">
        <f>381.47+130.39</f>
        <v>511.86</v>
      </c>
      <c r="BE1080" s="135">
        <f t="shared" ref="BE1080:BE1081" si="117">(H1080/1.18-AT1080-AW1080-AZ1080-BD1080)*0.1-AU1080-AX1080-BA1080-BB1080</f>
        <v>2778.0470508474577</v>
      </c>
      <c r="BF1080" s="135"/>
      <c r="BG1080" s="135"/>
      <c r="BH1080" s="135"/>
      <c r="BI1080" s="2" t="s">
        <v>11</v>
      </c>
      <c r="BJ1080" s="136">
        <v>45734</v>
      </c>
      <c r="BK1080" s="2" t="s">
        <v>109</v>
      </c>
      <c r="BL1080" s="136" t="s">
        <v>18</v>
      </c>
      <c r="BM1080" s="136">
        <v>45303</v>
      </c>
      <c r="BN1080" s="2" t="s">
        <v>3359</v>
      </c>
      <c r="BO1080" s="2"/>
      <c r="BP1080" s="136"/>
      <c r="BQ1080" s="137" t="s">
        <v>119</v>
      </c>
    </row>
    <row r="1081" spans="1:69" ht="12.75" customHeight="1" x14ac:dyDescent="0.2">
      <c r="A1081" s="2">
        <v>2570</v>
      </c>
      <c r="B1081" s="2" t="s">
        <v>54</v>
      </c>
      <c r="C1081" s="2" t="s">
        <v>96</v>
      </c>
      <c r="D1081" s="2" t="s">
        <v>3528</v>
      </c>
      <c r="E1081" s="2" t="s">
        <v>71</v>
      </c>
      <c r="F1081" s="132">
        <v>0</v>
      </c>
      <c r="G1081" s="132"/>
      <c r="H1081" s="324">
        <f t="shared" si="112"/>
        <v>79086.460000000006</v>
      </c>
      <c r="I1081" s="132"/>
      <c r="J1081" s="132">
        <f>S1081+AY1081+BC1081</f>
        <v>79086.459999999992</v>
      </c>
      <c r="K1081" s="132">
        <f t="shared" si="116"/>
        <v>-79086.459999999992</v>
      </c>
      <c r="L1081" s="132">
        <f t="shared" si="103"/>
        <v>0</v>
      </c>
      <c r="M1081" s="133">
        <v>1097</v>
      </c>
      <c r="N1081" s="133">
        <f t="shared" si="111"/>
        <v>1.4551915228366852E-11</v>
      </c>
      <c r="O1081" s="134" t="s">
        <v>1993</v>
      </c>
      <c r="P1081" s="133"/>
      <c r="Q1081" s="2" t="s">
        <v>3282</v>
      </c>
      <c r="R1081" s="156">
        <f t="shared" si="104"/>
        <v>79086.460000000006</v>
      </c>
      <c r="S1081" s="156">
        <f t="shared" si="105"/>
        <v>12984.760000000002</v>
      </c>
      <c r="T1081" s="133">
        <v>60000</v>
      </c>
      <c r="U1081" s="133"/>
      <c r="V1081" s="133">
        <v>18000</v>
      </c>
      <c r="W1081" s="133">
        <f>9152.54</f>
        <v>9152.5400000000009</v>
      </c>
      <c r="X1081" s="133">
        <v>1086.46</v>
      </c>
      <c r="Y1081" s="133">
        <v>2745.76</v>
      </c>
      <c r="Z1081" s="133"/>
      <c r="AA1081" s="133"/>
      <c r="AB1081" s="133"/>
      <c r="AC1081" s="133"/>
      <c r="AD1081" s="133"/>
      <c r="AE1081" s="133">
        <v>1086.46</v>
      </c>
      <c r="AF1081" s="133"/>
      <c r="AG1081" s="133"/>
      <c r="AH1081" s="133"/>
      <c r="AI1081" s="133"/>
      <c r="AJ1081" s="133"/>
      <c r="AK1081" s="133"/>
      <c r="AL1081" s="133"/>
      <c r="AM1081" s="133"/>
      <c r="AN1081" s="133"/>
      <c r="AO1081" s="133"/>
      <c r="AP1081" s="133"/>
      <c r="AQ1081" s="133"/>
      <c r="AR1081" s="133"/>
      <c r="AS1081" s="153">
        <v>0</v>
      </c>
      <c r="AT1081" s="153">
        <v>0</v>
      </c>
      <c r="AU1081" s="153">
        <v>0</v>
      </c>
      <c r="AV1081" s="153">
        <v>0</v>
      </c>
      <c r="AW1081" s="153">
        <v>0</v>
      </c>
      <c r="AX1081" s="153">
        <v>0</v>
      </c>
      <c r="AY1081" s="135"/>
      <c r="AZ1081" s="135"/>
      <c r="BA1081" s="135"/>
      <c r="BB1081" s="135"/>
      <c r="BC1081" s="135">
        <f>50847.46+15254.24</f>
        <v>66101.7</v>
      </c>
      <c r="BD1081" s="135">
        <f>757.84+180.54</f>
        <v>938.38</v>
      </c>
      <c r="BE1081" s="135">
        <f t="shared" si="117"/>
        <v>6608.4043728813558</v>
      </c>
      <c r="BF1081" s="135"/>
      <c r="BG1081" s="135"/>
      <c r="BH1081" s="135"/>
      <c r="BI1081" s="2" t="s">
        <v>11</v>
      </c>
      <c r="BJ1081" s="136">
        <v>45734</v>
      </c>
      <c r="BK1081" s="2" t="s">
        <v>109</v>
      </c>
      <c r="BL1081" s="136" t="s">
        <v>18</v>
      </c>
      <c r="BM1081" s="136">
        <v>45303</v>
      </c>
      <c r="BN1081" s="2" t="s">
        <v>3359</v>
      </c>
      <c r="BO1081" s="2"/>
      <c r="BP1081" s="136"/>
      <c r="BQ1081" s="137" t="s">
        <v>119</v>
      </c>
    </row>
    <row r="1082" spans="1:69" ht="12.75" customHeight="1" x14ac:dyDescent="0.2">
      <c r="A1082" s="2">
        <v>2571</v>
      </c>
      <c r="B1082" s="2" t="s">
        <v>28</v>
      </c>
      <c r="C1082" s="2" t="s">
        <v>88</v>
      </c>
      <c r="D1082" s="2" t="s">
        <v>3799</v>
      </c>
      <c r="E1082" s="2" t="s">
        <v>87</v>
      </c>
      <c r="F1082" s="132">
        <v>120305.25</v>
      </c>
      <c r="G1082" s="132"/>
      <c r="H1082" s="150">
        <f t="shared" si="112"/>
        <v>120305.25</v>
      </c>
      <c r="I1082" s="132">
        <v>120305.25</v>
      </c>
      <c r="J1082" s="132">
        <f t="shared" ref="J1082:J1087" si="118">S1082+BC1082</f>
        <v>120305.25</v>
      </c>
      <c r="K1082" s="132">
        <f t="shared" si="116"/>
        <v>0</v>
      </c>
      <c r="L1082" s="132">
        <f t="shared" si="103"/>
        <v>0</v>
      </c>
      <c r="M1082" s="133">
        <v>2515</v>
      </c>
      <c r="N1082" s="133">
        <f t="shared" si="111"/>
        <v>0</v>
      </c>
      <c r="O1082" s="134" t="s">
        <v>1993</v>
      </c>
      <c r="P1082" s="133"/>
      <c r="Q1082" s="2" t="s">
        <v>2427</v>
      </c>
      <c r="R1082" s="156">
        <f t="shared" si="104"/>
        <v>120305.25</v>
      </c>
      <c r="S1082" s="156">
        <f t="shared" si="105"/>
        <v>21152.71</v>
      </c>
      <c r="T1082" s="133">
        <v>117000</v>
      </c>
      <c r="U1082" s="133"/>
      <c r="V1082" s="133">
        <v>3305.25</v>
      </c>
      <c r="W1082" s="133">
        <f>17847.46</f>
        <v>17847.46</v>
      </c>
      <c r="X1082" s="133"/>
      <c r="Y1082" s="133">
        <v>504.19</v>
      </c>
      <c r="Z1082" s="133"/>
      <c r="AA1082" s="133"/>
      <c r="AB1082" s="133"/>
      <c r="AC1082" s="133"/>
      <c r="AD1082" s="133"/>
      <c r="AE1082" s="133">
        <v>2801.06</v>
      </c>
      <c r="AF1082" s="133"/>
      <c r="AG1082" s="133"/>
      <c r="AH1082" s="133"/>
      <c r="AI1082" s="133"/>
      <c r="AJ1082" s="133"/>
      <c r="AK1082" s="133"/>
      <c r="AL1082" s="133"/>
      <c r="AM1082" s="133"/>
      <c r="AN1082" s="133"/>
      <c r="AO1082" s="133"/>
      <c r="AP1082" s="133"/>
      <c r="AQ1082" s="133"/>
      <c r="AR1082" s="133"/>
      <c r="AS1082" s="153">
        <v>0</v>
      </c>
      <c r="AT1082" s="153">
        <v>0</v>
      </c>
      <c r="AU1082" s="153">
        <v>0</v>
      </c>
      <c r="AV1082" s="153">
        <v>0</v>
      </c>
      <c r="AW1082" s="153">
        <v>0</v>
      </c>
      <c r="AX1082" s="153">
        <v>0</v>
      </c>
      <c r="AY1082" s="135">
        <v>0</v>
      </c>
      <c r="AZ1082" s="135">
        <v>0</v>
      </c>
      <c r="BA1082" s="135"/>
      <c r="BB1082" s="140">
        <f>(117000/1.18-AT1082-AW1082-AZ1082)*0.1-AU1082-AX1082-BA1082</f>
        <v>9915.2542372881362</v>
      </c>
      <c r="BC1082" s="135">
        <f>99152.54</f>
        <v>99152.54</v>
      </c>
      <c r="BD1082" s="135">
        <v>2015.65</v>
      </c>
      <c r="BE1082" s="264">
        <f t="shared" ref="BE1082:BE1087" si="119">(H1082/1.18-AT1082-AW1082-AZ1082-BD1082)*0.1-AU1082-AX1082-BA1082-BB1082</f>
        <v>78.540932203390184</v>
      </c>
      <c r="BF1082" s="264"/>
      <c r="BG1082" s="135"/>
      <c r="BH1082" s="135"/>
      <c r="BI1082" s="2" t="s">
        <v>11</v>
      </c>
      <c r="BJ1082" s="136">
        <v>45707</v>
      </c>
      <c r="BK1082" s="2" t="s">
        <v>109</v>
      </c>
      <c r="BL1082" s="136" t="s">
        <v>18</v>
      </c>
      <c r="BM1082" s="136">
        <v>45301</v>
      </c>
      <c r="BN1082" s="2" t="s">
        <v>2515</v>
      </c>
      <c r="BO1082" s="2"/>
      <c r="BP1082" s="136"/>
      <c r="BQ1082" s="137" t="s">
        <v>119</v>
      </c>
    </row>
    <row r="1083" spans="1:69" ht="12.75" customHeight="1" x14ac:dyDescent="0.2">
      <c r="A1083" s="2">
        <v>2572</v>
      </c>
      <c r="B1083" s="2" t="s">
        <v>28</v>
      </c>
      <c r="C1083" s="2" t="s">
        <v>88</v>
      </c>
      <c r="D1083" s="2" t="s">
        <v>3802</v>
      </c>
      <c r="E1083" s="2" t="s">
        <v>87</v>
      </c>
      <c r="F1083" s="132">
        <v>53841.5</v>
      </c>
      <c r="G1083" s="132"/>
      <c r="H1083" s="150">
        <f t="shared" si="112"/>
        <v>53841.5</v>
      </c>
      <c r="I1083" s="132">
        <v>53841.5</v>
      </c>
      <c r="J1083" s="132">
        <f t="shared" si="118"/>
        <v>53841.5</v>
      </c>
      <c r="K1083" s="132">
        <f t="shared" si="116"/>
        <v>0</v>
      </c>
      <c r="L1083" s="132">
        <f t="shared" si="103"/>
        <v>0</v>
      </c>
      <c r="M1083" s="133">
        <v>1137</v>
      </c>
      <c r="N1083" s="133">
        <f t="shared" si="111"/>
        <v>0</v>
      </c>
      <c r="O1083" s="134" t="s">
        <v>1993</v>
      </c>
      <c r="P1083" s="133"/>
      <c r="Q1083" s="2" t="s">
        <v>2427</v>
      </c>
      <c r="R1083" s="156">
        <f t="shared" si="104"/>
        <v>53841.5</v>
      </c>
      <c r="S1083" s="156">
        <f t="shared" si="105"/>
        <v>9773.7000000000007</v>
      </c>
      <c r="T1083" s="133">
        <v>52000</v>
      </c>
      <c r="U1083" s="133"/>
      <c r="V1083" s="133">
        <v>1841.5</v>
      </c>
      <c r="W1083" s="133">
        <f>7932.2</f>
        <v>7932.2</v>
      </c>
      <c r="X1083" s="133"/>
      <c r="Y1083" s="133">
        <v>280.91000000000003</v>
      </c>
      <c r="Z1083" s="133"/>
      <c r="AA1083" s="133"/>
      <c r="AB1083" s="133"/>
      <c r="AC1083" s="133"/>
      <c r="AD1083" s="133"/>
      <c r="AE1083" s="133">
        <v>1560.59</v>
      </c>
      <c r="AF1083" s="133"/>
      <c r="AG1083" s="133"/>
      <c r="AH1083" s="133"/>
      <c r="AI1083" s="133"/>
      <c r="AJ1083" s="133"/>
      <c r="AK1083" s="133"/>
      <c r="AL1083" s="133"/>
      <c r="AM1083" s="133"/>
      <c r="AN1083" s="133"/>
      <c r="AO1083" s="133"/>
      <c r="AP1083" s="133"/>
      <c r="AQ1083" s="133"/>
      <c r="AR1083" s="133"/>
      <c r="AS1083" s="153">
        <v>0</v>
      </c>
      <c r="AT1083" s="153">
        <v>0</v>
      </c>
      <c r="AU1083" s="153">
        <v>0</v>
      </c>
      <c r="AV1083" s="153">
        <v>0</v>
      </c>
      <c r="AW1083" s="153">
        <v>0</v>
      </c>
      <c r="AX1083" s="153">
        <v>0</v>
      </c>
      <c r="AY1083" s="135"/>
      <c r="AZ1083" s="135"/>
      <c r="BA1083" s="135"/>
      <c r="BB1083" s="140">
        <f>(52000/1.18-AT1083-AW1083-AZ1083)*0.1-AU1083-AX1083-BA1083</f>
        <v>4406.7796610169489</v>
      </c>
      <c r="BC1083" s="135">
        <f>44067.8</f>
        <v>44067.8</v>
      </c>
      <c r="BD1083" s="135">
        <v>895.84</v>
      </c>
      <c r="BE1083" s="264">
        <f t="shared" si="119"/>
        <v>66.475322033899829</v>
      </c>
      <c r="BF1083" s="264"/>
      <c r="BG1083" s="135"/>
      <c r="BH1083" s="135"/>
      <c r="BI1083" s="2" t="s">
        <v>11</v>
      </c>
      <c r="BJ1083" s="136">
        <v>45707</v>
      </c>
      <c r="BK1083" s="2" t="s">
        <v>109</v>
      </c>
      <c r="BL1083" s="136" t="s">
        <v>18</v>
      </c>
      <c r="BM1083" s="136">
        <v>45301</v>
      </c>
      <c r="BN1083" s="2" t="s">
        <v>2515</v>
      </c>
      <c r="BO1083" s="2"/>
      <c r="BP1083" s="136"/>
      <c r="BQ1083" s="137" t="s">
        <v>119</v>
      </c>
    </row>
    <row r="1084" spans="1:69" ht="12.75" customHeight="1" x14ac:dyDescent="0.2">
      <c r="A1084" s="2">
        <v>2573</v>
      </c>
      <c r="B1084" s="2" t="s">
        <v>28</v>
      </c>
      <c r="C1084" s="2" t="s">
        <v>88</v>
      </c>
      <c r="D1084" s="2" t="s">
        <v>3803</v>
      </c>
      <c r="E1084" s="2" t="s">
        <v>87</v>
      </c>
      <c r="F1084" s="132">
        <v>76039.360000000001</v>
      </c>
      <c r="G1084" s="132"/>
      <c r="H1084" s="132">
        <f t="shared" si="112"/>
        <v>76039.360000000001</v>
      </c>
      <c r="I1084" s="132">
        <v>76039.360000000001</v>
      </c>
      <c r="J1084" s="132">
        <f t="shared" si="118"/>
        <v>76039.360000000001</v>
      </c>
      <c r="K1084" s="132">
        <f t="shared" si="116"/>
        <v>0</v>
      </c>
      <c r="L1084" s="132">
        <f t="shared" si="103"/>
        <v>0</v>
      </c>
      <c r="M1084" s="133">
        <v>1797</v>
      </c>
      <c r="N1084" s="133">
        <f t="shared" si="111"/>
        <v>0</v>
      </c>
      <c r="O1084" s="134" t="s">
        <v>1993</v>
      </c>
      <c r="P1084" s="133"/>
      <c r="Q1084" s="2" t="s">
        <v>2427</v>
      </c>
      <c r="R1084" s="156">
        <f t="shared" si="104"/>
        <v>76039.360000000001</v>
      </c>
      <c r="S1084" s="156">
        <f t="shared" si="105"/>
        <v>13327.5</v>
      </c>
      <c r="T1084" s="133">
        <v>74000</v>
      </c>
      <c r="U1084" s="133"/>
      <c r="V1084" s="133">
        <v>2039.36</v>
      </c>
      <c r="W1084" s="133">
        <f>11288.14</f>
        <v>11288.14</v>
      </c>
      <c r="X1084" s="133"/>
      <c r="Y1084" s="133">
        <v>311.08999999999997</v>
      </c>
      <c r="Z1084" s="133"/>
      <c r="AA1084" s="133"/>
      <c r="AB1084" s="133"/>
      <c r="AC1084" s="133"/>
      <c r="AD1084" s="133"/>
      <c r="AE1084" s="133">
        <v>1728.27</v>
      </c>
      <c r="AF1084" s="133"/>
      <c r="AG1084" s="133"/>
      <c r="AH1084" s="133"/>
      <c r="AI1084" s="133"/>
      <c r="AJ1084" s="133"/>
      <c r="AK1084" s="133"/>
      <c r="AL1084" s="133"/>
      <c r="AM1084" s="133"/>
      <c r="AN1084" s="133"/>
      <c r="AO1084" s="133"/>
      <c r="AP1084" s="133"/>
      <c r="AQ1084" s="133"/>
      <c r="AR1084" s="133"/>
      <c r="AS1084" s="153">
        <v>0</v>
      </c>
      <c r="AT1084" s="153">
        <v>0</v>
      </c>
      <c r="AU1084" s="153">
        <v>0</v>
      </c>
      <c r="AV1084" s="153">
        <v>0</v>
      </c>
      <c r="AW1084" s="153">
        <v>0</v>
      </c>
      <c r="AX1084" s="153">
        <v>0</v>
      </c>
      <c r="AY1084" s="135"/>
      <c r="AZ1084" s="135"/>
      <c r="BA1084" s="135"/>
      <c r="BB1084" s="140">
        <f>(74000/1.18-AT1084-AW1084-AZ1084)*0.1-AU1084-AX1084-BA1084</f>
        <v>6271.1864406779669</v>
      </c>
      <c r="BC1084" s="135">
        <f>62711.86</f>
        <v>62711.86</v>
      </c>
      <c r="BD1084" s="135">
        <v>1274.8499999999999</v>
      </c>
      <c r="BE1084" s="264">
        <f t="shared" si="119"/>
        <v>45.34211864406825</v>
      </c>
      <c r="BF1084" s="264"/>
      <c r="BG1084" s="135"/>
      <c r="BH1084" s="135"/>
      <c r="BI1084" s="2" t="s">
        <v>11</v>
      </c>
      <c r="BJ1084" s="136">
        <v>45709</v>
      </c>
      <c r="BK1084" s="2" t="s">
        <v>109</v>
      </c>
      <c r="BL1084" s="136" t="s">
        <v>18</v>
      </c>
      <c r="BM1084" s="136">
        <v>45301</v>
      </c>
      <c r="BN1084" s="2" t="s">
        <v>2515</v>
      </c>
      <c r="BO1084" s="2"/>
      <c r="BP1084" s="136"/>
      <c r="BQ1084" s="137" t="s">
        <v>119</v>
      </c>
    </row>
    <row r="1085" spans="1:69" ht="12.75" customHeight="1" x14ac:dyDescent="0.2">
      <c r="A1085" s="2">
        <v>2574</v>
      </c>
      <c r="B1085" s="2" t="s">
        <v>28</v>
      </c>
      <c r="C1085" s="2" t="s">
        <v>88</v>
      </c>
      <c r="D1085" s="2" t="s">
        <v>3804</v>
      </c>
      <c r="E1085" s="2" t="s">
        <v>87</v>
      </c>
      <c r="F1085" s="132">
        <v>67183.81</v>
      </c>
      <c r="G1085" s="132"/>
      <c r="H1085" s="132">
        <f t="shared" si="112"/>
        <v>67183.81</v>
      </c>
      <c r="I1085" s="132">
        <v>67183.81</v>
      </c>
      <c r="J1085" s="132">
        <f t="shared" si="118"/>
        <v>67183.81</v>
      </c>
      <c r="K1085" s="132">
        <f t="shared" si="116"/>
        <v>0</v>
      </c>
      <c r="L1085" s="132">
        <f t="shared" si="103"/>
        <v>0</v>
      </c>
      <c r="M1085" s="133">
        <v>1572</v>
      </c>
      <c r="N1085" s="133">
        <f t="shared" si="111"/>
        <v>0</v>
      </c>
      <c r="O1085" s="134" t="s">
        <v>1993</v>
      </c>
      <c r="P1085" s="133"/>
      <c r="Q1085" s="2" t="s">
        <v>2427</v>
      </c>
      <c r="R1085" s="156">
        <f t="shared" si="104"/>
        <v>67183.81</v>
      </c>
      <c r="S1085" s="156">
        <f t="shared" si="105"/>
        <v>12099.060000000001</v>
      </c>
      <c r="T1085" s="133">
        <v>65000</v>
      </c>
      <c r="U1085" s="133"/>
      <c r="V1085" s="133">
        <v>2183.81</v>
      </c>
      <c r="W1085" s="133">
        <f>9915.25</f>
        <v>9915.25</v>
      </c>
      <c r="X1085" s="133"/>
      <c r="Y1085" s="133">
        <v>333.12</v>
      </c>
      <c r="Z1085" s="133"/>
      <c r="AA1085" s="133"/>
      <c r="AB1085" s="133"/>
      <c r="AC1085" s="133"/>
      <c r="AD1085" s="133"/>
      <c r="AE1085" s="133">
        <v>1850.69</v>
      </c>
      <c r="AF1085" s="133"/>
      <c r="AG1085" s="133"/>
      <c r="AH1085" s="133"/>
      <c r="AI1085" s="133"/>
      <c r="AJ1085" s="133"/>
      <c r="AK1085" s="133"/>
      <c r="AL1085" s="133"/>
      <c r="AM1085" s="133"/>
      <c r="AN1085" s="133"/>
      <c r="AO1085" s="133"/>
      <c r="AP1085" s="133"/>
      <c r="AQ1085" s="133"/>
      <c r="AR1085" s="133"/>
      <c r="AS1085" s="153">
        <v>0</v>
      </c>
      <c r="AT1085" s="153">
        <v>0</v>
      </c>
      <c r="AU1085" s="153">
        <v>0</v>
      </c>
      <c r="AV1085" s="153">
        <v>0</v>
      </c>
      <c r="AW1085" s="153">
        <v>0</v>
      </c>
      <c r="AX1085" s="153">
        <v>0</v>
      </c>
      <c r="AY1085" s="135"/>
      <c r="AZ1085" s="135"/>
      <c r="BA1085" s="135"/>
      <c r="BB1085" s="140">
        <f>(65000/1.18-AT1085-AW1085-AZ1085)*0.1-AU1085-AX1085-BA1085</f>
        <v>5508.4745762711864</v>
      </c>
      <c r="BC1085" s="135">
        <f>55084.75</f>
        <v>55084.75</v>
      </c>
      <c r="BD1085" s="135">
        <v>1119.81</v>
      </c>
      <c r="BE1085" s="264">
        <f t="shared" si="119"/>
        <v>73.087644067796646</v>
      </c>
      <c r="BF1085" s="264"/>
      <c r="BG1085" s="135"/>
      <c r="BH1085" s="135"/>
      <c r="BI1085" s="2" t="s">
        <v>11</v>
      </c>
      <c r="BJ1085" s="136">
        <v>45709</v>
      </c>
      <c r="BK1085" s="2" t="s">
        <v>109</v>
      </c>
      <c r="BL1085" s="136" t="s">
        <v>18</v>
      </c>
      <c r="BM1085" s="136">
        <v>45301</v>
      </c>
      <c r="BN1085" s="2" t="s">
        <v>2515</v>
      </c>
      <c r="BO1085" s="2"/>
      <c r="BP1085" s="136"/>
      <c r="BQ1085" s="137" t="s">
        <v>119</v>
      </c>
    </row>
    <row r="1086" spans="1:69" ht="12.75" customHeight="1" x14ac:dyDescent="0.2">
      <c r="A1086" s="2">
        <v>2575</v>
      </c>
      <c r="B1086" s="2" t="s">
        <v>28</v>
      </c>
      <c r="C1086" s="2" t="s">
        <v>88</v>
      </c>
      <c r="D1086" s="2" t="s">
        <v>3806</v>
      </c>
      <c r="E1086" s="2" t="s">
        <v>87</v>
      </c>
      <c r="F1086" s="132">
        <v>66910.31</v>
      </c>
      <c r="G1086" s="132"/>
      <c r="H1086" s="132">
        <f t="shared" si="112"/>
        <v>66910.31</v>
      </c>
      <c r="I1086" s="132">
        <v>66910.31</v>
      </c>
      <c r="J1086" s="132">
        <f t="shared" si="118"/>
        <v>66910.31</v>
      </c>
      <c r="K1086" s="132">
        <f t="shared" si="116"/>
        <v>0</v>
      </c>
      <c r="L1086" s="132">
        <f t="shared" si="103"/>
        <v>0</v>
      </c>
      <c r="M1086" s="133">
        <v>1686</v>
      </c>
      <c r="N1086" s="133">
        <f t="shared" si="111"/>
        <v>0</v>
      </c>
      <c r="O1086" s="134" t="s">
        <v>1993</v>
      </c>
      <c r="P1086" s="133"/>
      <c r="Q1086" s="2" t="s">
        <v>2427</v>
      </c>
      <c r="R1086" s="156">
        <f t="shared" si="104"/>
        <v>66910.31</v>
      </c>
      <c r="S1086" s="156">
        <f t="shared" si="105"/>
        <v>11825.56</v>
      </c>
      <c r="T1086" s="133">
        <v>65000</v>
      </c>
      <c r="U1086" s="133"/>
      <c r="V1086" s="133">
        <v>1910.31</v>
      </c>
      <c r="W1086" s="133">
        <f>9915.25</f>
        <v>9915.25</v>
      </c>
      <c r="X1086" s="133"/>
      <c r="Y1086" s="133">
        <v>291.39999999999998</v>
      </c>
      <c r="Z1086" s="133"/>
      <c r="AA1086" s="133"/>
      <c r="AB1086" s="133"/>
      <c r="AC1086" s="133"/>
      <c r="AD1086" s="133"/>
      <c r="AE1086" s="133">
        <v>1618.91</v>
      </c>
      <c r="AF1086" s="133"/>
      <c r="AG1086" s="133"/>
      <c r="AH1086" s="133"/>
      <c r="AI1086" s="133"/>
      <c r="AJ1086" s="133"/>
      <c r="AK1086" s="133"/>
      <c r="AL1086" s="133"/>
      <c r="AM1086" s="133"/>
      <c r="AN1086" s="133"/>
      <c r="AO1086" s="133"/>
      <c r="AP1086" s="133"/>
      <c r="AQ1086" s="133"/>
      <c r="AR1086" s="133"/>
      <c r="AS1086" s="153">
        <v>0</v>
      </c>
      <c r="AT1086" s="153">
        <v>0</v>
      </c>
      <c r="AU1086" s="153">
        <v>0</v>
      </c>
      <c r="AV1086" s="153">
        <v>0</v>
      </c>
      <c r="AW1086" s="153">
        <v>0</v>
      </c>
      <c r="AX1086" s="153">
        <v>0</v>
      </c>
      <c r="AY1086" s="135"/>
      <c r="AZ1086" s="135"/>
      <c r="BA1086" s="135"/>
      <c r="BB1086" s="140">
        <f>(65000/1.18-AT1086-AW1086-AZ1086)*0.1-AU1086-AX1086-BA1086</f>
        <v>5508.4745762711864</v>
      </c>
      <c r="BC1086" s="135">
        <f>55084.75</f>
        <v>55084.75</v>
      </c>
      <c r="BD1086" s="135">
        <v>1119.81</v>
      </c>
      <c r="BE1086" s="264">
        <f t="shared" si="119"/>
        <v>49.909677966102208</v>
      </c>
      <c r="BF1086" s="264"/>
      <c r="BG1086" s="135"/>
      <c r="BH1086" s="135"/>
      <c r="BI1086" s="2" t="s">
        <v>11</v>
      </c>
      <c r="BJ1086" s="136">
        <v>45708</v>
      </c>
      <c r="BK1086" s="2" t="s">
        <v>109</v>
      </c>
      <c r="BL1086" s="136" t="s">
        <v>18</v>
      </c>
      <c r="BM1086" s="136">
        <v>45301</v>
      </c>
      <c r="BN1086" s="2" t="s">
        <v>2515</v>
      </c>
      <c r="BO1086" s="2"/>
      <c r="BP1086" s="136"/>
      <c r="BQ1086" s="137" t="s">
        <v>119</v>
      </c>
    </row>
    <row r="1087" spans="1:69" ht="12.75" customHeight="1" x14ac:dyDescent="0.2">
      <c r="A1087" s="2">
        <v>2576</v>
      </c>
      <c r="B1087" s="2" t="s">
        <v>28</v>
      </c>
      <c r="C1087" s="131" t="s">
        <v>88</v>
      </c>
      <c r="D1087" s="131" t="s">
        <v>3805</v>
      </c>
      <c r="E1087" s="2" t="s">
        <v>87</v>
      </c>
      <c r="F1087" s="132">
        <v>76803.37</v>
      </c>
      <c r="G1087" s="132"/>
      <c r="H1087" s="150">
        <f t="shared" si="112"/>
        <v>76803.37</v>
      </c>
      <c r="I1087" s="132">
        <v>76803.37</v>
      </c>
      <c r="J1087" s="132">
        <f t="shared" si="118"/>
        <v>76803.37</v>
      </c>
      <c r="K1087" s="132">
        <f t="shared" si="116"/>
        <v>0</v>
      </c>
      <c r="L1087" s="132">
        <f t="shared" si="103"/>
        <v>0</v>
      </c>
      <c r="M1087" s="133">
        <v>1785</v>
      </c>
      <c r="N1087" s="133">
        <f t="shared" si="111"/>
        <v>0</v>
      </c>
      <c r="O1087" s="134" t="s">
        <v>1993</v>
      </c>
      <c r="P1087" s="133"/>
      <c r="Q1087" s="2" t="s">
        <v>2427</v>
      </c>
      <c r="R1087" s="156">
        <f t="shared" si="104"/>
        <v>76803.37</v>
      </c>
      <c r="S1087" s="156">
        <f t="shared" si="105"/>
        <v>13244.050000000001</v>
      </c>
      <c r="T1087" s="133">
        <v>75000</v>
      </c>
      <c r="U1087" s="133"/>
      <c r="V1087" s="133">
        <v>1803.37</v>
      </c>
      <c r="W1087" s="133">
        <f>11440.68</f>
        <v>11440.68</v>
      </c>
      <c r="X1087" s="133"/>
      <c r="Y1087" s="133">
        <v>275.08999999999997</v>
      </c>
      <c r="Z1087" s="133"/>
      <c r="AA1087" s="133"/>
      <c r="AB1087" s="133"/>
      <c r="AC1087" s="133"/>
      <c r="AD1087" s="133"/>
      <c r="AE1087" s="133">
        <v>1528.28</v>
      </c>
      <c r="AF1087" s="133"/>
      <c r="AG1087" s="133"/>
      <c r="AH1087" s="133"/>
      <c r="AI1087" s="133"/>
      <c r="AJ1087" s="133"/>
      <c r="AK1087" s="133"/>
      <c r="AL1087" s="133"/>
      <c r="AM1087" s="133"/>
      <c r="AN1087" s="133"/>
      <c r="AO1087" s="133"/>
      <c r="AP1087" s="133"/>
      <c r="AQ1087" s="133"/>
      <c r="AR1087" s="133"/>
      <c r="AS1087" s="153">
        <v>0</v>
      </c>
      <c r="AT1087" s="153">
        <v>0</v>
      </c>
      <c r="AU1087" s="153">
        <v>0</v>
      </c>
      <c r="AV1087" s="153">
        <v>0</v>
      </c>
      <c r="AW1087" s="153">
        <v>0</v>
      </c>
      <c r="AX1087" s="153">
        <v>0</v>
      </c>
      <c r="AY1087" s="135"/>
      <c r="AZ1087" s="135"/>
      <c r="BA1087" s="135"/>
      <c r="BB1087" s="140">
        <f>(75000/1.18-AT1087-AW1087-AZ1087)*0.1-AU1087-AX1087-BA1087</f>
        <v>6355.9322033898316</v>
      </c>
      <c r="BC1087" s="135">
        <f>63559.32</f>
        <v>63559.32</v>
      </c>
      <c r="BD1087" s="135">
        <v>1292.08</v>
      </c>
      <c r="BE1087" s="264">
        <f t="shared" si="119"/>
        <v>23.619966101694445</v>
      </c>
      <c r="BF1087" s="264"/>
      <c r="BG1087" s="135"/>
      <c r="BH1087" s="135"/>
      <c r="BI1087" s="2" t="s">
        <v>11</v>
      </c>
      <c r="BJ1087" s="136">
        <v>45708</v>
      </c>
      <c r="BK1087" s="2" t="s">
        <v>109</v>
      </c>
      <c r="BL1087" s="136" t="s">
        <v>18</v>
      </c>
      <c r="BM1087" s="136">
        <v>45301</v>
      </c>
      <c r="BN1087" s="2" t="s">
        <v>2515</v>
      </c>
      <c r="BO1087" s="2"/>
      <c r="BP1087" s="136"/>
      <c r="BQ1087" s="137" t="s">
        <v>119</v>
      </c>
    </row>
    <row r="1088" spans="1:69" ht="12.75" customHeight="1" x14ac:dyDescent="0.2">
      <c r="A1088" s="2">
        <v>2577</v>
      </c>
      <c r="B1088" s="2" t="s">
        <v>54</v>
      </c>
      <c r="C1088" s="2" t="s">
        <v>50</v>
      </c>
      <c r="D1088" s="2" t="s">
        <v>3812</v>
      </c>
      <c r="E1088" s="2" t="s">
        <v>141</v>
      </c>
      <c r="F1088" s="132">
        <v>0</v>
      </c>
      <c r="G1088" s="132"/>
      <c r="H1088" s="132">
        <f t="shared" si="112"/>
        <v>42797</v>
      </c>
      <c r="I1088" s="132"/>
      <c r="J1088" s="132">
        <f>S1088+AY1088+BC1088</f>
        <v>42797</v>
      </c>
      <c r="K1088" s="132">
        <f t="shared" si="116"/>
        <v>-42797</v>
      </c>
      <c r="L1088" s="132">
        <f t="shared" si="103"/>
        <v>0</v>
      </c>
      <c r="M1088" s="133">
        <v>1036</v>
      </c>
      <c r="N1088" s="133">
        <f t="shared" si="111"/>
        <v>0</v>
      </c>
      <c r="O1088" s="134" t="s">
        <v>1993</v>
      </c>
      <c r="P1088" s="133"/>
      <c r="Q1088" s="2" t="s">
        <v>338</v>
      </c>
      <c r="R1088" s="156">
        <f t="shared" si="104"/>
        <v>42797</v>
      </c>
      <c r="S1088" s="156">
        <f t="shared" si="105"/>
        <v>8051.2399999999989</v>
      </c>
      <c r="T1088" s="133">
        <v>41000</v>
      </c>
      <c r="U1088" s="133"/>
      <c r="V1088" s="133"/>
      <c r="W1088" s="133">
        <f>6254.24</f>
        <v>6254.24</v>
      </c>
      <c r="X1088" s="133">
        <v>25</v>
      </c>
      <c r="Y1088" s="133"/>
      <c r="Z1088" s="133"/>
      <c r="AA1088" s="133"/>
      <c r="AB1088" s="133"/>
      <c r="AC1088" s="133"/>
      <c r="AD1088" s="133"/>
      <c r="AE1088" s="133"/>
      <c r="AF1088" s="133">
        <v>1772</v>
      </c>
      <c r="AG1088" s="133"/>
      <c r="AH1088" s="133"/>
      <c r="AI1088" s="133">
        <v>270.30508474576254</v>
      </c>
      <c r="AJ1088" s="133"/>
      <c r="AK1088" s="133">
        <v>1526.6949152542365</v>
      </c>
      <c r="AL1088" s="133"/>
      <c r="AM1088" s="133"/>
      <c r="AN1088" s="133"/>
      <c r="AO1088" s="133"/>
      <c r="AP1088" s="133"/>
      <c r="AQ1088" s="133"/>
      <c r="AR1088" s="133"/>
      <c r="AS1088" s="153">
        <v>0</v>
      </c>
      <c r="AT1088" s="153">
        <v>0</v>
      </c>
      <c r="AU1088" s="153">
        <v>0</v>
      </c>
      <c r="AV1088" s="153">
        <v>0</v>
      </c>
      <c r="AW1088" s="153">
        <v>0</v>
      </c>
      <c r="AX1088" s="153">
        <v>0</v>
      </c>
      <c r="AY1088" s="135"/>
      <c r="AZ1088" s="135"/>
      <c r="BA1088" s="135"/>
      <c r="BB1088" s="135"/>
      <c r="BC1088" s="135">
        <f>34745.76</f>
        <v>34745.760000000002</v>
      </c>
      <c r="BD1088" s="135">
        <v>756.79</v>
      </c>
      <c r="BE1088" s="135"/>
      <c r="BF1088" s="135"/>
      <c r="BG1088" s="135"/>
      <c r="BH1088" s="135"/>
      <c r="BI1088" s="2" t="s">
        <v>11</v>
      </c>
      <c r="BJ1088" s="136">
        <v>45866</v>
      </c>
      <c r="BK1088" s="2" t="s">
        <v>109</v>
      </c>
      <c r="BL1088" s="136" t="s">
        <v>113</v>
      </c>
      <c r="BM1088" s="136">
        <v>45308</v>
      </c>
      <c r="BN1088" s="2" t="s">
        <v>2198</v>
      </c>
      <c r="BO1088" s="2"/>
      <c r="BP1088" s="136"/>
      <c r="BQ1088" s="137" t="s">
        <v>134</v>
      </c>
    </row>
    <row r="1089" spans="1:69" ht="12.75" customHeight="1" x14ac:dyDescent="0.2">
      <c r="A1089" s="2">
        <v>2578</v>
      </c>
      <c r="B1089" s="2" t="s">
        <v>54</v>
      </c>
      <c r="C1089" s="2" t="s">
        <v>50</v>
      </c>
      <c r="D1089" s="2" t="s">
        <v>3813</v>
      </c>
      <c r="E1089" s="2" t="s">
        <v>141</v>
      </c>
      <c r="F1089" s="132">
        <v>0</v>
      </c>
      <c r="G1089" s="132"/>
      <c r="H1089" s="132">
        <f t="shared" si="112"/>
        <v>102157</v>
      </c>
      <c r="I1089" s="132"/>
      <c r="J1089" s="132">
        <f>S1089+AY1089+BC1089</f>
        <v>102157</v>
      </c>
      <c r="K1089" s="132">
        <f t="shared" si="116"/>
        <v>-102157</v>
      </c>
      <c r="L1089" s="132">
        <f t="shared" si="103"/>
        <v>0</v>
      </c>
      <c r="M1089" s="133">
        <v>1846</v>
      </c>
      <c r="N1089" s="133">
        <f t="shared" si="111"/>
        <v>0</v>
      </c>
      <c r="O1089" s="134" t="s">
        <v>1993</v>
      </c>
      <c r="P1089" s="133"/>
      <c r="Q1089" s="2" t="s">
        <v>338</v>
      </c>
      <c r="R1089" s="156">
        <f t="shared" si="104"/>
        <v>102157</v>
      </c>
      <c r="S1089" s="156">
        <f t="shared" si="105"/>
        <v>30123.100000000006</v>
      </c>
      <c r="T1089" s="133">
        <v>45000</v>
      </c>
      <c r="U1089" s="133"/>
      <c r="V1089" s="133"/>
      <c r="W1089" s="133">
        <f>6864.41</f>
        <v>6864.41</v>
      </c>
      <c r="X1089" s="133">
        <v>25</v>
      </c>
      <c r="Y1089" s="133"/>
      <c r="Z1089" s="133">
        <v>40000</v>
      </c>
      <c r="AA1089" s="133"/>
      <c r="AB1089" s="133"/>
      <c r="AC1089" s="133">
        <v>6101.69</v>
      </c>
      <c r="AD1089" s="133"/>
      <c r="AE1089" s="133"/>
      <c r="AF1089" s="133">
        <v>17132</v>
      </c>
      <c r="AG1089" s="133"/>
      <c r="AH1089" s="133"/>
      <c r="AI1089" s="133">
        <v>2613.3559322033889</v>
      </c>
      <c r="AJ1089" s="133"/>
      <c r="AK1089" s="133">
        <v>14543.644067796617</v>
      </c>
      <c r="AL1089" s="133"/>
      <c r="AM1089" s="133"/>
      <c r="AN1089" s="133"/>
      <c r="AO1089" s="133"/>
      <c r="AP1089" s="133"/>
      <c r="AQ1089" s="133"/>
      <c r="AR1089" s="133"/>
      <c r="AS1089" s="153">
        <v>0</v>
      </c>
      <c r="AT1089" s="153">
        <v>0</v>
      </c>
      <c r="AU1089" s="153">
        <v>0</v>
      </c>
      <c r="AV1089" s="153">
        <v>0</v>
      </c>
      <c r="AW1089" s="153">
        <v>0</v>
      </c>
      <c r="AX1089" s="153">
        <v>0</v>
      </c>
      <c r="AY1089" s="135"/>
      <c r="AZ1089" s="135"/>
      <c r="BA1089" s="135"/>
      <c r="BB1089" s="135"/>
      <c r="BC1089" s="135">
        <f>33898.31+38135.59</f>
        <v>72033.899999999994</v>
      </c>
      <c r="BD1089" s="135">
        <f>830.62+4750.41</f>
        <v>5581.03</v>
      </c>
      <c r="BE1089" s="135"/>
      <c r="BF1089" s="135"/>
      <c r="BG1089" s="135"/>
      <c r="BH1089" s="135"/>
      <c r="BI1089" s="2" t="s">
        <v>11</v>
      </c>
      <c r="BJ1089" s="136">
        <v>45866</v>
      </c>
      <c r="BK1089" s="2" t="s">
        <v>109</v>
      </c>
      <c r="BL1089" s="136" t="s">
        <v>113</v>
      </c>
      <c r="BM1089" s="136">
        <v>45308</v>
      </c>
      <c r="BN1089" s="2" t="s">
        <v>2198</v>
      </c>
      <c r="BO1089" s="2"/>
      <c r="BP1089" s="136"/>
      <c r="BQ1089" s="137" t="s">
        <v>134</v>
      </c>
    </row>
    <row r="1090" spans="1:69" ht="12.75" customHeight="1" x14ac:dyDescent="0.2">
      <c r="A1090" s="2">
        <v>2579</v>
      </c>
      <c r="B1090" s="2" t="s">
        <v>54</v>
      </c>
      <c r="C1090" s="131" t="s">
        <v>50</v>
      </c>
      <c r="D1090" s="131" t="s">
        <v>3814</v>
      </c>
      <c r="E1090" s="2" t="s">
        <v>141</v>
      </c>
      <c r="F1090" s="132">
        <v>0</v>
      </c>
      <c r="G1090" s="132"/>
      <c r="H1090" s="132">
        <f t="shared" si="112"/>
        <v>10000</v>
      </c>
      <c r="I1090" s="132"/>
      <c r="J1090" s="132">
        <f>S1090+AY1090+BC1090</f>
        <v>10000</v>
      </c>
      <c r="K1090" s="132">
        <f t="shared" si="116"/>
        <v>-10000</v>
      </c>
      <c r="L1090" s="132">
        <f t="shared" si="103"/>
        <v>0</v>
      </c>
      <c r="M1090" s="133" t="s">
        <v>3835</v>
      </c>
      <c r="N1090" s="133">
        <f t="shared" si="111"/>
        <v>-10000</v>
      </c>
      <c r="O1090" s="134" t="s">
        <v>1993</v>
      </c>
      <c r="P1090" s="133"/>
      <c r="Q1090" s="2" t="s">
        <v>338</v>
      </c>
      <c r="R1090" s="156">
        <f t="shared" si="104"/>
        <v>10000</v>
      </c>
      <c r="S1090" s="156">
        <f t="shared" si="105"/>
        <v>1525.42</v>
      </c>
      <c r="T1090" s="133">
        <v>10000</v>
      </c>
      <c r="U1090" s="133"/>
      <c r="V1090" s="133"/>
      <c r="W1090" s="133">
        <f>1525.42</f>
        <v>1525.42</v>
      </c>
      <c r="X1090" s="133"/>
      <c r="Y1090" s="133"/>
      <c r="Z1090" s="133"/>
      <c r="AA1090" s="133"/>
      <c r="AB1090" s="133"/>
      <c r="AC1090" s="133"/>
      <c r="AD1090" s="133"/>
      <c r="AE1090" s="133"/>
      <c r="AF1090" s="133"/>
      <c r="AG1090" s="133"/>
      <c r="AH1090" s="133"/>
      <c r="AI1090" s="133"/>
      <c r="AJ1090" s="133"/>
      <c r="AK1090" s="133"/>
      <c r="AL1090" s="133"/>
      <c r="AM1090" s="133"/>
      <c r="AN1090" s="133"/>
      <c r="AO1090" s="133"/>
      <c r="AP1090" s="133"/>
      <c r="AQ1090" s="133"/>
      <c r="AR1090" s="133"/>
      <c r="AS1090" s="153">
        <v>0</v>
      </c>
      <c r="AT1090" s="153">
        <v>0</v>
      </c>
      <c r="AU1090" s="153">
        <v>0</v>
      </c>
      <c r="AV1090" s="153">
        <v>0</v>
      </c>
      <c r="AW1090" s="153">
        <v>0</v>
      </c>
      <c r="AX1090" s="153">
        <v>0</v>
      </c>
      <c r="AY1090" s="135"/>
      <c r="AZ1090" s="135"/>
      <c r="BA1090" s="135"/>
      <c r="BB1090" s="135"/>
      <c r="BC1090" s="135">
        <f>8474.58</f>
        <v>8474.58</v>
      </c>
      <c r="BD1090" s="135">
        <v>184.58</v>
      </c>
      <c r="BE1090" s="135"/>
      <c r="BF1090" s="135"/>
      <c r="BG1090" s="135"/>
      <c r="BH1090" s="135"/>
      <c r="BI1090" s="2" t="s">
        <v>11</v>
      </c>
      <c r="BJ1090" s="136"/>
      <c r="BK1090" s="2">
        <v>50</v>
      </c>
      <c r="BL1090" s="136" t="s">
        <v>113</v>
      </c>
      <c r="BM1090" s="136">
        <v>45308</v>
      </c>
      <c r="BN1090" s="2" t="s">
        <v>2198</v>
      </c>
      <c r="BO1090" s="2"/>
      <c r="BP1090" s="136"/>
      <c r="BQ1090" s="137" t="s">
        <v>134</v>
      </c>
    </row>
    <row r="1091" spans="1:69" ht="12.75" customHeight="1" x14ac:dyDescent="0.2">
      <c r="A1091" s="2">
        <v>2580</v>
      </c>
      <c r="B1091" s="2" t="s">
        <v>39</v>
      </c>
      <c r="C1091" s="2" t="s">
        <v>94</v>
      </c>
      <c r="D1091" s="131" t="s">
        <v>3820</v>
      </c>
      <c r="E1091" s="2" t="s">
        <v>3635</v>
      </c>
      <c r="F1091" s="132">
        <v>42700</v>
      </c>
      <c r="G1091" s="132"/>
      <c r="H1091" s="132">
        <f t="shared" si="112"/>
        <v>42700</v>
      </c>
      <c r="I1091" s="132"/>
      <c r="J1091" s="132">
        <f t="shared" si="114"/>
        <v>42700</v>
      </c>
      <c r="K1091" s="132">
        <f t="shared" si="116"/>
        <v>0</v>
      </c>
      <c r="L1091" s="132">
        <f t="shared" si="103"/>
        <v>0</v>
      </c>
      <c r="M1091" s="133"/>
      <c r="N1091" s="133">
        <f t="shared" si="111"/>
        <v>0</v>
      </c>
      <c r="O1091" s="134">
        <v>1</v>
      </c>
      <c r="P1091" s="133"/>
      <c r="Q1091" s="2" t="s">
        <v>3818</v>
      </c>
      <c r="R1091" s="156">
        <f t="shared" si="104"/>
        <v>42700</v>
      </c>
      <c r="S1091" s="156">
        <f t="shared" si="105"/>
        <v>42700</v>
      </c>
      <c r="T1091" s="133">
        <v>0</v>
      </c>
      <c r="U1091" s="133"/>
      <c r="V1091" s="133">
        <v>42700</v>
      </c>
      <c r="W1091" s="133"/>
      <c r="X1091" s="133"/>
      <c r="Y1091" s="133">
        <v>6513.56</v>
      </c>
      <c r="Z1091" s="133"/>
      <c r="AA1091" s="133"/>
      <c r="AB1091" s="133"/>
      <c r="AC1091" s="133"/>
      <c r="AD1091" s="133"/>
      <c r="AE1091" s="133"/>
      <c r="AF1091" s="133"/>
      <c r="AG1091" s="133"/>
      <c r="AH1091" s="133"/>
      <c r="AI1091" s="133"/>
      <c r="AJ1091" s="133"/>
      <c r="AK1091" s="133">
        <v>36186.44</v>
      </c>
      <c r="AL1091" s="133"/>
      <c r="AM1091" s="133"/>
      <c r="AN1091" s="133"/>
      <c r="AO1091" s="133"/>
      <c r="AP1091" s="133"/>
      <c r="AQ1091" s="133"/>
      <c r="AR1091" s="133"/>
      <c r="AS1091" s="153">
        <v>0</v>
      </c>
      <c r="AT1091" s="153">
        <v>0</v>
      </c>
      <c r="AU1091" s="153">
        <v>0</v>
      </c>
      <c r="AV1091" s="153">
        <v>0</v>
      </c>
      <c r="AW1091" s="153">
        <v>0</v>
      </c>
      <c r="AX1091" s="153">
        <v>0</v>
      </c>
      <c r="AY1091" s="135"/>
      <c r="AZ1091" s="135"/>
      <c r="BA1091" s="135">
        <v>0</v>
      </c>
      <c r="BB1091" s="135">
        <v>0</v>
      </c>
      <c r="BC1091" s="135"/>
      <c r="BD1091" s="135"/>
      <c r="BE1091" s="135">
        <f t="shared" ref="BE1091:BE1103" si="120">(H1091/1.18-AT1091-AW1091-AZ1091-BD1091)*0.1-AU1091-AX1091-BA1091-BB1091</f>
        <v>3618.6440677966102</v>
      </c>
      <c r="BF1091" s="135"/>
      <c r="BG1091" s="135"/>
      <c r="BH1091" s="135"/>
      <c r="BI1091" s="2" t="s">
        <v>3773</v>
      </c>
      <c r="BJ1091" s="136">
        <v>45691</v>
      </c>
      <c r="BK1091" s="2" t="s">
        <v>109</v>
      </c>
      <c r="BL1091" s="136" t="s">
        <v>18</v>
      </c>
      <c r="BM1091" s="136">
        <v>45597</v>
      </c>
      <c r="BN1091" s="2" t="s">
        <v>3816</v>
      </c>
      <c r="BO1091" s="2" t="s">
        <v>3818</v>
      </c>
      <c r="BP1091" s="136"/>
      <c r="BQ1091" s="137" t="s">
        <v>119</v>
      </c>
    </row>
    <row r="1092" spans="1:69" ht="12.75" customHeight="1" x14ac:dyDescent="0.2">
      <c r="A1092" s="2">
        <v>2581</v>
      </c>
      <c r="B1092" s="2" t="s">
        <v>39</v>
      </c>
      <c r="C1092" s="2" t="s">
        <v>94</v>
      </c>
      <c r="D1092" s="131" t="s">
        <v>3821</v>
      </c>
      <c r="E1092" s="2" t="s">
        <v>3635</v>
      </c>
      <c r="F1092" s="132">
        <v>27000</v>
      </c>
      <c r="G1092" s="132"/>
      <c r="H1092" s="132">
        <f t="shared" si="112"/>
        <v>27000</v>
      </c>
      <c r="I1092" s="132"/>
      <c r="J1092" s="132">
        <f t="shared" si="114"/>
        <v>27000</v>
      </c>
      <c r="K1092" s="132">
        <f t="shared" si="116"/>
        <v>0</v>
      </c>
      <c r="L1092" s="132">
        <f t="shared" si="103"/>
        <v>0</v>
      </c>
      <c r="M1092" s="133"/>
      <c r="N1092" s="133">
        <f t="shared" si="111"/>
        <v>0</v>
      </c>
      <c r="O1092" s="134">
        <v>1</v>
      </c>
      <c r="P1092" s="133"/>
      <c r="Q1092" s="2" t="s">
        <v>3819</v>
      </c>
      <c r="R1092" s="156">
        <f t="shared" si="104"/>
        <v>27000</v>
      </c>
      <c r="S1092" s="156">
        <f t="shared" si="105"/>
        <v>27000</v>
      </c>
      <c r="T1092" s="133">
        <v>0</v>
      </c>
      <c r="U1092" s="133"/>
      <c r="V1092" s="133">
        <v>27000</v>
      </c>
      <c r="W1092" s="133"/>
      <c r="X1092" s="133"/>
      <c r="Y1092" s="133">
        <v>4118.6400000000003</v>
      </c>
      <c r="Z1092" s="133"/>
      <c r="AA1092" s="133"/>
      <c r="AB1092" s="133"/>
      <c r="AC1092" s="133"/>
      <c r="AD1092" s="133"/>
      <c r="AE1092" s="133"/>
      <c r="AF1092" s="133"/>
      <c r="AG1092" s="133"/>
      <c r="AH1092" s="133"/>
      <c r="AI1092" s="133"/>
      <c r="AJ1092" s="133"/>
      <c r="AK1092" s="133">
        <v>22881.360000000001</v>
      </c>
      <c r="AL1092" s="133"/>
      <c r="AM1092" s="133"/>
      <c r="AN1092" s="133"/>
      <c r="AO1092" s="133"/>
      <c r="AP1092" s="133"/>
      <c r="AQ1092" s="133"/>
      <c r="AR1092" s="133"/>
      <c r="AS1092" s="153">
        <v>0</v>
      </c>
      <c r="AT1092" s="153">
        <v>0</v>
      </c>
      <c r="AU1092" s="153">
        <v>0</v>
      </c>
      <c r="AV1092" s="153">
        <v>0</v>
      </c>
      <c r="AW1092" s="153">
        <v>0</v>
      </c>
      <c r="AX1092" s="153">
        <v>0</v>
      </c>
      <c r="AY1092" s="135"/>
      <c r="AZ1092" s="135"/>
      <c r="BA1092" s="135">
        <v>0</v>
      </c>
      <c r="BB1092" s="135">
        <v>0</v>
      </c>
      <c r="BC1092" s="135"/>
      <c r="BD1092" s="135"/>
      <c r="BE1092" s="135">
        <f t="shared" si="120"/>
        <v>2288.1355932203392</v>
      </c>
      <c r="BF1092" s="135"/>
      <c r="BG1092" s="135"/>
      <c r="BH1092" s="135"/>
      <c r="BI1092" s="2" t="s">
        <v>3773</v>
      </c>
      <c r="BJ1092" s="136">
        <v>45691</v>
      </c>
      <c r="BK1092" s="2" t="s">
        <v>109</v>
      </c>
      <c r="BL1092" s="136" t="s">
        <v>18</v>
      </c>
      <c r="BM1092" s="136">
        <v>45597</v>
      </c>
      <c r="BN1092" s="2" t="s">
        <v>3817</v>
      </c>
      <c r="BO1092" s="2" t="s">
        <v>3819</v>
      </c>
      <c r="BP1092" s="136"/>
      <c r="BQ1092" s="137" t="s">
        <v>119</v>
      </c>
    </row>
    <row r="1093" spans="1:69" ht="12.75" customHeight="1" x14ac:dyDescent="0.2">
      <c r="A1093" s="2">
        <v>2582</v>
      </c>
      <c r="B1093" s="2" t="s">
        <v>44</v>
      </c>
      <c r="C1093" s="2" t="s">
        <v>45</v>
      </c>
      <c r="D1093" s="2" t="s">
        <v>3824</v>
      </c>
      <c r="E1093" s="2" t="s">
        <v>3635</v>
      </c>
      <c r="F1093" s="132">
        <v>6500</v>
      </c>
      <c r="G1093" s="132"/>
      <c r="H1093" s="132">
        <f t="shared" si="112"/>
        <v>6500</v>
      </c>
      <c r="I1093" s="132"/>
      <c r="J1093" s="132">
        <f t="shared" si="114"/>
        <v>6500</v>
      </c>
      <c r="K1093" s="132">
        <f t="shared" si="116"/>
        <v>0</v>
      </c>
      <c r="L1093" s="132">
        <f t="shared" si="103"/>
        <v>0</v>
      </c>
      <c r="M1093" s="133"/>
      <c r="N1093" s="133">
        <f t="shared" si="111"/>
        <v>0</v>
      </c>
      <c r="O1093" s="134">
        <v>1</v>
      </c>
      <c r="P1093" s="133"/>
      <c r="Q1093" s="2" t="s">
        <v>3823</v>
      </c>
      <c r="R1093" s="156">
        <f t="shared" si="104"/>
        <v>6500</v>
      </c>
      <c r="S1093" s="156">
        <f t="shared" si="105"/>
        <v>6500</v>
      </c>
      <c r="T1093" s="133"/>
      <c r="U1093" s="133"/>
      <c r="V1093" s="133">
        <v>6500</v>
      </c>
      <c r="W1093" s="133"/>
      <c r="X1093" s="133"/>
      <c r="Y1093" s="133">
        <v>991.52499999999998</v>
      </c>
      <c r="Z1093" s="133"/>
      <c r="AA1093" s="133"/>
      <c r="AB1093" s="133"/>
      <c r="AC1093" s="133"/>
      <c r="AD1093" s="133"/>
      <c r="AE1093" s="133"/>
      <c r="AF1093" s="133"/>
      <c r="AG1093" s="133"/>
      <c r="AH1093" s="133"/>
      <c r="AI1093" s="133"/>
      <c r="AJ1093" s="133"/>
      <c r="AK1093" s="133">
        <v>5508.4750000000004</v>
      </c>
      <c r="AL1093" s="133"/>
      <c r="AM1093" s="133"/>
      <c r="AN1093" s="133"/>
      <c r="AO1093" s="133"/>
      <c r="AP1093" s="133"/>
      <c r="AQ1093" s="133"/>
      <c r="AR1093" s="133"/>
      <c r="AS1093" s="153">
        <v>0</v>
      </c>
      <c r="AT1093" s="153">
        <v>0</v>
      </c>
      <c r="AU1093" s="153">
        <v>0</v>
      </c>
      <c r="AV1093" s="153">
        <v>0</v>
      </c>
      <c r="AW1093" s="153">
        <v>0</v>
      </c>
      <c r="AX1093" s="153">
        <v>0</v>
      </c>
      <c r="AY1093" s="135"/>
      <c r="AZ1093" s="135"/>
      <c r="BA1093" s="135"/>
      <c r="BB1093" s="135"/>
      <c r="BC1093" s="135"/>
      <c r="BD1093" s="135"/>
      <c r="BE1093" s="135">
        <f t="shared" si="120"/>
        <v>550.84745762711862</v>
      </c>
      <c r="BF1093" s="135"/>
      <c r="BG1093" s="135"/>
      <c r="BH1093" s="135"/>
      <c r="BI1093" s="2" t="s">
        <v>3746</v>
      </c>
      <c r="BJ1093" s="136">
        <v>45691</v>
      </c>
      <c r="BK1093" s="2" t="s">
        <v>109</v>
      </c>
      <c r="BL1093" s="136" t="s">
        <v>113</v>
      </c>
      <c r="BM1093" s="136">
        <v>45635</v>
      </c>
      <c r="BN1093" s="2" t="s">
        <v>3641</v>
      </c>
      <c r="BO1093" s="2"/>
      <c r="BP1093" s="2"/>
      <c r="BQ1093" s="137" t="s">
        <v>119</v>
      </c>
    </row>
    <row r="1094" spans="1:69" ht="12.75" customHeight="1" x14ac:dyDescent="0.2">
      <c r="A1094" s="2">
        <v>2583</v>
      </c>
      <c r="B1094" s="2" t="s">
        <v>44</v>
      </c>
      <c r="C1094" s="131" t="s">
        <v>47</v>
      </c>
      <c r="D1094" s="2" t="s">
        <v>3825</v>
      </c>
      <c r="E1094" s="2" t="s">
        <v>3635</v>
      </c>
      <c r="F1094" s="132">
        <v>8500</v>
      </c>
      <c r="G1094" s="132"/>
      <c r="H1094" s="132">
        <f t="shared" si="112"/>
        <v>8500</v>
      </c>
      <c r="I1094" s="132"/>
      <c r="J1094" s="132">
        <f t="shared" si="114"/>
        <v>8500</v>
      </c>
      <c r="K1094" s="132">
        <f t="shared" si="116"/>
        <v>0</v>
      </c>
      <c r="L1094" s="132">
        <f t="shared" si="103"/>
        <v>0</v>
      </c>
      <c r="M1094" s="133"/>
      <c r="N1094" s="133">
        <f t="shared" si="111"/>
        <v>0</v>
      </c>
      <c r="O1094" s="134">
        <v>1</v>
      </c>
      <c r="P1094" s="133"/>
      <c r="Q1094" s="2" t="s">
        <v>3730</v>
      </c>
      <c r="R1094" s="156">
        <f t="shared" si="104"/>
        <v>8500</v>
      </c>
      <c r="S1094" s="156">
        <f t="shared" si="105"/>
        <v>8500</v>
      </c>
      <c r="T1094" s="133"/>
      <c r="U1094" s="133"/>
      <c r="V1094" s="133">
        <v>8500</v>
      </c>
      <c r="W1094" s="133"/>
      <c r="X1094" s="133"/>
      <c r="Y1094" s="133">
        <v>1296.6099999999999</v>
      </c>
      <c r="Z1094" s="133"/>
      <c r="AA1094" s="133"/>
      <c r="AB1094" s="133"/>
      <c r="AC1094" s="133"/>
      <c r="AD1094" s="133"/>
      <c r="AE1094" s="133"/>
      <c r="AF1094" s="133"/>
      <c r="AG1094" s="133"/>
      <c r="AH1094" s="133"/>
      <c r="AI1094" s="133"/>
      <c r="AJ1094" s="133"/>
      <c r="AK1094" s="133">
        <v>7203.39</v>
      </c>
      <c r="AL1094" s="133"/>
      <c r="AM1094" s="133"/>
      <c r="AN1094" s="133"/>
      <c r="AO1094" s="133"/>
      <c r="AP1094" s="133"/>
      <c r="AQ1094" s="133"/>
      <c r="AR1094" s="133"/>
      <c r="AS1094" s="153">
        <v>0</v>
      </c>
      <c r="AT1094" s="153">
        <v>0</v>
      </c>
      <c r="AU1094" s="153">
        <v>0</v>
      </c>
      <c r="AV1094" s="153">
        <v>0</v>
      </c>
      <c r="AW1094" s="153">
        <v>0</v>
      </c>
      <c r="AX1094" s="153">
        <v>0</v>
      </c>
      <c r="AY1094" s="135"/>
      <c r="AZ1094" s="135"/>
      <c r="BA1094" s="135"/>
      <c r="BB1094" s="135"/>
      <c r="BC1094" s="135"/>
      <c r="BD1094" s="135"/>
      <c r="BE1094" s="135">
        <f t="shared" si="120"/>
        <v>720.33898305084756</v>
      </c>
      <c r="BF1094" s="135"/>
      <c r="BG1094" s="135"/>
      <c r="BH1094" s="135"/>
      <c r="BI1094" s="2" t="s">
        <v>3746</v>
      </c>
      <c r="BJ1094" s="136">
        <v>45692</v>
      </c>
      <c r="BK1094" s="2" t="s">
        <v>109</v>
      </c>
      <c r="BL1094" s="136" t="s">
        <v>113</v>
      </c>
      <c r="BM1094" s="136">
        <v>45635</v>
      </c>
      <c r="BN1094" s="2" t="s">
        <v>3641</v>
      </c>
      <c r="BO1094" s="2"/>
      <c r="BP1094" s="2"/>
      <c r="BQ1094" s="137" t="s">
        <v>119</v>
      </c>
    </row>
    <row r="1095" spans="1:69" ht="12.75" customHeight="1" x14ac:dyDescent="0.2">
      <c r="A1095" s="2">
        <v>2584</v>
      </c>
      <c r="B1095" s="2" t="s">
        <v>104</v>
      </c>
      <c r="C1095" s="2" t="s">
        <v>104</v>
      </c>
      <c r="D1095" s="131" t="s">
        <v>3826</v>
      </c>
      <c r="E1095" s="2" t="s">
        <v>3635</v>
      </c>
      <c r="F1095" s="132">
        <v>27000</v>
      </c>
      <c r="G1095" s="132"/>
      <c r="H1095" s="132">
        <f t="shared" si="112"/>
        <v>27000</v>
      </c>
      <c r="I1095" s="132"/>
      <c r="J1095" s="132">
        <f t="shared" si="114"/>
        <v>27000</v>
      </c>
      <c r="K1095" s="132">
        <f t="shared" si="116"/>
        <v>0</v>
      </c>
      <c r="L1095" s="132">
        <f t="shared" si="103"/>
        <v>0</v>
      </c>
      <c r="M1095" s="133"/>
      <c r="N1095" s="133">
        <f t="shared" si="111"/>
        <v>0</v>
      </c>
      <c r="O1095" s="134">
        <v>1</v>
      </c>
      <c r="P1095" s="133"/>
      <c r="Q1095" s="2" t="s">
        <v>3729</v>
      </c>
      <c r="R1095" s="156">
        <f t="shared" si="104"/>
        <v>27000</v>
      </c>
      <c r="S1095" s="156">
        <f t="shared" si="105"/>
        <v>27000</v>
      </c>
      <c r="T1095" s="133"/>
      <c r="U1095" s="133"/>
      <c r="V1095" s="133">
        <v>27000</v>
      </c>
      <c r="W1095" s="133"/>
      <c r="X1095" s="133"/>
      <c r="Y1095" s="133">
        <v>4118.6400000000003</v>
      </c>
      <c r="Z1095" s="133"/>
      <c r="AA1095" s="133"/>
      <c r="AB1095" s="133"/>
      <c r="AC1095" s="133"/>
      <c r="AD1095" s="133"/>
      <c r="AE1095" s="133"/>
      <c r="AF1095" s="133"/>
      <c r="AG1095" s="133"/>
      <c r="AH1095" s="133"/>
      <c r="AI1095" s="133"/>
      <c r="AJ1095" s="133"/>
      <c r="AK1095" s="133">
        <v>22881.360000000001</v>
      </c>
      <c r="AL1095" s="133"/>
      <c r="AM1095" s="133"/>
      <c r="AN1095" s="133"/>
      <c r="AO1095" s="133"/>
      <c r="AP1095" s="133"/>
      <c r="AQ1095" s="133"/>
      <c r="AR1095" s="133"/>
      <c r="AS1095" s="153">
        <v>0</v>
      </c>
      <c r="AT1095" s="153">
        <v>0</v>
      </c>
      <c r="AU1095" s="153">
        <v>0</v>
      </c>
      <c r="AV1095" s="153">
        <v>0</v>
      </c>
      <c r="AW1095" s="153">
        <v>0</v>
      </c>
      <c r="AX1095" s="153">
        <v>0</v>
      </c>
      <c r="AY1095" s="135"/>
      <c r="AZ1095" s="135"/>
      <c r="BA1095" s="135"/>
      <c r="BB1095" s="135"/>
      <c r="BC1095" s="135"/>
      <c r="BD1095" s="135"/>
      <c r="BE1095" s="135">
        <f t="shared" si="120"/>
        <v>2288.1355932203392</v>
      </c>
      <c r="BF1095" s="135"/>
      <c r="BG1095" s="135"/>
      <c r="BH1095" s="135"/>
      <c r="BI1095" s="2" t="s">
        <v>3746</v>
      </c>
      <c r="BJ1095" s="136">
        <v>45691</v>
      </c>
      <c r="BK1095" s="2" t="s">
        <v>109</v>
      </c>
      <c r="BL1095" s="136" t="s">
        <v>18</v>
      </c>
      <c r="BM1095" s="136">
        <v>45635</v>
      </c>
      <c r="BN1095" s="2" t="s">
        <v>3636</v>
      </c>
      <c r="BO1095" s="2"/>
      <c r="BP1095" s="2"/>
      <c r="BQ1095" s="137" t="s">
        <v>119</v>
      </c>
    </row>
    <row r="1096" spans="1:69" ht="12.75" customHeight="1" x14ac:dyDescent="0.2">
      <c r="A1096" s="2">
        <v>2585</v>
      </c>
      <c r="B1096" s="2" t="s">
        <v>44</v>
      </c>
      <c r="C1096" s="2" t="s">
        <v>45</v>
      </c>
      <c r="D1096" s="2" t="s">
        <v>3827</v>
      </c>
      <c r="E1096" s="2" t="s">
        <v>3635</v>
      </c>
      <c r="F1096" s="132">
        <v>8500</v>
      </c>
      <c r="G1096" s="132"/>
      <c r="H1096" s="132">
        <f t="shared" si="112"/>
        <v>8500</v>
      </c>
      <c r="I1096" s="132"/>
      <c r="J1096" s="132">
        <f t="shared" si="114"/>
        <v>8500</v>
      </c>
      <c r="K1096" s="132">
        <f t="shared" si="116"/>
        <v>0</v>
      </c>
      <c r="L1096" s="132">
        <f t="shared" si="103"/>
        <v>0</v>
      </c>
      <c r="M1096" s="133"/>
      <c r="N1096" s="133">
        <f t="shared" si="111"/>
        <v>0</v>
      </c>
      <c r="O1096" s="134">
        <v>1</v>
      </c>
      <c r="P1096" s="133"/>
      <c r="Q1096" s="2" t="s">
        <v>3730</v>
      </c>
      <c r="R1096" s="156">
        <f t="shared" si="104"/>
        <v>8500</v>
      </c>
      <c r="S1096" s="156">
        <f t="shared" si="105"/>
        <v>8500</v>
      </c>
      <c r="T1096" s="133"/>
      <c r="U1096" s="133"/>
      <c r="V1096" s="133">
        <v>8500</v>
      </c>
      <c r="W1096" s="133"/>
      <c r="X1096" s="133"/>
      <c r="Y1096" s="133">
        <v>1296.6099999999999</v>
      </c>
      <c r="Z1096" s="133"/>
      <c r="AA1096" s="133"/>
      <c r="AB1096" s="133"/>
      <c r="AC1096" s="133"/>
      <c r="AD1096" s="133"/>
      <c r="AE1096" s="133"/>
      <c r="AF1096" s="133"/>
      <c r="AG1096" s="133"/>
      <c r="AH1096" s="133"/>
      <c r="AI1096" s="133"/>
      <c r="AJ1096" s="133"/>
      <c r="AK1096" s="133">
        <v>7203.39</v>
      </c>
      <c r="AL1096" s="133"/>
      <c r="AM1096" s="133"/>
      <c r="AN1096" s="133"/>
      <c r="AO1096" s="133"/>
      <c r="AP1096" s="133"/>
      <c r="AQ1096" s="133"/>
      <c r="AR1096" s="133"/>
      <c r="AS1096" s="153">
        <v>0</v>
      </c>
      <c r="AT1096" s="153">
        <v>0</v>
      </c>
      <c r="AU1096" s="153">
        <v>0</v>
      </c>
      <c r="AV1096" s="153">
        <v>0</v>
      </c>
      <c r="AW1096" s="153">
        <v>0</v>
      </c>
      <c r="AX1096" s="153">
        <v>0</v>
      </c>
      <c r="AY1096" s="135"/>
      <c r="AZ1096" s="135"/>
      <c r="BA1096" s="135"/>
      <c r="BB1096" s="135"/>
      <c r="BC1096" s="135"/>
      <c r="BD1096" s="135"/>
      <c r="BE1096" s="135">
        <f t="shared" si="120"/>
        <v>720.33898305084756</v>
      </c>
      <c r="BF1096" s="135"/>
      <c r="BG1096" s="135"/>
      <c r="BH1096" s="135"/>
      <c r="BI1096" s="2" t="s">
        <v>3746</v>
      </c>
      <c r="BJ1096" s="136">
        <v>45691</v>
      </c>
      <c r="BK1096" s="2" t="s">
        <v>109</v>
      </c>
      <c r="BL1096" s="136" t="s">
        <v>113</v>
      </c>
      <c r="BM1096" s="136">
        <v>45635</v>
      </c>
      <c r="BN1096" s="2" t="s">
        <v>3641</v>
      </c>
      <c r="BO1096" s="2"/>
      <c r="BP1096" s="2"/>
      <c r="BQ1096" s="137" t="s">
        <v>119</v>
      </c>
    </row>
    <row r="1097" spans="1:69" ht="12.75" customHeight="1" x14ac:dyDescent="0.2">
      <c r="A1097" s="2">
        <v>2586</v>
      </c>
      <c r="B1097" s="2" t="s">
        <v>44</v>
      </c>
      <c r="C1097" s="2" t="s">
        <v>45</v>
      </c>
      <c r="D1097" s="2" t="s">
        <v>3828</v>
      </c>
      <c r="E1097" s="2" t="s">
        <v>3635</v>
      </c>
      <c r="F1097" s="132">
        <v>6500</v>
      </c>
      <c r="G1097" s="132"/>
      <c r="H1097" s="132">
        <f t="shared" si="112"/>
        <v>6500</v>
      </c>
      <c r="I1097" s="132"/>
      <c r="J1097" s="132">
        <f t="shared" si="114"/>
        <v>6500</v>
      </c>
      <c r="K1097" s="132">
        <f t="shared" si="116"/>
        <v>0</v>
      </c>
      <c r="L1097" s="132">
        <f t="shared" si="103"/>
        <v>0</v>
      </c>
      <c r="M1097" s="133"/>
      <c r="N1097" s="133">
        <f t="shared" si="111"/>
        <v>0</v>
      </c>
      <c r="O1097" s="134">
        <v>1</v>
      </c>
      <c r="P1097" s="133"/>
      <c r="Q1097" s="2" t="s">
        <v>3823</v>
      </c>
      <c r="R1097" s="156">
        <f t="shared" si="104"/>
        <v>6500</v>
      </c>
      <c r="S1097" s="156">
        <f t="shared" si="105"/>
        <v>6500</v>
      </c>
      <c r="T1097" s="133"/>
      <c r="U1097" s="133"/>
      <c r="V1097" s="133">
        <v>6500</v>
      </c>
      <c r="W1097" s="133"/>
      <c r="X1097" s="133"/>
      <c r="Y1097" s="133">
        <v>991.52499999999998</v>
      </c>
      <c r="Z1097" s="133"/>
      <c r="AA1097" s="133"/>
      <c r="AB1097" s="133"/>
      <c r="AC1097" s="133"/>
      <c r="AD1097" s="133"/>
      <c r="AE1097" s="133"/>
      <c r="AF1097" s="133"/>
      <c r="AG1097" s="133"/>
      <c r="AH1097" s="133"/>
      <c r="AI1097" s="133"/>
      <c r="AJ1097" s="133"/>
      <c r="AK1097" s="133">
        <v>5508.4750000000004</v>
      </c>
      <c r="AL1097" s="133"/>
      <c r="AM1097" s="133"/>
      <c r="AN1097" s="133"/>
      <c r="AO1097" s="133"/>
      <c r="AP1097" s="133"/>
      <c r="AQ1097" s="133"/>
      <c r="AR1097" s="133"/>
      <c r="AS1097" s="153">
        <v>0</v>
      </c>
      <c r="AT1097" s="153">
        <v>0</v>
      </c>
      <c r="AU1097" s="153">
        <v>0</v>
      </c>
      <c r="AV1097" s="153">
        <v>0</v>
      </c>
      <c r="AW1097" s="153">
        <v>0</v>
      </c>
      <c r="AX1097" s="153">
        <v>0</v>
      </c>
      <c r="AY1097" s="135"/>
      <c r="AZ1097" s="135"/>
      <c r="BA1097" s="135"/>
      <c r="BB1097" s="135"/>
      <c r="BC1097" s="135"/>
      <c r="BD1097" s="135"/>
      <c r="BE1097" s="135">
        <f t="shared" si="120"/>
        <v>550.84745762711862</v>
      </c>
      <c r="BF1097" s="135"/>
      <c r="BG1097" s="135"/>
      <c r="BH1097" s="135"/>
      <c r="BI1097" s="2" t="s">
        <v>3746</v>
      </c>
      <c r="BJ1097" s="136">
        <v>45691</v>
      </c>
      <c r="BK1097" s="2" t="s">
        <v>109</v>
      </c>
      <c r="BL1097" s="136" t="s">
        <v>113</v>
      </c>
      <c r="BM1097" s="136">
        <v>45635</v>
      </c>
      <c r="BN1097" s="2" t="s">
        <v>3641</v>
      </c>
      <c r="BO1097" s="2"/>
      <c r="BP1097" s="2"/>
      <c r="BQ1097" s="137" t="s">
        <v>119</v>
      </c>
    </row>
    <row r="1098" spans="1:69" ht="12.75" customHeight="1" x14ac:dyDescent="0.2">
      <c r="A1098" s="2">
        <v>2587</v>
      </c>
      <c r="B1098" s="2" t="s">
        <v>44</v>
      </c>
      <c r="C1098" s="2" t="s">
        <v>45</v>
      </c>
      <c r="D1098" s="2" t="s">
        <v>3829</v>
      </c>
      <c r="E1098" s="2" t="s">
        <v>3635</v>
      </c>
      <c r="F1098" s="132">
        <v>8500</v>
      </c>
      <c r="G1098" s="132"/>
      <c r="H1098" s="132">
        <f t="shared" si="112"/>
        <v>8500</v>
      </c>
      <c r="I1098" s="132"/>
      <c r="J1098" s="132">
        <f t="shared" si="114"/>
        <v>8500</v>
      </c>
      <c r="K1098" s="132">
        <f t="shared" si="116"/>
        <v>0</v>
      </c>
      <c r="L1098" s="132">
        <f t="shared" si="103"/>
        <v>0</v>
      </c>
      <c r="M1098" s="133"/>
      <c r="N1098" s="133">
        <f t="shared" si="111"/>
        <v>0</v>
      </c>
      <c r="O1098" s="134">
        <v>1</v>
      </c>
      <c r="P1098" s="133"/>
      <c r="Q1098" s="2" t="s">
        <v>3730</v>
      </c>
      <c r="R1098" s="156">
        <f t="shared" si="104"/>
        <v>8500</v>
      </c>
      <c r="S1098" s="156">
        <f t="shared" si="105"/>
        <v>8500</v>
      </c>
      <c r="T1098" s="133"/>
      <c r="U1098" s="133"/>
      <c r="V1098" s="133">
        <v>8500</v>
      </c>
      <c r="W1098" s="133"/>
      <c r="X1098" s="133"/>
      <c r="Y1098" s="133">
        <v>1296.6099999999999</v>
      </c>
      <c r="Z1098" s="133"/>
      <c r="AA1098" s="133"/>
      <c r="AB1098" s="133"/>
      <c r="AC1098" s="133"/>
      <c r="AD1098" s="133"/>
      <c r="AE1098" s="133"/>
      <c r="AF1098" s="133"/>
      <c r="AG1098" s="133"/>
      <c r="AH1098" s="133"/>
      <c r="AI1098" s="133"/>
      <c r="AJ1098" s="133"/>
      <c r="AK1098" s="133">
        <v>7203.39</v>
      </c>
      <c r="AL1098" s="133"/>
      <c r="AM1098" s="133"/>
      <c r="AN1098" s="133"/>
      <c r="AO1098" s="133"/>
      <c r="AP1098" s="133"/>
      <c r="AQ1098" s="133"/>
      <c r="AR1098" s="133"/>
      <c r="AS1098" s="153">
        <v>0</v>
      </c>
      <c r="AT1098" s="153">
        <v>0</v>
      </c>
      <c r="AU1098" s="153">
        <v>0</v>
      </c>
      <c r="AV1098" s="153">
        <v>0</v>
      </c>
      <c r="AW1098" s="153">
        <v>0</v>
      </c>
      <c r="AX1098" s="153">
        <v>0</v>
      </c>
      <c r="AY1098" s="135"/>
      <c r="AZ1098" s="135"/>
      <c r="BA1098" s="135"/>
      <c r="BB1098" s="135"/>
      <c r="BC1098" s="135"/>
      <c r="BD1098" s="135"/>
      <c r="BE1098" s="135">
        <f t="shared" si="120"/>
        <v>720.33898305084756</v>
      </c>
      <c r="BF1098" s="135"/>
      <c r="BG1098" s="135"/>
      <c r="BH1098" s="135"/>
      <c r="BI1098" s="2" t="s">
        <v>3746</v>
      </c>
      <c r="BJ1098" s="136">
        <v>45691</v>
      </c>
      <c r="BK1098" s="2" t="s">
        <v>109</v>
      </c>
      <c r="BL1098" s="136" t="s">
        <v>113</v>
      </c>
      <c r="BM1098" s="136">
        <v>45635</v>
      </c>
      <c r="BN1098" s="2" t="s">
        <v>3641</v>
      </c>
      <c r="BO1098" s="2"/>
      <c r="BP1098" s="2"/>
      <c r="BQ1098" s="137" t="s">
        <v>119</v>
      </c>
    </row>
    <row r="1099" spans="1:69" ht="12.75" customHeight="1" x14ac:dyDescent="0.2">
      <c r="A1099" s="2">
        <v>2588</v>
      </c>
      <c r="B1099" s="2" t="s">
        <v>44</v>
      </c>
      <c r="C1099" s="2" t="s">
        <v>45</v>
      </c>
      <c r="D1099" s="2" t="s">
        <v>3830</v>
      </c>
      <c r="E1099" s="2" t="s">
        <v>3635</v>
      </c>
      <c r="F1099" s="132">
        <v>27000</v>
      </c>
      <c r="G1099" s="132"/>
      <c r="H1099" s="132">
        <f t="shared" si="112"/>
        <v>27000</v>
      </c>
      <c r="I1099" s="132"/>
      <c r="J1099" s="132">
        <f t="shared" si="114"/>
        <v>27000</v>
      </c>
      <c r="K1099" s="132">
        <f t="shared" si="116"/>
        <v>0</v>
      </c>
      <c r="L1099" s="132">
        <f t="shared" ref="L1099:L1162" si="121">H1099-J1099</f>
        <v>0</v>
      </c>
      <c r="M1099" s="133"/>
      <c r="N1099" s="133">
        <f t="shared" si="111"/>
        <v>0</v>
      </c>
      <c r="O1099" s="134">
        <v>1</v>
      </c>
      <c r="P1099" s="133"/>
      <c r="Q1099" s="2" t="s">
        <v>3729</v>
      </c>
      <c r="R1099" s="156">
        <f t="shared" ref="R1099:R1162" si="122">T1099+V1099+X1099+Z1099+AB1099+AD1099+AF1099+AH1099+AJ1099+AL1099+AN1099+AP1099</f>
        <v>27000</v>
      </c>
      <c r="S1099" s="156">
        <f t="shared" ref="S1099:S1162" si="123">U1099+W1099+Y1099+AA1099+AC1099+AE1099+AG1099+AI1099+AK1099+AM1099+AO1099+AQ1099</f>
        <v>27000</v>
      </c>
      <c r="T1099" s="133"/>
      <c r="U1099" s="133"/>
      <c r="V1099" s="133">
        <v>27000</v>
      </c>
      <c r="W1099" s="133"/>
      <c r="X1099" s="133"/>
      <c r="Y1099" s="133">
        <v>4118.6400000000003</v>
      </c>
      <c r="Z1099" s="133"/>
      <c r="AA1099" s="133"/>
      <c r="AB1099" s="133"/>
      <c r="AC1099" s="133"/>
      <c r="AD1099" s="133"/>
      <c r="AE1099" s="133"/>
      <c r="AF1099" s="133"/>
      <c r="AG1099" s="133"/>
      <c r="AH1099" s="133"/>
      <c r="AI1099" s="133"/>
      <c r="AJ1099" s="133"/>
      <c r="AK1099" s="133">
        <v>22881.360000000001</v>
      </c>
      <c r="AL1099" s="133"/>
      <c r="AM1099" s="133"/>
      <c r="AN1099" s="133"/>
      <c r="AO1099" s="133"/>
      <c r="AP1099" s="133"/>
      <c r="AQ1099" s="133"/>
      <c r="AR1099" s="133"/>
      <c r="AS1099" s="153">
        <v>0</v>
      </c>
      <c r="AT1099" s="153">
        <v>0</v>
      </c>
      <c r="AU1099" s="153">
        <v>0</v>
      </c>
      <c r="AV1099" s="153">
        <v>0</v>
      </c>
      <c r="AW1099" s="153">
        <v>0</v>
      </c>
      <c r="AX1099" s="153">
        <v>0</v>
      </c>
      <c r="AY1099" s="135"/>
      <c r="AZ1099" s="135"/>
      <c r="BA1099" s="135"/>
      <c r="BB1099" s="135"/>
      <c r="BC1099" s="135"/>
      <c r="BD1099" s="135"/>
      <c r="BE1099" s="135">
        <f t="shared" si="120"/>
        <v>2288.1355932203392</v>
      </c>
      <c r="BF1099" s="135"/>
      <c r="BG1099" s="135"/>
      <c r="BH1099" s="135"/>
      <c r="BI1099" s="2" t="s">
        <v>3746</v>
      </c>
      <c r="BJ1099" s="136">
        <v>45691</v>
      </c>
      <c r="BK1099" s="2" t="s">
        <v>109</v>
      </c>
      <c r="BL1099" s="136" t="s">
        <v>113</v>
      </c>
      <c r="BM1099" s="136">
        <v>45635</v>
      </c>
      <c r="BN1099" s="2" t="s">
        <v>3641</v>
      </c>
      <c r="BO1099" s="2"/>
      <c r="BP1099" s="2"/>
      <c r="BQ1099" s="137" t="s">
        <v>119</v>
      </c>
    </row>
    <row r="1100" spans="1:69" ht="12.75" customHeight="1" x14ac:dyDescent="0.2">
      <c r="A1100" s="2">
        <v>2589</v>
      </c>
      <c r="B1100" s="2" t="s">
        <v>44</v>
      </c>
      <c r="C1100" s="2" t="s">
        <v>45</v>
      </c>
      <c r="D1100" s="2" t="s">
        <v>3831</v>
      </c>
      <c r="E1100" s="2" t="s">
        <v>3635</v>
      </c>
      <c r="F1100" s="132">
        <v>8500</v>
      </c>
      <c r="G1100" s="132"/>
      <c r="H1100" s="132">
        <f t="shared" si="112"/>
        <v>8500</v>
      </c>
      <c r="I1100" s="132"/>
      <c r="J1100" s="132">
        <f t="shared" si="114"/>
        <v>8500</v>
      </c>
      <c r="K1100" s="132">
        <f t="shared" si="116"/>
        <v>0</v>
      </c>
      <c r="L1100" s="132">
        <f t="shared" si="121"/>
        <v>0</v>
      </c>
      <c r="M1100" s="133"/>
      <c r="N1100" s="133">
        <f t="shared" si="111"/>
        <v>0</v>
      </c>
      <c r="O1100" s="134">
        <v>1</v>
      </c>
      <c r="P1100" s="133"/>
      <c r="Q1100" s="2" t="s">
        <v>3730</v>
      </c>
      <c r="R1100" s="156">
        <f t="shared" si="122"/>
        <v>8500</v>
      </c>
      <c r="S1100" s="156">
        <f t="shared" si="123"/>
        <v>8500</v>
      </c>
      <c r="T1100" s="133"/>
      <c r="U1100" s="133"/>
      <c r="V1100" s="133">
        <v>8500</v>
      </c>
      <c r="W1100" s="133"/>
      <c r="X1100" s="133"/>
      <c r="Y1100" s="133">
        <v>1296.6099999999999</v>
      </c>
      <c r="Z1100" s="133"/>
      <c r="AA1100" s="133"/>
      <c r="AB1100" s="133"/>
      <c r="AC1100" s="133"/>
      <c r="AD1100" s="133"/>
      <c r="AE1100" s="133"/>
      <c r="AF1100" s="133"/>
      <c r="AG1100" s="133"/>
      <c r="AH1100" s="133"/>
      <c r="AI1100" s="133"/>
      <c r="AJ1100" s="133"/>
      <c r="AK1100" s="133">
        <v>7203.39</v>
      </c>
      <c r="AL1100" s="133"/>
      <c r="AM1100" s="133"/>
      <c r="AN1100" s="133"/>
      <c r="AO1100" s="133"/>
      <c r="AP1100" s="133"/>
      <c r="AQ1100" s="133"/>
      <c r="AR1100" s="133"/>
      <c r="AS1100" s="153">
        <v>0</v>
      </c>
      <c r="AT1100" s="153">
        <v>0</v>
      </c>
      <c r="AU1100" s="153">
        <v>0</v>
      </c>
      <c r="AV1100" s="153">
        <v>0</v>
      </c>
      <c r="AW1100" s="153">
        <v>0</v>
      </c>
      <c r="AX1100" s="153">
        <v>0</v>
      </c>
      <c r="AY1100" s="135"/>
      <c r="AZ1100" s="135"/>
      <c r="BA1100" s="135"/>
      <c r="BB1100" s="135"/>
      <c r="BC1100" s="135"/>
      <c r="BD1100" s="135"/>
      <c r="BE1100" s="135">
        <f t="shared" si="120"/>
        <v>720.33898305084756</v>
      </c>
      <c r="BF1100" s="135"/>
      <c r="BG1100" s="135"/>
      <c r="BH1100" s="135"/>
      <c r="BI1100" s="2" t="s">
        <v>3746</v>
      </c>
      <c r="BJ1100" s="136">
        <v>45691</v>
      </c>
      <c r="BK1100" s="2" t="s">
        <v>109</v>
      </c>
      <c r="BL1100" s="136" t="s">
        <v>113</v>
      </c>
      <c r="BM1100" s="136">
        <v>45635</v>
      </c>
      <c r="BN1100" s="2" t="s">
        <v>3641</v>
      </c>
      <c r="BO1100" s="2"/>
      <c r="BP1100" s="2"/>
      <c r="BQ1100" s="137" t="s">
        <v>119</v>
      </c>
    </row>
    <row r="1101" spans="1:69" ht="12.75" customHeight="1" x14ac:dyDescent="0.2">
      <c r="A1101" s="2">
        <v>2590</v>
      </c>
      <c r="B1101" s="2" t="s">
        <v>104</v>
      </c>
      <c r="C1101" s="2" t="s">
        <v>104</v>
      </c>
      <c r="D1101" s="131" t="s">
        <v>3833</v>
      </c>
      <c r="E1101" s="2" t="s">
        <v>3635</v>
      </c>
      <c r="F1101" s="132">
        <v>13000</v>
      </c>
      <c r="G1101" s="132"/>
      <c r="H1101" s="132">
        <f t="shared" si="112"/>
        <v>13000</v>
      </c>
      <c r="I1101" s="132"/>
      <c r="J1101" s="132">
        <f t="shared" si="114"/>
        <v>13000</v>
      </c>
      <c r="K1101" s="132">
        <f t="shared" si="116"/>
        <v>0</v>
      </c>
      <c r="L1101" s="132">
        <f t="shared" si="121"/>
        <v>0</v>
      </c>
      <c r="M1101" s="133"/>
      <c r="N1101" s="133">
        <f t="shared" si="111"/>
        <v>0</v>
      </c>
      <c r="O1101" s="134">
        <v>1</v>
      </c>
      <c r="P1101" s="133"/>
      <c r="Q1101" s="2" t="s">
        <v>3823</v>
      </c>
      <c r="R1101" s="156">
        <f t="shared" si="122"/>
        <v>13000</v>
      </c>
      <c r="S1101" s="156">
        <f t="shared" si="123"/>
        <v>13000</v>
      </c>
      <c r="T1101" s="133"/>
      <c r="U1101" s="133"/>
      <c r="V1101" s="133">
        <f>6500+6500</f>
        <v>13000</v>
      </c>
      <c r="W1101" s="133"/>
      <c r="X1101" s="133"/>
      <c r="Y1101" s="133">
        <v>1983.05</v>
      </c>
      <c r="Z1101" s="133"/>
      <c r="AA1101" s="133"/>
      <c r="AB1101" s="133"/>
      <c r="AC1101" s="133"/>
      <c r="AD1101" s="133"/>
      <c r="AE1101" s="133"/>
      <c r="AF1101" s="133"/>
      <c r="AG1101" s="133"/>
      <c r="AH1101" s="133"/>
      <c r="AI1101" s="133"/>
      <c r="AJ1101" s="133"/>
      <c r="AK1101" s="133">
        <v>11016.95</v>
      </c>
      <c r="AL1101" s="133"/>
      <c r="AM1101" s="133"/>
      <c r="AN1101" s="133"/>
      <c r="AO1101" s="133"/>
      <c r="AP1101" s="133"/>
      <c r="AQ1101" s="133"/>
      <c r="AR1101" s="133"/>
      <c r="AS1101" s="153">
        <v>0</v>
      </c>
      <c r="AT1101" s="153">
        <v>0</v>
      </c>
      <c r="AU1101" s="153">
        <v>0</v>
      </c>
      <c r="AV1101" s="153">
        <v>0</v>
      </c>
      <c r="AW1101" s="153">
        <v>0</v>
      </c>
      <c r="AX1101" s="153">
        <v>0</v>
      </c>
      <c r="AY1101" s="135"/>
      <c r="AZ1101" s="135"/>
      <c r="BA1101" s="135"/>
      <c r="BB1101" s="135"/>
      <c r="BC1101" s="135"/>
      <c r="BD1101" s="135"/>
      <c r="BE1101" s="135">
        <f t="shared" si="120"/>
        <v>1101.6949152542372</v>
      </c>
      <c r="BF1101" s="135"/>
      <c r="BG1101" s="135"/>
      <c r="BH1101" s="135"/>
      <c r="BI1101" s="2" t="s">
        <v>3746</v>
      </c>
      <c r="BJ1101" s="136">
        <v>45691</v>
      </c>
      <c r="BK1101" s="2" t="s">
        <v>109</v>
      </c>
      <c r="BL1101" s="136" t="s">
        <v>18</v>
      </c>
      <c r="BM1101" s="136">
        <v>45635</v>
      </c>
      <c r="BN1101" s="2" t="s">
        <v>3636</v>
      </c>
      <c r="BO1101" s="2"/>
      <c r="BP1101" s="2"/>
      <c r="BQ1101" s="137" t="s">
        <v>119</v>
      </c>
    </row>
    <row r="1102" spans="1:69" ht="12.75" customHeight="1" x14ac:dyDescent="0.2">
      <c r="A1102" s="2">
        <v>2591</v>
      </c>
      <c r="B1102" s="2" t="s">
        <v>54</v>
      </c>
      <c r="C1102" s="2" t="s">
        <v>96</v>
      </c>
      <c r="D1102" s="131" t="s">
        <v>3840</v>
      </c>
      <c r="E1102" s="2" t="s">
        <v>3635</v>
      </c>
      <c r="F1102" s="132">
        <v>8500</v>
      </c>
      <c r="G1102" s="132"/>
      <c r="H1102" s="132">
        <f t="shared" si="112"/>
        <v>8500</v>
      </c>
      <c r="I1102" s="132"/>
      <c r="J1102" s="132">
        <f t="shared" si="114"/>
        <v>8500</v>
      </c>
      <c r="K1102" s="132">
        <f t="shared" si="116"/>
        <v>0</v>
      </c>
      <c r="L1102" s="132">
        <f t="shared" si="121"/>
        <v>0</v>
      </c>
      <c r="M1102" s="133"/>
      <c r="N1102" s="133">
        <f t="shared" si="111"/>
        <v>0</v>
      </c>
      <c r="O1102" s="134">
        <v>1</v>
      </c>
      <c r="P1102" s="133"/>
      <c r="Q1102" s="2" t="s">
        <v>3730</v>
      </c>
      <c r="R1102" s="156">
        <f t="shared" si="122"/>
        <v>8500</v>
      </c>
      <c r="S1102" s="156">
        <f t="shared" si="123"/>
        <v>8500</v>
      </c>
      <c r="T1102" s="133"/>
      <c r="U1102" s="133"/>
      <c r="V1102" s="133">
        <v>8500</v>
      </c>
      <c r="W1102" s="133"/>
      <c r="X1102" s="133"/>
      <c r="Y1102" s="133">
        <v>1296.6099999999999</v>
      </c>
      <c r="Z1102" s="133"/>
      <c r="AA1102" s="133"/>
      <c r="AB1102" s="133"/>
      <c r="AC1102" s="133"/>
      <c r="AD1102" s="133"/>
      <c r="AE1102" s="133"/>
      <c r="AF1102" s="133"/>
      <c r="AG1102" s="133"/>
      <c r="AH1102" s="133"/>
      <c r="AI1102" s="133"/>
      <c r="AJ1102" s="133"/>
      <c r="AK1102" s="133">
        <v>7203.39</v>
      </c>
      <c r="AL1102" s="133"/>
      <c r="AM1102" s="133"/>
      <c r="AN1102" s="133"/>
      <c r="AO1102" s="133"/>
      <c r="AP1102" s="133"/>
      <c r="AQ1102" s="133"/>
      <c r="AR1102" s="133"/>
      <c r="AS1102" s="153">
        <v>0</v>
      </c>
      <c r="AT1102" s="153">
        <v>0</v>
      </c>
      <c r="AU1102" s="153">
        <v>0</v>
      </c>
      <c r="AV1102" s="153">
        <v>0</v>
      </c>
      <c r="AW1102" s="153">
        <v>0</v>
      </c>
      <c r="AX1102" s="153">
        <v>0</v>
      </c>
      <c r="AY1102" s="135"/>
      <c r="AZ1102" s="135"/>
      <c r="BA1102" s="135"/>
      <c r="BB1102" s="135"/>
      <c r="BC1102" s="135"/>
      <c r="BD1102" s="135"/>
      <c r="BE1102" s="135">
        <f t="shared" si="120"/>
        <v>720.33898305084756</v>
      </c>
      <c r="BF1102" s="135"/>
      <c r="BG1102" s="135"/>
      <c r="BH1102" s="135"/>
      <c r="BI1102" s="2" t="s">
        <v>3746</v>
      </c>
      <c r="BJ1102" s="136">
        <v>45706</v>
      </c>
      <c r="BK1102" s="2" t="s">
        <v>109</v>
      </c>
      <c r="BL1102" s="136" t="s">
        <v>18</v>
      </c>
      <c r="BM1102" s="136">
        <v>45635</v>
      </c>
      <c r="BN1102" s="2" t="s">
        <v>3636</v>
      </c>
      <c r="BO1102" s="2"/>
      <c r="BP1102" s="136"/>
      <c r="BQ1102" s="137" t="s">
        <v>119</v>
      </c>
    </row>
    <row r="1103" spans="1:69" ht="12.75" customHeight="1" x14ac:dyDescent="0.2">
      <c r="A1103" s="2">
        <v>2592</v>
      </c>
      <c r="B1103" s="2" t="s">
        <v>54</v>
      </c>
      <c r="C1103" s="2" t="s">
        <v>96</v>
      </c>
      <c r="D1103" s="131" t="s">
        <v>3841</v>
      </c>
      <c r="E1103" s="2" t="s">
        <v>3635</v>
      </c>
      <c r="F1103" s="132">
        <v>8500</v>
      </c>
      <c r="G1103" s="132"/>
      <c r="H1103" s="132">
        <f t="shared" si="112"/>
        <v>8500</v>
      </c>
      <c r="I1103" s="132"/>
      <c r="J1103" s="132">
        <f t="shared" si="114"/>
        <v>8500</v>
      </c>
      <c r="K1103" s="132">
        <f t="shared" si="116"/>
        <v>0</v>
      </c>
      <c r="L1103" s="132">
        <f t="shared" si="121"/>
        <v>0</v>
      </c>
      <c r="M1103" s="133"/>
      <c r="N1103" s="133">
        <f t="shared" si="111"/>
        <v>0</v>
      </c>
      <c r="O1103" s="134">
        <v>1</v>
      </c>
      <c r="P1103" s="133"/>
      <c r="Q1103" s="2" t="s">
        <v>3730</v>
      </c>
      <c r="R1103" s="156">
        <f t="shared" si="122"/>
        <v>8500</v>
      </c>
      <c r="S1103" s="156">
        <f t="shared" si="123"/>
        <v>8500</v>
      </c>
      <c r="T1103" s="133"/>
      <c r="U1103" s="133"/>
      <c r="V1103" s="133">
        <v>8500</v>
      </c>
      <c r="W1103" s="133"/>
      <c r="X1103" s="133"/>
      <c r="Y1103" s="133">
        <v>1296.6099999999999</v>
      </c>
      <c r="Z1103" s="133"/>
      <c r="AA1103" s="133"/>
      <c r="AB1103" s="133"/>
      <c r="AC1103" s="133"/>
      <c r="AD1103" s="133"/>
      <c r="AE1103" s="133"/>
      <c r="AF1103" s="133"/>
      <c r="AG1103" s="133"/>
      <c r="AH1103" s="133"/>
      <c r="AI1103" s="133"/>
      <c r="AJ1103" s="133"/>
      <c r="AK1103" s="133">
        <v>7203.39</v>
      </c>
      <c r="AL1103" s="133"/>
      <c r="AM1103" s="133"/>
      <c r="AN1103" s="133"/>
      <c r="AO1103" s="133"/>
      <c r="AP1103" s="133"/>
      <c r="AQ1103" s="133"/>
      <c r="AR1103" s="133"/>
      <c r="AS1103" s="153">
        <v>0</v>
      </c>
      <c r="AT1103" s="153">
        <v>0</v>
      </c>
      <c r="AU1103" s="153">
        <v>0</v>
      </c>
      <c r="AV1103" s="153">
        <v>0</v>
      </c>
      <c r="AW1103" s="153">
        <v>0</v>
      </c>
      <c r="AX1103" s="153">
        <v>0</v>
      </c>
      <c r="AY1103" s="135"/>
      <c r="AZ1103" s="135"/>
      <c r="BA1103" s="135"/>
      <c r="BB1103" s="135"/>
      <c r="BC1103" s="135"/>
      <c r="BD1103" s="135"/>
      <c r="BE1103" s="135">
        <f t="shared" si="120"/>
        <v>720.33898305084756</v>
      </c>
      <c r="BF1103" s="135"/>
      <c r="BG1103" s="135"/>
      <c r="BH1103" s="135"/>
      <c r="BI1103" s="2" t="s">
        <v>3746</v>
      </c>
      <c r="BJ1103" s="136">
        <v>45706</v>
      </c>
      <c r="BK1103" s="2" t="s">
        <v>109</v>
      </c>
      <c r="BL1103" s="136" t="s">
        <v>18</v>
      </c>
      <c r="BM1103" s="136">
        <v>45635</v>
      </c>
      <c r="BN1103" s="2" t="s">
        <v>3636</v>
      </c>
      <c r="BO1103" s="2"/>
      <c r="BP1103" s="136"/>
      <c r="BQ1103" s="137" t="s">
        <v>119</v>
      </c>
    </row>
    <row r="1104" spans="1:69" ht="12.75" customHeight="1" x14ac:dyDescent="0.2">
      <c r="A1104" s="2">
        <v>2593</v>
      </c>
      <c r="B1104" s="2" t="s">
        <v>54</v>
      </c>
      <c r="C1104" s="2" t="s">
        <v>50</v>
      </c>
      <c r="D1104" s="2" t="s">
        <v>3847</v>
      </c>
      <c r="E1104" s="2" t="s">
        <v>141</v>
      </c>
      <c r="F1104" s="132">
        <v>0</v>
      </c>
      <c r="G1104" s="132"/>
      <c r="H1104" s="132">
        <f t="shared" si="112"/>
        <v>40000</v>
      </c>
      <c r="I1104" s="132"/>
      <c r="J1104" s="132">
        <f>S1104+AY1104+BC1104</f>
        <v>6101.69</v>
      </c>
      <c r="K1104" s="132">
        <f t="shared" si="116"/>
        <v>-6101.69</v>
      </c>
      <c r="L1104" s="132">
        <f t="shared" si="121"/>
        <v>33898.31</v>
      </c>
      <c r="M1104" s="133"/>
      <c r="N1104" s="133">
        <f t="shared" si="111"/>
        <v>-6101.69</v>
      </c>
      <c r="O1104" s="134" t="s">
        <v>1993</v>
      </c>
      <c r="P1104" s="133"/>
      <c r="Q1104" s="2" t="s">
        <v>338</v>
      </c>
      <c r="R1104" s="156">
        <f t="shared" si="122"/>
        <v>40000</v>
      </c>
      <c r="S1104" s="156">
        <f t="shared" si="123"/>
        <v>6101.69</v>
      </c>
      <c r="T1104" s="133"/>
      <c r="U1104" s="133"/>
      <c r="V1104" s="133">
        <v>40000</v>
      </c>
      <c r="W1104" s="133"/>
      <c r="X1104" s="133"/>
      <c r="Y1104" s="133">
        <v>6101.69</v>
      </c>
      <c r="Z1104" s="133"/>
      <c r="AA1104" s="133"/>
      <c r="AB1104" s="133"/>
      <c r="AC1104" s="133"/>
      <c r="AD1104" s="133"/>
      <c r="AE1104" s="133"/>
      <c r="AF1104" s="133"/>
      <c r="AG1104" s="133"/>
      <c r="AH1104" s="133"/>
      <c r="AI1104" s="133"/>
      <c r="AJ1104" s="133"/>
      <c r="AK1104" s="133"/>
      <c r="AL1104" s="133"/>
      <c r="AM1104" s="133"/>
      <c r="AN1104" s="133"/>
      <c r="AO1104" s="133"/>
      <c r="AP1104" s="133"/>
      <c r="AQ1104" s="133"/>
      <c r="AR1104" s="133"/>
      <c r="AS1104" s="153">
        <v>0</v>
      </c>
      <c r="AT1104" s="153">
        <v>0</v>
      </c>
      <c r="AU1104" s="153">
        <v>0</v>
      </c>
      <c r="AV1104" s="153">
        <v>0</v>
      </c>
      <c r="AW1104" s="153">
        <v>0</v>
      </c>
      <c r="AX1104" s="153">
        <v>0</v>
      </c>
      <c r="AY1104" s="135"/>
      <c r="AZ1104" s="135"/>
      <c r="BA1104" s="135"/>
      <c r="BB1104" s="135"/>
      <c r="BC1104" s="135"/>
      <c r="BD1104" s="135"/>
      <c r="BE1104" s="135"/>
      <c r="BF1104" s="135"/>
      <c r="BG1104" s="135"/>
      <c r="BH1104" s="135"/>
      <c r="BI1104" s="2" t="s">
        <v>11</v>
      </c>
      <c r="BJ1104" s="136"/>
      <c r="BK1104" s="2">
        <v>50</v>
      </c>
      <c r="BL1104" s="136" t="s">
        <v>113</v>
      </c>
      <c r="BM1104" s="136">
        <v>45308</v>
      </c>
      <c r="BN1104" s="2" t="s">
        <v>2198</v>
      </c>
      <c r="BO1104" s="2"/>
      <c r="BP1104" s="136"/>
      <c r="BQ1104" s="137" t="s">
        <v>134</v>
      </c>
    </row>
    <row r="1105" spans="1:69" ht="12.75" customHeight="1" x14ac:dyDescent="0.2">
      <c r="A1105" s="2">
        <v>2594</v>
      </c>
      <c r="B1105" s="2" t="s">
        <v>54</v>
      </c>
      <c r="C1105" s="2" t="s">
        <v>50</v>
      </c>
      <c r="D1105" s="2" t="s">
        <v>3848</v>
      </c>
      <c r="E1105" s="2" t="s">
        <v>141</v>
      </c>
      <c r="F1105" s="132">
        <v>0</v>
      </c>
      <c r="G1105" s="132"/>
      <c r="H1105" s="132">
        <f t="shared" si="112"/>
        <v>40025</v>
      </c>
      <c r="I1105" s="132"/>
      <c r="J1105" s="132">
        <f>S1105+AY1105+BC1105</f>
        <v>6101.69</v>
      </c>
      <c r="K1105" s="132">
        <f t="shared" si="116"/>
        <v>-6101.69</v>
      </c>
      <c r="L1105" s="132">
        <f t="shared" si="121"/>
        <v>33923.31</v>
      </c>
      <c r="M1105" s="133"/>
      <c r="N1105" s="133">
        <f t="shared" si="111"/>
        <v>-6101.69</v>
      </c>
      <c r="O1105" s="134" t="s">
        <v>1993</v>
      </c>
      <c r="P1105" s="133"/>
      <c r="Q1105" s="2" t="s">
        <v>338</v>
      </c>
      <c r="R1105" s="156">
        <f t="shared" si="122"/>
        <v>40025</v>
      </c>
      <c r="S1105" s="156">
        <f t="shared" si="123"/>
        <v>6101.69</v>
      </c>
      <c r="T1105" s="133"/>
      <c r="U1105" s="133"/>
      <c r="V1105" s="133">
        <v>40000</v>
      </c>
      <c r="W1105" s="133"/>
      <c r="X1105" s="133">
        <v>25</v>
      </c>
      <c r="Y1105" s="133">
        <v>6101.69</v>
      </c>
      <c r="Z1105" s="133"/>
      <c r="AA1105" s="133"/>
      <c r="AB1105" s="133"/>
      <c r="AC1105" s="133"/>
      <c r="AD1105" s="133"/>
      <c r="AE1105" s="133"/>
      <c r="AF1105" s="133"/>
      <c r="AG1105" s="133"/>
      <c r="AH1105" s="133"/>
      <c r="AI1105" s="133"/>
      <c r="AJ1105" s="133"/>
      <c r="AK1105" s="133"/>
      <c r="AL1105" s="133"/>
      <c r="AM1105" s="133"/>
      <c r="AN1105" s="133"/>
      <c r="AO1105" s="133"/>
      <c r="AP1105" s="133"/>
      <c r="AQ1105" s="133"/>
      <c r="AR1105" s="133"/>
      <c r="AS1105" s="153">
        <v>0</v>
      </c>
      <c r="AT1105" s="153">
        <v>0</v>
      </c>
      <c r="AU1105" s="153">
        <v>0</v>
      </c>
      <c r="AV1105" s="153">
        <v>0</v>
      </c>
      <c r="AW1105" s="153">
        <v>0</v>
      </c>
      <c r="AX1105" s="153">
        <v>0</v>
      </c>
      <c r="AY1105" s="135"/>
      <c r="AZ1105" s="135"/>
      <c r="BA1105" s="135"/>
      <c r="BB1105" s="135"/>
      <c r="BC1105" s="135"/>
      <c r="BD1105" s="135"/>
      <c r="BE1105" s="135"/>
      <c r="BF1105" s="135"/>
      <c r="BG1105" s="135"/>
      <c r="BH1105" s="135"/>
      <c r="BI1105" s="2" t="s">
        <v>11</v>
      </c>
      <c r="BJ1105" s="136"/>
      <c r="BK1105" s="2">
        <v>50</v>
      </c>
      <c r="BL1105" s="136" t="s">
        <v>113</v>
      </c>
      <c r="BM1105" s="136">
        <v>45308</v>
      </c>
      <c r="BN1105" s="2" t="s">
        <v>2198</v>
      </c>
      <c r="BO1105" s="2"/>
      <c r="BP1105" s="136"/>
      <c r="BQ1105" s="137" t="s">
        <v>134</v>
      </c>
    </row>
    <row r="1106" spans="1:69" ht="12.75" customHeight="1" x14ac:dyDescent="0.2">
      <c r="A1106" s="2">
        <v>2595</v>
      </c>
      <c r="B1106" s="2" t="s">
        <v>54</v>
      </c>
      <c r="C1106" s="2" t="s">
        <v>50</v>
      </c>
      <c r="D1106" s="333" t="s">
        <v>3849</v>
      </c>
      <c r="E1106" s="333" t="s">
        <v>141</v>
      </c>
      <c r="F1106" s="328">
        <v>0</v>
      </c>
      <c r="G1106" s="328"/>
      <c r="H1106" s="328">
        <f>3000+N("ეს ის 3 ათასია ჩვენ რომ ვიცით!")+R1106</f>
        <v>63000</v>
      </c>
      <c r="I1106" s="132"/>
      <c r="J1106" s="132">
        <f>S1106+AY1106+BC1106</f>
        <v>9152.5400000000009</v>
      </c>
      <c r="K1106" s="132">
        <f t="shared" si="116"/>
        <v>-9152.5400000000009</v>
      </c>
      <c r="L1106" s="132">
        <f t="shared" si="121"/>
        <v>53847.46</v>
      </c>
      <c r="M1106" s="133">
        <v>2450</v>
      </c>
      <c r="N1106" s="133">
        <f t="shared" si="111"/>
        <v>-9152.5400000000009</v>
      </c>
      <c r="O1106" s="134" t="s">
        <v>1993</v>
      </c>
      <c r="P1106" s="133"/>
      <c r="Q1106" s="2" t="s">
        <v>338</v>
      </c>
      <c r="R1106" s="156">
        <f t="shared" si="122"/>
        <v>60000</v>
      </c>
      <c r="S1106" s="156">
        <f t="shared" si="123"/>
        <v>9152.5400000000009</v>
      </c>
      <c r="T1106" s="133"/>
      <c r="U1106" s="133"/>
      <c r="V1106" s="133">
        <v>60000</v>
      </c>
      <c r="W1106" s="133"/>
      <c r="X1106" s="133"/>
      <c r="Y1106" s="133">
        <v>9152.5400000000009</v>
      </c>
      <c r="Z1106" s="133"/>
      <c r="AA1106" s="133"/>
      <c r="AB1106" s="133"/>
      <c r="AC1106" s="133"/>
      <c r="AD1106" s="133"/>
      <c r="AE1106" s="133"/>
      <c r="AF1106" s="133"/>
      <c r="AG1106" s="133"/>
      <c r="AH1106" s="133"/>
      <c r="AI1106" s="133"/>
      <c r="AJ1106" s="133"/>
      <c r="AK1106" s="133"/>
      <c r="AL1106" s="133"/>
      <c r="AM1106" s="133"/>
      <c r="AN1106" s="133"/>
      <c r="AO1106" s="133"/>
      <c r="AP1106" s="133"/>
      <c r="AQ1106" s="133"/>
      <c r="AR1106" s="133"/>
      <c r="AS1106" s="153">
        <v>0</v>
      </c>
      <c r="AT1106" s="153">
        <v>0</v>
      </c>
      <c r="AU1106" s="153">
        <v>0</v>
      </c>
      <c r="AV1106" s="153">
        <v>0</v>
      </c>
      <c r="AW1106" s="153">
        <v>0</v>
      </c>
      <c r="AX1106" s="153">
        <v>0</v>
      </c>
      <c r="AY1106" s="135"/>
      <c r="AZ1106" s="135"/>
      <c r="BA1106" s="135"/>
      <c r="BB1106" s="135"/>
      <c r="BC1106" s="135"/>
      <c r="BD1106" s="135"/>
      <c r="BE1106" s="135"/>
      <c r="BF1106" s="135"/>
      <c r="BG1106" s="135"/>
      <c r="BH1106" s="135"/>
      <c r="BI1106" s="2" t="s">
        <v>11</v>
      </c>
      <c r="BJ1106" s="136"/>
      <c r="BK1106" s="2">
        <v>50</v>
      </c>
      <c r="BL1106" s="136" t="s">
        <v>113</v>
      </c>
      <c r="BM1106" s="136">
        <v>45308</v>
      </c>
      <c r="BN1106" s="2" t="s">
        <v>2198</v>
      </c>
      <c r="BO1106" s="2"/>
      <c r="BP1106" s="136"/>
      <c r="BQ1106" s="137" t="s">
        <v>134</v>
      </c>
    </row>
    <row r="1107" spans="1:69" ht="12.75" customHeight="1" x14ac:dyDescent="0.2">
      <c r="A1107" s="2">
        <v>2596</v>
      </c>
      <c r="B1107" s="2" t="s">
        <v>54</v>
      </c>
      <c r="C1107" s="2" t="s">
        <v>50</v>
      </c>
      <c r="D1107" s="2" t="s">
        <v>3850</v>
      </c>
      <c r="E1107" s="2" t="s">
        <v>141</v>
      </c>
      <c r="F1107" s="132">
        <v>0</v>
      </c>
      <c r="G1107" s="132"/>
      <c r="H1107" s="132">
        <f t="shared" si="112"/>
        <v>91650</v>
      </c>
      <c r="I1107" s="132"/>
      <c r="J1107" s="132">
        <f>S1107+BC1107</f>
        <v>47878.81</v>
      </c>
      <c r="K1107" s="132">
        <f t="shared" si="116"/>
        <v>-47878.81</v>
      </c>
      <c r="L1107" s="132">
        <f t="shared" si="121"/>
        <v>43771.19</v>
      </c>
      <c r="M1107" s="133"/>
      <c r="N1107" s="133">
        <f t="shared" si="111"/>
        <v>-47878.81</v>
      </c>
      <c r="O1107" s="134" t="s">
        <v>1993</v>
      </c>
      <c r="P1107" s="133"/>
      <c r="Q1107" s="2" t="s">
        <v>338</v>
      </c>
      <c r="R1107" s="156">
        <f t="shared" si="122"/>
        <v>91650</v>
      </c>
      <c r="S1107" s="156">
        <f t="shared" si="123"/>
        <v>13980.5</v>
      </c>
      <c r="T1107" s="133"/>
      <c r="U1107" s="133"/>
      <c r="V1107" s="133">
        <v>50000</v>
      </c>
      <c r="W1107" s="133"/>
      <c r="X1107" s="133">
        <v>1650</v>
      </c>
      <c r="Y1107" s="133">
        <v>7627.12</v>
      </c>
      <c r="Z1107" s="133">
        <v>40000</v>
      </c>
      <c r="AA1107" s="133">
        <v>251.69</v>
      </c>
      <c r="AB1107" s="133"/>
      <c r="AC1107" s="133">
        <v>6101.69</v>
      </c>
      <c r="AD1107" s="133"/>
      <c r="AE1107" s="133"/>
      <c r="AF1107" s="133"/>
      <c r="AG1107" s="133"/>
      <c r="AH1107" s="133"/>
      <c r="AI1107" s="133"/>
      <c r="AJ1107" s="133"/>
      <c r="AK1107" s="133"/>
      <c r="AL1107" s="133"/>
      <c r="AM1107" s="133"/>
      <c r="AN1107" s="133"/>
      <c r="AO1107" s="133"/>
      <c r="AP1107" s="133"/>
      <c r="AQ1107" s="133"/>
      <c r="AR1107" s="133"/>
      <c r="AS1107" s="153">
        <v>0</v>
      </c>
      <c r="AT1107" s="153">
        <v>0</v>
      </c>
      <c r="AU1107" s="153">
        <v>0</v>
      </c>
      <c r="AV1107" s="153">
        <v>0</v>
      </c>
      <c r="AW1107" s="153">
        <v>0</v>
      </c>
      <c r="AX1107" s="153">
        <v>0</v>
      </c>
      <c r="AY1107" s="135"/>
      <c r="AZ1107" s="135"/>
      <c r="BA1107" s="135"/>
      <c r="BB1107" s="135"/>
      <c r="BC1107" s="135">
        <v>33898.31</v>
      </c>
      <c r="BD1107" s="135">
        <v>4750.41</v>
      </c>
      <c r="BE1107" s="135"/>
      <c r="BF1107" s="135"/>
      <c r="BG1107" s="135"/>
      <c r="BH1107" s="135"/>
      <c r="BI1107" s="2" t="s">
        <v>11</v>
      </c>
      <c r="BJ1107" s="136"/>
      <c r="BK1107" s="2">
        <v>50</v>
      </c>
      <c r="BL1107" s="136" t="s">
        <v>113</v>
      </c>
      <c r="BM1107" s="136">
        <v>45308</v>
      </c>
      <c r="BN1107" s="2" t="s">
        <v>2198</v>
      </c>
      <c r="BO1107" s="2"/>
      <c r="BP1107" s="136"/>
      <c r="BQ1107" s="137" t="s">
        <v>134</v>
      </c>
    </row>
    <row r="1108" spans="1:69" ht="12.75" customHeight="1" x14ac:dyDescent="0.2">
      <c r="A1108" s="2">
        <v>2597</v>
      </c>
      <c r="B1108" s="2" t="s">
        <v>54</v>
      </c>
      <c r="C1108" s="2" t="s">
        <v>50</v>
      </c>
      <c r="D1108" s="2" t="s">
        <v>3851</v>
      </c>
      <c r="E1108" s="2" t="s">
        <v>141</v>
      </c>
      <c r="F1108" s="132">
        <v>0</v>
      </c>
      <c r="G1108" s="132"/>
      <c r="H1108" s="132">
        <f t="shared" si="112"/>
        <v>88000</v>
      </c>
      <c r="I1108" s="132"/>
      <c r="J1108" s="132">
        <f>S1108+BC1108</f>
        <v>47322.039999999994</v>
      </c>
      <c r="K1108" s="132">
        <f t="shared" si="116"/>
        <v>-47322.039999999994</v>
      </c>
      <c r="L1108" s="132">
        <f t="shared" si="121"/>
        <v>40677.960000000006</v>
      </c>
      <c r="M1108" s="133"/>
      <c r="N1108" s="133">
        <f t="shared" si="111"/>
        <v>-47322.039999999994</v>
      </c>
      <c r="O1108" s="134" t="s">
        <v>1993</v>
      </c>
      <c r="P1108" s="133"/>
      <c r="Q1108" s="2" t="s">
        <v>338</v>
      </c>
      <c r="R1108" s="156">
        <f t="shared" si="122"/>
        <v>88000</v>
      </c>
      <c r="S1108" s="156">
        <f t="shared" si="123"/>
        <v>13423.729999999998</v>
      </c>
      <c r="T1108" s="133"/>
      <c r="U1108" s="133"/>
      <c r="V1108" s="133">
        <v>45000</v>
      </c>
      <c r="W1108" s="133"/>
      <c r="X1108" s="133"/>
      <c r="Y1108" s="133">
        <v>6864.41</v>
      </c>
      <c r="Z1108" s="133">
        <v>40000</v>
      </c>
      <c r="AA1108" s="133"/>
      <c r="AB1108" s="133">
        <v>3000</v>
      </c>
      <c r="AC1108" s="133">
        <v>6101.69</v>
      </c>
      <c r="AD1108" s="133"/>
      <c r="AE1108" s="133">
        <v>457.63</v>
      </c>
      <c r="AF1108" s="133"/>
      <c r="AG1108" s="133"/>
      <c r="AH1108" s="133"/>
      <c r="AI1108" s="133"/>
      <c r="AJ1108" s="133"/>
      <c r="AK1108" s="133"/>
      <c r="AL1108" s="133"/>
      <c r="AM1108" s="133"/>
      <c r="AN1108" s="133"/>
      <c r="AO1108" s="133"/>
      <c r="AP1108" s="133"/>
      <c r="AQ1108" s="133"/>
      <c r="AR1108" s="133"/>
      <c r="AS1108" s="153">
        <v>0</v>
      </c>
      <c r="AT1108" s="153">
        <v>0</v>
      </c>
      <c r="AU1108" s="153">
        <v>0</v>
      </c>
      <c r="AV1108" s="153">
        <v>0</v>
      </c>
      <c r="AW1108" s="153">
        <v>0</v>
      </c>
      <c r="AX1108" s="153">
        <v>0</v>
      </c>
      <c r="AY1108" s="135"/>
      <c r="AZ1108" s="135"/>
      <c r="BA1108" s="135"/>
      <c r="BB1108" s="135"/>
      <c r="BC1108" s="135">
        <v>33898.31</v>
      </c>
      <c r="BD1108" s="135">
        <v>4750.41</v>
      </c>
      <c r="BE1108" s="135"/>
      <c r="BF1108" s="135"/>
      <c r="BG1108" s="135"/>
      <c r="BH1108" s="135"/>
      <c r="BI1108" s="2" t="s">
        <v>11</v>
      </c>
      <c r="BJ1108" s="136"/>
      <c r="BK1108" s="2">
        <v>70</v>
      </c>
      <c r="BL1108" s="136" t="s">
        <v>113</v>
      </c>
      <c r="BM1108" s="136">
        <v>45308</v>
      </c>
      <c r="BN1108" s="2" t="s">
        <v>2198</v>
      </c>
      <c r="BO1108" s="2"/>
      <c r="BP1108" s="136"/>
      <c r="BQ1108" s="137" t="s">
        <v>134</v>
      </c>
    </row>
    <row r="1109" spans="1:69" ht="12.75" customHeight="1" x14ac:dyDescent="0.2">
      <c r="A1109" s="2">
        <v>2598</v>
      </c>
      <c r="B1109" s="2" t="s">
        <v>44</v>
      </c>
      <c r="C1109" s="131" t="s">
        <v>45</v>
      </c>
      <c r="D1109" s="2" t="s">
        <v>3852</v>
      </c>
      <c r="E1109" s="2" t="s">
        <v>3635</v>
      </c>
      <c r="F1109" s="132">
        <v>8500</v>
      </c>
      <c r="G1109" s="132"/>
      <c r="H1109" s="132">
        <f t="shared" si="112"/>
        <v>8500</v>
      </c>
      <c r="I1109" s="132"/>
      <c r="J1109" s="132">
        <f t="shared" si="114"/>
        <v>8500</v>
      </c>
      <c r="K1109" s="132">
        <f t="shared" si="116"/>
        <v>0</v>
      </c>
      <c r="L1109" s="132">
        <f t="shared" si="121"/>
        <v>0</v>
      </c>
      <c r="M1109" s="133">
        <v>0</v>
      </c>
      <c r="N1109" s="133">
        <f t="shared" si="111"/>
        <v>0</v>
      </c>
      <c r="O1109" s="134">
        <v>1</v>
      </c>
      <c r="P1109" s="133"/>
      <c r="Q1109" s="2" t="s">
        <v>3730</v>
      </c>
      <c r="R1109" s="156">
        <f t="shared" si="122"/>
        <v>8500</v>
      </c>
      <c r="S1109" s="156">
        <f t="shared" si="123"/>
        <v>8500</v>
      </c>
      <c r="T1109" s="133"/>
      <c r="U1109" s="133"/>
      <c r="V1109" s="133">
        <v>8500</v>
      </c>
      <c r="W1109" s="133"/>
      <c r="X1109" s="133"/>
      <c r="Y1109" s="133">
        <v>1296.6099999999999</v>
      </c>
      <c r="Z1109" s="133"/>
      <c r="AA1109" s="133"/>
      <c r="AB1109" s="133"/>
      <c r="AC1109" s="133"/>
      <c r="AD1109" s="133"/>
      <c r="AE1109" s="133"/>
      <c r="AF1109" s="133"/>
      <c r="AG1109" s="133"/>
      <c r="AH1109" s="133"/>
      <c r="AI1109" s="133"/>
      <c r="AJ1109" s="133"/>
      <c r="AK1109" s="133">
        <v>7203.39</v>
      </c>
      <c r="AL1109" s="133"/>
      <c r="AM1109" s="133"/>
      <c r="AN1109" s="133"/>
      <c r="AO1109" s="133"/>
      <c r="AP1109" s="133"/>
      <c r="AQ1109" s="133"/>
      <c r="AR1109" s="133"/>
      <c r="AS1109" s="153">
        <v>0</v>
      </c>
      <c r="AT1109" s="153">
        <v>0</v>
      </c>
      <c r="AU1109" s="153">
        <v>0</v>
      </c>
      <c r="AV1109" s="153">
        <v>0</v>
      </c>
      <c r="AW1109" s="153">
        <v>0</v>
      </c>
      <c r="AX1109" s="153">
        <v>0</v>
      </c>
      <c r="AY1109" s="135"/>
      <c r="AZ1109" s="135"/>
      <c r="BA1109" s="135"/>
      <c r="BB1109" s="135"/>
      <c r="BC1109" s="135"/>
      <c r="BD1109" s="135"/>
      <c r="BE1109" s="135">
        <f>(H1109/1.18-AT1109-AW1109-AZ1109-BD1109)*0.1-AU1109-AX1109-BA1109-BB1109</f>
        <v>720.33898305084756</v>
      </c>
      <c r="BF1109" s="135"/>
      <c r="BG1109" s="135"/>
      <c r="BH1109" s="135"/>
      <c r="BI1109" s="2" t="s">
        <v>3746</v>
      </c>
      <c r="BJ1109" s="136">
        <v>45716</v>
      </c>
      <c r="BK1109" s="2" t="s">
        <v>109</v>
      </c>
      <c r="BL1109" s="136" t="s">
        <v>113</v>
      </c>
      <c r="BM1109" s="136">
        <v>45635</v>
      </c>
      <c r="BN1109" s="2" t="s">
        <v>3641</v>
      </c>
      <c r="BO1109" s="2"/>
      <c r="BP1109" s="136"/>
      <c r="BQ1109" s="137" t="s">
        <v>119</v>
      </c>
    </row>
    <row r="1110" spans="1:69" ht="12.75" customHeight="1" x14ac:dyDescent="0.2">
      <c r="A1110" s="2">
        <v>2599</v>
      </c>
      <c r="B1110" s="2" t="s">
        <v>44</v>
      </c>
      <c r="C1110" s="131" t="s">
        <v>45</v>
      </c>
      <c r="D1110" s="2" t="s">
        <v>3853</v>
      </c>
      <c r="E1110" s="2" t="s">
        <v>3635</v>
      </c>
      <c r="F1110" s="132">
        <v>6500</v>
      </c>
      <c r="G1110" s="132"/>
      <c r="H1110" s="132">
        <f t="shared" si="112"/>
        <v>6500</v>
      </c>
      <c r="I1110" s="132"/>
      <c r="J1110" s="132">
        <f t="shared" si="114"/>
        <v>6500</v>
      </c>
      <c r="K1110" s="132">
        <f t="shared" si="116"/>
        <v>0</v>
      </c>
      <c r="L1110" s="132">
        <f t="shared" si="121"/>
        <v>0</v>
      </c>
      <c r="M1110" s="133">
        <v>0</v>
      </c>
      <c r="N1110" s="133">
        <f t="shared" si="111"/>
        <v>0</v>
      </c>
      <c r="O1110" s="134">
        <v>1</v>
      </c>
      <c r="P1110" s="133"/>
      <c r="Q1110" s="2" t="s">
        <v>3823</v>
      </c>
      <c r="R1110" s="156">
        <f t="shared" si="122"/>
        <v>6500</v>
      </c>
      <c r="S1110" s="156">
        <f t="shared" si="123"/>
        <v>6500</v>
      </c>
      <c r="T1110" s="133"/>
      <c r="U1110" s="133"/>
      <c r="V1110" s="133">
        <v>6500</v>
      </c>
      <c r="W1110" s="133"/>
      <c r="X1110" s="133"/>
      <c r="Y1110" s="133">
        <v>991.52499999999998</v>
      </c>
      <c r="Z1110" s="133"/>
      <c r="AA1110" s="133"/>
      <c r="AB1110" s="133"/>
      <c r="AC1110" s="133"/>
      <c r="AD1110" s="133"/>
      <c r="AE1110" s="133"/>
      <c r="AF1110" s="133"/>
      <c r="AG1110" s="133"/>
      <c r="AH1110" s="133"/>
      <c r="AI1110" s="133"/>
      <c r="AJ1110" s="133"/>
      <c r="AK1110" s="133">
        <v>5508.4750000000004</v>
      </c>
      <c r="AL1110" s="133"/>
      <c r="AM1110" s="133"/>
      <c r="AN1110" s="133"/>
      <c r="AO1110" s="133"/>
      <c r="AP1110" s="133"/>
      <c r="AQ1110" s="133"/>
      <c r="AR1110" s="133"/>
      <c r="AS1110" s="153">
        <v>0</v>
      </c>
      <c r="AT1110" s="153">
        <v>0</v>
      </c>
      <c r="AU1110" s="153">
        <v>0</v>
      </c>
      <c r="AV1110" s="153">
        <v>0</v>
      </c>
      <c r="AW1110" s="153">
        <v>0</v>
      </c>
      <c r="AX1110" s="153">
        <v>0</v>
      </c>
      <c r="AY1110" s="135"/>
      <c r="AZ1110" s="135"/>
      <c r="BA1110" s="135"/>
      <c r="BB1110" s="135"/>
      <c r="BC1110" s="135"/>
      <c r="BD1110" s="135"/>
      <c r="BE1110" s="135">
        <f>(H1110/1.18-AT1110-AW1110-AZ1110-BD1110)*0.1-AU1110-AX1110-BA1110-BB1110</f>
        <v>550.84745762711862</v>
      </c>
      <c r="BF1110" s="135"/>
      <c r="BG1110" s="135"/>
      <c r="BH1110" s="135"/>
      <c r="BI1110" s="2" t="s">
        <v>3746</v>
      </c>
      <c r="BJ1110" s="136">
        <v>45716</v>
      </c>
      <c r="BK1110" s="2" t="s">
        <v>109</v>
      </c>
      <c r="BL1110" s="136" t="s">
        <v>113</v>
      </c>
      <c r="BM1110" s="136">
        <v>45635</v>
      </c>
      <c r="BN1110" s="2" t="s">
        <v>3641</v>
      </c>
      <c r="BO1110" s="2"/>
      <c r="BP1110" s="136"/>
      <c r="BQ1110" s="137" t="s">
        <v>119</v>
      </c>
    </row>
    <row r="1111" spans="1:69" ht="12.75" customHeight="1" x14ac:dyDescent="0.2">
      <c r="A1111" s="2">
        <v>2600</v>
      </c>
      <c r="B1111" s="2" t="s">
        <v>44</v>
      </c>
      <c r="C1111" s="131" t="s">
        <v>45</v>
      </c>
      <c r="D1111" s="2" t="s">
        <v>3854</v>
      </c>
      <c r="E1111" s="2" t="s">
        <v>3635</v>
      </c>
      <c r="F1111" s="132">
        <v>8500</v>
      </c>
      <c r="G1111" s="132"/>
      <c r="H1111" s="132">
        <f t="shared" si="112"/>
        <v>8500</v>
      </c>
      <c r="I1111" s="132"/>
      <c r="J1111" s="132">
        <f t="shared" si="114"/>
        <v>8500</v>
      </c>
      <c r="K1111" s="132">
        <f t="shared" si="116"/>
        <v>0</v>
      </c>
      <c r="L1111" s="132">
        <f t="shared" si="121"/>
        <v>0</v>
      </c>
      <c r="M1111" s="133">
        <v>0</v>
      </c>
      <c r="N1111" s="133">
        <f t="shared" si="111"/>
        <v>0</v>
      </c>
      <c r="O1111" s="134">
        <v>1</v>
      </c>
      <c r="P1111" s="133"/>
      <c r="Q1111" s="2" t="s">
        <v>3730</v>
      </c>
      <c r="R1111" s="156">
        <f t="shared" si="122"/>
        <v>8500</v>
      </c>
      <c r="S1111" s="156">
        <f t="shared" si="123"/>
        <v>8500</v>
      </c>
      <c r="T1111" s="133"/>
      <c r="U1111" s="133"/>
      <c r="V1111" s="133">
        <v>8500</v>
      </c>
      <c r="W1111" s="133"/>
      <c r="X1111" s="133"/>
      <c r="Y1111" s="133">
        <v>1296.6099999999999</v>
      </c>
      <c r="Z1111" s="133"/>
      <c r="AA1111" s="133"/>
      <c r="AB1111" s="133"/>
      <c r="AC1111" s="133"/>
      <c r="AD1111" s="133"/>
      <c r="AE1111" s="133"/>
      <c r="AF1111" s="133"/>
      <c r="AG1111" s="133"/>
      <c r="AH1111" s="133"/>
      <c r="AI1111" s="133"/>
      <c r="AJ1111" s="133"/>
      <c r="AK1111" s="133">
        <v>7203.39</v>
      </c>
      <c r="AL1111" s="133"/>
      <c r="AM1111" s="133"/>
      <c r="AN1111" s="133"/>
      <c r="AO1111" s="133"/>
      <c r="AP1111" s="133"/>
      <c r="AQ1111" s="133"/>
      <c r="AR1111" s="133"/>
      <c r="AS1111" s="153">
        <v>0</v>
      </c>
      <c r="AT1111" s="153">
        <v>0</v>
      </c>
      <c r="AU1111" s="153">
        <v>0</v>
      </c>
      <c r="AV1111" s="153">
        <v>0</v>
      </c>
      <c r="AW1111" s="153">
        <v>0</v>
      </c>
      <c r="AX1111" s="153">
        <v>0</v>
      </c>
      <c r="AY1111" s="135"/>
      <c r="AZ1111" s="135"/>
      <c r="BA1111" s="135"/>
      <c r="BB1111" s="135"/>
      <c r="BC1111" s="135"/>
      <c r="BD1111" s="135"/>
      <c r="BE1111" s="135">
        <f>(H1111/1.18-AT1111-AW1111-AZ1111-BD1111)*0.1-AU1111-AX1111-BA1111-BB1111</f>
        <v>720.33898305084756</v>
      </c>
      <c r="BF1111" s="135"/>
      <c r="BG1111" s="135"/>
      <c r="BH1111" s="135"/>
      <c r="BI1111" s="2" t="s">
        <v>3746</v>
      </c>
      <c r="BJ1111" s="136">
        <v>45716</v>
      </c>
      <c r="BK1111" s="2" t="s">
        <v>109</v>
      </c>
      <c r="BL1111" s="136" t="s">
        <v>113</v>
      </c>
      <c r="BM1111" s="136">
        <v>45635</v>
      </c>
      <c r="BN1111" s="2" t="s">
        <v>3641</v>
      </c>
      <c r="BO1111" s="2"/>
      <c r="BP1111" s="136"/>
      <c r="BQ1111" s="137" t="s">
        <v>119</v>
      </c>
    </row>
    <row r="1112" spans="1:69" ht="12.75" customHeight="1" x14ac:dyDescent="0.2">
      <c r="A1112" s="2">
        <v>2601</v>
      </c>
      <c r="B1112" s="2" t="s">
        <v>54</v>
      </c>
      <c r="C1112" s="131" t="s">
        <v>96</v>
      </c>
      <c r="D1112" s="131" t="s">
        <v>3521</v>
      </c>
      <c r="E1112" s="2" t="s">
        <v>71</v>
      </c>
      <c r="F1112" s="132">
        <v>0</v>
      </c>
      <c r="G1112" s="132"/>
      <c r="H1112" s="132">
        <f t="shared" si="112"/>
        <v>27000</v>
      </c>
      <c r="I1112" s="132"/>
      <c r="J1112" s="132">
        <f t="shared" si="114"/>
        <v>4118.6400000000003</v>
      </c>
      <c r="K1112" s="132">
        <f t="shared" si="116"/>
        <v>-4118.6400000000003</v>
      </c>
      <c r="L1112" s="132">
        <f t="shared" si="121"/>
        <v>22881.360000000001</v>
      </c>
      <c r="M1112" s="133"/>
      <c r="N1112" s="133">
        <f t="shared" si="111"/>
        <v>-4118.6400000000003</v>
      </c>
      <c r="O1112" s="134" t="s">
        <v>1993</v>
      </c>
      <c r="P1112" s="133"/>
      <c r="Q1112" s="2" t="s">
        <v>3282</v>
      </c>
      <c r="R1112" s="156">
        <f t="shared" si="122"/>
        <v>27000</v>
      </c>
      <c r="S1112" s="156">
        <f t="shared" si="123"/>
        <v>4118.6400000000003</v>
      </c>
      <c r="T1112" s="133"/>
      <c r="U1112" s="133"/>
      <c r="V1112" s="133">
        <v>27000</v>
      </c>
      <c r="W1112" s="133"/>
      <c r="X1112" s="133"/>
      <c r="Y1112" s="133">
        <v>4118.6400000000003</v>
      </c>
      <c r="Z1112" s="133"/>
      <c r="AA1112" s="133"/>
      <c r="AB1112" s="133"/>
      <c r="AC1112" s="133"/>
      <c r="AD1112" s="133"/>
      <c r="AE1112" s="133"/>
      <c r="AF1112" s="133"/>
      <c r="AG1112" s="133"/>
      <c r="AH1112" s="133"/>
      <c r="AI1112" s="133"/>
      <c r="AJ1112" s="133"/>
      <c r="AK1112" s="133"/>
      <c r="AL1112" s="133"/>
      <c r="AM1112" s="133"/>
      <c r="AN1112" s="133"/>
      <c r="AO1112" s="133"/>
      <c r="AP1112" s="133"/>
      <c r="AQ1112" s="133"/>
      <c r="AR1112" s="133"/>
      <c r="AS1112" s="153">
        <v>0</v>
      </c>
      <c r="AT1112" s="153">
        <v>0</v>
      </c>
      <c r="AU1112" s="153">
        <v>0</v>
      </c>
      <c r="AV1112" s="153">
        <v>0</v>
      </c>
      <c r="AW1112" s="153">
        <v>0</v>
      </c>
      <c r="AX1112" s="153">
        <v>0</v>
      </c>
      <c r="AY1112" s="135"/>
      <c r="AZ1112" s="135"/>
      <c r="BA1112" s="135"/>
      <c r="BB1112" s="135"/>
      <c r="BC1112" s="135"/>
      <c r="BD1112" s="135"/>
      <c r="BE1112" s="135"/>
      <c r="BF1112" s="135"/>
      <c r="BG1112" s="135"/>
      <c r="BH1112" s="135"/>
      <c r="BI1112" s="2" t="s">
        <v>11</v>
      </c>
      <c r="BJ1112" s="136"/>
      <c r="BK1112" s="2">
        <v>45</v>
      </c>
      <c r="BL1112" s="136" t="s">
        <v>18</v>
      </c>
      <c r="BM1112" s="136">
        <v>45303</v>
      </c>
      <c r="BN1112" s="2" t="s">
        <v>3359</v>
      </c>
      <c r="BO1112" s="2"/>
      <c r="BP1112" s="136"/>
      <c r="BQ1112" s="137" t="s">
        <v>119</v>
      </c>
    </row>
    <row r="1113" spans="1:69" ht="12.75" customHeight="1" x14ac:dyDescent="0.2">
      <c r="A1113" s="2">
        <v>2602</v>
      </c>
      <c r="B1113" s="2" t="s">
        <v>54</v>
      </c>
      <c r="C1113" s="2" t="s">
        <v>96</v>
      </c>
      <c r="D1113" s="131" t="s">
        <v>3874</v>
      </c>
      <c r="E1113" s="2" t="s">
        <v>3635</v>
      </c>
      <c r="F1113" s="132">
        <v>42700</v>
      </c>
      <c r="G1113" s="132"/>
      <c r="H1113" s="132">
        <f t="shared" si="112"/>
        <v>42700</v>
      </c>
      <c r="I1113" s="132"/>
      <c r="J1113" s="132">
        <f t="shared" si="114"/>
        <v>42700</v>
      </c>
      <c r="K1113" s="132">
        <f t="shared" si="116"/>
        <v>0</v>
      </c>
      <c r="L1113" s="132">
        <f t="shared" si="121"/>
        <v>0</v>
      </c>
      <c r="M1113" s="133">
        <v>0</v>
      </c>
      <c r="N1113" s="133">
        <f t="shared" si="111"/>
        <v>0</v>
      </c>
      <c r="O1113" s="134">
        <v>1</v>
      </c>
      <c r="P1113" s="133"/>
      <c r="Q1113" s="2" t="s">
        <v>3873</v>
      </c>
      <c r="R1113" s="156">
        <f t="shared" si="122"/>
        <v>42700</v>
      </c>
      <c r="S1113" s="156">
        <f t="shared" si="123"/>
        <v>42700</v>
      </c>
      <c r="T1113" s="133"/>
      <c r="U1113" s="133"/>
      <c r="V1113" s="133">
        <v>42700</v>
      </c>
      <c r="W1113" s="133"/>
      <c r="X1113" s="133"/>
      <c r="Y1113" s="133">
        <v>6513.56</v>
      </c>
      <c r="Z1113" s="133"/>
      <c r="AA1113" s="133"/>
      <c r="AB1113" s="133"/>
      <c r="AC1113" s="133"/>
      <c r="AD1113" s="133"/>
      <c r="AE1113" s="133"/>
      <c r="AF1113" s="133"/>
      <c r="AG1113" s="133"/>
      <c r="AH1113" s="133"/>
      <c r="AI1113" s="133"/>
      <c r="AJ1113" s="133"/>
      <c r="AK1113" s="133">
        <v>36186.44</v>
      </c>
      <c r="AL1113" s="133"/>
      <c r="AM1113" s="133"/>
      <c r="AN1113" s="133"/>
      <c r="AO1113" s="133"/>
      <c r="AP1113" s="133"/>
      <c r="AQ1113" s="133"/>
      <c r="AR1113" s="133"/>
      <c r="AS1113" s="153">
        <v>0</v>
      </c>
      <c r="AT1113" s="153">
        <v>0</v>
      </c>
      <c r="AU1113" s="153">
        <v>0</v>
      </c>
      <c r="AV1113" s="153">
        <v>0</v>
      </c>
      <c r="AW1113" s="153">
        <v>0</v>
      </c>
      <c r="AX1113" s="153">
        <v>0</v>
      </c>
      <c r="AY1113" s="135"/>
      <c r="AZ1113" s="135"/>
      <c r="BA1113" s="135"/>
      <c r="BB1113" s="135"/>
      <c r="BC1113" s="135"/>
      <c r="BD1113" s="135"/>
      <c r="BE1113" s="135">
        <f>(H1113/1.18-AT1113-AW1113-AZ1113-BD1113)*0.1-AU1113-AX1113-BA1113-BB1113</f>
        <v>3618.6440677966102</v>
      </c>
      <c r="BF1113" s="135"/>
      <c r="BG1113" s="135"/>
      <c r="BH1113" s="135"/>
      <c r="BI1113" s="2" t="s">
        <v>3773</v>
      </c>
      <c r="BJ1113" s="136">
        <v>45716</v>
      </c>
      <c r="BK1113" s="2" t="s">
        <v>109</v>
      </c>
      <c r="BL1113" s="136" t="s">
        <v>18</v>
      </c>
      <c r="BM1113" s="136">
        <v>45597</v>
      </c>
      <c r="BN1113" s="2" t="s">
        <v>3872</v>
      </c>
      <c r="BO1113" s="2"/>
      <c r="BP1113" s="136"/>
      <c r="BQ1113" s="137" t="s">
        <v>119</v>
      </c>
    </row>
    <row r="1114" spans="1:69" ht="12.75" customHeight="1" x14ac:dyDescent="0.2">
      <c r="A1114" s="2">
        <v>2603</v>
      </c>
      <c r="B1114" s="2" t="s">
        <v>54</v>
      </c>
      <c r="C1114" s="2" t="s">
        <v>96</v>
      </c>
      <c r="D1114" s="131" t="s">
        <v>3875</v>
      </c>
      <c r="E1114" s="2" t="s">
        <v>3635</v>
      </c>
      <c r="F1114" s="132">
        <v>42700</v>
      </c>
      <c r="G1114" s="132"/>
      <c r="H1114" s="132">
        <f t="shared" si="112"/>
        <v>42700</v>
      </c>
      <c r="I1114" s="132"/>
      <c r="J1114" s="132">
        <f t="shared" si="114"/>
        <v>42700</v>
      </c>
      <c r="K1114" s="132">
        <f t="shared" si="116"/>
        <v>0</v>
      </c>
      <c r="L1114" s="132">
        <f t="shared" si="121"/>
        <v>0</v>
      </c>
      <c r="M1114" s="133">
        <v>0</v>
      </c>
      <c r="N1114" s="133">
        <f t="shared" si="111"/>
        <v>0</v>
      </c>
      <c r="O1114" s="134">
        <v>1</v>
      </c>
      <c r="P1114" s="133"/>
      <c r="Q1114" s="2" t="s">
        <v>3876</v>
      </c>
      <c r="R1114" s="156">
        <f t="shared" si="122"/>
        <v>42700</v>
      </c>
      <c r="S1114" s="156">
        <f t="shared" si="123"/>
        <v>42700</v>
      </c>
      <c r="T1114" s="133"/>
      <c r="U1114" s="133"/>
      <c r="V1114" s="133">
        <v>42700</v>
      </c>
      <c r="W1114" s="133"/>
      <c r="X1114" s="133"/>
      <c r="Y1114" s="133">
        <v>6513.56</v>
      </c>
      <c r="Z1114" s="133"/>
      <c r="AA1114" s="133"/>
      <c r="AB1114" s="133"/>
      <c r="AC1114" s="133"/>
      <c r="AD1114" s="133"/>
      <c r="AE1114" s="133"/>
      <c r="AF1114" s="133"/>
      <c r="AG1114" s="133"/>
      <c r="AH1114" s="133"/>
      <c r="AI1114" s="133"/>
      <c r="AJ1114" s="133"/>
      <c r="AK1114" s="133">
        <v>36186.44</v>
      </c>
      <c r="AL1114" s="133"/>
      <c r="AM1114" s="133"/>
      <c r="AN1114" s="133"/>
      <c r="AO1114" s="133"/>
      <c r="AP1114" s="133"/>
      <c r="AQ1114" s="133"/>
      <c r="AR1114" s="133"/>
      <c r="AS1114" s="153">
        <v>0</v>
      </c>
      <c r="AT1114" s="153">
        <v>0</v>
      </c>
      <c r="AU1114" s="153">
        <v>0</v>
      </c>
      <c r="AV1114" s="153">
        <v>0</v>
      </c>
      <c r="AW1114" s="153">
        <v>0</v>
      </c>
      <c r="AX1114" s="153">
        <v>0</v>
      </c>
      <c r="AY1114" s="135"/>
      <c r="AZ1114" s="135"/>
      <c r="BA1114" s="135"/>
      <c r="BB1114" s="135"/>
      <c r="BC1114" s="135"/>
      <c r="BD1114" s="135"/>
      <c r="BE1114" s="135">
        <f>(H1114/1.18-AT1114-AW1114-AZ1114-BD1114)*0.1-AU1114-AX1114-BA1114-BB1114</f>
        <v>3618.6440677966102</v>
      </c>
      <c r="BF1114" s="135"/>
      <c r="BG1114" s="135"/>
      <c r="BH1114" s="135"/>
      <c r="BI1114" s="2" t="s">
        <v>3773</v>
      </c>
      <c r="BJ1114" s="136">
        <v>45716</v>
      </c>
      <c r="BK1114" s="2" t="s">
        <v>109</v>
      </c>
      <c r="BL1114" s="136" t="s">
        <v>18</v>
      </c>
      <c r="BM1114" s="136">
        <v>45597</v>
      </c>
      <c r="BN1114" s="2" t="s">
        <v>3877</v>
      </c>
      <c r="BO1114" s="2"/>
      <c r="BP1114" s="136"/>
      <c r="BQ1114" s="137" t="s">
        <v>119</v>
      </c>
    </row>
    <row r="1115" spans="1:69" ht="12.75" customHeight="1" x14ac:dyDescent="0.2">
      <c r="A1115" s="2">
        <v>2604</v>
      </c>
      <c r="B1115" s="2" t="s">
        <v>54</v>
      </c>
      <c r="C1115" s="2" t="s">
        <v>96</v>
      </c>
      <c r="D1115" s="131" t="s">
        <v>3880</v>
      </c>
      <c r="E1115" s="2" t="s">
        <v>3635</v>
      </c>
      <c r="F1115" s="132">
        <v>42700</v>
      </c>
      <c r="G1115" s="132"/>
      <c r="H1115" s="132">
        <f t="shared" si="112"/>
        <v>42700</v>
      </c>
      <c r="I1115" s="132"/>
      <c r="J1115" s="132">
        <f t="shared" si="114"/>
        <v>42700</v>
      </c>
      <c r="K1115" s="132">
        <f t="shared" si="116"/>
        <v>0</v>
      </c>
      <c r="L1115" s="132">
        <f t="shared" si="121"/>
        <v>0</v>
      </c>
      <c r="M1115" s="133">
        <v>0</v>
      </c>
      <c r="N1115" s="133">
        <f t="shared" si="111"/>
        <v>0</v>
      </c>
      <c r="O1115" s="134">
        <v>1</v>
      </c>
      <c r="P1115" s="133"/>
      <c r="Q1115" s="2" t="s">
        <v>3879</v>
      </c>
      <c r="R1115" s="156">
        <f t="shared" si="122"/>
        <v>42700</v>
      </c>
      <c r="S1115" s="156">
        <f t="shared" si="123"/>
        <v>42700</v>
      </c>
      <c r="T1115" s="133"/>
      <c r="U1115" s="133"/>
      <c r="V1115" s="133">
        <v>42700</v>
      </c>
      <c r="W1115" s="133"/>
      <c r="X1115" s="133"/>
      <c r="Y1115" s="133">
        <v>6513.56</v>
      </c>
      <c r="Z1115" s="133"/>
      <c r="AA1115" s="133"/>
      <c r="AB1115" s="133"/>
      <c r="AC1115" s="133"/>
      <c r="AD1115" s="133"/>
      <c r="AE1115" s="133"/>
      <c r="AF1115" s="133"/>
      <c r="AG1115" s="133"/>
      <c r="AH1115" s="133"/>
      <c r="AI1115" s="133"/>
      <c r="AJ1115" s="133"/>
      <c r="AK1115" s="133">
        <v>36186.44</v>
      </c>
      <c r="AL1115" s="133"/>
      <c r="AM1115" s="133"/>
      <c r="AN1115" s="133"/>
      <c r="AO1115" s="133"/>
      <c r="AP1115" s="133"/>
      <c r="AQ1115" s="133"/>
      <c r="AR1115" s="133"/>
      <c r="AS1115" s="153">
        <v>0</v>
      </c>
      <c r="AT1115" s="153">
        <v>0</v>
      </c>
      <c r="AU1115" s="153">
        <v>0</v>
      </c>
      <c r="AV1115" s="153">
        <v>0</v>
      </c>
      <c r="AW1115" s="153">
        <v>0</v>
      </c>
      <c r="AX1115" s="153">
        <v>0</v>
      </c>
      <c r="AY1115" s="135"/>
      <c r="AZ1115" s="135"/>
      <c r="BA1115" s="135"/>
      <c r="BB1115" s="135"/>
      <c r="BC1115" s="135"/>
      <c r="BD1115" s="135"/>
      <c r="BE1115" s="135">
        <f>(H1115/1.18-AT1115-AW1115-AZ1115-BD1115)*0.1-AU1115-AX1115-BA1115-BB1115</f>
        <v>3618.6440677966102</v>
      </c>
      <c r="BF1115" s="135"/>
      <c r="BG1115" s="135"/>
      <c r="BH1115" s="135"/>
      <c r="BI1115" s="2" t="s">
        <v>3773</v>
      </c>
      <c r="BJ1115" s="136">
        <v>45716</v>
      </c>
      <c r="BK1115" s="2" t="s">
        <v>109</v>
      </c>
      <c r="BL1115" s="136" t="s">
        <v>18</v>
      </c>
      <c r="BM1115" s="136">
        <v>45597</v>
      </c>
      <c r="BN1115" s="2" t="s">
        <v>3878</v>
      </c>
      <c r="BO1115" s="2"/>
      <c r="BP1115" s="136"/>
      <c r="BQ1115" s="137" t="s">
        <v>119</v>
      </c>
    </row>
    <row r="1116" spans="1:69" ht="12.75" customHeight="1" x14ac:dyDescent="0.2">
      <c r="A1116" s="2">
        <v>2605</v>
      </c>
      <c r="B1116" s="2" t="s">
        <v>54</v>
      </c>
      <c r="C1116" s="2" t="s">
        <v>96</v>
      </c>
      <c r="D1116" s="131" t="s">
        <v>3533</v>
      </c>
      <c r="E1116" s="2" t="s">
        <v>71</v>
      </c>
      <c r="F1116" s="132">
        <v>0</v>
      </c>
      <c r="G1116" s="132"/>
      <c r="H1116" s="324">
        <f t="shared" si="112"/>
        <v>35174.49</v>
      </c>
      <c r="I1116" s="132"/>
      <c r="J1116" s="132">
        <f>S1116+BC1116</f>
        <v>35174.49</v>
      </c>
      <c r="K1116" s="132">
        <f t="shared" si="116"/>
        <v>-35174.49</v>
      </c>
      <c r="L1116" s="132">
        <f t="shared" si="121"/>
        <v>0</v>
      </c>
      <c r="M1116" s="133">
        <v>746</v>
      </c>
      <c r="N1116" s="133">
        <f t="shared" si="111"/>
        <v>0</v>
      </c>
      <c r="O1116" s="134" t="s">
        <v>1993</v>
      </c>
      <c r="P1116" s="133"/>
      <c r="Q1116" s="2" t="s">
        <v>2766</v>
      </c>
      <c r="R1116" s="156">
        <f t="shared" si="122"/>
        <v>35174.49</v>
      </c>
      <c r="S1116" s="156">
        <f t="shared" si="123"/>
        <v>15682.960000000001</v>
      </c>
      <c r="T1116" s="133"/>
      <c r="U1116" s="133"/>
      <c r="V1116" s="133"/>
      <c r="W1116" s="133"/>
      <c r="X1116" s="133">
        <v>23000</v>
      </c>
      <c r="Y1116" s="133"/>
      <c r="Z1116" s="133">
        <v>12174.49</v>
      </c>
      <c r="AA1116" s="133">
        <v>3508.47</v>
      </c>
      <c r="AB1116" s="133"/>
      <c r="AC1116" s="133">
        <v>1857.13</v>
      </c>
      <c r="AD1116" s="133"/>
      <c r="AE1116" s="133">
        <v>10317.36</v>
      </c>
      <c r="AF1116" s="133"/>
      <c r="AG1116" s="133"/>
      <c r="AH1116" s="133"/>
      <c r="AI1116" s="133"/>
      <c r="AJ1116" s="133"/>
      <c r="AK1116" s="133"/>
      <c r="AL1116" s="133"/>
      <c r="AM1116" s="133"/>
      <c r="AN1116" s="133"/>
      <c r="AO1116" s="133"/>
      <c r="AP1116" s="133"/>
      <c r="AQ1116" s="133"/>
      <c r="AR1116" s="133"/>
      <c r="AS1116" s="153">
        <v>0</v>
      </c>
      <c r="AT1116" s="153">
        <v>0</v>
      </c>
      <c r="AU1116" s="153">
        <v>0</v>
      </c>
      <c r="AV1116" s="153">
        <v>0</v>
      </c>
      <c r="AW1116" s="153">
        <v>0</v>
      </c>
      <c r="AX1116" s="153">
        <v>0</v>
      </c>
      <c r="AY1116" s="135"/>
      <c r="AZ1116" s="135"/>
      <c r="BA1116" s="135"/>
      <c r="BB1116" s="135"/>
      <c r="BC1116" s="135">
        <v>19491.53</v>
      </c>
      <c r="BD1116" s="135">
        <v>2905.31</v>
      </c>
      <c r="BE1116" s="135">
        <f t="shared" ref="BE1116" si="124">(H1116/1.18-AT1116-AW1116-AZ1116-BD1116)*0.1-AU1116-AX1116-BA1116-BB1116</f>
        <v>2690.3579830508475</v>
      </c>
      <c r="BF1116" s="135"/>
      <c r="BG1116" s="135"/>
      <c r="BH1116" s="135"/>
      <c r="BI1116" s="2" t="s">
        <v>11</v>
      </c>
      <c r="BJ1116" s="136">
        <v>45770</v>
      </c>
      <c r="BK1116" s="2" t="s">
        <v>109</v>
      </c>
      <c r="BL1116" s="136" t="s">
        <v>18</v>
      </c>
      <c r="BM1116" s="136">
        <v>45303</v>
      </c>
      <c r="BN1116" s="2" t="s">
        <v>3358</v>
      </c>
      <c r="BO1116" s="2"/>
      <c r="BP1116" s="136"/>
      <c r="BQ1116" s="137" t="s">
        <v>119</v>
      </c>
    </row>
    <row r="1117" spans="1:69" ht="12.75" customHeight="1" x14ac:dyDescent="0.2">
      <c r="A1117" s="2">
        <v>2606</v>
      </c>
      <c r="B1117" s="2" t="s">
        <v>54</v>
      </c>
      <c r="C1117" s="131" t="s">
        <v>50</v>
      </c>
      <c r="D1117" s="2" t="s">
        <v>4040</v>
      </c>
      <c r="E1117" s="2" t="s">
        <v>141</v>
      </c>
      <c r="F1117" s="132">
        <v>0</v>
      </c>
      <c r="G1117" s="132"/>
      <c r="H1117" s="132">
        <f t="shared" si="112"/>
        <v>75560</v>
      </c>
      <c r="I1117" s="132"/>
      <c r="J1117" s="132">
        <f>S1117+BC1117</f>
        <v>53000</v>
      </c>
      <c r="K1117" s="132">
        <f t="shared" si="116"/>
        <v>-53000</v>
      </c>
      <c r="L1117" s="132">
        <f t="shared" si="121"/>
        <v>22560</v>
      </c>
      <c r="M1117" s="133">
        <v>1472</v>
      </c>
      <c r="N1117" s="133">
        <f t="shared" si="111"/>
        <v>22560</v>
      </c>
      <c r="O1117" s="134" t="s">
        <v>1993</v>
      </c>
      <c r="P1117" s="133"/>
      <c r="Q1117" s="2" t="s">
        <v>338</v>
      </c>
      <c r="R1117" s="156">
        <f t="shared" si="122"/>
        <v>75560</v>
      </c>
      <c r="S1117" s="156">
        <f t="shared" si="123"/>
        <v>8084.75</v>
      </c>
      <c r="T1117" s="133"/>
      <c r="U1117" s="133"/>
      <c r="V1117" s="133"/>
      <c r="W1117" s="133"/>
      <c r="X1117" s="133">
        <v>50000</v>
      </c>
      <c r="Y1117" s="133"/>
      <c r="Z1117" s="133">
        <v>3000</v>
      </c>
      <c r="AA1117" s="133">
        <v>7627.12</v>
      </c>
      <c r="AB1117" s="133"/>
      <c r="AC1117" s="133">
        <v>457.63</v>
      </c>
      <c r="AD1117" s="133"/>
      <c r="AE1117" s="133"/>
      <c r="AF1117" s="133"/>
      <c r="AG1117" s="133"/>
      <c r="AH1117" s="133"/>
      <c r="AI1117" s="133"/>
      <c r="AJ1117" s="133">
        <v>22560</v>
      </c>
      <c r="AK1117" s="133"/>
      <c r="AL1117" s="133"/>
      <c r="AM1117" s="133"/>
      <c r="AN1117" s="133"/>
      <c r="AO1117" s="133"/>
      <c r="AP1117" s="133"/>
      <c r="AQ1117" s="133"/>
      <c r="AR1117" s="133"/>
      <c r="AS1117" s="153">
        <v>0</v>
      </c>
      <c r="AT1117" s="153">
        <v>0</v>
      </c>
      <c r="AU1117" s="153">
        <v>0</v>
      </c>
      <c r="AV1117" s="153">
        <v>0</v>
      </c>
      <c r="AW1117" s="153">
        <v>0</v>
      </c>
      <c r="AX1117" s="153">
        <v>0</v>
      </c>
      <c r="AY1117" s="135"/>
      <c r="AZ1117" s="135"/>
      <c r="BA1117" s="135"/>
      <c r="BB1117" s="135"/>
      <c r="BC1117" s="135">
        <f>42372.88+2542.37</f>
        <v>44915.25</v>
      </c>
      <c r="BD1117" s="135">
        <f>6315.88+356.28</f>
        <v>6672.16</v>
      </c>
      <c r="BE1117" s="135"/>
      <c r="BF1117" s="135"/>
      <c r="BG1117" s="135"/>
      <c r="BH1117" s="135"/>
      <c r="BI1117" s="2" t="s">
        <v>11</v>
      </c>
      <c r="BJ1117" s="136">
        <v>45926</v>
      </c>
      <c r="BK1117" s="2" t="s">
        <v>109</v>
      </c>
      <c r="BL1117" s="136" t="s">
        <v>113</v>
      </c>
      <c r="BM1117" s="136">
        <v>45308</v>
      </c>
      <c r="BN1117" s="2" t="s">
        <v>2198</v>
      </c>
      <c r="BO1117" s="2"/>
      <c r="BP1117" s="136"/>
      <c r="BQ1117" s="137" t="s">
        <v>134</v>
      </c>
    </row>
    <row r="1118" spans="1:69" ht="12.75" customHeight="1" x14ac:dyDescent="0.2">
      <c r="A1118" s="2">
        <v>2607</v>
      </c>
      <c r="B1118" s="2" t="s">
        <v>108</v>
      </c>
      <c r="C1118" s="2" t="s">
        <v>40</v>
      </c>
      <c r="D1118" s="2" t="s">
        <v>3890</v>
      </c>
      <c r="E1118" s="2" t="s">
        <v>3635</v>
      </c>
      <c r="F1118" s="132">
        <v>6500</v>
      </c>
      <c r="G1118" s="132"/>
      <c r="H1118" s="132">
        <f t="shared" si="112"/>
        <v>6500</v>
      </c>
      <c r="I1118" s="132"/>
      <c r="J1118" s="132">
        <f t="shared" si="114"/>
        <v>6500</v>
      </c>
      <c r="K1118" s="132">
        <f t="shared" si="116"/>
        <v>0</v>
      </c>
      <c r="L1118" s="132">
        <f t="shared" si="121"/>
        <v>0</v>
      </c>
      <c r="M1118" s="133">
        <v>0</v>
      </c>
      <c r="N1118" s="133">
        <f t="shared" si="111"/>
        <v>0</v>
      </c>
      <c r="O1118" s="134">
        <v>1</v>
      </c>
      <c r="P1118" s="133"/>
      <c r="Q1118" s="2" t="s">
        <v>1400</v>
      </c>
      <c r="R1118" s="156">
        <f t="shared" si="122"/>
        <v>6500</v>
      </c>
      <c r="S1118" s="156">
        <f t="shared" si="123"/>
        <v>6500</v>
      </c>
      <c r="T1118" s="133"/>
      <c r="U1118" s="133"/>
      <c r="V1118" s="133"/>
      <c r="W1118" s="133"/>
      <c r="X1118" s="133">
        <v>6500</v>
      </c>
      <c r="Y1118" s="133"/>
      <c r="Z1118" s="133"/>
      <c r="AA1118" s="133">
        <v>991.53</v>
      </c>
      <c r="AB1118" s="133"/>
      <c r="AC1118" s="133"/>
      <c r="AD1118" s="133"/>
      <c r="AE1118" s="133"/>
      <c r="AF1118" s="133"/>
      <c r="AG1118" s="133"/>
      <c r="AH1118" s="133"/>
      <c r="AI1118" s="133"/>
      <c r="AJ1118" s="133"/>
      <c r="AK1118" s="133">
        <v>5508.47</v>
      </c>
      <c r="AL1118" s="133"/>
      <c r="AM1118" s="133"/>
      <c r="AN1118" s="133"/>
      <c r="AO1118" s="133"/>
      <c r="AP1118" s="133"/>
      <c r="AQ1118" s="133"/>
      <c r="AR1118" s="133"/>
      <c r="AS1118" s="153">
        <v>0</v>
      </c>
      <c r="AT1118" s="153">
        <v>0</v>
      </c>
      <c r="AU1118" s="153">
        <v>0</v>
      </c>
      <c r="AV1118" s="153">
        <v>0</v>
      </c>
      <c r="AW1118" s="153">
        <v>0</v>
      </c>
      <c r="AX1118" s="153">
        <v>0</v>
      </c>
      <c r="AY1118" s="135"/>
      <c r="AZ1118" s="135"/>
      <c r="BA1118" s="135"/>
      <c r="BB1118" s="135"/>
      <c r="BC1118" s="135"/>
      <c r="BD1118" s="135"/>
      <c r="BE1118" s="135">
        <f t="shared" ref="BE1118:BE1130" si="125">(H1118/1.18-AT1118-AW1118-AZ1118-BD1118)*0.1-AU1118-AX1118-BA1118-BB1118</f>
        <v>550.84745762711862</v>
      </c>
      <c r="BF1118" s="135"/>
      <c r="BG1118" s="135"/>
      <c r="BH1118" s="135"/>
      <c r="BI1118" s="2" t="s">
        <v>3773</v>
      </c>
      <c r="BJ1118" s="136">
        <v>45726</v>
      </c>
      <c r="BK1118" s="2" t="s">
        <v>109</v>
      </c>
      <c r="BL1118" s="136" t="s">
        <v>113</v>
      </c>
      <c r="BM1118" s="136">
        <v>45597</v>
      </c>
      <c r="BN1118" s="2" t="s">
        <v>3889</v>
      </c>
      <c r="BO1118" s="2"/>
      <c r="BP1118" s="136"/>
      <c r="BQ1118" s="137" t="s">
        <v>119</v>
      </c>
    </row>
    <row r="1119" spans="1:69" ht="12.75" customHeight="1" x14ac:dyDescent="0.2">
      <c r="A1119" s="2">
        <v>2608</v>
      </c>
      <c r="B1119" s="2" t="s">
        <v>108</v>
      </c>
      <c r="C1119" s="2" t="s">
        <v>40</v>
      </c>
      <c r="D1119" s="2" t="s">
        <v>3891</v>
      </c>
      <c r="E1119" s="2" t="s">
        <v>3635</v>
      </c>
      <c r="F1119" s="132">
        <v>8500</v>
      </c>
      <c r="G1119" s="132"/>
      <c r="H1119" s="132">
        <f t="shared" si="112"/>
        <v>8500</v>
      </c>
      <c r="I1119" s="132"/>
      <c r="J1119" s="132">
        <f t="shared" si="114"/>
        <v>8500</v>
      </c>
      <c r="K1119" s="132">
        <f t="shared" si="116"/>
        <v>0</v>
      </c>
      <c r="L1119" s="132">
        <f t="shared" si="121"/>
        <v>0</v>
      </c>
      <c r="M1119" s="133">
        <v>0</v>
      </c>
      <c r="N1119" s="133">
        <f t="shared" si="111"/>
        <v>0</v>
      </c>
      <c r="O1119" s="134">
        <v>1</v>
      </c>
      <c r="P1119" s="133"/>
      <c r="Q1119" s="2" t="s">
        <v>1400</v>
      </c>
      <c r="R1119" s="156">
        <f t="shared" si="122"/>
        <v>8500</v>
      </c>
      <c r="S1119" s="156">
        <f t="shared" si="123"/>
        <v>8500</v>
      </c>
      <c r="T1119" s="133"/>
      <c r="U1119" s="133"/>
      <c r="V1119" s="133"/>
      <c r="W1119" s="133"/>
      <c r="X1119" s="133">
        <v>8500</v>
      </c>
      <c r="Y1119" s="133"/>
      <c r="Z1119" s="133"/>
      <c r="AA1119" s="133">
        <v>1296.6099999999999</v>
      </c>
      <c r="AB1119" s="133"/>
      <c r="AC1119" s="133"/>
      <c r="AD1119" s="133"/>
      <c r="AE1119" s="133"/>
      <c r="AF1119" s="133"/>
      <c r="AG1119" s="133"/>
      <c r="AH1119" s="133"/>
      <c r="AI1119" s="133"/>
      <c r="AJ1119" s="133"/>
      <c r="AK1119" s="133">
        <v>7203.39</v>
      </c>
      <c r="AL1119" s="133"/>
      <c r="AM1119" s="133"/>
      <c r="AN1119" s="133"/>
      <c r="AO1119" s="133"/>
      <c r="AP1119" s="133"/>
      <c r="AQ1119" s="133"/>
      <c r="AR1119" s="133"/>
      <c r="AS1119" s="153">
        <v>0</v>
      </c>
      <c r="AT1119" s="153">
        <v>0</v>
      </c>
      <c r="AU1119" s="153">
        <v>0</v>
      </c>
      <c r="AV1119" s="153">
        <v>0</v>
      </c>
      <c r="AW1119" s="153">
        <v>0</v>
      </c>
      <c r="AX1119" s="153">
        <v>0</v>
      </c>
      <c r="AY1119" s="135"/>
      <c r="AZ1119" s="135"/>
      <c r="BA1119" s="135"/>
      <c r="BB1119" s="135"/>
      <c r="BC1119" s="135"/>
      <c r="BD1119" s="135"/>
      <c r="BE1119" s="135">
        <f t="shared" si="125"/>
        <v>720.33898305084756</v>
      </c>
      <c r="BF1119" s="135"/>
      <c r="BG1119" s="135"/>
      <c r="BH1119" s="135"/>
      <c r="BI1119" s="2" t="s">
        <v>3773</v>
      </c>
      <c r="BJ1119" s="136">
        <v>45726</v>
      </c>
      <c r="BK1119" s="2" t="s">
        <v>109</v>
      </c>
      <c r="BL1119" s="136" t="s">
        <v>113</v>
      </c>
      <c r="BM1119" s="136">
        <v>45597</v>
      </c>
      <c r="BN1119" s="2" t="s">
        <v>3889</v>
      </c>
      <c r="BO1119" s="2"/>
      <c r="BP1119" s="136"/>
      <c r="BQ1119" s="137" t="s">
        <v>119</v>
      </c>
    </row>
    <row r="1120" spans="1:69" ht="12.75" customHeight="1" x14ac:dyDescent="0.2">
      <c r="A1120" s="2">
        <v>2609</v>
      </c>
      <c r="B1120" s="2" t="s">
        <v>108</v>
      </c>
      <c r="C1120" s="2" t="s">
        <v>40</v>
      </c>
      <c r="D1120" s="2" t="s">
        <v>3892</v>
      </c>
      <c r="E1120" s="2" t="s">
        <v>3635</v>
      </c>
      <c r="F1120" s="132">
        <v>8500</v>
      </c>
      <c r="G1120" s="132"/>
      <c r="H1120" s="132">
        <f t="shared" si="112"/>
        <v>8500</v>
      </c>
      <c r="I1120" s="132"/>
      <c r="J1120" s="132">
        <f t="shared" si="114"/>
        <v>8500</v>
      </c>
      <c r="K1120" s="132">
        <f t="shared" si="116"/>
        <v>0</v>
      </c>
      <c r="L1120" s="132">
        <f t="shared" si="121"/>
        <v>0</v>
      </c>
      <c r="M1120" s="133">
        <v>0</v>
      </c>
      <c r="N1120" s="133">
        <f t="shared" si="111"/>
        <v>0</v>
      </c>
      <c r="O1120" s="134">
        <v>1</v>
      </c>
      <c r="P1120" s="133"/>
      <c r="Q1120" s="2" t="s">
        <v>1400</v>
      </c>
      <c r="R1120" s="156">
        <f t="shared" si="122"/>
        <v>8500</v>
      </c>
      <c r="S1120" s="156">
        <f t="shared" si="123"/>
        <v>8500</v>
      </c>
      <c r="T1120" s="133"/>
      <c r="U1120" s="133"/>
      <c r="V1120" s="133"/>
      <c r="W1120" s="133"/>
      <c r="X1120" s="133">
        <v>8500</v>
      </c>
      <c r="Y1120" s="133"/>
      <c r="Z1120" s="133"/>
      <c r="AA1120" s="133">
        <v>1296.6099999999999</v>
      </c>
      <c r="AB1120" s="133"/>
      <c r="AC1120" s="133"/>
      <c r="AD1120" s="133"/>
      <c r="AE1120" s="133"/>
      <c r="AF1120" s="133"/>
      <c r="AG1120" s="133"/>
      <c r="AH1120" s="133"/>
      <c r="AI1120" s="133"/>
      <c r="AJ1120" s="133"/>
      <c r="AK1120" s="133">
        <v>7203.39</v>
      </c>
      <c r="AL1120" s="133"/>
      <c r="AM1120" s="133"/>
      <c r="AN1120" s="133"/>
      <c r="AO1120" s="133"/>
      <c r="AP1120" s="133"/>
      <c r="AQ1120" s="133"/>
      <c r="AR1120" s="133"/>
      <c r="AS1120" s="153">
        <v>0</v>
      </c>
      <c r="AT1120" s="153">
        <v>0</v>
      </c>
      <c r="AU1120" s="153">
        <v>0</v>
      </c>
      <c r="AV1120" s="153">
        <v>0</v>
      </c>
      <c r="AW1120" s="153">
        <v>0</v>
      </c>
      <c r="AX1120" s="153">
        <v>0</v>
      </c>
      <c r="AY1120" s="135"/>
      <c r="AZ1120" s="135"/>
      <c r="BA1120" s="135"/>
      <c r="BB1120" s="135"/>
      <c r="BC1120" s="135"/>
      <c r="BD1120" s="135"/>
      <c r="BE1120" s="135">
        <f t="shared" si="125"/>
        <v>720.33898305084756</v>
      </c>
      <c r="BF1120" s="135"/>
      <c r="BG1120" s="135"/>
      <c r="BH1120" s="135"/>
      <c r="BI1120" s="2" t="s">
        <v>3773</v>
      </c>
      <c r="BJ1120" s="136">
        <v>45726</v>
      </c>
      <c r="BK1120" s="2" t="s">
        <v>109</v>
      </c>
      <c r="BL1120" s="136" t="s">
        <v>113</v>
      </c>
      <c r="BM1120" s="136">
        <v>45597</v>
      </c>
      <c r="BN1120" s="2" t="s">
        <v>3889</v>
      </c>
      <c r="BO1120" s="2"/>
      <c r="BP1120" s="136"/>
      <c r="BQ1120" s="137" t="s">
        <v>119</v>
      </c>
    </row>
    <row r="1121" spans="1:69" ht="12.75" customHeight="1" x14ac:dyDescent="0.2">
      <c r="A1121" s="2">
        <v>2610</v>
      </c>
      <c r="B1121" s="2" t="s">
        <v>44</v>
      </c>
      <c r="C1121" s="131" t="s">
        <v>45</v>
      </c>
      <c r="D1121" s="131" t="s">
        <v>3895</v>
      </c>
      <c r="E1121" s="2" t="s">
        <v>3635</v>
      </c>
      <c r="F1121" s="132">
        <v>8500</v>
      </c>
      <c r="G1121" s="132"/>
      <c r="H1121" s="132">
        <f t="shared" si="112"/>
        <v>8500</v>
      </c>
      <c r="I1121" s="132"/>
      <c r="J1121" s="132">
        <f t="shared" si="114"/>
        <v>8500</v>
      </c>
      <c r="K1121" s="132">
        <f t="shared" si="116"/>
        <v>0</v>
      </c>
      <c r="L1121" s="132">
        <f t="shared" si="121"/>
        <v>0</v>
      </c>
      <c r="M1121" s="133">
        <v>0</v>
      </c>
      <c r="N1121" s="133">
        <f t="shared" si="111"/>
        <v>0</v>
      </c>
      <c r="O1121" s="134">
        <v>1</v>
      </c>
      <c r="P1121" s="133"/>
      <c r="Q1121" s="2" t="s">
        <v>3730</v>
      </c>
      <c r="R1121" s="156">
        <f t="shared" si="122"/>
        <v>8500</v>
      </c>
      <c r="S1121" s="156">
        <f t="shared" si="123"/>
        <v>8500</v>
      </c>
      <c r="T1121" s="133"/>
      <c r="U1121" s="133"/>
      <c r="V1121" s="133"/>
      <c r="W1121" s="133"/>
      <c r="X1121" s="133">
        <v>8500</v>
      </c>
      <c r="Y1121" s="133"/>
      <c r="Z1121" s="133"/>
      <c r="AA1121" s="133">
        <v>1296.6099999999999</v>
      </c>
      <c r="AB1121" s="133"/>
      <c r="AC1121" s="133"/>
      <c r="AD1121" s="133"/>
      <c r="AE1121" s="133"/>
      <c r="AF1121" s="133"/>
      <c r="AG1121" s="133"/>
      <c r="AH1121" s="133"/>
      <c r="AI1121" s="133"/>
      <c r="AJ1121" s="133"/>
      <c r="AK1121" s="133">
        <v>7203.39</v>
      </c>
      <c r="AL1121" s="133"/>
      <c r="AM1121" s="133"/>
      <c r="AN1121" s="133"/>
      <c r="AO1121" s="133"/>
      <c r="AP1121" s="133"/>
      <c r="AQ1121" s="133"/>
      <c r="AR1121" s="133"/>
      <c r="AS1121" s="153">
        <v>0</v>
      </c>
      <c r="AT1121" s="153">
        <v>0</v>
      </c>
      <c r="AU1121" s="153">
        <v>0</v>
      </c>
      <c r="AV1121" s="153">
        <v>0</v>
      </c>
      <c r="AW1121" s="153">
        <v>0</v>
      </c>
      <c r="AX1121" s="153">
        <v>0</v>
      </c>
      <c r="AY1121" s="135"/>
      <c r="AZ1121" s="135"/>
      <c r="BA1121" s="135"/>
      <c r="BB1121" s="135"/>
      <c r="BC1121" s="135"/>
      <c r="BD1121" s="135"/>
      <c r="BE1121" s="135">
        <f t="shared" si="125"/>
        <v>720.33898305084756</v>
      </c>
      <c r="BF1121" s="135"/>
      <c r="BG1121" s="135"/>
      <c r="BH1121" s="135"/>
      <c r="BI1121" s="2" t="s">
        <v>3746</v>
      </c>
      <c r="BJ1121" s="136">
        <v>45744</v>
      </c>
      <c r="BK1121" s="2" t="s">
        <v>109</v>
      </c>
      <c r="BL1121" s="136" t="s">
        <v>113</v>
      </c>
      <c r="BM1121" s="136">
        <v>45635</v>
      </c>
      <c r="BN1121" s="2" t="s">
        <v>3641</v>
      </c>
      <c r="BO1121" s="2"/>
      <c r="BP1121" s="136"/>
      <c r="BQ1121" s="137" t="s">
        <v>119</v>
      </c>
    </row>
    <row r="1122" spans="1:69" ht="12.75" customHeight="1" x14ac:dyDescent="0.2">
      <c r="A1122" s="2">
        <v>2611</v>
      </c>
      <c r="B1122" s="2" t="s">
        <v>44</v>
      </c>
      <c r="C1122" s="131" t="s">
        <v>45</v>
      </c>
      <c r="D1122" s="131" t="s">
        <v>3894</v>
      </c>
      <c r="E1122" s="2" t="s">
        <v>3635</v>
      </c>
      <c r="F1122" s="132">
        <v>22500</v>
      </c>
      <c r="G1122" s="132"/>
      <c r="H1122" s="132">
        <f t="shared" si="112"/>
        <v>22500</v>
      </c>
      <c r="I1122" s="132"/>
      <c r="J1122" s="132">
        <f t="shared" si="114"/>
        <v>22500</v>
      </c>
      <c r="K1122" s="132">
        <f t="shared" si="116"/>
        <v>0</v>
      </c>
      <c r="L1122" s="132">
        <f t="shared" si="121"/>
        <v>0</v>
      </c>
      <c r="M1122" s="133">
        <v>0</v>
      </c>
      <c r="N1122" s="133">
        <f t="shared" si="111"/>
        <v>0</v>
      </c>
      <c r="O1122" s="134">
        <v>1</v>
      </c>
      <c r="P1122" s="133"/>
      <c r="Q1122" s="2" t="s">
        <v>3893</v>
      </c>
      <c r="R1122" s="156">
        <f t="shared" si="122"/>
        <v>22500</v>
      </c>
      <c r="S1122" s="156">
        <f t="shared" si="123"/>
        <v>22500</v>
      </c>
      <c r="T1122" s="133"/>
      <c r="U1122" s="133"/>
      <c r="V1122" s="133"/>
      <c r="W1122" s="133"/>
      <c r="X1122" s="133">
        <v>22500</v>
      </c>
      <c r="Y1122" s="133"/>
      <c r="Z1122" s="133"/>
      <c r="AA1122" s="133">
        <v>3432.2</v>
      </c>
      <c r="AB1122" s="133"/>
      <c r="AC1122" s="133"/>
      <c r="AD1122" s="133"/>
      <c r="AE1122" s="133"/>
      <c r="AF1122" s="133"/>
      <c r="AG1122" s="133"/>
      <c r="AH1122" s="133"/>
      <c r="AI1122" s="133"/>
      <c r="AJ1122" s="133"/>
      <c r="AK1122" s="133">
        <v>19067.8</v>
      </c>
      <c r="AL1122" s="133"/>
      <c r="AM1122" s="133"/>
      <c r="AN1122" s="133"/>
      <c r="AO1122" s="133"/>
      <c r="AP1122" s="133"/>
      <c r="AQ1122" s="133"/>
      <c r="AR1122" s="133"/>
      <c r="AS1122" s="153">
        <v>0</v>
      </c>
      <c r="AT1122" s="153">
        <v>0</v>
      </c>
      <c r="AU1122" s="153">
        <v>0</v>
      </c>
      <c r="AV1122" s="153">
        <v>0</v>
      </c>
      <c r="AW1122" s="153">
        <v>0</v>
      </c>
      <c r="AX1122" s="153">
        <v>0</v>
      </c>
      <c r="AY1122" s="135"/>
      <c r="AZ1122" s="135"/>
      <c r="BA1122" s="135"/>
      <c r="BB1122" s="135"/>
      <c r="BC1122" s="135"/>
      <c r="BD1122" s="135"/>
      <c r="BE1122" s="135">
        <f t="shared" si="125"/>
        <v>1906.7796610169491</v>
      </c>
      <c r="BF1122" s="135"/>
      <c r="BG1122" s="135"/>
      <c r="BH1122" s="135"/>
      <c r="BI1122" s="2" t="s">
        <v>3746</v>
      </c>
      <c r="BJ1122" s="136">
        <v>45744</v>
      </c>
      <c r="BK1122" s="2" t="s">
        <v>109</v>
      </c>
      <c r="BL1122" s="136" t="s">
        <v>113</v>
      </c>
      <c r="BM1122" s="136">
        <v>45635</v>
      </c>
      <c r="BN1122" s="2" t="s">
        <v>3641</v>
      </c>
      <c r="BO1122" s="2"/>
      <c r="BP1122" s="136"/>
      <c r="BQ1122" s="137" t="s">
        <v>119</v>
      </c>
    </row>
    <row r="1123" spans="1:69" ht="12.75" customHeight="1" x14ac:dyDescent="0.2">
      <c r="A1123" s="2">
        <v>2612</v>
      </c>
      <c r="B1123" s="2" t="s">
        <v>44</v>
      </c>
      <c r="C1123" s="131" t="s">
        <v>45</v>
      </c>
      <c r="D1123" s="131" t="s">
        <v>3896</v>
      </c>
      <c r="E1123" s="2" t="s">
        <v>3635</v>
      </c>
      <c r="F1123" s="132">
        <v>22500</v>
      </c>
      <c r="G1123" s="132"/>
      <c r="H1123" s="132">
        <f t="shared" si="112"/>
        <v>22500</v>
      </c>
      <c r="I1123" s="132"/>
      <c r="J1123" s="132">
        <f t="shared" si="114"/>
        <v>22500</v>
      </c>
      <c r="K1123" s="132">
        <f t="shared" si="116"/>
        <v>0</v>
      </c>
      <c r="L1123" s="132">
        <f t="shared" si="121"/>
        <v>0</v>
      </c>
      <c r="M1123" s="133">
        <v>0</v>
      </c>
      <c r="N1123" s="133">
        <f t="shared" si="111"/>
        <v>0</v>
      </c>
      <c r="O1123" s="134">
        <v>1</v>
      </c>
      <c r="P1123" s="133"/>
      <c r="Q1123" s="2" t="s">
        <v>3893</v>
      </c>
      <c r="R1123" s="156">
        <f t="shared" si="122"/>
        <v>22500</v>
      </c>
      <c r="S1123" s="156">
        <f t="shared" si="123"/>
        <v>22500</v>
      </c>
      <c r="T1123" s="133"/>
      <c r="U1123" s="133"/>
      <c r="V1123" s="133"/>
      <c r="W1123" s="133"/>
      <c r="X1123" s="133">
        <v>22500</v>
      </c>
      <c r="Y1123" s="133"/>
      <c r="Z1123" s="133"/>
      <c r="AA1123" s="133">
        <v>3432.2</v>
      </c>
      <c r="AB1123" s="133"/>
      <c r="AC1123" s="133"/>
      <c r="AD1123" s="133"/>
      <c r="AE1123" s="133"/>
      <c r="AF1123" s="133"/>
      <c r="AG1123" s="133"/>
      <c r="AH1123" s="133"/>
      <c r="AI1123" s="133"/>
      <c r="AJ1123" s="133"/>
      <c r="AK1123" s="133">
        <v>19067.8</v>
      </c>
      <c r="AL1123" s="133"/>
      <c r="AM1123" s="133"/>
      <c r="AN1123" s="133"/>
      <c r="AO1123" s="133"/>
      <c r="AP1123" s="133"/>
      <c r="AQ1123" s="133"/>
      <c r="AR1123" s="133"/>
      <c r="AS1123" s="153">
        <v>0</v>
      </c>
      <c r="AT1123" s="153">
        <v>0</v>
      </c>
      <c r="AU1123" s="153">
        <v>0</v>
      </c>
      <c r="AV1123" s="153">
        <v>0</v>
      </c>
      <c r="AW1123" s="153">
        <v>0</v>
      </c>
      <c r="AX1123" s="153">
        <v>0</v>
      </c>
      <c r="AY1123" s="135"/>
      <c r="AZ1123" s="135"/>
      <c r="BA1123" s="135"/>
      <c r="BB1123" s="135"/>
      <c r="BC1123" s="135"/>
      <c r="BD1123" s="135"/>
      <c r="BE1123" s="135">
        <f t="shared" si="125"/>
        <v>1906.7796610169491</v>
      </c>
      <c r="BF1123" s="135"/>
      <c r="BG1123" s="135"/>
      <c r="BH1123" s="135"/>
      <c r="BI1123" s="2" t="s">
        <v>3746</v>
      </c>
      <c r="BJ1123" s="136">
        <v>45744</v>
      </c>
      <c r="BK1123" s="2" t="s">
        <v>109</v>
      </c>
      <c r="BL1123" s="136" t="s">
        <v>113</v>
      </c>
      <c r="BM1123" s="136">
        <v>45635</v>
      </c>
      <c r="BN1123" s="2" t="s">
        <v>3641</v>
      </c>
      <c r="BO1123" s="2"/>
      <c r="BP1123" s="136"/>
      <c r="BQ1123" s="137" t="s">
        <v>119</v>
      </c>
    </row>
    <row r="1124" spans="1:69" ht="12.75" customHeight="1" x14ac:dyDescent="0.2">
      <c r="A1124" s="2">
        <v>2613</v>
      </c>
      <c r="B1124" s="2" t="s">
        <v>44</v>
      </c>
      <c r="C1124" s="131" t="s">
        <v>45</v>
      </c>
      <c r="D1124" s="131" t="s">
        <v>3897</v>
      </c>
      <c r="E1124" s="2" t="s">
        <v>3635</v>
      </c>
      <c r="F1124" s="132">
        <v>8500</v>
      </c>
      <c r="G1124" s="132"/>
      <c r="H1124" s="132">
        <f t="shared" si="112"/>
        <v>8500</v>
      </c>
      <c r="I1124" s="132"/>
      <c r="J1124" s="132">
        <f t="shared" ref="J1124:J1180" si="126">S1124</f>
        <v>8500</v>
      </c>
      <c r="K1124" s="132">
        <f t="shared" si="116"/>
        <v>0</v>
      </c>
      <c r="L1124" s="132">
        <f t="shared" si="121"/>
        <v>0</v>
      </c>
      <c r="M1124" s="133">
        <v>0</v>
      </c>
      <c r="N1124" s="133">
        <f t="shared" si="111"/>
        <v>0</v>
      </c>
      <c r="O1124" s="134">
        <v>1</v>
      </c>
      <c r="P1124" s="133"/>
      <c r="Q1124" s="2" t="s">
        <v>3730</v>
      </c>
      <c r="R1124" s="156">
        <f t="shared" si="122"/>
        <v>8500</v>
      </c>
      <c r="S1124" s="156">
        <f t="shared" si="123"/>
        <v>8500</v>
      </c>
      <c r="T1124" s="133"/>
      <c r="U1124" s="133"/>
      <c r="V1124" s="133"/>
      <c r="W1124" s="133"/>
      <c r="X1124" s="133">
        <v>8500</v>
      </c>
      <c r="Y1124" s="133"/>
      <c r="Z1124" s="133"/>
      <c r="AA1124" s="133">
        <v>1296.6099999999999</v>
      </c>
      <c r="AB1124" s="133"/>
      <c r="AC1124" s="133"/>
      <c r="AD1124" s="133"/>
      <c r="AE1124" s="133"/>
      <c r="AF1124" s="133"/>
      <c r="AG1124" s="133"/>
      <c r="AH1124" s="133"/>
      <c r="AI1124" s="133"/>
      <c r="AJ1124" s="133"/>
      <c r="AK1124" s="133">
        <v>7203.39</v>
      </c>
      <c r="AL1124" s="133"/>
      <c r="AM1124" s="133"/>
      <c r="AN1124" s="133"/>
      <c r="AO1124" s="133"/>
      <c r="AP1124" s="133"/>
      <c r="AQ1124" s="133"/>
      <c r="AR1124" s="133"/>
      <c r="AS1124" s="153">
        <v>0</v>
      </c>
      <c r="AT1124" s="153">
        <v>0</v>
      </c>
      <c r="AU1124" s="153">
        <v>0</v>
      </c>
      <c r="AV1124" s="153">
        <v>0</v>
      </c>
      <c r="AW1124" s="153">
        <v>0</v>
      </c>
      <c r="AX1124" s="153">
        <v>0</v>
      </c>
      <c r="AY1124" s="135"/>
      <c r="AZ1124" s="135"/>
      <c r="BA1124" s="135"/>
      <c r="BB1124" s="135"/>
      <c r="BC1124" s="135"/>
      <c r="BD1124" s="135"/>
      <c r="BE1124" s="135">
        <f t="shared" si="125"/>
        <v>720.33898305084756</v>
      </c>
      <c r="BF1124" s="135"/>
      <c r="BG1124" s="135"/>
      <c r="BH1124" s="135"/>
      <c r="BI1124" s="2" t="s">
        <v>3746</v>
      </c>
      <c r="BJ1124" s="136">
        <v>45744</v>
      </c>
      <c r="BK1124" s="2" t="s">
        <v>109</v>
      </c>
      <c r="BL1124" s="136" t="s">
        <v>113</v>
      </c>
      <c r="BM1124" s="136">
        <v>45635</v>
      </c>
      <c r="BN1124" s="2" t="s">
        <v>3641</v>
      </c>
      <c r="BO1124" s="2"/>
      <c r="BP1124" s="136"/>
      <c r="BQ1124" s="137" t="s">
        <v>119</v>
      </c>
    </row>
    <row r="1125" spans="1:69" ht="12.75" customHeight="1" x14ac:dyDescent="0.2">
      <c r="A1125" s="2">
        <v>2614</v>
      </c>
      <c r="B1125" s="2" t="s">
        <v>19</v>
      </c>
      <c r="C1125" s="2" t="s">
        <v>21</v>
      </c>
      <c r="D1125" s="131" t="s">
        <v>3900</v>
      </c>
      <c r="E1125" s="2" t="s">
        <v>3635</v>
      </c>
      <c r="F1125" s="132">
        <v>160000</v>
      </c>
      <c r="G1125" s="132"/>
      <c r="H1125" s="132">
        <f t="shared" si="112"/>
        <v>160000</v>
      </c>
      <c r="I1125" s="132"/>
      <c r="J1125" s="132">
        <f t="shared" si="126"/>
        <v>160000</v>
      </c>
      <c r="K1125" s="132">
        <f t="shared" si="116"/>
        <v>0</v>
      </c>
      <c r="L1125" s="132">
        <f t="shared" si="121"/>
        <v>0</v>
      </c>
      <c r="M1125" s="133">
        <v>0</v>
      </c>
      <c r="N1125" s="133">
        <f t="shared" si="111"/>
        <v>0</v>
      </c>
      <c r="O1125" s="134">
        <v>1</v>
      </c>
      <c r="P1125" s="133"/>
      <c r="Q1125" s="2" t="s">
        <v>3899</v>
      </c>
      <c r="R1125" s="156">
        <f t="shared" si="122"/>
        <v>160000</v>
      </c>
      <c r="S1125" s="156">
        <f t="shared" si="123"/>
        <v>160000</v>
      </c>
      <c r="T1125" s="133"/>
      <c r="U1125" s="133"/>
      <c r="V1125" s="133"/>
      <c r="W1125" s="133"/>
      <c r="X1125" s="133">
        <v>160000</v>
      </c>
      <c r="Y1125" s="133"/>
      <c r="Z1125" s="133"/>
      <c r="AA1125" s="133">
        <v>24406.78</v>
      </c>
      <c r="AB1125" s="133"/>
      <c r="AC1125" s="133"/>
      <c r="AD1125" s="133"/>
      <c r="AE1125" s="133"/>
      <c r="AF1125" s="133"/>
      <c r="AG1125" s="133"/>
      <c r="AH1125" s="133"/>
      <c r="AI1125" s="133"/>
      <c r="AJ1125" s="133"/>
      <c r="AK1125" s="133">
        <v>135593.22</v>
      </c>
      <c r="AL1125" s="133"/>
      <c r="AM1125" s="133"/>
      <c r="AN1125" s="133"/>
      <c r="AO1125" s="133"/>
      <c r="AP1125" s="133"/>
      <c r="AQ1125" s="133"/>
      <c r="AR1125" s="133"/>
      <c r="AS1125" s="153">
        <v>0</v>
      </c>
      <c r="AT1125" s="153">
        <v>0</v>
      </c>
      <c r="AU1125" s="153">
        <v>0</v>
      </c>
      <c r="AV1125" s="153">
        <v>0</v>
      </c>
      <c r="AW1125" s="153">
        <v>0</v>
      </c>
      <c r="AX1125" s="153">
        <v>0</v>
      </c>
      <c r="AY1125" s="135"/>
      <c r="AZ1125" s="135"/>
      <c r="BA1125" s="135"/>
      <c r="BB1125" s="135"/>
      <c r="BC1125" s="135"/>
      <c r="BD1125" s="135"/>
      <c r="BE1125" s="135">
        <f t="shared" si="125"/>
        <v>13559.322033898306</v>
      </c>
      <c r="BF1125" s="135"/>
      <c r="BG1125" s="135"/>
      <c r="BH1125" s="135"/>
      <c r="BI1125" s="2" t="s">
        <v>3773</v>
      </c>
      <c r="BJ1125" s="136">
        <v>45742</v>
      </c>
      <c r="BK1125" s="2" t="s">
        <v>109</v>
      </c>
      <c r="BL1125" s="136" t="s">
        <v>113</v>
      </c>
      <c r="BM1125" s="136">
        <v>45597</v>
      </c>
      <c r="BN1125" s="2" t="s">
        <v>3898</v>
      </c>
      <c r="BO1125" s="2"/>
      <c r="BP1125" s="136"/>
      <c r="BQ1125" s="137" t="s">
        <v>119</v>
      </c>
    </row>
    <row r="1126" spans="1:69" ht="12.75" customHeight="1" x14ac:dyDescent="0.2">
      <c r="A1126" s="2">
        <v>2615</v>
      </c>
      <c r="B1126" s="2" t="s">
        <v>104</v>
      </c>
      <c r="C1126" s="2" t="s">
        <v>104</v>
      </c>
      <c r="D1126" s="131" t="s">
        <v>3903</v>
      </c>
      <c r="E1126" s="2" t="s">
        <v>3635</v>
      </c>
      <c r="F1126" s="132">
        <v>22500</v>
      </c>
      <c r="G1126" s="132"/>
      <c r="H1126" s="132">
        <f t="shared" si="112"/>
        <v>22500</v>
      </c>
      <c r="I1126" s="132"/>
      <c r="J1126" s="132">
        <f t="shared" si="126"/>
        <v>22500</v>
      </c>
      <c r="K1126" s="132">
        <f t="shared" si="116"/>
        <v>0</v>
      </c>
      <c r="L1126" s="132">
        <f t="shared" si="121"/>
        <v>0</v>
      </c>
      <c r="M1126" s="133"/>
      <c r="N1126" s="133">
        <f t="shared" si="111"/>
        <v>0</v>
      </c>
      <c r="O1126" s="134">
        <v>1</v>
      </c>
      <c r="P1126" s="133"/>
      <c r="Q1126" s="2" t="s">
        <v>3901</v>
      </c>
      <c r="R1126" s="156">
        <f t="shared" si="122"/>
        <v>22500</v>
      </c>
      <c r="S1126" s="156">
        <f t="shared" si="123"/>
        <v>22500</v>
      </c>
      <c r="T1126" s="133"/>
      <c r="U1126" s="133"/>
      <c r="V1126" s="133"/>
      <c r="W1126" s="133"/>
      <c r="X1126" s="133">
        <v>22500</v>
      </c>
      <c r="Y1126" s="133"/>
      <c r="Z1126" s="133"/>
      <c r="AA1126" s="133">
        <v>3432.2</v>
      </c>
      <c r="AB1126" s="133"/>
      <c r="AC1126" s="133"/>
      <c r="AD1126" s="133"/>
      <c r="AE1126" s="133"/>
      <c r="AF1126" s="133"/>
      <c r="AG1126" s="133"/>
      <c r="AH1126" s="133"/>
      <c r="AI1126" s="133"/>
      <c r="AJ1126" s="133"/>
      <c r="AK1126" s="133">
        <v>19067.8</v>
      </c>
      <c r="AL1126" s="133"/>
      <c r="AM1126" s="133"/>
      <c r="AN1126" s="133"/>
      <c r="AO1126" s="133"/>
      <c r="AP1126" s="133"/>
      <c r="AQ1126" s="133"/>
      <c r="AR1126" s="133"/>
      <c r="AS1126" s="153">
        <v>0</v>
      </c>
      <c r="AT1126" s="153">
        <v>0</v>
      </c>
      <c r="AU1126" s="153">
        <v>0</v>
      </c>
      <c r="AV1126" s="153">
        <v>0</v>
      </c>
      <c r="AW1126" s="153">
        <v>0</v>
      </c>
      <c r="AX1126" s="153">
        <v>0</v>
      </c>
      <c r="AY1126" s="135"/>
      <c r="AZ1126" s="135"/>
      <c r="BA1126" s="135"/>
      <c r="BB1126" s="135"/>
      <c r="BC1126" s="135"/>
      <c r="BD1126" s="135"/>
      <c r="BE1126" s="135">
        <f t="shared" si="125"/>
        <v>1906.7796610169491</v>
      </c>
      <c r="BF1126" s="135"/>
      <c r="BG1126" s="135"/>
      <c r="BH1126" s="135"/>
      <c r="BI1126" s="2" t="s">
        <v>3773</v>
      </c>
      <c r="BJ1126" s="136">
        <v>45734</v>
      </c>
      <c r="BK1126" s="2" t="s">
        <v>109</v>
      </c>
      <c r="BL1126" s="136" t="s">
        <v>18</v>
      </c>
      <c r="BM1126" s="136">
        <v>45597</v>
      </c>
      <c r="BN1126" s="2" t="s">
        <v>3902</v>
      </c>
      <c r="BO1126" s="2"/>
      <c r="BP1126" s="136"/>
      <c r="BQ1126" s="137" t="s">
        <v>119</v>
      </c>
    </row>
    <row r="1127" spans="1:69" ht="12.75" customHeight="1" x14ac:dyDescent="0.2">
      <c r="A1127" s="2">
        <v>2616</v>
      </c>
      <c r="B1127" s="2" t="s">
        <v>137</v>
      </c>
      <c r="C1127" s="131"/>
      <c r="D1127" s="131" t="s">
        <v>3905</v>
      </c>
      <c r="E1127" s="2" t="s">
        <v>3635</v>
      </c>
      <c r="F1127" s="132">
        <v>59000</v>
      </c>
      <c r="G1127" s="132"/>
      <c r="H1127" s="132">
        <f t="shared" si="112"/>
        <v>59000</v>
      </c>
      <c r="I1127" s="132"/>
      <c r="J1127" s="132">
        <f t="shared" si="126"/>
        <v>59000</v>
      </c>
      <c r="K1127" s="132">
        <f t="shared" si="116"/>
        <v>0</v>
      </c>
      <c r="L1127" s="132">
        <f t="shared" si="121"/>
        <v>0</v>
      </c>
      <c r="M1127" s="133"/>
      <c r="N1127" s="133">
        <f t="shared" si="111"/>
        <v>0</v>
      </c>
      <c r="O1127" s="134">
        <v>1</v>
      </c>
      <c r="P1127" s="133"/>
      <c r="Q1127" s="2" t="s">
        <v>3378</v>
      </c>
      <c r="R1127" s="156">
        <f t="shared" si="122"/>
        <v>59000</v>
      </c>
      <c r="S1127" s="156">
        <f t="shared" si="123"/>
        <v>59000</v>
      </c>
      <c r="T1127" s="133"/>
      <c r="U1127" s="133"/>
      <c r="V1127" s="133"/>
      <c r="W1127" s="133"/>
      <c r="X1127" s="133">
        <v>59000</v>
      </c>
      <c r="Y1127" s="133"/>
      <c r="Z1127" s="133"/>
      <c r="AA1127" s="133">
        <v>9000</v>
      </c>
      <c r="AB1127" s="133"/>
      <c r="AC1127" s="133"/>
      <c r="AD1127" s="133"/>
      <c r="AE1127" s="133"/>
      <c r="AF1127" s="133"/>
      <c r="AG1127" s="133"/>
      <c r="AH1127" s="133"/>
      <c r="AI1127" s="133"/>
      <c r="AJ1127" s="133"/>
      <c r="AK1127" s="133">
        <v>50000</v>
      </c>
      <c r="AL1127" s="133"/>
      <c r="AM1127" s="133"/>
      <c r="AN1127" s="133"/>
      <c r="AO1127" s="133"/>
      <c r="AP1127" s="133"/>
      <c r="AQ1127" s="133"/>
      <c r="AR1127" s="133"/>
      <c r="AS1127" s="153">
        <v>0</v>
      </c>
      <c r="AT1127" s="153">
        <v>0</v>
      </c>
      <c r="AU1127" s="153">
        <v>0</v>
      </c>
      <c r="AV1127" s="153">
        <v>0</v>
      </c>
      <c r="AW1127" s="153">
        <v>0</v>
      </c>
      <c r="AX1127" s="153">
        <v>0</v>
      </c>
      <c r="AY1127" s="135"/>
      <c r="AZ1127" s="135"/>
      <c r="BA1127" s="135"/>
      <c r="BB1127" s="135"/>
      <c r="BC1127" s="135"/>
      <c r="BD1127" s="135"/>
      <c r="BE1127" s="135">
        <f t="shared" si="125"/>
        <v>5000</v>
      </c>
      <c r="BF1127" s="135"/>
      <c r="BG1127" s="135"/>
      <c r="BH1127" s="135"/>
      <c r="BI1127" s="2" t="s">
        <v>3773</v>
      </c>
      <c r="BJ1127" s="136">
        <v>45744</v>
      </c>
      <c r="BK1127" s="2" t="s">
        <v>109</v>
      </c>
      <c r="BL1127" s="136" t="s">
        <v>18</v>
      </c>
      <c r="BM1127" s="136">
        <v>45597</v>
      </c>
      <c r="BN1127" s="2" t="s">
        <v>3904</v>
      </c>
      <c r="BO1127" s="2"/>
      <c r="BP1127" s="136"/>
      <c r="BQ1127" s="137" t="s">
        <v>119</v>
      </c>
    </row>
    <row r="1128" spans="1:69" ht="12.75" customHeight="1" x14ac:dyDescent="0.2">
      <c r="A1128" s="2">
        <v>2617</v>
      </c>
      <c r="B1128" s="2" t="s">
        <v>137</v>
      </c>
      <c r="C1128" s="131"/>
      <c r="D1128" s="131" t="s">
        <v>3906</v>
      </c>
      <c r="E1128" s="2" t="s">
        <v>3635</v>
      </c>
      <c r="F1128" s="132">
        <v>105000</v>
      </c>
      <c r="G1128" s="132"/>
      <c r="H1128" s="132">
        <f t="shared" si="112"/>
        <v>105000</v>
      </c>
      <c r="I1128" s="132"/>
      <c r="J1128" s="132">
        <f t="shared" si="126"/>
        <v>105000</v>
      </c>
      <c r="K1128" s="132">
        <f t="shared" si="116"/>
        <v>0</v>
      </c>
      <c r="L1128" s="132">
        <f t="shared" si="121"/>
        <v>0</v>
      </c>
      <c r="M1128" s="133"/>
      <c r="N1128" s="133">
        <f t="shared" si="111"/>
        <v>0</v>
      </c>
      <c r="O1128" s="134">
        <v>1</v>
      </c>
      <c r="P1128" s="133"/>
      <c r="Q1128" s="2" t="s">
        <v>3378</v>
      </c>
      <c r="R1128" s="156">
        <f t="shared" si="122"/>
        <v>105000</v>
      </c>
      <c r="S1128" s="156">
        <f t="shared" si="123"/>
        <v>105000</v>
      </c>
      <c r="T1128" s="133"/>
      <c r="U1128" s="133"/>
      <c r="V1128" s="133"/>
      <c r="W1128" s="133"/>
      <c r="X1128" s="133">
        <v>105000</v>
      </c>
      <c r="Y1128" s="133"/>
      <c r="Z1128" s="133"/>
      <c r="AA1128" s="133">
        <v>16016.95</v>
      </c>
      <c r="AB1128" s="133"/>
      <c r="AC1128" s="133"/>
      <c r="AD1128" s="133"/>
      <c r="AE1128" s="133"/>
      <c r="AF1128" s="133"/>
      <c r="AG1128" s="133"/>
      <c r="AH1128" s="133"/>
      <c r="AI1128" s="133"/>
      <c r="AJ1128" s="133"/>
      <c r="AK1128" s="133">
        <v>88983.05</v>
      </c>
      <c r="AL1128" s="133"/>
      <c r="AM1128" s="133"/>
      <c r="AN1128" s="133"/>
      <c r="AO1128" s="133"/>
      <c r="AP1128" s="133"/>
      <c r="AQ1128" s="133"/>
      <c r="AR1128" s="133"/>
      <c r="AS1128" s="153">
        <v>0</v>
      </c>
      <c r="AT1128" s="153">
        <v>0</v>
      </c>
      <c r="AU1128" s="153">
        <v>0</v>
      </c>
      <c r="AV1128" s="153">
        <v>0</v>
      </c>
      <c r="AW1128" s="153">
        <v>0</v>
      </c>
      <c r="AX1128" s="153">
        <v>0</v>
      </c>
      <c r="AY1128" s="135"/>
      <c r="AZ1128" s="135"/>
      <c r="BA1128" s="135"/>
      <c r="BB1128" s="135"/>
      <c r="BC1128" s="135"/>
      <c r="BD1128" s="135"/>
      <c r="BE1128" s="135">
        <f t="shared" si="125"/>
        <v>8898.3050847457635</v>
      </c>
      <c r="BF1128" s="135"/>
      <c r="BG1128" s="135"/>
      <c r="BH1128" s="135"/>
      <c r="BI1128" s="2" t="s">
        <v>3773</v>
      </c>
      <c r="BJ1128" s="136">
        <v>45744</v>
      </c>
      <c r="BK1128" s="2" t="s">
        <v>109</v>
      </c>
      <c r="BL1128" s="136" t="s">
        <v>18</v>
      </c>
      <c r="BM1128" s="136">
        <v>45597</v>
      </c>
      <c r="BN1128" s="2" t="s">
        <v>3904</v>
      </c>
      <c r="BO1128" s="2"/>
      <c r="BP1128" s="136"/>
      <c r="BQ1128" s="137" t="s">
        <v>119</v>
      </c>
    </row>
    <row r="1129" spans="1:69" ht="12.75" customHeight="1" x14ac:dyDescent="0.2">
      <c r="A1129" s="2">
        <v>2618</v>
      </c>
      <c r="B1129" s="2" t="s">
        <v>137</v>
      </c>
      <c r="C1129" s="131"/>
      <c r="D1129" s="131" t="s">
        <v>3908</v>
      </c>
      <c r="E1129" s="2" t="s">
        <v>3635</v>
      </c>
      <c r="F1129" s="132">
        <v>27000</v>
      </c>
      <c r="G1129" s="132"/>
      <c r="H1129" s="132">
        <f t="shared" si="112"/>
        <v>27000</v>
      </c>
      <c r="I1129" s="132"/>
      <c r="J1129" s="132">
        <f t="shared" si="126"/>
        <v>27000</v>
      </c>
      <c r="K1129" s="132">
        <f t="shared" si="116"/>
        <v>0</v>
      </c>
      <c r="L1129" s="132">
        <f t="shared" si="121"/>
        <v>0</v>
      </c>
      <c r="M1129" s="133"/>
      <c r="N1129" s="133">
        <f t="shared" si="111"/>
        <v>0</v>
      </c>
      <c r="O1129" s="134">
        <v>1</v>
      </c>
      <c r="P1129" s="133"/>
      <c r="Q1129" s="2" t="s">
        <v>3379</v>
      </c>
      <c r="R1129" s="156">
        <f t="shared" si="122"/>
        <v>27000</v>
      </c>
      <c r="S1129" s="156">
        <f t="shared" si="123"/>
        <v>27000</v>
      </c>
      <c r="T1129" s="133"/>
      <c r="U1129" s="133"/>
      <c r="V1129" s="133"/>
      <c r="W1129" s="133"/>
      <c r="X1129" s="133">
        <v>27000</v>
      </c>
      <c r="Y1129" s="133"/>
      <c r="Z1129" s="133"/>
      <c r="AA1129" s="133">
        <v>4118.6400000000003</v>
      </c>
      <c r="AB1129" s="133"/>
      <c r="AC1129" s="133"/>
      <c r="AD1129" s="133"/>
      <c r="AE1129" s="133"/>
      <c r="AF1129" s="133"/>
      <c r="AG1129" s="133"/>
      <c r="AH1129" s="133"/>
      <c r="AI1129" s="133"/>
      <c r="AJ1129" s="133"/>
      <c r="AK1129" s="133">
        <v>22881.360000000001</v>
      </c>
      <c r="AL1129" s="133"/>
      <c r="AM1129" s="133"/>
      <c r="AN1129" s="133"/>
      <c r="AO1129" s="133"/>
      <c r="AP1129" s="133"/>
      <c r="AQ1129" s="133"/>
      <c r="AR1129" s="133"/>
      <c r="AS1129" s="153">
        <v>0</v>
      </c>
      <c r="AT1129" s="153">
        <v>0</v>
      </c>
      <c r="AU1129" s="153">
        <v>0</v>
      </c>
      <c r="AV1129" s="153">
        <v>0</v>
      </c>
      <c r="AW1129" s="153">
        <v>0</v>
      </c>
      <c r="AX1129" s="153">
        <v>0</v>
      </c>
      <c r="AY1129" s="135"/>
      <c r="AZ1129" s="135"/>
      <c r="BA1129" s="135"/>
      <c r="BB1129" s="135"/>
      <c r="BC1129" s="135"/>
      <c r="BD1129" s="135"/>
      <c r="BE1129" s="135">
        <f t="shared" si="125"/>
        <v>2288.1355932203392</v>
      </c>
      <c r="BF1129" s="135"/>
      <c r="BG1129" s="135"/>
      <c r="BH1129" s="135"/>
      <c r="BI1129" s="2" t="s">
        <v>3773</v>
      </c>
      <c r="BJ1129" s="136">
        <v>45744</v>
      </c>
      <c r="BK1129" s="2" t="s">
        <v>109</v>
      </c>
      <c r="BL1129" s="136" t="s">
        <v>18</v>
      </c>
      <c r="BM1129" s="136">
        <v>45597</v>
      </c>
      <c r="BN1129" s="2" t="s">
        <v>3909</v>
      </c>
      <c r="BO1129" s="2"/>
      <c r="BP1129" s="136"/>
      <c r="BQ1129" s="137" t="s">
        <v>119</v>
      </c>
    </row>
    <row r="1130" spans="1:69" ht="12.75" customHeight="1" x14ac:dyDescent="0.2">
      <c r="A1130" s="2">
        <v>2619</v>
      </c>
      <c r="B1130" s="2" t="s">
        <v>137</v>
      </c>
      <c r="C1130" s="131"/>
      <c r="D1130" s="131" t="s">
        <v>3907</v>
      </c>
      <c r="E1130" s="2" t="s">
        <v>3635</v>
      </c>
      <c r="F1130" s="132">
        <v>42700</v>
      </c>
      <c r="G1130" s="132"/>
      <c r="H1130" s="132">
        <f t="shared" si="112"/>
        <v>42700</v>
      </c>
      <c r="I1130" s="132"/>
      <c r="J1130" s="132">
        <f t="shared" si="126"/>
        <v>42700</v>
      </c>
      <c r="K1130" s="132">
        <f t="shared" si="116"/>
        <v>0</v>
      </c>
      <c r="L1130" s="132">
        <f t="shared" si="121"/>
        <v>0</v>
      </c>
      <c r="M1130" s="133"/>
      <c r="N1130" s="133">
        <f t="shared" ref="N1130:N1193" si="127">IF(OR(BK1130="принят",BK1130="Завершено",BK1130="ПриПро"),H1130-J1130,F1130-J1130)</f>
        <v>0</v>
      </c>
      <c r="O1130" s="134">
        <v>1</v>
      </c>
      <c r="P1130" s="133"/>
      <c r="Q1130" s="2" t="s">
        <v>3379</v>
      </c>
      <c r="R1130" s="156">
        <f t="shared" si="122"/>
        <v>42700</v>
      </c>
      <c r="S1130" s="156">
        <f t="shared" si="123"/>
        <v>42700</v>
      </c>
      <c r="T1130" s="133"/>
      <c r="U1130" s="133"/>
      <c r="V1130" s="133"/>
      <c r="W1130" s="133"/>
      <c r="X1130" s="133">
        <v>42700</v>
      </c>
      <c r="Y1130" s="133"/>
      <c r="Z1130" s="133"/>
      <c r="AA1130" s="133">
        <v>6513.56</v>
      </c>
      <c r="AB1130" s="133"/>
      <c r="AC1130" s="133"/>
      <c r="AD1130" s="133"/>
      <c r="AE1130" s="133"/>
      <c r="AF1130" s="133"/>
      <c r="AG1130" s="133"/>
      <c r="AH1130" s="133"/>
      <c r="AI1130" s="133"/>
      <c r="AJ1130" s="133"/>
      <c r="AK1130" s="133">
        <v>36186.44</v>
      </c>
      <c r="AL1130" s="133"/>
      <c r="AM1130" s="133"/>
      <c r="AN1130" s="133"/>
      <c r="AO1130" s="133"/>
      <c r="AP1130" s="133"/>
      <c r="AQ1130" s="133"/>
      <c r="AR1130" s="133"/>
      <c r="AS1130" s="153">
        <v>0</v>
      </c>
      <c r="AT1130" s="153">
        <v>0</v>
      </c>
      <c r="AU1130" s="153">
        <v>0</v>
      </c>
      <c r="AV1130" s="153">
        <v>0</v>
      </c>
      <c r="AW1130" s="153">
        <v>0</v>
      </c>
      <c r="AX1130" s="153">
        <v>0</v>
      </c>
      <c r="AY1130" s="135"/>
      <c r="AZ1130" s="135"/>
      <c r="BA1130" s="135"/>
      <c r="BB1130" s="135"/>
      <c r="BC1130" s="135"/>
      <c r="BD1130" s="135"/>
      <c r="BE1130" s="135">
        <f t="shared" si="125"/>
        <v>3618.6440677966102</v>
      </c>
      <c r="BF1130" s="135"/>
      <c r="BG1130" s="135"/>
      <c r="BH1130" s="135"/>
      <c r="BI1130" s="2" t="s">
        <v>3773</v>
      </c>
      <c r="BJ1130" s="136">
        <v>45744</v>
      </c>
      <c r="BK1130" s="2" t="s">
        <v>109</v>
      </c>
      <c r="BL1130" s="136" t="s">
        <v>18</v>
      </c>
      <c r="BM1130" s="136">
        <v>45597</v>
      </c>
      <c r="BN1130" s="2" t="s">
        <v>3909</v>
      </c>
      <c r="BO1130" s="2"/>
      <c r="BP1130" s="136"/>
      <c r="BQ1130" s="137" t="s">
        <v>119</v>
      </c>
    </row>
    <row r="1131" spans="1:69" ht="12.75" customHeight="1" x14ac:dyDescent="0.2">
      <c r="A1131" s="2">
        <v>2620</v>
      </c>
      <c r="B1131" s="2" t="s">
        <v>54</v>
      </c>
      <c r="C1131" s="131" t="s">
        <v>50</v>
      </c>
      <c r="D1131" s="131" t="s">
        <v>3910</v>
      </c>
      <c r="E1131" s="2" t="s">
        <v>141</v>
      </c>
      <c r="F1131" s="132">
        <v>0</v>
      </c>
      <c r="G1131" s="132"/>
      <c r="H1131" s="132">
        <f t="shared" si="112"/>
        <v>107355</v>
      </c>
      <c r="I1131" s="132"/>
      <c r="J1131" s="132">
        <f>S1131+BC1131</f>
        <v>70255.509999999995</v>
      </c>
      <c r="K1131" s="132">
        <f t="shared" si="116"/>
        <v>-70255.509999999995</v>
      </c>
      <c r="L1131" s="132">
        <f t="shared" si="121"/>
        <v>37099.490000000005</v>
      </c>
      <c r="M1131" s="133">
        <v>1988</v>
      </c>
      <c r="N1131" s="133">
        <f t="shared" si="127"/>
        <v>37099.490000000005</v>
      </c>
      <c r="O1131" s="134" t="s">
        <v>1993</v>
      </c>
      <c r="P1131" s="133"/>
      <c r="Q1131" s="2" t="s">
        <v>338</v>
      </c>
      <c r="R1131" s="156">
        <f t="shared" si="122"/>
        <v>107355</v>
      </c>
      <c r="S1131" s="156">
        <f t="shared" si="123"/>
        <v>10933.48</v>
      </c>
      <c r="T1131" s="133"/>
      <c r="U1131" s="133"/>
      <c r="V1131" s="133"/>
      <c r="W1131" s="133"/>
      <c r="X1131" s="133">
        <v>1675</v>
      </c>
      <c r="Y1131" s="133"/>
      <c r="Z1131" s="133">
        <v>70000</v>
      </c>
      <c r="AA1131" s="133">
        <v>255.51</v>
      </c>
      <c r="AB1131" s="133"/>
      <c r="AC1131" s="133">
        <v>10677.97</v>
      </c>
      <c r="AD1131" s="133"/>
      <c r="AE1131" s="133"/>
      <c r="AF1131" s="133"/>
      <c r="AG1131" s="133"/>
      <c r="AH1131" s="133"/>
      <c r="AI1131" s="133"/>
      <c r="AJ1131" s="133">
        <v>35680</v>
      </c>
      <c r="AK1131" s="133"/>
      <c r="AL1131" s="133"/>
      <c r="AM1131" s="133"/>
      <c r="AN1131" s="133"/>
      <c r="AO1131" s="133"/>
      <c r="AP1131" s="133"/>
      <c r="AQ1131" s="133"/>
      <c r="AR1131" s="133"/>
      <c r="AS1131" s="153">
        <v>0</v>
      </c>
      <c r="AT1131" s="153">
        <v>0</v>
      </c>
      <c r="AU1131" s="153">
        <v>0</v>
      </c>
      <c r="AV1131" s="153">
        <v>0</v>
      </c>
      <c r="AW1131" s="153">
        <v>0</v>
      </c>
      <c r="AX1131" s="153">
        <v>0</v>
      </c>
      <c r="AY1131" s="135"/>
      <c r="AZ1131" s="135"/>
      <c r="BA1131" s="135"/>
      <c r="BB1131" s="135"/>
      <c r="BC1131" s="135">
        <v>59322.03</v>
      </c>
      <c r="BD1131" s="135">
        <v>8313.2099999999991</v>
      </c>
      <c r="BE1131" s="135"/>
      <c r="BF1131" s="135"/>
      <c r="BG1131" s="135"/>
      <c r="BH1131" s="135"/>
      <c r="BI1131" s="2" t="s">
        <v>11</v>
      </c>
      <c r="BJ1131" s="136">
        <v>45926</v>
      </c>
      <c r="BK1131" s="2" t="s">
        <v>109</v>
      </c>
      <c r="BL1131" s="136" t="s">
        <v>113</v>
      </c>
      <c r="BM1131" s="136">
        <v>45308</v>
      </c>
      <c r="BN1131" s="2" t="s">
        <v>2198</v>
      </c>
      <c r="BO1131" s="2"/>
      <c r="BP1131" s="136"/>
      <c r="BQ1131" s="137" t="s">
        <v>134</v>
      </c>
    </row>
    <row r="1132" spans="1:69" ht="12.75" customHeight="1" x14ac:dyDescent="0.2">
      <c r="A1132" s="2">
        <v>2621</v>
      </c>
      <c r="B1132" s="2" t="s">
        <v>108</v>
      </c>
      <c r="C1132" s="2" t="s">
        <v>40</v>
      </c>
      <c r="D1132" s="131" t="s">
        <v>3915</v>
      </c>
      <c r="E1132" s="2" t="s">
        <v>3635</v>
      </c>
      <c r="F1132" s="132">
        <v>0</v>
      </c>
      <c r="G1132" s="132"/>
      <c r="H1132" s="132">
        <f t="shared" si="112"/>
        <v>136486.04999999999</v>
      </c>
      <c r="I1132" s="132"/>
      <c r="J1132" s="132">
        <f>S1132+BC1132</f>
        <v>136486.04999999999</v>
      </c>
      <c r="K1132" s="132">
        <f t="shared" si="116"/>
        <v>-136486.04999999999</v>
      </c>
      <c r="L1132" s="132">
        <f t="shared" si="121"/>
        <v>0</v>
      </c>
      <c r="M1132" s="133">
        <v>0</v>
      </c>
      <c r="N1132" s="133">
        <f t="shared" si="127"/>
        <v>0</v>
      </c>
      <c r="O1132" s="134">
        <v>1</v>
      </c>
      <c r="P1132" s="133"/>
      <c r="Q1132" s="2" t="s">
        <v>3914</v>
      </c>
      <c r="R1132" s="156">
        <f t="shared" si="122"/>
        <v>136486.04999999999</v>
      </c>
      <c r="S1132" s="156">
        <f t="shared" si="123"/>
        <v>36486.049999999988</v>
      </c>
      <c r="T1132" s="133"/>
      <c r="U1132" s="133"/>
      <c r="V1132" s="133"/>
      <c r="W1132" s="133"/>
      <c r="X1132" s="133"/>
      <c r="Y1132" s="133"/>
      <c r="Z1132" s="133">
        <v>118000</v>
      </c>
      <c r="AA1132" s="133"/>
      <c r="AB1132" s="133">
        <v>18486.05</v>
      </c>
      <c r="AC1132" s="133">
        <v>18000</v>
      </c>
      <c r="AD1132" s="133"/>
      <c r="AE1132" s="133">
        <v>2819.91</v>
      </c>
      <c r="AF1132" s="133"/>
      <c r="AG1132" s="133"/>
      <c r="AH1132" s="133"/>
      <c r="AI1132" s="133"/>
      <c r="AJ1132" s="133"/>
      <c r="AK1132" s="133">
        <v>15666.139999999985</v>
      </c>
      <c r="AL1132" s="133"/>
      <c r="AM1132" s="133"/>
      <c r="AN1132" s="133"/>
      <c r="AO1132" s="133"/>
      <c r="AP1132" s="133"/>
      <c r="AQ1132" s="133"/>
      <c r="AR1132" s="133"/>
      <c r="AS1132" s="153">
        <v>0</v>
      </c>
      <c r="AT1132" s="153">
        <v>0</v>
      </c>
      <c r="AU1132" s="153">
        <v>0</v>
      </c>
      <c r="AV1132" s="153">
        <v>0</v>
      </c>
      <c r="AW1132" s="153">
        <v>0</v>
      </c>
      <c r="AX1132" s="153">
        <v>0</v>
      </c>
      <c r="AY1132" s="135"/>
      <c r="AZ1132" s="135"/>
      <c r="BA1132" s="135"/>
      <c r="BB1132" s="135"/>
      <c r="BC1132" s="135">
        <v>100000</v>
      </c>
      <c r="BD1132" s="135">
        <v>13971.23</v>
      </c>
      <c r="BE1132" s="135">
        <f t="shared" ref="BE1132:BE1144" si="128">(H1132/1.18-AT1132-AW1132-AZ1132-BD1132)*0.1-AU1132-AX1132-BA1132-BB1132</f>
        <v>10169.491406779662</v>
      </c>
      <c r="BF1132" s="135"/>
      <c r="BG1132" s="135"/>
      <c r="BH1132" s="135"/>
      <c r="BI1132" s="2" t="s">
        <v>3773</v>
      </c>
      <c r="BJ1132" s="136">
        <v>45790</v>
      </c>
      <c r="BK1132" s="2" t="s">
        <v>109</v>
      </c>
      <c r="BL1132" s="136" t="s">
        <v>113</v>
      </c>
      <c r="BM1132" s="136">
        <v>45597</v>
      </c>
      <c r="BN1132" s="2" t="s">
        <v>3913</v>
      </c>
      <c r="BO1132" s="2"/>
      <c r="BP1132" s="136"/>
      <c r="BQ1132" s="137" t="s">
        <v>119</v>
      </c>
    </row>
    <row r="1133" spans="1:69" ht="12.75" customHeight="1" x14ac:dyDescent="0.2">
      <c r="A1133" s="2">
        <v>2622</v>
      </c>
      <c r="B1133" s="2" t="s">
        <v>108</v>
      </c>
      <c r="C1133" s="2" t="s">
        <v>43</v>
      </c>
      <c r="D1133" s="131" t="s">
        <v>3918</v>
      </c>
      <c r="E1133" s="2" t="s">
        <v>3635</v>
      </c>
      <c r="F1133" s="132">
        <v>0</v>
      </c>
      <c r="G1133" s="132"/>
      <c r="H1133" s="132">
        <f t="shared" si="112"/>
        <v>136486.04999999999</v>
      </c>
      <c r="I1133" s="132"/>
      <c r="J1133" s="132">
        <f>S1133+BC1133</f>
        <v>136486.04999999999</v>
      </c>
      <c r="K1133" s="132">
        <f t="shared" si="116"/>
        <v>-136486.04999999999</v>
      </c>
      <c r="L1133" s="132">
        <f t="shared" si="121"/>
        <v>0</v>
      </c>
      <c r="M1133" s="133"/>
      <c r="N1133" s="133">
        <f t="shared" si="127"/>
        <v>0</v>
      </c>
      <c r="O1133" s="134">
        <v>1</v>
      </c>
      <c r="P1133" s="133"/>
      <c r="Q1133" s="2" t="s">
        <v>3917</v>
      </c>
      <c r="R1133" s="156">
        <f t="shared" si="122"/>
        <v>136486.04999999999</v>
      </c>
      <c r="S1133" s="156">
        <f t="shared" si="123"/>
        <v>36486.049999999988</v>
      </c>
      <c r="T1133" s="133"/>
      <c r="U1133" s="133"/>
      <c r="V1133" s="133"/>
      <c r="W1133" s="133"/>
      <c r="X1133" s="133"/>
      <c r="Y1133" s="133"/>
      <c r="Z1133" s="133">
        <v>118000</v>
      </c>
      <c r="AA1133" s="133"/>
      <c r="AB1133" s="133">
        <v>18486.05</v>
      </c>
      <c r="AC1133" s="133">
        <v>18000</v>
      </c>
      <c r="AD1133" s="133"/>
      <c r="AE1133" s="133">
        <v>2819.91</v>
      </c>
      <c r="AF1133" s="133"/>
      <c r="AG1133" s="133"/>
      <c r="AH1133" s="133"/>
      <c r="AI1133" s="133"/>
      <c r="AJ1133" s="133"/>
      <c r="AK1133" s="133">
        <v>15666.139999999985</v>
      </c>
      <c r="AL1133" s="133"/>
      <c r="AM1133" s="133"/>
      <c r="AN1133" s="133"/>
      <c r="AO1133" s="133"/>
      <c r="AP1133" s="133"/>
      <c r="AQ1133" s="133"/>
      <c r="AR1133" s="133"/>
      <c r="AS1133" s="153">
        <v>0</v>
      </c>
      <c r="AT1133" s="153">
        <v>0</v>
      </c>
      <c r="AU1133" s="153">
        <v>0</v>
      </c>
      <c r="AV1133" s="153">
        <v>0</v>
      </c>
      <c r="AW1133" s="153">
        <v>0</v>
      </c>
      <c r="AX1133" s="153">
        <v>0</v>
      </c>
      <c r="AY1133" s="135"/>
      <c r="AZ1133" s="135"/>
      <c r="BA1133" s="135"/>
      <c r="BB1133" s="135"/>
      <c r="BC1133" s="135">
        <v>100000</v>
      </c>
      <c r="BD1133" s="135">
        <v>13971.23</v>
      </c>
      <c r="BE1133" s="135">
        <f t="shared" si="128"/>
        <v>10169.491406779662</v>
      </c>
      <c r="BF1133" s="135"/>
      <c r="BG1133" s="135"/>
      <c r="BH1133" s="135"/>
      <c r="BI1133" s="2" t="s">
        <v>3773</v>
      </c>
      <c r="BJ1133" s="136">
        <v>45790</v>
      </c>
      <c r="BK1133" s="2" t="s">
        <v>109</v>
      </c>
      <c r="BL1133" s="136" t="s">
        <v>113</v>
      </c>
      <c r="BM1133" s="136">
        <v>45597</v>
      </c>
      <c r="BN1133" s="2" t="s">
        <v>3916</v>
      </c>
      <c r="BO1133" s="2"/>
      <c r="BP1133" s="136"/>
      <c r="BQ1133" s="137" t="s">
        <v>119</v>
      </c>
    </row>
    <row r="1134" spans="1:69" ht="12.75" customHeight="1" x14ac:dyDescent="0.2">
      <c r="A1134" s="2">
        <v>2623</v>
      </c>
      <c r="B1134" s="2" t="s">
        <v>44</v>
      </c>
      <c r="C1134" s="131" t="s">
        <v>45</v>
      </c>
      <c r="D1134" s="131" t="s">
        <v>3919</v>
      </c>
      <c r="E1134" s="2" t="s">
        <v>3635</v>
      </c>
      <c r="F1134" s="132">
        <v>0</v>
      </c>
      <c r="G1134" s="132"/>
      <c r="H1134" s="132">
        <f t="shared" ref="H1134:H1197" si="129">R1134</f>
        <v>22500</v>
      </c>
      <c r="I1134" s="132"/>
      <c r="J1134" s="132">
        <f t="shared" si="126"/>
        <v>22500</v>
      </c>
      <c r="K1134" s="132">
        <f t="shared" si="116"/>
        <v>-22500</v>
      </c>
      <c r="L1134" s="132">
        <f t="shared" si="121"/>
        <v>0</v>
      </c>
      <c r="M1134" s="133"/>
      <c r="N1134" s="133">
        <f t="shared" si="127"/>
        <v>0</v>
      </c>
      <c r="O1134" s="134">
        <v>1</v>
      </c>
      <c r="P1134" s="133"/>
      <c r="Q1134" s="2" t="s">
        <v>3893</v>
      </c>
      <c r="R1134" s="156">
        <f t="shared" si="122"/>
        <v>22500</v>
      </c>
      <c r="S1134" s="156">
        <f t="shared" si="123"/>
        <v>22500</v>
      </c>
      <c r="T1134" s="133"/>
      <c r="U1134" s="133"/>
      <c r="V1134" s="133"/>
      <c r="W1134" s="133"/>
      <c r="X1134" s="133"/>
      <c r="Y1134" s="133"/>
      <c r="Z1134" s="133">
        <v>22500</v>
      </c>
      <c r="AA1134" s="133"/>
      <c r="AB1134" s="133"/>
      <c r="AC1134" s="133">
        <v>3432.2</v>
      </c>
      <c r="AD1134" s="133"/>
      <c r="AE1134" s="133"/>
      <c r="AF1134" s="133"/>
      <c r="AG1134" s="133"/>
      <c r="AH1134" s="133"/>
      <c r="AI1134" s="133"/>
      <c r="AJ1134" s="133"/>
      <c r="AK1134" s="133">
        <v>19067.8</v>
      </c>
      <c r="AL1134" s="133"/>
      <c r="AM1134" s="133"/>
      <c r="AN1134" s="133"/>
      <c r="AO1134" s="133"/>
      <c r="AP1134" s="133"/>
      <c r="AQ1134" s="133"/>
      <c r="AR1134" s="133"/>
      <c r="AS1134" s="153">
        <v>0</v>
      </c>
      <c r="AT1134" s="153">
        <v>0</v>
      </c>
      <c r="AU1134" s="153">
        <v>0</v>
      </c>
      <c r="AV1134" s="153">
        <v>0</v>
      </c>
      <c r="AW1134" s="153">
        <v>0</v>
      </c>
      <c r="AX1134" s="153">
        <v>0</v>
      </c>
      <c r="AY1134" s="135"/>
      <c r="AZ1134" s="135"/>
      <c r="BA1134" s="135"/>
      <c r="BB1134" s="135"/>
      <c r="BC1134" s="135"/>
      <c r="BD1134" s="135"/>
      <c r="BE1134" s="135">
        <f t="shared" si="128"/>
        <v>1906.7796610169491</v>
      </c>
      <c r="BF1134" s="135"/>
      <c r="BG1134" s="135"/>
      <c r="BH1134" s="135"/>
      <c r="BI1134" s="2" t="s">
        <v>3746</v>
      </c>
      <c r="BJ1134" s="136">
        <v>45757</v>
      </c>
      <c r="BK1134" s="10" t="s">
        <v>109</v>
      </c>
      <c r="BL1134" s="136" t="s">
        <v>113</v>
      </c>
      <c r="BM1134" s="136">
        <v>45635</v>
      </c>
      <c r="BN1134" s="2" t="s">
        <v>3641</v>
      </c>
      <c r="BO1134" s="2"/>
      <c r="BP1134" s="136"/>
      <c r="BQ1134" s="137" t="s">
        <v>119</v>
      </c>
    </row>
    <row r="1135" spans="1:69" ht="12.75" customHeight="1" x14ac:dyDescent="0.2">
      <c r="A1135" s="2">
        <v>2624</v>
      </c>
      <c r="B1135" s="2" t="s">
        <v>54</v>
      </c>
      <c r="C1135" s="2" t="s">
        <v>96</v>
      </c>
      <c r="D1135" s="131" t="s">
        <v>3920</v>
      </c>
      <c r="E1135" s="2" t="s">
        <v>3635</v>
      </c>
      <c r="F1135" s="132">
        <v>0</v>
      </c>
      <c r="G1135" s="132"/>
      <c r="H1135" s="132">
        <f t="shared" si="129"/>
        <v>22500</v>
      </c>
      <c r="I1135" s="132"/>
      <c r="J1135" s="132">
        <f t="shared" si="126"/>
        <v>22500</v>
      </c>
      <c r="K1135" s="132">
        <f t="shared" si="116"/>
        <v>-22500</v>
      </c>
      <c r="L1135" s="132">
        <f t="shared" si="121"/>
        <v>0</v>
      </c>
      <c r="M1135" s="133"/>
      <c r="N1135" s="133">
        <f t="shared" si="127"/>
        <v>0</v>
      </c>
      <c r="O1135" s="134">
        <v>1</v>
      </c>
      <c r="P1135" s="133"/>
      <c r="Q1135" s="2" t="s">
        <v>3893</v>
      </c>
      <c r="R1135" s="156">
        <f t="shared" si="122"/>
        <v>22500</v>
      </c>
      <c r="S1135" s="156">
        <f t="shared" si="123"/>
        <v>22500</v>
      </c>
      <c r="T1135" s="133"/>
      <c r="U1135" s="133"/>
      <c r="V1135" s="133"/>
      <c r="W1135" s="133"/>
      <c r="X1135" s="133"/>
      <c r="Y1135" s="133"/>
      <c r="Z1135" s="133">
        <v>22500</v>
      </c>
      <c r="AA1135" s="133"/>
      <c r="AB1135" s="133"/>
      <c r="AC1135" s="133">
        <v>3432.2</v>
      </c>
      <c r="AD1135" s="133"/>
      <c r="AE1135" s="133"/>
      <c r="AF1135" s="133"/>
      <c r="AG1135" s="133"/>
      <c r="AH1135" s="133"/>
      <c r="AI1135" s="133"/>
      <c r="AJ1135" s="133"/>
      <c r="AK1135" s="133">
        <v>19067.8</v>
      </c>
      <c r="AL1135" s="133"/>
      <c r="AM1135" s="133"/>
      <c r="AN1135" s="133"/>
      <c r="AO1135" s="133"/>
      <c r="AP1135" s="133"/>
      <c r="AQ1135" s="133"/>
      <c r="AR1135" s="133"/>
      <c r="AS1135" s="153">
        <v>0</v>
      </c>
      <c r="AT1135" s="153">
        <v>0</v>
      </c>
      <c r="AU1135" s="153">
        <v>0</v>
      </c>
      <c r="AV1135" s="153">
        <v>0</v>
      </c>
      <c r="AW1135" s="153">
        <v>0</v>
      </c>
      <c r="AX1135" s="153">
        <v>0</v>
      </c>
      <c r="AY1135" s="135"/>
      <c r="AZ1135" s="135"/>
      <c r="BA1135" s="135"/>
      <c r="BB1135" s="135"/>
      <c r="BC1135" s="135"/>
      <c r="BD1135" s="135"/>
      <c r="BE1135" s="135">
        <f t="shared" si="128"/>
        <v>1906.7796610169491</v>
      </c>
      <c r="BF1135" s="135"/>
      <c r="BG1135" s="135"/>
      <c r="BH1135" s="135"/>
      <c r="BI1135" s="2" t="s">
        <v>3746</v>
      </c>
      <c r="BJ1135" s="136">
        <v>45757</v>
      </c>
      <c r="BK1135" s="10" t="s">
        <v>109</v>
      </c>
      <c r="BL1135" s="136" t="s">
        <v>18</v>
      </c>
      <c r="BM1135" s="136">
        <v>45635</v>
      </c>
      <c r="BN1135" s="2" t="s">
        <v>3636</v>
      </c>
      <c r="BO1135" s="2"/>
      <c r="BP1135" s="136"/>
      <c r="BQ1135" s="137" t="s">
        <v>119</v>
      </c>
    </row>
    <row r="1136" spans="1:69" ht="12.75" customHeight="1" x14ac:dyDescent="0.2">
      <c r="A1136" s="2">
        <v>2625</v>
      </c>
      <c r="B1136" s="2" t="s">
        <v>28</v>
      </c>
      <c r="C1136" s="2" t="s">
        <v>88</v>
      </c>
      <c r="D1136" s="131" t="s">
        <v>3923</v>
      </c>
      <c r="E1136" s="2" t="s">
        <v>3635</v>
      </c>
      <c r="F1136" s="132">
        <v>0</v>
      </c>
      <c r="G1136" s="132"/>
      <c r="H1136" s="132">
        <f t="shared" si="129"/>
        <v>30632.52</v>
      </c>
      <c r="I1136" s="132"/>
      <c r="J1136" s="132">
        <f t="shared" ref="J1136:J1143" si="130">S1136+BC1136</f>
        <v>30632.519999999997</v>
      </c>
      <c r="K1136" s="132">
        <f t="shared" si="116"/>
        <v>-30632.519999999997</v>
      </c>
      <c r="L1136" s="132">
        <f t="shared" si="121"/>
        <v>0</v>
      </c>
      <c r="M1136" s="133"/>
      <c r="N1136" s="133">
        <f t="shared" si="127"/>
        <v>3.637978807091713E-12</v>
      </c>
      <c r="O1136" s="134">
        <v>1</v>
      </c>
      <c r="P1136" s="133"/>
      <c r="Q1136" s="2" t="s">
        <v>3921</v>
      </c>
      <c r="R1136" s="156">
        <f t="shared" si="122"/>
        <v>30632.52</v>
      </c>
      <c r="S1136" s="156">
        <f t="shared" si="123"/>
        <v>8598.6199999999972</v>
      </c>
      <c r="T1136" s="133"/>
      <c r="U1136" s="133"/>
      <c r="V1136" s="133"/>
      <c r="W1136" s="133"/>
      <c r="X1136" s="133"/>
      <c r="Y1136" s="133"/>
      <c r="Z1136" s="133">
        <v>26000</v>
      </c>
      <c r="AA1136" s="133"/>
      <c r="AB1136" s="133">
        <v>4632.5200000000004</v>
      </c>
      <c r="AC1136" s="133">
        <v>3966.1</v>
      </c>
      <c r="AD1136" s="133"/>
      <c r="AE1136" s="133">
        <v>706.66</v>
      </c>
      <c r="AF1136" s="133"/>
      <c r="AG1136" s="133"/>
      <c r="AH1136" s="133"/>
      <c r="AI1136" s="133"/>
      <c r="AJ1136" s="133"/>
      <c r="AK1136" s="133">
        <v>3925.8599999999969</v>
      </c>
      <c r="AL1136" s="133"/>
      <c r="AM1136" s="133"/>
      <c r="AN1136" s="133"/>
      <c r="AO1136" s="133"/>
      <c r="AP1136" s="133"/>
      <c r="AQ1136" s="133"/>
      <c r="AR1136" s="133"/>
      <c r="AS1136" s="153">
        <v>0</v>
      </c>
      <c r="AT1136" s="153">
        <v>0</v>
      </c>
      <c r="AU1136" s="153">
        <v>0</v>
      </c>
      <c r="AV1136" s="153">
        <v>0</v>
      </c>
      <c r="AW1136" s="153">
        <v>0</v>
      </c>
      <c r="AX1136" s="153">
        <v>0</v>
      </c>
      <c r="AY1136" s="135"/>
      <c r="AZ1136" s="135"/>
      <c r="BA1136" s="135"/>
      <c r="BB1136" s="135"/>
      <c r="BC1136" s="135">
        <v>22033.9</v>
      </c>
      <c r="BD1136" s="135">
        <v>3078.41</v>
      </c>
      <c r="BE1136" s="135">
        <f t="shared" si="128"/>
        <v>2288.1352711864411</v>
      </c>
      <c r="BF1136" s="135"/>
      <c r="BG1136" s="135"/>
      <c r="BH1136" s="135"/>
      <c r="BI1136" s="2" t="s">
        <v>3773</v>
      </c>
      <c r="BJ1136" s="136">
        <v>45790</v>
      </c>
      <c r="BK1136" s="2" t="s">
        <v>109</v>
      </c>
      <c r="BL1136" s="136" t="s">
        <v>18</v>
      </c>
      <c r="BM1136" s="136">
        <v>45597</v>
      </c>
      <c r="BN1136" s="2" t="s">
        <v>3922</v>
      </c>
      <c r="BO1136" s="2"/>
      <c r="BP1136" s="136"/>
      <c r="BQ1136" s="137" t="s">
        <v>119</v>
      </c>
    </row>
    <row r="1137" spans="1:69" ht="12.75" customHeight="1" x14ac:dyDescent="0.2">
      <c r="A1137" s="2">
        <v>2626</v>
      </c>
      <c r="B1137" s="2" t="s">
        <v>28</v>
      </c>
      <c r="C1137" s="2" t="s">
        <v>88</v>
      </c>
      <c r="D1137" s="131" t="s">
        <v>3926</v>
      </c>
      <c r="E1137" s="2" t="s">
        <v>3635</v>
      </c>
      <c r="F1137" s="132">
        <v>0</v>
      </c>
      <c r="G1137" s="132"/>
      <c r="H1137" s="132">
        <f t="shared" si="129"/>
        <v>30632.52</v>
      </c>
      <c r="I1137" s="132"/>
      <c r="J1137" s="132">
        <f t="shared" si="130"/>
        <v>30632.519999999997</v>
      </c>
      <c r="K1137" s="132">
        <f t="shared" si="116"/>
        <v>-30632.519999999997</v>
      </c>
      <c r="L1137" s="132">
        <f t="shared" si="121"/>
        <v>0</v>
      </c>
      <c r="M1137" s="133"/>
      <c r="N1137" s="133">
        <f t="shared" si="127"/>
        <v>3.637978807091713E-12</v>
      </c>
      <c r="O1137" s="134">
        <v>1</v>
      </c>
      <c r="P1137" s="133"/>
      <c r="Q1137" s="2" t="s">
        <v>3924</v>
      </c>
      <c r="R1137" s="156">
        <f t="shared" si="122"/>
        <v>30632.52</v>
      </c>
      <c r="S1137" s="156">
        <f t="shared" si="123"/>
        <v>8598.6199999999972</v>
      </c>
      <c r="T1137" s="133"/>
      <c r="U1137" s="133"/>
      <c r="V1137" s="133"/>
      <c r="W1137" s="133"/>
      <c r="X1137" s="133"/>
      <c r="Y1137" s="133"/>
      <c r="Z1137" s="133">
        <v>26000</v>
      </c>
      <c r="AA1137" s="133"/>
      <c r="AB1137" s="133">
        <v>4632.5200000000004</v>
      </c>
      <c r="AC1137" s="133">
        <v>3966.1</v>
      </c>
      <c r="AD1137" s="133"/>
      <c r="AE1137" s="133">
        <v>706.66</v>
      </c>
      <c r="AF1137" s="133"/>
      <c r="AG1137" s="133"/>
      <c r="AH1137" s="133"/>
      <c r="AI1137" s="133"/>
      <c r="AJ1137" s="133"/>
      <c r="AK1137" s="133">
        <v>3925.8599999999969</v>
      </c>
      <c r="AL1137" s="133"/>
      <c r="AM1137" s="133"/>
      <c r="AN1137" s="133"/>
      <c r="AO1137" s="133"/>
      <c r="AP1137" s="133"/>
      <c r="AQ1137" s="133"/>
      <c r="AR1137" s="133"/>
      <c r="AS1137" s="153">
        <v>0</v>
      </c>
      <c r="AT1137" s="153">
        <v>0</v>
      </c>
      <c r="AU1137" s="153">
        <v>0</v>
      </c>
      <c r="AV1137" s="153">
        <v>0</v>
      </c>
      <c r="AW1137" s="153">
        <v>0</v>
      </c>
      <c r="AX1137" s="153">
        <v>0</v>
      </c>
      <c r="AY1137" s="135"/>
      <c r="AZ1137" s="135"/>
      <c r="BA1137" s="135"/>
      <c r="BB1137" s="135"/>
      <c r="BC1137" s="135">
        <v>22033.9</v>
      </c>
      <c r="BD1137" s="135">
        <v>3078.41</v>
      </c>
      <c r="BE1137" s="135">
        <f t="shared" si="128"/>
        <v>2288.1352711864411</v>
      </c>
      <c r="BF1137" s="135"/>
      <c r="BG1137" s="135"/>
      <c r="BH1137" s="135"/>
      <c r="BI1137" s="2" t="s">
        <v>3773</v>
      </c>
      <c r="BJ1137" s="136">
        <v>45790</v>
      </c>
      <c r="BK1137" s="2" t="s">
        <v>109</v>
      </c>
      <c r="BL1137" s="136" t="s">
        <v>18</v>
      </c>
      <c r="BM1137" s="136">
        <v>45597</v>
      </c>
      <c r="BN1137" s="2" t="s">
        <v>3925</v>
      </c>
      <c r="BO1137" s="2"/>
      <c r="BP1137" s="136"/>
      <c r="BQ1137" s="137" t="s">
        <v>119</v>
      </c>
    </row>
    <row r="1138" spans="1:69" ht="12.75" customHeight="1" x14ac:dyDescent="0.2">
      <c r="A1138" s="2">
        <v>2627</v>
      </c>
      <c r="B1138" s="2" t="s">
        <v>28</v>
      </c>
      <c r="C1138" s="2" t="s">
        <v>88</v>
      </c>
      <c r="D1138" s="131" t="s">
        <v>3929</v>
      </c>
      <c r="E1138" s="2" t="s">
        <v>3635</v>
      </c>
      <c r="F1138" s="132">
        <v>0</v>
      </c>
      <c r="G1138" s="132"/>
      <c r="H1138" s="132">
        <f t="shared" si="129"/>
        <v>30632.52</v>
      </c>
      <c r="I1138" s="132"/>
      <c r="J1138" s="132">
        <f t="shared" si="130"/>
        <v>30632.519999999997</v>
      </c>
      <c r="K1138" s="132">
        <f t="shared" si="116"/>
        <v>-30632.519999999997</v>
      </c>
      <c r="L1138" s="132">
        <f t="shared" si="121"/>
        <v>0</v>
      </c>
      <c r="M1138" s="133"/>
      <c r="N1138" s="133">
        <f t="shared" si="127"/>
        <v>3.637978807091713E-12</v>
      </c>
      <c r="O1138" s="134">
        <v>1</v>
      </c>
      <c r="P1138" s="133"/>
      <c r="Q1138" s="2" t="s">
        <v>3928</v>
      </c>
      <c r="R1138" s="156">
        <f t="shared" si="122"/>
        <v>30632.52</v>
      </c>
      <c r="S1138" s="156">
        <f t="shared" si="123"/>
        <v>8598.6199999999972</v>
      </c>
      <c r="T1138" s="133"/>
      <c r="U1138" s="133"/>
      <c r="V1138" s="133"/>
      <c r="W1138" s="133"/>
      <c r="X1138" s="133"/>
      <c r="Y1138" s="133"/>
      <c r="Z1138" s="133">
        <v>26000</v>
      </c>
      <c r="AA1138" s="133"/>
      <c r="AB1138" s="133">
        <v>4632.5200000000004</v>
      </c>
      <c r="AC1138" s="133">
        <v>3966.1</v>
      </c>
      <c r="AD1138" s="133"/>
      <c r="AE1138" s="133">
        <v>706.66</v>
      </c>
      <c r="AF1138" s="133"/>
      <c r="AG1138" s="133"/>
      <c r="AH1138" s="133"/>
      <c r="AI1138" s="133"/>
      <c r="AJ1138" s="133"/>
      <c r="AK1138" s="133">
        <v>3925.8599999999969</v>
      </c>
      <c r="AL1138" s="133"/>
      <c r="AM1138" s="133"/>
      <c r="AN1138" s="133"/>
      <c r="AO1138" s="133"/>
      <c r="AP1138" s="133"/>
      <c r="AQ1138" s="133"/>
      <c r="AR1138" s="133"/>
      <c r="AS1138" s="153">
        <v>0</v>
      </c>
      <c r="AT1138" s="153">
        <v>0</v>
      </c>
      <c r="AU1138" s="153">
        <v>0</v>
      </c>
      <c r="AV1138" s="153">
        <v>0</v>
      </c>
      <c r="AW1138" s="153">
        <v>0</v>
      </c>
      <c r="AX1138" s="153">
        <v>0</v>
      </c>
      <c r="AY1138" s="135"/>
      <c r="AZ1138" s="135"/>
      <c r="BA1138" s="135"/>
      <c r="BB1138" s="135"/>
      <c r="BC1138" s="135">
        <v>22033.9</v>
      </c>
      <c r="BD1138" s="135">
        <v>3078.41</v>
      </c>
      <c r="BE1138" s="135">
        <f t="shared" si="128"/>
        <v>2288.1352711864411</v>
      </c>
      <c r="BF1138" s="135"/>
      <c r="BG1138" s="135"/>
      <c r="BH1138" s="135"/>
      <c r="BI1138" s="2" t="s">
        <v>3773</v>
      </c>
      <c r="BJ1138" s="136">
        <v>45790</v>
      </c>
      <c r="BK1138" s="2" t="s">
        <v>109</v>
      </c>
      <c r="BL1138" s="136" t="s">
        <v>18</v>
      </c>
      <c r="BM1138" s="136">
        <v>45597</v>
      </c>
      <c r="BN1138" s="2" t="s">
        <v>3927</v>
      </c>
      <c r="BO1138" s="2"/>
      <c r="BP1138" s="136"/>
      <c r="BQ1138" s="137" t="s">
        <v>119</v>
      </c>
    </row>
    <row r="1139" spans="1:69" ht="12.75" customHeight="1" x14ac:dyDescent="0.2">
      <c r="A1139" s="2">
        <v>2628</v>
      </c>
      <c r="B1139" s="2" t="s">
        <v>28</v>
      </c>
      <c r="C1139" s="2" t="s">
        <v>88</v>
      </c>
      <c r="D1139" s="131" t="s">
        <v>3932</v>
      </c>
      <c r="E1139" s="2" t="s">
        <v>3635</v>
      </c>
      <c r="F1139" s="132">
        <v>0</v>
      </c>
      <c r="G1139" s="132"/>
      <c r="H1139" s="132">
        <f t="shared" si="129"/>
        <v>30632.52</v>
      </c>
      <c r="I1139" s="132"/>
      <c r="J1139" s="132">
        <f t="shared" si="130"/>
        <v>30632.519999999997</v>
      </c>
      <c r="K1139" s="132">
        <f t="shared" si="116"/>
        <v>-30632.519999999997</v>
      </c>
      <c r="L1139" s="132">
        <f t="shared" si="121"/>
        <v>0</v>
      </c>
      <c r="M1139" s="133"/>
      <c r="N1139" s="133">
        <f t="shared" si="127"/>
        <v>3.637978807091713E-12</v>
      </c>
      <c r="O1139" s="134">
        <v>1</v>
      </c>
      <c r="P1139" s="133"/>
      <c r="Q1139" s="2" t="s">
        <v>3930</v>
      </c>
      <c r="R1139" s="156">
        <f t="shared" si="122"/>
        <v>30632.52</v>
      </c>
      <c r="S1139" s="156">
        <f t="shared" si="123"/>
        <v>8598.6199999999972</v>
      </c>
      <c r="T1139" s="133"/>
      <c r="U1139" s="133"/>
      <c r="V1139" s="133"/>
      <c r="W1139" s="133"/>
      <c r="X1139" s="133"/>
      <c r="Y1139" s="133"/>
      <c r="Z1139" s="133">
        <v>26000</v>
      </c>
      <c r="AA1139" s="133"/>
      <c r="AB1139" s="133">
        <v>4632.5200000000004</v>
      </c>
      <c r="AC1139" s="133">
        <v>3966.1</v>
      </c>
      <c r="AD1139" s="133"/>
      <c r="AE1139" s="133">
        <v>706.66</v>
      </c>
      <c r="AF1139" s="133"/>
      <c r="AG1139" s="133"/>
      <c r="AH1139" s="133"/>
      <c r="AI1139" s="133"/>
      <c r="AJ1139" s="133"/>
      <c r="AK1139" s="133">
        <v>3925.8599999999969</v>
      </c>
      <c r="AL1139" s="133"/>
      <c r="AM1139" s="133"/>
      <c r="AN1139" s="133"/>
      <c r="AO1139" s="133"/>
      <c r="AP1139" s="133"/>
      <c r="AQ1139" s="133"/>
      <c r="AR1139" s="133"/>
      <c r="AS1139" s="153">
        <v>0</v>
      </c>
      <c r="AT1139" s="153">
        <v>0</v>
      </c>
      <c r="AU1139" s="153">
        <v>0</v>
      </c>
      <c r="AV1139" s="153">
        <v>0</v>
      </c>
      <c r="AW1139" s="153">
        <v>0</v>
      </c>
      <c r="AX1139" s="153">
        <v>0</v>
      </c>
      <c r="AY1139" s="135"/>
      <c r="AZ1139" s="135"/>
      <c r="BA1139" s="135"/>
      <c r="BB1139" s="135"/>
      <c r="BC1139" s="135">
        <v>22033.9</v>
      </c>
      <c r="BD1139" s="135">
        <v>3078.41</v>
      </c>
      <c r="BE1139" s="135">
        <f t="shared" si="128"/>
        <v>2288.1352711864411</v>
      </c>
      <c r="BF1139" s="135"/>
      <c r="BG1139" s="135"/>
      <c r="BH1139" s="135"/>
      <c r="BI1139" s="2" t="s">
        <v>3773</v>
      </c>
      <c r="BJ1139" s="136">
        <v>45790</v>
      </c>
      <c r="BK1139" s="2" t="s">
        <v>109</v>
      </c>
      <c r="BL1139" s="136" t="s">
        <v>18</v>
      </c>
      <c r="BM1139" s="136">
        <v>45597</v>
      </c>
      <c r="BN1139" s="2" t="s">
        <v>3931</v>
      </c>
      <c r="BO1139" s="2"/>
      <c r="BP1139" s="136"/>
      <c r="BQ1139" s="137" t="s">
        <v>119</v>
      </c>
    </row>
    <row r="1140" spans="1:69" ht="12.75" customHeight="1" x14ac:dyDescent="0.2">
      <c r="A1140" s="2">
        <v>2629</v>
      </c>
      <c r="B1140" s="2" t="s">
        <v>28</v>
      </c>
      <c r="C1140" s="2" t="s">
        <v>88</v>
      </c>
      <c r="D1140" s="131" t="s">
        <v>3933</v>
      </c>
      <c r="E1140" s="2" t="s">
        <v>3635</v>
      </c>
      <c r="F1140" s="132">
        <v>0</v>
      </c>
      <c r="G1140" s="132"/>
      <c r="H1140" s="132">
        <f t="shared" si="129"/>
        <v>30632.52</v>
      </c>
      <c r="I1140" s="132"/>
      <c r="J1140" s="132">
        <f t="shared" si="130"/>
        <v>30632.519999999997</v>
      </c>
      <c r="K1140" s="132">
        <f t="shared" si="116"/>
        <v>-30632.519999999997</v>
      </c>
      <c r="L1140" s="132">
        <f t="shared" si="121"/>
        <v>0</v>
      </c>
      <c r="M1140" s="133"/>
      <c r="N1140" s="133">
        <f t="shared" si="127"/>
        <v>3.637978807091713E-12</v>
      </c>
      <c r="O1140" s="134">
        <v>1</v>
      </c>
      <c r="P1140" s="133"/>
      <c r="Q1140" s="2" t="s">
        <v>3934</v>
      </c>
      <c r="R1140" s="156">
        <f t="shared" si="122"/>
        <v>30632.52</v>
      </c>
      <c r="S1140" s="156">
        <f t="shared" si="123"/>
        <v>8598.6199999999972</v>
      </c>
      <c r="T1140" s="133"/>
      <c r="U1140" s="133"/>
      <c r="V1140" s="133"/>
      <c r="W1140" s="133"/>
      <c r="X1140" s="133"/>
      <c r="Y1140" s="133"/>
      <c r="Z1140" s="133">
        <v>26000</v>
      </c>
      <c r="AA1140" s="133"/>
      <c r="AB1140" s="133">
        <v>4632.5200000000004</v>
      </c>
      <c r="AC1140" s="133">
        <v>3966.1</v>
      </c>
      <c r="AD1140" s="133"/>
      <c r="AE1140" s="133">
        <v>706.66</v>
      </c>
      <c r="AF1140" s="133"/>
      <c r="AG1140" s="133"/>
      <c r="AH1140" s="133"/>
      <c r="AI1140" s="133"/>
      <c r="AJ1140" s="133"/>
      <c r="AK1140" s="133">
        <v>3925.8599999999969</v>
      </c>
      <c r="AL1140" s="133"/>
      <c r="AM1140" s="133"/>
      <c r="AN1140" s="133"/>
      <c r="AO1140" s="133"/>
      <c r="AP1140" s="133"/>
      <c r="AQ1140" s="133"/>
      <c r="AR1140" s="133"/>
      <c r="AS1140" s="153">
        <v>0</v>
      </c>
      <c r="AT1140" s="153">
        <v>0</v>
      </c>
      <c r="AU1140" s="153">
        <v>0</v>
      </c>
      <c r="AV1140" s="153">
        <v>0</v>
      </c>
      <c r="AW1140" s="153">
        <v>0</v>
      </c>
      <c r="AX1140" s="153">
        <v>0</v>
      </c>
      <c r="AY1140" s="135"/>
      <c r="AZ1140" s="135"/>
      <c r="BA1140" s="135"/>
      <c r="BB1140" s="135"/>
      <c r="BC1140" s="135">
        <v>22033.9</v>
      </c>
      <c r="BD1140" s="135">
        <v>3078.41</v>
      </c>
      <c r="BE1140" s="135">
        <f t="shared" si="128"/>
        <v>2288.1352711864411</v>
      </c>
      <c r="BF1140" s="135"/>
      <c r="BG1140" s="135"/>
      <c r="BH1140" s="135"/>
      <c r="BI1140" s="2" t="s">
        <v>3773</v>
      </c>
      <c r="BJ1140" s="136">
        <v>45790</v>
      </c>
      <c r="BK1140" s="2" t="s">
        <v>109</v>
      </c>
      <c r="BL1140" s="136" t="s">
        <v>18</v>
      </c>
      <c r="BM1140" s="136">
        <v>45597</v>
      </c>
      <c r="BN1140" s="2" t="s">
        <v>3935</v>
      </c>
      <c r="BO1140" s="2"/>
      <c r="BP1140" s="136"/>
      <c r="BQ1140" s="137" t="s">
        <v>119</v>
      </c>
    </row>
    <row r="1141" spans="1:69" ht="12.75" customHeight="1" x14ac:dyDescent="0.2">
      <c r="A1141" s="2">
        <v>2630</v>
      </c>
      <c r="B1141" s="2" t="s">
        <v>28</v>
      </c>
      <c r="C1141" s="2" t="s">
        <v>88</v>
      </c>
      <c r="D1141" s="131" t="s">
        <v>3936</v>
      </c>
      <c r="E1141" s="2" t="s">
        <v>3635</v>
      </c>
      <c r="F1141" s="132">
        <v>0</v>
      </c>
      <c r="G1141" s="132"/>
      <c r="H1141" s="132">
        <f t="shared" si="129"/>
        <v>30632.52</v>
      </c>
      <c r="I1141" s="132"/>
      <c r="J1141" s="132">
        <f t="shared" si="130"/>
        <v>30632.519999999997</v>
      </c>
      <c r="K1141" s="132">
        <f t="shared" si="116"/>
        <v>-30632.519999999997</v>
      </c>
      <c r="L1141" s="132">
        <f t="shared" si="121"/>
        <v>0</v>
      </c>
      <c r="M1141" s="133"/>
      <c r="N1141" s="133">
        <f t="shared" si="127"/>
        <v>3.637978807091713E-12</v>
      </c>
      <c r="O1141" s="134">
        <v>1</v>
      </c>
      <c r="P1141" s="133"/>
      <c r="Q1141" s="2" t="s">
        <v>3937</v>
      </c>
      <c r="R1141" s="156">
        <f t="shared" si="122"/>
        <v>30632.52</v>
      </c>
      <c r="S1141" s="156">
        <f t="shared" si="123"/>
        <v>8598.6199999999972</v>
      </c>
      <c r="T1141" s="133"/>
      <c r="U1141" s="133"/>
      <c r="V1141" s="133"/>
      <c r="W1141" s="133"/>
      <c r="X1141" s="133"/>
      <c r="Y1141" s="133"/>
      <c r="Z1141" s="133">
        <v>26000</v>
      </c>
      <c r="AA1141" s="133"/>
      <c r="AB1141" s="133">
        <v>4632.5200000000004</v>
      </c>
      <c r="AC1141" s="133">
        <v>3966.1</v>
      </c>
      <c r="AD1141" s="133"/>
      <c r="AE1141" s="133">
        <v>706.66</v>
      </c>
      <c r="AF1141" s="133"/>
      <c r="AG1141" s="133"/>
      <c r="AH1141" s="133"/>
      <c r="AI1141" s="133"/>
      <c r="AJ1141" s="133"/>
      <c r="AK1141" s="133">
        <v>3925.8599999999969</v>
      </c>
      <c r="AL1141" s="133"/>
      <c r="AM1141" s="133"/>
      <c r="AN1141" s="133"/>
      <c r="AO1141" s="133"/>
      <c r="AP1141" s="133"/>
      <c r="AQ1141" s="133"/>
      <c r="AR1141" s="133"/>
      <c r="AS1141" s="153">
        <v>0</v>
      </c>
      <c r="AT1141" s="153">
        <v>0</v>
      </c>
      <c r="AU1141" s="153">
        <v>0</v>
      </c>
      <c r="AV1141" s="153">
        <v>0</v>
      </c>
      <c r="AW1141" s="153">
        <v>0</v>
      </c>
      <c r="AX1141" s="153">
        <v>0</v>
      </c>
      <c r="AY1141" s="135"/>
      <c r="AZ1141" s="135"/>
      <c r="BA1141" s="135"/>
      <c r="BB1141" s="135"/>
      <c r="BC1141" s="135">
        <v>22033.9</v>
      </c>
      <c r="BD1141" s="135">
        <v>3078.41</v>
      </c>
      <c r="BE1141" s="135">
        <f t="shared" si="128"/>
        <v>2288.1352711864411</v>
      </c>
      <c r="BF1141" s="135"/>
      <c r="BG1141" s="135"/>
      <c r="BH1141" s="135"/>
      <c r="BI1141" s="2" t="s">
        <v>3773</v>
      </c>
      <c r="BJ1141" s="136">
        <v>45790</v>
      </c>
      <c r="BK1141" s="2" t="s">
        <v>109</v>
      </c>
      <c r="BL1141" s="136" t="s">
        <v>18</v>
      </c>
      <c r="BM1141" s="136">
        <v>45597</v>
      </c>
      <c r="BN1141" s="2" t="s">
        <v>3938</v>
      </c>
      <c r="BO1141" s="2"/>
      <c r="BP1141" s="136"/>
      <c r="BQ1141" s="137" t="s">
        <v>119</v>
      </c>
    </row>
    <row r="1142" spans="1:69" ht="12.75" customHeight="1" x14ac:dyDescent="0.2">
      <c r="A1142" s="2">
        <v>2631</v>
      </c>
      <c r="B1142" s="2" t="s">
        <v>28</v>
      </c>
      <c r="C1142" s="2" t="s">
        <v>93</v>
      </c>
      <c r="D1142" s="131" t="s">
        <v>3942</v>
      </c>
      <c r="E1142" s="2" t="s">
        <v>3635</v>
      </c>
      <c r="F1142" s="132">
        <v>0</v>
      </c>
      <c r="G1142" s="132"/>
      <c r="H1142" s="132">
        <f t="shared" si="129"/>
        <v>30632.52</v>
      </c>
      <c r="I1142" s="132"/>
      <c r="J1142" s="132">
        <f t="shared" si="130"/>
        <v>30632.519999999997</v>
      </c>
      <c r="K1142" s="132">
        <f t="shared" ref="K1142:K1205" si="131">F1142-J1142</f>
        <v>-30632.519999999997</v>
      </c>
      <c r="L1142" s="132">
        <f t="shared" si="121"/>
        <v>0</v>
      </c>
      <c r="M1142" s="133"/>
      <c r="N1142" s="133">
        <f t="shared" si="127"/>
        <v>3.637978807091713E-12</v>
      </c>
      <c r="O1142" s="134">
        <v>1</v>
      </c>
      <c r="P1142" s="133"/>
      <c r="Q1142" s="2" t="s">
        <v>3943</v>
      </c>
      <c r="R1142" s="156">
        <f t="shared" si="122"/>
        <v>30632.52</v>
      </c>
      <c r="S1142" s="156">
        <f t="shared" si="123"/>
        <v>8598.6199999999972</v>
      </c>
      <c r="T1142" s="133"/>
      <c r="U1142" s="133"/>
      <c r="V1142" s="133"/>
      <c r="W1142" s="133"/>
      <c r="X1142" s="133"/>
      <c r="Y1142" s="133"/>
      <c r="Z1142" s="133">
        <v>26000</v>
      </c>
      <c r="AA1142" s="133"/>
      <c r="AB1142" s="133">
        <v>4632.5200000000004</v>
      </c>
      <c r="AC1142" s="133">
        <v>3966.1</v>
      </c>
      <c r="AD1142" s="133"/>
      <c r="AE1142" s="133">
        <v>706.66</v>
      </c>
      <c r="AF1142" s="133"/>
      <c r="AG1142" s="133"/>
      <c r="AH1142" s="133"/>
      <c r="AI1142" s="133"/>
      <c r="AJ1142" s="133"/>
      <c r="AK1142" s="133">
        <v>3925.8599999999969</v>
      </c>
      <c r="AL1142" s="133"/>
      <c r="AM1142" s="133"/>
      <c r="AN1142" s="133"/>
      <c r="AO1142" s="133"/>
      <c r="AP1142" s="133"/>
      <c r="AQ1142" s="133"/>
      <c r="AR1142" s="133"/>
      <c r="AS1142" s="153">
        <v>0</v>
      </c>
      <c r="AT1142" s="153">
        <v>0</v>
      </c>
      <c r="AU1142" s="153">
        <v>0</v>
      </c>
      <c r="AV1142" s="153">
        <v>0</v>
      </c>
      <c r="AW1142" s="153">
        <v>0</v>
      </c>
      <c r="AX1142" s="153">
        <v>0</v>
      </c>
      <c r="AY1142" s="135"/>
      <c r="AZ1142" s="135"/>
      <c r="BA1142" s="135"/>
      <c r="BB1142" s="135"/>
      <c r="BC1142" s="135">
        <v>22033.9</v>
      </c>
      <c r="BD1142" s="135">
        <v>3078.41</v>
      </c>
      <c r="BE1142" s="135">
        <f t="shared" si="128"/>
        <v>2288.1352711864411</v>
      </c>
      <c r="BF1142" s="135"/>
      <c r="BG1142" s="135"/>
      <c r="BH1142" s="135"/>
      <c r="BI1142" s="2" t="s">
        <v>3773</v>
      </c>
      <c r="BJ1142" s="136">
        <v>45790</v>
      </c>
      <c r="BK1142" s="2" t="s">
        <v>109</v>
      </c>
      <c r="BL1142" s="136" t="s">
        <v>18</v>
      </c>
      <c r="BM1142" s="136">
        <v>45597</v>
      </c>
      <c r="BN1142" s="2" t="s">
        <v>3944</v>
      </c>
      <c r="BO1142" s="2"/>
      <c r="BP1142" s="136"/>
      <c r="BQ1142" s="137" t="s">
        <v>119</v>
      </c>
    </row>
    <row r="1143" spans="1:69" ht="12.75" customHeight="1" x14ac:dyDescent="0.2">
      <c r="A1143" s="2">
        <v>2632</v>
      </c>
      <c r="B1143" s="2" t="s">
        <v>28</v>
      </c>
      <c r="C1143" s="2" t="s">
        <v>93</v>
      </c>
      <c r="D1143" s="131" t="s">
        <v>3945</v>
      </c>
      <c r="E1143" s="2" t="s">
        <v>3635</v>
      </c>
      <c r="F1143" s="132">
        <v>0</v>
      </c>
      <c r="G1143" s="132"/>
      <c r="H1143" s="132">
        <f t="shared" si="129"/>
        <v>30632.52</v>
      </c>
      <c r="I1143" s="132"/>
      <c r="J1143" s="132">
        <f t="shared" si="130"/>
        <v>30632.519999999997</v>
      </c>
      <c r="K1143" s="132">
        <f t="shared" si="131"/>
        <v>-30632.519999999997</v>
      </c>
      <c r="L1143" s="132">
        <f t="shared" si="121"/>
        <v>0</v>
      </c>
      <c r="M1143" s="133"/>
      <c r="N1143" s="133">
        <f t="shared" si="127"/>
        <v>3.637978807091713E-12</v>
      </c>
      <c r="O1143" s="134">
        <v>1</v>
      </c>
      <c r="P1143" s="133"/>
      <c r="Q1143" s="2" t="s">
        <v>3946</v>
      </c>
      <c r="R1143" s="156">
        <f t="shared" si="122"/>
        <v>30632.52</v>
      </c>
      <c r="S1143" s="156">
        <f t="shared" si="123"/>
        <v>8598.6199999999972</v>
      </c>
      <c r="T1143" s="133"/>
      <c r="U1143" s="133"/>
      <c r="V1143" s="133"/>
      <c r="W1143" s="133"/>
      <c r="X1143" s="133"/>
      <c r="Y1143" s="133"/>
      <c r="Z1143" s="133">
        <v>26000</v>
      </c>
      <c r="AA1143" s="133"/>
      <c r="AB1143" s="133">
        <v>4632.5200000000004</v>
      </c>
      <c r="AC1143" s="133">
        <v>3966.1</v>
      </c>
      <c r="AD1143" s="133"/>
      <c r="AE1143" s="133">
        <v>706.66</v>
      </c>
      <c r="AF1143" s="133"/>
      <c r="AG1143" s="133"/>
      <c r="AH1143" s="133"/>
      <c r="AI1143" s="133"/>
      <c r="AJ1143" s="133"/>
      <c r="AK1143" s="133">
        <v>3925.8599999999969</v>
      </c>
      <c r="AL1143" s="133"/>
      <c r="AM1143" s="133"/>
      <c r="AN1143" s="133"/>
      <c r="AO1143" s="133"/>
      <c r="AP1143" s="133"/>
      <c r="AQ1143" s="133"/>
      <c r="AR1143" s="133"/>
      <c r="AS1143" s="153">
        <v>0</v>
      </c>
      <c r="AT1143" s="153">
        <v>0</v>
      </c>
      <c r="AU1143" s="153">
        <v>0</v>
      </c>
      <c r="AV1143" s="153">
        <v>0</v>
      </c>
      <c r="AW1143" s="153">
        <v>0</v>
      </c>
      <c r="AX1143" s="153">
        <v>0</v>
      </c>
      <c r="AY1143" s="135"/>
      <c r="AZ1143" s="135"/>
      <c r="BA1143" s="135"/>
      <c r="BB1143" s="135"/>
      <c r="BC1143" s="135">
        <v>22033.9</v>
      </c>
      <c r="BD1143" s="135">
        <v>3078.41</v>
      </c>
      <c r="BE1143" s="135">
        <f t="shared" si="128"/>
        <v>2288.1352711864411</v>
      </c>
      <c r="BF1143" s="135"/>
      <c r="BG1143" s="135"/>
      <c r="BH1143" s="135"/>
      <c r="BI1143" s="2" t="s">
        <v>3773</v>
      </c>
      <c r="BJ1143" s="136">
        <v>45790</v>
      </c>
      <c r="BK1143" s="2" t="s">
        <v>109</v>
      </c>
      <c r="BL1143" s="136" t="s">
        <v>18</v>
      </c>
      <c r="BM1143" s="136">
        <v>45597</v>
      </c>
      <c r="BN1143" s="2" t="s">
        <v>3947</v>
      </c>
      <c r="BO1143" s="2"/>
      <c r="BP1143" s="136"/>
      <c r="BQ1143" s="137" t="s">
        <v>119</v>
      </c>
    </row>
    <row r="1144" spans="1:69" ht="12.75" customHeight="1" x14ac:dyDescent="0.2">
      <c r="A1144" s="2">
        <v>2633</v>
      </c>
      <c r="B1144" s="2" t="s">
        <v>28</v>
      </c>
      <c r="C1144" s="2" t="s">
        <v>93</v>
      </c>
      <c r="D1144" s="131" t="s">
        <v>3939</v>
      </c>
      <c r="E1144" s="2" t="s">
        <v>3635</v>
      </c>
      <c r="F1144" s="132">
        <v>0</v>
      </c>
      <c r="G1144" s="132"/>
      <c r="H1144" s="132">
        <f t="shared" si="129"/>
        <v>30632.52</v>
      </c>
      <c r="I1144" s="132"/>
      <c r="J1144" s="132">
        <f t="shared" ref="J1144:J1149" si="132">S1144+BC1144</f>
        <v>30632.519999999997</v>
      </c>
      <c r="K1144" s="132">
        <f t="shared" si="131"/>
        <v>-30632.519999999997</v>
      </c>
      <c r="L1144" s="132">
        <f t="shared" si="121"/>
        <v>0</v>
      </c>
      <c r="M1144" s="133"/>
      <c r="N1144" s="133">
        <f t="shared" si="127"/>
        <v>3.637978807091713E-12</v>
      </c>
      <c r="O1144" s="134">
        <v>1</v>
      </c>
      <c r="P1144" s="133"/>
      <c r="Q1144" s="2" t="s">
        <v>3940</v>
      </c>
      <c r="R1144" s="156">
        <f t="shared" si="122"/>
        <v>30632.52</v>
      </c>
      <c r="S1144" s="156">
        <f t="shared" si="123"/>
        <v>8598.6199999999972</v>
      </c>
      <c r="T1144" s="133"/>
      <c r="U1144" s="133"/>
      <c r="V1144" s="133"/>
      <c r="W1144" s="133"/>
      <c r="X1144" s="133"/>
      <c r="Y1144" s="133"/>
      <c r="Z1144" s="133">
        <v>26000</v>
      </c>
      <c r="AA1144" s="133"/>
      <c r="AB1144" s="133">
        <v>4632.5200000000004</v>
      </c>
      <c r="AC1144" s="133">
        <v>3966.1</v>
      </c>
      <c r="AD1144" s="133"/>
      <c r="AE1144" s="133">
        <v>706.66</v>
      </c>
      <c r="AF1144" s="133"/>
      <c r="AG1144" s="133"/>
      <c r="AH1144" s="133"/>
      <c r="AI1144" s="133"/>
      <c r="AJ1144" s="133"/>
      <c r="AK1144" s="133">
        <v>3925.8599999999969</v>
      </c>
      <c r="AL1144" s="133"/>
      <c r="AM1144" s="133"/>
      <c r="AN1144" s="133"/>
      <c r="AO1144" s="133"/>
      <c r="AP1144" s="133"/>
      <c r="AQ1144" s="133"/>
      <c r="AR1144" s="133"/>
      <c r="AS1144" s="153">
        <v>0</v>
      </c>
      <c r="AT1144" s="153">
        <v>0</v>
      </c>
      <c r="AU1144" s="153">
        <v>0</v>
      </c>
      <c r="AV1144" s="153">
        <v>0</v>
      </c>
      <c r="AW1144" s="153">
        <v>0</v>
      </c>
      <c r="AX1144" s="153">
        <v>0</v>
      </c>
      <c r="AY1144" s="135"/>
      <c r="AZ1144" s="135"/>
      <c r="BA1144" s="135"/>
      <c r="BB1144" s="135"/>
      <c r="BC1144" s="135">
        <v>22033.9</v>
      </c>
      <c r="BD1144" s="135">
        <v>3078.41</v>
      </c>
      <c r="BE1144" s="135">
        <f t="shared" si="128"/>
        <v>2288.1352711864411</v>
      </c>
      <c r="BF1144" s="135"/>
      <c r="BG1144" s="135"/>
      <c r="BH1144" s="135"/>
      <c r="BI1144" s="2" t="s">
        <v>3773</v>
      </c>
      <c r="BJ1144" s="136">
        <v>45790</v>
      </c>
      <c r="BK1144" s="2" t="s">
        <v>109</v>
      </c>
      <c r="BL1144" s="136" t="s">
        <v>18</v>
      </c>
      <c r="BM1144" s="136">
        <v>45597</v>
      </c>
      <c r="BN1144" s="2" t="s">
        <v>3941</v>
      </c>
      <c r="BO1144" s="2"/>
      <c r="BP1144" s="136"/>
      <c r="BQ1144" s="137" t="s">
        <v>119</v>
      </c>
    </row>
    <row r="1145" spans="1:69" ht="12.75" customHeight="1" x14ac:dyDescent="0.2">
      <c r="A1145" s="2">
        <v>2634</v>
      </c>
      <c r="B1145" s="2" t="s">
        <v>54</v>
      </c>
      <c r="C1145" s="131" t="s">
        <v>50</v>
      </c>
      <c r="D1145" s="131" t="s">
        <v>3948</v>
      </c>
      <c r="E1145" s="2" t="s">
        <v>141</v>
      </c>
      <c r="F1145" s="132">
        <v>0</v>
      </c>
      <c r="G1145" s="132"/>
      <c r="H1145" s="132">
        <f t="shared" si="129"/>
        <v>70251</v>
      </c>
      <c r="I1145" s="132"/>
      <c r="J1145" s="132">
        <f t="shared" si="132"/>
        <v>50000</v>
      </c>
      <c r="K1145" s="132">
        <f t="shared" si="131"/>
        <v>-50000</v>
      </c>
      <c r="L1145" s="132">
        <f t="shared" si="121"/>
        <v>20251</v>
      </c>
      <c r="M1145" s="133">
        <v>1312</v>
      </c>
      <c r="N1145" s="133">
        <f t="shared" si="127"/>
        <v>20251</v>
      </c>
      <c r="O1145" s="134" t="s">
        <v>1993</v>
      </c>
      <c r="P1145" s="133"/>
      <c r="Q1145" s="2" t="s">
        <v>338</v>
      </c>
      <c r="R1145" s="156">
        <f t="shared" si="122"/>
        <v>70251</v>
      </c>
      <c r="S1145" s="156">
        <f t="shared" si="123"/>
        <v>7627.12</v>
      </c>
      <c r="T1145" s="133"/>
      <c r="U1145" s="133"/>
      <c r="V1145" s="133"/>
      <c r="W1145" s="133"/>
      <c r="X1145" s="133"/>
      <c r="Y1145" s="133"/>
      <c r="Z1145" s="133">
        <v>50000</v>
      </c>
      <c r="AA1145" s="133"/>
      <c r="AB1145" s="133"/>
      <c r="AC1145" s="133">
        <v>7627.12</v>
      </c>
      <c r="AD1145" s="133"/>
      <c r="AE1145" s="133"/>
      <c r="AF1145" s="133"/>
      <c r="AG1145" s="133"/>
      <c r="AH1145" s="133"/>
      <c r="AI1145" s="133"/>
      <c r="AJ1145" s="133">
        <v>20251</v>
      </c>
      <c r="AK1145" s="133"/>
      <c r="AL1145" s="133"/>
      <c r="AM1145" s="133"/>
      <c r="AN1145" s="133"/>
      <c r="AO1145" s="133"/>
      <c r="AP1145" s="133"/>
      <c r="AQ1145" s="133"/>
      <c r="AR1145" s="133"/>
      <c r="AS1145" s="153">
        <v>0</v>
      </c>
      <c r="AT1145" s="153">
        <v>0</v>
      </c>
      <c r="AU1145" s="153">
        <v>0</v>
      </c>
      <c r="AV1145" s="153">
        <v>0</v>
      </c>
      <c r="AW1145" s="153">
        <v>0</v>
      </c>
      <c r="AX1145" s="153">
        <v>0</v>
      </c>
      <c r="AY1145" s="135"/>
      <c r="AZ1145" s="135"/>
      <c r="BA1145" s="135"/>
      <c r="BB1145" s="135"/>
      <c r="BC1145" s="135">
        <v>42372.88</v>
      </c>
      <c r="BD1145" s="135">
        <v>5938.01</v>
      </c>
      <c r="BE1145" s="135"/>
      <c r="BF1145" s="135"/>
      <c r="BG1145" s="135"/>
      <c r="BH1145" s="135"/>
      <c r="BI1145" s="2" t="s">
        <v>11</v>
      </c>
      <c r="BJ1145" s="136">
        <v>45926</v>
      </c>
      <c r="BK1145" s="2" t="s">
        <v>109</v>
      </c>
      <c r="BL1145" s="136" t="s">
        <v>113</v>
      </c>
      <c r="BM1145" s="136">
        <v>45308</v>
      </c>
      <c r="BN1145" s="2" t="s">
        <v>2198</v>
      </c>
      <c r="BO1145" s="2"/>
      <c r="BP1145" s="136"/>
      <c r="BQ1145" s="137" t="s">
        <v>134</v>
      </c>
    </row>
    <row r="1146" spans="1:69" ht="12.75" customHeight="1" x14ac:dyDescent="0.2">
      <c r="A1146" s="2">
        <v>2635</v>
      </c>
      <c r="B1146" s="2" t="s">
        <v>54</v>
      </c>
      <c r="C1146" s="131" t="s">
        <v>50</v>
      </c>
      <c r="D1146" s="131" t="s">
        <v>3949</v>
      </c>
      <c r="E1146" s="2" t="s">
        <v>141</v>
      </c>
      <c r="F1146" s="132">
        <v>0</v>
      </c>
      <c r="G1146" s="132"/>
      <c r="H1146" s="132">
        <f t="shared" si="129"/>
        <v>71821</v>
      </c>
      <c r="I1146" s="132"/>
      <c r="J1146" s="132">
        <f t="shared" si="132"/>
        <v>50000</v>
      </c>
      <c r="K1146" s="132">
        <f t="shared" si="131"/>
        <v>-50000</v>
      </c>
      <c r="L1146" s="132">
        <f t="shared" si="121"/>
        <v>21821</v>
      </c>
      <c r="M1146" s="133">
        <v>1359</v>
      </c>
      <c r="N1146" s="133">
        <f t="shared" si="127"/>
        <v>21821</v>
      </c>
      <c r="O1146" s="134" t="s">
        <v>1993</v>
      </c>
      <c r="P1146" s="133"/>
      <c r="Q1146" s="2" t="s">
        <v>338</v>
      </c>
      <c r="R1146" s="156">
        <f t="shared" si="122"/>
        <v>71821</v>
      </c>
      <c r="S1146" s="156">
        <f t="shared" si="123"/>
        <v>7627.12</v>
      </c>
      <c r="T1146" s="133"/>
      <c r="U1146" s="133"/>
      <c r="V1146" s="133"/>
      <c r="W1146" s="133"/>
      <c r="X1146" s="133"/>
      <c r="Y1146" s="133"/>
      <c r="Z1146" s="133">
        <v>50000</v>
      </c>
      <c r="AA1146" s="133"/>
      <c r="AB1146" s="133"/>
      <c r="AC1146" s="133">
        <v>7627.12</v>
      </c>
      <c r="AD1146" s="133"/>
      <c r="AE1146" s="133"/>
      <c r="AF1146" s="133"/>
      <c r="AG1146" s="133"/>
      <c r="AH1146" s="133"/>
      <c r="AI1146" s="133"/>
      <c r="AJ1146" s="133">
        <v>21821</v>
      </c>
      <c r="AK1146" s="133"/>
      <c r="AL1146" s="133"/>
      <c r="AM1146" s="133"/>
      <c r="AN1146" s="133"/>
      <c r="AO1146" s="133"/>
      <c r="AP1146" s="133"/>
      <c r="AQ1146" s="133"/>
      <c r="AR1146" s="133"/>
      <c r="AS1146" s="153">
        <v>0</v>
      </c>
      <c r="AT1146" s="153">
        <v>0</v>
      </c>
      <c r="AU1146" s="153">
        <v>0</v>
      </c>
      <c r="AV1146" s="153">
        <v>0</v>
      </c>
      <c r="AW1146" s="153">
        <v>0</v>
      </c>
      <c r="AX1146" s="153">
        <v>0</v>
      </c>
      <c r="AY1146" s="135"/>
      <c r="AZ1146" s="135"/>
      <c r="BA1146" s="135"/>
      <c r="BB1146" s="135"/>
      <c r="BC1146" s="135">
        <v>42372.88</v>
      </c>
      <c r="BD1146" s="135">
        <v>5938.01</v>
      </c>
      <c r="BE1146" s="135"/>
      <c r="BF1146" s="135"/>
      <c r="BG1146" s="135"/>
      <c r="BH1146" s="135"/>
      <c r="BI1146" s="2" t="s">
        <v>11</v>
      </c>
      <c r="BJ1146" s="136">
        <v>45926</v>
      </c>
      <c r="BK1146" s="2" t="s">
        <v>109</v>
      </c>
      <c r="BL1146" s="136" t="s">
        <v>113</v>
      </c>
      <c r="BM1146" s="136">
        <v>45308</v>
      </c>
      <c r="BN1146" s="2" t="s">
        <v>2198</v>
      </c>
      <c r="BO1146" s="2"/>
      <c r="BP1146" s="136"/>
      <c r="BQ1146" s="137" t="s">
        <v>134</v>
      </c>
    </row>
    <row r="1147" spans="1:69" ht="12.75" customHeight="1" x14ac:dyDescent="0.2">
      <c r="A1147" s="2">
        <v>2636</v>
      </c>
      <c r="B1147" s="2" t="s">
        <v>54</v>
      </c>
      <c r="C1147" s="131" t="s">
        <v>50</v>
      </c>
      <c r="D1147" s="131" t="s">
        <v>3950</v>
      </c>
      <c r="E1147" s="2" t="s">
        <v>141</v>
      </c>
      <c r="F1147" s="132">
        <v>0</v>
      </c>
      <c r="G1147" s="132"/>
      <c r="H1147" s="132">
        <f>R1147</f>
        <v>79363</v>
      </c>
      <c r="I1147" s="132"/>
      <c r="J1147" s="132">
        <f t="shared" si="132"/>
        <v>50000</v>
      </c>
      <c r="K1147" s="132">
        <f t="shared" si="131"/>
        <v>-50000</v>
      </c>
      <c r="L1147" s="132">
        <f t="shared" si="121"/>
        <v>29363</v>
      </c>
      <c r="M1147" s="133">
        <v>1640</v>
      </c>
      <c r="N1147" s="133">
        <f t="shared" si="127"/>
        <v>29363</v>
      </c>
      <c r="O1147" s="134" t="s">
        <v>1993</v>
      </c>
      <c r="P1147" s="133"/>
      <c r="Q1147" s="2" t="s">
        <v>338</v>
      </c>
      <c r="R1147" s="156">
        <f t="shared" si="122"/>
        <v>79363</v>
      </c>
      <c r="S1147" s="156">
        <f t="shared" si="123"/>
        <v>7627.12</v>
      </c>
      <c r="T1147" s="133"/>
      <c r="U1147" s="133"/>
      <c r="V1147" s="133"/>
      <c r="W1147" s="133"/>
      <c r="X1147" s="133"/>
      <c r="Y1147" s="133"/>
      <c r="Z1147" s="133">
        <v>50000</v>
      </c>
      <c r="AA1147" s="133"/>
      <c r="AB1147" s="133"/>
      <c r="AC1147" s="133">
        <v>7627.12</v>
      </c>
      <c r="AD1147" s="133"/>
      <c r="AE1147" s="133"/>
      <c r="AF1147" s="133"/>
      <c r="AG1147" s="133"/>
      <c r="AH1147" s="133"/>
      <c r="AI1147" s="133"/>
      <c r="AJ1147" s="133">
        <v>29363</v>
      </c>
      <c r="AK1147" s="133"/>
      <c r="AL1147" s="133"/>
      <c r="AM1147" s="133"/>
      <c r="AN1147" s="133"/>
      <c r="AO1147" s="133"/>
      <c r="AP1147" s="133"/>
      <c r="AQ1147" s="133"/>
      <c r="AR1147" s="133"/>
      <c r="AS1147" s="153">
        <v>0</v>
      </c>
      <c r="AT1147" s="153">
        <v>0</v>
      </c>
      <c r="AU1147" s="153">
        <v>0</v>
      </c>
      <c r="AV1147" s="153">
        <v>0</v>
      </c>
      <c r="AW1147" s="153">
        <v>0</v>
      </c>
      <c r="AX1147" s="153">
        <v>0</v>
      </c>
      <c r="AY1147" s="135"/>
      <c r="AZ1147" s="135"/>
      <c r="BA1147" s="135"/>
      <c r="BB1147" s="135"/>
      <c r="BC1147" s="135">
        <v>42372.88</v>
      </c>
      <c r="BD1147" s="135">
        <v>5938.01</v>
      </c>
      <c r="BE1147" s="135"/>
      <c r="BF1147" s="135"/>
      <c r="BG1147" s="135"/>
      <c r="BH1147" s="135"/>
      <c r="BI1147" s="2" t="s">
        <v>11</v>
      </c>
      <c r="BJ1147" s="136">
        <v>45926</v>
      </c>
      <c r="BK1147" s="2" t="s">
        <v>109</v>
      </c>
      <c r="BL1147" s="136" t="s">
        <v>113</v>
      </c>
      <c r="BM1147" s="136">
        <v>45308</v>
      </c>
      <c r="BN1147" s="2" t="s">
        <v>2198</v>
      </c>
      <c r="BO1147" s="2"/>
      <c r="BP1147" s="136"/>
      <c r="BQ1147" s="137" t="s">
        <v>134</v>
      </c>
    </row>
    <row r="1148" spans="1:69" ht="12.75" customHeight="1" x14ac:dyDescent="0.2">
      <c r="A1148" s="2">
        <v>2637</v>
      </c>
      <c r="B1148" s="2" t="s">
        <v>54</v>
      </c>
      <c r="C1148" s="131" t="s">
        <v>50</v>
      </c>
      <c r="D1148" s="131" t="s">
        <v>3951</v>
      </c>
      <c r="E1148" s="2" t="s">
        <v>141</v>
      </c>
      <c r="F1148" s="132">
        <v>0</v>
      </c>
      <c r="G1148" s="132"/>
      <c r="H1148" s="132">
        <f t="shared" si="129"/>
        <v>51000</v>
      </c>
      <c r="I1148" s="132"/>
      <c r="J1148" s="132">
        <f t="shared" si="132"/>
        <v>50152.542372881355</v>
      </c>
      <c r="K1148" s="132">
        <f t="shared" si="131"/>
        <v>-50152.542372881355</v>
      </c>
      <c r="L1148" s="132">
        <f t="shared" si="121"/>
        <v>847.45762711864518</v>
      </c>
      <c r="M1148" s="133"/>
      <c r="N1148" s="133">
        <f t="shared" si="127"/>
        <v>-50152.542372881355</v>
      </c>
      <c r="O1148" s="134" t="s">
        <v>1993</v>
      </c>
      <c r="P1148" s="133"/>
      <c r="Q1148" s="2" t="s">
        <v>338</v>
      </c>
      <c r="R1148" s="156">
        <f t="shared" si="122"/>
        <v>51000</v>
      </c>
      <c r="S1148" s="156">
        <f t="shared" si="123"/>
        <v>7779.6623728813556</v>
      </c>
      <c r="T1148" s="133"/>
      <c r="U1148" s="133"/>
      <c r="V1148" s="133"/>
      <c r="W1148" s="133"/>
      <c r="X1148" s="133"/>
      <c r="Y1148" s="133"/>
      <c r="Z1148" s="133">
        <v>50000</v>
      </c>
      <c r="AA1148" s="133"/>
      <c r="AB1148" s="133"/>
      <c r="AC1148" s="133">
        <v>7627.12</v>
      </c>
      <c r="AD1148" s="133">
        <v>1000</v>
      </c>
      <c r="AE1148" s="133"/>
      <c r="AF1148" s="133"/>
      <c r="AG1148" s="133">
        <v>152.54237288135585</v>
      </c>
      <c r="AH1148" s="133"/>
      <c r="AI1148" s="133"/>
      <c r="AJ1148" s="133"/>
      <c r="AK1148" s="133"/>
      <c r="AL1148" s="133"/>
      <c r="AM1148" s="133"/>
      <c r="AN1148" s="133"/>
      <c r="AO1148" s="133"/>
      <c r="AP1148" s="133"/>
      <c r="AQ1148" s="133"/>
      <c r="AR1148" s="133"/>
      <c r="AS1148" s="153">
        <v>0</v>
      </c>
      <c r="AT1148" s="153">
        <v>0</v>
      </c>
      <c r="AU1148" s="153">
        <v>0</v>
      </c>
      <c r="AV1148" s="135"/>
      <c r="AW1148" s="135"/>
      <c r="AX1148" s="135"/>
      <c r="AY1148" s="135"/>
      <c r="AZ1148" s="135"/>
      <c r="BA1148" s="135"/>
      <c r="BB1148" s="135"/>
      <c r="BC1148" s="135">
        <v>42372.88</v>
      </c>
      <c r="BD1148" s="135">
        <v>5938.01</v>
      </c>
      <c r="BE1148" s="135"/>
      <c r="BF1148" s="135"/>
      <c r="BG1148" s="135"/>
      <c r="BH1148" s="135"/>
      <c r="BI1148" s="2" t="s">
        <v>11</v>
      </c>
      <c r="BJ1148" s="136"/>
      <c r="BK1148" s="2">
        <v>50</v>
      </c>
      <c r="BL1148" s="136" t="s">
        <v>113</v>
      </c>
      <c r="BM1148" s="136">
        <v>45308</v>
      </c>
      <c r="BN1148" s="2" t="s">
        <v>2198</v>
      </c>
      <c r="BO1148" s="2"/>
      <c r="BP1148" s="136"/>
      <c r="BQ1148" s="137" t="s">
        <v>134</v>
      </c>
    </row>
    <row r="1149" spans="1:69" ht="12.75" customHeight="1" x14ac:dyDescent="0.2">
      <c r="A1149" s="2">
        <v>2638</v>
      </c>
      <c r="B1149" s="2" t="s">
        <v>54</v>
      </c>
      <c r="C1149" s="131" t="s">
        <v>50</v>
      </c>
      <c r="D1149" s="131" t="s">
        <v>3952</v>
      </c>
      <c r="E1149" s="2" t="s">
        <v>141</v>
      </c>
      <c r="F1149" s="132">
        <v>0</v>
      </c>
      <c r="G1149" s="132"/>
      <c r="H1149" s="132">
        <f t="shared" si="129"/>
        <v>73515</v>
      </c>
      <c r="I1149" s="132"/>
      <c r="J1149" s="132">
        <f t="shared" si="132"/>
        <v>50259.322033898301</v>
      </c>
      <c r="K1149" s="132">
        <f t="shared" si="131"/>
        <v>-50259.322033898301</v>
      </c>
      <c r="L1149" s="132">
        <f t="shared" si="121"/>
        <v>23255.677966101699</v>
      </c>
      <c r="M1149" s="133">
        <v>1423</v>
      </c>
      <c r="N1149" s="133">
        <f t="shared" si="127"/>
        <v>23255.677966101699</v>
      </c>
      <c r="O1149" s="134" t="s">
        <v>1993</v>
      </c>
      <c r="P1149" s="133"/>
      <c r="Q1149" s="2" t="s">
        <v>338</v>
      </c>
      <c r="R1149" s="156">
        <f t="shared" si="122"/>
        <v>73515</v>
      </c>
      <c r="S1149" s="156">
        <f t="shared" si="123"/>
        <v>7886.4420338983055</v>
      </c>
      <c r="T1149" s="133"/>
      <c r="U1149" s="133"/>
      <c r="V1149" s="133"/>
      <c r="W1149" s="133"/>
      <c r="X1149" s="133"/>
      <c r="Y1149" s="133"/>
      <c r="Z1149" s="133">
        <v>50000</v>
      </c>
      <c r="AA1149" s="133"/>
      <c r="AB1149" s="133"/>
      <c r="AC1149" s="133">
        <v>7627.12</v>
      </c>
      <c r="AD1149" s="133"/>
      <c r="AE1149" s="133"/>
      <c r="AF1149" s="133">
        <v>1700</v>
      </c>
      <c r="AG1149" s="133"/>
      <c r="AH1149" s="133"/>
      <c r="AI1149" s="133">
        <v>259.32203389830511</v>
      </c>
      <c r="AJ1149" s="133">
        <v>21815</v>
      </c>
      <c r="AK1149" s="133"/>
      <c r="AL1149" s="133"/>
      <c r="AM1149" s="133"/>
      <c r="AN1149" s="133"/>
      <c r="AO1149" s="133"/>
      <c r="AP1149" s="133"/>
      <c r="AQ1149" s="133"/>
      <c r="AR1149" s="133"/>
      <c r="AS1149" s="153">
        <v>0</v>
      </c>
      <c r="AT1149" s="153">
        <v>0</v>
      </c>
      <c r="AU1149" s="153">
        <v>0</v>
      </c>
      <c r="AV1149" s="135"/>
      <c r="AW1149" s="135"/>
      <c r="AX1149" s="135"/>
      <c r="AY1149" s="135"/>
      <c r="AZ1149" s="135"/>
      <c r="BA1149" s="135"/>
      <c r="BB1149" s="135"/>
      <c r="BC1149" s="135">
        <v>42372.88</v>
      </c>
      <c r="BD1149" s="135">
        <v>5938.01</v>
      </c>
      <c r="BE1149" s="135"/>
      <c r="BF1149" s="135"/>
      <c r="BG1149" s="135"/>
      <c r="BH1149" s="135"/>
      <c r="BI1149" s="2" t="s">
        <v>11</v>
      </c>
      <c r="BJ1149" s="136">
        <v>45926</v>
      </c>
      <c r="BK1149" s="2" t="s">
        <v>109</v>
      </c>
      <c r="BL1149" s="136" t="s">
        <v>113</v>
      </c>
      <c r="BM1149" s="136">
        <v>45308</v>
      </c>
      <c r="BN1149" s="2" t="s">
        <v>2198</v>
      </c>
      <c r="BO1149" s="2"/>
      <c r="BP1149" s="136"/>
      <c r="BQ1149" s="137" t="s">
        <v>134</v>
      </c>
    </row>
    <row r="1150" spans="1:69" ht="12.75" customHeight="1" x14ac:dyDescent="0.2">
      <c r="A1150" s="2">
        <v>2639</v>
      </c>
      <c r="B1150" s="2" t="s">
        <v>44</v>
      </c>
      <c r="C1150" s="131" t="s">
        <v>45</v>
      </c>
      <c r="D1150" s="131" t="s">
        <v>3954</v>
      </c>
      <c r="E1150" s="2" t="s">
        <v>3635</v>
      </c>
      <c r="F1150" s="132">
        <v>0</v>
      </c>
      <c r="G1150" s="132"/>
      <c r="H1150" s="132">
        <f t="shared" si="129"/>
        <v>22500</v>
      </c>
      <c r="I1150" s="132"/>
      <c r="J1150" s="132">
        <f t="shared" si="126"/>
        <v>22500</v>
      </c>
      <c r="K1150" s="132">
        <f t="shared" si="131"/>
        <v>-22500</v>
      </c>
      <c r="L1150" s="132">
        <f t="shared" si="121"/>
        <v>0</v>
      </c>
      <c r="M1150" s="133"/>
      <c r="N1150" s="133">
        <f t="shared" si="127"/>
        <v>0</v>
      </c>
      <c r="O1150" s="134">
        <v>1</v>
      </c>
      <c r="P1150" s="133"/>
      <c r="Q1150" s="2" t="s">
        <v>3893</v>
      </c>
      <c r="R1150" s="156">
        <f t="shared" si="122"/>
        <v>22500</v>
      </c>
      <c r="S1150" s="156">
        <f t="shared" si="123"/>
        <v>22500</v>
      </c>
      <c r="T1150" s="133"/>
      <c r="U1150" s="133"/>
      <c r="V1150" s="133"/>
      <c r="W1150" s="133"/>
      <c r="X1150" s="133"/>
      <c r="Y1150" s="133"/>
      <c r="Z1150" s="133"/>
      <c r="AA1150" s="133"/>
      <c r="AB1150" s="133">
        <v>22500</v>
      </c>
      <c r="AC1150" s="133"/>
      <c r="AD1150" s="133"/>
      <c r="AE1150" s="133">
        <v>3432.2</v>
      </c>
      <c r="AF1150" s="133"/>
      <c r="AG1150" s="133"/>
      <c r="AH1150" s="133"/>
      <c r="AI1150" s="133"/>
      <c r="AJ1150" s="133"/>
      <c r="AK1150" s="133">
        <v>19067.8</v>
      </c>
      <c r="AL1150" s="133"/>
      <c r="AM1150" s="133"/>
      <c r="AN1150" s="133"/>
      <c r="AO1150" s="133"/>
      <c r="AP1150" s="133"/>
      <c r="AQ1150" s="133"/>
      <c r="AR1150" s="133"/>
      <c r="AS1150" s="153">
        <v>0</v>
      </c>
      <c r="AT1150" s="153">
        <v>0</v>
      </c>
      <c r="AU1150" s="153">
        <v>0</v>
      </c>
      <c r="AV1150" s="135"/>
      <c r="AW1150" s="135"/>
      <c r="AX1150" s="135"/>
      <c r="AY1150" s="135"/>
      <c r="AZ1150" s="135"/>
      <c r="BA1150" s="135"/>
      <c r="BB1150" s="135"/>
      <c r="BC1150" s="135"/>
      <c r="BD1150" s="135"/>
      <c r="BE1150" s="135">
        <f t="shared" ref="BE1150:BE1165" si="133">(H1150/1.18-AT1150-AW1150-AZ1150-BD1150)*0.1-AU1150-AX1150-BA1150-BB1150</f>
        <v>1906.7796610169491</v>
      </c>
      <c r="BF1150" s="135"/>
      <c r="BG1150" s="135"/>
      <c r="BH1150" s="135"/>
      <c r="BI1150" s="2" t="s">
        <v>3746</v>
      </c>
      <c r="BJ1150" s="136">
        <v>45787</v>
      </c>
      <c r="BK1150" s="2" t="s">
        <v>109</v>
      </c>
      <c r="BL1150" s="136" t="s">
        <v>113</v>
      </c>
      <c r="BM1150" s="136">
        <v>45635</v>
      </c>
      <c r="BN1150" s="2" t="s">
        <v>3641</v>
      </c>
      <c r="BO1150" s="2"/>
      <c r="BP1150" s="136"/>
      <c r="BQ1150" s="137" t="s">
        <v>119</v>
      </c>
    </row>
    <row r="1151" spans="1:69" ht="12.75" customHeight="1" x14ac:dyDescent="0.2">
      <c r="A1151" s="2">
        <v>2640</v>
      </c>
      <c r="B1151" s="2" t="s">
        <v>54</v>
      </c>
      <c r="C1151" s="131" t="s">
        <v>96</v>
      </c>
      <c r="D1151" s="131" t="s">
        <v>3955</v>
      </c>
      <c r="E1151" s="2" t="s">
        <v>3635</v>
      </c>
      <c r="F1151" s="132">
        <v>0</v>
      </c>
      <c r="G1151" s="132"/>
      <c r="H1151" s="132">
        <f t="shared" si="129"/>
        <v>22500</v>
      </c>
      <c r="I1151" s="132"/>
      <c r="J1151" s="132">
        <f t="shared" si="126"/>
        <v>22500</v>
      </c>
      <c r="K1151" s="132">
        <f t="shared" si="131"/>
        <v>-22500</v>
      </c>
      <c r="L1151" s="132">
        <f t="shared" si="121"/>
        <v>0</v>
      </c>
      <c r="M1151" s="133"/>
      <c r="N1151" s="133">
        <f t="shared" si="127"/>
        <v>0</v>
      </c>
      <c r="O1151" s="134">
        <v>1</v>
      </c>
      <c r="P1151" s="133"/>
      <c r="Q1151" s="2" t="s">
        <v>3893</v>
      </c>
      <c r="R1151" s="156">
        <f t="shared" si="122"/>
        <v>22500</v>
      </c>
      <c r="S1151" s="156">
        <f t="shared" si="123"/>
        <v>22500</v>
      </c>
      <c r="T1151" s="133"/>
      <c r="U1151" s="133"/>
      <c r="V1151" s="133"/>
      <c r="W1151" s="133"/>
      <c r="X1151" s="133"/>
      <c r="Y1151" s="133"/>
      <c r="Z1151" s="133"/>
      <c r="AA1151" s="133"/>
      <c r="AB1151" s="133">
        <v>22500</v>
      </c>
      <c r="AC1151" s="133"/>
      <c r="AD1151" s="133"/>
      <c r="AE1151" s="133">
        <v>3432.2</v>
      </c>
      <c r="AF1151" s="133"/>
      <c r="AG1151" s="133"/>
      <c r="AH1151" s="133"/>
      <c r="AI1151" s="133"/>
      <c r="AJ1151" s="133"/>
      <c r="AK1151" s="133">
        <v>19067.8</v>
      </c>
      <c r="AL1151" s="133"/>
      <c r="AM1151" s="133"/>
      <c r="AN1151" s="133"/>
      <c r="AO1151" s="133"/>
      <c r="AP1151" s="133"/>
      <c r="AQ1151" s="133"/>
      <c r="AR1151" s="133"/>
      <c r="AS1151" s="153">
        <v>0</v>
      </c>
      <c r="AT1151" s="153">
        <v>0</v>
      </c>
      <c r="AU1151" s="153">
        <v>0</v>
      </c>
      <c r="AV1151" s="135"/>
      <c r="AW1151" s="135"/>
      <c r="AX1151" s="135"/>
      <c r="AY1151" s="135"/>
      <c r="AZ1151" s="135"/>
      <c r="BA1151" s="135"/>
      <c r="BB1151" s="135"/>
      <c r="BC1151" s="135"/>
      <c r="BD1151" s="135"/>
      <c r="BE1151" s="135">
        <f t="shared" si="133"/>
        <v>1906.7796610169491</v>
      </c>
      <c r="BF1151" s="135"/>
      <c r="BG1151" s="135"/>
      <c r="BH1151" s="135"/>
      <c r="BI1151" s="2" t="s">
        <v>3746</v>
      </c>
      <c r="BJ1151" s="136">
        <v>45785</v>
      </c>
      <c r="BK1151" s="2" t="s">
        <v>109</v>
      </c>
      <c r="BL1151" s="136" t="s">
        <v>18</v>
      </c>
      <c r="BM1151" s="136">
        <v>45635</v>
      </c>
      <c r="BN1151" s="2" t="s">
        <v>3636</v>
      </c>
      <c r="BO1151" s="2"/>
      <c r="BP1151" s="136"/>
      <c r="BQ1151" s="137" t="s">
        <v>119</v>
      </c>
    </row>
    <row r="1152" spans="1:69" ht="12.75" customHeight="1" x14ac:dyDescent="0.2">
      <c r="A1152" s="2">
        <v>2641</v>
      </c>
      <c r="B1152" s="2" t="s">
        <v>39</v>
      </c>
      <c r="C1152" s="131" t="s">
        <v>42</v>
      </c>
      <c r="D1152" s="131" t="s">
        <v>3961</v>
      </c>
      <c r="E1152" s="2" t="s">
        <v>3635</v>
      </c>
      <c r="F1152" s="132">
        <v>0</v>
      </c>
      <c r="G1152" s="132"/>
      <c r="H1152" s="132">
        <f t="shared" si="129"/>
        <v>30345.45</v>
      </c>
      <c r="I1152" s="132"/>
      <c r="J1152" s="132">
        <f>S1152+BC1152</f>
        <v>30345.45</v>
      </c>
      <c r="K1152" s="132">
        <f t="shared" si="131"/>
        <v>-30345.45</v>
      </c>
      <c r="L1152" s="132">
        <f t="shared" si="121"/>
        <v>0</v>
      </c>
      <c r="M1152" s="133"/>
      <c r="N1152" s="133">
        <f t="shared" si="127"/>
        <v>0</v>
      </c>
      <c r="O1152" s="134">
        <v>1</v>
      </c>
      <c r="P1152" s="133"/>
      <c r="Q1152" s="2" t="s">
        <v>3957</v>
      </c>
      <c r="R1152" s="156">
        <f t="shared" si="122"/>
        <v>30345.45</v>
      </c>
      <c r="S1152" s="156">
        <f t="shared" si="123"/>
        <v>8311.5499999999993</v>
      </c>
      <c r="T1152" s="133"/>
      <c r="U1152" s="133"/>
      <c r="V1152" s="133"/>
      <c r="W1152" s="133"/>
      <c r="X1152" s="133"/>
      <c r="Y1152" s="133"/>
      <c r="Z1152" s="133"/>
      <c r="AA1152" s="133"/>
      <c r="AB1152" s="133">
        <v>26000</v>
      </c>
      <c r="AC1152" s="133"/>
      <c r="AD1152" s="133">
        <v>4345.45</v>
      </c>
      <c r="AE1152" s="133">
        <v>3966.1</v>
      </c>
      <c r="AF1152" s="133"/>
      <c r="AG1152" s="133">
        <f>662.86</f>
        <v>662.86</v>
      </c>
      <c r="AH1152" s="133"/>
      <c r="AI1152" s="133"/>
      <c r="AJ1152" s="133"/>
      <c r="AK1152" s="133">
        <v>3682.59</v>
      </c>
      <c r="AL1152" s="133"/>
      <c r="AM1152" s="133"/>
      <c r="AN1152" s="133"/>
      <c r="AO1152" s="133"/>
      <c r="AP1152" s="133"/>
      <c r="AQ1152" s="133"/>
      <c r="AR1152" s="133"/>
      <c r="AS1152" s="153">
        <v>0</v>
      </c>
      <c r="AT1152" s="153">
        <v>0</v>
      </c>
      <c r="AU1152" s="153">
        <v>0</v>
      </c>
      <c r="AV1152" s="135"/>
      <c r="AW1152" s="135"/>
      <c r="AX1152" s="135"/>
      <c r="AY1152" s="135"/>
      <c r="AZ1152" s="135"/>
      <c r="BA1152" s="135"/>
      <c r="BB1152" s="135"/>
      <c r="BC1152" s="135">
        <v>22033.9</v>
      </c>
      <c r="BD1152" s="135">
        <v>2835.13</v>
      </c>
      <c r="BE1152" s="135">
        <f t="shared" si="133"/>
        <v>2288.1353050847461</v>
      </c>
      <c r="BF1152" s="135"/>
      <c r="BG1152" s="135"/>
      <c r="BH1152" s="135"/>
      <c r="BI1152" s="2" t="s">
        <v>3773</v>
      </c>
      <c r="BJ1152" s="136">
        <v>45810</v>
      </c>
      <c r="BK1152" s="2" t="s">
        <v>109</v>
      </c>
      <c r="BL1152" s="136" t="s">
        <v>113</v>
      </c>
      <c r="BM1152" s="136">
        <v>45597</v>
      </c>
      <c r="BN1152" s="2" t="s">
        <v>3956</v>
      </c>
      <c r="BO1152" s="2"/>
      <c r="BP1152" s="136"/>
      <c r="BQ1152" s="137" t="s">
        <v>119</v>
      </c>
    </row>
    <row r="1153" spans="1:69" ht="12.75" customHeight="1" x14ac:dyDescent="0.2">
      <c r="A1153" s="2">
        <v>2642</v>
      </c>
      <c r="B1153" s="2" t="s">
        <v>39</v>
      </c>
      <c r="C1153" s="131" t="s">
        <v>42</v>
      </c>
      <c r="D1153" s="131" t="s">
        <v>3962</v>
      </c>
      <c r="E1153" s="2" t="s">
        <v>3635</v>
      </c>
      <c r="F1153" s="132">
        <v>0</v>
      </c>
      <c r="G1153" s="132"/>
      <c r="H1153" s="132">
        <f t="shared" si="129"/>
        <v>30345.45</v>
      </c>
      <c r="I1153" s="132"/>
      <c r="J1153" s="132">
        <f>S1153+BC1153</f>
        <v>30345.45</v>
      </c>
      <c r="K1153" s="132">
        <f t="shared" si="131"/>
        <v>-30345.45</v>
      </c>
      <c r="L1153" s="132">
        <f t="shared" si="121"/>
        <v>0</v>
      </c>
      <c r="M1153" s="133"/>
      <c r="N1153" s="133">
        <f t="shared" si="127"/>
        <v>0</v>
      </c>
      <c r="O1153" s="134">
        <v>1</v>
      </c>
      <c r="P1153" s="133"/>
      <c r="Q1153" s="2" t="s">
        <v>3958</v>
      </c>
      <c r="R1153" s="156">
        <f t="shared" si="122"/>
        <v>30345.45</v>
      </c>
      <c r="S1153" s="156">
        <f t="shared" si="123"/>
        <v>8311.5499999999993</v>
      </c>
      <c r="T1153" s="133"/>
      <c r="U1153" s="133"/>
      <c r="V1153" s="133"/>
      <c r="W1153" s="133"/>
      <c r="X1153" s="133"/>
      <c r="Y1153" s="133"/>
      <c r="Z1153" s="133"/>
      <c r="AA1153" s="133"/>
      <c r="AB1153" s="133">
        <v>26000</v>
      </c>
      <c r="AC1153" s="133"/>
      <c r="AD1153" s="133">
        <v>4345.45</v>
      </c>
      <c r="AE1153" s="133">
        <v>3966.1</v>
      </c>
      <c r="AF1153" s="133"/>
      <c r="AG1153" s="133">
        <f>662.86</f>
        <v>662.86</v>
      </c>
      <c r="AH1153" s="133"/>
      <c r="AI1153" s="133"/>
      <c r="AJ1153" s="133"/>
      <c r="AK1153" s="133">
        <v>3682.59</v>
      </c>
      <c r="AL1153" s="133"/>
      <c r="AM1153" s="133"/>
      <c r="AN1153" s="133"/>
      <c r="AO1153" s="133"/>
      <c r="AP1153" s="133"/>
      <c r="AQ1153" s="133"/>
      <c r="AR1153" s="133"/>
      <c r="AS1153" s="153">
        <v>0</v>
      </c>
      <c r="AT1153" s="153">
        <v>0</v>
      </c>
      <c r="AU1153" s="153">
        <v>0</v>
      </c>
      <c r="AV1153" s="135"/>
      <c r="AW1153" s="135"/>
      <c r="AX1153" s="135"/>
      <c r="AY1153" s="135"/>
      <c r="AZ1153" s="135"/>
      <c r="BA1153" s="135"/>
      <c r="BB1153" s="135"/>
      <c r="BC1153" s="135">
        <v>22033.9</v>
      </c>
      <c r="BD1153" s="135">
        <v>2835.13</v>
      </c>
      <c r="BE1153" s="135">
        <f t="shared" si="133"/>
        <v>2288.1353050847461</v>
      </c>
      <c r="BF1153" s="135"/>
      <c r="BG1153" s="135"/>
      <c r="BH1153" s="135"/>
      <c r="BI1153" s="2" t="s">
        <v>3773</v>
      </c>
      <c r="BJ1153" s="136">
        <v>45810</v>
      </c>
      <c r="BK1153" s="2" t="s">
        <v>109</v>
      </c>
      <c r="BL1153" s="136" t="s">
        <v>113</v>
      </c>
      <c r="BM1153" s="136">
        <v>45597</v>
      </c>
      <c r="BN1153" s="2" t="s">
        <v>3965</v>
      </c>
      <c r="BO1153" s="2"/>
      <c r="BP1153" s="136"/>
      <c r="BQ1153" s="137" t="s">
        <v>119</v>
      </c>
    </row>
    <row r="1154" spans="1:69" ht="12.75" customHeight="1" x14ac:dyDescent="0.2">
      <c r="A1154" s="2">
        <v>2643</v>
      </c>
      <c r="B1154" s="2" t="s">
        <v>31</v>
      </c>
      <c r="C1154" s="131" t="s">
        <v>36</v>
      </c>
      <c r="D1154" s="131" t="s">
        <v>3963</v>
      </c>
      <c r="E1154" s="2" t="s">
        <v>3635</v>
      </c>
      <c r="F1154" s="132">
        <v>0</v>
      </c>
      <c r="G1154" s="132"/>
      <c r="H1154" s="132">
        <f t="shared" si="129"/>
        <v>47846.85</v>
      </c>
      <c r="I1154" s="132"/>
      <c r="J1154" s="132">
        <f>S1154+BC1154</f>
        <v>47846.849999999991</v>
      </c>
      <c r="K1154" s="132">
        <f t="shared" si="131"/>
        <v>-47846.849999999991</v>
      </c>
      <c r="L1154" s="132">
        <f t="shared" si="121"/>
        <v>0</v>
      </c>
      <c r="M1154" s="133"/>
      <c r="N1154" s="133">
        <f t="shared" si="127"/>
        <v>7.2759576141834259E-12</v>
      </c>
      <c r="O1154" s="134">
        <v>1</v>
      </c>
      <c r="P1154" s="133"/>
      <c r="Q1154" s="2" t="s">
        <v>3959</v>
      </c>
      <c r="R1154" s="156">
        <f t="shared" si="122"/>
        <v>47846.85</v>
      </c>
      <c r="S1154" s="156">
        <f t="shared" si="123"/>
        <v>13948.539999999997</v>
      </c>
      <c r="T1154" s="133"/>
      <c r="U1154" s="133"/>
      <c r="V1154" s="133"/>
      <c r="W1154" s="133"/>
      <c r="X1154" s="133"/>
      <c r="Y1154" s="133"/>
      <c r="Z1154" s="133"/>
      <c r="AA1154" s="133"/>
      <c r="AB1154" s="133">
        <v>40000</v>
      </c>
      <c r="AC1154" s="133"/>
      <c r="AD1154" s="133">
        <v>7846.85</v>
      </c>
      <c r="AE1154" s="133">
        <v>6101.69</v>
      </c>
      <c r="AF1154" s="133"/>
      <c r="AG1154" s="133">
        <f>1196.97</f>
        <v>1196.97</v>
      </c>
      <c r="AH1154" s="133"/>
      <c r="AI1154" s="133"/>
      <c r="AJ1154" s="133"/>
      <c r="AK1154" s="133">
        <v>6649.8799999999974</v>
      </c>
      <c r="AL1154" s="133"/>
      <c r="AM1154" s="133"/>
      <c r="AN1154" s="133"/>
      <c r="AO1154" s="133"/>
      <c r="AP1154" s="133"/>
      <c r="AQ1154" s="133"/>
      <c r="AR1154" s="133"/>
      <c r="AS1154" s="153">
        <v>0</v>
      </c>
      <c r="AT1154" s="153">
        <v>0</v>
      </c>
      <c r="AU1154" s="153">
        <v>0</v>
      </c>
      <c r="AV1154" s="135"/>
      <c r="AW1154" s="135"/>
      <c r="AX1154" s="135"/>
      <c r="AY1154" s="135"/>
      <c r="AZ1154" s="135"/>
      <c r="BA1154" s="135"/>
      <c r="BB1154" s="135"/>
      <c r="BC1154" s="135">
        <v>33898.31</v>
      </c>
      <c r="BD1154" s="135">
        <v>4361.74</v>
      </c>
      <c r="BE1154" s="135">
        <f t="shared" si="133"/>
        <v>3618.6437966101703</v>
      </c>
      <c r="BF1154" s="135"/>
      <c r="BG1154" s="135"/>
      <c r="BH1154" s="135"/>
      <c r="BI1154" s="2" t="s">
        <v>3773</v>
      </c>
      <c r="BJ1154" s="136">
        <v>45810</v>
      </c>
      <c r="BK1154" s="2" t="s">
        <v>109</v>
      </c>
      <c r="BL1154" s="136" t="s">
        <v>113</v>
      </c>
      <c r="BM1154" s="136">
        <v>45597</v>
      </c>
      <c r="BN1154" s="2" t="s">
        <v>3966</v>
      </c>
      <c r="BO1154" s="2"/>
      <c r="BP1154" s="136"/>
      <c r="BQ1154" s="137" t="s">
        <v>119</v>
      </c>
    </row>
    <row r="1155" spans="1:69" ht="12.75" customHeight="1" x14ac:dyDescent="0.2">
      <c r="A1155" s="2">
        <v>2644</v>
      </c>
      <c r="B1155" s="2" t="s">
        <v>31</v>
      </c>
      <c r="C1155" s="131" t="s">
        <v>36</v>
      </c>
      <c r="D1155" s="131" t="s">
        <v>3964</v>
      </c>
      <c r="E1155" s="2" t="s">
        <v>3635</v>
      </c>
      <c r="F1155" s="132">
        <v>0</v>
      </c>
      <c r="G1155" s="132"/>
      <c r="H1155" s="132">
        <f t="shared" si="129"/>
        <v>47846.85</v>
      </c>
      <c r="I1155" s="132"/>
      <c r="J1155" s="132">
        <f>S1155+BC1155</f>
        <v>47846.849999999991</v>
      </c>
      <c r="K1155" s="132">
        <f t="shared" si="131"/>
        <v>-47846.849999999991</v>
      </c>
      <c r="L1155" s="132">
        <f t="shared" si="121"/>
        <v>0</v>
      </c>
      <c r="M1155" s="133"/>
      <c r="N1155" s="133">
        <f t="shared" si="127"/>
        <v>7.2759576141834259E-12</v>
      </c>
      <c r="O1155" s="134">
        <v>1</v>
      </c>
      <c r="P1155" s="133"/>
      <c r="Q1155" s="2" t="s">
        <v>3960</v>
      </c>
      <c r="R1155" s="156">
        <f t="shared" si="122"/>
        <v>47846.85</v>
      </c>
      <c r="S1155" s="156">
        <f t="shared" si="123"/>
        <v>13948.539999999997</v>
      </c>
      <c r="T1155" s="133"/>
      <c r="U1155" s="133"/>
      <c r="V1155" s="133"/>
      <c r="W1155" s="133"/>
      <c r="X1155" s="133"/>
      <c r="Y1155" s="133"/>
      <c r="Z1155" s="133"/>
      <c r="AA1155" s="133"/>
      <c r="AB1155" s="133">
        <v>40000</v>
      </c>
      <c r="AC1155" s="133"/>
      <c r="AD1155" s="133">
        <v>7846.85</v>
      </c>
      <c r="AE1155" s="133">
        <v>6101.69</v>
      </c>
      <c r="AF1155" s="133"/>
      <c r="AG1155" s="133">
        <f>1196.97</f>
        <v>1196.97</v>
      </c>
      <c r="AH1155" s="133"/>
      <c r="AI1155" s="133"/>
      <c r="AJ1155" s="133"/>
      <c r="AK1155" s="133">
        <v>6649.8799999999974</v>
      </c>
      <c r="AL1155" s="133"/>
      <c r="AM1155" s="133"/>
      <c r="AN1155" s="133"/>
      <c r="AO1155" s="133"/>
      <c r="AP1155" s="133"/>
      <c r="AQ1155" s="133"/>
      <c r="AR1155" s="133"/>
      <c r="AS1155" s="153">
        <v>0</v>
      </c>
      <c r="AT1155" s="153">
        <v>0</v>
      </c>
      <c r="AU1155" s="153">
        <v>0</v>
      </c>
      <c r="AV1155" s="135"/>
      <c r="AW1155" s="135"/>
      <c r="AX1155" s="135"/>
      <c r="AY1155" s="135"/>
      <c r="AZ1155" s="135"/>
      <c r="BA1155" s="135"/>
      <c r="BB1155" s="135"/>
      <c r="BC1155" s="135">
        <v>33898.31</v>
      </c>
      <c r="BD1155" s="135">
        <v>4361.74</v>
      </c>
      <c r="BE1155" s="135">
        <f t="shared" si="133"/>
        <v>3618.6437966101703</v>
      </c>
      <c r="BF1155" s="135"/>
      <c r="BG1155" s="135"/>
      <c r="BH1155" s="135"/>
      <c r="BI1155" s="2" t="s">
        <v>3773</v>
      </c>
      <c r="BJ1155" s="136">
        <v>45810</v>
      </c>
      <c r="BK1155" s="2" t="s">
        <v>109</v>
      </c>
      <c r="BL1155" s="136" t="s">
        <v>113</v>
      </c>
      <c r="BM1155" s="136">
        <v>45597</v>
      </c>
      <c r="BN1155" s="2" t="s">
        <v>3967</v>
      </c>
      <c r="BO1155" s="2"/>
      <c r="BP1155" s="136"/>
      <c r="BQ1155" s="137" t="s">
        <v>119</v>
      </c>
    </row>
    <row r="1156" spans="1:69" ht="12.75" customHeight="1" x14ac:dyDescent="0.2">
      <c r="A1156" s="2">
        <v>2645</v>
      </c>
      <c r="B1156" s="2" t="s">
        <v>31</v>
      </c>
      <c r="C1156" s="131" t="s">
        <v>37</v>
      </c>
      <c r="D1156" s="131" t="s">
        <v>3968</v>
      </c>
      <c r="E1156" s="2" t="s">
        <v>3635</v>
      </c>
      <c r="F1156" s="132">
        <v>0</v>
      </c>
      <c r="G1156" s="132"/>
      <c r="H1156" s="132">
        <f t="shared" si="129"/>
        <v>27000</v>
      </c>
      <c r="I1156" s="132"/>
      <c r="J1156" s="132">
        <f t="shared" si="126"/>
        <v>27000</v>
      </c>
      <c r="K1156" s="132">
        <f t="shared" si="131"/>
        <v>-27000</v>
      </c>
      <c r="L1156" s="132">
        <f t="shared" si="121"/>
        <v>0</v>
      </c>
      <c r="M1156" s="133"/>
      <c r="N1156" s="133">
        <f t="shared" si="127"/>
        <v>0</v>
      </c>
      <c r="O1156" s="134">
        <v>1</v>
      </c>
      <c r="P1156" s="133"/>
      <c r="Q1156" s="2" t="s">
        <v>3970</v>
      </c>
      <c r="R1156" s="156">
        <f t="shared" si="122"/>
        <v>27000</v>
      </c>
      <c r="S1156" s="156">
        <f t="shared" si="123"/>
        <v>27000</v>
      </c>
      <c r="T1156" s="133"/>
      <c r="U1156" s="133"/>
      <c r="V1156" s="133"/>
      <c r="W1156" s="133"/>
      <c r="X1156" s="133"/>
      <c r="Y1156" s="133"/>
      <c r="Z1156" s="133"/>
      <c r="AA1156" s="133"/>
      <c r="AB1156" s="133">
        <v>27000</v>
      </c>
      <c r="AC1156" s="133"/>
      <c r="AD1156" s="133"/>
      <c r="AE1156" s="133">
        <v>4118.6400000000003</v>
      </c>
      <c r="AF1156" s="133"/>
      <c r="AG1156" s="133"/>
      <c r="AH1156" s="133"/>
      <c r="AI1156" s="133"/>
      <c r="AJ1156" s="133"/>
      <c r="AK1156" s="133">
        <v>22881.360000000001</v>
      </c>
      <c r="AL1156" s="133"/>
      <c r="AM1156" s="133"/>
      <c r="AN1156" s="133"/>
      <c r="AO1156" s="133"/>
      <c r="AP1156" s="133"/>
      <c r="AQ1156" s="133"/>
      <c r="AR1156" s="133"/>
      <c r="AS1156" s="153">
        <v>0</v>
      </c>
      <c r="AT1156" s="153">
        <v>0</v>
      </c>
      <c r="AU1156" s="153">
        <v>0</v>
      </c>
      <c r="AV1156" s="135"/>
      <c r="AW1156" s="135"/>
      <c r="AX1156" s="135"/>
      <c r="AY1156" s="135"/>
      <c r="AZ1156" s="135"/>
      <c r="BA1156" s="135"/>
      <c r="BB1156" s="135"/>
      <c r="BC1156" s="135"/>
      <c r="BD1156" s="135"/>
      <c r="BE1156" s="135">
        <f t="shared" si="133"/>
        <v>2288.1355932203392</v>
      </c>
      <c r="BF1156" s="135"/>
      <c r="BG1156" s="135"/>
      <c r="BH1156" s="135"/>
      <c r="BI1156" s="2" t="s">
        <v>3969</v>
      </c>
      <c r="BJ1156" s="136">
        <v>45798</v>
      </c>
      <c r="BK1156" s="2" t="s">
        <v>109</v>
      </c>
      <c r="BL1156" s="136" t="s">
        <v>113</v>
      </c>
      <c r="BM1156" s="136">
        <v>45635</v>
      </c>
      <c r="BN1156" s="2" t="s">
        <v>3641</v>
      </c>
      <c r="BO1156" s="2"/>
      <c r="BP1156" s="136"/>
      <c r="BQ1156" s="137" t="s">
        <v>119</v>
      </c>
    </row>
    <row r="1157" spans="1:69" ht="12.75" customHeight="1" x14ac:dyDescent="0.2">
      <c r="A1157" s="2">
        <v>2646</v>
      </c>
      <c r="B1157" s="2" t="s">
        <v>44</v>
      </c>
      <c r="C1157" s="131" t="s">
        <v>45</v>
      </c>
      <c r="D1157" s="131" t="s">
        <v>3971</v>
      </c>
      <c r="E1157" s="2" t="s">
        <v>3635</v>
      </c>
      <c r="F1157" s="132">
        <v>0</v>
      </c>
      <c r="G1157" s="132"/>
      <c r="H1157" s="132">
        <f t="shared" si="129"/>
        <v>6500</v>
      </c>
      <c r="I1157" s="132"/>
      <c r="J1157" s="132">
        <f t="shared" si="126"/>
        <v>6500</v>
      </c>
      <c r="K1157" s="132">
        <f t="shared" si="131"/>
        <v>-6500</v>
      </c>
      <c r="L1157" s="132">
        <f t="shared" si="121"/>
        <v>0</v>
      </c>
      <c r="M1157" s="133"/>
      <c r="N1157" s="133">
        <f t="shared" si="127"/>
        <v>0</v>
      </c>
      <c r="O1157" s="134">
        <v>1</v>
      </c>
      <c r="P1157" s="133"/>
      <c r="Q1157" s="2" t="s">
        <v>3823</v>
      </c>
      <c r="R1157" s="156">
        <f t="shared" si="122"/>
        <v>6500</v>
      </c>
      <c r="S1157" s="156">
        <f t="shared" si="123"/>
        <v>6500</v>
      </c>
      <c r="T1157" s="133"/>
      <c r="U1157" s="133"/>
      <c r="V1157" s="133"/>
      <c r="W1157" s="133"/>
      <c r="X1157" s="133"/>
      <c r="Y1157" s="133"/>
      <c r="Z1157" s="133"/>
      <c r="AA1157" s="133"/>
      <c r="AB1157" s="133">
        <v>6500</v>
      </c>
      <c r="AC1157" s="133"/>
      <c r="AD1157" s="133"/>
      <c r="AE1157" s="133">
        <v>991.53</v>
      </c>
      <c r="AF1157" s="133"/>
      <c r="AG1157" s="133"/>
      <c r="AH1157" s="133"/>
      <c r="AI1157" s="133"/>
      <c r="AJ1157" s="133"/>
      <c r="AK1157" s="133">
        <v>5508.47</v>
      </c>
      <c r="AL1157" s="133"/>
      <c r="AM1157" s="133"/>
      <c r="AN1157" s="133"/>
      <c r="AO1157" s="133"/>
      <c r="AP1157" s="133"/>
      <c r="AQ1157" s="133"/>
      <c r="AR1157" s="133"/>
      <c r="AS1157" s="153">
        <v>0</v>
      </c>
      <c r="AT1157" s="153">
        <v>0</v>
      </c>
      <c r="AU1157" s="153">
        <v>0</v>
      </c>
      <c r="AV1157" s="135"/>
      <c r="AW1157" s="135"/>
      <c r="AX1157" s="135"/>
      <c r="AY1157" s="135"/>
      <c r="AZ1157" s="135"/>
      <c r="BA1157" s="135"/>
      <c r="BB1157" s="135"/>
      <c r="BC1157" s="135"/>
      <c r="BD1157" s="135"/>
      <c r="BE1157" s="135">
        <f t="shared" si="133"/>
        <v>550.84745762711862</v>
      </c>
      <c r="BF1157" s="135"/>
      <c r="BG1157" s="135"/>
      <c r="BH1157" s="135"/>
      <c r="BI1157" s="2" t="s">
        <v>3746</v>
      </c>
      <c r="BJ1157" s="136">
        <v>45799</v>
      </c>
      <c r="BK1157" s="2" t="s">
        <v>109</v>
      </c>
      <c r="BL1157" s="136" t="s">
        <v>113</v>
      </c>
      <c r="BM1157" s="136">
        <v>45635</v>
      </c>
      <c r="BN1157" s="2" t="s">
        <v>3641</v>
      </c>
      <c r="BO1157" s="2"/>
      <c r="BP1157" s="136"/>
      <c r="BQ1157" s="137" t="s">
        <v>119</v>
      </c>
    </row>
    <row r="1158" spans="1:69" ht="12.75" customHeight="1" x14ac:dyDescent="0.2">
      <c r="A1158" s="2">
        <v>2647</v>
      </c>
      <c r="B1158" s="2" t="s">
        <v>44</v>
      </c>
      <c r="C1158" s="131" t="s">
        <v>45</v>
      </c>
      <c r="D1158" s="131" t="s">
        <v>3972</v>
      </c>
      <c r="E1158" s="2" t="s">
        <v>3635</v>
      </c>
      <c r="F1158" s="132">
        <v>0</v>
      </c>
      <c r="G1158" s="132"/>
      <c r="H1158" s="132">
        <f t="shared" si="129"/>
        <v>22500</v>
      </c>
      <c r="I1158" s="132"/>
      <c r="J1158" s="132">
        <f t="shared" si="126"/>
        <v>22500</v>
      </c>
      <c r="K1158" s="132">
        <f t="shared" si="131"/>
        <v>-22500</v>
      </c>
      <c r="L1158" s="132">
        <f t="shared" si="121"/>
        <v>0</v>
      </c>
      <c r="M1158" s="133"/>
      <c r="N1158" s="133">
        <f t="shared" si="127"/>
        <v>0</v>
      </c>
      <c r="O1158" s="134">
        <v>1</v>
      </c>
      <c r="P1158" s="133"/>
      <c r="Q1158" s="2" t="s">
        <v>3893</v>
      </c>
      <c r="R1158" s="156">
        <f t="shared" si="122"/>
        <v>22500</v>
      </c>
      <c r="S1158" s="156">
        <f t="shared" si="123"/>
        <v>22500</v>
      </c>
      <c r="T1158" s="133"/>
      <c r="U1158" s="133"/>
      <c r="V1158" s="133"/>
      <c r="W1158" s="133"/>
      <c r="X1158" s="133"/>
      <c r="Y1158" s="133"/>
      <c r="Z1158" s="133"/>
      <c r="AA1158" s="133"/>
      <c r="AB1158" s="133">
        <v>22500</v>
      </c>
      <c r="AC1158" s="133"/>
      <c r="AD1158" s="133"/>
      <c r="AE1158" s="133">
        <v>3432.2</v>
      </c>
      <c r="AF1158" s="133"/>
      <c r="AG1158" s="133"/>
      <c r="AH1158" s="133"/>
      <c r="AI1158" s="133"/>
      <c r="AJ1158" s="133"/>
      <c r="AK1158" s="133">
        <v>19067.8</v>
      </c>
      <c r="AL1158" s="133"/>
      <c r="AM1158" s="133"/>
      <c r="AN1158" s="133"/>
      <c r="AO1158" s="133"/>
      <c r="AP1158" s="133"/>
      <c r="AQ1158" s="133"/>
      <c r="AR1158" s="133"/>
      <c r="AS1158" s="153">
        <v>0</v>
      </c>
      <c r="AT1158" s="153">
        <v>0</v>
      </c>
      <c r="AU1158" s="153">
        <v>0</v>
      </c>
      <c r="AV1158" s="135"/>
      <c r="AW1158" s="135"/>
      <c r="AX1158" s="135"/>
      <c r="AY1158" s="135"/>
      <c r="AZ1158" s="135"/>
      <c r="BA1158" s="135"/>
      <c r="BB1158" s="135"/>
      <c r="BC1158" s="135"/>
      <c r="BD1158" s="135"/>
      <c r="BE1158" s="135">
        <f t="shared" si="133"/>
        <v>1906.7796610169491</v>
      </c>
      <c r="BF1158" s="135"/>
      <c r="BG1158" s="135"/>
      <c r="BH1158" s="135"/>
      <c r="BI1158" s="2" t="s">
        <v>3746</v>
      </c>
      <c r="BJ1158" s="136">
        <v>45799</v>
      </c>
      <c r="BK1158" s="2" t="s">
        <v>109</v>
      </c>
      <c r="BL1158" s="136" t="s">
        <v>113</v>
      </c>
      <c r="BM1158" s="136">
        <v>45635</v>
      </c>
      <c r="BN1158" s="2" t="s">
        <v>3641</v>
      </c>
      <c r="BO1158" s="2"/>
      <c r="BP1158" s="136"/>
      <c r="BQ1158" s="137" t="s">
        <v>119</v>
      </c>
    </row>
    <row r="1159" spans="1:69" ht="12.75" customHeight="1" x14ac:dyDescent="0.2">
      <c r="A1159" s="2">
        <v>2648</v>
      </c>
      <c r="B1159" s="2" t="s">
        <v>44</v>
      </c>
      <c r="C1159" s="131" t="s">
        <v>45</v>
      </c>
      <c r="D1159" s="131" t="s">
        <v>3973</v>
      </c>
      <c r="E1159" s="2" t="s">
        <v>3635</v>
      </c>
      <c r="F1159" s="132">
        <v>0</v>
      </c>
      <c r="G1159" s="132"/>
      <c r="H1159" s="132">
        <f t="shared" si="129"/>
        <v>22500</v>
      </c>
      <c r="I1159" s="132"/>
      <c r="J1159" s="132">
        <f t="shared" si="126"/>
        <v>22500</v>
      </c>
      <c r="K1159" s="132">
        <f t="shared" si="131"/>
        <v>-22500</v>
      </c>
      <c r="L1159" s="132">
        <f t="shared" si="121"/>
        <v>0</v>
      </c>
      <c r="M1159" s="133"/>
      <c r="N1159" s="133">
        <f t="shared" si="127"/>
        <v>0</v>
      </c>
      <c r="O1159" s="134">
        <v>1</v>
      </c>
      <c r="P1159" s="133"/>
      <c r="Q1159" s="2" t="s">
        <v>3893</v>
      </c>
      <c r="R1159" s="156">
        <f t="shared" si="122"/>
        <v>22500</v>
      </c>
      <c r="S1159" s="156">
        <f t="shared" si="123"/>
        <v>22500</v>
      </c>
      <c r="T1159" s="133"/>
      <c r="U1159" s="133"/>
      <c r="V1159" s="133"/>
      <c r="W1159" s="133"/>
      <c r="X1159" s="133"/>
      <c r="Y1159" s="133"/>
      <c r="Z1159" s="133"/>
      <c r="AA1159" s="133"/>
      <c r="AB1159" s="133">
        <v>22500</v>
      </c>
      <c r="AC1159" s="133"/>
      <c r="AD1159" s="133"/>
      <c r="AE1159" s="133">
        <v>3432.2</v>
      </c>
      <c r="AF1159" s="133"/>
      <c r="AG1159" s="133"/>
      <c r="AH1159" s="133"/>
      <c r="AI1159" s="133"/>
      <c r="AJ1159" s="133"/>
      <c r="AK1159" s="133">
        <v>19067.8</v>
      </c>
      <c r="AL1159" s="133"/>
      <c r="AM1159" s="133"/>
      <c r="AN1159" s="133"/>
      <c r="AO1159" s="133"/>
      <c r="AP1159" s="133"/>
      <c r="AQ1159" s="133"/>
      <c r="AR1159" s="133"/>
      <c r="AS1159" s="153">
        <v>0</v>
      </c>
      <c r="AT1159" s="153">
        <v>0</v>
      </c>
      <c r="AU1159" s="153">
        <v>0</v>
      </c>
      <c r="AV1159" s="135"/>
      <c r="AW1159" s="135"/>
      <c r="AX1159" s="135"/>
      <c r="AY1159" s="135"/>
      <c r="AZ1159" s="135"/>
      <c r="BA1159" s="135"/>
      <c r="BB1159" s="135"/>
      <c r="BC1159" s="135"/>
      <c r="BD1159" s="135"/>
      <c r="BE1159" s="135">
        <f t="shared" si="133"/>
        <v>1906.7796610169491</v>
      </c>
      <c r="BF1159" s="135"/>
      <c r="BG1159" s="135"/>
      <c r="BH1159" s="135"/>
      <c r="BI1159" s="2" t="s">
        <v>3746</v>
      </c>
      <c r="BJ1159" s="136">
        <v>45799</v>
      </c>
      <c r="BK1159" s="2" t="s">
        <v>109</v>
      </c>
      <c r="BL1159" s="136" t="s">
        <v>113</v>
      </c>
      <c r="BM1159" s="136">
        <v>45635</v>
      </c>
      <c r="BN1159" s="2" t="s">
        <v>3641</v>
      </c>
      <c r="BO1159" s="2"/>
      <c r="BP1159" s="136"/>
      <c r="BQ1159" s="137" t="s">
        <v>119</v>
      </c>
    </row>
    <row r="1160" spans="1:69" ht="12.75" customHeight="1" x14ac:dyDescent="0.2">
      <c r="A1160" s="2">
        <v>2649</v>
      </c>
      <c r="B1160" s="2" t="s">
        <v>39</v>
      </c>
      <c r="C1160" s="131" t="s">
        <v>94</v>
      </c>
      <c r="D1160" s="131" t="s">
        <v>3976</v>
      </c>
      <c r="E1160" s="2" t="s">
        <v>3635</v>
      </c>
      <c r="F1160" s="132">
        <v>0</v>
      </c>
      <c r="G1160" s="132"/>
      <c r="H1160" s="132">
        <f t="shared" si="129"/>
        <v>213804.16999999998</v>
      </c>
      <c r="I1160" s="132"/>
      <c r="J1160" s="132">
        <f>S1160+BC1160</f>
        <v>213804.16999999998</v>
      </c>
      <c r="K1160" s="132">
        <f t="shared" si="131"/>
        <v>-213804.16999999998</v>
      </c>
      <c r="L1160" s="132">
        <f t="shared" si="121"/>
        <v>0</v>
      </c>
      <c r="M1160" s="133"/>
      <c r="N1160" s="133">
        <f t="shared" si="127"/>
        <v>0</v>
      </c>
      <c r="O1160" s="134">
        <v>1</v>
      </c>
      <c r="P1160" s="133"/>
      <c r="Q1160" s="2" t="s">
        <v>3975</v>
      </c>
      <c r="R1160" s="156">
        <f t="shared" si="122"/>
        <v>213804.16999999998</v>
      </c>
      <c r="S1160" s="156">
        <f t="shared" si="123"/>
        <v>57024.50999999998</v>
      </c>
      <c r="T1160" s="133"/>
      <c r="U1160" s="133"/>
      <c r="V1160" s="133"/>
      <c r="W1160" s="133"/>
      <c r="X1160" s="133"/>
      <c r="Y1160" s="133"/>
      <c r="Z1160" s="133"/>
      <c r="AA1160" s="133"/>
      <c r="AB1160" s="133">
        <v>185000</v>
      </c>
      <c r="AC1160" s="133"/>
      <c r="AD1160" s="133">
        <v>28804.17</v>
      </c>
      <c r="AE1160" s="133">
        <v>28220.34</v>
      </c>
      <c r="AF1160" s="133"/>
      <c r="AG1160" s="133">
        <f>4393.85</f>
        <v>4393.8500000000004</v>
      </c>
      <c r="AH1160" s="133"/>
      <c r="AI1160" s="133"/>
      <c r="AJ1160" s="133"/>
      <c r="AK1160" s="133">
        <v>24410.319999999978</v>
      </c>
      <c r="AL1160" s="133"/>
      <c r="AM1160" s="133"/>
      <c r="AN1160" s="133"/>
      <c r="AO1160" s="133"/>
      <c r="AP1160" s="133"/>
      <c r="AQ1160" s="133"/>
      <c r="AR1160" s="133"/>
      <c r="AS1160" s="153">
        <v>0</v>
      </c>
      <c r="AT1160" s="153">
        <v>0</v>
      </c>
      <c r="AU1160" s="153">
        <v>0</v>
      </c>
      <c r="AV1160" s="135"/>
      <c r="AW1160" s="135"/>
      <c r="AX1160" s="135"/>
      <c r="AY1160" s="135"/>
      <c r="AZ1160" s="135"/>
      <c r="BA1160" s="135"/>
      <c r="BB1160" s="135"/>
      <c r="BC1160" s="135">
        <v>156779.66</v>
      </c>
      <c r="BD1160" s="135">
        <v>20173.03</v>
      </c>
      <c r="BE1160" s="135">
        <f t="shared" si="133"/>
        <v>16101.694457627118</v>
      </c>
      <c r="BF1160" s="135"/>
      <c r="BG1160" s="135"/>
      <c r="BH1160" s="135"/>
      <c r="BI1160" s="2" t="s">
        <v>3773</v>
      </c>
      <c r="BJ1160" s="136">
        <v>45812</v>
      </c>
      <c r="BK1160" s="2" t="s">
        <v>109</v>
      </c>
      <c r="BL1160" s="136" t="s">
        <v>18</v>
      </c>
      <c r="BM1160" s="136">
        <v>45597</v>
      </c>
      <c r="BN1160" s="2" t="s">
        <v>3974</v>
      </c>
      <c r="BO1160" s="2"/>
      <c r="BP1160" s="136"/>
      <c r="BQ1160" s="137" t="s">
        <v>119</v>
      </c>
    </row>
    <row r="1161" spans="1:69" ht="12.75" customHeight="1" x14ac:dyDescent="0.2">
      <c r="A1161" s="2">
        <v>2650</v>
      </c>
      <c r="B1161" s="2" t="s">
        <v>44</v>
      </c>
      <c r="C1161" s="131" t="s">
        <v>45</v>
      </c>
      <c r="D1161" s="131" t="s">
        <v>3979</v>
      </c>
      <c r="E1161" s="2" t="s">
        <v>3635</v>
      </c>
      <c r="F1161" s="132">
        <v>0</v>
      </c>
      <c r="G1161" s="132"/>
      <c r="H1161" s="132">
        <f t="shared" si="129"/>
        <v>22500</v>
      </c>
      <c r="I1161" s="132"/>
      <c r="J1161" s="132">
        <f>S1161+BC1161</f>
        <v>22500</v>
      </c>
      <c r="K1161" s="132">
        <f t="shared" si="131"/>
        <v>-22500</v>
      </c>
      <c r="L1161" s="132">
        <f t="shared" si="121"/>
        <v>0</v>
      </c>
      <c r="M1161" s="133"/>
      <c r="N1161" s="133">
        <f t="shared" si="127"/>
        <v>0</v>
      </c>
      <c r="O1161" s="134">
        <v>1</v>
      </c>
      <c r="P1161" s="133"/>
      <c r="Q1161" s="2" t="s">
        <v>3893</v>
      </c>
      <c r="R1161" s="156">
        <f t="shared" si="122"/>
        <v>22500</v>
      </c>
      <c r="S1161" s="156">
        <f t="shared" si="123"/>
        <v>22500</v>
      </c>
      <c r="T1161" s="133"/>
      <c r="U1161" s="133"/>
      <c r="V1161" s="133"/>
      <c r="W1161" s="133"/>
      <c r="X1161" s="133"/>
      <c r="Y1161" s="133"/>
      <c r="Z1161" s="133"/>
      <c r="AA1161" s="133"/>
      <c r="AB1161" s="133"/>
      <c r="AC1161" s="133"/>
      <c r="AD1161" s="133">
        <v>22500</v>
      </c>
      <c r="AE1161" s="133"/>
      <c r="AF1161" s="133"/>
      <c r="AG1161" s="133">
        <f>3432.2</f>
        <v>3432.2</v>
      </c>
      <c r="AH1161" s="133"/>
      <c r="AI1161" s="133"/>
      <c r="AJ1161" s="133"/>
      <c r="AK1161" s="133">
        <v>19067.8</v>
      </c>
      <c r="AL1161" s="133"/>
      <c r="AM1161" s="133"/>
      <c r="AN1161" s="133"/>
      <c r="AO1161" s="133"/>
      <c r="AP1161" s="133"/>
      <c r="AQ1161" s="133"/>
      <c r="AR1161" s="133"/>
      <c r="AS1161" s="153">
        <v>0</v>
      </c>
      <c r="AT1161" s="153">
        <v>0</v>
      </c>
      <c r="AU1161" s="153">
        <v>0</v>
      </c>
      <c r="AV1161" s="135"/>
      <c r="AW1161" s="135"/>
      <c r="AX1161" s="135"/>
      <c r="AY1161" s="135"/>
      <c r="AZ1161" s="135"/>
      <c r="BA1161" s="135"/>
      <c r="BB1161" s="135"/>
      <c r="BC1161" s="135"/>
      <c r="BD1161" s="135"/>
      <c r="BE1161" s="135">
        <f t="shared" si="133"/>
        <v>1906.7796610169491</v>
      </c>
      <c r="BF1161" s="135"/>
      <c r="BG1161" s="135"/>
      <c r="BH1161" s="135"/>
      <c r="BI1161" s="2" t="s">
        <v>3746</v>
      </c>
      <c r="BJ1161" s="136">
        <v>45810</v>
      </c>
      <c r="BK1161" s="2" t="s">
        <v>109</v>
      </c>
      <c r="BL1161" s="136" t="s">
        <v>113</v>
      </c>
      <c r="BM1161" s="136">
        <v>45635</v>
      </c>
      <c r="BN1161" s="2" t="s">
        <v>3641</v>
      </c>
      <c r="BO1161" s="2"/>
      <c r="BP1161" s="136"/>
      <c r="BQ1161" s="137" t="s">
        <v>119</v>
      </c>
    </row>
    <row r="1162" spans="1:69" ht="12.75" customHeight="1" x14ac:dyDescent="0.2">
      <c r="A1162" s="2">
        <v>2651</v>
      </c>
      <c r="B1162" s="2" t="s">
        <v>44</v>
      </c>
      <c r="C1162" s="131" t="s">
        <v>45</v>
      </c>
      <c r="D1162" s="131" t="s">
        <v>3978</v>
      </c>
      <c r="E1162" s="2" t="s">
        <v>3635</v>
      </c>
      <c r="F1162" s="132">
        <v>0</v>
      </c>
      <c r="G1162" s="132"/>
      <c r="H1162" s="132">
        <f t="shared" si="129"/>
        <v>22500</v>
      </c>
      <c r="I1162" s="132"/>
      <c r="J1162" s="132">
        <f t="shared" ref="J1162:J1177" si="134">S1162+BC1162</f>
        <v>22500</v>
      </c>
      <c r="K1162" s="132">
        <f t="shared" si="131"/>
        <v>-22500</v>
      </c>
      <c r="L1162" s="132">
        <f t="shared" si="121"/>
        <v>0</v>
      </c>
      <c r="M1162" s="133"/>
      <c r="N1162" s="133">
        <f t="shared" si="127"/>
        <v>0</v>
      </c>
      <c r="O1162" s="134">
        <v>1</v>
      </c>
      <c r="P1162" s="133"/>
      <c r="Q1162" s="2" t="s">
        <v>3893</v>
      </c>
      <c r="R1162" s="156">
        <f t="shared" si="122"/>
        <v>22500</v>
      </c>
      <c r="S1162" s="156">
        <f t="shared" si="123"/>
        <v>22500</v>
      </c>
      <c r="T1162" s="133"/>
      <c r="U1162" s="133"/>
      <c r="V1162" s="133"/>
      <c r="W1162" s="133"/>
      <c r="X1162" s="133"/>
      <c r="Y1162" s="133"/>
      <c r="Z1162" s="133"/>
      <c r="AA1162" s="133"/>
      <c r="AB1162" s="133"/>
      <c r="AC1162" s="133"/>
      <c r="AD1162" s="133">
        <v>22500</v>
      </c>
      <c r="AE1162" s="133"/>
      <c r="AF1162" s="133"/>
      <c r="AG1162" s="133">
        <f>3432.2</f>
        <v>3432.2</v>
      </c>
      <c r="AH1162" s="133"/>
      <c r="AI1162" s="133"/>
      <c r="AJ1162" s="133"/>
      <c r="AK1162" s="133">
        <v>19067.8</v>
      </c>
      <c r="AL1162" s="133"/>
      <c r="AM1162" s="133"/>
      <c r="AN1162" s="133"/>
      <c r="AO1162" s="133"/>
      <c r="AP1162" s="133"/>
      <c r="AQ1162" s="133"/>
      <c r="AR1162" s="133"/>
      <c r="AS1162" s="153">
        <v>0</v>
      </c>
      <c r="AT1162" s="153">
        <v>0</v>
      </c>
      <c r="AU1162" s="153">
        <v>0</v>
      </c>
      <c r="AV1162" s="135"/>
      <c r="AW1162" s="135"/>
      <c r="AX1162" s="135"/>
      <c r="AY1162" s="135"/>
      <c r="AZ1162" s="135"/>
      <c r="BA1162" s="135"/>
      <c r="BB1162" s="135"/>
      <c r="BC1162" s="135"/>
      <c r="BD1162" s="135"/>
      <c r="BE1162" s="135">
        <f t="shared" si="133"/>
        <v>1906.7796610169491</v>
      </c>
      <c r="BF1162" s="135"/>
      <c r="BG1162" s="135"/>
      <c r="BH1162" s="135"/>
      <c r="BI1162" s="2" t="s">
        <v>3746</v>
      </c>
      <c r="BJ1162" s="136">
        <v>45810</v>
      </c>
      <c r="BK1162" s="2" t="s">
        <v>109</v>
      </c>
      <c r="BL1162" s="136" t="s">
        <v>113</v>
      </c>
      <c r="BM1162" s="136">
        <v>45635</v>
      </c>
      <c r="BN1162" s="2" t="s">
        <v>3641</v>
      </c>
      <c r="BO1162" s="2"/>
      <c r="BP1162" s="136"/>
      <c r="BQ1162" s="137" t="s">
        <v>119</v>
      </c>
    </row>
    <row r="1163" spans="1:69" ht="12.75" customHeight="1" x14ac:dyDescent="0.2">
      <c r="A1163" s="2">
        <v>2652</v>
      </c>
      <c r="B1163" s="2" t="s">
        <v>54</v>
      </c>
      <c r="C1163" s="131" t="s">
        <v>96</v>
      </c>
      <c r="D1163" s="131" t="s">
        <v>3981</v>
      </c>
      <c r="E1163" s="2" t="s">
        <v>3635</v>
      </c>
      <c r="F1163" s="132">
        <v>0</v>
      </c>
      <c r="G1163" s="132"/>
      <c r="H1163" s="132">
        <f t="shared" si="129"/>
        <v>47371.229999999996</v>
      </c>
      <c r="I1163" s="132"/>
      <c r="J1163" s="132">
        <f t="shared" si="134"/>
        <v>47371.229999999996</v>
      </c>
      <c r="K1163" s="132">
        <f t="shared" si="131"/>
        <v>-47371.229999999996</v>
      </c>
      <c r="L1163" s="132">
        <f t="shared" ref="L1163:L1226" si="135">H1163-J1163</f>
        <v>0</v>
      </c>
      <c r="M1163" s="133"/>
      <c r="N1163" s="133">
        <f t="shared" si="127"/>
        <v>0</v>
      </c>
      <c r="O1163" s="134">
        <v>1</v>
      </c>
      <c r="P1163" s="133"/>
      <c r="Q1163" s="2" t="s">
        <v>3982</v>
      </c>
      <c r="R1163" s="156">
        <f t="shared" ref="R1163:R1226" si="136">T1163+V1163+X1163+Z1163+AB1163+AD1163+AF1163+AH1163+AJ1163+AL1163+AN1163+AP1163</f>
        <v>47371.229999999996</v>
      </c>
      <c r="S1163" s="156">
        <f t="shared" ref="S1163:S1226" si="137">U1163+W1163+Y1163+AA1163+AC1163+AE1163+AG1163+AI1163+AK1163+AM1163+AO1163+AQ1163</f>
        <v>13472.919999999998</v>
      </c>
      <c r="T1163" s="133"/>
      <c r="U1163" s="133"/>
      <c r="V1163" s="133"/>
      <c r="W1163" s="133"/>
      <c r="X1163" s="133"/>
      <c r="Y1163" s="133"/>
      <c r="Z1163" s="133"/>
      <c r="AA1163" s="133"/>
      <c r="AB1163" s="133"/>
      <c r="AC1163" s="133"/>
      <c r="AD1163" s="133">
        <f>40000+7371.23</f>
        <v>47371.229999999996</v>
      </c>
      <c r="AE1163" s="133"/>
      <c r="AF1163" s="133"/>
      <c r="AG1163" s="133">
        <f>6101.69+1124.42</f>
        <v>7226.11</v>
      </c>
      <c r="AH1163" s="133"/>
      <c r="AI1163" s="133"/>
      <c r="AJ1163" s="133"/>
      <c r="AK1163" s="133">
        <v>6246.8099999999977</v>
      </c>
      <c r="AL1163" s="133"/>
      <c r="AM1163" s="133"/>
      <c r="AN1163" s="133"/>
      <c r="AO1163" s="133"/>
      <c r="AP1163" s="133"/>
      <c r="AQ1163" s="133"/>
      <c r="AR1163" s="133"/>
      <c r="AS1163" s="153">
        <v>0</v>
      </c>
      <c r="AT1163" s="153">
        <v>0</v>
      </c>
      <c r="AU1163" s="153">
        <v>0</v>
      </c>
      <c r="AV1163" s="135"/>
      <c r="AW1163" s="135"/>
      <c r="AX1163" s="135"/>
      <c r="AY1163" s="135"/>
      <c r="AZ1163" s="135"/>
      <c r="BA1163" s="135"/>
      <c r="BB1163" s="135"/>
      <c r="BC1163" s="135">
        <v>33898.31</v>
      </c>
      <c r="BD1163" s="135">
        <v>3958.67</v>
      </c>
      <c r="BE1163" s="135">
        <f t="shared" si="133"/>
        <v>3618.644016949153</v>
      </c>
      <c r="BF1163" s="135"/>
      <c r="BG1163" s="135"/>
      <c r="BH1163" s="135"/>
      <c r="BI1163" s="2" t="s">
        <v>3773</v>
      </c>
      <c r="BJ1163" s="136">
        <v>45838</v>
      </c>
      <c r="BK1163" s="2" t="s">
        <v>109</v>
      </c>
      <c r="BL1163" s="136" t="s">
        <v>18</v>
      </c>
      <c r="BM1163" s="136">
        <v>45597</v>
      </c>
      <c r="BN1163" s="2" t="s">
        <v>3980</v>
      </c>
      <c r="BO1163" s="2"/>
      <c r="BP1163" s="136"/>
      <c r="BQ1163" s="137" t="s">
        <v>119</v>
      </c>
    </row>
    <row r="1164" spans="1:69" ht="12.75" customHeight="1" x14ac:dyDescent="0.2">
      <c r="A1164" s="2">
        <v>2653</v>
      </c>
      <c r="B1164" s="2" t="s">
        <v>54</v>
      </c>
      <c r="C1164" s="131" t="s">
        <v>96</v>
      </c>
      <c r="D1164" s="131" t="s">
        <v>3984</v>
      </c>
      <c r="E1164" s="2" t="s">
        <v>3635</v>
      </c>
      <c r="F1164" s="132">
        <v>0</v>
      </c>
      <c r="G1164" s="132"/>
      <c r="H1164" s="132">
        <f t="shared" si="129"/>
        <v>47371.229999999996</v>
      </c>
      <c r="I1164" s="132"/>
      <c r="J1164" s="132">
        <f t="shared" si="134"/>
        <v>47371.229999999996</v>
      </c>
      <c r="K1164" s="132">
        <f t="shared" si="131"/>
        <v>-47371.229999999996</v>
      </c>
      <c r="L1164" s="132">
        <f t="shared" si="135"/>
        <v>0</v>
      </c>
      <c r="M1164" s="133"/>
      <c r="N1164" s="133">
        <f t="shared" si="127"/>
        <v>0</v>
      </c>
      <c r="O1164" s="134">
        <v>1</v>
      </c>
      <c r="P1164" s="133"/>
      <c r="Q1164" s="2" t="s">
        <v>3985</v>
      </c>
      <c r="R1164" s="156">
        <f t="shared" si="136"/>
        <v>47371.229999999996</v>
      </c>
      <c r="S1164" s="156">
        <f t="shared" si="137"/>
        <v>13472.919999999998</v>
      </c>
      <c r="T1164" s="133"/>
      <c r="U1164" s="133"/>
      <c r="V1164" s="133"/>
      <c r="W1164" s="133"/>
      <c r="X1164" s="133"/>
      <c r="Y1164" s="133"/>
      <c r="Z1164" s="133"/>
      <c r="AA1164" s="133"/>
      <c r="AB1164" s="133"/>
      <c r="AC1164" s="133"/>
      <c r="AD1164" s="133">
        <f>40000+7371.23</f>
        <v>47371.229999999996</v>
      </c>
      <c r="AE1164" s="133"/>
      <c r="AF1164" s="133"/>
      <c r="AG1164" s="133">
        <f>6101.69+1124.42</f>
        <v>7226.11</v>
      </c>
      <c r="AH1164" s="133"/>
      <c r="AI1164" s="133"/>
      <c r="AJ1164" s="133"/>
      <c r="AK1164" s="133">
        <v>6246.8099999999977</v>
      </c>
      <c r="AL1164" s="133"/>
      <c r="AM1164" s="133"/>
      <c r="AN1164" s="133"/>
      <c r="AO1164" s="133"/>
      <c r="AP1164" s="133"/>
      <c r="AQ1164" s="133"/>
      <c r="AR1164" s="133"/>
      <c r="AS1164" s="153">
        <v>0</v>
      </c>
      <c r="AT1164" s="153">
        <v>0</v>
      </c>
      <c r="AU1164" s="153">
        <v>0</v>
      </c>
      <c r="AV1164" s="135"/>
      <c r="AW1164" s="135"/>
      <c r="AX1164" s="135"/>
      <c r="AY1164" s="135"/>
      <c r="AZ1164" s="135"/>
      <c r="BA1164" s="135"/>
      <c r="BB1164" s="135"/>
      <c r="BC1164" s="135">
        <v>33898.31</v>
      </c>
      <c r="BD1164" s="135">
        <v>3958.67</v>
      </c>
      <c r="BE1164" s="135">
        <f t="shared" si="133"/>
        <v>3618.644016949153</v>
      </c>
      <c r="BF1164" s="135"/>
      <c r="BG1164" s="135"/>
      <c r="BH1164" s="135"/>
      <c r="BI1164" s="2" t="s">
        <v>3773</v>
      </c>
      <c r="BJ1164" s="136">
        <v>45838</v>
      </c>
      <c r="BK1164" s="2" t="s">
        <v>109</v>
      </c>
      <c r="BL1164" s="136" t="s">
        <v>18</v>
      </c>
      <c r="BM1164" s="136">
        <v>45597</v>
      </c>
      <c r="BN1164" s="2" t="s">
        <v>3983</v>
      </c>
      <c r="BO1164" s="2"/>
      <c r="BP1164" s="136"/>
      <c r="BQ1164" s="137" t="s">
        <v>119</v>
      </c>
    </row>
    <row r="1165" spans="1:69" ht="12.75" customHeight="1" x14ac:dyDescent="0.2">
      <c r="A1165" s="2">
        <v>2654</v>
      </c>
      <c r="B1165" s="2" t="s">
        <v>39</v>
      </c>
      <c r="C1165" s="131" t="s">
        <v>94</v>
      </c>
      <c r="D1165" s="131" t="s">
        <v>3992</v>
      </c>
      <c r="E1165" s="2" t="s">
        <v>3635</v>
      </c>
      <c r="F1165" s="132">
        <v>0</v>
      </c>
      <c r="G1165" s="132"/>
      <c r="H1165" s="132">
        <f t="shared" si="129"/>
        <v>210897.4</v>
      </c>
      <c r="I1165" s="132"/>
      <c r="J1165" s="132">
        <f t="shared" si="134"/>
        <v>210897.4</v>
      </c>
      <c r="K1165" s="132">
        <f t="shared" si="131"/>
        <v>-210897.4</v>
      </c>
      <c r="L1165" s="132">
        <f t="shared" si="135"/>
        <v>0</v>
      </c>
      <c r="M1165" s="133"/>
      <c r="N1165" s="133">
        <f t="shared" si="127"/>
        <v>0</v>
      </c>
      <c r="O1165" s="134">
        <v>1</v>
      </c>
      <c r="P1165" s="133"/>
      <c r="Q1165" s="2" t="s">
        <v>3991</v>
      </c>
      <c r="R1165" s="156">
        <f t="shared" si="136"/>
        <v>210897.4</v>
      </c>
      <c r="S1165" s="156">
        <f t="shared" si="137"/>
        <v>54117.739999999991</v>
      </c>
      <c r="T1165" s="133"/>
      <c r="U1165" s="133"/>
      <c r="V1165" s="133"/>
      <c r="W1165" s="133"/>
      <c r="X1165" s="133"/>
      <c r="Y1165" s="133"/>
      <c r="Z1165" s="133"/>
      <c r="AA1165" s="133"/>
      <c r="AB1165" s="133"/>
      <c r="AC1165" s="133"/>
      <c r="AD1165" s="133">
        <v>185000</v>
      </c>
      <c r="AE1165" s="133"/>
      <c r="AF1165" s="133">
        <v>25897.4</v>
      </c>
      <c r="AG1165" s="133">
        <f>28220.33</f>
        <v>28220.33</v>
      </c>
      <c r="AH1165" s="133"/>
      <c r="AI1165" s="133">
        <v>3950.45</v>
      </c>
      <c r="AJ1165" s="133"/>
      <c r="AK1165" s="133">
        <v>21946.959999999992</v>
      </c>
      <c r="AL1165" s="133"/>
      <c r="AM1165" s="133"/>
      <c r="AN1165" s="133"/>
      <c r="AO1165" s="133"/>
      <c r="AP1165" s="133"/>
      <c r="AQ1165" s="133"/>
      <c r="AR1165" s="133"/>
      <c r="AS1165" s="153">
        <v>0</v>
      </c>
      <c r="AT1165" s="153">
        <v>0</v>
      </c>
      <c r="AU1165" s="153">
        <v>0</v>
      </c>
      <c r="AV1165" s="135"/>
      <c r="AW1165" s="135"/>
      <c r="AX1165" s="135"/>
      <c r="AY1165" s="135"/>
      <c r="AZ1165" s="135"/>
      <c r="BA1165" s="135"/>
      <c r="BB1165" s="135"/>
      <c r="BC1165" s="135">
        <v>156779.66</v>
      </c>
      <c r="BD1165" s="135">
        <v>17709.66</v>
      </c>
      <c r="BE1165" s="135">
        <f t="shared" si="133"/>
        <v>16101.695016949154</v>
      </c>
      <c r="BF1165" s="135"/>
      <c r="BG1165" s="135"/>
      <c r="BH1165" s="135"/>
      <c r="BI1165" s="2" t="s">
        <v>3773</v>
      </c>
      <c r="BJ1165" s="136">
        <v>45860</v>
      </c>
      <c r="BK1165" s="2" t="s">
        <v>109</v>
      </c>
      <c r="BL1165" s="136" t="s">
        <v>18</v>
      </c>
      <c r="BM1165" s="136">
        <v>45597</v>
      </c>
      <c r="BN1165" s="2" t="s">
        <v>3993</v>
      </c>
      <c r="BO1165" s="2"/>
      <c r="BP1165" s="136"/>
      <c r="BQ1165" s="137" t="s">
        <v>119</v>
      </c>
    </row>
    <row r="1166" spans="1:69" ht="12.75" customHeight="1" x14ac:dyDescent="0.2">
      <c r="A1166" s="2">
        <v>2655</v>
      </c>
      <c r="B1166" s="2" t="s">
        <v>44</v>
      </c>
      <c r="C1166" s="131" t="s">
        <v>45</v>
      </c>
      <c r="D1166" s="131" t="s">
        <v>3994</v>
      </c>
      <c r="E1166" s="2" t="s">
        <v>3635</v>
      </c>
      <c r="F1166" s="132">
        <v>0</v>
      </c>
      <c r="G1166" s="132"/>
      <c r="H1166" s="132">
        <f t="shared" si="129"/>
        <v>22500</v>
      </c>
      <c r="I1166" s="132"/>
      <c r="J1166" s="132">
        <f t="shared" si="134"/>
        <v>22500</v>
      </c>
      <c r="K1166" s="132">
        <f t="shared" si="131"/>
        <v>-22500</v>
      </c>
      <c r="L1166" s="132">
        <f t="shared" si="135"/>
        <v>0</v>
      </c>
      <c r="M1166" s="133"/>
      <c r="N1166" s="133">
        <f t="shared" si="127"/>
        <v>0</v>
      </c>
      <c r="O1166" s="134">
        <v>1</v>
      </c>
      <c r="P1166" s="133"/>
      <c r="Q1166" s="2" t="s">
        <v>3893</v>
      </c>
      <c r="R1166" s="156">
        <f t="shared" si="136"/>
        <v>22500</v>
      </c>
      <c r="S1166" s="156">
        <f t="shared" si="137"/>
        <v>22500</v>
      </c>
      <c r="T1166" s="133"/>
      <c r="U1166" s="133"/>
      <c r="V1166" s="133"/>
      <c r="W1166" s="133"/>
      <c r="X1166" s="133"/>
      <c r="Y1166" s="133"/>
      <c r="Z1166" s="133"/>
      <c r="AA1166" s="133"/>
      <c r="AB1166" s="133"/>
      <c r="AC1166" s="133"/>
      <c r="AD1166" s="133">
        <v>22500</v>
      </c>
      <c r="AE1166" s="133"/>
      <c r="AF1166" s="133"/>
      <c r="AG1166" s="133">
        <f>3432.2</f>
        <v>3432.2</v>
      </c>
      <c r="AH1166" s="133"/>
      <c r="AI1166" s="133"/>
      <c r="AJ1166" s="133"/>
      <c r="AK1166" s="133">
        <v>19067.8</v>
      </c>
      <c r="AL1166" s="133"/>
      <c r="AM1166" s="133"/>
      <c r="AN1166" s="133"/>
      <c r="AO1166" s="133"/>
      <c r="AP1166" s="133"/>
      <c r="AQ1166" s="133"/>
      <c r="AR1166" s="133"/>
      <c r="AS1166" s="153">
        <v>0</v>
      </c>
      <c r="AT1166" s="153">
        <v>0</v>
      </c>
      <c r="AU1166" s="153">
        <v>0</v>
      </c>
      <c r="AV1166" s="135"/>
      <c r="AW1166" s="135"/>
      <c r="AX1166" s="135"/>
      <c r="AY1166" s="135"/>
      <c r="AZ1166" s="135"/>
      <c r="BA1166" s="135"/>
      <c r="BB1166" s="135"/>
      <c r="BC1166" s="135"/>
      <c r="BD1166" s="135"/>
      <c r="BE1166" s="135">
        <f t="shared" ref="BE1166:BE1180" si="138">(H1166/1.18-AT1166-AW1166-AZ1166-BD1166)*0.1-AU1166-AX1166-BA1166-BB1166</f>
        <v>1906.7796610169491</v>
      </c>
      <c r="BF1166" s="135"/>
      <c r="BG1166" s="135"/>
      <c r="BH1166" s="135"/>
      <c r="BI1166" s="2" t="s">
        <v>3746</v>
      </c>
      <c r="BJ1166" s="136">
        <v>45833</v>
      </c>
      <c r="BK1166" s="2" t="s">
        <v>109</v>
      </c>
      <c r="BL1166" s="136" t="s">
        <v>113</v>
      </c>
      <c r="BM1166" s="136">
        <v>45635</v>
      </c>
      <c r="BN1166" s="2" t="s">
        <v>3641</v>
      </c>
      <c r="BO1166" s="2"/>
      <c r="BP1166" s="136"/>
      <c r="BQ1166" s="137" t="s">
        <v>119</v>
      </c>
    </row>
    <row r="1167" spans="1:69" ht="12.75" customHeight="1" x14ac:dyDescent="0.2">
      <c r="A1167" s="2">
        <v>2656</v>
      </c>
      <c r="B1167" s="2" t="s">
        <v>44</v>
      </c>
      <c r="C1167" s="131" t="s">
        <v>45</v>
      </c>
      <c r="D1167" s="131" t="s">
        <v>3995</v>
      </c>
      <c r="E1167" s="2" t="s">
        <v>3635</v>
      </c>
      <c r="F1167" s="132">
        <v>0</v>
      </c>
      <c r="G1167" s="132"/>
      <c r="H1167" s="132">
        <f t="shared" si="129"/>
        <v>42700</v>
      </c>
      <c r="I1167" s="132"/>
      <c r="J1167" s="132">
        <f t="shared" si="134"/>
        <v>42700</v>
      </c>
      <c r="K1167" s="132">
        <f t="shared" si="131"/>
        <v>-42700</v>
      </c>
      <c r="L1167" s="132">
        <f t="shared" si="135"/>
        <v>0</v>
      </c>
      <c r="M1167" s="133"/>
      <c r="N1167" s="133">
        <f t="shared" si="127"/>
        <v>0</v>
      </c>
      <c r="O1167" s="134">
        <v>1</v>
      </c>
      <c r="P1167" s="133"/>
      <c r="Q1167" s="2" t="s">
        <v>3996</v>
      </c>
      <c r="R1167" s="156">
        <f t="shared" si="136"/>
        <v>42700</v>
      </c>
      <c r="S1167" s="156">
        <f t="shared" si="137"/>
        <v>42700</v>
      </c>
      <c r="T1167" s="133"/>
      <c r="U1167" s="133"/>
      <c r="V1167" s="133"/>
      <c r="W1167" s="133"/>
      <c r="X1167" s="133"/>
      <c r="Y1167" s="133"/>
      <c r="Z1167" s="133"/>
      <c r="AA1167" s="133"/>
      <c r="AB1167" s="133"/>
      <c r="AC1167" s="133"/>
      <c r="AD1167" s="133">
        <v>42700</v>
      </c>
      <c r="AE1167" s="133"/>
      <c r="AF1167" s="133"/>
      <c r="AG1167" s="133">
        <f>6513.55</f>
        <v>6513.55</v>
      </c>
      <c r="AH1167" s="133"/>
      <c r="AI1167" s="133"/>
      <c r="AJ1167" s="133"/>
      <c r="AK1167" s="133">
        <v>36186.449999999997</v>
      </c>
      <c r="AL1167" s="133"/>
      <c r="AM1167" s="133"/>
      <c r="AN1167" s="133"/>
      <c r="AO1167" s="133"/>
      <c r="AP1167" s="133"/>
      <c r="AQ1167" s="133"/>
      <c r="AR1167" s="133"/>
      <c r="AS1167" s="153">
        <v>0</v>
      </c>
      <c r="AT1167" s="153">
        <v>0</v>
      </c>
      <c r="AU1167" s="153">
        <v>0</v>
      </c>
      <c r="AV1167" s="135"/>
      <c r="AW1167" s="135"/>
      <c r="AX1167" s="135"/>
      <c r="AY1167" s="135"/>
      <c r="AZ1167" s="135"/>
      <c r="BA1167" s="135"/>
      <c r="BB1167" s="135"/>
      <c r="BC1167" s="135"/>
      <c r="BD1167" s="135"/>
      <c r="BE1167" s="135">
        <f t="shared" si="138"/>
        <v>3618.6440677966102</v>
      </c>
      <c r="BF1167" s="135"/>
      <c r="BG1167" s="135"/>
      <c r="BH1167" s="135"/>
      <c r="BI1167" s="2" t="s">
        <v>3746</v>
      </c>
      <c r="BJ1167" s="136">
        <v>45834</v>
      </c>
      <c r="BK1167" s="2" t="s">
        <v>109</v>
      </c>
      <c r="BL1167" s="136" t="s">
        <v>113</v>
      </c>
      <c r="BM1167" s="136">
        <v>45635</v>
      </c>
      <c r="BN1167" s="2" t="s">
        <v>3641</v>
      </c>
      <c r="BO1167" s="2"/>
      <c r="BP1167" s="136"/>
      <c r="BQ1167" s="137" t="s">
        <v>119</v>
      </c>
    </row>
    <row r="1168" spans="1:69" ht="12.75" customHeight="1" x14ac:dyDescent="0.2">
      <c r="A1168" s="2">
        <v>2657</v>
      </c>
      <c r="B1168" s="2" t="s">
        <v>44</v>
      </c>
      <c r="C1168" s="131" t="s">
        <v>45</v>
      </c>
      <c r="D1168" s="131" t="s">
        <v>3997</v>
      </c>
      <c r="E1168" s="2" t="s">
        <v>3635</v>
      </c>
      <c r="F1168" s="132">
        <v>0</v>
      </c>
      <c r="G1168" s="132"/>
      <c r="H1168" s="132">
        <f t="shared" si="129"/>
        <v>6500</v>
      </c>
      <c r="I1168" s="132"/>
      <c r="J1168" s="132">
        <f t="shared" si="134"/>
        <v>6500</v>
      </c>
      <c r="K1168" s="132">
        <f t="shared" si="131"/>
        <v>-6500</v>
      </c>
      <c r="L1168" s="132">
        <f t="shared" si="135"/>
        <v>0</v>
      </c>
      <c r="M1168" s="133"/>
      <c r="N1168" s="133">
        <f t="shared" si="127"/>
        <v>0</v>
      </c>
      <c r="O1168" s="134">
        <v>1</v>
      </c>
      <c r="P1168" s="133"/>
      <c r="Q1168" s="2" t="s">
        <v>3823</v>
      </c>
      <c r="R1168" s="156">
        <f t="shared" si="136"/>
        <v>6500</v>
      </c>
      <c r="S1168" s="156">
        <f t="shared" si="137"/>
        <v>6500</v>
      </c>
      <c r="T1168" s="133"/>
      <c r="U1168" s="133"/>
      <c r="V1168" s="133"/>
      <c r="W1168" s="133"/>
      <c r="X1168" s="133"/>
      <c r="Y1168" s="133"/>
      <c r="Z1168" s="133"/>
      <c r="AA1168" s="133"/>
      <c r="AB1168" s="133"/>
      <c r="AC1168" s="133"/>
      <c r="AD1168" s="133">
        <v>6500</v>
      </c>
      <c r="AE1168" s="133"/>
      <c r="AF1168" s="133"/>
      <c r="AG1168" s="133">
        <f>991.52</f>
        <v>991.52</v>
      </c>
      <c r="AH1168" s="133"/>
      <c r="AI1168" s="133"/>
      <c r="AJ1168" s="133"/>
      <c r="AK1168" s="133">
        <v>5508.48</v>
      </c>
      <c r="AL1168" s="133"/>
      <c r="AM1168" s="133"/>
      <c r="AN1168" s="133"/>
      <c r="AO1168" s="133"/>
      <c r="AP1168" s="133"/>
      <c r="AQ1168" s="133"/>
      <c r="AR1168" s="133"/>
      <c r="AS1168" s="153">
        <v>0</v>
      </c>
      <c r="AT1168" s="153">
        <v>0</v>
      </c>
      <c r="AU1168" s="153">
        <v>0</v>
      </c>
      <c r="AV1168" s="135"/>
      <c r="AW1168" s="135"/>
      <c r="AX1168" s="135"/>
      <c r="AY1168" s="135"/>
      <c r="AZ1168" s="135"/>
      <c r="BA1168" s="135"/>
      <c r="BB1168" s="135"/>
      <c r="BC1168" s="135"/>
      <c r="BD1168" s="135"/>
      <c r="BE1168" s="135">
        <f t="shared" si="138"/>
        <v>550.84745762711862</v>
      </c>
      <c r="BF1168" s="135"/>
      <c r="BG1168" s="135"/>
      <c r="BH1168" s="135"/>
      <c r="BI1168" s="2" t="s">
        <v>3746</v>
      </c>
      <c r="BJ1168" s="136">
        <v>45832</v>
      </c>
      <c r="BK1168" s="2" t="s">
        <v>109</v>
      </c>
      <c r="BL1168" s="136" t="s">
        <v>113</v>
      </c>
      <c r="BM1168" s="136">
        <v>45635</v>
      </c>
      <c r="BN1168" s="2" t="s">
        <v>3641</v>
      </c>
      <c r="BO1168" s="2"/>
      <c r="BP1168" s="136"/>
      <c r="BQ1168" s="137" t="s">
        <v>119</v>
      </c>
    </row>
    <row r="1169" spans="1:69" ht="12.75" customHeight="1" x14ac:dyDescent="0.2">
      <c r="A1169" s="2">
        <v>2658</v>
      </c>
      <c r="B1169" s="2" t="s">
        <v>44</v>
      </c>
      <c r="C1169" s="131" t="s">
        <v>45</v>
      </c>
      <c r="D1169" s="131" t="s">
        <v>3998</v>
      </c>
      <c r="E1169" s="2" t="s">
        <v>3635</v>
      </c>
      <c r="F1169" s="132">
        <v>0</v>
      </c>
      <c r="G1169" s="132"/>
      <c r="H1169" s="132">
        <f t="shared" si="129"/>
        <v>8500</v>
      </c>
      <c r="I1169" s="132"/>
      <c r="J1169" s="132">
        <f t="shared" si="134"/>
        <v>8500</v>
      </c>
      <c r="K1169" s="132">
        <f t="shared" si="131"/>
        <v>-8500</v>
      </c>
      <c r="L1169" s="132">
        <f t="shared" si="135"/>
        <v>0</v>
      </c>
      <c r="M1169" s="133"/>
      <c r="N1169" s="133">
        <f t="shared" si="127"/>
        <v>0</v>
      </c>
      <c r="O1169" s="134">
        <v>1</v>
      </c>
      <c r="P1169" s="133"/>
      <c r="Q1169" s="2" t="s">
        <v>3730</v>
      </c>
      <c r="R1169" s="156">
        <f t="shared" si="136"/>
        <v>8500</v>
      </c>
      <c r="S1169" s="156">
        <f t="shared" si="137"/>
        <v>8500</v>
      </c>
      <c r="T1169" s="133"/>
      <c r="U1169" s="133"/>
      <c r="V1169" s="133"/>
      <c r="W1169" s="133"/>
      <c r="X1169" s="133"/>
      <c r="Y1169" s="133"/>
      <c r="Z1169" s="133"/>
      <c r="AA1169" s="133"/>
      <c r="AB1169" s="133"/>
      <c r="AC1169" s="133"/>
      <c r="AD1169" s="133">
        <v>8500</v>
      </c>
      <c r="AE1169" s="133"/>
      <c r="AF1169" s="133"/>
      <c r="AG1169" s="133">
        <f>1296.61</f>
        <v>1296.6099999999999</v>
      </c>
      <c r="AH1169" s="133"/>
      <c r="AI1169" s="133"/>
      <c r="AJ1169" s="133"/>
      <c r="AK1169" s="133">
        <v>7203.39</v>
      </c>
      <c r="AL1169" s="133"/>
      <c r="AM1169" s="133"/>
      <c r="AN1169" s="133"/>
      <c r="AO1169" s="133"/>
      <c r="AP1169" s="133"/>
      <c r="AQ1169" s="133"/>
      <c r="AR1169" s="133"/>
      <c r="AS1169" s="153">
        <v>0</v>
      </c>
      <c r="AT1169" s="153">
        <v>0</v>
      </c>
      <c r="AU1169" s="153">
        <v>0</v>
      </c>
      <c r="AV1169" s="135"/>
      <c r="AW1169" s="135"/>
      <c r="AX1169" s="135"/>
      <c r="AY1169" s="135"/>
      <c r="AZ1169" s="135"/>
      <c r="BA1169" s="135"/>
      <c r="BB1169" s="135"/>
      <c r="BC1169" s="135"/>
      <c r="BD1169" s="135"/>
      <c r="BE1169" s="135">
        <f t="shared" si="138"/>
        <v>720.33898305084756</v>
      </c>
      <c r="BF1169" s="135"/>
      <c r="BG1169" s="135"/>
      <c r="BH1169" s="135"/>
      <c r="BI1169" s="2" t="s">
        <v>3746</v>
      </c>
      <c r="BJ1169" s="136">
        <v>45832</v>
      </c>
      <c r="BK1169" s="2" t="s">
        <v>109</v>
      </c>
      <c r="BL1169" s="136" t="s">
        <v>113</v>
      </c>
      <c r="BM1169" s="136">
        <v>45635</v>
      </c>
      <c r="BN1169" s="2" t="s">
        <v>3641</v>
      </c>
      <c r="BO1169" s="2"/>
      <c r="BP1169" s="136"/>
      <c r="BQ1169" s="137" t="s">
        <v>119</v>
      </c>
    </row>
    <row r="1170" spans="1:69" ht="12.75" customHeight="1" x14ac:dyDescent="0.2">
      <c r="A1170" s="2">
        <v>2659</v>
      </c>
      <c r="B1170" s="2" t="s">
        <v>44</v>
      </c>
      <c r="C1170" s="131" t="s">
        <v>45</v>
      </c>
      <c r="D1170" s="131" t="s">
        <v>3999</v>
      </c>
      <c r="E1170" s="2" t="s">
        <v>3635</v>
      </c>
      <c r="F1170" s="132">
        <v>0</v>
      </c>
      <c r="G1170" s="132"/>
      <c r="H1170" s="132">
        <f t="shared" si="129"/>
        <v>22500</v>
      </c>
      <c r="I1170" s="132"/>
      <c r="J1170" s="132">
        <f t="shared" si="134"/>
        <v>22500</v>
      </c>
      <c r="K1170" s="132">
        <f t="shared" si="131"/>
        <v>-22500</v>
      </c>
      <c r="L1170" s="132">
        <f t="shared" si="135"/>
        <v>0</v>
      </c>
      <c r="M1170" s="133"/>
      <c r="N1170" s="133">
        <f t="shared" si="127"/>
        <v>0</v>
      </c>
      <c r="O1170" s="134">
        <v>1</v>
      </c>
      <c r="P1170" s="133"/>
      <c r="Q1170" s="2" t="s">
        <v>3893</v>
      </c>
      <c r="R1170" s="156">
        <f t="shared" si="136"/>
        <v>22500</v>
      </c>
      <c r="S1170" s="156">
        <f t="shared" si="137"/>
        <v>22500</v>
      </c>
      <c r="T1170" s="133"/>
      <c r="U1170" s="133"/>
      <c r="V1170" s="133"/>
      <c r="W1170" s="133"/>
      <c r="X1170" s="133"/>
      <c r="Y1170" s="133"/>
      <c r="Z1170" s="133"/>
      <c r="AA1170" s="133"/>
      <c r="AB1170" s="133"/>
      <c r="AC1170" s="133"/>
      <c r="AD1170" s="133">
        <v>22500</v>
      </c>
      <c r="AE1170" s="133"/>
      <c r="AF1170" s="133"/>
      <c r="AG1170" s="133">
        <v>3432.203389830509</v>
      </c>
      <c r="AH1170" s="133"/>
      <c r="AI1170" s="133"/>
      <c r="AJ1170" s="133"/>
      <c r="AK1170" s="133">
        <v>19067.796610169491</v>
      </c>
      <c r="AL1170" s="133"/>
      <c r="AM1170" s="133"/>
      <c r="AN1170" s="133"/>
      <c r="AO1170" s="133"/>
      <c r="AP1170" s="133"/>
      <c r="AQ1170" s="133"/>
      <c r="AR1170" s="133"/>
      <c r="AS1170" s="153">
        <v>0</v>
      </c>
      <c r="AT1170" s="153">
        <v>0</v>
      </c>
      <c r="AU1170" s="153">
        <v>0</v>
      </c>
      <c r="AV1170" s="135"/>
      <c r="AW1170" s="135"/>
      <c r="AX1170" s="135"/>
      <c r="AY1170" s="135"/>
      <c r="AZ1170" s="135"/>
      <c r="BA1170" s="135"/>
      <c r="BB1170" s="135"/>
      <c r="BC1170" s="135"/>
      <c r="BD1170" s="135"/>
      <c r="BE1170" s="135">
        <f t="shared" si="138"/>
        <v>1906.7796610169491</v>
      </c>
      <c r="BF1170" s="135"/>
      <c r="BG1170" s="135"/>
      <c r="BH1170" s="135"/>
      <c r="BI1170" s="2" t="s">
        <v>3746</v>
      </c>
      <c r="BJ1170" s="136">
        <v>45832</v>
      </c>
      <c r="BK1170" s="2" t="s">
        <v>109</v>
      </c>
      <c r="BL1170" s="136" t="s">
        <v>113</v>
      </c>
      <c r="BM1170" s="136">
        <v>45635</v>
      </c>
      <c r="BN1170" s="2" t="s">
        <v>3641</v>
      </c>
      <c r="BO1170" s="2"/>
      <c r="BP1170" s="136"/>
      <c r="BQ1170" s="137" t="s">
        <v>119</v>
      </c>
    </row>
    <row r="1171" spans="1:69" ht="12.75" customHeight="1" x14ac:dyDescent="0.2">
      <c r="A1171" s="2">
        <v>2660</v>
      </c>
      <c r="B1171" s="2" t="s">
        <v>44</v>
      </c>
      <c r="C1171" s="131" t="s">
        <v>45</v>
      </c>
      <c r="D1171" s="131" t="s">
        <v>4005</v>
      </c>
      <c r="E1171" s="2" t="s">
        <v>3635</v>
      </c>
      <c r="F1171" s="132">
        <v>8500</v>
      </c>
      <c r="G1171" s="132"/>
      <c r="H1171" s="132">
        <f t="shared" si="129"/>
        <v>8500</v>
      </c>
      <c r="I1171" s="132"/>
      <c r="J1171" s="132">
        <f t="shared" si="134"/>
        <v>8500</v>
      </c>
      <c r="K1171" s="132">
        <f t="shared" si="131"/>
        <v>0</v>
      </c>
      <c r="L1171" s="132">
        <f t="shared" si="135"/>
        <v>0</v>
      </c>
      <c r="M1171" s="133"/>
      <c r="N1171" s="133">
        <f t="shared" si="127"/>
        <v>0</v>
      </c>
      <c r="O1171" s="134">
        <v>1</v>
      </c>
      <c r="P1171" s="133"/>
      <c r="Q1171" s="2" t="s">
        <v>3730</v>
      </c>
      <c r="R1171" s="156">
        <f t="shared" si="136"/>
        <v>8500</v>
      </c>
      <c r="S1171" s="156">
        <f t="shared" si="137"/>
        <v>8500</v>
      </c>
      <c r="T1171" s="133"/>
      <c r="U1171" s="133"/>
      <c r="V1171" s="133"/>
      <c r="W1171" s="133"/>
      <c r="X1171" s="133"/>
      <c r="Y1171" s="133"/>
      <c r="Z1171" s="133"/>
      <c r="AA1171" s="133"/>
      <c r="AB1171" s="133"/>
      <c r="AC1171" s="133"/>
      <c r="AD1171" s="133">
        <v>8500</v>
      </c>
      <c r="AE1171" s="133"/>
      <c r="AF1171" s="133"/>
      <c r="AG1171" s="133">
        <v>1296.6101694915251</v>
      </c>
      <c r="AH1171" s="133"/>
      <c r="AI1171" s="133"/>
      <c r="AJ1171" s="133"/>
      <c r="AK1171" s="133">
        <v>7203.3898305084749</v>
      </c>
      <c r="AL1171" s="133"/>
      <c r="AM1171" s="133"/>
      <c r="AN1171" s="133"/>
      <c r="AO1171" s="133"/>
      <c r="AP1171" s="133"/>
      <c r="AQ1171" s="133"/>
      <c r="AR1171" s="133"/>
      <c r="AS1171" s="153">
        <v>0</v>
      </c>
      <c r="AT1171" s="153">
        <v>0</v>
      </c>
      <c r="AU1171" s="153">
        <v>0</v>
      </c>
      <c r="AV1171" s="135"/>
      <c r="AW1171" s="135"/>
      <c r="AX1171" s="135"/>
      <c r="AY1171" s="135"/>
      <c r="AZ1171" s="135"/>
      <c r="BA1171" s="135"/>
      <c r="BB1171" s="135"/>
      <c r="BC1171" s="135"/>
      <c r="BD1171" s="135"/>
      <c r="BE1171" s="135">
        <f t="shared" si="138"/>
        <v>720.33898305084756</v>
      </c>
      <c r="BF1171" s="135"/>
      <c r="BG1171" s="135"/>
      <c r="BH1171" s="135"/>
      <c r="BI1171" s="2" t="s">
        <v>3746</v>
      </c>
      <c r="BJ1171" s="136">
        <v>45833</v>
      </c>
      <c r="BK1171" s="2" t="s">
        <v>109</v>
      </c>
      <c r="BL1171" s="136" t="s">
        <v>113</v>
      </c>
      <c r="BM1171" s="136">
        <v>45635</v>
      </c>
      <c r="BN1171" s="2" t="s">
        <v>3641</v>
      </c>
      <c r="BO1171" s="2"/>
      <c r="BP1171" s="136"/>
      <c r="BQ1171" s="137" t="s">
        <v>119</v>
      </c>
    </row>
    <row r="1172" spans="1:69" ht="12.75" customHeight="1" x14ac:dyDescent="0.2">
      <c r="A1172" s="2">
        <v>2661</v>
      </c>
      <c r="B1172" s="2" t="s">
        <v>44</v>
      </c>
      <c r="C1172" s="131" t="s">
        <v>45</v>
      </c>
      <c r="D1172" s="131" t="s">
        <v>4000</v>
      </c>
      <c r="E1172" s="2" t="s">
        <v>3635</v>
      </c>
      <c r="F1172" s="132">
        <v>0</v>
      </c>
      <c r="G1172" s="132"/>
      <c r="H1172" s="132">
        <f t="shared" si="129"/>
        <v>22500</v>
      </c>
      <c r="I1172" s="132"/>
      <c r="J1172" s="132">
        <f t="shared" si="134"/>
        <v>22500</v>
      </c>
      <c r="K1172" s="132">
        <f t="shared" si="131"/>
        <v>-22500</v>
      </c>
      <c r="L1172" s="132">
        <f t="shared" si="135"/>
        <v>0</v>
      </c>
      <c r="M1172" s="133"/>
      <c r="N1172" s="133">
        <f t="shared" si="127"/>
        <v>0</v>
      </c>
      <c r="O1172" s="134">
        <v>1</v>
      </c>
      <c r="P1172" s="133"/>
      <c r="Q1172" s="2" t="s">
        <v>3893</v>
      </c>
      <c r="R1172" s="156">
        <f t="shared" si="136"/>
        <v>22500</v>
      </c>
      <c r="S1172" s="156">
        <f t="shared" si="137"/>
        <v>22500</v>
      </c>
      <c r="T1172" s="133"/>
      <c r="U1172" s="133"/>
      <c r="V1172" s="133"/>
      <c r="W1172" s="133"/>
      <c r="X1172" s="133"/>
      <c r="Y1172" s="133"/>
      <c r="Z1172" s="133"/>
      <c r="AA1172" s="133"/>
      <c r="AB1172" s="133"/>
      <c r="AC1172" s="133"/>
      <c r="AD1172" s="133">
        <v>22500</v>
      </c>
      <c r="AE1172" s="133"/>
      <c r="AF1172" s="133"/>
      <c r="AG1172" s="133">
        <v>3432.203389830509</v>
      </c>
      <c r="AH1172" s="133"/>
      <c r="AI1172" s="133"/>
      <c r="AJ1172" s="133"/>
      <c r="AK1172" s="133">
        <v>19067.796610169491</v>
      </c>
      <c r="AL1172" s="133"/>
      <c r="AM1172" s="133"/>
      <c r="AN1172" s="133"/>
      <c r="AO1172" s="133"/>
      <c r="AP1172" s="133"/>
      <c r="AQ1172" s="133"/>
      <c r="AR1172" s="133"/>
      <c r="AS1172" s="153">
        <v>0</v>
      </c>
      <c r="AT1172" s="153">
        <v>0</v>
      </c>
      <c r="AU1172" s="153">
        <v>0</v>
      </c>
      <c r="AV1172" s="135"/>
      <c r="AW1172" s="135"/>
      <c r="AX1172" s="135"/>
      <c r="AY1172" s="135"/>
      <c r="AZ1172" s="135"/>
      <c r="BA1172" s="135"/>
      <c r="BB1172" s="135"/>
      <c r="BC1172" s="135"/>
      <c r="BD1172" s="135"/>
      <c r="BE1172" s="135">
        <f t="shared" si="138"/>
        <v>1906.7796610169491</v>
      </c>
      <c r="BF1172" s="135"/>
      <c r="BG1172" s="135"/>
      <c r="BH1172" s="135"/>
      <c r="BI1172" s="2" t="s">
        <v>3746</v>
      </c>
      <c r="BJ1172" s="136">
        <v>45832</v>
      </c>
      <c r="BK1172" s="2" t="s">
        <v>109</v>
      </c>
      <c r="BL1172" s="136" t="s">
        <v>113</v>
      </c>
      <c r="BM1172" s="136">
        <v>45635</v>
      </c>
      <c r="BN1172" s="2" t="s">
        <v>3641</v>
      </c>
      <c r="BO1172" s="2"/>
      <c r="BP1172" s="136"/>
      <c r="BQ1172" s="137" t="s">
        <v>119</v>
      </c>
    </row>
    <row r="1173" spans="1:69" ht="12.75" customHeight="1" x14ac:dyDescent="0.2">
      <c r="A1173" s="2">
        <v>2662</v>
      </c>
      <c r="B1173" s="2" t="s">
        <v>44</v>
      </c>
      <c r="C1173" s="131" t="s">
        <v>45</v>
      </c>
      <c r="D1173" s="131" t="s">
        <v>4001</v>
      </c>
      <c r="E1173" s="2" t="s">
        <v>3635</v>
      </c>
      <c r="F1173" s="132">
        <v>0</v>
      </c>
      <c r="G1173" s="132"/>
      <c r="H1173" s="132">
        <f t="shared" si="129"/>
        <v>8500</v>
      </c>
      <c r="I1173" s="132"/>
      <c r="J1173" s="132">
        <f t="shared" si="134"/>
        <v>8500</v>
      </c>
      <c r="K1173" s="132">
        <f t="shared" si="131"/>
        <v>-8500</v>
      </c>
      <c r="L1173" s="132">
        <f t="shared" si="135"/>
        <v>0</v>
      </c>
      <c r="M1173" s="133"/>
      <c r="N1173" s="133">
        <f t="shared" si="127"/>
        <v>0</v>
      </c>
      <c r="O1173" s="134">
        <v>1</v>
      </c>
      <c r="P1173" s="133"/>
      <c r="Q1173" s="2" t="s">
        <v>3730</v>
      </c>
      <c r="R1173" s="156">
        <f t="shared" si="136"/>
        <v>8500</v>
      </c>
      <c r="S1173" s="156">
        <f t="shared" si="137"/>
        <v>8500</v>
      </c>
      <c r="T1173" s="133"/>
      <c r="U1173" s="133"/>
      <c r="V1173" s="133"/>
      <c r="W1173" s="133"/>
      <c r="X1173" s="133"/>
      <c r="Y1173" s="133"/>
      <c r="Z1173" s="133"/>
      <c r="AA1173" s="133"/>
      <c r="AB1173" s="133"/>
      <c r="AC1173" s="133"/>
      <c r="AD1173" s="133">
        <v>8500</v>
      </c>
      <c r="AE1173" s="133"/>
      <c r="AF1173" s="133"/>
      <c r="AG1173" s="133">
        <v>1296.6101694915251</v>
      </c>
      <c r="AH1173" s="133"/>
      <c r="AI1173" s="133"/>
      <c r="AJ1173" s="133"/>
      <c r="AK1173" s="133">
        <v>7203.3898305084749</v>
      </c>
      <c r="AL1173" s="133"/>
      <c r="AM1173" s="133"/>
      <c r="AN1173" s="133"/>
      <c r="AO1173" s="133"/>
      <c r="AP1173" s="133"/>
      <c r="AQ1173" s="133"/>
      <c r="AR1173" s="133"/>
      <c r="AS1173" s="153">
        <v>0</v>
      </c>
      <c r="AT1173" s="153">
        <v>0</v>
      </c>
      <c r="AU1173" s="153">
        <v>0</v>
      </c>
      <c r="AV1173" s="135"/>
      <c r="AW1173" s="135"/>
      <c r="AX1173" s="135"/>
      <c r="AY1173" s="135"/>
      <c r="AZ1173" s="135"/>
      <c r="BA1173" s="135"/>
      <c r="BB1173" s="135"/>
      <c r="BC1173" s="135"/>
      <c r="BD1173" s="135"/>
      <c r="BE1173" s="135">
        <f t="shared" si="138"/>
        <v>720.33898305084756</v>
      </c>
      <c r="BF1173" s="135"/>
      <c r="BG1173" s="135"/>
      <c r="BH1173" s="135"/>
      <c r="BI1173" s="2" t="s">
        <v>3746</v>
      </c>
      <c r="BJ1173" s="136">
        <v>45832</v>
      </c>
      <c r="BK1173" s="2" t="s">
        <v>109</v>
      </c>
      <c r="BL1173" s="136" t="s">
        <v>113</v>
      </c>
      <c r="BM1173" s="136">
        <v>45635</v>
      </c>
      <c r="BN1173" s="2" t="s">
        <v>3641</v>
      </c>
      <c r="BO1173" s="2"/>
      <c r="BP1173" s="136"/>
      <c r="BQ1173" s="137" t="s">
        <v>119</v>
      </c>
    </row>
    <row r="1174" spans="1:69" ht="12.75" customHeight="1" x14ac:dyDescent="0.2">
      <c r="A1174" s="2">
        <v>2663</v>
      </c>
      <c r="B1174" s="2" t="s">
        <v>44</v>
      </c>
      <c r="C1174" s="131" t="s">
        <v>45</v>
      </c>
      <c r="D1174" s="131" t="s">
        <v>4002</v>
      </c>
      <c r="E1174" s="2" t="s">
        <v>3635</v>
      </c>
      <c r="F1174" s="132">
        <v>0</v>
      </c>
      <c r="G1174" s="132"/>
      <c r="H1174" s="132">
        <f t="shared" si="129"/>
        <v>6500</v>
      </c>
      <c r="I1174" s="132"/>
      <c r="J1174" s="132">
        <f t="shared" si="134"/>
        <v>6500</v>
      </c>
      <c r="K1174" s="132">
        <f t="shared" si="131"/>
        <v>-6500</v>
      </c>
      <c r="L1174" s="132">
        <f t="shared" si="135"/>
        <v>0</v>
      </c>
      <c r="M1174" s="133"/>
      <c r="N1174" s="133">
        <f t="shared" si="127"/>
        <v>0</v>
      </c>
      <c r="O1174" s="134">
        <v>1</v>
      </c>
      <c r="P1174" s="133"/>
      <c r="Q1174" s="2" t="s">
        <v>3823</v>
      </c>
      <c r="R1174" s="156">
        <f t="shared" si="136"/>
        <v>6500</v>
      </c>
      <c r="S1174" s="156">
        <f t="shared" si="137"/>
        <v>6500</v>
      </c>
      <c r="T1174" s="133"/>
      <c r="U1174" s="133"/>
      <c r="V1174" s="133"/>
      <c r="W1174" s="133"/>
      <c r="X1174" s="133"/>
      <c r="Y1174" s="133"/>
      <c r="Z1174" s="133"/>
      <c r="AA1174" s="133"/>
      <c r="AB1174" s="133"/>
      <c r="AC1174" s="133"/>
      <c r="AD1174" s="133">
        <v>6500</v>
      </c>
      <c r="AE1174" s="133"/>
      <c r="AF1174" s="133"/>
      <c r="AG1174" s="133">
        <v>991.52542372881362</v>
      </c>
      <c r="AH1174" s="133"/>
      <c r="AI1174" s="133"/>
      <c r="AJ1174" s="133"/>
      <c r="AK1174" s="133">
        <v>5508.4745762711864</v>
      </c>
      <c r="AL1174" s="133"/>
      <c r="AM1174" s="133"/>
      <c r="AN1174" s="133"/>
      <c r="AO1174" s="133"/>
      <c r="AP1174" s="133"/>
      <c r="AQ1174" s="133"/>
      <c r="AR1174" s="133"/>
      <c r="AS1174" s="153">
        <v>0</v>
      </c>
      <c r="AT1174" s="153">
        <v>0</v>
      </c>
      <c r="AU1174" s="153">
        <v>0</v>
      </c>
      <c r="AV1174" s="135"/>
      <c r="AW1174" s="135"/>
      <c r="AX1174" s="135"/>
      <c r="AY1174" s="135"/>
      <c r="AZ1174" s="135"/>
      <c r="BA1174" s="135"/>
      <c r="BB1174" s="135"/>
      <c r="BC1174" s="135"/>
      <c r="BD1174" s="135"/>
      <c r="BE1174" s="135">
        <f t="shared" si="138"/>
        <v>550.84745762711862</v>
      </c>
      <c r="BF1174" s="135"/>
      <c r="BG1174" s="135"/>
      <c r="BH1174" s="135"/>
      <c r="BI1174" s="2" t="s">
        <v>3746</v>
      </c>
      <c r="BJ1174" s="136">
        <v>45824</v>
      </c>
      <c r="BK1174" s="2" t="s">
        <v>109</v>
      </c>
      <c r="BL1174" s="136" t="s">
        <v>113</v>
      </c>
      <c r="BM1174" s="136">
        <v>45635</v>
      </c>
      <c r="BN1174" s="2" t="s">
        <v>3641</v>
      </c>
      <c r="BO1174" s="2"/>
      <c r="BP1174" s="136"/>
      <c r="BQ1174" s="137" t="s">
        <v>119</v>
      </c>
    </row>
    <row r="1175" spans="1:69" ht="12.75" customHeight="1" x14ac:dyDescent="0.2">
      <c r="A1175" s="2">
        <v>2664</v>
      </c>
      <c r="B1175" s="2" t="s">
        <v>44</v>
      </c>
      <c r="C1175" s="131" t="s">
        <v>45</v>
      </c>
      <c r="D1175" s="131" t="s">
        <v>4003</v>
      </c>
      <c r="E1175" s="2" t="s">
        <v>3635</v>
      </c>
      <c r="F1175" s="132">
        <v>0</v>
      </c>
      <c r="G1175" s="132"/>
      <c r="H1175" s="132">
        <f t="shared" si="129"/>
        <v>6500</v>
      </c>
      <c r="I1175" s="132"/>
      <c r="J1175" s="132">
        <f t="shared" si="134"/>
        <v>6500</v>
      </c>
      <c r="K1175" s="132">
        <f t="shared" si="131"/>
        <v>-6500</v>
      </c>
      <c r="L1175" s="132">
        <f t="shared" si="135"/>
        <v>0</v>
      </c>
      <c r="M1175" s="133"/>
      <c r="N1175" s="133">
        <f t="shared" si="127"/>
        <v>0</v>
      </c>
      <c r="O1175" s="134">
        <v>1</v>
      </c>
      <c r="P1175" s="133"/>
      <c r="Q1175" s="2" t="s">
        <v>3823</v>
      </c>
      <c r="R1175" s="156">
        <f t="shared" si="136"/>
        <v>6500</v>
      </c>
      <c r="S1175" s="156">
        <f t="shared" si="137"/>
        <v>6500</v>
      </c>
      <c r="T1175" s="133"/>
      <c r="U1175" s="133"/>
      <c r="V1175" s="133"/>
      <c r="W1175" s="133"/>
      <c r="X1175" s="133"/>
      <c r="Y1175" s="133"/>
      <c r="Z1175" s="133"/>
      <c r="AA1175" s="133"/>
      <c r="AB1175" s="133"/>
      <c r="AC1175" s="133"/>
      <c r="AD1175" s="133">
        <v>6500</v>
      </c>
      <c r="AE1175" s="133"/>
      <c r="AF1175" s="133"/>
      <c r="AG1175" s="133">
        <v>991.52542372881362</v>
      </c>
      <c r="AH1175" s="133"/>
      <c r="AI1175" s="133"/>
      <c r="AJ1175" s="133"/>
      <c r="AK1175" s="133">
        <v>5508.4745762711864</v>
      </c>
      <c r="AL1175" s="133"/>
      <c r="AM1175" s="133"/>
      <c r="AN1175" s="133"/>
      <c r="AO1175" s="133"/>
      <c r="AP1175" s="133"/>
      <c r="AQ1175" s="133"/>
      <c r="AR1175" s="133"/>
      <c r="AS1175" s="153">
        <v>0</v>
      </c>
      <c r="AT1175" s="153">
        <v>0</v>
      </c>
      <c r="AU1175" s="153">
        <v>0</v>
      </c>
      <c r="AV1175" s="135"/>
      <c r="AW1175" s="135"/>
      <c r="AX1175" s="135"/>
      <c r="AY1175" s="135"/>
      <c r="AZ1175" s="135"/>
      <c r="BA1175" s="135"/>
      <c r="BB1175" s="135"/>
      <c r="BC1175" s="135"/>
      <c r="BD1175" s="135"/>
      <c r="BE1175" s="135">
        <f t="shared" si="138"/>
        <v>550.84745762711862</v>
      </c>
      <c r="BF1175" s="135"/>
      <c r="BG1175" s="135"/>
      <c r="BH1175" s="135"/>
      <c r="BI1175" s="2" t="s">
        <v>3746</v>
      </c>
      <c r="BJ1175" s="136">
        <v>45824</v>
      </c>
      <c r="BK1175" s="2" t="s">
        <v>109</v>
      </c>
      <c r="BL1175" s="136" t="s">
        <v>113</v>
      </c>
      <c r="BM1175" s="136">
        <v>45635</v>
      </c>
      <c r="BN1175" s="2" t="s">
        <v>3641</v>
      </c>
      <c r="BO1175" s="2"/>
      <c r="BP1175" s="136"/>
      <c r="BQ1175" s="137" t="s">
        <v>119</v>
      </c>
    </row>
    <row r="1176" spans="1:69" ht="12.75" customHeight="1" x14ac:dyDescent="0.2">
      <c r="A1176" s="2">
        <v>2665</v>
      </c>
      <c r="B1176" s="2" t="s">
        <v>44</v>
      </c>
      <c r="C1176" s="131" t="s">
        <v>45</v>
      </c>
      <c r="D1176" s="131" t="s">
        <v>4004</v>
      </c>
      <c r="E1176" s="2" t="s">
        <v>3635</v>
      </c>
      <c r="F1176" s="132">
        <v>0</v>
      </c>
      <c r="G1176" s="132"/>
      <c r="H1176" s="132">
        <f t="shared" si="129"/>
        <v>6500</v>
      </c>
      <c r="I1176" s="132"/>
      <c r="J1176" s="132">
        <f t="shared" si="134"/>
        <v>6500</v>
      </c>
      <c r="K1176" s="132">
        <f t="shared" si="131"/>
        <v>-6500</v>
      </c>
      <c r="L1176" s="132">
        <f t="shared" si="135"/>
        <v>0</v>
      </c>
      <c r="M1176" s="133"/>
      <c r="N1176" s="133">
        <f t="shared" si="127"/>
        <v>0</v>
      </c>
      <c r="O1176" s="134">
        <v>1</v>
      </c>
      <c r="P1176" s="133"/>
      <c r="Q1176" s="2" t="s">
        <v>3823</v>
      </c>
      <c r="R1176" s="156">
        <f t="shared" si="136"/>
        <v>6500</v>
      </c>
      <c r="S1176" s="156">
        <f t="shared" si="137"/>
        <v>6500</v>
      </c>
      <c r="T1176" s="133"/>
      <c r="U1176" s="133"/>
      <c r="V1176" s="133"/>
      <c r="W1176" s="133"/>
      <c r="X1176" s="133"/>
      <c r="Y1176" s="133"/>
      <c r="Z1176" s="133"/>
      <c r="AA1176" s="133"/>
      <c r="AB1176" s="133"/>
      <c r="AC1176" s="133"/>
      <c r="AD1176" s="133">
        <v>6500</v>
      </c>
      <c r="AE1176" s="133"/>
      <c r="AF1176" s="133"/>
      <c r="AG1176" s="133">
        <v>991.52542372881362</v>
      </c>
      <c r="AH1176" s="133"/>
      <c r="AI1176" s="133"/>
      <c r="AJ1176" s="133"/>
      <c r="AK1176" s="133">
        <v>5508.4745762711864</v>
      </c>
      <c r="AL1176" s="133"/>
      <c r="AM1176" s="133"/>
      <c r="AN1176" s="133"/>
      <c r="AO1176" s="133"/>
      <c r="AP1176" s="133"/>
      <c r="AQ1176" s="133"/>
      <c r="AR1176" s="133"/>
      <c r="AS1176" s="153">
        <v>0</v>
      </c>
      <c r="AT1176" s="153">
        <v>0</v>
      </c>
      <c r="AU1176" s="153">
        <v>0</v>
      </c>
      <c r="AV1176" s="135"/>
      <c r="AW1176" s="135"/>
      <c r="AX1176" s="135"/>
      <c r="AY1176" s="135"/>
      <c r="AZ1176" s="135"/>
      <c r="BA1176" s="135"/>
      <c r="BB1176" s="135"/>
      <c r="BC1176" s="135"/>
      <c r="BD1176" s="135"/>
      <c r="BE1176" s="135">
        <f t="shared" si="138"/>
        <v>550.84745762711862</v>
      </c>
      <c r="BF1176" s="135"/>
      <c r="BG1176" s="135"/>
      <c r="BH1176" s="135"/>
      <c r="BI1176" s="2" t="s">
        <v>3746</v>
      </c>
      <c r="BJ1176" s="136">
        <v>45824</v>
      </c>
      <c r="BK1176" s="2" t="s">
        <v>109</v>
      </c>
      <c r="BL1176" s="136" t="s">
        <v>113</v>
      </c>
      <c r="BM1176" s="136">
        <v>45635</v>
      </c>
      <c r="BN1176" s="2" t="s">
        <v>3641</v>
      </c>
      <c r="BO1176" s="2"/>
      <c r="BP1176" s="136"/>
      <c r="BQ1176" s="137" t="s">
        <v>119</v>
      </c>
    </row>
    <row r="1177" spans="1:69" ht="12.75" customHeight="1" x14ac:dyDescent="0.2">
      <c r="A1177" s="2">
        <v>2666</v>
      </c>
      <c r="B1177" s="2" t="s">
        <v>44</v>
      </c>
      <c r="C1177" s="131" t="s">
        <v>45</v>
      </c>
      <c r="D1177" s="131" t="s">
        <v>4006</v>
      </c>
      <c r="E1177" s="2" t="s">
        <v>3635</v>
      </c>
      <c r="F1177" s="132">
        <v>0</v>
      </c>
      <c r="G1177" s="132"/>
      <c r="H1177" s="132">
        <f t="shared" si="129"/>
        <v>6500</v>
      </c>
      <c r="I1177" s="132"/>
      <c r="J1177" s="132">
        <f t="shared" si="134"/>
        <v>6500</v>
      </c>
      <c r="K1177" s="132">
        <f t="shared" si="131"/>
        <v>-6500</v>
      </c>
      <c r="L1177" s="132">
        <f t="shared" si="135"/>
        <v>0</v>
      </c>
      <c r="M1177" s="133"/>
      <c r="N1177" s="133">
        <f t="shared" si="127"/>
        <v>0</v>
      </c>
      <c r="O1177" s="134">
        <v>1</v>
      </c>
      <c r="P1177" s="133"/>
      <c r="Q1177" s="2" t="s">
        <v>3823</v>
      </c>
      <c r="R1177" s="156">
        <f t="shared" si="136"/>
        <v>6500</v>
      </c>
      <c r="S1177" s="156">
        <f t="shared" si="137"/>
        <v>6500</v>
      </c>
      <c r="T1177" s="133"/>
      <c r="U1177" s="133"/>
      <c r="V1177" s="133"/>
      <c r="W1177" s="133"/>
      <c r="X1177" s="133"/>
      <c r="Y1177" s="133"/>
      <c r="Z1177" s="133"/>
      <c r="AA1177" s="133"/>
      <c r="AB1177" s="133"/>
      <c r="AC1177" s="133"/>
      <c r="AD1177" s="133">
        <v>6500</v>
      </c>
      <c r="AE1177" s="133"/>
      <c r="AF1177" s="133"/>
      <c r="AG1177" s="133">
        <v>991.52542372881362</v>
      </c>
      <c r="AH1177" s="133"/>
      <c r="AI1177" s="133"/>
      <c r="AJ1177" s="133"/>
      <c r="AK1177" s="133">
        <v>5508.4745762711864</v>
      </c>
      <c r="AL1177" s="133"/>
      <c r="AM1177" s="133"/>
      <c r="AN1177" s="133"/>
      <c r="AO1177" s="133"/>
      <c r="AP1177" s="133"/>
      <c r="AQ1177" s="133"/>
      <c r="AR1177" s="133"/>
      <c r="AS1177" s="153">
        <v>0</v>
      </c>
      <c r="AT1177" s="153">
        <v>0</v>
      </c>
      <c r="AU1177" s="153">
        <v>0</v>
      </c>
      <c r="AV1177" s="135"/>
      <c r="AW1177" s="135"/>
      <c r="AX1177" s="135"/>
      <c r="AY1177" s="135"/>
      <c r="AZ1177" s="135"/>
      <c r="BA1177" s="135"/>
      <c r="BB1177" s="135"/>
      <c r="BC1177" s="135"/>
      <c r="BD1177" s="135"/>
      <c r="BE1177" s="135">
        <f t="shared" si="138"/>
        <v>550.84745762711862</v>
      </c>
      <c r="BF1177" s="135"/>
      <c r="BG1177" s="135"/>
      <c r="BH1177" s="135"/>
      <c r="BI1177" s="2" t="s">
        <v>3746</v>
      </c>
      <c r="BJ1177" s="136">
        <v>45824</v>
      </c>
      <c r="BK1177" s="2" t="s">
        <v>109</v>
      </c>
      <c r="BL1177" s="136" t="s">
        <v>113</v>
      </c>
      <c r="BM1177" s="136">
        <v>45635</v>
      </c>
      <c r="BN1177" s="2" t="s">
        <v>3641</v>
      </c>
      <c r="BO1177" s="2"/>
      <c r="BP1177" s="136"/>
      <c r="BQ1177" s="137" t="s">
        <v>119</v>
      </c>
    </row>
    <row r="1178" spans="1:69" ht="12.75" customHeight="1" x14ac:dyDescent="0.2">
      <c r="A1178" s="2">
        <v>2667</v>
      </c>
      <c r="B1178" s="2" t="s">
        <v>44</v>
      </c>
      <c r="C1178" s="131" t="s">
        <v>45</v>
      </c>
      <c r="D1178" s="131" t="s">
        <v>4007</v>
      </c>
      <c r="E1178" s="2" t="s">
        <v>3635</v>
      </c>
      <c r="F1178" s="132">
        <v>0</v>
      </c>
      <c r="G1178" s="132"/>
      <c r="H1178" s="132">
        <f t="shared" si="129"/>
        <v>6500</v>
      </c>
      <c r="I1178" s="132"/>
      <c r="J1178" s="132">
        <f t="shared" si="126"/>
        <v>6500</v>
      </c>
      <c r="K1178" s="132">
        <f t="shared" si="131"/>
        <v>-6500</v>
      </c>
      <c r="L1178" s="132">
        <f t="shared" si="135"/>
        <v>0</v>
      </c>
      <c r="M1178" s="133"/>
      <c r="N1178" s="133">
        <f t="shared" si="127"/>
        <v>0</v>
      </c>
      <c r="O1178" s="134">
        <v>1</v>
      </c>
      <c r="P1178" s="133"/>
      <c r="Q1178" s="2" t="s">
        <v>3823</v>
      </c>
      <c r="R1178" s="156">
        <f t="shared" si="136"/>
        <v>6500</v>
      </c>
      <c r="S1178" s="156">
        <f t="shared" si="137"/>
        <v>6500</v>
      </c>
      <c r="T1178" s="133"/>
      <c r="U1178" s="133"/>
      <c r="V1178" s="133"/>
      <c r="W1178" s="133"/>
      <c r="X1178" s="133"/>
      <c r="Y1178" s="133"/>
      <c r="Z1178" s="133"/>
      <c r="AA1178" s="133"/>
      <c r="AB1178" s="133"/>
      <c r="AC1178" s="133"/>
      <c r="AD1178" s="133">
        <v>6500</v>
      </c>
      <c r="AE1178" s="133"/>
      <c r="AF1178" s="133"/>
      <c r="AG1178" s="133">
        <v>991.52542372881362</v>
      </c>
      <c r="AH1178" s="133"/>
      <c r="AI1178" s="133"/>
      <c r="AJ1178" s="133"/>
      <c r="AK1178" s="133">
        <v>5508.4745762711864</v>
      </c>
      <c r="AL1178" s="133"/>
      <c r="AM1178" s="133"/>
      <c r="AN1178" s="133"/>
      <c r="AO1178" s="133"/>
      <c r="AP1178" s="133"/>
      <c r="AQ1178" s="133"/>
      <c r="AR1178" s="133"/>
      <c r="AS1178" s="153">
        <v>0</v>
      </c>
      <c r="AT1178" s="153">
        <v>0</v>
      </c>
      <c r="AU1178" s="153">
        <v>0</v>
      </c>
      <c r="AV1178" s="135"/>
      <c r="AW1178" s="135"/>
      <c r="AX1178" s="135"/>
      <c r="AY1178" s="135"/>
      <c r="AZ1178" s="135"/>
      <c r="BA1178" s="135"/>
      <c r="BB1178" s="135"/>
      <c r="BC1178" s="135"/>
      <c r="BD1178" s="135"/>
      <c r="BE1178" s="135">
        <f t="shared" si="138"/>
        <v>550.84745762711862</v>
      </c>
      <c r="BF1178" s="135"/>
      <c r="BG1178" s="135"/>
      <c r="BH1178" s="135"/>
      <c r="BI1178" s="2" t="s">
        <v>3746</v>
      </c>
      <c r="BJ1178" s="136">
        <v>45824</v>
      </c>
      <c r="BK1178" s="2" t="s">
        <v>109</v>
      </c>
      <c r="BL1178" s="136" t="s">
        <v>113</v>
      </c>
      <c r="BM1178" s="136">
        <v>45635</v>
      </c>
      <c r="BN1178" s="2" t="s">
        <v>3641</v>
      </c>
      <c r="BO1178" s="2"/>
      <c r="BP1178" s="136"/>
      <c r="BQ1178" s="137" t="s">
        <v>119</v>
      </c>
    </row>
    <row r="1179" spans="1:69" ht="12.75" customHeight="1" x14ac:dyDescent="0.2">
      <c r="A1179" s="2">
        <v>2668</v>
      </c>
      <c r="B1179" s="2" t="s">
        <v>44</v>
      </c>
      <c r="C1179" s="131" t="s">
        <v>45</v>
      </c>
      <c r="D1179" s="131" t="s">
        <v>4008</v>
      </c>
      <c r="E1179" s="2" t="s">
        <v>3635</v>
      </c>
      <c r="F1179" s="132">
        <v>0</v>
      </c>
      <c r="G1179" s="132"/>
      <c r="H1179" s="132">
        <f t="shared" si="129"/>
        <v>6500</v>
      </c>
      <c r="I1179" s="132"/>
      <c r="J1179" s="132">
        <f t="shared" si="126"/>
        <v>6500</v>
      </c>
      <c r="K1179" s="132">
        <f t="shared" si="131"/>
        <v>-6500</v>
      </c>
      <c r="L1179" s="132">
        <f t="shared" si="135"/>
        <v>0</v>
      </c>
      <c r="M1179" s="133"/>
      <c r="N1179" s="133">
        <f t="shared" si="127"/>
        <v>0</v>
      </c>
      <c r="O1179" s="134">
        <v>1</v>
      </c>
      <c r="P1179" s="133"/>
      <c r="Q1179" s="2" t="s">
        <v>3823</v>
      </c>
      <c r="R1179" s="156">
        <f t="shared" si="136"/>
        <v>6500</v>
      </c>
      <c r="S1179" s="156">
        <f t="shared" si="137"/>
        <v>6500</v>
      </c>
      <c r="T1179" s="133"/>
      <c r="U1179" s="133"/>
      <c r="V1179" s="133"/>
      <c r="W1179" s="133"/>
      <c r="X1179" s="133"/>
      <c r="Y1179" s="133"/>
      <c r="Z1179" s="133"/>
      <c r="AA1179" s="133"/>
      <c r="AB1179" s="133"/>
      <c r="AC1179" s="133"/>
      <c r="AD1179" s="133">
        <v>6500</v>
      </c>
      <c r="AE1179" s="133"/>
      <c r="AF1179" s="133"/>
      <c r="AG1179" s="133">
        <v>991.52542372881362</v>
      </c>
      <c r="AH1179" s="133"/>
      <c r="AI1179" s="133"/>
      <c r="AJ1179" s="133"/>
      <c r="AK1179" s="133">
        <v>5508.4745762711864</v>
      </c>
      <c r="AL1179" s="133"/>
      <c r="AM1179" s="133"/>
      <c r="AN1179" s="133"/>
      <c r="AO1179" s="133"/>
      <c r="AP1179" s="133"/>
      <c r="AQ1179" s="133"/>
      <c r="AR1179" s="133"/>
      <c r="AS1179" s="153">
        <v>0</v>
      </c>
      <c r="AT1179" s="153">
        <v>0</v>
      </c>
      <c r="AU1179" s="153">
        <v>0</v>
      </c>
      <c r="AV1179" s="135"/>
      <c r="AW1179" s="135"/>
      <c r="AX1179" s="135"/>
      <c r="AY1179" s="135"/>
      <c r="AZ1179" s="135"/>
      <c r="BA1179" s="135"/>
      <c r="BB1179" s="135"/>
      <c r="BC1179" s="135"/>
      <c r="BD1179" s="135"/>
      <c r="BE1179" s="135">
        <f t="shared" si="138"/>
        <v>550.84745762711862</v>
      </c>
      <c r="BF1179" s="135"/>
      <c r="BG1179" s="135"/>
      <c r="BH1179" s="135"/>
      <c r="BI1179" s="2" t="s">
        <v>3746</v>
      </c>
      <c r="BJ1179" s="136">
        <v>45824</v>
      </c>
      <c r="BK1179" s="2" t="s">
        <v>109</v>
      </c>
      <c r="BL1179" s="136" t="s">
        <v>113</v>
      </c>
      <c r="BM1179" s="136">
        <v>45635</v>
      </c>
      <c r="BN1179" s="2" t="s">
        <v>3641</v>
      </c>
      <c r="BO1179" s="2"/>
      <c r="BP1179" s="136"/>
      <c r="BQ1179" s="137" t="s">
        <v>119</v>
      </c>
    </row>
    <row r="1180" spans="1:69" ht="12.75" customHeight="1" x14ac:dyDescent="0.2">
      <c r="A1180" s="2">
        <v>2669</v>
      </c>
      <c r="B1180" s="2" t="s">
        <v>44</v>
      </c>
      <c r="C1180" s="131" t="s">
        <v>45</v>
      </c>
      <c r="D1180" s="131" t="s">
        <v>4009</v>
      </c>
      <c r="E1180" s="2" t="s">
        <v>3635</v>
      </c>
      <c r="F1180" s="132">
        <v>0</v>
      </c>
      <c r="G1180" s="132"/>
      <c r="H1180" s="132">
        <f t="shared" si="129"/>
        <v>6500</v>
      </c>
      <c r="I1180" s="132"/>
      <c r="J1180" s="132">
        <f t="shared" si="126"/>
        <v>6500</v>
      </c>
      <c r="K1180" s="132">
        <f t="shared" si="131"/>
        <v>-6500</v>
      </c>
      <c r="L1180" s="132">
        <f t="shared" si="135"/>
        <v>0</v>
      </c>
      <c r="M1180" s="133"/>
      <c r="N1180" s="133">
        <f t="shared" si="127"/>
        <v>0</v>
      </c>
      <c r="O1180" s="134">
        <v>1</v>
      </c>
      <c r="P1180" s="133"/>
      <c r="Q1180" s="2" t="s">
        <v>3823</v>
      </c>
      <c r="R1180" s="156">
        <f t="shared" si="136"/>
        <v>6500</v>
      </c>
      <c r="S1180" s="156">
        <f t="shared" si="137"/>
        <v>6500</v>
      </c>
      <c r="T1180" s="133"/>
      <c r="U1180" s="133"/>
      <c r="V1180" s="133"/>
      <c r="W1180" s="133"/>
      <c r="X1180" s="133"/>
      <c r="Y1180" s="133"/>
      <c r="Z1180" s="133"/>
      <c r="AA1180" s="133"/>
      <c r="AB1180" s="133"/>
      <c r="AC1180" s="133"/>
      <c r="AD1180" s="133">
        <v>6500</v>
      </c>
      <c r="AE1180" s="133"/>
      <c r="AF1180" s="133"/>
      <c r="AG1180" s="133">
        <v>991.52542372881362</v>
      </c>
      <c r="AH1180" s="133"/>
      <c r="AI1180" s="133"/>
      <c r="AJ1180" s="133"/>
      <c r="AK1180" s="133">
        <v>5508.4745762711864</v>
      </c>
      <c r="AL1180" s="133"/>
      <c r="AM1180" s="133"/>
      <c r="AN1180" s="133"/>
      <c r="AO1180" s="133"/>
      <c r="AP1180" s="133"/>
      <c r="AQ1180" s="133"/>
      <c r="AR1180" s="133"/>
      <c r="AS1180" s="153">
        <v>0</v>
      </c>
      <c r="AT1180" s="153">
        <v>0</v>
      </c>
      <c r="AU1180" s="153">
        <v>0</v>
      </c>
      <c r="AV1180" s="135"/>
      <c r="AW1180" s="135"/>
      <c r="AX1180" s="135"/>
      <c r="AY1180" s="135"/>
      <c r="AZ1180" s="135"/>
      <c r="BA1180" s="135"/>
      <c r="BB1180" s="135"/>
      <c r="BC1180" s="135"/>
      <c r="BD1180" s="135"/>
      <c r="BE1180" s="135">
        <f t="shared" si="138"/>
        <v>550.84745762711862</v>
      </c>
      <c r="BF1180" s="135"/>
      <c r="BG1180" s="135"/>
      <c r="BH1180" s="135"/>
      <c r="BI1180" s="2" t="s">
        <v>3746</v>
      </c>
      <c r="BJ1180" s="136">
        <v>45825</v>
      </c>
      <c r="BK1180" s="2" t="s">
        <v>109</v>
      </c>
      <c r="BL1180" s="136" t="s">
        <v>113</v>
      </c>
      <c r="BM1180" s="136">
        <v>45635</v>
      </c>
      <c r="BN1180" s="2" t="s">
        <v>3641</v>
      </c>
      <c r="BO1180" s="2"/>
      <c r="BP1180" s="136"/>
      <c r="BQ1180" s="137" t="s">
        <v>119</v>
      </c>
    </row>
    <row r="1181" spans="1:69" ht="12.75" customHeight="1" x14ac:dyDescent="0.2">
      <c r="A1181" s="2">
        <v>2670</v>
      </c>
      <c r="B1181" s="2" t="s">
        <v>54</v>
      </c>
      <c r="C1181" s="2" t="s">
        <v>50</v>
      </c>
      <c r="D1181" s="2" t="s">
        <v>4010</v>
      </c>
      <c r="E1181" s="2" t="s">
        <v>141</v>
      </c>
      <c r="F1181" s="132">
        <v>0</v>
      </c>
      <c r="G1181" s="132"/>
      <c r="H1181" s="132">
        <f t="shared" si="129"/>
        <v>48100</v>
      </c>
      <c r="I1181" s="132"/>
      <c r="J1181" s="132">
        <f t="shared" ref="J1181:J1191" si="139">S1181+BC1181</f>
        <v>39998.306610169493</v>
      </c>
      <c r="K1181" s="132">
        <f t="shared" si="131"/>
        <v>-39998.306610169493</v>
      </c>
      <c r="L1181" s="132">
        <f t="shared" si="135"/>
        <v>8101.6933898305069</v>
      </c>
      <c r="M1181" s="133">
        <v>1629</v>
      </c>
      <c r="N1181" s="133">
        <f t="shared" si="127"/>
        <v>-39998.306610169493</v>
      </c>
      <c r="O1181" s="134" t="s">
        <v>1993</v>
      </c>
      <c r="P1181" s="133"/>
      <c r="Q1181" s="2" t="s">
        <v>338</v>
      </c>
      <c r="R1181" s="156">
        <f t="shared" si="136"/>
        <v>48100</v>
      </c>
      <c r="S1181" s="156">
        <f t="shared" si="137"/>
        <v>167.79661016949149</v>
      </c>
      <c r="T1181" s="133"/>
      <c r="U1181" s="133"/>
      <c r="V1181" s="133"/>
      <c r="W1181" s="133"/>
      <c r="X1181" s="133"/>
      <c r="Y1181" s="133"/>
      <c r="Z1181" s="133"/>
      <c r="AA1181" s="133"/>
      <c r="AB1181" s="133"/>
      <c r="AC1181" s="133"/>
      <c r="AD1181" s="133">
        <v>1100</v>
      </c>
      <c r="AE1181" s="133"/>
      <c r="AF1181" s="133"/>
      <c r="AG1181" s="133">
        <v>167.79661016949149</v>
      </c>
      <c r="AH1181" s="133"/>
      <c r="AI1181" s="133"/>
      <c r="AJ1181" s="133">
        <v>47000</v>
      </c>
      <c r="AK1181" s="133"/>
      <c r="AL1181" s="133"/>
      <c r="AM1181" s="133"/>
      <c r="AN1181" s="133"/>
      <c r="AO1181" s="133"/>
      <c r="AP1181" s="133"/>
      <c r="AQ1181" s="133"/>
      <c r="AR1181" s="133"/>
      <c r="AS1181" s="153">
        <v>0</v>
      </c>
      <c r="AT1181" s="153">
        <v>0</v>
      </c>
      <c r="AU1181" s="153">
        <v>0</v>
      </c>
      <c r="AV1181" s="135"/>
      <c r="AW1181" s="135"/>
      <c r="AX1181" s="135"/>
      <c r="AY1181" s="135"/>
      <c r="AZ1181" s="135"/>
      <c r="BA1181" s="135"/>
      <c r="BB1181" s="135"/>
      <c r="BC1181" s="135">
        <v>39830.51</v>
      </c>
      <c r="BD1181" s="135">
        <v>3213.72</v>
      </c>
      <c r="BE1181" s="135"/>
      <c r="BF1181" s="135"/>
      <c r="BG1181" s="135"/>
      <c r="BH1181" s="135"/>
      <c r="BI1181" s="2" t="s">
        <v>11</v>
      </c>
      <c r="BJ1181" s="136"/>
      <c r="BK1181" s="2">
        <v>50</v>
      </c>
      <c r="BL1181" s="136" t="s">
        <v>113</v>
      </c>
      <c r="BM1181" s="136">
        <v>45308</v>
      </c>
      <c r="BN1181" s="2" t="s">
        <v>2198</v>
      </c>
      <c r="BO1181" s="2"/>
      <c r="BP1181" s="136"/>
      <c r="BQ1181" s="137" t="s">
        <v>134</v>
      </c>
    </row>
    <row r="1182" spans="1:69" ht="12.75" customHeight="1" x14ac:dyDescent="0.2">
      <c r="A1182" s="2">
        <v>2671</v>
      </c>
      <c r="B1182" s="2" t="s">
        <v>54</v>
      </c>
      <c r="C1182" s="2" t="s">
        <v>50</v>
      </c>
      <c r="D1182" s="2" t="s">
        <v>4011</v>
      </c>
      <c r="E1182" s="2" t="s">
        <v>141</v>
      </c>
      <c r="F1182" s="132">
        <v>0</v>
      </c>
      <c r="G1182" s="132"/>
      <c r="H1182" s="132">
        <f t="shared" si="129"/>
        <v>65000</v>
      </c>
      <c r="I1182" s="132"/>
      <c r="J1182" s="132">
        <f t="shared" si="139"/>
        <v>51610.171864406781</v>
      </c>
      <c r="K1182" s="132">
        <f t="shared" si="131"/>
        <v>-51610.171864406781</v>
      </c>
      <c r="L1182" s="132">
        <f t="shared" si="135"/>
        <v>13389.828135593219</v>
      </c>
      <c r="M1182" s="133">
        <v>1938</v>
      </c>
      <c r="N1182" s="133">
        <f t="shared" si="127"/>
        <v>-51610.171864406781</v>
      </c>
      <c r="O1182" s="134" t="s">
        <v>1993</v>
      </c>
      <c r="P1182" s="133"/>
      <c r="Q1182" s="2" t="s">
        <v>338</v>
      </c>
      <c r="R1182" s="156">
        <f t="shared" si="136"/>
        <v>65000</v>
      </c>
      <c r="S1182" s="156">
        <f t="shared" si="137"/>
        <v>762.71186440677957</v>
      </c>
      <c r="T1182" s="133"/>
      <c r="U1182" s="133"/>
      <c r="V1182" s="133"/>
      <c r="W1182" s="133"/>
      <c r="X1182" s="133"/>
      <c r="Y1182" s="133"/>
      <c r="Z1182" s="133"/>
      <c r="AA1182" s="133"/>
      <c r="AB1182" s="133"/>
      <c r="AC1182" s="133"/>
      <c r="AD1182" s="133">
        <v>5000</v>
      </c>
      <c r="AE1182" s="133"/>
      <c r="AF1182" s="133"/>
      <c r="AG1182" s="133">
        <v>762.71186440677957</v>
      </c>
      <c r="AH1182" s="133"/>
      <c r="AI1182" s="133"/>
      <c r="AJ1182" s="133">
        <v>60000</v>
      </c>
      <c r="AK1182" s="133"/>
      <c r="AL1182" s="133"/>
      <c r="AM1182" s="133"/>
      <c r="AN1182" s="133"/>
      <c r="AO1182" s="133"/>
      <c r="AP1182" s="133"/>
      <c r="AQ1182" s="133"/>
      <c r="AR1182" s="133"/>
      <c r="AS1182" s="153">
        <v>0</v>
      </c>
      <c r="AT1182" s="153">
        <v>0</v>
      </c>
      <c r="AU1182" s="153">
        <v>0</v>
      </c>
      <c r="AV1182" s="135"/>
      <c r="AW1182" s="135"/>
      <c r="AX1182" s="135"/>
      <c r="AY1182" s="135"/>
      <c r="AZ1182" s="135"/>
      <c r="BA1182" s="135"/>
      <c r="BB1182" s="135"/>
      <c r="BC1182" s="135">
        <v>50847.46</v>
      </c>
      <c r="BD1182" s="135">
        <v>4102.62</v>
      </c>
      <c r="BE1182" s="135"/>
      <c r="BF1182" s="135"/>
      <c r="BG1182" s="135"/>
      <c r="BH1182" s="135"/>
      <c r="BI1182" s="2" t="s">
        <v>11</v>
      </c>
      <c r="BJ1182" s="136"/>
      <c r="BK1182" s="2">
        <v>50</v>
      </c>
      <c r="BL1182" s="136" t="s">
        <v>113</v>
      </c>
      <c r="BM1182" s="136">
        <v>45308</v>
      </c>
      <c r="BN1182" s="2" t="s">
        <v>2198</v>
      </c>
      <c r="BO1182" s="2"/>
      <c r="BP1182" s="136"/>
      <c r="BQ1182" s="137" t="s">
        <v>134</v>
      </c>
    </row>
    <row r="1183" spans="1:69" ht="12.75" customHeight="1" x14ac:dyDescent="0.2">
      <c r="A1183" s="2">
        <v>2672</v>
      </c>
      <c r="B1183" s="2" t="s">
        <v>54</v>
      </c>
      <c r="C1183" s="131" t="s">
        <v>50</v>
      </c>
      <c r="D1183" s="131" t="s">
        <v>4012</v>
      </c>
      <c r="E1183" s="2" t="s">
        <v>141</v>
      </c>
      <c r="F1183" s="132">
        <v>0</v>
      </c>
      <c r="G1183" s="132"/>
      <c r="H1183" s="132">
        <f t="shared" si="129"/>
        <v>4000</v>
      </c>
      <c r="I1183" s="132"/>
      <c r="J1183" s="132">
        <f t="shared" si="139"/>
        <v>610.16949152542338</v>
      </c>
      <c r="K1183" s="132">
        <f t="shared" si="131"/>
        <v>-610.16949152542338</v>
      </c>
      <c r="L1183" s="132">
        <f t="shared" si="135"/>
        <v>3389.8305084745766</v>
      </c>
      <c r="M1183" s="133"/>
      <c r="N1183" s="133">
        <f t="shared" si="127"/>
        <v>-610.16949152542338</v>
      </c>
      <c r="O1183" s="134" t="s">
        <v>1993</v>
      </c>
      <c r="P1183" s="133"/>
      <c r="Q1183" s="2" t="s">
        <v>338</v>
      </c>
      <c r="R1183" s="156">
        <f t="shared" si="136"/>
        <v>4000</v>
      </c>
      <c r="S1183" s="156">
        <f t="shared" si="137"/>
        <v>610.16949152542338</v>
      </c>
      <c r="T1183" s="133"/>
      <c r="U1183" s="133"/>
      <c r="V1183" s="133"/>
      <c r="W1183" s="133"/>
      <c r="X1183" s="133"/>
      <c r="Y1183" s="133"/>
      <c r="Z1183" s="133"/>
      <c r="AA1183" s="133"/>
      <c r="AB1183" s="133"/>
      <c r="AC1183" s="133"/>
      <c r="AD1183" s="133">
        <v>4000</v>
      </c>
      <c r="AE1183" s="133"/>
      <c r="AF1183" s="133"/>
      <c r="AG1183" s="133">
        <v>610.16949152542338</v>
      </c>
      <c r="AH1183" s="133"/>
      <c r="AI1183" s="133"/>
      <c r="AJ1183" s="133"/>
      <c r="AK1183" s="133"/>
      <c r="AL1183" s="133"/>
      <c r="AM1183" s="133"/>
      <c r="AN1183" s="133"/>
      <c r="AO1183" s="133"/>
      <c r="AP1183" s="133"/>
      <c r="AQ1183" s="133"/>
      <c r="AR1183" s="133"/>
      <c r="AS1183" s="153">
        <v>0</v>
      </c>
      <c r="AT1183" s="153">
        <v>0</v>
      </c>
      <c r="AU1183" s="153">
        <v>0</v>
      </c>
      <c r="AV1183" s="135"/>
      <c r="AW1183" s="135"/>
      <c r="AX1183" s="135"/>
      <c r="AY1183" s="135"/>
      <c r="AZ1183" s="135"/>
      <c r="BA1183" s="135"/>
      <c r="BB1183" s="135"/>
      <c r="BC1183" s="135"/>
      <c r="BD1183" s="135"/>
      <c r="BE1183" s="135"/>
      <c r="BF1183" s="135"/>
      <c r="BG1183" s="135"/>
      <c r="BH1183" s="135"/>
      <c r="BI1183" s="2" t="s">
        <v>11</v>
      </c>
      <c r="BJ1183" s="136"/>
      <c r="BK1183" s="2">
        <v>50</v>
      </c>
      <c r="BL1183" s="136" t="s">
        <v>113</v>
      </c>
      <c r="BM1183" s="136">
        <v>45308</v>
      </c>
      <c r="BN1183" s="2" t="s">
        <v>2198</v>
      </c>
      <c r="BO1183" s="2"/>
      <c r="BP1183" s="136"/>
      <c r="BQ1183" s="137" t="s">
        <v>134</v>
      </c>
    </row>
    <row r="1184" spans="1:69" ht="12.75" customHeight="1" x14ac:dyDescent="0.2">
      <c r="A1184" s="2">
        <v>2673</v>
      </c>
      <c r="B1184" s="2" t="s">
        <v>28</v>
      </c>
      <c r="C1184" s="131" t="s">
        <v>88</v>
      </c>
      <c r="D1184" s="131" t="s">
        <v>4017</v>
      </c>
      <c r="E1184" s="2" t="s">
        <v>3635</v>
      </c>
      <c r="F1184" s="132">
        <v>0</v>
      </c>
      <c r="G1184" s="132"/>
      <c r="H1184" s="132">
        <f t="shared" si="129"/>
        <v>407301.92</v>
      </c>
      <c r="I1184" s="132"/>
      <c r="J1184" s="132">
        <f t="shared" si="139"/>
        <v>407301.92</v>
      </c>
      <c r="K1184" s="132">
        <f t="shared" si="131"/>
        <v>-407301.92</v>
      </c>
      <c r="L1184" s="132">
        <f t="shared" si="135"/>
        <v>0</v>
      </c>
      <c r="M1184" s="133"/>
      <c r="N1184" s="133">
        <f t="shared" si="127"/>
        <v>0</v>
      </c>
      <c r="O1184" s="134">
        <v>1</v>
      </c>
      <c r="P1184" s="133"/>
      <c r="Q1184" s="2" t="s">
        <v>4016</v>
      </c>
      <c r="R1184" s="156">
        <f t="shared" si="136"/>
        <v>407301.92</v>
      </c>
      <c r="S1184" s="156">
        <f t="shared" si="137"/>
        <v>102217.16999999998</v>
      </c>
      <c r="T1184" s="133"/>
      <c r="U1184" s="133"/>
      <c r="V1184" s="133"/>
      <c r="W1184" s="133"/>
      <c r="X1184" s="133"/>
      <c r="Y1184" s="133"/>
      <c r="Z1184" s="133"/>
      <c r="AA1184" s="133"/>
      <c r="AB1184" s="133"/>
      <c r="AC1184" s="133"/>
      <c r="AD1184" s="133"/>
      <c r="AE1184" s="133"/>
      <c r="AF1184" s="133">
        <v>360000</v>
      </c>
      <c r="AG1184" s="133"/>
      <c r="AH1184" s="133">
        <v>47301.919999999998</v>
      </c>
      <c r="AI1184" s="133">
        <v>54915.25</v>
      </c>
      <c r="AJ1184" s="133"/>
      <c r="AK1184" s="133">
        <v>47301.919999999984</v>
      </c>
      <c r="AL1184" s="133"/>
      <c r="AM1184" s="133"/>
      <c r="AN1184" s="133"/>
      <c r="AO1184" s="133"/>
      <c r="AP1184" s="133"/>
      <c r="AQ1184" s="133"/>
      <c r="AR1184" s="133"/>
      <c r="AS1184" s="153">
        <v>0</v>
      </c>
      <c r="AT1184" s="153">
        <v>0</v>
      </c>
      <c r="AU1184" s="153">
        <v>0</v>
      </c>
      <c r="AV1184" s="135"/>
      <c r="AW1184" s="135"/>
      <c r="AX1184" s="135"/>
      <c r="AY1184" s="135"/>
      <c r="AZ1184" s="135"/>
      <c r="BA1184" s="135"/>
      <c r="BB1184" s="135"/>
      <c r="BC1184" s="135">
        <v>305084.75</v>
      </c>
      <c r="BD1184" s="135">
        <v>31611.8</v>
      </c>
      <c r="BE1184" s="135"/>
      <c r="BF1184" s="135"/>
      <c r="BG1184" s="135"/>
      <c r="BH1184" s="135"/>
      <c r="BI1184" s="2" t="s">
        <v>3773</v>
      </c>
      <c r="BJ1184" s="136">
        <v>45875</v>
      </c>
      <c r="BK1184" s="2" t="s">
        <v>109</v>
      </c>
      <c r="BL1184" s="136" t="s">
        <v>18</v>
      </c>
      <c r="BM1184" s="136">
        <v>45597</v>
      </c>
      <c r="BN1184" s="2" t="s">
        <v>4015</v>
      </c>
      <c r="BO1184" s="2"/>
      <c r="BP1184" s="136"/>
      <c r="BQ1184" s="137" t="s">
        <v>119</v>
      </c>
    </row>
    <row r="1185" spans="1:69" ht="12.75" customHeight="1" x14ac:dyDescent="0.2">
      <c r="A1185" s="2">
        <v>2674</v>
      </c>
      <c r="B1185" s="2" t="s">
        <v>44</v>
      </c>
      <c r="C1185" s="131" t="s">
        <v>47</v>
      </c>
      <c r="D1185" s="131" t="s">
        <v>4019</v>
      </c>
      <c r="E1185" s="2" t="s">
        <v>3635</v>
      </c>
      <c r="F1185" s="132">
        <v>0</v>
      </c>
      <c r="G1185" s="132"/>
      <c r="H1185" s="132">
        <f t="shared" si="129"/>
        <v>208776.23</v>
      </c>
      <c r="I1185" s="132"/>
      <c r="J1185" s="132">
        <f t="shared" si="139"/>
        <v>208776.23</v>
      </c>
      <c r="K1185" s="132">
        <f t="shared" si="131"/>
        <v>-208776.23</v>
      </c>
      <c r="L1185" s="132">
        <f t="shared" si="135"/>
        <v>0</v>
      </c>
      <c r="M1185" s="133"/>
      <c r="N1185" s="133">
        <f t="shared" si="127"/>
        <v>0</v>
      </c>
      <c r="O1185" s="134">
        <v>1</v>
      </c>
      <c r="P1185" s="133"/>
      <c r="Q1185" s="2" t="s">
        <v>4018</v>
      </c>
      <c r="R1185" s="156">
        <f t="shared" si="136"/>
        <v>208776.23</v>
      </c>
      <c r="S1185" s="156">
        <f t="shared" si="137"/>
        <v>51996.570000000007</v>
      </c>
      <c r="T1185" s="133"/>
      <c r="U1185" s="133"/>
      <c r="V1185" s="133"/>
      <c r="W1185" s="133"/>
      <c r="X1185" s="133"/>
      <c r="Y1185" s="133"/>
      <c r="Z1185" s="133"/>
      <c r="AA1185" s="133"/>
      <c r="AB1185" s="133"/>
      <c r="AC1185" s="133"/>
      <c r="AD1185" s="133"/>
      <c r="AE1185" s="133"/>
      <c r="AF1185" s="133">
        <v>185000</v>
      </c>
      <c r="AG1185" s="133"/>
      <c r="AH1185" s="133">
        <v>23776.23</v>
      </c>
      <c r="AI1185" s="133">
        <v>28220.338983050839</v>
      </c>
      <c r="AJ1185" s="133"/>
      <c r="AK1185" s="133">
        <v>23776.231016949168</v>
      </c>
      <c r="AL1185" s="133"/>
      <c r="AM1185" s="133"/>
      <c r="AN1185" s="133"/>
      <c r="AO1185" s="133"/>
      <c r="AP1185" s="133"/>
      <c r="AQ1185" s="133"/>
      <c r="AR1185" s="133"/>
      <c r="AS1185" s="153">
        <v>0</v>
      </c>
      <c r="AT1185" s="153">
        <v>0</v>
      </c>
      <c r="AU1185" s="153">
        <v>0</v>
      </c>
      <c r="AV1185" s="135"/>
      <c r="AW1185" s="135"/>
      <c r="AX1185" s="135"/>
      <c r="AY1185" s="135"/>
      <c r="AZ1185" s="135"/>
      <c r="BA1185" s="135"/>
      <c r="BB1185" s="135"/>
      <c r="BC1185" s="135">
        <v>156779.66</v>
      </c>
      <c r="BD1185" s="135">
        <v>15912.06</v>
      </c>
      <c r="BE1185" s="135"/>
      <c r="BF1185" s="135"/>
      <c r="BG1185" s="135"/>
      <c r="BH1185" s="135"/>
      <c r="BI1185" s="2" t="s">
        <v>3773</v>
      </c>
      <c r="BJ1185" s="136">
        <v>45875</v>
      </c>
      <c r="BK1185" s="2" t="s">
        <v>109</v>
      </c>
      <c r="BL1185" s="136" t="s">
        <v>113</v>
      </c>
      <c r="BM1185" s="136">
        <v>45597</v>
      </c>
      <c r="BN1185" s="2" t="s">
        <v>4020</v>
      </c>
      <c r="BO1185" s="2"/>
      <c r="BP1185" s="136"/>
      <c r="BQ1185" s="137" t="s">
        <v>119</v>
      </c>
    </row>
    <row r="1186" spans="1:69" ht="12.75" customHeight="1" x14ac:dyDescent="0.2">
      <c r="A1186" s="2">
        <v>2675</v>
      </c>
      <c r="B1186" s="2" t="s">
        <v>54</v>
      </c>
      <c r="C1186" s="2" t="s">
        <v>50</v>
      </c>
      <c r="D1186" s="2" t="s">
        <v>4022</v>
      </c>
      <c r="E1186" s="2" t="s">
        <v>141</v>
      </c>
      <c r="F1186" s="132">
        <v>0</v>
      </c>
      <c r="G1186" s="132"/>
      <c r="H1186" s="132">
        <f t="shared" si="129"/>
        <v>54000</v>
      </c>
      <c r="I1186" s="132"/>
      <c r="J1186" s="132">
        <f t="shared" si="139"/>
        <v>44372.924745762706</v>
      </c>
      <c r="K1186" s="132">
        <f t="shared" si="131"/>
        <v>-44372.924745762706</v>
      </c>
      <c r="L1186" s="132">
        <f t="shared" si="135"/>
        <v>9627.0752542372938</v>
      </c>
      <c r="M1186" s="133">
        <v>1492</v>
      </c>
      <c r="N1186" s="133">
        <f t="shared" si="127"/>
        <v>-44372.924745762706</v>
      </c>
      <c r="O1186" s="134" t="s">
        <v>1993</v>
      </c>
      <c r="P1186" s="133"/>
      <c r="Q1186" s="2" t="s">
        <v>338</v>
      </c>
      <c r="R1186" s="156">
        <f t="shared" si="136"/>
        <v>54000</v>
      </c>
      <c r="S1186" s="156">
        <f t="shared" si="137"/>
        <v>305.08474576271169</v>
      </c>
      <c r="T1186" s="133"/>
      <c r="U1186" s="133"/>
      <c r="V1186" s="133"/>
      <c r="W1186" s="133"/>
      <c r="X1186" s="133"/>
      <c r="Y1186" s="133"/>
      <c r="Z1186" s="133"/>
      <c r="AA1186" s="133"/>
      <c r="AB1186" s="133"/>
      <c r="AC1186" s="133"/>
      <c r="AD1186" s="133"/>
      <c r="AE1186" s="133"/>
      <c r="AF1186" s="133">
        <v>2000</v>
      </c>
      <c r="AG1186" s="133"/>
      <c r="AH1186" s="133"/>
      <c r="AI1186" s="133">
        <v>305.08474576271169</v>
      </c>
      <c r="AJ1186" s="133">
        <f>52000</f>
        <v>52000</v>
      </c>
      <c r="AK1186" s="133"/>
      <c r="AL1186" s="133"/>
      <c r="AM1186" s="133"/>
      <c r="AN1186" s="133"/>
      <c r="AO1186" s="133"/>
      <c r="AP1186" s="133"/>
      <c r="AQ1186" s="133"/>
      <c r="AR1186" s="133"/>
      <c r="AS1186" s="153">
        <v>0</v>
      </c>
      <c r="AT1186" s="153">
        <v>0</v>
      </c>
      <c r="AU1186" s="153">
        <v>0</v>
      </c>
      <c r="AV1186" s="135"/>
      <c r="AW1186" s="135"/>
      <c r="AX1186" s="135"/>
      <c r="AY1186" s="135"/>
      <c r="AZ1186" s="135"/>
      <c r="BA1186" s="135"/>
      <c r="BB1186" s="135"/>
      <c r="BC1186" s="135">
        <v>44067.839999999997</v>
      </c>
      <c r="BD1186" s="135">
        <v>3555.61</v>
      </c>
      <c r="BE1186" s="135"/>
      <c r="BF1186" s="135"/>
      <c r="BG1186" s="135"/>
      <c r="BH1186" s="135"/>
      <c r="BI1186" s="2" t="s">
        <v>11</v>
      </c>
      <c r="BJ1186" s="136"/>
      <c r="BK1186" s="2">
        <v>55</v>
      </c>
      <c r="BL1186" s="136" t="s">
        <v>113</v>
      </c>
      <c r="BM1186" s="136">
        <v>45308</v>
      </c>
      <c r="BN1186" s="2" t="s">
        <v>2198</v>
      </c>
      <c r="BO1186" s="2"/>
      <c r="BP1186" s="136"/>
      <c r="BQ1186" s="137" t="s">
        <v>134</v>
      </c>
    </row>
    <row r="1187" spans="1:69" ht="12.75" customHeight="1" x14ac:dyDescent="0.2">
      <c r="A1187" s="2">
        <v>2676</v>
      </c>
      <c r="B1187" s="2" t="s">
        <v>28</v>
      </c>
      <c r="C1187" s="2" t="s">
        <v>93</v>
      </c>
      <c r="D1187" s="131" t="s">
        <v>4025</v>
      </c>
      <c r="E1187" s="2" t="s">
        <v>3635</v>
      </c>
      <c r="F1187" s="132">
        <v>0</v>
      </c>
      <c r="G1187" s="132"/>
      <c r="H1187" s="132">
        <f t="shared" si="129"/>
        <v>315802.18</v>
      </c>
      <c r="I1187" s="132"/>
      <c r="J1187" s="132">
        <f t="shared" si="139"/>
        <v>285461.33900000004</v>
      </c>
      <c r="K1187" s="132">
        <f t="shared" si="131"/>
        <v>-285461.33900000004</v>
      </c>
      <c r="L1187" s="132">
        <f t="shared" si="135"/>
        <v>30340.840999999957</v>
      </c>
      <c r="M1187" s="133"/>
      <c r="N1187" s="133">
        <f t="shared" si="127"/>
        <v>30340.840999999957</v>
      </c>
      <c r="O1187" s="134">
        <v>1</v>
      </c>
      <c r="P1187" s="133"/>
      <c r="Q1187" s="2" t="s">
        <v>4024</v>
      </c>
      <c r="R1187" s="156">
        <f t="shared" si="136"/>
        <v>315802.18</v>
      </c>
      <c r="S1187" s="156">
        <f t="shared" si="137"/>
        <v>48173.209000000003</v>
      </c>
      <c r="T1187" s="133"/>
      <c r="U1187" s="133"/>
      <c r="V1187" s="133"/>
      <c r="W1187" s="133"/>
      <c r="X1187" s="133"/>
      <c r="Y1187" s="133"/>
      <c r="Z1187" s="133"/>
      <c r="AA1187" s="133"/>
      <c r="AB1187" s="133"/>
      <c r="AC1187" s="133"/>
      <c r="AD1187" s="133"/>
      <c r="AE1187" s="133"/>
      <c r="AF1187" s="133"/>
      <c r="AG1187" s="133"/>
      <c r="AH1187" s="133">
        <f>280000+35802.18</f>
        <v>315802.18</v>
      </c>
      <c r="AI1187" s="133"/>
      <c r="AJ1187" s="133"/>
      <c r="AK1187" s="133">
        <f>42711.86+5461.349</f>
        <v>48173.209000000003</v>
      </c>
      <c r="AL1187" s="133"/>
      <c r="AM1187" s="133"/>
      <c r="AN1187" s="133"/>
      <c r="AO1187" s="133"/>
      <c r="AP1187" s="133"/>
      <c r="AQ1187" s="133"/>
      <c r="AR1187" s="133"/>
      <c r="AS1187" s="153">
        <v>0</v>
      </c>
      <c r="AT1187" s="153">
        <v>0</v>
      </c>
      <c r="AU1187" s="153">
        <v>0</v>
      </c>
      <c r="AV1187" s="135"/>
      <c r="AW1187" s="135"/>
      <c r="AX1187" s="135"/>
      <c r="AY1187" s="135"/>
      <c r="AZ1187" s="135"/>
      <c r="BA1187" s="135"/>
      <c r="BB1187" s="135"/>
      <c r="BC1187" s="135">
        <v>237288.13</v>
      </c>
      <c r="BD1187" s="135">
        <v>21866.26</v>
      </c>
      <c r="BE1187" s="135"/>
      <c r="BF1187" s="135"/>
      <c r="BG1187" s="135"/>
      <c r="BH1187" s="135"/>
      <c r="BI1187" s="2" t="s">
        <v>3773</v>
      </c>
      <c r="BJ1187" s="136">
        <v>45898</v>
      </c>
      <c r="BK1187" s="2" t="s">
        <v>109</v>
      </c>
      <c r="BL1187" s="136" t="s">
        <v>18</v>
      </c>
      <c r="BM1187" s="136">
        <v>45597</v>
      </c>
      <c r="BN1187" s="329" t="s">
        <v>4023</v>
      </c>
      <c r="BO1187" s="2"/>
      <c r="BP1187" s="136"/>
      <c r="BQ1187" s="137" t="s">
        <v>119</v>
      </c>
    </row>
    <row r="1188" spans="1:69" ht="12.75" customHeight="1" x14ac:dyDescent="0.2">
      <c r="A1188" s="2">
        <v>2677</v>
      </c>
      <c r="B1188" s="2" t="s">
        <v>39</v>
      </c>
      <c r="C1188" s="131" t="s">
        <v>41</v>
      </c>
      <c r="D1188" s="131" t="s">
        <v>4027</v>
      </c>
      <c r="E1188" s="2" t="s">
        <v>3635</v>
      </c>
      <c r="F1188" s="132">
        <v>0</v>
      </c>
      <c r="G1188" s="132"/>
      <c r="H1188" s="132">
        <f t="shared" si="129"/>
        <v>9213.43</v>
      </c>
      <c r="I1188" s="132"/>
      <c r="J1188" s="132">
        <f t="shared" si="139"/>
        <v>8000</v>
      </c>
      <c r="K1188" s="132">
        <f t="shared" si="131"/>
        <v>-8000</v>
      </c>
      <c r="L1188" s="132">
        <f t="shared" si="135"/>
        <v>1213.4300000000003</v>
      </c>
      <c r="M1188" s="133"/>
      <c r="N1188" s="133">
        <f t="shared" si="127"/>
        <v>1213.4300000000003</v>
      </c>
      <c r="O1188" s="134">
        <v>1</v>
      </c>
      <c r="P1188" s="133"/>
      <c r="Q1188" s="2" t="s">
        <v>2809</v>
      </c>
      <c r="R1188" s="156">
        <f t="shared" si="136"/>
        <v>9213.43</v>
      </c>
      <c r="S1188" s="156">
        <f t="shared" si="137"/>
        <v>1220.3399999999999</v>
      </c>
      <c r="T1188" s="133"/>
      <c r="U1188" s="133"/>
      <c r="V1188" s="133"/>
      <c r="W1188" s="133"/>
      <c r="X1188" s="133"/>
      <c r="Y1188" s="133"/>
      <c r="Z1188" s="133"/>
      <c r="AA1188" s="133"/>
      <c r="AB1188" s="133"/>
      <c r="AC1188" s="133"/>
      <c r="AD1188" s="133"/>
      <c r="AE1188" s="133"/>
      <c r="AF1188" s="133"/>
      <c r="AG1188" s="133"/>
      <c r="AH1188" s="133">
        <v>8000</v>
      </c>
      <c r="AI1188" s="133"/>
      <c r="AJ1188" s="133">
        <v>1213.43</v>
      </c>
      <c r="AK1188" s="133">
        <v>1220.3399999999999</v>
      </c>
      <c r="AL1188" s="133"/>
      <c r="AM1188" s="133"/>
      <c r="AN1188" s="133"/>
      <c r="AO1188" s="133"/>
      <c r="AP1188" s="133"/>
      <c r="AQ1188" s="133"/>
      <c r="AR1188" s="133"/>
      <c r="AS1188" s="153">
        <v>0</v>
      </c>
      <c r="AT1188" s="153">
        <v>0</v>
      </c>
      <c r="AU1188" s="153">
        <v>0</v>
      </c>
      <c r="AV1188" s="135"/>
      <c r="AW1188" s="135"/>
      <c r="AX1188" s="135"/>
      <c r="AY1188" s="135"/>
      <c r="AZ1188" s="135"/>
      <c r="BA1188" s="135"/>
      <c r="BB1188" s="135"/>
      <c r="BC1188" s="135">
        <v>6779.66</v>
      </c>
      <c r="BD1188" s="135">
        <v>604.6</v>
      </c>
      <c r="BE1188" s="135"/>
      <c r="BF1188" s="135"/>
      <c r="BG1188" s="135"/>
      <c r="BH1188" s="135"/>
      <c r="BI1188" s="2" t="s">
        <v>3773</v>
      </c>
      <c r="BJ1188" s="136">
        <v>45908</v>
      </c>
      <c r="BK1188" s="2" t="s">
        <v>109</v>
      </c>
      <c r="BL1188" s="136" t="s">
        <v>113</v>
      </c>
      <c r="BM1188" s="136">
        <v>45597</v>
      </c>
      <c r="BN1188" s="329" t="s">
        <v>4026</v>
      </c>
      <c r="BO1188" s="2"/>
      <c r="BP1188" s="136"/>
      <c r="BQ1188" s="137" t="s">
        <v>119</v>
      </c>
    </row>
    <row r="1189" spans="1:69" ht="12.75" customHeight="1" x14ac:dyDescent="0.2">
      <c r="A1189" s="2">
        <v>2678</v>
      </c>
      <c r="B1189" s="2" t="s">
        <v>39</v>
      </c>
      <c r="C1189" s="131" t="s">
        <v>41</v>
      </c>
      <c r="D1189" s="131" t="s">
        <v>4028</v>
      </c>
      <c r="E1189" s="2" t="s">
        <v>3635</v>
      </c>
      <c r="F1189" s="132">
        <v>0</v>
      </c>
      <c r="G1189" s="132"/>
      <c r="H1189" s="132">
        <f t="shared" si="129"/>
        <v>9213.43</v>
      </c>
      <c r="I1189" s="132"/>
      <c r="J1189" s="132">
        <f t="shared" si="139"/>
        <v>8000</v>
      </c>
      <c r="K1189" s="132">
        <f t="shared" si="131"/>
        <v>-8000</v>
      </c>
      <c r="L1189" s="132">
        <f t="shared" si="135"/>
        <v>1213.4300000000003</v>
      </c>
      <c r="M1189" s="133"/>
      <c r="N1189" s="133">
        <f t="shared" si="127"/>
        <v>1213.4300000000003</v>
      </c>
      <c r="O1189" s="134">
        <v>1</v>
      </c>
      <c r="P1189" s="133"/>
      <c r="Q1189" s="2" t="s">
        <v>2809</v>
      </c>
      <c r="R1189" s="156">
        <f t="shared" si="136"/>
        <v>9213.43</v>
      </c>
      <c r="S1189" s="156">
        <f t="shared" si="137"/>
        <v>1220.3399999999999</v>
      </c>
      <c r="T1189" s="133"/>
      <c r="U1189" s="133"/>
      <c r="V1189" s="133"/>
      <c r="W1189" s="133"/>
      <c r="X1189" s="133"/>
      <c r="Y1189" s="133"/>
      <c r="Z1189" s="133"/>
      <c r="AA1189" s="133"/>
      <c r="AB1189" s="133"/>
      <c r="AC1189" s="133"/>
      <c r="AD1189" s="133"/>
      <c r="AE1189" s="133"/>
      <c r="AF1189" s="133"/>
      <c r="AG1189" s="133"/>
      <c r="AH1189" s="133">
        <v>8000</v>
      </c>
      <c r="AI1189" s="133"/>
      <c r="AJ1189" s="133">
        <v>1213.43</v>
      </c>
      <c r="AK1189" s="133">
        <v>1220.3399999999999</v>
      </c>
      <c r="AL1189" s="133"/>
      <c r="AM1189" s="133"/>
      <c r="AN1189" s="133"/>
      <c r="AO1189" s="133"/>
      <c r="AP1189" s="133"/>
      <c r="AQ1189" s="133"/>
      <c r="AR1189" s="133"/>
      <c r="AS1189" s="153">
        <v>0</v>
      </c>
      <c r="AT1189" s="153">
        <v>0</v>
      </c>
      <c r="AU1189" s="153">
        <v>0</v>
      </c>
      <c r="AV1189" s="135"/>
      <c r="AW1189" s="135"/>
      <c r="AX1189" s="135"/>
      <c r="AY1189" s="135"/>
      <c r="AZ1189" s="135"/>
      <c r="BA1189" s="135"/>
      <c r="BB1189" s="135"/>
      <c r="BC1189" s="135">
        <v>6779.66</v>
      </c>
      <c r="BD1189" s="135">
        <v>604.6</v>
      </c>
      <c r="BE1189" s="135"/>
      <c r="BF1189" s="135"/>
      <c r="BG1189" s="135"/>
      <c r="BH1189" s="135"/>
      <c r="BI1189" s="2" t="s">
        <v>3773</v>
      </c>
      <c r="BJ1189" s="136">
        <v>45908</v>
      </c>
      <c r="BK1189" s="2" t="s">
        <v>109</v>
      </c>
      <c r="BL1189" s="136" t="s">
        <v>113</v>
      </c>
      <c r="BM1189" s="136">
        <v>45597</v>
      </c>
      <c r="BN1189" s="2" t="s">
        <v>4026</v>
      </c>
      <c r="BO1189" s="2"/>
      <c r="BP1189" s="136"/>
      <c r="BQ1189" s="137" t="s">
        <v>119</v>
      </c>
    </row>
    <row r="1190" spans="1:69" ht="12.75" customHeight="1" x14ac:dyDescent="0.2">
      <c r="A1190" s="2">
        <v>2679</v>
      </c>
      <c r="B1190" s="2" t="s">
        <v>39</v>
      </c>
      <c r="C1190" s="131" t="s">
        <v>41</v>
      </c>
      <c r="D1190" s="131" t="s">
        <v>4029</v>
      </c>
      <c r="E1190" s="2" t="s">
        <v>3635</v>
      </c>
      <c r="F1190" s="132">
        <v>0</v>
      </c>
      <c r="G1190" s="132"/>
      <c r="H1190" s="132">
        <f t="shared" si="129"/>
        <v>7035.07</v>
      </c>
      <c r="I1190" s="132"/>
      <c r="J1190" s="132">
        <f t="shared" si="139"/>
        <v>5999.99</v>
      </c>
      <c r="K1190" s="132">
        <f t="shared" si="131"/>
        <v>-5999.99</v>
      </c>
      <c r="L1190" s="132">
        <f t="shared" si="135"/>
        <v>1035.08</v>
      </c>
      <c r="M1190" s="133"/>
      <c r="N1190" s="133">
        <f t="shared" si="127"/>
        <v>1035.08</v>
      </c>
      <c r="O1190" s="134">
        <v>1</v>
      </c>
      <c r="P1190" s="133"/>
      <c r="Q1190" s="2" t="s">
        <v>2809</v>
      </c>
      <c r="R1190" s="156">
        <f t="shared" si="136"/>
        <v>7035.07</v>
      </c>
      <c r="S1190" s="156">
        <f t="shared" si="137"/>
        <v>915.25</v>
      </c>
      <c r="T1190" s="133"/>
      <c r="U1190" s="133"/>
      <c r="V1190" s="133"/>
      <c r="W1190" s="133"/>
      <c r="X1190" s="133"/>
      <c r="Y1190" s="133"/>
      <c r="Z1190" s="133"/>
      <c r="AA1190" s="133"/>
      <c r="AB1190" s="133"/>
      <c r="AC1190" s="133"/>
      <c r="AD1190" s="133"/>
      <c r="AE1190" s="133"/>
      <c r="AF1190" s="133"/>
      <c r="AG1190" s="133"/>
      <c r="AH1190" s="133">
        <v>6000</v>
      </c>
      <c r="AI1190" s="133"/>
      <c r="AJ1190" s="133">
        <v>1035.07</v>
      </c>
      <c r="AK1190" s="133">
        <v>915.25</v>
      </c>
      <c r="AL1190" s="133"/>
      <c r="AM1190" s="133"/>
      <c r="AN1190" s="133"/>
      <c r="AO1190" s="133"/>
      <c r="AP1190" s="133"/>
      <c r="AQ1190" s="133"/>
      <c r="AR1190" s="133"/>
      <c r="AS1190" s="153">
        <v>0</v>
      </c>
      <c r="AT1190" s="153">
        <v>0</v>
      </c>
      <c r="AU1190" s="153">
        <v>0</v>
      </c>
      <c r="AV1190" s="135"/>
      <c r="AW1190" s="135"/>
      <c r="AX1190" s="135"/>
      <c r="AY1190" s="135"/>
      <c r="AZ1190" s="135"/>
      <c r="BA1190" s="135"/>
      <c r="BB1190" s="135"/>
      <c r="BC1190" s="135">
        <v>5084.74</v>
      </c>
      <c r="BD1190" s="135">
        <v>453.45</v>
      </c>
      <c r="BE1190" s="135"/>
      <c r="BF1190" s="135"/>
      <c r="BG1190" s="135"/>
      <c r="BH1190" s="135"/>
      <c r="BI1190" s="2" t="s">
        <v>3773</v>
      </c>
      <c r="BJ1190" s="136">
        <v>45908</v>
      </c>
      <c r="BK1190" s="2" t="s">
        <v>109</v>
      </c>
      <c r="BL1190" s="136" t="s">
        <v>113</v>
      </c>
      <c r="BM1190" s="136">
        <v>45597</v>
      </c>
      <c r="BN1190" s="2" t="s">
        <v>4026</v>
      </c>
      <c r="BO1190" s="2"/>
      <c r="BP1190" s="136"/>
      <c r="BQ1190" s="137" t="s">
        <v>119</v>
      </c>
    </row>
    <row r="1191" spans="1:69" ht="12.75" customHeight="1" x14ac:dyDescent="0.2">
      <c r="A1191" s="2">
        <v>2680</v>
      </c>
      <c r="B1191" s="2" t="s">
        <v>39</v>
      </c>
      <c r="C1191" s="131" t="s">
        <v>41</v>
      </c>
      <c r="D1191" s="131" t="s">
        <v>4030</v>
      </c>
      <c r="E1191" s="2" t="s">
        <v>3635</v>
      </c>
      <c r="F1191" s="132">
        <v>0</v>
      </c>
      <c r="G1191" s="132"/>
      <c r="H1191" s="132">
        <f t="shared" si="129"/>
        <v>9213.43</v>
      </c>
      <c r="I1191" s="132"/>
      <c r="J1191" s="132">
        <f t="shared" si="139"/>
        <v>8000</v>
      </c>
      <c r="K1191" s="132">
        <f t="shared" si="131"/>
        <v>-8000</v>
      </c>
      <c r="L1191" s="132">
        <f t="shared" si="135"/>
        <v>1213.4300000000003</v>
      </c>
      <c r="M1191" s="133"/>
      <c r="N1191" s="133">
        <f t="shared" si="127"/>
        <v>1213.4300000000003</v>
      </c>
      <c r="O1191" s="134">
        <v>1</v>
      </c>
      <c r="P1191" s="133"/>
      <c r="Q1191" s="2" t="s">
        <v>2798</v>
      </c>
      <c r="R1191" s="156">
        <f t="shared" si="136"/>
        <v>9213.43</v>
      </c>
      <c r="S1191" s="156">
        <f t="shared" si="137"/>
        <v>1220.3399999999999</v>
      </c>
      <c r="T1191" s="133"/>
      <c r="U1191" s="133"/>
      <c r="V1191" s="133"/>
      <c r="W1191" s="133"/>
      <c r="X1191" s="133"/>
      <c r="Y1191" s="133"/>
      <c r="Z1191" s="133"/>
      <c r="AA1191" s="133"/>
      <c r="AB1191" s="133"/>
      <c r="AC1191" s="133"/>
      <c r="AD1191" s="133"/>
      <c r="AE1191" s="133"/>
      <c r="AF1191" s="133"/>
      <c r="AG1191" s="133"/>
      <c r="AH1191" s="133">
        <v>8000</v>
      </c>
      <c r="AI1191" s="133"/>
      <c r="AJ1191" s="133">
        <v>1213.43</v>
      </c>
      <c r="AK1191" s="133">
        <v>1220.3399999999999</v>
      </c>
      <c r="AL1191" s="133"/>
      <c r="AM1191" s="133"/>
      <c r="AN1191" s="133"/>
      <c r="AO1191" s="133"/>
      <c r="AP1191" s="133"/>
      <c r="AQ1191" s="133"/>
      <c r="AR1191" s="133"/>
      <c r="AS1191" s="153">
        <v>0</v>
      </c>
      <c r="AT1191" s="153">
        <v>0</v>
      </c>
      <c r="AU1191" s="153">
        <v>0</v>
      </c>
      <c r="AV1191" s="135"/>
      <c r="AW1191" s="135"/>
      <c r="AX1191" s="135"/>
      <c r="AY1191" s="135"/>
      <c r="AZ1191" s="135"/>
      <c r="BA1191" s="135"/>
      <c r="BB1191" s="135"/>
      <c r="BC1191" s="135">
        <v>6779.66</v>
      </c>
      <c r="BD1191" s="135">
        <v>604.6</v>
      </c>
      <c r="BE1191" s="135"/>
      <c r="BF1191" s="135"/>
      <c r="BG1191" s="135"/>
      <c r="BH1191" s="135"/>
      <c r="BI1191" s="2" t="s">
        <v>3773</v>
      </c>
      <c r="BJ1191" s="136">
        <v>45908</v>
      </c>
      <c r="BK1191" s="2" t="s">
        <v>109</v>
      </c>
      <c r="BL1191" s="136" t="s">
        <v>113</v>
      </c>
      <c r="BM1191" s="136">
        <v>45597</v>
      </c>
      <c r="BN1191" s="2" t="s">
        <v>4031</v>
      </c>
      <c r="BO1191" s="2"/>
      <c r="BP1191" s="136"/>
      <c r="BQ1191" s="137" t="s">
        <v>119</v>
      </c>
    </row>
    <row r="1192" spans="1:69" ht="12.75" customHeight="1" x14ac:dyDescent="0.2">
      <c r="A1192" s="2">
        <v>2681</v>
      </c>
      <c r="B1192" s="2" t="s">
        <v>108</v>
      </c>
      <c r="C1192" s="131" t="s">
        <v>40</v>
      </c>
      <c r="D1192" s="331" t="s">
        <v>4032</v>
      </c>
      <c r="E1192" s="331" t="s">
        <v>90</v>
      </c>
      <c r="F1192" s="132">
        <v>0</v>
      </c>
      <c r="G1192" s="132"/>
      <c r="H1192" s="132">
        <f>642035.75+200000+100000+18706.4+1020.34+R1192</f>
        <v>985008.64000000001</v>
      </c>
      <c r="I1192" s="132">
        <f>H1192-AF1192</f>
        <v>969776.64000000001</v>
      </c>
      <c r="J1192" s="332">
        <f>S1192+AS1192+AV1192+AY1192+BC1192</f>
        <v>294201.00999999995</v>
      </c>
      <c r="K1192" s="132">
        <f t="shared" si="131"/>
        <v>-294201.00999999995</v>
      </c>
      <c r="L1192" s="132">
        <f t="shared" si="135"/>
        <v>690807.63000000012</v>
      </c>
      <c r="M1192" s="133">
        <f>20570.96-8704</f>
        <v>11866.96</v>
      </c>
      <c r="N1192" s="133">
        <f t="shared" si="127"/>
        <v>690807.63000000012</v>
      </c>
      <c r="O1192" s="134">
        <v>1</v>
      </c>
      <c r="P1192" s="133"/>
      <c r="Q1192" s="2" t="s">
        <v>293</v>
      </c>
      <c r="R1192" s="156">
        <f t="shared" si="136"/>
        <v>23246.15</v>
      </c>
      <c r="S1192" s="156">
        <f t="shared" si="137"/>
        <v>39963.719999999972</v>
      </c>
      <c r="T1192" s="133"/>
      <c r="U1192" s="133"/>
      <c r="V1192" s="133"/>
      <c r="W1192" s="133"/>
      <c r="X1192" s="133"/>
      <c r="Y1192" s="133"/>
      <c r="Z1192" s="133"/>
      <c r="AA1192" s="133"/>
      <c r="AB1192" s="133"/>
      <c r="AC1192" s="133"/>
      <c r="AD1192" s="133"/>
      <c r="AE1192" s="133"/>
      <c r="AF1192" s="261">
        <f>8704*1.75</f>
        <v>15232</v>
      </c>
      <c r="AG1192" s="133"/>
      <c r="AH1192" s="133">
        <v>8014.15</v>
      </c>
      <c r="AI1192" s="133"/>
      <c r="AJ1192" s="133"/>
      <c r="AK1192" s="133">
        <v>39963.719999999972</v>
      </c>
      <c r="AL1192" s="133"/>
      <c r="AM1192" s="133"/>
      <c r="AN1192" s="133"/>
      <c r="AO1192" s="133"/>
      <c r="AP1192" s="133"/>
      <c r="AQ1192" s="133"/>
      <c r="AR1192" s="133"/>
      <c r="AS1192" s="153">
        <v>0</v>
      </c>
      <c r="AT1192" s="135">
        <v>0</v>
      </c>
      <c r="AU1192" s="153">
        <v>0</v>
      </c>
      <c r="AV1192" s="135">
        <f>169491.53+84745.76</f>
        <v>254237.28999999998</v>
      </c>
      <c r="AW1192" s="135"/>
      <c r="AX1192" s="135"/>
      <c r="AY1192" s="135">
        <v>0</v>
      </c>
      <c r="AZ1192" s="135"/>
      <c r="BA1192" s="135"/>
      <c r="BB1192" s="135"/>
      <c r="BC1192" s="135">
        <v>0</v>
      </c>
      <c r="BD1192" s="135"/>
      <c r="BE1192" s="135"/>
      <c r="BF1192" s="135"/>
      <c r="BG1192" s="135">
        <v>642035.75</v>
      </c>
      <c r="BH1192" s="136">
        <v>44925</v>
      </c>
      <c r="BI1192" s="2" t="s">
        <v>11</v>
      </c>
      <c r="BJ1192" s="136">
        <v>45895</v>
      </c>
      <c r="BK1192" s="2" t="s">
        <v>109</v>
      </c>
      <c r="BL1192" s="136" t="s">
        <v>18</v>
      </c>
      <c r="BM1192" s="136">
        <v>44676</v>
      </c>
      <c r="BN1192" s="2" t="s">
        <v>1526</v>
      </c>
      <c r="BO1192" s="2"/>
      <c r="BP1192" s="136"/>
      <c r="BQ1192" s="137" t="s">
        <v>119</v>
      </c>
    </row>
    <row r="1193" spans="1:69" ht="12.75" customHeight="1" x14ac:dyDescent="0.2">
      <c r="A1193" s="2">
        <v>2682</v>
      </c>
      <c r="B1193" s="2" t="s">
        <v>108</v>
      </c>
      <c r="C1193" s="131" t="s">
        <v>40</v>
      </c>
      <c r="D1193" s="131" t="s">
        <v>4033</v>
      </c>
      <c r="E1193" s="2" t="s">
        <v>90</v>
      </c>
      <c r="F1193" s="132">
        <v>0</v>
      </c>
      <c r="G1193" s="132"/>
      <c r="H1193" s="132">
        <f>1190000+1205511+543344.24+276000+300000+300000+22833.6+400000+200000+58339.44+R1193</f>
        <v>5346037.75</v>
      </c>
      <c r="I1193" s="132">
        <f>H1193-AF1193</f>
        <v>5264395</v>
      </c>
      <c r="J1193" s="132">
        <f>181525.42+183891.51+82883.02+460461.22+42101.69+45762.71+45762.71+3483.09+61016.95+30508.47+S1193+AS1193+AV1193+AY1193+BC1193</f>
        <v>5177237.5699999994</v>
      </c>
      <c r="K1193" s="132">
        <f t="shared" si="131"/>
        <v>-5177237.5699999994</v>
      </c>
      <c r="L1193" s="132">
        <f>H1193-J1193</f>
        <v>168800.18000000063</v>
      </c>
      <c r="M1193" s="133">
        <f>96442.4-46653</f>
        <v>49789.399999999994</v>
      </c>
      <c r="N1193" s="133">
        <f t="shared" si="127"/>
        <v>168800.18000000063</v>
      </c>
      <c r="O1193" s="134">
        <v>1</v>
      </c>
      <c r="P1193" s="133"/>
      <c r="Q1193" s="2" t="s">
        <v>293</v>
      </c>
      <c r="R1193" s="156">
        <f t="shared" si="136"/>
        <v>850009.47</v>
      </c>
      <c r="S1193" s="156">
        <f>U1193+W1193+Y1193+AA1193+AC1193+AE1193+AG1193+AI1193+AK1193+AM1193+AO1193+AQ1193</f>
        <v>123306.02000000002</v>
      </c>
      <c r="T1193" s="133"/>
      <c r="U1193" s="133">
        <v>8899.24</v>
      </c>
      <c r="V1193" s="133">
        <v>450000</v>
      </c>
      <c r="W1193" s="133"/>
      <c r="X1193" s="133"/>
      <c r="Y1193" s="133">
        <v>68644.070000000007</v>
      </c>
      <c r="Z1193" s="133"/>
      <c r="AA1193" s="133"/>
      <c r="AB1193" s="133">
        <v>300000</v>
      </c>
      <c r="AC1193" s="133"/>
      <c r="AD1193" s="133"/>
      <c r="AE1193" s="133">
        <v>45762.71</v>
      </c>
      <c r="AF1193" s="261">
        <f>46653*1.75</f>
        <v>81642.75</v>
      </c>
      <c r="AG1193" s="133"/>
      <c r="AH1193" s="133"/>
      <c r="AI1193" s="133"/>
      <c r="AJ1193" s="133">
        <v>18366.72</v>
      </c>
      <c r="AK1193" s="133"/>
      <c r="AL1193" s="133"/>
      <c r="AM1193" s="133"/>
      <c r="AN1193" s="133"/>
      <c r="AO1193" s="133"/>
      <c r="AP1193" s="133"/>
      <c r="AQ1193" s="133"/>
      <c r="AR1193" s="133"/>
      <c r="AS1193" s="153">
        <f>1008474.58+1021619.49</f>
        <v>2030094.0699999998</v>
      </c>
      <c r="AT1193" s="153">
        <f>98402.25+74074.41</f>
        <v>172476.66</v>
      </c>
      <c r="AU1193" s="153">
        <v>0</v>
      </c>
      <c r="AV1193" s="135">
        <f>233898.31+254237.29+254237.29</f>
        <v>742372.89</v>
      </c>
      <c r="AW1193" s="135">
        <f>29400.7+28042.72+22149.99</f>
        <v>79593.41</v>
      </c>
      <c r="AX1193" s="135"/>
      <c r="AY1193" s="135">
        <f>338983.05+169491.53</f>
        <v>508474.57999999996</v>
      </c>
      <c r="AZ1193" s="135">
        <f>35439.98+16735.55</f>
        <v>52175.53</v>
      </c>
      <c r="BA1193" s="135"/>
      <c r="BB1193" s="135"/>
      <c r="BC1193" s="135">
        <f>381355.93+254237.29</f>
        <v>635593.22</v>
      </c>
      <c r="BD1193" s="135">
        <f>4680.75+32713.03</f>
        <v>37393.78</v>
      </c>
      <c r="BE1193" s="135"/>
      <c r="BF1193" s="135"/>
      <c r="BG1193" s="135">
        <v>2938855.24</v>
      </c>
      <c r="BH1193" s="136">
        <v>44925</v>
      </c>
      <c r="BI1193" s="2" t="s">
        <v>11</v>
      </c>
      <c r="BJ1193" s="136">
        <v>45909</v>
      </c>
      <c r="BK1193" s="2" t="s">
        <v>109</v>
      </c>
      <c r="BL1193" s="136" t="s">
        <v>18</v>
      </c>
      <c r="BM1193" s="136">
        <v>44676</v>
      </c>
      <c r="BN1193" s="2" t="s">
        <v>1526</v>
      </c>
      <c r="BO1193" s="2"/>
      <c r="BP1193" s="136"/>
      <c r="BQ1193" s="137" t="s">
        <v>119</v>
      </c>
    </row>
    <row r="1194" spans="1:69" ht="12.75" customHeight="1" x14ac:dyDescent="0.2">
      <c r="A1194" s="2">
        <v>2683</v>
      </c>
      <c r="B1194" s="2" t="s">
        <v>44</v>
      </c>
      <c r="C1194" s="131" t="s">
        <v>47</v>
      </c>
      <c r="D1194" s="131" t="s">
        <v>4035</v>
      </c>
      <c r="E1194" s="2" t="s">
        <v>3635</v>
      </c>
      <c r="F1194" s="132">
        <v>0</v>
      </c>
      <c r="G1194" s="132"/>
      <c r="H1194" s="132">
        <f t="shared" si="129"/>
        <v>6500</v>
      </c>
      <c r="I1194" s="132"/>
      <c r="J1194" s="132">
        <f t="shared" ref="J1194:J1251" si="140">S1194</f>
        <v>6500</v>
      </c>
      <c r="K1194" s="132">
        <f t="shared" si="131"/>
        <v>-6500</v>
      </c>
      <c r="L1194" s="132">
        <f t="shared" si="135"/>
        <v>0</v>
      </c>
      <c r="M1194" s="133"/>
      <c r="N1194" s="133">
        <f t="shared" ref="N1194:N1257" si="141">IF(OR(BK1194="принят",BK1194="Завершено",BK1194="ПриПро"),H1194-J1194,F1194-J1194)</f>
        <v>0</v>
      </c>
      <c r="O1194" s="134">
        <v>1</v>
      </c>
      <c r="P1194" s="133"/>
      <c r="Q1194" s="2" t="s">
        <v>3823</v>
      </c>
      <c r="R1194" s="156">
        <f t="shared" si="136"/>
        <v>6500</v>
      </c>
      <c r="S1194" s="156">
        <f t="shared" si="137"/>
        <v>6500</v>
      </c>
      <c r="T1194" s="133"/>
      <c r="U1194" s="133"/>
      <c r="V1194" s="133"/>
      <c r="W1194" s="133"/>
      <c r="X1194" s="133"/>
      <c r="Y1194" s="133"/>
      <c r="Z1194" s="133"/>
      <c r="AA1194" s="133"/>
      <c r="AB1194" s="133"/>
      <c r="AC1194" s="133"/>
      <c r="AD1194" s="133"/>
      <c r="AE1194" s="133"/>
      <c r="AF1194" s="133"/>
      <c r="AG1194" s="133"/>
      <c r="AH1194" s="133">
        <v>6500</v>
      </c>
      <c r="AI1194" s="133"/>
      <c r="AJ1194" s="133"/>
      <c r="AK1194" s="133">
        <v>6500</v>
      </c>
      <c r="AL1194" s="133"/>
      <c r="AM1194" s="133"/>
      <c r="AN1194" s="133"/>
      <c r="AO1194" s="133"/>
      <c r="AP1194" s="133"/>
      <c r="AQ1194" s="133"/>
      <c r="AR1194" s="133"/>
      <c r="AS1194" s="153">
        <v>0</v>
      </c>
      <c r="AT1194" s="153">
        <v>0</v>
      </c>
      <c r="AU1194" s="153">
        <v>0</v>
      </c>
      <c r="AV1194" s="135"/>
      <c r="AW1194" s="135"/>
      <c r="AX1194" s="135"/>
      <c r="AY1194" s="135"/>
      <c r="AZ1194" s="135"/>
      <c r="BA1194" s="135"/>
      <c r="BB1194" s="135"/>
      <c r="BC1194" s="135"/>
      <c r="BD1194" s="135"/>
      <c r="BE1194" s="135"/>
      <c r="BF1194" s="135"/>
      <c r="BG1194" s="135"/>
      <c r="BH1194" s="135"/>
      <c r="BI1194" s="2" t="s">
        <v>3746</v>
      </c>
      <c r="BJ1194" s="136">
        <v>45873</v>
      </c>
      <c r="BK1194" s="2" t="s">
        <v>109</v>
      </c>
      <c r="BL1194" s="136" t="s">
        <v>113</v>
      </c>
      <c r="BM1194" s="136">
        <v>45635</v>
      </c>
      <c r="BN1194" s="2" t="s">
        <v>3641</v>
      </c>
      <c r="BO1194" s="2"/>
      <c r="BP1194" s="136"/>
      <c r="BQ1194" s="137" t="s">
        <v>119</v>
      </c>
    </row>
    <row r="1195" spans="1:69" ht="12.75" customHeight="1" x14ac:dyDescent="0.2">
      <c r="A1195" s="2">
        <v>2684</v>
      </c>
      <c r="B1195" s="2" t="s">
        <v>54</v>
      </c>
      <c r="C1195" s="131" t="s">
        <v>96</v>
      </c>
      <c r="D1195" s="131" t="s">
        <v>4036</v>
      </c>
      <c r="E1195" s="2" t="s">
        <v>3635</v>
      </c>
      <c r="F1195" s="132">
        <v>0</v>
      </c>
      <c r="G1195" s="132"/>
      <c r="H1195" s="132">
        <f t="shared" si="129"/>
        <v>22500</v>
      </c>
      <c r="I1195" s="132"/>
      <c r="J1195" s="132">
        <f t="shared" si="140"/>
        <v>22500</v>
      </c>
      <c r="K1195" s="132">
        <f t="shared" si="131"/>
        <v>-22500</v>
      </c>
      <c r="L1195" s="132">
        <f t="shared" si="135"/>
        <v>0</v>
      </c>
      <c r="M1195" s="133"/>
      <c r="N1195" s="133">
        <f t="shared" si="141"/>
        <v>0</v>
      </c>
      <c r="O1195" s="134">
        <v>1</v>
      </c>
      <c r="P1195" s="133"/>
      <c r="Q1195" s="2" t="s">
        <v>3893</v>
      </c>
      <c r="R1195" s="156">
        <f t="shared" si="136"/>
        <v>22500</v>
      </c>
      <c r="S1195" s="156">
        <f t="shared" si="137"/>
        <v>22500</v>
      </c>
      <c r="T1195" s="133"/>
      <c r="U1195" s="133"/>
      <c r="V1195" s="133"/>
      <c r="W1195" s="133"/>
      <c r="X1195" s="133"/>
      <c r="Y1195" s="133"/>
      <c r="Z1195" s="133"/>
      <c r="AA1195" s="133"/>
      <c r="AB1195" s="133"/>
      <c r="AC1195" s="133"/>
      <c r="AD1195" s="133"/>
      <c r="AE1195" s="133"/>
      <c r="AF1195" s="133"/>
      <c r="AG1195" s="133"/>
      <c r="AH1195" s="133">
        <v>22500</v>
      </c>
      <c r="AI1195" s="133"/>
      <c r="AJ1195" s="133"/>
      <c r="AK1195" s="133">
        <v>22500</v>
      </c>
      <c r="AL1195" s="133"/>
      <c r="AM1195" s="133"/>
      <c r="AN1195" s="133"/>
      <c r="AO1195" s="133"/>
      <c r="AP1195" s="133"/>
      <c r="AQ1195" s="133"/>
      <c r="AR1195" s="133"/>
      <c r="AS1195" s="153">
        <v>0</v>
      </c>
      <c r="AT1195" s="153">
        <v>0</v>
      </c>
      <c r="AU1195" s="153">
        <v>0</v>
      </c>
      <c r="AV1195" s="135"/>
      <c r="AW1195" s="135"/>
      <c r="AX1195" s="135"/>
      <c r="AY1195" s="135"/>
      <c r="AZ1195" s="135"/>
      <c r="BA1195" s="135"/>
      <c r="BB1195" s="135"/>
      <c r="BC1195" s="135"/>
      <c r="BD1195" s="135"/>
      <c r="BE1195" s="135"/>
      <c r="BF1195" s="135"/>
      <c r="BG1195" s="135"/>
      <c r="BH1195" s="135"/>
      <c r="BI1195" s="2" t="s">
        <v>3746</v>
      </c>
      <c r="BJ1195" s="136">
        <v>45873</v>
      </c>
      <c r="BK1195" s="2" t="s">
        <v>109</v>
      </c>
      <c r="BL1195" s="136" t="s">
        <v>18</v>
      </c>
      <c r="BM1195" s="136">
        <v>45635</v>
      </c>
      <c r="BN1195" s="2" t="s">
        <v>3636</v>
      </c>
      <c r="BO1195" s="2"/>
      <c r="BP1195" s="136"/>
      <c r="BQ1195" s="137" t="s">
        <v>119</v>
      </c>
    </row>
    <row r="1196" spans="1:69" ht="12.75" customHeight="1" x14ac:dyDescent="0.2">
      <c r="A1196" s="2">
        <v>2685</v>
      </c>
      <c r="B1196" s="2" t="s">
        <v>44</v>
      </c>
      <c r="C1196" s="131" t="s">
        <v>45</v>
      </c>
      <c r="D1196" s="131" t="s">
        <v>4037</v>
      </c>
      <c r="E1196" s="2" t="s">
        <v>3635</v>
      </c>
      <c r="F1196" s="132">
        <v>0</v>
      </c>
      <c r="G1196" s="132"/>
      <c r="H1196" s="132">
        <f t="shared" si="129"/>
        <v>22500</v>
      </c>
      <c r="I1196" s="132"/>
      <c r="J1196" s="132">
        <f t="shared" si="140"/>
        <v>22500</v>
      </c>
      <c r="K1196" s="132">
        <f t="shared" si="131"/>
        <v>-22500</v>
      </c>
      <c r="L1196" s="132">
        <f t="shared" si="135"/>
        <v>0</v>
      </c>
      <c r="M1196" s="133"/>
      <c r="N1196" s="133">
        <f t="shared" si="141"/>
        <v>0</v>
      </c>
      <c r="O1196" s="134">
        <v>1</v>
      </c>
      <c r="P1196" s="133"/>
      <c r="Q1196" s="2" t="s">
        <v>3893</v>
      </c>
      <c r="R1196" s="156">
        <f t="shared" si="136"/>
        <v>22500</v>
      </c>
      <c r="S1196" s="156">
        <f t="shared" si="137"/>
        <v>22500</v>
      </c>
      <c r="T1196" s="133"/>
      <c r="U1196" s="133"/>
      <c r="V1196" s="133"/>
      <c r="W1196" s="133"/>
      <c r="X1196" s="133"/>
      <c r="Y1196" s="133"/>
      <c r="Z1196" s="133"/>
      <c r="AA1196" s="133"/>
      <c r="AB1196" s="133"/>
      <c r="AC1196" s="133"/>
      <c r="AD1196" s="133"/>
      <c r="AE1196" s="133"/>
      <c r="AF1196" s="133"/>
      <c r="AG1196" s="133"/>
      <c r="AH1196" s="133">
        <v>22500</v>
      </c>
      <c r="AI1196" s="133"/>
      <c r="AJ1196" s="133"/>
      <c r="AK1196" s="133">
        <v>22500</v>
      </c>
      <c r="AL1196" s="133"/>
      <c r="AM1196" s="133"/>
      <c r="AN1196" s="133"/>
      <c r="AO1196" s="133"/>
      <c r="AP1196" s="133"/>
      <c r="AQ1196" s="133"/>
      <c r="AR1196" s="133"/>
      <c r="AS1196" s="153">
        <v>0</v>
      </c>
      <c r="AT1196" s="153">
        <v>0</v>
      </c>
      <c r="AU1196" s="153">
        <v>0</v>
      </c>
      <c r="AV1196" s="135"/>
      <c r="AW1196" s="135"/>
      <c r="AX1196" s="135"/>
      <c r="AY1196" s="135"/>
      <c r="AZ1196" s="135"/>
      <c r="BA1196" s="135"/>
      <c r="BB1196" s="135"/>
      <c r="BC1196" s="135"/>
      <c r="BD1196" s="135"/>
      <c r="BE1196" s="135"/>
      <c r="BF1196" s="135"/>
      <c r="BG1196" s="135"/>
      <c r="BH1196" s="135"/>
      <c r="BI1196" s="2" t="s">
        <v>3746</v>
      </c>
      <c r="BJ1196" s="136">
        <v>45874</v>
      </c>
      <c r="BK1196" s="2" t="s">
        <v>109</v>
      </c>
      <c r="BL1196" s="136" t="s">
        <v>113</v>
      </c>
      <c r="BM1196" s="136">
        <v>45635</v>
      </c>
      <c r="BN1196" s="2" t="s">
        <v>3641</v>
      </c>
      <c r="BO1196" s="2"/>
      <c r="BP1196" s="136"/>
      <c r="BQ1196" s="137" t="s">
        <v>119</v>
      </c>
    </row>
    <row r="1197" spans="1:69" ht="12.75" customHeight="1" x14ac:dyDescent="0.2">
      <c r="A1197" s="2">
        <v>2686</v>
      </c>
      <c r="B1197" s="2" t="s">
        <v>44</v>
      </c>
      <c r="C1197" s="131" t="s">
        <v>45</v>
      </c>
      <c r="D1197" s="131" t="s">
        <v>4064</v>
      </c>
      <c r="E1197" s="2" t="s">
        <v>3635</v>
      </c>
      <c r="F1197" s="132">
        <v>8500</v>
      </c>
      <c r="G1197" s="132"/>
      <c r="H1197" s="132">
        <f t="shared" si="129"/>
        <v>8500</v>
      </c>
      <c r="I1197" s="132"/>
      <c r="J1197" s="132">
        <f t="shared" si="140"/>
        <v>8500</v>
      </c>
      <c r="K1197" s="132">
        <f t="shared" si="131"/>
        <v>0</v>
      </c>
      <c r="L1197" s="132">
        <f t="shared" si="135"/>
        <v>0</v>
      </c>
      <c r="M1197" s="133"/>
      <c r="N1197" s="133">
        <f t="shared" si="141"/>
        <v>0</v>
      </c>
      <c r="O1197" s="134">
        <v>1</v>
      </c>
      <c r="P1197" s="133"/>
      <c r="Q1197" s="2" t="s">
        <v>3730</v>
      </c>
      <c r="R1197" s="156">
        <f t="shared" si="136"/>
        <v>8500</v>
      </c>
      <c r="S1197" s="156">
        <f t="shared" si="137"/>
        <v>8500</v>
      </c>
      <c r="T1197" s="133"/>
      <c r="U1197" s="133"/>
      <c r="V1197" s="133"/>
      <c r="W1197" s="133"/>
      <c r="X1197" s="133"/>
      <c r="Y1197" s="133"/>
      <c r="Z1197" s="133"/>
      <c r="AA1197" s="133"/>
      <c r="AB1197" s="133"/>
      <c r="AC1197" s="133"/>
      <c r="AD1197" s="133"/>
      <c r="AE1197" s="133"/>
      <c r="AF1197" s="133"/>
      <c r="AG1197" s="133"/>
      <c r="AH1197" s="133">
        <v>8500</v>
      </c>
      <c r="AI1197" s="133"/>
      <c r="AJ1197" s="133"/>
      <c r="AK1197" s="133">
        <v>8500</v>
      </c>
      <c r="AL1197" s="133"/>
      <c r="AM1197" s="133"/>
      <c r="AN1197" s="133"/>
      <c r="AO1197" s="133"/>
      <c r="AP1197" s="133"/>
      <c r="AQ1197" s="133"/>
      <c r="AR1197" s="133"/>
      <c r="AS1197" s="153">
        <v>0</v>
      </c>
      <c r="AT1197" s="153">
        <v>0</v>
      </c>
      <c r="AU1197" s="153">
        <v>0</v>
      </c>
      <c r="AV1197" s="135"/>
      <c r="AW1197" s="135"/>
      <c r="AX1197" s="135"/>
      <c r="AY1197" s="135"/>
      <c r="AZ1197" s="135"/>
      <c r="BA1197" s="135"/>
      <c r="BB1197" s="135"/>
      <c r="BC1197" s="135"/>
      <c r="BD1197" s="135"/>
      <c r="BE1197" s="135"/>
      <c r="BF1197" s="135"/>
      <c r="BG1197" s="135"/>
      <c r="BH1197" s="135"/>
      <c r="BI1197" s="2" t="s">
        <v>3746</v>
      </c>
      <c r="BJ1197" s="136">
        <v>45874</v>
      </c>
      <c r="BK1197" s="2" t="s">
        <v>109</v>
      </c>
      <c r="BL1197" s="136" t="s">
        <v>113</v>
      </c>
      <c r="BM1197" s="136">
        <v>45635</v>
      </c>
      <c r="BN1197" s="2" t="s">
        <v>3641</v>
      </c>
      <c r="BO1197" s="2"/>
      <c r="BP1197" s="136"/>
      <c r="BQ1197" s="137" t="s">
        <v>119</v>
      </c>
    </row>
    <row r="1198" spans="1:69" ht="12.75" customHeight="1" x14ac:dyDescent="0.2">
      <c r="A1198" s="2">
        <v>2687</v>
      </c>
      <c r="B1198" s="2" t="s">
        <v>44</v>
      </c>
      <c r="C1198" s="131" t="s">
        <v>45</v>
      </c>
      <c r="D1198" s="131" t="s">
        <v>4038</v>
      </c>
      <c r="E1198" s="2" t="s">
        <v>3635</v>
      </c>
      <c r="F1198" s="132">
        <v>0</v>
      </c>
      <c r="G1198" s="132"/>
      <c r="H1198" s="132">
        <f t="shared" ref="H1198:H1261" si="142">R1198</f>
        <v>6500</v>
      </c>
      <c r="I1198" s="132"/>
      <c r="J1198" s="132">
        <f t="shared" si="140"/>
        <v>6500</v>
      </c>
      <c r="K1198" s="132">
        <f t="shared" si="131"/>
        <v>-6500</v>
      </c>
      <c r="L1198" s="132">
        <f t="shared" si="135"/>
        <v>0</v>
      </c>
      <c r="M1198" s="133"/>
      <c r="N1198" s="133">
        <f t="shared" si="141"/>
        <v>0</v>
      </c>
      <c r="O1198" s="134">
        <v>1</v>
      </c>
      <c r="P1198" s="133"/>
      <c r="Q1198" s="2" t="s">
        <v>3823</v>
      </c>
      <c r="R1198" s="156">
        <f t="shared" si="136"/>
        <v>6500</v>
      </c>
      <c r="S1198" s="156">
        <f t="shared" si="137"/>
        <v>6500</v>
      </c>
      <c r="T1198" s="133"/>
      <c r="U1198" s="133"/>
      <c r="V1198" s="133"/>
      <c r="W1198" s="133"/>
      <c r="X1198" s="133"/>
      <c r="Y1198" s="133"/>
      <c r="Z1198" s="133"/>
      <c r="AA1198" s="133"/>
      <c r="AB1198" s="133"/>
      <c r="AC1198" s="133"/>
      <c r="AD1198" s="133"/>
      <c r="AE1198" s="133"/>
      <c r="AF1198" s="133"/>
      <c r="AG1198" s="133"/>
      <c r="AH1198" s="133">
        <v>6500</v>
      </c>
      <c r="AI1198" s="133"/>
      <c r="AJ1198" s="133"/>
      <c r="AK1198" s="133">
        <v>6500</v>
      </c>
      <c r="AL1198" s="133"/>
      <c r="AM1198" s="133"/>
      <c r="AN1198" s="133"/>
      <c r="AO1198" s="133"/>
      <c r="AP1198" s="133"/>
      <c r="AQ1198" s="133"/>
      <c r="AR1198" s="133"/>
      <c r="AS1198" s="153">
        <v>0</v>
      </c>
      <c r="AT1198" s="153">
        <v>0</v>
      </c>
      <c r="AU1198" s="153">
        <v>0</v>
      </c>
      <c r="AV1198" s="135"/>
      <c r="AW1198" s="135"/>
      <c r="AX1198" s="135"/>
      <c r="AY1198" s="135"/>
      <c r="AZ1198" s="135"/>
      <c r="BA1198" s="135"/>
      <c r="BB1198" s="135"/>
      <c r="BC1198" s="135"/>
      <c r="BD1198" s="135"/>
      <c r="BE1198" s="135"/>
      <c r="BF1198" s="135"/>
      <c r="BG1198" s="135"/>
      <c r="BH1198" s="135"/>
      <c r="BI1198" s="2" t="s">
        <v>3746</v>
      </c>
      <c r="BJ1198" s="136">
        <v>45874</v>
      </c>
      <c r="BK1198" s="2" t="s">
        <v>109</v>
      </c>
      <c r="BL1198" s="136" t="s">
        <v>113</v>
      </c>
      <c r="BM1198" s="136">
        <v>45635</v>
      </c>
      <c r="BN1198" s="2" t="s">
        <v>3641</v>
      </c>
      <c r="BO1198" s="2"/>
      <c r="BP1198" s="136"/>
      <c r="BQ1198" s="137" t="s">
        <v>119</v>
      </c>
    </row>
    <row r="1199" spans="1:69" ht="12.75" customHeight="1" x14ac:dyDescent="0.2">
      <c r="A1199" s="2">
        <v>2688</v>
      </c>
      <c r="B1199" s="2" t="s">
        <v>44</v>
      </c>
      <c r="C1199" s="131" t="s">
        <v>45</v>
      </c>
      <c r="D1199" s="131" t="s">
        <v>4039</v>
      </c>
      <c r="E1199" s="2" t="s">
        <v>3635</v>
      </c>
      <c r="F1199" s="132">
        <v>0</v>
      </c>
      <c r="G1199" s="132"/>
      <c r="H1199" s="132">
        <f t="shared" si="142"/>
        <v>22500</v>
      </c>
      <c r="I1199" s="132"/>
      <c r="J1199" s="132">
        <f t="shared" si="140"/>
        <v>22500</v>
      </c>
      <c r="K1199" s="132">
        <f t="shared" si="131"/>
        <v>-22500</v>
      </c>
      <c r="L1199" s="132">
        <f t="shared" si="135"/>
        <v>0</v>
      </c>
      <c r="M1199" s="133"/>
      <c r="N1199" s="133">
        <f t="shared" si="141"/>
        <v>0</v>
      </c>
      <c r="O1199" s="134">
        <v>1</v>
      </c>
      <c r="P1199" s="133"/>
      <c r="Q1199" s="2" t="s">
        <v>3893</v>
      </c>
      <c r="R1199" s="156">
        <f t="shared" si="136"/>
        <v>22500</v>
      </c>
      <c r="S1199" s="156">
        <f t="shared" si="137"/>
        <v>22500</v>
      </c>
      <c r="T1199" s="133"/>
      <c r="U1199" s="133"/>
      <c r="V1199" s="133"/>
      <c r="W1199" s="133"/>
      <c r="X1199" s="133"/>
      <c r="Y1199" s="133"/>
      <c r="Z1199" s="133"/>
      <c r="AA1199" s="133"/>
      <c r="AB1199" s="133"/>
      <c r="AC1199" s="133"/>
      <c r="AD1199" s="133"/>
      <c r="AE1199" s="133"/>
      <c r="AF1199" s="133"/>
      <c r="AG1199" s="133"/>
      <c r="AH1199" s="133">
        <v>22500</v>
      </c>
      <c r="AI1199" s="133"/>
      <c r="AJ1199" s="133"/>
      <c r="AK1199" s="133">
        <v>22500</v>
      </c>
      <c r="AL1199" s="133"/>
      <c r="AM1199" s="133"/>
      <c r="AN1199" s="133"/>
      <c r="AO1199" s="133"/>
      <c r="AP1199" s="133"/>
      <c r="AQ1199" s="133"/>
      <c r="AR1199" s="133"/>
      <c r="AS1199" s="153">
        <v>0</v>
      </c>
      <c r="AT1199" s="153">
        <v>0</v>
      </c>
      <c r="AU1199" s="153">
        <v>0</v>
      </c>
      <c r="AV1199" s="135"/>
      <c r="AW1199" s="135"/>
      <c r="AX1199" s="135"/>
      <c r="AY1199" s="135"/>
      <c r="AZ1199" s="135"/>
      <c r="BA1199" s="135"/>
      <c r="BB1199" s="135"/>
      <c r="BC1199" s="135"/>
      <c r="BD1199" s="135"/>
      <c r="BE1199" s="135"/>
      <c r="BF1199" s="135"/>
      <c r="BG1199" s="135"/>
      <c r="BH1199" s="135"/>
      <c r="BI1199" s="2" t="s">
        <v>3746</v>
      </c>
      <c r="BJ1199" s="136">
        <v>45874</v>
      </c>
      <c r="BK1199" s="2" t="s">
        <v>109</v>
      </c>
      <c r="BL1199" s="136" t="s">
        <v>113</v>
      </c>
      <c r="BM1199" s="136">
        <v>45635</v>
      </c>
      <c r="BN1199" s="2" t="s">
        <v>3641</v>
      </c>
      <c r="BO1199" s="2"/>
      <c r="BP1199" s="136"/>
      <c r="BQ1199" s="137" t="s">
        <v>119</v>
      </c>
    </row>
    <row r="1200" spans="1:69" ht="12.75" customHeight="1" x14ac:dyDescent="0.2">
      <c r="A1200" s="2">
        <v>2689</v>
      </c>
      <c r="B1200" s="2" t="s">
        <v>54</v>
      </c>
      <c r="C1200" s="131" t="s">
        <v>50</v>
      </c>
      <c r="D1200" s="131" t="s">
        <v>4041</v>
      </c>
      <c r="E1200" s="2" t="s">
        <v>141</v>
      </c>
      <c r="F1200" s="132">
        <v>0</v>
      </c>
      <c r="G1200" s="132"/>
      <c r="H1200" s="132">
        <f t="shared" si="142"/>
        <v>40000</v>
      </c>
      <c r="I1200" s="132"/>
      <c r="J1200" s="132">
        <f>S1200+BC1200</f>
        <v>40000</v>
      </c>
      <c r="K1200" s="132">
        <f t="shared" si="131"/>
        <v>-40000</v>
      </c>
      <c r="L1200" s="132">
        <f t="shared" si="135"/>
        <v>0</v>
      </c>
      <c r="M1200" s="133"/>
      <c r="N1200" s="133">
        <f t="shared" si="141"/>
        <v>-40000</v>
      </c>
      <c r="O1200" s="134">
        <v>1</v>
      </c>
      <c r="P1200" s="133"/>
      <c r="Q1200" s="2" t="s">
        <v>338</v>
      </c>
      <c r="R1200" s="156">
        <f t="shared" si="136"/>
        <v>40000</v>
      </c>
      <c r="S1200" s="156">
        <f t="shared" si="137"/>
        <v>6101.69</v>
      </c>
      <c r="T1200" s="133"/>
      <c r="U1200" s="133"/>
      <c r="V1200" s="133"/>
      <c r="W1200" s="133"/>
      <c r="X1200" s="133"/>
      <c r="Y1200" s="133"/>
      <c r="Z1200" s="133"/>
      <c r="AA1200" s="133"/>
      <c r="AB1200" s="133"/>
      <c r="AC1200" s="133"/>
      <c r="AD1200" s="133"/>
      <c r="AE1200" s="133"/>
      <c r="AF1200" s="133"/>
      <c r="AG1200" s="133"/>
      <c r="AH1200" s="133">
        <v>40000</v>
      </c>
      <c r="AI1200" s="133"/>
      <c r="AJ1200" s="133"/>
      <c r="AK1200" s="133">
        <v>6101.69</v>
      </c>
      <c r="AL1200" s="133"/>
      <c r="AM1200" s="133"/>
      <c r="AN1200" s="133"/>
      <c r="AO1200" s="133"/>
      <c r="AP1200" s="133"/>
      <c r="AQ1200" s="133"/>
      <c r="AR1200" s="133"/>
      <c r="AS1200" s="153">
        <v>0</v>
      </c>
      <c r="AT1200" s="153">
        <v>0</v>
      </c>
      <c r="AU1200" s="153">
        <v>0</v>
      </c>
      <c r="AV1200" s="135"/>
      <c r="AW1200" s="135"/>
      <c r="AX1200" s="135"/>
      <c r="AY1200" s="135"/>
      <c r="AZ1200" s="135"/>
      <c r="BA1200" s="135"/>
      <c r="BB1200" s="135"/>
      <c r="BC1200" s="135">
        <v>33898.31</v>
      </c>
      <c r="BD1200" s="135">
        <v>3094.96</v>
      </c>
      <c r="BE1200" s="135"/>
      <c r="BF1200" s="135"/>
      <c r="BG1200" s="135"/>
      <c r="BH1200" s="135"/>
      <c r="BI1200" s="2" t="s">
        <v>11</v>
      </c>
      <c r="BJ1200" s="136"/>
      <c r="BK1200" s="2">
        <v>99</v>
      </c>
      <c r="BL1200" s="136" t="s">
        <v>113</v>
      </c>
      <c r="BM1200" s="136">
        <v>45308</v>
      </c>
      <c r="BN1200" s="2" t="s">
        <v>2198</v>
      </c>
      <c r="BO1200" s="2"/>
      <c r="BP1200" s="136"/>
      <c r="BQ1200" s="137" t="s">
        <v>134</v>
      </c>
    </row>
    <row r="1201" spans="1:69" ht="12.75" customHeight="1" x14ac:dyDescent="0.2">
      <c r="A1201" s="2">
        <v>2690</v>
      </c>
      <c r="B1201" s="2" t="s">
        <v>54</v>
      </c>
      <c r="C1201" s="131" t="s">
        <v>50</v>
      </c>
      <c r="D1201" s="131" t="s">
        <v>4042</v>
      </c>
      <c r="E1201" s="2" t="s">
        <v>141</v>
      </c>
      <c r="F1201" s="132">
        <v>0</v>
      </c>
      <c r="G1201" s="132"/>
      <c r="H1201" s="132">
        <f t="shared" si="142"/>
        <v>60000</v>
      </c>
      <c r="I1201" s="132"/>
      <c r="J1201" s="132">
        <f>S1201+BC1201</f>
        <v>60000</v>
      </c>
      <c r="K1201" s="132">
        <f t="shared" si="131"/>
        <v>-60000</v>
      </c>
      <c r="L1201" s="132">
        <f t="shared" si="135"/>
        <v>0</v>
      </c>
      <c r="M1201" s="133"/>
      <c r="N1201" s="133">
        <f t="shared" si="141"/>
        <v>-60000</v>
      </c>
      <c r="O1201" s="134">
        <v>1</v>
      </c>
      <c r="P1201" s="133"/>
      <c r="Q1201" s="2" t="s">
        <v>338</v>
      </c>
      <c r="R1201" s="156">
        <f t="shared" si="136"/>
        <v>60000</v>
      </c>
      <c r="S1201" s="156">
        <f t="shared" si="137"/>
        <v>9152.5400000000009</v>
      </c>
      <c r="T1201" s="133"/>
      <c r="U1201" s="133"/>
      <c r="V1201" s="133"/>
      <c r="W1201" s="133"/>
      <c r="X1201" s="133"/>
      <c r="Y1201" s="133"/>
      <c r="Z1201" s="133"/>
      <c r="AA1201" s="133"/>
      <c r="AB1201" s="133"/>
      <c r="AC1201" s="133"/>
      <c r="AD1201" s="133"/>
      <c r="AE1201" s="133"/>
      <c r="AF1201" s="133"/>
      <c r="AG1201" s="133"/>
      <c r="AH1201" s="133">
        <v>60000</v>
      </c>
      <c r="AI1201" s="133"/>
      <c r="AJ1201" s="133"/>
      <c r="AK1201" s="133">
        <v>9152.5400000000009</v>
      </c>
      <c r="AL1201" s="133"/>
      <c r="AM1201" s="133"/>
      <c r="AN1201" s="133"/>
      <c r="AO1201" s="133"/>
      <c r="AP1201" s="133"/>
      <c r="AQ1201" s="133"/>
      <c r="AR1201" s="133"/>
      <c r="AS1201" s="153">
        <v>0</v>
      </c>
      <c r="AT1201" s="153">
        <v>0</v>
      </c>
      <c r="AU1201" s="153">
        <v>0</v>
      </c>
      <c r="AV1201" s="135"/>
      <c r="AW1201" s="135"/>
      <c r="AX1201" s="135"/>
      <c r="AY1201" s="135"/>
      <c r="AZ1201" s="135"/>
      <c r="BA1201" s="135"/>
      <c r="BB1201" s="135"/>
      <c r="BC1201" s="135">
        <v>50847.46</v>
      </c>
      <c r="BD1201" s="135">
        <v>4642.4399999999996</v>
      </c>
      <c r="BE1201" s="135"/>
      <c r="BF1201" s="135"/>
      <c r="BG1201" s="135"/>
      <c r="BH1201" s="135"/>
      <c r="BI1201" s="2" t="s">
        <v>11</v>
      </c>
      <c r="BJ1201" s="136"/>
      <c r="BK1201" s="2">
        <v>99</v>
      </c>
      <c r="BL1201" s="136" t="s">
        <v>113</v>
      </c>
      <c r="BM1201" s="136">
        <v>45308</v>
      </c>
      <c r="BN1201" s="2" t="s">
        <v>2198</v>
      </c>
      <c r="BO1201" s="2"/>
      <c r="BP1201" s="136"/>
      <c r="BQ1201" s="137" t="s">
        <v>134</v>
      </c>
    </row>
    <row r="1202" spans="1:69" ht="12.75" customHeight="1" x14ac:dyDescent="0.2">
      <c r="A1202" s="2">
        <v>2691</v>
      </c>
      <c r="B1202" s="2" t="s">
        <v>54</v>
      </c>
      <c r="C1202" s="131" t="s">
        <v>50</v>
      </c>
      <c r="D1202" s="131" t="s">
        <v>4043</v>
      </c>
      <c r="E1202" s="2" t="s">
        <v>141</v>
      </c>
      <c r="F1202" s="132">
        <v>0</v>
      </c>
      <c r="G1202" s="132"/>
      <c r="H1202" s="132">
        <f t="shared" si="142"/>
        <v>60000</v>
      </c>
      <c r="I1202" s="132"/>
      <c r="J1202" s="132">
        <f>S1202+BC1202</f>
        <v>60000</v>
      </c>
      <c r="K1202" s="132">
        <f t="shared" si="131"/>
        <v>-60000</v>
      </c>
      <c r="L1202" s="132">
        <f t="shared" si="135"/>
        <v>0</v>
      </c>
      <c r="M1202" s="133"/>
      <c r="N1202" s="133">
        <f t="shared" si="141"/>
        <v>-60000</v>
      </c>
      <c r="O1202" s="134">
        <v>1</v>
      </c>
      <c r="P1202" s="133"/>
      <c r="Q1202" s="2" t="s">
        <v>338</v>
      </c>
      <c r="R1202" s="156">
        <f t="shared" si="136"/>
        <v>60000</v>
      </c>
      <c r="S1202" s="156">
        <f t="shared" si="137"/>
        <v>9152.5400000000009</v>
      </c>
      <c r="T1202" s="133"/>
      <c r="U1202" s="133"/>
      <c r="V1202" s="133"/>
      <c r="W1202" s="133"/>
      <c r="X1202" s="133"/>
      <c r="Y1202" s="133"/>
      <c r="Z1202" s="133"/>
      <c r="AA1202" s="133"/>
      <c r="AB1202" s="133"/>
      <c r="AC1202" s="133"/>
      <c r="AD1202" s="133"/>
      <c r="AE1202" s="133"/>
      <c r="AF1202" s="133"/>
      <c r="AG1202" s="133"/>
      <c r="AH1202" s="133">
        <v>60000</v>
      </c>
      <c r="AI1202" s="133"/>
      <c r="AJ1202" s="133"/>
      <c r="AK1202" s="133">
        <v>9152.5400000000009</v>
      </c>
      <c r="AL1202" s="133"/>
      <c r="AM1202" s="133"/>
      <c r="AN1202" s="133"/>
      <c r="AO1202" s="133"/>
      <c r="AP1202" s="133"/>
      <c r="AQ1202" s="133"/>
      <c r="AR1202" s="133"/>
      <c r="AS1202" s="153">
        <v>0</v>
      </c>
      <c r="AT1202" s="153">
        <v>0</v>
      </c>
      <c r="AU1202" s="153">
        <v>0</v>
      </c>
      <c r="AV1202" s="135"/>
      <c r="AW1202" s="135"/>
      <c r="AX1202" s="135"/>
      <c r="AY1202" s="135"/>
      <c r="AZ1202" s="135"/>
      <c r="BA1202" s="135"/>
      <c r="BB1202" s="135"/>
      <c r="BC1202" s="135">
        <v>50847.46</v>
      </c>
      <c r="BD1202" s="135">
        <v>4642.4399999999996</v>
      </c>
      <c r="BE1202" s="135"/>
      <c r="BF1202" s="135"/>
      <c r="BG1202" s="135"/>
      <c r="BH1202" s="135"/>
      <c r="BI1202" s="2" t="s">
        <v>11</v>
      </c>
      <c r="BJ1202" s="136"/>
      <c r="BK1202" s="2">
        <v>99</v>
      </c>
      <c r="BL1202" s="136" t="s">
        <v>113</v>
      </c>
      <c r="BM1202" s="136">
        <v>45308</v>
      </c>
      <c r="BN1202" s="2" t="s">
        <v>2198</v>
      </c>
      <c r="BO1202" s="2"/>
      <c r="BP1202" s="136"/>
      <c r="BQ1202" s="137" t="s">
        <v>134</v>
      </c>
    </row>
    <row r="1203" spans="1:69" ht="12.75" customHeight="1" x14ac:dyDescent="0.2">
      <c r="A1203" s="2">
        <v>2692</v>
      </c>
      <c r="B1203" s="2" t="s">
        <v>54</v>
      </c>
      <c r="C1203" s="131" t="s">
        <v>50</v>
      </c>
      <c r="D1203" s="131" t="s">
        <v>4044</v>
      </c>
      <c r="E1203" s="2" t="s">
        <v>141</v>
      </c>
      <c r="F1203" s="132">
        <v>0</v>
      </c>
      <c r="G1203" s="132"/>
      <c r="H1203" s="132">
        <f t="shared" si="142"/>
        <v>60000</v>
      </c>
      <c r="I1203" s="132"/>
      <c r="J1203" s="132">
        <f>S1203+BC1203</f>
        <v>60000</v>
      </c>
      <c r="K1203" s="132">
        <f t="shared" si="131"/>
        <v>-60000</v>
      </c>
      <c r="L1203" s="132">
        <f t="shared" si="135"/>
        <v>0</v>
      </c>
      <c r="M1203" s="133"/>
      <c r="N1203" s="133">
        <f t="shared" si="141"/>
        <v>-60000</v>
      </c>
      <c r="O1203" s="134">
        <v>1</v>
      </c>
      <c r="P1203" s="133"/>
      <c r="Q1203" s="2" t="s">
        <v>338</v>
      </c>
      <c r="R1203" s="156">
        <f t="shared" si="136"/>
        <v>60000</v>
      </c>
      <c r="S1203" s="156">
        <f t="shared" si="137"/>
        <v>9152.5400000000009</v>
      </c>
      <c r="T1203" s="133"/>
      <c r="U1203" s="133"/>
      <c r="V1203" s="133"/>
      <c r="W1203" s="133"/>
      <c r="X1203" s="133"/>
      <c r="Y1203" s="133"/>
      <c r="Z1203" s="133"/>
      <c r="AA1203" s="133"/>
      <c r="AB1203" s="133"/>
      <c r="AC1203" s="133"/>
      <c r="AD1203" s="133"/>
      <c r="AE1203" s="133"/>
      <c r="AF1203" s="133"/>
      <c r="AG1203" s="133"/>
      <c r="AH1203" s="133">
        <v>60000</v>
      </c>
      <c r="AI1203" s="133"/>
      <c r="AJ1203" s="133"/>
      <c r="AK1203" s="133">
        <v>9152.5400000000009</v>
      </c>
      <c r="AL1203" s="133"/>
      <c r="AM1203" s="133"/>
      <c r="AN1203" s="133"/>
      <c r="AO1203" s="133"/>
      <c r="AP1203" s="133"/>
      <c r="AQ1203" s="133"/>
      <c r="AR1203" s="133"/>
      <c r="AS1203" s="153">
        <v>0</v>
      </c>
      <c r="AT1203" s="153">
        <v>0</v>
      </c>
      <c r="AU1203" s="153">
        <v>0</v>
      </c>
      <c r="AV1203" s="135"/>
      <c r="AW1203" s="135"/>
      <c r="AX1203" s="135"/>
      <c r="AY1203" s="135"/>
      <c r="AZ1203" s="135"/>
      <c r="BA1203" s="135"/>
      <c r="BB1203" s="135"/>
      <c r="BC1203" s="135">
        <v>50847.46</v>
      </c>
      <c r="BD1203" s="135">
        <v>4642.4399999999996</v>
      </c>
      <c r="BE1203" s="135"/>
      <c r="BF1203" s="135"/>
      <c r="BG1203" s="135"/>
      <c r="BH1203" s="135"/>
      <c r="BI1203" s="2" t="s">
        <v>11</v>
      </c>
      <c r="BJ1203" s="136"/>
      <c r="BK1203" s="2">
        <v>99</v>
      </c>
      <c r="BL1203" s="136" t="s">
        <v>113</v>
      </c>
      <c r="BM1203" s="136">
        <v>45308</v>
      </c>
      <c r="BN1203" s="2" t="s">
        <v>2198</v>
      </c>
      <c r="BO1203" s="2"/>
      <c r="BP1203" s="136"/>
      <c r="BQ1203" s="137" t="s">
        <v>134</v>
      </c>
    </row>
    <row r="1204" spans="1:69" ht="12.75" customHeight="1" x14ac:dyDescent="0.2">
      <c r="A1204" s="2">
        <v>2693</v>
      </c>
      <c r="B1204" s="2" t="s">
        <v>54</v>
      </c>
      <c r="C1204" s="131" t="s">
        <v>50</v>
      </c>
      <c r="D1204" s="131" t="s">
        <v>4045</v>
      </c>
      <c r="E1204" s="2" t="s">
        <v>141</v>
      </c>
      <c r="F1204" s="132">
        <v>0</v>
      </c>
      <c r="G1204" s="132"/>
      <c r="H1204" s="132">
        <f t="shared" si="142"/>
        <v>60000</v>
      </c>
      <c r="I1204" s="132"/>
      <c r="J1204" s="132">
        <f>S1204+BC1204</f>
        <v>60000</v>
      </c>
      <c r="K1204" s="132">
        <f t="shared" si="131"/>
        <v>-60000</v>
      </c>
      <c r="L1204" s="132">
        <f t="shared" si="135"/>
        <v>0</v>
      </c>
      <c r="M1204" s="133"/>
      <c r="N1204" s="133">
        <f t="shared" si="141"/>
        <v>-60000</v>
      </c>
      <c r="O1204" s="134">
        <v>1</v>
      </c>
      <c r="P1204" s="133"/>
      <c r="Q1204" s="2" t="s">
        <v>338</v>
      </c>
      <c r="R1204" s="156">
        <f t="shared" si="136"/>
        <v>60000</v>
      </c>
      <c r="S1204" s="156">
        <f t="shared" si="137"/>
        <v>9152.5400000000009</v>
      </c>
      <c r="T1204" s="133"/>
      <c r="U1204" s="133"/>
      <c r="V1204" s="133"/>
      <c r="W1204" s="133"/>
      <c r="X1204" s="133"/>
      <c r="Y1204" s="133"/>
      <c r="Z1204" s="133"/>
      <c r="AA1204" s="133"/>
      <c r="AB1204" s="133"/>
      <c r="AC1204" s="133"/>
      <c r="AD1204" s="133"/>
      <c r="AE1204" s="133"/>
      <c r="AF1204" s="133"/>
      <c r="AG1204" s="133"/>
      <c r="AH1204" s="133">
        <v>60000</v>
      </c>
      <c r="AI1204" s="133"/>
      <c r="AJ1204" s="133"/>
      <c r="AK1204" s="133">
        <v>9152.5400000000009</v>
      </c>
      <c r="AL1204" s="133"/>
      <c r="AM1204" s="133"/>
      <c r="AN1204" s="133"/>
      <c r="AO1204" s="133"/>
      <c r="AP1204" s="133"/>
      <c r="AQ1204" s="133"/>
      <c r="AR1204" s="133"/>
      <c r="AS1204" s="153">
        <v>0</v>
      </c>
      <c r="AT1204" s="153">
        <v>0</v>
      </c>
      <c r="AU1204" s="153">
        <v>0</v>
      </c>
      <c r="AV1204" s="135"/>
      <c r="AW1204" s="135"/>
      <c r="AX1204" s="135"/>
      <c r="AY1204" s="135"/>
      <c r="AZ1204" s="135"/>
      <c r="BA1204" s="135"/>
      <c r="BB1204" s="135"/>
      <c r="BC1204" s="135">
        <v>50847.46</v>
      </c>
      <c r="BD1204" s="135">
        <v>4642.4399999999996</v>
      </c>
      <c r="BE1204" s="135"/>
      <c r="BF1204" s="135"/>
      <c r="BG1204" s="135"/>
      <c r="BH1204" s="135"/>
      <c r="BI1204" s="2" t="s">
        <v>11</v>
      </c>
      <c r="BJ1204" s="136"/>
      <c r="BK1204" s="2">
        <v>99</v>
      </c>
      <c r="BL1204" s="136" t="s">
        <v>113</v>
      </c>
      <c r="BM1204" s="136">
        <v>45308</v>
      </c>
      <c r="BN1204" s="2" t="s">
        <v>2198</v>
      </c>
      <c r="BO1204" s="2"/>
      <c r="BP1204" s="136"/>
      <c r="BQ1204" s="137" t="s">
        <v>134</v>
      </c>
    </row>
    <row r="1205" spans="1:69" ht="12.75" customHeight="1" x14ac:dyDescent="0.2">
      <c r="A1205" s="2">
        <v>2694</v>
      </c>
      <c r="B1205" s="2" t="s">
        <v>28</v>
      </c>
      <c r="C1205" s="2" t="s">
        <v>30</v>
      </c>
      <c r="D1205" s="131" t="s">
        <v>4048</v>
      </c>
      <c r="E1205" s="2" t="s">
        <v>3635</v>
      </c>
      <c r="F1205" s="132">
        <v>0</v>
      </c>
      <c r="G1205" s="132"/>
      <c r="H1205" s="132">
        <f t="shared" si="142"/>
        <v>205869.45</v>
      </c>
      <c r="I1205" s="132"/>
      <c r="J1205" s="132">
        <f>S1205+AY1205+BC1205</f>
        <v>156779.66</v>
      </c>
      <c r="K1205" s="132">
        <f t="shared" si="131"/>
        <v>-156779.66</v>
      </c>
      <c r="L1205" s="132">
        <f t="shared" si="135"/>
        <v>49089.790000000008</v>
      </c>
      <c r="M1205" s="133"/>
      <c r="N1205" s="133">
        <f t="shared" si="141"/>
        <v>49089.790000000008</v>
      </c>
      <c r="O1205" s="134">
        <v>1</v>
      </c>
      <c r="P1205" s="133"/>
      <c r="Q1205" s="2" t="s">
        <v>4047</v>
      </c>
      <c r="R1205" s="156">
        <f t="shared" si="136"/>
        <v>205869.45</v>
      </c>
      <c r="S1205" s="156">
        <f t="shared" si="137"/>
        <v>0</v>
      </c>
      <c r="T1205" s="133"/>
      <c r="U1205" s="133"/>
      <c r="V1205" s="133"/>
      <c r="W1205" s="133"/>
      <c r="X1205" s="133"/>
      <c r="Y1205" s="133"/>
      <c r="Z1205" s="133"/>
      <c r="AA1205" s="133"/>
      <c r="AB1205" s="133"/>
      <c r="AC1205" s="133"/>
      <c r="AD1205" s="133"/>
      <c r="AE1205" s="133"/>
      <c r="AF1205" s="133"/>
      <c r="AG1205" s="133"/>
      <c r="AH1205" s="133"/>
      <c r="AI1205" s="133"/>
      <c r="AJ1205" s="133">
        <f>185000+20869.45</f>
        <v>205869.45</v>
      </c>
      <c r="AK1205" s="133"/>
      <c r="AL1205" s="133"/>
      <c r="AM1205" s="133"/>
      <c r="AN1205" s="133"/>
      <c r="AO1205" s="133"/>
      <c r="AP1205" s="133"/>
      <c r="AQ1205" s="133"/>
      <c r="AR1205" s="133"/>
      <c r="AS1205" s="153">
        <v>0</v>
      </c>
      <c r="AT1205" s="153">
        <v>0</v>
      </c>
      <c r="AU1205" s="153">
        <v>0</v>
      </c>
      <c r="AV1205" s="135"/>
      <c r="AW1205" s="135"/>
      <c r="AX1205" s="135"/>
      <c r="AY1205" s="135"/>
      <c r="AZ1205" s="135"/>
      <c r="BA1205" s="135"/>
      <c r="BB1205" s="135"/>
      <c r="BC1205" s="135">
        <v>156779.66</v>
      </c>
      <c r="BD1205" s="135">
        <v>13448.69</v>
      </c>
      <c r="BE1205" s="135"/>
      <c r="BF1205" s="135"/>
      <c r="BG1205" s="135"/>
      <c r="BH1205" s="135"/>
      <c r="BI1205" s="2" t="s">
        <v>3773</v>
      </c>
      <c r="BJ1205" s="136">
        <v>45912</v>
      </c>
      <c r="BK1205" s="2" t="s">
        <v>109</v>
      </c>
      <c r="BL1205" s="136" t="s">
        <v>113</v>
      </c>
      <c r="BM1205" s="136">
        <v>45597</v>
      </c>
      <c r="BN1205" s="2" t="s">
        <v>4046</v>
      </c>
      <c r="BO1205" s="2"/>
      <c r="BP1205" s="136"/>
      <c r="BQ1205" s="137" t="s">
        <v>119</v>
      </c>
    </row>
    <row r="1206" spans="1:69" ht="12.75" customHeight="1" x14ac:dyDescent="0.2">
      <c r="A1206" s="2">
        <v>2695</v>
      </c>
      <c r="B1206" s="2" t="s">
        <v>39</v>
      </c>
      <c r="C1206" s="131" t="s">
        <v>42</v>
      </c>
      <c r="D1206" s="131" t="s">
        <v>4050</v>
      </c>
      <c r="E1206" s="2" t="s">
        <v>3635</v>
      </c>
      <c r="F1206" s="132">
        <v>0</v>
      </c>
      <c r="G1206" s="132"/>
      <c r="H1206" s="132">
        <f t="shared" si="142"/>
        <v>29273.200000000001</v>
      </c>
      <c r="I1206" s="132"/>
      <c r="J1206" s="132">
        <f>S1206+AY1206+BC1206</f>
        <v>22457.63</v>
      </c>
      <c r="K1206" s="132">
        <f t="shared" ref="K1206:K1269" si="143">F1206-J1206</f>
        <v>-22457.63</v>
      </c>
      <c r="L1206" s="132">
        <f t="shared" si="135"/>
        <v>6815.57</v>
      </c>
      <c r="M1206" s="133"/>
      <c r="N1206" s="133">
        <f t="shared" si="141"/>
        <v>6815.57</v>
      </c>
      <c r="O1206" s="134">
        <v>1</v>
      </c>
      <c r="P1206" s="133"/>
      <c r="Q1206" s="2" t="s">
        <v>4049</v>
      </c>
      <c r="R1206" s="156">
        <f t="shared" si="136"/>
        <v>29273.200000000001</v>
      </c>
      <c r="S1206" s="156">
        <f t="shared" si="137"/>
        <v>0</v>
      </c>
      <c r="T1206" s="133"/>
      <c r="U1206" s="133"/>
      <c r="V1206" s="133"/>
      <c r="W1206" s="133"/>
      <c r="X1206" s="133"/>
      <c r="Y1206" s="133"/>
      <c r="Z1206" s="133"/>
      <c r="AA1206" s="133"/>
      <c r="AB1206" s="133"/>
      <c r="AC1206" s="133"/>
      <c r="AD1206" s="133"/>
      <c r="AE1206" s="133"/>
      <c r="AF1206" s="133"/>
      <c r="AG1206" s="133"/>
      <c r="AH1206" s="133"/>
      <c r="AI1206" s="133"/>
      <c r="AJ1206" s="133">
        <f>26500+2773.2</f>
        <v>29273.200000000001</v>
      </c>
      <c r="AK1206" s="133"/>
      <c r="AL1206" s="133"/>
      <c r="AM1206" s="133"/>
      <c r="AN1206" s="133"/>
      <c r="AO1206" s="133"/>
      <c r="AP1206" s="133"/>
      <c r="AQ1206" s="133"/>
      <c r="AR1206" s="133"/>
      <c r="AS1206" s="153">
        <v>0</v>
      </c>
      <c r="AT1206" s="153">
        <v>0</v>
      </c>
      <c r="AU1206" s="153">
        <v>0</v>
      </c>
      <c r="AV1206" s="135"/>
      <c r="AW1206" s="135"/>
      <c r="AX1206" s="135"/>
      <c r="AY1206" s="135"/>
      <c r="AZ1206" s="135"/>
      <c r="BA1206" s="135"/>
      <c r="BB1206" s="135"/>
      <c r="BC1206" s="135">
        <v>22457.63</v>
      </c>
      <c r="BD1206" s="135">
        <v>1926.43</v>
      </c>
      <c r="BE1206" s="135"/>
      <c r="BF1206" s="135"/>
      <c r="BG1206" s="135"/>
      <c r="BH1206" s="135"/>
      <c r="BI1206" s="2" t="s">
        <v>3773</v>
      </c>
      <c r="BJ1206" s="136">
        <v>45912</v>
      </c>
      <c r="BK1206" s="2" t="s">
        <v>109</v>
      </c>
      <c r="BL1206" s="136" t="s">
        <v>113</v>
      </c>
      <c r="BM1206" s="136">
        <v>45597</v>
      </c>
      <c r="BN1206" s="2" t="s">
        <v>4051</v>
      </c>
      <c r="BO1206" s="2"/>
      <c r="BP1206" s="136"/>
      <c r="BQ1206" s="137" t="s">
        <v>119</v>
      </c>
    </row>
    <row r="1207" spans="1:69" ht="12.75" customHeight="1" x14ac:dyDescent="0.2">
      <c r="A1207" s="2">
        <v>2696</v>
      </c>
      <c r="B1207" s="2" t="s">
        <v>39</v>
      </c>
      <c r="C1207" s="131" t="s">
        <v>42</v>
      </c>
      <c r="D1207" s="131" t="s">
        <v>4054</v>
      </c>
      <c r="E1207" s="2" t="s">
        <v>3635</v>
      </c>
      <c r="F1207" s="132">
        <v>0</v>
      </c>
      <c r="G1207" s="132"/>
      <c r="H1207" s="132">
        <f t="shared" si="142"/>
        <v>29273.200000000001</v>
      </c>
      <c r="I1207" s="132"/>
      <c r="J1207" s="132">
        <f>S1207+AY1207+BC1207</f>
        <v>22457.63</v>
      </c>
      <c r="K1207" s="132">
        <f t="shared" si="143"/>
        <v>-22457.63</v>
      </c>
      <c r="L1207" s="132">
        <f t="shared" si="135"/>
        <v>6815.57</v>
      </c>
      <c r="M1207" s="133"/>
      <c r="N1207" s="133">
        <f t="shared" si="141"/>
        <v>6815.57</v>
      </c>
      <c r="O1207" s="134">
        <v>1</v>
      </c>
      <c r="P1207" s="133"/>
      <c r="Q1207" s="2" t="s">
        <v>4052</v>
      </c>
      <c r="R1207" s="156">
        <f t="shared" si="136"/>
        <v>29273.200000000001</v>
      </c>
      <c r="S1207" s="156">
        <f t="shared" si="137"/>
        <v>0</v>
      </c>
      <c r="T1207" s="133"/>
      <c r="U1207" s="133"/>
      <c r="V1207" s="133"/>
      <c r="W1207" s="133"/>
      <c r="X1207" s="133"/>
      <c r="Y1207" s="133"/>
      <c r="Z1207" s="133"/>
      <c r="AA1207" s="133"/>
      <c r="AB1207" s="133"/>
      <c r="AC1207" s="133"/>
      <c r="AD1207" s="133"/>
      <c r="AE1207" s="133"/>
      <c r="AF1207" s="133"/>
      <c r="AG1207" s="133"/>
      <c r="AH1207" s="133"/>
      <c r="AI1207" s="133"/>
      <c r="AJ1207" s="133">
        <f>26500+2773.2</f>
        <v>29273.200000000001</v>
      </c>
      <c r="AK1207" s="133"/>
      <c r="AL1207" s="133"/>
      <c r="AM1207" s="133"/>
      <c r="AN1207" s="133"/>
      <c r="AO1207" s="133"/>
      <c r="AP1207" s="133"/>
      <c r="AQ1207" s="133"/>
      <c r="AR1207" s="133"/>
      <c r="AS1207" s="153">
        <v>0</v>
      </c>
      <c r="AT1207" s="153">
        <v>0</v>
      </c>
      <c r="AU1207" s="153">
        <v>0</v>
      </c>
      <c r="AV1207" s="135"/>
      <c r="AW1207" s="135"/>
      <c r="AX1207" s="135"/>
      <c r="AY1207" s="135"/>
      <c r="AZ1207" s="135"/>
      <c r="BA1207" s="135"/>
      <c r="BB1207" s="135"/>
      <c r="BC1207" s="135">
        <v>22457.63</v>
      </c>
      <c r="BD1207" s="135">
        <v>1926.43</v>
      </c>
      <c r="BE1207" s="135"/>
      <c r="BF1207" s="135"/>
      <c r="BG1207" s="135"/>
      <c r="BH1207" s="135"/>
      <c r="BI1207" s="2" t="s">
        <v>3773</v>
      </c>
      <c r="BJ1207" s="136">
        <v>45912</v>
      </c>
      <c r="BK1207" s="2" t="s">
        <v>109</v>
      </c>
      <c r="BL1207" s="136" t="s">
        <v>113</v>
      </c>
      <c r="BM1207" s="136">
        <v>45597</v>
      </c>
      <c r="BN1207" s="2" t="s">
        <v>4053</v>
      </c>
      <c r="BO1207" s="2"/>
      <c r="BP1207" s="136"/>
      <c r="BQ1207" s="137" t="s">
        <v>119</v>
      </c>
    </row>
    <row r="1208" spans="1:69" ht="12.75" customHeight="1" x14ac:dyDescent="0.2">
      <c r="A1208" s="2">
        <v>2697</v>
      </c>
      <c r="B1208" s="2" t="s">
        <v>39</v>
      </c>
      <c r="C1208" s="131" t="s">
        <v>42</v>
      </c>
      <c r="D1208" s="131" t="s">
        <v>4057</v>
      </c>
      <c r="E1208" s="2" t="s">
        <v>3635</v>
      </c>
      <c r="F1208" s="132">
        <v>0</v>
      </c>
      <c r="G1208" s="132"/>
      <c r="H1208" s="132">
        <f t="shared" si="142"/>
        <v>46302.8</v>
      </c>
      <c r="I1208" s="132"/>
      <c r="J1208" s="132">
        <f>S1208+AY1208++BC1208</f>
        <v>35593.22</v>
      </c>
      <c r="K1208" s="132">
        <f t="shared" si="143"/>
        <v>-35593.22</v>
      </c>
      <c r="L1208" s="132">
        <f t="shared" si="135"/>
        <v>10709.580000000002</v>
      </c>
      <c r="M1208" s="133"/>
      <c r="N1208" s="133">
        <f t="shared" si="141"/>
        <v>10709.580000000002</v>
      </c>
      <c r="O1208" s="134">
        <v>1</v>
      </c>
      <c r="P1208" s="133"/>
      <c r="Q1208" s="2" t="s">
        <v>4055</v>
      </c>
      <c r="R1208" s="156">
        <f t="shared" si="136"/>
        <v>46302.8</v>
      </c>
      <c r="S1208" s="156">
        <f t="shared" si="137"/>
        <v>0</v>
      </c>
      <c r="T1208" s="133"/>
      <c r="U1208" s="133"/>
      <c r="V1208" s="133"/>
      <c r="W1208" s="133"/>
      <c r="X1208" s="133"/>
      <c r="Y1208" s="133"/>
      <c r="Z1208" s="133"/>
      <c r="AA1208" s="133"/>
      <c r="AB1208" s="133"/>
      <c r="AC1208" s="133"/>
      <c r="AD1208" s="133"/>
      <c r="AE1208" s="133"/>
      <c r="AF1208" s="133"/>
      <c r="AG1208" s="133"/>
      <c r="AH1208" s="133"/>
      <c r="AI1208" s="133"/>
      <c r="AJ1208" s="133">
        <f>42000+4302.8</f>
        <v>46302.8</v>
      </c>
      <c r="AK1208" s="133"/>
      <c r="AL1208" s="133"/>
      <c r="AM1208" s="133"/>
      <c r="AN1208" s="133"/>
      <c r="AO1208" s="133"/>
      <c r="AP1208" s="133"/>
      <c r="AQ1208" s="133"/>
      <c r="AR1208" s="133"/>
      <c r="AS1208" s="153">
        <v>0</v>
      </c>
      <c r="AT1208" s="153">
        <v>0</v>
      </c>
      <c r="AU1208" s="153">
        <v>0</v>
      </c>
      <c r="AV1208" s="135"/>
      <c r="AW1208" s="135"/>
      <c r="AX1208" s="135"/>
      <c r="AY1208" s="135"/>
      <c r="AZ1208" s="135"/>
      <c r="BA1208" s="135"/>
      <c r="BB1208" s="135"/>
      <c r="BC1208" s="135">
        <v>35593.22</v>
      </c>
      <c r="BD1208" s="135">
        <v>3053.22</v>
      </c>
      <c r="BE1208" s="135"/>
      <c r="BF1208" s="135"/>
      <c r="BG1208" s="135"/>
      <c r="BH1208" s="135"/>
      <c r="BI1208" s="2" t="s">
        <v>3773</v>
      </c>
      <c r="BJ1208" s="136">
        <v>45912</v>
      </c>
      <c r="BK1208" s="2" t="s">
        <v>109</v>
      </c>
      <c r="BL1208" s="136" t="s">
        <v>113</v>
      </c>
      <c r="BM1208" s="136">
        <v>45597</v>
      </c>
      <c r="BN1208" s="2" t="s">
        <v>4056</v>
      </c>
      <c r="BO1208" s="2"/>
      <c r="BP1208" s="136"/>
      <c r="BQ1208" s="137" t="s">
        <v>119</v>
      </c>
    </row>
    <row r="1209" spans="1:69" ht="12.75" customHeight="1" x14ac:dyDescent="0.2">
      <c r="A1209" s="2">
        <v>2698</v>
      </c>
      <c r="B1209" s="2" t="s">
        <v>39</v>
      </c>
      <c r="C1209" s="131" t="s">
        <v>42</v>
      </c>
      <c r="D1209" s="131" t="s">
        <v>4058</v>
      </c>
      <c r="E1209" s="2" t="s">
        <v>3635</v>
      </c>
      <c r="F1209" s="132">
        <v>0</v>
      </c>
      <c r="G1209" s="132"/>
      <c r="H1209" s="132">
        <f t="shared" si="142"/>
        <v>46302.8</v>
      </c>
      <c r="I1209" s="132"/>
      <c r="J1209" s="132">
        <f>S1209+AY1209+BC1209</f>
        <v>35593.22</v>
      </c>
      <c r="K1209" s="132">
        <f t="shared" si="143"/>
        <v>-35593.22</v>
      </c>
      <c r="L1209" s="132">
        <f t="shared" si="135"/>
        <v>10709.580000000002</v>
      </c>
      <c r="M1209" s="133"/>
      <c r="N1209" s="133">
        <f t="shared" si="141"/>
        <v>10709.580000000002</v>
      </c>
      <c r="O1209" s="134">
        <v>1</v>
      </c>
      <c r="P1209" s="133"/>
      <c r="Q1209" s="2" t="s">
        <v>4059</v>
      </c>
      <c r="R1209" s="156">
        <f t="shared" si="136"/>
        <v>46302.8</v>
      </c>
      <c r="S1209" s="156">
        <f t="shared" si="137"/>
        <v>0</v>
      </c>
      <c r="T1209" s="133"/>
      <c r="U1209" s="133"/>
      <c r="V1209" s="133"/>
      <c r="W1209" s="133"/>
      <c r="X1209" s="133"/>
      <c r="Y1209" s="133"/>
      <c r="Z1209" s="133"/>
      <c r="AA1209" s="133"/>
      <c r="AB1209" s="133"/>
      <c r="AC1209" s="133"/>
      <c r="AD1209" s="133"/>
      <c r="AE1209" s="133"/>
      <c r="AF1209" s="133"/>
      <c r="AG1209" s="133"/>
      <c r="AH1209" s="133"/>
      <c r="AI1209" s="133"/>
      <c r="AJ1209" s="133">
        <f>42000+4302.8</f>
        <v>46302.8</v>
      </c>
      <c r="AK1209" s="133"/>
      <c r="AL1209" s="133"/>
      <c r="AM1209" s="133"/>
      <c r="AN1209" s="133"/>
      <c r="AO1209" s="133"/>
      <c r="AP1209" s="133"/>
      <c r="AQ1209" s="133"/>
      <c r="AR1209" s="133"/>
      <c r="AS1209" s="153">
        <v>0</v>
      </c>
      <c r="AT1209" s="153">
        <v>0</v>
      </c>
      <c r="AU1209" s="153">
        <v>0</v>
      </c>
      <c r="AV1209" s="135"/>
      <c r="AW1209" s="135"/>
      <c r="AX1209" s="135"/>
      <c r="AY1209" s="135"/>
      <c r="AZ1209" s="135"/>
      <c r="BA1209" s="135"/>
      <c r="BB1209" s="135"/>
      <c r="BC1209" s="135">
        <v>35593.22</v>
      </c>
      <c r="BD1209" s="135">
        <v>3053.22</v>
      </c>
      <c r="BE1209" s="135"/>
      <c r="BF1209" s="135"/>
      <c r="BG1209" s="135"/>
      <c r="BH1209" s="135"/>
      <c r="BI1209" s="2" t="s">
        <v>3773</v>
      </c>
      <c r="BJ1209" s="136">
        <v>45912</v>
      </c>
      <c r="BK1209" s="2" t="s">
        <v>109</v>
      </c>
      <c r="BL1209" s="136" t="s">
        <v>113</v>
      </c>
      <c r="BM1209" s="136">
        <v>45597</v>
      </c>
      <c r="BN1209" s="2" t="s">
        <v>4060</v>
      </c>
      <c r="BO1209" s="2"/>
      <c r="BP1209" s="136"/>
      <c r="BQ1209" s="137" t="s">
        <v>119</v>
      </c>
    </row>
    <row r="1210" spans="1:69" ht="12.75" customHeight="1" x14ac:dyDescent="0.2">
      <c r="A1210" s="2">
        <v>2699</v>
      </c>
      <c r="B1210" s="2" t="s">
        <v>55</v>
      </c>
      <c r="C1210" s="131" t="s">
        <v>103</v>
      </c>
      <c r="D1210" s="2" t="s">
        <v>4104</v>
      </c>
      <c r="E1210" s="2" t="s">
        <v>117</v>
      </c>
      <c r="F1210" s="132">
        <v>0</v>
      </c>
      <c r="G1210" s="132"/>
      <c r="H1210" s="132">
        <f t="shared" si="142"/>
        <v>57604.75</v>
      </c>
      <c r="I1210" s="132"/>
      <c r="J1210" s="132">
        <f t="shared" si="140"/>
        <v>8787.17</v>
      </c>
      <c r="K1210" s="132">
        <f t="shared" si="143"/>
        <v>-8787.17</v>
      </c>
      <c r="L1210" s="132">
        <f t="shared" si="135"/>
        <v>48817.58</v>
      </c>
      <c r="M1210" s="133"/>
      <c r="N1210" s="133">
        <f t="shared" si="141"/>
        <v>48817.58</v>
      </c>
      <c r="O1210" s="134"/>
      <c r="P1210" s="133"/>
      <c r="Q1210" s="2"/>
      <c r="R1210" s="156">
        <f t="shared" si="136"/>
        <v>57604.75</v>
      </c>
      <c r="S1210" s="156">
        <f t="shared" si="137"/>
        <v>8787.17</v>
      </c>
      <c r="T1210" s="133"/>
      <c r="U1210" s="133"/>
      <c r="V1210" s="133"/>
      <c r="W1210" s="133"/>
      <c r="X1210" s="133"/>
      <c r="Y1210" s="133"/>
      <c r="Z1210" s="133"/>
      <c r="AA1210" s="133"/>
      <c r="AB1210" s="133"/>
      <c r="AC1210" s="133"/>
      <c r="AD1210" s="133"/>
      <c r="AE1210" s="133"/>
      <c r="AF1210" s="133"/>
      <c r="AG1210" s="133"/>
      <c r="AH1210" s="133"/>
      <c r="AI1210" s="133"/>
      <c r="AJ1210" s="133"/>
      <c r="AK1210" s="133"/>
      <c r="AL1210" s="133">
        <f>32917*1.75</f>
        <v>57604.75</v>
      </c>
      <c r="AM1210" s="133"/>
      <c r="AN1210" s="133"/>
      <c r="AO1210" s="133">
        <v>8787.17</v>
      </c>
      <c r="AP1210" s="133"/>
      <c r="AQ1210" s="133"/>
      <c r="AR1210" s="133"/>
      <c r="AS1210" s="153">
        <v>0</v>
      </c>
      <c r="AT1210" s="153">
        <v>0</v>
      </c>
      <c r="AU1210" s="153">
        <v>0</v>
      </c>
      <c r="AV1210" s="135">
        <v>0</v>
      </c>
      <c r="AW1210" s="135">
        <v>0</v>
      </c>
      <c r="AX1210" s="135"/>
      <c r="AY1210" s="135">
        <v>0</v>
      </c>
      <c r="AZ1210" s="135">
        <v>0</v>
      </c>
      <c r="BA1210" s="135"/>
      <c r="BB1210" s="135"/>
      <c r="BC1210" s="135">
        <v>0</v>
      </c>
      <c r="BD1210" s="135">
        <v>0</v>
      </c>
      <c r="BE1210" s="135"/>
      <c r="BF1210" s="135"/>
      <c r="BG1210" s="135"/>
      <c r="BH1210" s="135"/>
      <c r="BI1210" s="2" t="s">
        <v>112</v>
      </c>
      <c r="BJ1210" s="136">
        <v>45931</v>
      </c>
      <c r="BK1210" s="2" t="s">
        <v>145</v>
      </c>
      <c r="BL1210" s="136" t="s">
        <v>18</v>
      </c>
      <c r="BM1210" s="136">
        <v>45629</v>
      </c>
      <c r="BN1210" s="2" t="s">
        <v>3808</v>
      </c>
      <c r="BO1210" s="2"/>
      <c r="BP1210" s="136" t="s">
        <v>3807</v>
      </c>
      <c r="BQ1210" s="137"/>
    </row>
    <row r="1211" spans="1:69" ht="12.75" customHeight="1" x14ac:dyDescent="0.2">
      <c r="A1211" s="2">
        <v>2700</v>
      </c>
      <c r="B1211" s="2" t="s">
        <v>44</v>
      </c>
      <c r="C1211" s="131" t="s">
        <v>45</v>
      </c>
      <c r="D1211" s="131" t="s">
        <v>4065</v>
      </c>
      <c r="E1211" s="2" t="s">
        <v>3635</v>
      </c>
      <c r="F1211" s="132">
        <v>0</v>
      </c>
      <c r="G1211" s="132"/>
      <c r="H1211" s="132">
        <f t="shared" si="142"/>
        <v>22500</v>
      </c>
      <c r="I1211" s="132"/>
      <c r="J1211" s="132">
        <f t="shared" si="140"/>
        <v>0</v>
      </c>
      <c r="K1211" s="132">
        <f t="shared" si="143"/>
        <v>0</v>
      </c>
      <c r="L1211" s="132">
        <f t="shared" si="135"/>
        <v>22500</v>
      </c>
      <c r="M1211" s="133"/>
      <c r="N1211" s="133">
        <f t="shared" si="141"/>
        <v>22500</v>
      </c>
      <c r="O1211" s="134">
        <v>1</v>
      </c>
      <c r="P1211" s="133"/>
      <c r="Q1211" s="2" t="s">
        <v>3893</v>
      </c>
      <c r="R1211" s="156">
        <f t="shared" si="136"/>
        <v>22500</v>
      </c>
      <c r="S1211" s="156">
        <f t="shared" si="137"/>
        <v>0</v>
      </c>
      <c r="T1211" s="133"/>
      <c r="U1211" s="133"/>
      <c r="V1211" s="133"/>
      <c r="W1211" s="133"/>
      <c r="X1211" s="133"/>
      <c r="Y1211" s="133"/>
      <c r="Z1211" s="133"/>
      <c r="AA1211" s="133"/>
      <c r="AB1211" s="133"/>
      <c r="AC1211" s="133"/>
      <c r="AD1211" s="133"/>
      <c r="AE1211" s="133"/>
      <c r="AF1211" s="133"/>
      <c r="AG1211" s="133"/>
      <c r="AH1211" s="133"/>
      <c r="AI1211" s="133"/>
      <c r="AJ1211" s="133">
        <v>22500</v>
      </c>
      <c r="AK1211" s="133"/>
      <c r="AL1211" s="133"/>
      <c r="AM1211" s="133"/>
      <c r="AN1211" s="133"/>
      <c r="AO1211" s="133"/>
      <c r="AP1211" s="133"/>
      <c r="AQ1211" s="133"/>
      <c r="AR1211" s="133"/>
      <c r="AS1211" s="153">
        <v>0</v>
      </c>
      <c r="AT1211" s="153">
        <v>0</v>
      </c>
      <c r="AU1211" s="153">
        <v>0</v>
      </c>
      <c r="AV1211" s="135">
        <v>0</v>
      </c>
      <c r="AW1211" s="135">
        <v>0</v>
      </c>
      <c r="AX1211" s="135"/>
      <c r="AY1211" s="135">
        <v>0</v>
      </c>
      <c r="AZ1211" s="135">
        <v>0</v>
      </c>
      <c r="BA1211" s="135"/>
      <c r="BB1211" s="135"/>
      <c r="BC1211" s="135">
        <v>0</v>
      </c>
      <c r="BD1211" s="135">
        <v>0</v>
      </c>
      <c r="BE1211" s="135"/>
      <c r="BF1211" s="135"/>
      <c r="BG1211" s="135"/>
      <c r="BH1211" s="135"/>
      <c r="BI1211" s="2" t="s">
        <v>3746</v>
      </c>
      <c r="BJ1211" s="136">
        <v>45910</v>
      </c>
      <c r="BK1211" s="2" t="s">
        <v>109</v>
      </c>
      <c r="BL1211" s="136" t="s">
        <v>113</v>
      </c>
      <c r="BM1211" s="136">
        <v>45635</v>
      </c>
      <c r="BN1211" s="2" t="s">
        <v>3641</v>
      </c>
      <c r="BO1211" s="2"/>
      <c r="BP1211" s="136"/>
      <c r="BQ1211" s="137" t="s">
        <v>119</v>
      </c>
    </row>
    <row r="1212" spans="1:69" ht="12.75" customHeight="1" x14ac:dyDescent="0.2">
      <c r="A1212" s="2">
        <v>2701</v>
      </c>
      <c r="B1212" s="2" t="s">
        <v>44</v>
      </c>
      <c r="C1212" s="131" t="s">
        <v>45</v>
      </c>
      <c r="D1212" s="131" t="s">
        <v>4066</v>
      </c>
      <c r="E1212" s="2" t="s">
        <v>3635</v>
      </c>
      <c r="F1212" s="132">
        <v>0</v>
      </c>
      <c r="G1212" s="132"/>
      <c r="H1212" s="132">
        <f t="shared" si="142"/>
        <v>6500</v>
      </c>
      <c r="I1212" s="132"/>
      <c r="J1212" s="132">
        <f t="shared" si="140"/>
        <v>0</v>
      </c>
      <c r="K1212" s="132">
        <f t="shared" si="143"/>
        <v>0</v>
      </c>
      <c r="L1212" s="132">
        <f t="shared" si="135"/>
        <v>6500</v>
      </c>
      <c r="M1212" s="133"/>
      <c r="N1212" s="133">
        <f t="shared" si="141"/>
        <v>6500</v>
      </c>
      <c r="O1212" s="134">
        <v>1</v>
      </c>
      <c r="P1212" s="133"/>
      <c r="Q1212" s="2" t="s">
        <v>3823</v>
      </c>
      <c r="R1212" s="156">
        <f t="shared" si="136"/>
        <v>6500</v>
      </c>
      <c r="S1212" s="156">
        <f t="shared" si="137"/>
        <v>0</v>
      </c>
      <c r="T1212" s="133"/>
      <c r="U1212" s="133"/>
      <c r="V1212" s="133"/>
      <c r="W1212" s="133"/>
      <c r="X1212" s="133"/>
      <c r="Y1212" s="133"/>
      <c r="Z1212" s="133"/>
      <c r="AA1212" s="133"/>
      <c r="AB1212" s="133"/>
      <c r="AC1212" s="133"/>
      <c r="AD1212" s="133"/>
      <c r="AE1212" s="133"/>
      <c r="AF1212" s="133"/>
      <c r="AG1212" s="133"/>
      <c r="AH1212" s="133"/>
      <c r="AI1212" s="133"/>
      <c r="AJ1212" s="133">
        <v>6500</v>
      </c>
      <c r="AK1212" s="133"/>
      <c r="AL1212" s="133"/>
      <c r="AM1212" s="133"/>
      <c r="AN1212" s="133"/>
      <c r="AO1212" s="133"/>
      <c r="AP1212" s="133"/>
      <c r="AQ1212" s="133"/>
      <c r="AR1212" s="133"/>
      <c r="AS1212" s="153">
        <v>0</v>
      </c>
      <c r="AT1212" s="153">
        <v>0</v>
      </c>
      <c r="AU1212" s="153">
        <v>0</v>
      </c>
      <c r="AV1212" s="135">
        <v>0</v>
      </c>
      <c r="AW1212" s="135">
        <v>0</v>
      </c>
      <c r="AX1212" s="135"/>
      <c r="AY1212" s="135">
        <v>0</v>
      </c>
      <c r="AZ1212" s="135">
        <v>0</v>
      </c>
      <c r="BA1212" s="135"/>
      <c r="BB1212" s="135"/>
      <c r="BC1212" s="135">
        <v>0</v>
      </c>
      <c r="BD1212" s="135">
        <v>0</v>
      </c>
      <c r="BE1212" s="135"/>
      <c r="BF1212" s="135"/>
      <c r="BG1212" s="135"/>
      <c r="BH1212" s="135"/>
      <c r="BI1212" s="2" t="s">
        <v>3746</v>
      </c>
      <c r="BJ1212" s="136">
        <v>45910</v>
      </c>
      <c r="BK1212" s="2" t="s">
        <v>109</v>
      </c>
      <c r="BL1212" s="136" t="s">
        <v>113</v>
      </c>
      <c r="BM1212" s="136">
        <v>45635</v>
      </c>
      <c r="BN1212" s="2" t="s">
        <v>3641</v>
      </c>
      <c r="BO1212" s="2"/>
      <c r="BP1212" s="136"/>
      <c r="BQ1212" s="137" t="s">
        <v>119</v>
      </c>
    </row>
    <row r="1213" spans="1:69" ht="12.75" customHeight="1" x14ac:dyDescent="0.2">
      <c r="A1213" s="2">
        <v>2702</v>
      </c>
      <c r="B1213" s="2" t="s">
        <v>44</v>
      </c>
      <c r="C1213" s="131" t="s">
        <v>45</v>
      </c>
      <c r="D1213" s="131" t="s">
        <v>4067</v>
      </c>
      <c r="E1213" s="2" t="s">
        <v>3635</v>
      </c>
      <c r="F1213" s="132">
        <v>0</v>
      </c>
      <c r="G1213" s="132"/>
      <c r="H1213" s="132">
        <f t="shared" si="142"/>
        <v>22500</v>
      </c>
      <c r="I1213" s="132"/>
      <c r="J1213" s="132">
        <f t="shared" si="140"/>
        <v>0</v>
      </c>
      <c r="K1213" s="132">
        <f t="shared" si="143"/>
        <v>0</v>
      </c>
      <c r="L1213" s="132">
        <f t="shared" si="135"/>
        <v>22500</v>
      </c>
      <c r="M1213" s="133"/>
      <c r="N1213" s="133">
        <f t="shared" si="141"/>
        <v>22500</v>
      </c>
      <c r="O1213" s="134">
        <v>1</v>
      </c>
      <c r="P1213" s="133"/>
      <c r="Q1213" s="2" t="s">
        <v>3893</v>
      </c>
      <c r="R1213" s="156">
        <f t="shared" si="136"/>
        <v>22500</v>
      </c>
      <c r="S1213" s="156">
        <f t="shared" si="137"/>
        <v>0</v>
      </c>
      <c r="T1213" s="133"/>
      <c r="U1213" s="133"/>
      <c r="V1213" s="133"/>
      <c r="W1213" s="133"/>
      <c r="X1213" s="133"/>
      <c r="Y1213" s="133"/>
      <c r="Z1213" s="133"/>
      <c r="AA1213" s="133"/>
      <c r="AB1213" s="133"/>
      <c r="AC1213" s="133"/>
      <c r="AD1213" s="133"/>
      <c r="AE1213" s="133"/>
      <c r="AF1213" s="133"/>
      <c r="AG1213" s="133"/>
      <c r="AH1213" s="133"/>
      <c r="AI1213" s="133"/>
      <c r="AJ1213" s="133">
        <v>22500</v>
      </c>
      <c r="AK1213" s="133"/>
      <c r="AL1213" s="133"/>
      <c r="AM1213" s="133"/>
      <c r="AN1213" s="133"/>
      <c r="AO1213" s="133"/>
      <c r="AP1213" s="133"/>
      <c r="AQ1213" s="133"/>
      <c r="AR1213" s="133"/>
      <c r="AS1213" s="153">
        <v>0</v>
      </c>
      <c r="AT1213" s="153">
        <v>0</v>
      </c>
      <c r="AU1213" s="153">
        <v>0</v>
      </c>
      <c r="AV1213" s="135">
        <v>0</v>
      </c>
      <c r="AW1213" s="135">
        <v>0</v>
      </c>
      <c r="AX1213" s="135"/>
      <c r="AY1213" s="135">
        <v>0</v>
      </c>
      <c r="AZ1213" s="135">
        <v>0</v>
      </c>
      <c r="BA1213" s="135"/>
      <c r="BB1213" s="135"/>
      <c r="BC1213" s="135">
        <v>0</v>
      </c>
      <c r="BD1213" s="135">
        <v>0</v>
      </c>
      <c r="BE1213" s="135"/>
      <c r="BF1213" s="135"/>
      <c r="BG1213" s="135"/>
      <c r="BH1213" s="135"/>
      <c r="BI1213" s="2" t="s">
        <v>3746</v>
      </c>
      <c r="BJ1213" s="136">
        <v>45910</v>
      </c>
      <c r="BK1213" s="2" t="s">
        <v>109</v>
      </c>
      <c r="BL1213" s="136" t="s">
        <v>113</v>
      </c>
      <c r="BM1213" s="136">
        <v>45635</v>
      </c>
      <c r="BN1213" s="2" t="s">
        <v>3641</v>
      </c>
      <c r="BO1213" s="2"/>
      <c r="BP1213" s="136"/>
      <c r="BQ1213" s="137" t="s">
        <v>119</v>
      </c>
    </row>
    <row r="1214" spans="1:69" ht="12.75" customHeight="1" x14ac:dyDescent="0.2">
      <c r="A1214" s="2">
        <v>2703</v>
      </c>
      <c r="B1214" s="2" t="s">
        <v>100</v>
      </c>
      <c r="C1214" s="131" t="s">
        <v>95</v>
      </c>
      <c r="D1214" s="131" t="s">
        <v>4068</v>
      </c>
      <c r="E1214" s="2" t="s">
        <v>3635</v>
      </c>
      <c r="F1214" s="132">
        <v>0</v>
      </c>
      <c r="G1214" s="132"/>
      <c r="H1214" s="132">
        <f t="shared" si="142"/>
        <v>22500</v>
      </c>
      <c r="I1214" s="132"/>
      <c r="J1214" s="132">
        <f t="shared" si="140"/>
        <v>0</v>
      </c>
      <c r="K1214" s="132">
        <f t="shared" si="143"/>
        <v>0</v>
      </c>
      <c r="L1214" s="132">
        <f t="shared" si="135"/>
        <v>22500</v>
      </c>
      <c r="M1214" s="133">
        <v>0</v>
      </c>
      <c r="N1214" s="133">
        <f t="shared" si="141"/>
        <v>22500</v>
      </c>
      <c r="O1214" s="134">
        <v>1</v>
      </c>
      <c r="P1214" s="133"/>
      <c r="Q1214" s="2" t="s">
        <v>3893</v>
      </c>
      <c r="R1214" s="156">
        <f t="shared" si="136"/>
        <v>22500</v>
      </c>
      <c r="S1214" s="156">
        <f t="shared" si="137"/>
        <v>0</v>
      </c>
      <c r="T1214" s="133"/>
      <c r="U1214" s="133"/>
      <c r="V1214" s="133"/>
      <c r="W1214" s="133"/>
      <c r="X1214" s="133"/>
      <c r="Y1214" s="133"/>
      <c r="Z1214" s="133"/>
      <c r="AA1214" s="133"/>
      <c r="AB1214" s="133"/>
      <c r="AC1214" s="133"/>
      <c r="AD1214" s="133"/>
      <c r="AE1214" s="133"/>
      <c r="AF1214" s="133"/>
      <c r="AG1214" s="133"/>
      <c r="AH1214" s="133"/>
      <c r="AI1214" s="133"/>
      <c r="AJ1214" s="133">
        <v>22500</v>
      </c>
      <c r="AK1214" s="133"/>
      <c r="AL1214" s="133"/>
      <c r="AM1214" s="133"/>
      <c r="AN1214" s="133"/>
      <c r="AO1214" s="133"/>
      <c r="AP1214" s="133"/>
      <c r="AQ1214" s="133"/>
      <c r="AR1214" s="133"/>
      <c r="AS1214" s="153">
        <v>0</v>
      </c>
      <c r="AT1214" s="153">
        <v>0</v>
      </c>
      <c r="AU1214" s="153">
        <v>0</v>
      </c>
      <c r="AV1214" s="135"/>
      <c r="AW1214" s="135"/>
      <c r="AX1214" s="135"/>
      <c r="AY1214" s="135"/>
      <c r="AZ1214" s="135"/>
      <c r="BA1214" s="135"/>
      <c r="BB1214" s="135"/>
      <c r="BC1214" s="135"/>
      <c r="BD1214" s="135"/>
      <c r="BE1214" s="135"/>
      <c r="BF1214" s="135"/>
      <c r="BG1214" s="135"/>
      <c r="BH1214" s="135"/>
      <c r="BI1214" s="2"/>
      <c r="BJ1214" s="136">
        <v>45930</v>
      </c>
      <c r="BK1214" s="2" t="s">
        <v>109</v>
      </c>
      <c r="BL1214" s="136" t="s">
        <v>18</v>
      </c>
      <c r="BM1214" s="136">
        <v>45635</v>
      </c>
      <c r="BN1214" s="2" t="s">
        <v>3636</v>
      </c>
      <c r="BO1214" s="2"/>
      <c r="BP1214" s="136"/>
      <c r="BQ1214" s="137" t="s">
        <v>119</v>
      </c>
    </row>
    <row r="1215" spans="1:69" ht="12.75" customHeight="1" x14ac:dyDescent="0.2">
      <c r="A1215" s="2">
        <v>2704</v>
      </c>
      <c r="B1215" s="2" t="s">
        <v>54</v>
      </c>
      <c r="C1215" s="131" t="s">
        <v>96</v>
      </c>
      <c r="D1215" s="131" t="s">
        <v>4069</v>
      </c>
      <c r="E1215" s="2" t="s">
        <v>3635</v>
      </c>
      <c r="F1215" s="132">
        <v>0</v>
      </c>
      <c r="G1215" s="132"/>
      <c r="H1215" s="132">
        <f t="shared" si="142"/>
        <v>22500</v>
      </c>
      <c r="I1215" s="132"/>
      <c r="J1215" s="132">
        <f t="shared" si="140"/>
        <v>0</v>
      </c>
      <c r="K1215" s="132">
        <f t="shared" si="143"/>
        <v>0</v>
      </c>
      <c r="L1215" s="132">
        <f t="shared" si="135"/>
        <v>22500</v>
      </c>
      <c r="M1215" s="133">
        <v>0</v>
      </c>
      <c r="N1215" s="133">
        <f t="shared" si="141"/>
        <v>22500</v>
      </c>
      <c r="O1215" s="134">
        <v>1</v>
      </c>
      <c r="P1215" s="133"/>
      <c r="Q1215" s="2" t="s">
        <v>3893</v>
      </c>
      <c r="R1215" s="156">
        <f t="shared" si="136"/>
        <v>22500</v>
      </c>
      <c r="S1215" s="156">
        <f t="shared" si="137"/>
        <v>0</v>
      </c>
      <c r="T1215" s="133"/>
      <c r="U1215" s="133"/>
      <c r="V1215" s="133"/>
      <c r="W1215" s="133"/>
      <c r="X1215" s="133"/>
      <c r="Y1215" s="133"/>
      <c r="Z1215" s="133"/>
      <c r="AA1215" s="133"/>
      <c r="AB1215" s="133"/>
      <c r="AC1215" s="133"/>
      <c r="AD1215" s="133"/>
      <c r="AE1215" s="133"/>
      <c r="AF1215" s="133"/>
      <c r="AG1215" s="133"/>
      <c r="AH1215" s="133"/>
      <c r="AI1215" s="133"/>
      <c r="AJ1215" s="133">
        <v>22500</v>
      </c>
      <c r="AK1215" s="133"/>
      <c r="AL1215" s="133"/>
      <c r="AM1215" s="133"/>
      <c r="AN1215" s="133"/>
      <c r="AO1215" s="133"/>
      <c r="AP1215" s="133"/>
      <c r="AQ1215" s="133"/>
      <c r="AR1215" s="133"/>
      <c r="AS1215" s="153">
        <v>0</v>
      </c>
      <c r="AT1215" s="153">
        <v>0</v>
      </c>
      <c r="AU1215" s="153">
        <v>0</v>
      </c>
      <c r="AV1215" s="135"/>
      <c r="AW1215" s="135"/>
      <c r="AX1215" s="135"/>
      <c r="AY1215" s="135"/>
      <c r="AZ1215" s="135"/>
      <c r="BA1215" s="135"/>
      <c r="BB1215" s="135"/>
      <c r="BC1215" s="135"/>
      <c r="BD1215" s="135"/>
      <c r="BE1215" s="135"/>
      <c r="BF1215" s="135"/>
      <c r="BG1215" s="135"/>
      <c r="BH1215" s="135"/>
      <c r="BI1215" s="2"/>
      <c r="BJ1215" s="136">
        <v>45930</v>
      </c>
      <c r="BK1215" s="2" t="s">
        <v>109</v>
      </c>
      <c r="BL1215" s="136" t="s">
        <v>18</v>
      </c>
      <c r="BM1215" s="136">
        <v>45635</v>
      </c>
      <c r="BN1215" s="2" t="s">
        <v>3636</v>
      </c>
      <c r="BO1215" s="2"/>
      <c r="BP1215" s="136"/>
      <c r="BQ1215" s="137" t="s">
        <v>119</v>
      </c>
    </row>
    <row r="1216" spans="1:69" ht="12.75" customHeight="1" x14ac:dyDescent="0.2">
      <c r="A1216" s="2">
        <v>2705</v>
      </c>
      <c r="B1216" s="2" t="s">
        <v>28</v>
      </c>
      <c r="C1216" s="131" t="s">
        <v>88</v>
      </c>
      <c r="D1216" s="131" t="s">
        <v>4073</v>
      </c>
      <c r="E1216" s="2" t="s">
        <v>3635</v>
      </c>
      <c r="F1216" s="132">
        <v>0</v>
      </c>
      <c r="G1216" s="132"/>
      <c r="H1216" s="132">
        <f t="shared" si="142"/>
        <v>285000</v>
      </c>
      <c r="I1216" s="132"/>
      <c r="J1216" s="132">
        <f>S1216+BC1216</f>
        <v>285000</v>
      </c>
      <c r="K1216" s="132">
        <f t="shared" si="143"/>
        <v>-285000</v>
      </c>
      <c r="L1216" s="132">
        <f t="shared" si="135"/>
        <v>0</v>
      </c>
      <c r="M1216" s="133"/>
      <c r="N1216" s="133">
        <f t="shared" si="141"/>
        <v>-285000</v>
      </c>
      <c r="O1216" s="134">
        <v>1</v>
      </c>
      <c r="P1216" s="133"/>
      <c r="Q1216" s="2" t="s">
        <v>4071</v>
      </c>
      <c r="R1216" s="156">
        <f t="shared" si="136"/>
        <v>285000</v>
      </c>
      <c r="S1216" s="156">
        <f t="shared" si="137"/>
        <v>43474.58</v>
      </c>
      <c r="T1216" s="133"/>
      <c r="U1216" s="133"/>
      <c r="V1216" s="133"/>
      <c r="W1216" s="133"/>
      <c r="X1216" s="133"/>
      <c r="Y1216" s="133"/>
      <c r="Z1216" s="133"/>
      <c r="AA1216" s="133"/>
      <c r="AB1216" s="133"/>
      <c r="AC1216" s="133"/>
      <c r="AD1216" s="133"/>
      <c r="AE1216" s="133"/>
      <c r="AF1216" s="133"/>
      <c r="AG1216" s="133"/>
      <c r="AH1216" s="133"/>
      <c r="AI1216" s="133"/>
      <c r="AJ1216" s="133"/>
      <c r="AK1216" s="133"/>
      <c r="AL1216" s="133">
        <v>285000</v>
      </c>
      <c r="AM1216" s="133"/>
      <c r="AN1216" s="133"/>
      <c r="AO1216" s="133">
        <v>43474.58</v>
      </c>
      <c r="AP1216" s="133"/>
      <c r="AQ1216" s="133"/>
      <c r="AR1216" s="133"/>
      <c r="AS1216" s="153">
        <v>0</v>
      </c>
      <c r="AT1216" s="153">
        <v>0</v>
      </c>
      <c r="AU1216" s="153">
        <v>0</v>
      </c>
      <c r="AV1216" s="135"/>
      <c r="AW1216" s="135"/>
      <c r="AX1216" s="135"/>
      <c r="AY1216" s="135"/>
      <c r="AZ1216" s="135"/>
      <c r="BA1216" s="135"/>
      <c r="BB1216" s="135"/>
      <c r="BC1216" s="135">
        <v>241525.42</v>
      </c>
      <c r="BD1216" s="135"/>
      <c r="BE1216" s="135"/>
      <c r="BF1216" s="135"/>
      <c r="BG1216" s="135"/>
      <c r="BH1216" s="135"/>
      <c r="BI1216" s="2" t="s">
        <v>3773</v>
      </c>
      <c r="BJ1216" s="136"/>
      <c r="BK1216" s="2">
        <v>99</v>
      </c>
      <c r="BL1216" s="136" t="s">
        <v>18</v>
      </c>
      <c r="BM1216" s="136">
        <v>45597</v>
      </c>
      <c r="BN1216" s="2" t="s">
        <v>4072</v>
      </c>
      <c r="BO1216" s="2"/>
      <c r="BP1216" s="136"/>
      <c r="BQ1216" s="137" t="s">
        <v>119</v>
      </c>
    </row>
    <row r="1217" spans="1:69" ht="12.75" customHeight="1" x14ac:dyDescent="0.2">
      <c r="A1217" s="2">
        <v>2706</v>
      </c>
      <c r="B1217" s="2" t="s">
        <v>28</v>
      </c>
      <c r="C1217" s="131" t="s">
        <v>88</v>
      </c>
      <c r="D1217" s="131" t="s">
        <v>4077</v>
      </c>
      <c r="E1217" s="2" t="s">
        <v>117</v>
      </c>
      <c r="F1217" s="132">
        <v>0</v>
      </c>
      <c r="G1217" s="132"/>
      <c r="H1217" s="132">
        <f t="shared" si="142"/>
        <v>5442.5</v>
      </c>
      <c r="I1217" s="132"/>
      <c r="J1217" s="132">
        <f t="shared" si="140"/>
        <v>830.21</v>
      </c>
      <c r="K1217" s="132">
        <f t="shared" si="143"/>
        <v>-830.21</v>
      </c>
      <c r="L1217" s="132">
        <f t="shared" si="135"/>
        <v>4612.29</v>
      </c>
      <c r="M1217" s="133"/>
      <c r="N1217" s="133">
        <f t="shared" si="141"/>
        <v>4612.29</v>
      </c>
      <c r="O1217" s="134">
        <v>1</v>
      </c>
      <c r="P1217" s="133"/>
      <c r="Q1217" s="2" t="s">
        <v>4074</v>
      </c>
      <c r="R1217" s="156">
        <f t="shared" si="136"/>
        <v>5442.5</v>
      </c>
      <c r="S1217" s="156">
        <f t="shared" si="137"/>
        <v>830.21</v>
      </c>
      <c r="T1217" s="133"/>
      <c r="U1217" s="133"/>
      <c r="V1217" s="133"/>
      <c r="W1217" s="133"/>
      <c r="X1217" s="133"/>
      <c r="Y1217" s="133"/>
      <c r="Z1217" s="133"/>
      <c r="AA1217" s="133"/>
      <c r="AB1217" s="133"/>
      <c r="AC1217" s="133"/>
      <c r="AD1217" s="133"/>
      <c r="AE1217" s="133"/>
      <c r="AF1217" s="133"/>
      <c r="AG1217" s="133"/>
      <c r="AH1217" s="133"/>
      <c r="AI1217" s="133"/>
      <c r="AJ1217" s="133"/>
      <c r="AK1217" s="133"/>
      <c r="AL1217" s="133">
        <f>3110*1.75</f>
        <v>5442.5</v>
      </c>
      <c r="AM1217" s="133"/>
      <c r="AN1217" s="133"/>
      <c r="AO1217" s="133">
        <v>830.21</v>
      </c>
      <c r="AP1217" s="133"/>
      <c r="AQ1217" s="133"/>
      <c r="AR1217" s="133"/>
      <c r="AS1217" s="153">
        <v>0</v>
      </c>
      <c r="AT1217" s="153">
        <v>0</v>
      </c>
      <c r="AU1217" s="153">
        <v>0</v>
      </c>
      <c r="AV1217" s="135"/>
      <c r="AW1217" s="135"/>
      <c r="AX1217" s="135"/>
      <c r="AY1217" s="135"/>
      <c r="AZ1217" s="135"/>
      <c r="BA1217" s="135"/>
      <c r="BB1217" s="135"/>
      <c r="BC1217" s="135"/>
      <c r="BD1217" s="135"/>
      <c r="BE1217" s="135"/>
      <c r="BF1217" s="135"/>
      <c r="BG1217" s="135"/>
      <c r="BH1217" s="135"/>
      <c r="BI1217" s="2" t="s">
        <v>11</v>
      </c>
      <c r="BJ1217" s="136">
        <v>45931</v>
      </c>
      <c r="BK1217" s="2" t="s">
        <v>145</v>
      </c>
      <c r="BL1217" s="136" t="s">
        <v>18</v>
      </c>
      <c r="BM1217" s="136">
        <v>45902</v>
      </c>
      <c r="BN1217" s="2" t="s">
        <v>4075</v>
      </c>
      <c r="BO1217" s="2"/>
      <c r="BP1217" s="136"/>
      <c r="BQ1217" s="137"/>
    </row>
    <row r="1218" spans="1:69" ht="12.75" customHeight="1" x14ac:dyDescent="0.2">
      <c r="A1218" s="2">
        <v>2707</v>
      </c>
      <c r="B1218" s="2" t="s">
        <v>28</v>
      </c>
      <c r="C1218" s="131" t="s">
        <v>88</v>
      </c>
      <c r="D1218" s="131" t="s">
        <v>4078</v>
      </c>
      <c r="E1218" s="2" t="s">
        <v>87</v>
      </c>
      <c r="F1218" s="132">
        <v>0</v>
      </c>
      <c r="G1218" s="132"/>
      <c r="H1218" s="132">
        <f t="shared" si="142"/>
        <v>4200</v>
      </c>
      <c r="I1218" s="132"/>
      <c r="J1218" s="132">
        <f t="shared" si="140"/>
        <v>640.67999999999995</v>
      </c>
      <c r="K1218" s="132">
        <f t="shared" si="143"/>
        <v>-640.67999999999995</v>
      </c>
      <c r="L1218" s="132">
        <f t="shared" si="135"/>
        <v>3559.32</v>
      </c>
      <c r="M1218" s="133"/>
      <c r="N1218" s="133">
        <f t="shared" si="141"/>
        <v>-640.67999999999995</v>
      </c>
      <c r="O1218" s="134">
        <v>1</v>
      </c>
      <c r="P1218" s="133"/>
      <c r="Q1218" s="2" t="s">
        <v>4074</v>
      </c>
      <c r="R1218" s="156">
        <f t="shared" si="136"/>
        <v>4200</v>
      </c>
      <c r="S1218" s="156">
        <f t="shared" si="137"/>
        <v>640.67999999999995</v>
      </c>
      <c r="T1218" s="133"/>
      <c r="U1218" s="133"/>
      <c r="V1218" s="133"/>
      <c r="W1218" s="133"/>
      <c r="X1218" s="133"/>
      <c r="Y1218" s="133"/>
      <c r="Z1218" s="133"/>
      <c r="AA1218" s="133"/>
      <c r="AB1218" s="133"/>
      <c r="AC1218" s="133"/>
      <c r="AD1218" s="133"/>
      <c r="AE1218" s="133"/>
      <c r="AF1218" s="133"/>
      <c r="AG1218" s="133"/>
      <c r="AH1218" s="133"/>
      <c r="AI1218" s="133"/>
      <c r="AJ1218" s="133"/>
      <c r="AK1218" s="133"/>
      <c r="AL1218" s="133">
        <v>4200</v>
      </c>
      <c r="AM1218" s="133"/>
      <c r="AN1218" s="133"/>
      <c r="AO1218" s="133">
        <v>640.67999999999995</v>
      </c>
      <c r="AP1218" s="133"/>
      <c r="AQ1218" s="133"/>
      <c r="AR1218" s="133"/>
      <c r="AS1218" s="153">
        <v>0</v>
      </c>
      <c r="AT1218" s="153">
        <v>0</v>
      </c>
      <c r="AU1218" s="153">
        <v>0</v>
      </c>
      <c r="AV1218" s="135"/>
      <c r="AW1218" s="135"/>
      <c r="AX1218" s="135"/>
      <c r="AY1218" s="135"/>
      <c r="AZ1218" s="135"/>
      <c r="BA1218" s="135"/>
      <c r="BB1218" s="135"/>
      <c r="BC1218" s="135"/>
      <c r="BD1218" s="135"/>
      <c r="BE1218" s="135"/>
      <c r="BF1218" s="135"/>
      <c r="BG1218" s="135"/>
      <c r="BH1218" s="135"/>
      <c r="BI1218" s="2" t="s">
        <v>11</v>
      </c>
      <c r="BJ1218" s="136"/>
      <c r="BK1218" s="2">
        <v>15</v>
      </c>
      <c r="BL1218" s="136" t="s">
        <v>18</v>
      </c>
      <c r="BM1218" s="136">
        <v>45902</v>
      </c>
      <c r="BN1218" s="2" t="s">
        <v>4076</v>
      </c>
      <c r="BO1218" s="2"/>
      <c r="BP1218" s="136"/>
      <c r="BQ1218" s="137"/>
    </row>
    <row r="1219" spans="1:69" ht="12.75" customHeight="1" x14ac:dyDescent="0.2">
      <c r="A1219" s="2">
        <v>2708</v>
      </c>
      <c r="B1219" s="2" t="s">
        <v>54</v>
      </c>
      <c r="C1219" s="131" t="s">
        <v>50</v>
      </c>
      <c r="D1219" s="131" t="s">
        <v>4080</v>
      </c>
      <c r="E1219" s="2" t="s">
        <v>141</v>
      </c>
      <c r="F1219" s="132">
        <v>0</v>
      </c>
      <c r="G1219" s="132"/>
      <c r="H1219" s="132">
        <f t="shared" si="142"/>
        <v>500</v>
      </c>
      <c r="I1219" s="132"/>
      <c r="J1219" s="132">
        <f t="shared" ref="J1219:J1230" si="144">S1219+BC1219</f>
        <v>76.27</v>
      </c>
      <c r="K1219" s="132">
        <f t="shared" si="143"/>
        <v>-76.27</v>
      </c>
      <c r="L1219" s="132">
        <f t="shared" si="135"/>
        <v>423.73</v>
      </c>
      <c r="M1219" s="133"/>
      <c r="N1219" s="133">
        <f t="shared" si="141"/>
        <v>-76.27</v>
      </c>
      <c r="O1219" s="134">
        <v>1</v>
      </c>
      <c r="P1219" s="133"/>
      <c r="Q1219" s="2" t="s">
        <v>338</v>
      </c>
      <c r="R1219" s="156">
        <f t="shared" si="136"/>
        <v>500</v>
      </c>
      <c r="S1219" s="156">
        <f t="shared" si="137"/>
        <v>76.27</v>
      </c>
      <c r="T1219" s="133"/>
      <c r="U1219" s="133"/>
      <c r="V1219" s="133"/>
      <c r="W1219" s="133"/>
      <c r="X1219" s="133"/>
      <c r="Y1219" s="133"/>
      <c r="Z1219" s="133"/>
      <c r="AA1219" s="133"/>
      <c r="AB1219" s="133"/>
      <c r="AC1219" s="133"/>
      <c r="AD1219" s="133"/>
      <c r="AE1219" s="133"/>
      <c r="AF1219" s="133"/>
      <c r="AG1219" s="133"/>
      <c r="AH1219" s="133"/>
      <c r="AI1219" s="133"/>
      <c r="AJ1219" s="133"/>
      <c r="AK1219" s="133"/>
      <c r="AL1219" s="133">
        <v>500</v>
      </c>
      <c r="AM1219" s="133"/>
      <c r="AN1219" s="133"/>
      <c r="AO1219" s="133">
        <v>76.27</v>
      </c>
      <c r="AP1219" s="133"/>
      <c r="AQ1219" s="133"/>
      <c r="AR1219" s="133"/>
      <c r="AS1219" s="153">
        <v>0</v>
      </c>
      <c r="AT1219" s="153">
        <v>0</v>
      </c>
      <c r="AU1219" s="153">
        <v>0</v>
      </c>
      <c r="AV1219" s="135"/>
      <c r="AW1219" s="135"/>
      <c r="AX1219" s="135"/>
      <c r="AY1219" s="135"/>
      <c r="AZ1219" s="135"/>
      <c r="BA1219" s="135"/>
      <c r="BB1219" s="135"/>
      <c r="BC1219" s="135"/>
      <c r="BD1219" s="135"/>
      <c r="BE1219" s="135"/>
      <c r="BF1219" s="135"/>
      <c r="BG1219" s="135"/>
      <c r="BH1219" s="135"/>
      <c r="BI1219" s="2" t="s">
        <v>11</v>
      </c>
      <c r="BJ1219" s="136"/>
      <c r="BK1219" s="2">
        <v>5</v>
      </c>
      <c r="BL1219" s="136" t="s">
        <v>113</v>
      </c>
      <c r="BM1219" s="136">
        <v>45308</v>
      </c>
      <c r="BN1219" s="2" t="s">
        <v>2198</v>
      </c>
      <c r="BO1219" s="2"/>
      <c r="BP1219" s="136"/>
      <c r="BQ1219" s="137" t="s">
        <v>134</v>
      </c>
    </row>
    <row r="1220" spans="1:69" ht="12.75" customHeight="1" x14ac:dyDescent="0.2">
      <c r="A1220" s="2">
        <v>2709</v>
      </c>
      <c r="B1220" s="2" t="s">
        <v>54</v>
      </c>
      <c r="C1220" s="131" t="s">
        <v>50</v>
      </c>
      <c r="D1220" s="131" t="s">
        <v>4079</v>
      </c>
      <c r="E1220" s="2" t="s">
        <v>141</v>
      </c>
      <c r="F1220" s="132">
        <v>0</v>
      </c>
      <c r="G1220" s="132"/>
      <c r="H1220" s="132">
        <f t="shared" si="142"/>
        <v>500</v>
      </c>
      <c r="I1220" s="132"/>
      <c r="J1220" s="132">
        <f t="shared" si="144"/>
        <v>76.27</v>
      </c>
      <c r="K1220" s="132">
        <f t="shared" si="143"/>
        <v>-76.27</v>
      </c>
      <c r="L1220" s="132">
        <f t="shared" si="135"/>
        <v>423.73</v>
      </c>
      <c r="M1220" s="133"/>
      <c r="N1220" s="133">
        <f t="shared" si="141"/>
        <v>-76.27</v>
      </c>
      <c r="O1220" s="134">
        <v>1</v>
      </c>
      <c r="P1220" s="133"/>
      <c r="Q1220" s="2" t="s">
        <v>338</v>
      </c>
      <c r="R1220" s="156">
        <f t="shared" si="136"/>
        <v>500</v>
      </c>
      <c r="S1220" s="156">
        <f t="shared" si="137"/>
        <v>76.27</v>
      </c>
      <c r="T1220" s="133"/>
      <c r="U1220" s="133"/>
      <c r="V1220" s="133"/>
      <c r="W1220" s="133"/>
      <c r="X1220" s="133"/>
      <c r="Y1220" s="133"/>
      <c r="Z1220" s="133"/>
      <c r="AA1220" s="133"/>
      <c r="AB1220" s="133"/>
      <c r="AC1220" s="133"/>
      <c r="AD1220" s="133"/>
      <c r="AE1220" s="133"/>
      <c r="AF1220" s="133"/>
      <c r="AG1220" s="133"/>
      <c r="AH1220" s="133"/>
      <c r="AI1220" s="133"/>
      <c r="AJ1220" s="133"/>
      <c r="AK1220" s="133"/>
      <c r="AL1220" s="133">
        <v>500</v>
      </c>
      <c r="AM1220" s="133"/>
      <c r="AN1220" s="133"/>
      <c r="AO1220" s="133">
        <v>76.27</v>
      </c>
      <c r="AP1220" s="133"/>
      <c r="AQ1220" s="133"/>
      <c r="AR1220" s="133"/>
      <c r="AS1220" s="153">
        <v>0</v>
      </c>
      <c r="AT1220" s="153">
        <v>0</v>
      </c>
      <c r="AU1220" s="153">
        <v>0</v>
      </c>
      <c r="AV1220" s="135"/>
      <c r="AW1220" s="135"/>
      <c r="AX1220" s="135"/>
      <c r="AY1220" s="135"/>
      <c r="AZ1220" s="135"/>
      <c r="BA1220" s="135"/>
      <c r="BB1220" s="135"/>
      <c r="BC1220" s="135"/>
      <c r="BD1220" s="135"/>
      <c r="BE1220" s="135"/>
      <c r="BF1220" s="135"/>
      <c r="BG1220" s="135"/>
      <c r="BH1220" s="135"/>
      <c r="BI1220" s="2" t="s">
        <v>11</v>
      </c>
      <c r="BJ1220" s="136"/>
      <c r="BK1220" s="2">
        <v>5</v>
      </c>
      <c r="BL1220" s="136" t="s">
        <v>113</v>
      </c>
      <c r="BM1220" s="136">
        <v>45308</v>
      </c>
      <c r="BN1220" s="2" t="s">
        <v>2198</v>
      </c>
      <c r="BO1220" s="2"/>
      <c r="BP1220" s="136"/>
      <c r="BQ1220" s="137" t="s">
        <v>134</v>
      </c>
    </row>
    <row r="1221" spans="1:69" ht="12.75" customHeight="1" x14ac:dyDescent="0.2">
      <c r="A1221" s="2">
        <v>2710</v>
      </c>
      <c r="B1221" s="2" t="s">
        <v>54</v>
      </c>
      <c r="C1221" s="131" t="s">
        <v>50</v>
      </c>
      <c r="D1221" s="131" t="s">
        <v>4081</v>
      </c>
      <c r="E1221" s="2" t="s">
        <v>141</v>
      </c>
      <c r="F1221" s="132">
        <v>0</v>
      </c>
      <c r="G1221" s="132"/>
      <c r="H1221" s="132">
        <f t="shared" si="142"/>
        <v>1500</v>
      </c>
      <c r="I1221" s="132"/>
      <c r="J1221" s="132">
        <f t="shared" si="144"/>
        <v>228.81</v>
      </c>
      <c r="K1221" s="132">
        <f t="shared" si="143"/>
        <v>-228.81</v>
      </c>
      <c r="L1221" s="132">
        <f t="shared" si="135"/>
        <v>1271.19</v>
      </c>
      <c r="M1221" s="133"/>
      <c r="N1221" s="133">
        <f t="shared" si="141"/>
        <v>-228.81</v>
      </c>
      <c r="O1221" s="134">
        <v>1</v>
      </c>
      <c r="P1221" s="133"/>
      <c r="Q1221" s="2" t="s">
        <v>338</v>
      </c>
      <c r="R1221" s="156">
        <f t="shared" si="136"/>
        <v>1500</v>
      </c>
      <c r="S1221" s="156">
        <f t="shared" si="137"/>
        <v>228.81</v>
      </c>
      <c r="T1221" s="133"/>
      <c r="U1221" s="133"/>
      <c r="V1221" s="133"/>
      <c r="W1221" s="133"/>
      <c r="X1221" s="133"/>
      <c r="Y1221" s="133"/>
      <c r="Z1221" s="133"/>
      <c r="AA1221" s="133"/>
      <c r="AB1221" s="133"/>
      <c r="AC1221" s="133"/>
      <c r="AD1221" s="133"/>
      <c r="AE1221" s="133"/>
      <c r="AF1221" s="133"/>
      <c r="AG1221" s="133"/>
      <c r="AH1221" s="133"/>
      <c r="AI1221" s="133"/>
      <c r="AJ1221" s="133"/>
      <c r="AK1221" s="133"/>
      <c r="AL1221" s="133">
        <v>1500</v>
      </c>
      <c r="AM1221" s="133"/>
      <c r="AN1221" s="133"/>
      <c r="AO1221" s="133">
        <v>228.81</v>
      </c>
      <c r="AP1221" s="133"/>
      <c r="AQ1221" s="133"/>
      <c r="AR1221" s="133"/>
      <c r="AS1221" s="153">
        <v>0</v>
      </c>
      <c r="AT1221" s="153">
        <v>0</v>
      </c>
      <c r="AU1221" s="153">
        <v>0</v>
      </c>
      <c r="AV1221" s="135"/>
      <c r="AW1221" s="135"/>
      <c r="AX1221" s="135"/>
      <c r="AY1221" s="135"/>
      <c r="AZ1221" s="135"/>
      <c r="BA1221" s="135"/>
      <c r="BB1221" s="135"/>
      <c r="BC1221" s="135"/>
      <c r="BD1221" s="135"/>
      <c r="BE1221" s="135"/>
      <c r="BF1221" s="135"/>
      <c r="BG1221" s="135"/>
      <c r="BH1221" s="135"/>
      <c r="BI1221" s="2" t="s">
        <v>11</v>
      </c>
      <c r="BJ1221" s="136"/>
      <c r="BK1221" s="2">
        <v>5</v>
      </c>
      <c r="BL1221" s="136" t="s">
        <v>113</v>
      </c>
      <c r="BM1221" s="136">
        <v>45308</v>
      </c>
      <c r="BN1221" s="2" t="s">
        <v>2198</v>
      </c>
      <c r="BO1221" s="2"/>
      <c r="BP1221" s="136"/>
      <c r="BQ1221" s="137" t="s">
        <v>134</v>
      </c>
    </row>
    <row r="1222" spans="1:69" ht="12.75" customHeight="1" x14ac:dyDescent="0.2">
      <c r="A1222" s="2">
        <v>2711</v>
      </c>
      <c r="B1222" s="2" t="s">
        <v>54</v>
      </c>
      <c r="C1222" s="131" t="s">
        <v>50</v>
      </c>
      <c r="D1222" s="131" t="s">
        <v>4082</v>
      </c>
      <c r="E1222" s="2" t="s">
        <v>141</v>
      </c>
      <c r="F1222" s="132">
        <v>0</v>
      </c>
      <c r="G1222" s="132"/>
      <c r="H1222" s="132">
        <f t="shared" si="142"/>
        <v>2000</v>
      </c>
      <c r="I1222" s="132"/>
      <c r="J1222" s="132">
        <f t="shared" si="144"/>
        <v>305.08</v>
      </c>
      <c r="K1222" s="132">
        <f t="shared" si="143"/>
        <v>-305.08</v>
      </c>
      <c r="L1222" s="132">
        <f t="shared" si="135"/>
        <v>1694.92</v>
      </c>
      <c r="M1222" s="133"/>
      <c r="N1222" s="133">
        <f t="shared" si="141"/>
        <v>-305.08</v>
      </c>
      <c r="O1222" s="134">
        <v>1</v>
      </c>
      <c r="P1222" s="133"/>
      <c r="Q1222" s="2" t="s">
        <v>338</v>
      </c>
      <c r="R1222" s="156">
        <f t="shared" si="136"/>
        <v>2000</v>
      </c>
      <c r="S1222" s="156">
        <f t="shared" si="137"/>
        <v>305.08</v>
      </c>
      <c r="T1222" s="133"/>
      <c r="U1222" s="133"/>
      <c r="V1222" s="133"/>
      <c r="W1222" s="133"/>
      <c r="X1222" s="133"/>
      <c r="Y1222" s="133"/>
      <c r="Z1222" s="133"/>
      <c r="AA1222" s="133"/>
      <c r="AB1222" s="133"/>
      <c r="AC1222" s="133"/>
      <c r="AD1222" s="133"/>
      <c r="AE1222" s="133"/>
      <c r="AF1222" s="133"/>
      <c r="AG1222" s="133"/>
      <c r="AH1222" s="133"/>
      <c r="AI1222" s="133"/>
      <c r="AJ1222" s="133"/>
      <c r="AK1222" s="133"/>
      <c r="AL1222" s="133">
        <v>2000</v>
      </c>
      <c r="AM1222" s="133"/>
      <c r="AN1222" s="133"/>
      <c r="AO1222" s="133">
        <v>305.08</v>
      </c>
      <c r="AP1222" s="133"/>
      <c r="AQ1222" s="133"/>
      <c r="AR1222" s="133"/>
      <c r="AS1222" s="153">
        <v>0</v>
      </c>
      <c r="AT1222" s="153">
        <v>0</v>
      </c>
      <c r="AU1222" s="153">
        <v>0</v>
      </c>
      <c r="AV1222" s="135"/>
      <c r="AW1222" s="135"/>
      <c r="AX1222" s="135"/>
      <c r="AY1222" s="135"/>
      <c r="AZ1222" s="135"/>
      <c r="BA1222" s="135"/>
      <c r="BB1222" s="135"/>
      <c r="BC1222" s="135"/>
      <c r="BD1222" s="135"/>
      <c r="BE1222" s="135"/>
      <c r="BF1222" s="135"/>
      <c r="BG1222" s="135"/>
      <c r="BH1222" s="135"/>
      <c r="BI1222" s="2" t="s">
        <v>11</v>
      </c>
      <c r="BJ1222" s="136"/>
      <c r="BK1222" s="2">
        <v>5</v>
      </c>
      <c r="BL1222" s="136" t="s">
        <v>113</v>
      </c>
      <c r="BM1222" s="136">
        <v>45308</v>
      </c>
      <c r="BN1222" s="2" t="s">
        <v>2198</v>
      </c>
      <c r="BO1222" s="2"/>
      <c r="BP1222" s="136"/>
      <c r="BQ1222" s="137" t="s">
        <v>134</v>
      </c>
    </row>
    <row r="1223" spans="1:69" ht="12.75" customHeight="1" x14ac:dyDescent="0.2">
      <c r="A1223" s="2">
        <v>2712</v>
      </c>
      <c r="B1223" s="2" t="s">
        <v>54</v>
      </c>
      <c r="C1223" s="131" t="s">
        <v>50</v>
      </c>
      <c r="D1223" s="131" t="s">
        <v>4083</v>
      </c>
      <c r="E1223" s="2" t="s">
        <v>141</v>
      </c>
      <c r="F1223" s="132">
        <v>0</v>
      </c>
      <c r="G1223" s="132"/>
      <c r="H1223" s="132">
        <f t="shared" si="142"/>
        <v>1000</v>
      </c>
      <c r="I1223" s="132"/>
      <c r="J1223" s="132">
        <f t="shared" si="144"/>
        <v>152.54</v>
      </c>
      <c r="K1223" s="132">
        <f t="shared" si="143"/>
        <v>-152.54</v>
      </c>
      <c r="L1223" s="132">
        <f t="shared" si="135"/>
        <v>847.46</v>
      </c>
      <c r="M1223" s="133"/>
      <c r="N1223" s="133">
        <f t="shared" si="141"/>
        <v>-152.54</v>
      </c>
      <c r="O1223" s="134">
        <v>1</v>
      </c>
      <c r="P1223" s="133"/>
      <c r="Q1223" s="2" t="s">
        <v>338</v>
      </c>
      <c r="R1223" s="156">
        <f t="shared" si="136"/>
        <v>1000</v>
      </c>
      <c r="S1223" s="156">
        <f t="shared" si="137"/>
        <v>152.54</v>
      </c>
      <c r="T1223" s="133"/>
      <c r="U1223" s="133"/>
      <c r="V1223" s="133"/>
      <c r="W1223" s="133"/>
      <c r="X1223" s="133"/>
      <c r="Y1223" s="133"/>
      <c r="Z1223" s="133"/>
      <c r="AA1223" s="133"/>
      <c r="AB1223" s="133"/>
      <c r="AC1223" s="133"/>
      <c r="AD1223" s="133"/>
      <c r="AE1223" s="133"/>
      <c r="AF1223" s="133"/>
      <c r="AG1223" s="133"/>
      <c r="AH1223" s="133"/>
      <c r="AI1223" s="133"/>
      <c r="AJ1223" s="133"/>
      <c r="AK1223" s="133"/>
      <c r="AL1223" s="133">
        <v>1000</v>
      </c>
      <c r="AM1223" s="133"/>
      <c r="AN1223" s="133"/>
      <c r="AO1223" s="133">
        <v>152.54</v>
      </c>
      <c r="AP1223" s="133"/>
      <c r="AQ1223" s="133"/>
      <c r="AR1223" s="133"/>
      <c r="AS1223" s="153">
        <v>0</v>
      </c>
      <c r="AT1223" s="153">
        <v>0</v>
      </c>
      <c r="AU1223" s="153">
        <v>0</v>
      </c>
      <c r="AV1223" s="135"/>
      <c r="AW1223" s="135"/>
      <c r="AX1223" s="135"/>
      <c r="AY1223" s="135"/>
      <c r="AZ1223" s="135"/>
      <c r="BA1223" s="135"/>
      <c r="BB1223" s="135"/>
      <c r="BC1223" s="135"/>
      <c r="BD1223" s="135"/>
      <c r="BE1223" s="135"/>
      <c r="BF1223" s="135"/>
      <c r="BG1223" s="135"/>
      <c r="BH1223" s="135"/>
      <c r="BI1223" s="2" t="s">
        <v>11</v>
      </c>
      <c r="BJ1223" s="136"/>
      <c r="BK1223" s="2">
        <v>5</v>
      </c>
      <c r="BL1223" s="136" t="s">
        <v>113</v>
      </c>
      <c r="BM1223" s="136">
        <v>45308</v>
      </c>
      <c r="BN1223" s="2" t="s">
        <v>2198</v>
      </c>
      <c r="BO1223" s="2"/>
      <c r="BP1223" s="136"/>
      <c r="BQ1223" s="137" t="s">
        <v>134</v>
      </c>
    </row>
    <row r="1224" spans="1:69" ht="12.75" customHeight="1" x14ac:dyDescent="0.2">
      <c r="A1224" s="2">
        <v>2713</v>
      </c>
      <c r="B1224" s="2" t="s">
        <v>54</v>
      </c>
      <c r="C1224" s="131" t="s">
        <v>50</v>
      </c>
      <c r="D1224" s="131" t="s">
        <v>4084</v>
      </c>
      <c r="E1224" s="2" t="s">
        <v>141</v>
      </c>
      <c r="F1224" s="132">
        <v>0</v>
      </c>
      <c r="G1224" s="132"/>
      <c r="H1224" s="132">
        <f t="shared" si="142"/>
        <v>500</v>
      </c>
      <c r="I1224" s="132"/>
      <c r="J1224" s="132">
        <f t="shared" si="144"/>
        <v>76.27</v>
      </c>
      <c r="K1224" s="132">
        <f t="shared" si="143"/>
        <v>-76.27</v>
      </c>
      <c r="L1224" s="132">
        <f t="shared" si="135"/>
        <v>423.73</v>
      </c>
      <c r="M1224" s="133"/>
      <c r="N1224" s="133">
        <f t="shared" si="141"/>
        <v>-76.27</v>
      </c>
      <c r="O1224" s="134">
        <v>1</v>
      </c>
      <c r="P1224" s="133"/>
      <c r="Q1224" s="2" t="s">
        <v>338</v>
      </c>
      <c r="R1224" s="156">
        <f t="shared" si="136"/>
        <v>500</v>
      </c>
      <c r="S1224" s="156">
        <f t="shared" si="137"/>
        <v>76.27</v>
      </c>
      <c r="T1224" s="133"/>
      <c r="U1224" s="133"/>
      <c r="V1224" s="133"/>
      <c r="W1224" s="133"/>
      <c r="X1224" s="133"/>
      <c r="Y1224" s="133"/>
      <c r="Z1224" s="133"/>
      <c r="AA1224" s="133"/>
      <c r="AB1224" s="133"/>
      <c r="AC1224" s="133"/>
      <c r="AD1224" s="133"/>
      <c r="AE1224" s="133"/>
      <c r="AF1224" s="133"/>
      <c r="AG1224" s="133"/>
      <c r="AH1224" s="133"/>
      <c r="AI1224" s="133"/>
      <c r="AJ1224" s="133"/>
      <c r="AK1224" s="133"/>
      <c r="AL1224" s="133">
        <v>500</v>
      </c>
      <c r="AM1224" s="133"/>
      <c r="AN1224" s="133"/>
      <c r="AO1224" s="133">
        <v>76.27</v>
      </c>
      <c r="AP1224" s="133"/>
      <c r="AQ1224" s="133"/>
      <c r="AR1224" s="133"/>
      <c r="AS1224" s="153">
        <v>0</v>
      </c>
      <c r="AT1224" s="153">
        <v>0</v>
      </c>
      <c r="AU1224" s="153">
        <v>0</v>
      </c>
      <c r="AV1224" s="135"/>
      <c r="AW1224" s="135"/>
      <c r="AX1224" s="135"/>
      <c r="AY1224" s="135"/>
      <c r="AZ1224" s="135"/>
      <c r="BA1224" s="135"/>
      <c r="BB1224" s="135"/>
      <c r="BC1224" s="135"/>
      <c r="BD1224" s="135"/>
      <c r="BE1224" s="135"/>
      <c r="BF1224" s="135"/>
      <c r="BG1224" s="135"/>
      <c r="BH1224" s="135"/>
      <c r="BI1224" s="2" t="s">
        <v>11</v>
      </c>
      <c r="BJ1224" s="136"/>
      <c r="BK1224" s="2">
        <v>5</v>
      </c>
      <c r="BL1224" s="136" t="s">
        <v>113</v>
      </c>
      <c r="BM1224" s="136">
        <v>45308</v>
      </c>
      <c r="BN1224" s="2" t="s">
        <v>2198</v>
      </c>
      <c r="BO1224" s="2"/>
      <c r="BP1224" s="136"/>
      <c r="BQ1224" s="137" t="s">
        <v>134</v>
      </c>
    </row>
    <row r="1225" spans="1:69" ht="12.75" customHeight="1" x14ac:dyDescent="0.2">
      <c r="A1225" s="2">
        <v>2714</v>
      </c>
      <c r="B1225" s="2" t="s">
        <v>54</v>
      </c>
      <c r="C1225" s="131" t="s">
        <v>50</v>
      </c>
      <c r="D1225" s="131" t="s">
        <v>4085</v>
      </c>
      <c r="E1225" s="2" t="s">
        <v>141</v>
      </c>
      <c r="F1225" s="132">
        <v>0</v>
      </c>
      <c r="G1225" s="132"/>
      <c r="H1225" s="132">
        <f t="shared" si="142"/>
        <v>0</v>
      </c>
      <c r="I1225" s="132"/>
      <c r="J1225" s="132">
        <f t="shared" si="144"/>
        <v>0</v>
      </c>
      <c r="K1225" s="132">
        <f t="shared" si="143"/>
        <v>0</v>
      </c>
      <c r="L1225" s="132">
        <f t="shared" si="135"/>
        <v>0</v>
      </c>
      <c r="M1225" s="133"/>
      <c r="N1225" s="133">
        <f t="shared" si="141"/>
        <v>0</v>
      </c>
      <c r="O1225" s="134">
        <v>1</v>
      </c>
      <c r="P1225" s="133"/>
      <c r="Q1225" s="2" t="s">
        <v>338</v>
      </c>
      <c r="R1225" s="156">
        <f t="shared" si="136"/>
        <v>0</v>
      </c>
      <c r="S1225" s="156">
        <f t="shared" si="137"/>
        <v>0</v>
      </c>
      <c r="T1225" s="133"/>
      <c r="U1225" s="133"/>
      <c r="V1225" s="133"/>
      <c r="W1225" s="133"/>
      <c r="X1225" s="133"/>
      <c r="Y1225" s="133"/>
      <c r="Z1225" s="133"/>
      <c r="AA1225" s="133"/>
      <c r="AB1225" s="133"/>
      <c r="AC1225" s="133"/>
      <c r="AD1225" s="133"/>
      <c r="AE1225" s="133"/>
      <c r="AF1225" s="133"/>
      <c r="AG1225" s="133"/>
      <c r="AH1225" s="133"/>
      <c r="AI1225" s="133"/>
      <c r="AJ1225" s="133"/>
      <c r="AK1225" s="133"/>
      <c r="AL1225" s="133"/>
      <c r="AM1225" s="133"/>
      <c r="AN1225" s="133"/>
      <c r="AO1225" s="133"/>
      <c r="AP1225" s="133"/>
      <c r="AQ1225" s="133"/>
      <c r="AR1225" s="133"/>
      <c r="AS1225" s="153">
        <v>0</v>
      </c>
      <c r="AT1225" s="153">
        <v>0</v>
      </c>
      <c r="AU1225" s="153">
        <v>0</v>
      </c>
      <c r="AV1225" s="135"/>
      <c r="AW1225" s="135"/>
      <c r="AX1225" s="135"/>
      <c r="AY1225" s="135"/>
      <c r="AZ1225" s="135"/>
      <c r="BA1225" s="135"/>
      <c r="BB1225" s="135"/>
      <c r="BC1225" s="135"/>
      <c r="BD1225" s="135"/>
      <c r="BE1225" s="135"/>
      <c r="BF1225" s="135"/>
      <c r="BG1225" s="135"/>
      <c r="BH1225" s="135"/>
      <c r="BI1225" s="2" t="s">
        <v>11</v>
      </c>
      <c r="BJ1225" s="136"/>
      <c r="BK1225" s="2">
        <v>5</v>
      </c>
      <c r="BL1225" s="136" t="s">
        <v>113</v>
      </c>
      <c r="BM1225" s="136">
        <v>45308</v>
      </c>
      <c r="BN1225" s="2" t="s">
        <v>2198</v>
      </c>
      <c r="BO1225" s="2"/>
      <c r="BP1225" s="136"/>
      <c r="BQ1225" s="137" t="s">
        <v>134</v>
      </c>
    </row>
    <row r="1226" spans="1:69" ht="12.75" customHeight="1" x14ac:dyDescent="0.2">
      <c r="A1226" s="2">
        <v>2715</v>
      </c>
      <c r="B1226" s="2" t="s">
        <v>54</v>
      </c>
      <c r="C1226" s="131" t="s">
        <v>50</v>
      </c>
      <c r="D1226" s="131" t="s">
        <v>4086</v>
      </c>
      <c r="E1226" s="2" t="s">
        <v>141</v>
      </c>
      <c r="F1226" s="132">
        <v>0</v>
      </c>
      <c r="G1226" s="132"/>
      <c r="H1226" s="132">
        <f t="shared" si="142"/>
        <v>1000</v>
      </c>
      <c r="I1226" s="132"/>
      <c r="J1226" s="132">
        <f t="shared" si="144"/>
        <v>152.54</v>
      </c>
      <c r="K1226" s="132">
        <f t="shared" si="143"/>
        <v>-152.54</v>
      </c>
      <c r="L1226" s="132">
        <f t="shared" si="135"/>
        <v>847.46</v>
      </c>
      <c r="M1226" s="133"/>
      <c r="N1226" s="133">
        <f t="shared" si="141"/>
        <v>-152.54</v>
      </c>
      <c r="O1226" s="134">
        <v>1</v>
      </c>
      <c r="P1226" s="133"/>
      <c r="Q1226" s="2" t="s">
        <v>338</v>
      </c>
      <c r="R1226" s="156">
        <f t="shared" si="136"/>
        <v>1000</v>
      </c>
      <c r="S1226" s="156">
        <f t="shared" si="137"/>
        <v>152.54</v>
      </c>
      <c r="T1226" s="133"/>
      <c r="U1226" s="133"/>
      <c r="V1226" s="133"/>
      <c r="W1226" s="133"/>
      <c r="X1226" s="133"/>
      <c r="Y1226" s="133"/>
      <c r="Z1226" s="133"/>
      <c r="AA1226" s="133"/>
      <c r="AB1226" s="133"/>
      <c r="AC1226" s="133"/>
      <c r="AD1226" s="133"/>
      <c r="AE1226" s="133"/>
      <c r="AF1226" s="133"/>
      <c r="AG1226" s="133"/>
      <c r="AH1226" s="133"/>
      <c r="AI1226" s="133"/>
      <c r="AJ1226" s="133"/>
      <c r="AK1226" s="133"/>
      <c r="AL1226" s="133">
        <v>1000</v>
      </c>
      <c r="AM1226" s="133"/>
      <c r="AN1226" s="133"/>
      <c r="AO1226" s="133">
        <v>152.54</v>
      </c>
      <c r="AP1226" s="133"/>
      <c r="AQ1226" s="133"/>
      <c r="AR1226" s="133"/>
      <c r="AS1226" s="153">
        <v>0</v>
      </c>
      <c r="AT1226" s="153">
        <v>0</v>
      </c>
      <c r="AU1226" s="153">
        <v>0</v>
      </c>
      <c r="AV1226" s="135"/>
      <c r="AW1226" s="135"/>
      <c r="AX1226" s="135"/>
      <c r="AY1226" s="135"/>
      <c r="AZ1226" s="135"/>
      <c r="BA1226" s="135"/>
      <c r="BB1226" s="135"/>
      <c r="BC1226" s="135"/>
      <c r="BD1226" s="135"/>
      <c r="BE1226" s="135"/>
      <c r="BF1226" s="135"/>
      <c r="BG1226" s="135"/>
      <c r="BH1226" s="135"/>
      <c r="BI1226" s="2" t="s">
        <v>11</v>
      </c>
      <c r="BJ1226" s="136"/>
      <c r="BK1226" s="2">
        <v>5</v>
      </c>
      <c r="BL1226" s="136" t="s">
        <v>113</v>
      </c>
      <c r="BM1226" s="136">
        <v>45308</v>
      </c>
      <c r="BN1226" s="2" t="s">
        <v>2198</v>
      </c>
      <c r="BO1226" s="2"/>
      <c r="BP1226" s="136"/>
      <c r="BQ1226" s="137" t="s">
        <v>134</v>
      </c>
    </row>
    <row r="1227" spans="1:69" ht="12.75" customHeight="1" x14ac:dyDescent="0.2">
      <c r="A1227" s="2">
        <v>2716</v>
      </c>
      <c r="B1227" s="2" t="s">
        <v>54</v>
      </c>
      <c r="C1227" s="131" t="s">
        <v>50</v>
      </c>
      <c r="D1227" s="131" t="s">
        <v>4087</v>
      </c>
      <c r="E1227" s="2" t="s">
        <v>141</v>
      </c>
      <c r="F1227" s="132">
        <v>0</v>
      </c>
      <c r="G1227" s="132"/>
      <c r="H1227" s="132">
        <f t="shared" si="142"/>
        <v>1000</v>
      </c>
      <c r="I1227" s="132"/>
      <c r="J1227" s="132">
        <f t="shared" si="144"/>
        <v>152.54</v>
      </c>
      <c r="K1227" s="132">
        <f t="shared" si="143"/>
        <v>-152.54</v>
      </c>
      <c r="L1227" s="132">
        <f t="shared" ref="L1227:L1290" si="145">H1227-J1227</f>
        <v>847.46</v>
      </c>
      <c r="M1227" s="133"/>
      <c r="N1227" s="133">
        <f t="shared" si="141"/>
        <v>-152.54</v>
      </c>
      <c r="O1227" s="134">
        <v>1</v>
      </c>
      <c r="P1227" s="133"/>
      <c r="Q1227" s="2" t="s">
        <v>338</v>
      </c>
      <c r="R1227" s="156">
        <f t="shared" ref="R1227:R1290" si="146">T1227+V1227+X1227+Z1227+AB1227+AD1227+AF1227+AH1227+AJ1227+AL1227+AN1227+AP1227</f>
        <v>1000</v>
      </c>
      <c r="S1227" s="156">
        <f t="shared" ref="S1227:S1290" si="147">U1227+W1227+Y1227+AA1227+AC1227+AE1227+AG1227+AI1227+AK1227+AM1227+AO1227+AQ1227</f>
        <v>152.54</v>
      </c>
      <c r="T1227" s="133"/>
      <c r="U1227" s="133"/>
      <c r="V1227" s="133"/>
      <c r="W1227" s="133"/>
      <c r="X1227" s="133"/>
      <c r="Y1227" s="133"/>
      <c r="Z1227" s="133"/>
      <c r="AA1227" s="133"/>
      <c r="AB1227" s="133"/>
      <c r="AC1227" s="133"/>
      <c r="AD1227" s="133"/>
      <c r="AE1227" s="133"/>
      <c r="AF1227" s="133"/>
      <c r="AG1227" s="133"/>
      <c r="AH1227" s="133"/>
      <c r="AI1227" s="133"/>
      <c r="AJ1227" s="133"/>
      <c r="AK1227" s="133"/>
      <c r="AL1227" s="133">
        <v>1000</v>
      </c>
      <c r="AM1227" s="133"/>
      <c r="AN1227" s="133"/>
      <c r="AO1227" s="133">
        <v>152.54</v>
      </c>
      <c r="AP1227" s="133"/>
      <c r="AQ1227" s="133"/>
      <c r="AR1227" s="133"/>
      <c r="AS1227" s="153">
        <v>0</v>
      </c>
      <c r="AT1227" s="153">
        <v>0</v>
      </c>
      <c r="AU1227" s="153">
        <v>0</v>
      </c>
      <c r="AV1227" s="135"/>
      <c r="AW1227" s="135"/>
      <c r="AX1227" s="135"/>
      <c r="AY1227" s="135"/>
      <c r="AZ1227" s="135"/>
      <c r="BA1227" s="135"/>
      <c r="BB1227" s="135"/>
      <c r="BC1227" s="135"/>
      <c r="BD1227" s="135"/>
      <c r="BE1227" s="135"/>
      <c r="BF1227" s="135"/>
      <c r="BG1227" s="135"/>
      <c r="BH1227" s="135"/>
      <c r="BI1227" s="2" t="s">
        <v>11</v>
      </c>
      <c r="BJ1227" s="136"/>
      <c r="BK1227" s="2">
        <v>5</v>
      </c>
      <c r="BL1227" s="136" t="s">
        <v>113</v>
      </c>
      <c r="BM1227" s="136">
        <v>45308</v>
      </c>
      <c r="BN1227" s="2" t="s">
        <v>2198</v>
      </c>
      <c r="BO1227" s="2"/>
      <c r="BP1227" s="136"/>
      <c r="BQ1227" s="137" t="s">
        <v>134</v>
      </c>
    </row>
    <row r="1228" spans="1:69" ht="12.75" customHeight="1" x14ac:dyDescent="0.2">
      <c r="A1228" s="2">
        <v>2717</v>
      </c>
      <c r="B1228" s="2" t="s">
        <v>54</v>
      </c>
      <c r="C1228" s="131" t="s">
        <v>50</v>
      </c>
      <c r="D1228" s="131" t="s">
        <v>4088</v>
      </c>
      <c r="E1228" s="2" t="s">
        <v>141</v>
      </c>
      <c r="F1228" s="132">
        <v>0</v>
      </c>
      <c r="G1228" s="132"/>
      <c r="H1228" s="132">
        <f t="shared" si="142"/>
        <v>2000</v>
      </c>
      <c r="I1228" s="132"/>
      <c r="J1228" s="132">
        <f t="shared" si="144"/>
        <v>305.08</v>
      </c>
      <c r="K1228" s="132">
        <f t="shared" si="143"/>
        <v>-305.08</v>
      </c>
      <c r="L1228" s="132">
        <f t="shared" si="145"/>
        <v>1694.92</v>
      </c>
      <c r="M1228" s="133"/>
      <c r="N1228" s="133">
        <f t="shared" si="141"/>
        <v>-305.08</v>
      </c>
      <c r="O1228" s="134">
        <v>1</v>
      </c>
      <c r="P1228" s="133"/>
      <c r="Q1228" s="2" t="s">
        <v>338</v>
      </c>
      <c r="R1228" s="156">
        <f t="shared" si="146"/>
        <v>2000</v>
      </c>
      <c r="S1228" s="156">
        <f t="shared" si="147"/>
        <v>305.08</v>
      </c>
      <c r="T1228" s="133"/>
      <c r="U1228" s="133"/>
      <c r="V1228" s="133"/>
      <c r="W1228" s="133"/>
      <c r="X1228" s="133"/>
      <c r="Y1228" s="133"/>
      <c r="Z1228" s="133"/>
      <c r="AA1228" s="133"/>
      <c r="AB1228" s="133"/>
      <c r="AC1228" s="133"/>
      <c r="AD1228" s="133"/>
      <c r="AE1228" s="133"/>
      <c r="AF1228" s="133"/>
      <c r="AG1228" s="133"/>
      <c r="AH1228" s="133"/>
      <c r="AI1228" s="133"/>
      <c r="AJ1228" s="133"/>
      <c r="AK1228" s="133"/>
      <c r="AL1228" s="133">
        <v>2000</v>
      </c>
      <c r="AM1228" s="133"/>
      <c r="AN1228" s="133"/>
      <c r="AO1228" s="133">
        <v>305.08</v>
      </c>
      <c r="AP1228" s="133"/>
      <c r="AQ1228" s="133"/>
      <c r="AR1228" s="133"/>
      <c r="AS1228" s="153">
        <v>0</v>
      </c>
      <c r="AT1228" s="153">
        <v>0</v>
      </c>
      <c r="AU1228" s="153">
        <v>0</v>
      </c>
      <c r="AV1228" s="135"/>
      <c r="AW1228" s="135"/>
      <c r="AX1228" s="135"/>
      <c r="AY1228" s="135"/>
      <c r="AZ1228" s="135"/>
      <c r="BA1228" s="135"/>
      <c r="BB1228" s="135"/>
      <c r="BC1228" s="135"/>
      <c r="BD1228" s="135"/>
      <c r="BE1228" s="135"/>
      <c r="BF1228" s="135"/>
      <c r="BG1228" s="135"/>
      <c r="BH1228" s="135"/>
      <c r="BI1228" s="2" t="s">
        <v>11</v>
      </c>
      <c r="BJ1228" s="136"/>
      <c r="BK1228" s="2">
        <v>5</v>
      </c>
      <c r="BL1228" s="136" t="s">
        <v>113</v>
      </c>
      <c r="BM1228" s="136">
        <v>45308</v>
      </c>
      <c r="BN1228" s="2" t="s">
        <v>2198</v>
      </c>
      <c r="BO1228" s="2"/>
      <c r="BP1228" s="136"/>
      <c r="BQ1228" s="137" t="s">
        <v>134</v>
      </c>
    </row>
    <row r="1229" spans="1:69" ht="12.75" customHeight="1" x14ac:dyDescent="0.2">
      <c r="A1229" s="2">
        <v>2718</v>
      </c>
      <c r="B1229" s="2" t="s">
        <v>54</v>
      </c>
      <c r="C1229" s="131" t="s">
        <v>50</v>
      </c>
      <c r="D1229" s="131" t="s">
        <v>4089</v>
      </c>
      <c r="E1229" s="2" t="s">
        <v>141</v>
      </c>
      <c r="F1229" s="132">
        <v>0</v>
      </c>
      <c r="G1229" s="132"/>
      <c r="H1229" s="132">
        <f t="shared" si="142"/>
        <v>500</v>
      </c>
      <c r="I1229" s="132"/>
      <c r="J1229" s="132">
        <f t="shared" si="144"/>
        <v>76.27</v>
      </c>
      <c r="K1229" s="132">
        <f t="shared" si="143"/>
        <v>-76.27</v>
      </c>
      <c r="L1229" s="132">
        <f t="shared" si="145"/>
        <v>423.73</v>
      </c>
      <c r="M1229" s="133"/>
      <c r="N1229" s="133">
        <f t="shared" si="141"/>
        <v>-76.27</v>
      </c>
      <c r="O1229" s="134">
        <v>1</v>
      </c>
      <c r="P1229" s="133"/>
      <c r="Q1229" s="2" t="s">
        <v>338</v>
      </c>
      <c r="R1229" s="156">
        <f t="shared" si="146"/>
        <v>500</v>
      </c>
      <c r="S1229" s="156">
        <f t="shared" si="147"/>
        <v>76.27</v>
      </c>
      <c r="T1229" s="133"/>
      <c r="U1229" s="133"/>
      <c r="V1229" s="133"/>
      <c r="W1229" s="133"/>
      <c r="X1229" s="133"/>
      <c r="Y1229" s="133"/>
      <c r="Z1229" s="133"/>
      <c r="AA1229" s="133"/>
      <c r="AB1229" s="133"/>
      <c r="AC1229" s="133"/>
      <c r="AD1229" s="133"/>
      <c r="AE1229" s="133"/>
      <c r="AF1229" s="133"/>
      <c r="AG1229" s="133"/>
      <c r="AH1229" s="133"/>
      <c r="AI1229" s="133"/>
      <c r="AJ1229" s="133"/>
      <c r="AK1229" s="133"/>
      <c r="AL1229" s="133">
        <v>500</v>
      </c>
      <c r="AM1229" s="133"/>
      <c r="AN1229" s="133"/>
      <c r="AO1229" s="133">
        <v>76.27</v>
      </c>
      <c r="AP1229" s="133"/>
      <c r="AQ1229" s="133"/>
      <c r="AR1229" s="133"/>
      <c r="AS1229" s="153">
        <v>0</v>
      </c>
      <c r="AT1229" s="153">
        <v>0</v>
      </c>
      <c r="AU1229" s="153">
        <v>0</v>
      </c>
      <c r="AV1229" s="135"/>
      <c r="AW1229" s="135"/>
      <c r="AX1229" s="135"/>
      <c r="AY1229" s="135"/>
      <c r="AZ1229" s="135"/>
      <c r="BA1229" s="135"/>
      <c r="BB1229" s="135"/>
      <c r="BC1229" s="135"/>
      <c r="BD1229" s="135"/>
      <c r="BE1229" s="135"/>
      <c r="BF1229" s="135"/>
      <c r="BG1229" s="135"/>
      <c r="BH1229" s="135"/>
      <c r="BI1229" s="2" t="s">
        <v>11</v>
      </c>
      <c r="BJ1229" s="136"/>
      <c r="BK1229" s="2">
        <v>5</v>
      </c>
      <c r="BL1229" s="136" t="s">
        <v>113</v>
      </c>
      <c r="BM1229" s="136">
        <v>45308</v>
      </c>
      <c r="BN1229" s="2" t="s">
        <v>2198</v>
      </c>
      <c r="BO1229" s="2"/>
      <c r="BP1229" s="136"/>
      <c r="BQ1229" s="137" t="s">
        <v>134</v>
      </c>
    </row>
    <row r="1230" spans="1:69" ht="12.75" customHeight="1" x14ac:dyDescent="0.2">
      <c r="A1230" s="2">
        <v>2719</v>
      </c>
      <c r="B1230" s="2" t="s">
        <v>54</v>
      </c>
      <c r="C1230" s="131" t="s">
        <v>50</v>
      </c>
      <c r="D1230" s="131" t="s">
        <v>4090</v>
      </c>
      <c r="E1230" s="2" t="s">
        <v>141</v>
      </c>
      <c r="F1230" s="132">
        <v>0</v>
      </c>
      <c r="G1230" s="132"/>
      <c r="H1230" s="132">
        <f t="shared" si="142"/>
        <v>1000</v>
      </c>
      <c r="I1230" s="132"/>
      <c r="J1230" s="132">
        <f t="shared" si="144"/>
        <v>152.54</v>
      </c>
      <c r="K1230" s="132">
        <f t="shared" si="143"/>
        <v>-152.54</v>
      </c>
      <c r="L1230" s="132">
        <f t="shared" si="145"/>
        <v>847.46</v>
      </c>
      <c r="M1230" s="133"/>
      <c r="N1230" s="133">
        <f t="shared" si="141"/>
        <v>-152.54</v>
      </c>
      <c r="O1230" s="134">
        <v>1</v>
      </c>
      <c r="P1230" s="133"/>
      <c r="Q1230" s="2" t="s">
        <v>338</v>
      </c>
      <c r="R1230" s="156">
        <f t="shared" si="146"/>
        <v>1000</v>
      </c>
      <c r="S1230" s="156">
        <f t="shared" si="147"/>
        <v>152.54</v>
      </c>
      <c r="T1230" s="133"/>
      <c r="U1230" s="133"/>
      <c r="V1230" s="133"/>
      <c r="W1230" s="133"/>
      <c r="X1230" s="133"/>
      <c r="Y1230" s="133"/>
      <c r="Z1230" s="133"/>
      <c r="AA1230" s="133"/>
      <c r="AB1230" s="133"/>
      <c r="AC1230" s="133"/>
      <c r="AD1230" s="133"/>
      <c r="AE1230" s="133"/>
      <c r="AF1230" s="133"/>
      <c r="AG1230" s="133"/>
      <c r="AH1230" s="133"/>
      <c r="AI1230" s="133"/>
      <c r="AJ1230" s="133"/>
      <c r="AK1230" s="133"/>
      <c r="AL1230" s="133">
        <v>1000</v>
      </c>
      <c r="AM1230" s="133"/>
      <c r="AN1230" s="133"/>
      <c r="AO1230" s="133">
        <v>152.54</v>
      </c>
      <c r="AP1230" s="133"/>
      <c r="AQ1230" s="133"/>
      <c r="AR1230" s="133"/>
      <c r="AS1230" s="153">
        <v>0</v>
      </c>
      <c r="AT1230" s="153">
        <v>0</v>
      </c>
      <c r="AU1230" s="153">
        <v>0</v>
      </c>
      <c r="AV1230" s="135"/>
      <c r="AW1230" s="135"/>
      <c r="AX1230" s="135"/>
      <c r="AY1230" s="135"/>
      <c r="AZ1230" s="135"/>
      <c r="BA1230" s="135"/>
      <c r="BB1230" s="135"/>
      <c r="BC1230" s="135"/>
      <c r="BD1230" s="135"/>
      <c r="BE1230" s="135"/>
      <c r="BF1230" s="135"/>
      <c r="BG1230" s="135"/>
      <c r="BH1230" s="135"/>
      <c r="BI1230" s="2" t="s">
        <v>11</v>
      </c>
      <c r="BJ1230" s="136"/>
      <c r="BK1230" s="2">
        <v>5</v>
      </c>
      <c r="BL1230" s="136" t="s">
        <v>113</v>
      </c>
      <c r="BM1230" s="136">
        <v>45308</v>
      </c>
      <c r="BN1230" s="2" t="s">
        <v>2198</v>
      </c>
      <c r="BO1230" s="2"/>
      <c r="BP1230" s="136"/>
      <c r="BQ1230" s="137" t="s">
        <v>134</v>
      </c>
    </row>
    <row r="1231" spans="1:69" ht="12.75" customHeight="1" x14ac:dyDescent="0.2">
      <c r="A1231" s="2">
        <v>2720</v>
      </c>
      <c r="B1231" s="2" t="s">
        <v>108</v>
      </c>
      <c r="C1231" s="131" t="s">
        <v>40</v>
      </c>
      <c r="D1231" s="131" t="s">
        <v>4095</v>
      </c>
      <c r="E1231" s="2" t="s">
        <v>3635</v>
      </c>
      <c r="F1231" s="132">
        <v>0</v>
      </c>
      <c r="G1231" s="132"/>
      <c r="H1231" s="132">
        <f t="shared" si="142"/>
        <v>155000</v>
      </c>
      <c r="I1231" s="132"/>
      <c r="J1231" s="132">
        <f>S1231</f>
        <v>23644.07</v>
      </c>
      <c r="K1231" s="132">
        <f t="shared" si="143"/>
        <v>-23644.07</v>
      </c>
      <c r="L1231" s="132">
        <f t="shared" si="145"/>
        <v>131355.93</v>
      </c>
      <c r="M1231" s="133"/>
      <c r="N1231" s="133">
        <f t="shared" si="141"/>
        <v>-23644.07</v>
      </c>
      <c r="O1231" s="134">
        <v>1</v>
      </c>
      <c r="P1231" s="133"/>
      <c r="Q1231" s="2" t="s">
        <v>4091</v>
      </c>
      <c r="R1231" s="156">
        <f t="shared" si="146"/>
        <v>155000</v>
      </c>
      <c r="S1231" s="156">
        <f t="shared" si="147"/>
        <v>23644.07</v>
      </c>
      <c r="T1231" s="133"/>
      <c r="U1231" s="133"/>
      <c r="V1231" s="133"/>
      <c r="W1231" s="133"/>
      <c r="X1231" s="133"/>
      <c r="Y1231" s="133"/>
      <c r="Z1231" s="133"/>
      <c r="AA1231" s="133"/>
      <c r="AB1231" s="133"/>
      <c r="AC1231" s="133"/>
      <c r="AD1231" s="133"/>
      <c r="AE1231" s="133"/>
      <c r="AF1231" s="133"/>
      <c r="AG1231" s="133"/>
      <c r="AH1231" s="133"/>
      <c r="AI1231" s="133"/>
      <c r="AJ1231" s="133"/>
      <c r="AK1231" s="133"/>
      <c r="AL1231" s="133">
        <v>155000</v>
      </c>
      <c r="AM1231" s="133"/>
      <c r="AN1231" s="133"/>
      <c r="AO1231" s="133">
        <v>23644.07</v>
      </c>
      <c r="AP1231" s="133"/>
      <c r="AQ1231" s="133"/>
      <c r="AR1231" s="133"/>
      <c r="AS1231" s="153">
        <v>0</v>
      </c>
      <c r="AT1231" s="153">
        <v>0</v>
      </c>
      <c r="AU1231" s="153">
        <v>0</v>
      </c>
      <c r="AV1231" s="135"/>
      <c r="AW1231" s="135"/>
      <c r="AX1231" s="135"/>
      <c r="AY1231" s="135"/>
      <c r="AZ1231" s="135"/>
      <c r="BA1231" s="135"/>
      <c r="BB1231" s="135"/>
      <c r="BC1231" s="135"/>
      <c r="BD1231" s="135"/>
      <c r="BE1231" s="135"/>
      <c r="BF1231" s="135"/>
      <c r="BG1231" s="135"/>
      <c r="BH1231" s="135"/>
      <c r="BI1231" s="2" t="s">
        <v>3773</v>
      </c>
      <c r="BJ1231" s="136"/>
      <c r="BK1231" s="2">
        <v>99</v>
      </c>
      <c r="BL1231" s="136" t="s">
        <v>113</v>
      </c>
      <c r="BM1231" s="136">
        <v>45597</v>
      </c>
      <c r="BN1231" s="2" t="s">
        <v>4092</v>
      </c>
      <c r="BO1231" s="2"/>
      <c r="BP1231" s="136"/>
      <c r="BQ1231" s="137" t="s">
        <v>119</v>
      </c>
    </row>
    <row r="1232" spans="1:69" ht="12.75" customHeight="1" x14ac:dyDescent="0.2">
      <c r="A1232" s="2">
        <v>2721</v>
      </c>
      <c r="B1232" s="2" t="s">
        <v>39</v>
      </c>
      <c r="C1232" s="131" t="s">
        <v>42</v>
      </c>
      <c r="D1232" s="131" t="s">
        <v>4096</v>
      </c>
      <c r="E1232" s="2" t="s">
        <v>3635</v>
      </c>
      <c r="F1232" s="132">
        <v>0</v>
      </c>
      <c r="G1232" s="132"/>
      <c r="H1232" s="132">
        <f t="shared" si="142"/>
        <v>28676</v>
      </c>
      <c r="I1232" s="132"/>
      <c r="J1232" s="132">
        <f>S1232+BC1232</f>
        <v>26500</v>
      </c>
      <c r="K1232" s="132">
        <f t="shared" si="143"/>
        <v>-26500</v>
      </c>
      <c r="L1232" s="132">
        <f t="shared" si="145"/>
        <v>2176</v>
      </c>
      <c r="M1232" s="133"/>
      <c r="N1232" s="133">
        <f t="shared" si="141"/>
        <v>2176</v>
      </c>
      <c r="O1232" s="134">
        <v>1</v>
      </c>
      <c r="P1232" s="133"/>
      <c r="Q1232" s="2" t="s">
        <v>4093</v>
      </c>
      <c r="R1232" s="156">
        <f t="shared" si="146"/>
        <v>28676</v>
      </c>
      <c r="S1232" s="156">
        <f t="shared" si="147"/>
        <v>4042.37</v>
      </c>
      <c r="T1232" s="133"/>
      <c r="U1232" s="133"/>
      <c r="V1232" s="133"/>
      <c r="W1232" s="133"/>
      <c r="X1232" s="133"/>
      <c r="Y1232" s="133"/>
      <c r="Z1232" s="133"/>
      <c r="AA1232" s="133"/>
      <c r="AB1232" s="133"/>
      <c r="AC1232" s="133"/>
      <c r="AD1232" s="133"/>
      <c r="AE1232" s="133"/>
      <c r="AF1232" s="133"/>
      <c r="AG1232" s="133"/>
      <c r="AH1232" s="133"/>
      <c r="AI1232" s="133"/>
      <c r="AJ1232" s="133"/>
      <c r="AK1232" s="133"/>
      <c r="AL1232" s="133">
        <v>26500</v>
      </c>
      <c r="AM1232" s="133"/>
      <c r="AN1232" s="133">
        <v>2176</v>
      </c>
      <c r="AO1232" s="133">
        <v>4042.37</v>
      </c>
      <c r="AP1232" s="133"/>
      <c r="AQ1232" s="133"/>
      <c r="AR1232" s="133"/>
      <c r="AS1232" s="153">
        <v>0</v>
      </c>
      <c r="AT1232" s="153">
        <v>0</v>
      </c>
      <c r="AU1232" s="153">
        <v>0</v>
      </c>
      <c r="AV1232" s="135"/>
      <c r="AW1232" s="135"/>
      <c r="AX1232" s="135"/>
      <c r="AY1232" s="135"/>
      <c r="AZ1232" s="135"/>
      <c r="BA1232" s="135"/>
      <c r="BB1232" s="135"/>
      <c r="BC1232" s="135">
        <v>22457.63</v>
      </c>
      <c r="BD1232" s="135">
        <v>1420.98</v>
      </c>
      <c r="BE1232" s="135"/>
      <c r="BF1232" s="135"/>
      <c r="BG1232" s="135"/>
      <c r="BH1232" s="135"/>
      <c r="BI1232" s="2" t="s">
        <v>3773</v>
      </c>
      <c r="BJ1232" s="136">
        <v>45975</v>
      </c>
      <c r="BK1232" s="2" t="s">
        <v>109</v>
      </c>
      <c r="BL1232" s="136" t="s">
        <v>113</v>
      </c>
      <c r="BM1232" s="136">
        <v>45597</v>
      </c>
      <c r="BN1232" s="2" t="s">
        <v>4094</v>
      </c>
      <c r="BO1232" s="2"/>
      <c r="BP1232" s="136"/>
      <c r="BQ1232" s="137" t="s">
        <v>119</v>
      </c>
    </row>
    <row r="1233" spans="1:69" ht="12.75" customHeight="1" x14ac:dyDescent="0.2">
      <c r="A1233" s="2">
        <v>2722</v>
      </c>
      <c r="B1233" s="2" t="s">
        <v>39</v>
      </c>
      <c r="C1233" s="131" t="s">
        <v>42</v>
      </c>
      <c r="D1233" s="131" t="s">
        <v>4098</v>
      </c>
      <c r="E1233" s="2" t="s">
        <v>3635</v>
      </c>
      <c r="F1233" s="132">
        <v>0</v>
      </c>
      <c r="G1233" s="132"/>
      <c r="H1233" s="132">
        <f t="shared" si="142"/>
        <v>28676</v>
      </c>
      <c r="I1233" s="132"/>
      <c r="J1233" s="132">
        <f>S1233+BC1233</f>
        <v>26500</v>
      </c>
      <c r="K1233" s="132">
        <f t="shared" si="143"/>
        <v>-26500</v>
      </c>
      <c r="L1233" s="132">
        <f t="shared" si="145"/>
        <v>2176</v>
      </c>
      <c r="M1233" s="133"/>
      <c r="N1233" s="133">
        <f t="shared" si="141"/>
        <v>2176</v>
      </c>
      <c r="O1233" s="134">
        <v>1</v>
      </c>
      <c r="P1233" s="133"/>
      <c r="Q1233" s="2" t="s">
        <v>4097</v>
      </c>
      <c r="R1233" s="156">
        <f t="shared" si="146"/>
        <v>28676</v>
      </c>
      <c r="S1233" s="156">
        <f t="shared" si="147"/>
        <v>4042.37</v>
      </c>
      <c r="T1233" s="133"/>
      <c r="U1233" s="133"/>
      <c r="V1233" s="133"/>
      <c r="W1233" s="133"/>
      <c r="X1233" s="133"/>
      <c r="Y1233" s="133"/>
      <c r="Z1233" s="133"/>
      <c r="AA1233" s="133"/>
      <c r="AB1233" s="133"/>
      <c r="AC1233" s="133"/>
      <c r="AD1233" s="133"/>
      <c r="AE1233" s="133"/>
      <c r="AF1233" s="133"/>
      <c r="AG1233" s="133"/>
      <c r="AH1233" s="133"/>
      <c r="AI1233" s="133"/>
      <c r="AJ1233" s="133"/>
      <c r="AK1233" s="133"/>
      <c r="AL1233" s="133">
        <v>26500</v>
      </c>
      <c r="AM1233" s="133"/>
      <c r="AN1233" s="133">
        <v>2176</v>
      </c>
      <c r="AO1233" s="133">
        <v>4042.37</v>
      </c>
      <c r="AP1233" s="133"/>
      <c r="AQ1233" s="133"/>
      <c r="AR1233" s="133"/>
      <c r="AS1233" s="153">
        <v>0</v>
      </c>
      <c r="AT1233" s="153">
        <v>0</v>
      </c>
      <c r="AU1233" s="153">
        <v>0</v>
      </c>
      <c r="AV1233" s="135"/>
      <c r="AW1233" s="135"/>
      <c r="AX1233" s="135"/>
      <c r="AY1233" s="135"/>
      <c r="AZ1233" s="135"/>
      <c r="BA1233" s="135"/>
      <c r="BB1233" s="135"/>
      <c r="BC1233" s="135">
        <v>22457.63</v>
      </c>
      <c r="BD1233" s="135">
        <v>1420.98</v>
      </c>
      <c r="BE1233" s="135"/>
      <c r="BF1233" s="135"/>
      <c r="BG1233" s="135"/>
      <c r="BH1233" s="135"/>
      <c r="BI1233" s="2" t="s">
        <v>3773</v>
      </c>
      <c r="BJ1233" s="136">
        <v>45975</v>
      </c>
      <c r="BK1233" s="2" t="s">
        <v>109</v>
      </c>
      <c r="BL1233" s="136" t="s">
        <v>113</v>
      </c>
      <c r="BM1233" s="136">
        <v>45597</v>
      </c>
      <c r="BN1233" s="2" t="s">
        <v>4102</v>
      </c>
      <c r="BO1233" s="2"/>
      <c r="BP1233" s="136"/>
      <c r="BQ1233" s="137" t="s">
        <v>119</v>
      </c>
    </row>
    <row r="1234" spans="1:69" ht="12.75" customHeight="1" x14ac:dyDescent="0.2">
      <c r="A1234" s="2">
        <v>2723</v>
      </c>
      <c r="B1234" s="2" t="s">
        <v>39</v>
      </c>
      <c r="C1234" s="131" t="s">
        <v>42</v>
      </c>
      <c r="D1234" s="131" t="s">
        <v>4100</v>
      </c>
      <c r="E1234" s="2" t="s">
        <v>3635</v>
      </c>
      <c r="F1234" s="132">
        <v>0</v>
      </c>
      <c r="G1234" s="132"/>
      <c r="H1234" s="132">
        <f t="shared" si="142"/>
        <v>9006</v>
      </c>
      <c r="I1234" s="132"/>
      <c r="J1234" s="132">
        <f>S1234+BC1234</f>
        <v>8000</v>
      </c>
      <c r="K1234" s="132">
        <f t="shared" si="143"/>
        <v>-8000</v>
      </c>
      <c r="L1234" s="132">
        <f t="shared" si="145"/>
        <v>1006</v>
      </c>
      <c r="M1234" s="133"/>
      <c r="N1234" s="133">
        <f t="shared" si="141"/>
        <v>1006</v>
      </c>
      <c r="O1234" s="134">
        <v>1</v>
      </c>
      <c r="P1234" s="133"/>
      <c r="Q1234" s="2" t="s">
        <v>4099</v>
      </c>
      <c r="R1234" s="156">
        <f t="shared" si="146"/>
        <v>9006</v>
      </c>
      <c r="S1234" s="156">
        <f t="shared" si="147"/>
        <v>1220.3399999999999</v>
      </c>
      <c r="T1234" s="133"/>
      <c r="U1234" s="133"/>
      <c r="V1234" s="133"/>
      <c r="W1234" s="133"/>
      <c r="X1234" s="133"/>
      <c r="Y1234" s="133"/>
      <c r="Z1234" s="133"/>
      <c r="AA1234" s="133"/>
      <c r="AB1234" s="133"/>
      <c r="AC1234" s="133"/>
      <c r="AD1234" s="133"/>
      <c r="AE1234" s="133"/>
      <c r="AF1234" s="133"/>
      <c r="AG1234" s="133"/>
      <c r="AH1234" s="133"/>
      <c r="AI1234" s="133"/>
      <c r="AJ1234" s="133"/>
      <c r="AK1234" s="133"/>
      <c r="AL1234" s="133">
        <v>8000</v>
      </c>
      <c r="AM1234" s="133"/>
      <c r="AN1234" s="133">
        <v>1006</v>
      </c>
      <c r="AO1234" s="133">
        <v>1220.3399999999999</v>
      </c>
      <c r="AP1234" s="133"/>
      <c r="AQ1234" s="133"/>
      <c r="AR1234" s="133"/>
      <c r="AS1234" s="153">
        <v>0</v>
      </c>
      <c r="AT1234" s="153">
        <v>0</v>
      </c>
      <c r="AU1234" s="153">
        <v>0</v>
      </c>
      <c r="AV1234" s="135"/>
      <c r="AW1234" s="135"/>
      <c r="AX1234" s="135"/>
      <c r="AY1234" s="135"/>
      <c r="AZ1234" s="135"/>
      <c r="BA1234" s="135"/>
      <c r="BB1234" s="135"/>
      <c r="BC1234" s="135">
        <v>6779.66</v>
      </c>
      <c r="BD1234" s="135">
        <v>428.98</v>
      </c>
      <c r="BE1234" s="135"/>
      <c r="BF1234" s="135"/>
      <c r="BG1234" s="135"/>
      <c r="BH1234" s="135"/>
      <c r="BI1234" s="2" t="s">
        <v>3773</v>
      </c>
      <c r="BJ1234" s="136">
        <v>45975</v>
      </c>
      <c r="BK1234" s="2" t="s">
        <v>109</v>
      </c>
      <c r="BL1234" s="136" t="s">
        <v>113</v>
      </c>
      <c r="BM1234" s="136">
        <v>45597</v>
      </c>
      <c r="BN1234" s="2" t="s">
        <v>4101</v>
      </c>
      <c r="BO1234" s="2"/>
      <c r="BP1234" s="136"/>
      <c r="BQ1234" s="137" t="s">
        <v>119</v>
      </c>
    </row>
    <row r="1235" spans="1:69" ht="12.75" customHeight="1" x14ac:dyDescent="0.2">
      <c r="A1235" s="2">
        <v>2724</v>
      </c>
      <c r="B1235" s="2" t="s">
        <v>108</v>
      </c>
      <c r="C1235" s="131" t="s">
        <v>40</v>
      </c>
      <c r="D1235" s="131" t="s">
        <v>4107</v>
      </c>
      <c r="E1235" s="2" t="s">
        <v>3635</v>
      </c>
      <c r="F1235" s="132">
        <v>0</v>
      </c>
      <c r="G1235" s="132"/>
      <c r="H1235" s="132">
        <f t="shared" si="142"/>
        <v>155000</v>
      </c>
      <c r="I1235" s="132"/>
      <c r="J1235" s="132">
        <f t="shared" si="140"/>
        <v>0</v>
      </c>
      <c r="K1235" s="132">
        <f t="shared" si="143"/>
        <v>0</v>
      </c>
      <c r="L1235" s="132">
        <f t="shared" si="145"/>
        <v>155000</v>
      </c>
      <c r="M1235" s="133"/>
      <c r="N1235" s="133">
        <f t="shared" si="141"/>
        <v>0</v>
      </c>
      <c r="O1235" s="134">
        <v>1</v>
      </c>
      <c r="P1235" s="133"/>
      <c r="Q1235" s="2" t="s">
        <v>4108</v>
      </c>
      <c r="R1235" s="156">
        <f t="shared" si="146"/>
        <v>155000</v>
      </c>
      <c r="S1235" s="156">
        <f t="shared" si="147"/>
        <v>0</v>
      </c>
      <c r="T1235" s="133"/>
      <c r="U1235" s="133"/>
      <c r="V1235" s="133"/>
      <c r="W1235" s="133"/>
      <c r="X1235" s="133"/>
      <c r="Y1235" s="133"/>
      <c r="Z1235" s="133"/>
      <c r="AA1235" s="133"/>
      <c r="AB1235" s="133"/>
      <c r="AC1235" s="133"/>
      <c r="AD1235" s="133"/>
      <c r="AE1235" s="133"/>
      <c r="AF1235" s="133"/>
      <c r="AG1235" s="133"/>
      <c r="AH1235" s="133"/>
      <c r="AI1235" s="133"/>
      <c r="AJ1235" s="133"/>
      <c r="AK1235" s="133"/>
      <c r="AL1235" s="133"/>
      <c r="AM1235" s="133"/>
      <c r="AN1235" s="133">
        <v>155000</v>
      </c>
      <c r="AO1235" s="133"/>
      <c r="AP1235" s="133"/>
      <c r="AQ1235" s="133"/>
      <c r="AR1235" s="133"/>
      <c r="AS1235" s="153">
        <v>0</v>
      </c>
      <c r="AT1235" s="153">
        <v>0</v>
      </c>
      <c r="AU1235" s="153">
        <v>0</v>
      </c>
      <c r="AV1235" s="135"/>
      <c r="AW1235" s="135"/>
      <c r="AX1235" s="135"/>
      <c r="AY1235" s="135"/>
      <c r="AZ1235" s="135"/>
      <c r="BA1235" s="135"/>
      <c r="BB1235" s="135"/>
      <c r="BC1235" s="135"/>
      <c r="BD1235" s="135"/>
      <c r="BE1235" s="135"/>
      <c r="BF1235" s="135"/>
      <c r="BG1235" s="135"/>
      <c r="BH1235" s="135"/>
      <c r="BI1235" s="2" t="s">
        <v>3773</v>
      </c>
      <c r="BJ1235" s="136"/>
      <c r="BK1235" s="2">
        <v>99</v>
      </c>
      <c r="BL1235" s="136" t="s">
        <v>113</v>
      </c>
      <c r="BM1235" s="136">
        <v>45597</v>
      </c>
      <c r="BN1235" s="2" t="s">
        <v>4109</v>
      </c>
      <c r="BO1235" s="2"/>
      <c r="BP1235" s="136"/>
      <c r="BQ1235" s="137" t="s">
        <v>119</v>
      </c>
    </row>
    <row r="1236" spans="1:69" ht="12.75" customHeight="1" x14ac:dyDescent="0.2">
      <c r="A1236" s="2">
        <v>2725</v>
      </c>
      <c r="B1236" s="2" t="s">
        <v>44</v>
      </c>
      <c r="C1236" s="2" t="s">
        <v>45</v>
      </c>
      <c r="D1236" s="131" t="s">
        <v>4110</v>
      </c>
      <c r="E1236" s="2" t="s">
        <v>3635</v>
      </c>
      <c r="F1236" s="132">
        <v>0</v>
      </c>
      <c r="G1236" s="132"/>
      <c r="H1236" s="132">
        <f t="shared" si="142"/>
        <v>6500</v>
      </c>
      <c r="I1236" s="132"/>
      <c r="J1236" s="132">
        <f t="shared" si="140"/>
        <v>0</v>
      </c>
      <c r="K1236" s="132">
        <f t="shared" si="143"/>
        <v>0</v>
      </c>
      <c r="L1236" s="132">
        <f t="shared" si="145"/>
        <v>6500</v>
      </c>
      <c r="M1236" s="133"/>
      <c r="N1236" s="133">
        <f t="shared" si="141"/>
        <v>6500</v>
      </c>
      <c r="O1236" s="134">
        <v>1</v>
      </c>
      <c r="P1236" s="133"/>
      <c r="Q1236" s="2" t="s">
        <v>3823</v>
      </c>
      <c r="R1236" s="156">
        <f t="shared" si="146"/>
        <v>6500</v>
      </c>
      <c r="S1236" s="156">
        <f t="shared" si="147"/>
        <v>0</v>
      </c>
      <c r="T1236" s="133"/>
      <c r="U1236" s="133"/>
      <c r="V1236" s="133"/>
      <c r="W1236" s="133"/>
      <c r="X1236" s="133"/>
      <c r="Y1236" s="133"/>
      <c r="Z1236" s="133"/>
      <c r="AA1236" s="133"/>
      <c r="AB1236" s="133"/>
      <c r="AC1236" s="133"/>
      <c r="AD1236" s="133"/>
      <c r="AE1236" s="133"/>
      <c r="AF1236" s="133"/>
      <c r="AG1236" s="133"/>
      <c r="AH1236" s="133"/>
      <c r="AI1236" s="133"/>
      <c r="AJ1236" s="133"/>
      <c r="AK1236" s="133"/>
      <c r="AL1236" s="133"/>
      <c r="AM1236" s="133"/>
      <c r="AN1236" s="133">
        <v>6500</v>
      </c>
      <c r="AO1236" s="133"/>
      <c r="AP1236" s="133"/>
      <c r="AQ1236" s="133"/>
      <c r="AR1236" s="133"/>
      <c r="AS1236" s="153">
        <v>0</v>
      </c>
      <c r="AT1236" s="153">
        <v>0</v>
      </c>
      <c r="AU1236" s="153">
        <v>0</v>
      </c>
      <c r="AV1236" s="135"/>
      <c r="AW1236" s="135"/>
      <c r="AX1236" s="135"/>
      <c r="AY1236" s="135"/>
      <c r="AZ1236" s="135"/>
      <c r="BA1236" s="135"/>
      <c r="BB1236" s="135"/>
      <c r="BC1236" s="135"/>
      <c r="BD1236" s="135"/>
      <c r="BE1236" s="135"/>
      <c r="BF1236" s="135"/>
      <c r="BG1236" s="135"/>
      <c r="BH1236" s="135"/>
      <c r="BI1236" s="2" t="s">
        <v>3746</v>
      </c>
      <c r="BJ1236" s="136">
        <v>45964</v>
      </c>
      <c r="BK1236" s="2" t="s">
        <v>109</v>
      </c>
      <c r="BL1236" s="136" t="s">
        <v>113</v>
      </c>
      <c r="BM1236" s="136">
        <v>45635</v>
      </c>
      <c r="BN1236" s="2" t="s">
        <v>3641</v>
      </c>
      <c r="BO1236" s="2"/>
      <c r="BP1236" s="136"/>
      <c r="BQ1236" s="137" t="s">
        <v>119</v>
      </c>
    </row>
    <row r="1237" spans="1:69" ht="12.75" customHeight="1" x14ac:dyDescent="0.2">
      <c r="A1237" s="2">
        <v>2726</v>
      </c>
      <c r="B1237" s="2" t="s">
        <v>44</v>
      </c>
      <c r="C1237" s="2" t="s">
        <v>45</v>
      </c>
      <c r="D1237" s="131" t="s">
        <v>4111</v>
      </c>
      <c r="E1237" s="2" t="s">
        <v>3635</v>
      </c>
      <c r="F1237" s="132">
        <v>0</v>
      </c>
      <c r="G1237" s="132"/>
      <c r="H1237" s="132">
        <f t="shared" si="142"/>
        <v>22500</v>
      </c>
      <c r="I1237" s="132"/>
      <c r="J1237" s="132">
        <f t="shared" si="140"/>
        <v>0</v>
      </c>
      <c r="K1237" s="132">
        <f t="shared" si="143"/>
        <v>0</v>
      </c>
      <c r="L1237" s="132">
        <f t="shared" si="145"/>
        <v>22500</v>
      </c>
      <c r="M1237" s="133"/>
      <c r="N1237" s="133">
        <f t="shared" si="141"/>
        <v>22500</v>
      </c>
      <c r="O1237" s="134">
        <v>1</v>
      </c>
      <c r="P1237" s="133"/>
      <c r="Q1237" s="2" t="s">
        <v>3893</v>
      </c>
      <c r="R1237" s="156">
        <f t="shared" si="146"/>
        <v>22500</v>
      </c>
      <c r="S1237" s="156">
        <f t="shared" si="147"/>
        <v>0</v>
      </c>
      <c r="T1237" s="133"/>
      <c r="U1237" s="133"/>
      <c r="V1237" s="133"/>
      <c r="W1237" s="133"/>
      <c r="X1237" s="133"/>
      <c r="Y1237" s="133"/>
      <c r="Z1237" s="133"/>
      <c r="AA1237" s="133"/>
      <c r="AB1237" s="133"/>
      <c r="AC1237" s="133"/>
      <c r="AD1237" s="133"/>
      <c r="AE1237" s="133"/>
      <c r="AF1237" s="133"/>
      <c r="AG1237" s="133"/>
      <c r="AH1237" s="133"/>
      <c r="AI1237" s="133"/>
      <c r="AJ1237" s="133"/>
      <c r="AK1237" s="133"/>
      <c r="AL1237" s="133"/>
      <c r="AM1237" s="133"/>
      <c r="AN1237" s="133">
        <v>22500</v>
      </c>
      <c r="AO1237" s="133"/>
      <c r="AP1237" s="133"/>
      <c r="AQ1237" s="133"/>
      <c r="AR1237" s="133"/>
      <c r="AS1237" s="153">
        <v>0</v>
      </c>
      <c r="AT1237" s="153">
        <v>0</v>
      </c>
      <c r="AU1237" s="153">
        <v>0</v>
      </c>
      <c r="AV1237" s="135"/>
      <c r="AW1237" s="135"/>
      <c r="AX1237" s="135"/>
      <c r="AY1237" s="135"/>
      <c r="AZ1237" s="135"/>
      <c r="BA1237" s="135"/>
      <c r="BB1237" s="135"/>
      <c r="BC1237" s="135"/>
      <c r="BD1237" s="135"/>
      <c r="BE1237" s="135"/>
      <c r="BF1237" s="135"/>
      <c r="BG1237" s="135"/>
      <c r="BH1237" s="135"/>
      <c r="BI1237" s="2" t="s">
        <v>3746</v>
      </c>
      <c r="BJ1237" s="136">
        <v>45964</v>
      </c>
      <c r="BK1237" s="2" t="s">
        <v>109</v>
      </c>
      <c r="BL1237" s="136" t="s">
        <v>113</v>
      </c>
      <c r="BM1237" s="136">
        <v>45635</v>
      </c>
      <c r="BN1237" s="2" t="s">
        <v>3641</v>
      </c>
      <c r="BO1237" s="2"/>
      <c r="BP1237" s="136"/>
      <c r="BQ1237" s="137" t="s">
        <v>119</v>
      </c>
    </row>
    <row r="1238" spans="1:69" ht="12.75" customHeight="1" x14ac:dyDescent="0.2">
      <c r="A1238" s="2">
        <v>2727</v>
      </c>
      <c r="B1238" s="2" t="s">
        <v>44</v>
      </c>
      <c r="C1238" s="2" t="s">
        <v>45</v>
      </c>
      <c r="D1238" s="131" t="s">
        <v>4112</v>
      </c>
      <c r="E1238" s="2" t="s">
        <v>3635</v>
      </c>
      <c r="F1238" s="132">
        <v>0</v>
      </c>
      <c r="G1238" s="132"/>
      <c r="H1238" s="132">
        <f t="shared" si="142"/>
        <v>8500</v>
      </c>
      <c r="I1238" s="132"/>
      <c r="J1238" s="132">
        <f t="shared" si="140"/>
        <v>0</v>
      </c>
      <c r="K1238" s="132">
        <f t="shared" si="143"/>
        <v>0</v>
      </c>
      <c r="L1238" s="132">
        <f t="shared" si="145"/>
        <v>8500</v>
      </c>
      <c r="M1238" s="133"/>
      <c r="N1238" s="133">
        <f t="shared" si="141"/>
        <v>8500</v>
      </c>
      <c r="O1238" s="134">
        <v>1</v>
      </c>
      <c r="P1238" s="133"/>
      <c r="Q1238" s="2" t="s">
        <v>3730</v>
      </c>
      <c r="R1238" s="156">
        <f t="shared" si="146"/>
        <v>8500</v>
      </c>
      <c r="S1238" s="156">
        <f t="shared" si="147"/>
        <v>0</v>
      </c>
      <c r="T1238" s="133"/>
      <c r="U1238" s="133"/>
      <c r="V1238" s="133"/>
      <c r="W1238" s="133"/>
      <c r="X1238" s="133"/>
      <c r="Y1238" s="133"/>
      <c r="Z1238" s="133"/>
      <c r="AA1238" s="133"/>
      <c r="AB1238" s="133"/>
      <c r="AC1238" s="133"/>
      <c r="AD1238" s="133"/>
      <c r="AE1238" s="133"/>
      <c r="AF1238" s="133"/>
      <c r="AG1238" s="133"/>
      <c r="AH1238" s="133"/>
      <c r="AI1238" s="133"/>
      <c r="AJ1238" s="133"/>
      <c r="AK1238" s="133"/>
      <c r="AL1238" s="133"/>
      <c r="AM1238" s="133"/>
      <c r="AN1238" s="133">
        <v>8500</v>
      </c>
      <c r="AO1238" s="133"/>
      <c r="AP1238" s="133"/>
      <c r="AQ1238" s="133"/>
      <c r="AR1238" s="133"/>
      <c r="AS1238" s="153">
        <v>0</v>
      </c>
      <c r="AT1238" s="153">
        <v>0</v>
      </c>
      <c r="AU1238" s="153">
        <v>0</v>
      </c>
      <c r="AV1238" s="135"/>
      <c r="AW1238" s="135"/>
      <c r="AX1238" s="135"/>
      <c r="AY1238" s="135"/>
      <c r="AZ1238" s="135"/>
      <c r="BA1238" s="135"/>
      <c r="BB1238" s="135"/>
      <c r="BC1238" s="135"/>
      <c r="BD1238" s="135"/>
      <c r="BE1238" s="135"/>
      <c r="BF1238" s="135"/>
      <c r="BG1238" s="135"/>
      <c r="BH1238" s="135"/>
      <c r="BI1238" s="2" t="s">
        <v>3746</v>
      </c>
      <c r="BJ1238" s="136">
        <v>45964</v>
      </c>
      <c r="BK1238" s="2" t="s">
        <v>109</v>
      </c>
      <c r="BL1238" s="136" t="s">
        <v>113</v>
      </c>
      <c r="BM1238" s="136">
        <v>45635</v>
      </c>
      <c r="BN1238" s="2" t="s">
        <v>3641</v>
      </c>
      <c r="BO1238" s="2"/>
      <c r="BP1238" s="136"/>
      <c r="BQ1238" s="137" t="s">
        <v>119</v>
      </c>
    </row>
    <row r="1239" spans="1:69" ht="12.75" customHeight="1" x14ac:dyDescent="0.2">
      <c r="A1239" s="2">
        <v>2728</v>
      </c>
      <c r="B1239" s="2" t="s">
        <v>100</v>
      </c>
      <c r="C1239" s="2" t="s">
        <v>132</v>
      </c>
      <c r="D1239" s="131" t="s">
        <v>4113</v>
      </c>
      <c r="E1239" s="2" t="s">
        <v>3635</v>
      </c>
      <c r="F1239" s="132">
        <v>0</v>
      </c>
      <c r="G1239" s="132"/>
      <c r="H1239" s="132">
        <f t="shared" si="142"/>
        <v>22500</v>
      </c>
      <c r="I1239" s="132"/>
      <c r="J1239" s="132">
        <f t="shared" si="140"/>
        <v>0</v>
      </c>
      <c r="K1239" s="132">
        <f t="shared" si="143"/>
        <v>0</v>
      </c>
      <c r="L1239" s="132">
        <f t="shared" si="145"/>
        <v>22500</v>
      </c>
      <c r="M1239" s="133"/>
      <c r="N1239" s="133">
        <f t="shared" si="141"/>
        <v>22500</v>
      </c>
      <c r="O1239" s="134">
        <v>1</v>
      </c>
      <c r="P1239" s="133"/>
      <c r="Q1239" s="2" t="s">
        <v>3893</v>
      </c>
      <c r="R1239" s="156">
        <f t="shared" si="146"/>
        <v>22500</v>
      </c>
      <c r="S1239" s="156">
        <f t="shared" si="147"/>
        <v>0</v>
      </c>
      <c r="T1239" s="133"/>
      <c r="U1239" s="133"/>
      <c r="V1239" s="133"/>
      <c r="W1239" s="133"/>
      <c r="X1239" s="133"/>
      <c r="Y1239" s="133"/>
      <c r="Z1239" s="133"/>
      <c r="AA1239" s="133"/>
      <c r="AB1239" s="133"/>
      <c r="AC1239" s="133"/>
      <c r="AD1239" s="133"/>
      <c r="AE1239" s="133"/>
      <c r="AF1239" s="133"/>
      <c r="AG1239" s="133"/>
      <c r="AH1239" s="133"/>
      <c r="AI1239" s="133"/>
      <c r="AJ1239" s="133"/>
      <c r="AK1239" s="133"/>
      <c r="AL1239" s="133"/>
      <c r="AM1239" s="133"/>
      <c r="AN1239" s="133">
        <v>22500</v>
      </c>
      <c r="AO1239" s="133"/>
      <c r="AP1239" s="133"/>
      <c r="AQ1239" s="133"/>
      <c r="AR1239" s="133"/>
      <c r="AS1239" s="153">
        <v>0</v>
      </c>
      <c r="AT1239" s="153">
        <v>0</v>
      </c>
      <c r="AU1239" s="153">
        <v>0</v>
      </c>
      <c r="AV1239" s="135"/>
      <c r="AW1239" s="135"/>
      <c r="AX1239" s="135"/>
      <c r="AY1239" s="135"/>
      <c r="AZ1239" s="135"/>
      <c r="BA1239" s="135"/>
      <c r="BB1239" s="135"/>
      <c r="BC1239" s="135"/>
      <c r="BD1239" s="135"/>
      <c r="BE1239" s="135"/>
      <c r="BF1239" s="135"/>
      <c r="BG1239" s="135"/>
      <c r="BH1239" s="135"/>
      <c r="BI1239" s="2" t="s">
        <v>3746</v>
      </c>
      <c r="BJ1239" s="136">
        <v>45964</v>
      </c>
      <c r="BK1239" s="2" t="s">
        <v>109</v>
      </c>
      <c r="BL1239" s="136" t="s">
        <v>18</v>
      </c>
      <c r="BM1239" s="136">
        <v>45635</v>
      </c>
      <c r="BN1239" s="2" t="s">
        <v>3636</v>
      </c>
      <c r="BO1239" s="2"/>
      <c r="BP1239" s="136"/>
      <c r="BQ1239" s="137" t="s">
        <v>119</v>
      </c>
    </row>
    <row r="1240" spans="1:69" ht="12.75" customHeight="1" x14ac:dyDescent="0.2">
      <c r="A1240" s="2">
        <v>2729</v>
      </c>
      <c r="B1240" s="2" t="s">
        <v>54</v>
      </c>
      <c r="C1240" s="131" t="s">
        <v>96</v>
      </c>
      <c r="D1240" s="131" t="s">
        <v>4145</v>
      </c>
      <c r="E1240" s="2" t="s">
        <v>3635</v>
      </c>
      <c r="F1240" s="132">
        <v>0</v>
      </c>
      <c r="G1240" s="132"/>
      <c r="H1240" s="132">
        <f t="shared" si="142"/>
        <v>45197</v>
      </c>
      <c r="I1240" s="132"/>
      <c r="J1240" s="132">
        <f>S1240+BC1240</f>
        <v>33898.31</v>
      </c>
      <c r="K1240" s="132">
        <f t="shared" si="143"/>
        <v>-33898.31</v>
      </c>
      <c r="L1240" s="132">
        <f t="shared" si="145"/>
        <v>11298.690000000002</v>
      </c>
      <c r="M1240" s="133">
        <v>0</v>
      </c>
      <c r="N1240" s="133">
        <f t="shared" si="141"/>
        <v>11298.690000000002</v>
      </c>
      <c r="O1240" s="134">
        <v>1</v>
      </c>
      <c r="P1240" s="133"/>
      <c r="Q1240" s="2" t="s">
        <v>4114</v>
      </c>
      <c r="R1240" s="156">
        <f t="shared" si="146"/>
        <v>45197</v>
      </c>
      <c r="S1240" s="156">
        <f t="shared" si="147"/>
        <v>0</v>
      </c>
      <c r="T1240" s="133"/>
      <c r="U1240" s="133"/>
      <c r="V1240" s="133"/>
      <c r="W1240" s="133"/>
      <c r="X1240" s="133"/>
      <c r="Y1240" s="133"/>
      <c r="Z1240" s="133"/>
      <c r="AA1240" s="133"/>
      <c r="AB1240" s="133"/>
      <c r="AC1240" s="133"/>
      <c r="AD1240" s="133"/>
      <c r="AE1240" s="133"/>
      <c r="AF1240" s="133"/>
      <c r="AG1240" s="133"/>
      <c r="AH1240" s="133"/>
      <c r="AI1240" s="133"/>
      <c r="AJ1240" s="133"/>
      <c r="AK1240" s="133"/>
      <c r="AL1240" s="133"/>
      <c r="AM1240" s="133"/>
      <c r="AN1240" s="133">
        <f>40000+5197</f>
        <v>45197</v>
      </c>
      <c r="AO1240" s="133"/>
      <c r="AP1240" s="133"/>
      <c r="AQ1240" s="133"/>
      <c r="AR1240" s="133"/>
      <c r="AS1240" s="153">
        <v>0</v>
      </c>
      <c r="AT1240" s="153">
        <v>0</v>
      </c>
      <c r="AU1240" s="153">
        <v>0</v>
      </c>
      <c r="AV1240" s="135"/>
      <c r="AW1240" s="135"/>
      <c r="AX1240" s="135"/>
      <c r="AY1240" s="135"/>
      <c r="AZ1240" s="135"/>
      <c r="BA1240" s="135"/>
      <c r="BB1240" s="135"/>
      <c r="BC1240" s="135">
        <v>33898.31</v>
      </c>
      <c r="BD1240" s="135">
        <v>2116.09</v>
      </c>
      <c r="BE1240" s="135"/>
      <c r="BF1240" s="135"/>
      <c r="BG1240" s="135"/>
      <c r="BH1240" s="135"/>
      <c r="BI1240" s="2" t="s">
        <v>3773</v>
      </c>
      <c r="BJ1240" s="136">
        <v>45975</v>
      </c>
      <c r="BK1240" s="2" t="s">
        <v>109</v>
      </c>
      <c r="BL1240" s="136" t="s">
        <v>18</v>
      </c>
      <c r="BM1240" s="136">
        <v>45597</v>
      </c>
      <c r="BN1240" s="2" t="s">
        <v>4115</v>
      </c>
      <c r="BO1240" s="2"/>
      <c r="BP1240" s="136"/>
      <c r="BQ1240" s="137" t="s">
        <v>119</v>
      </c>
    </row>
    <row r="1241" spans="1:69" ht="12.75" customHeight="1" x14ac:dyDescent="0.2">
      <c r="A1241" s="2">
        <v>2730</v>
      </c>
      <c r="B1241" s="2" t="s">
        <v>100</v>
      </c>
      <c r="C1241" s="131" t="s">
        <v>95</v>
      </c>
      <c r="D1241" s="131" t="s">
        <v>4116</v>
      </c>
      <c r="E1241" s="2" t="s">
        <v>1853</v>
      </c>
      <c r="F1241" s="132">
        <v>0</v>
      </c>
      <c r="G1241" s="132"/>
      <c r="H1241" s="132">
        <f t="shared" si="142"/>
        <v>0</v>
      </c>
      <c r="I1241" s="132"/>
      <c r="J1241" s="132">
        <f t="shared" si="140"/>
        <v>0</v>
      </c>
      <c r="K1241" s="132">
        <f t="shared" si="143"/>
        <v>0</v>
      </c>
      <c r="L1241" s="132">
        <f t="shared" si="145"/>
        <v>0</v>
      </c>
      <c r="M1241" s="133"/>
      <c r="N1241" s="133">
        <f t="shared" si="141"/>
        <v>0</v>
      </c>
      <c r="O1241" s="134">
        <v>1</v>
      </c>
      <c r="P1241" s="133"/>
      <c r="Q1241" s="2"/>
      <c r="R1241" s="156">
        <f t="shared" si="146"/>
        <v>0</v>
      </c>
      <c r="S1241" s="156">
        <f t="shared" si="147"/>
        <v>0</v>
      </c>
      <c r="T1241" s="133"/>
      <c r="U1241" s="133"/>
      <c r="V1241" s="133"/>
      <c r="W1241" s="133"/>
      <c r="X1241" s="133"/>
      <c r="Y1241" s="133"/>
      <c r="Z1241" s="133"/>
      <c r="AA1241" s="133"/>
      <c r="AB1241" s="133"/>
      <c r="AC1241" s="133"/>
      <c r="AD1241" s="133"/>
      <c r="AE1241" s="133"/>
      <c r="AF1241" s="133"/>
      <c r="AG1241" s="133"/>
      <c r="AH1241" s="133"/>
      <c r="AI1241" s="133"/>
      <c r="AJ1241" s="133"/>
      <c r="AK1241" s="133"/>
      <c r="AL1241" s="133"/>
      <c r="AM1241" s="133"/>
      <c r="AN1241" s="133"/>
      <c r="AO1241" s="133"/>
      <c r="AP1241" s="133"/>
      <c r="AQ1241" s="133"/>
      <c r="AR1241" s="133"/>
      <c r="AS1241" s="153">
        <v>0</v>
      </c>
      <c r="AT1241" s="153">
        <v>0</v>
      </c>
      <c r="AU1241" s="153">
        <v>0</v>
      </c>
      <c r="AV1241" s="135"/>
      <c r="AW1241" s="135"/>
      <c r="AX1241" s="135"/>
      <c r="AY1241" s="135"/>
      <c r="AZ1241" s="135"/>
      <c r="BA1241" s="135"/>
      <c r="BB1241" s="135"/>
      <c r="BC1241" s="135"/>
      <c r="BD1241" s="135"/>
      <c r="BE1241" s="135"/>
      <c r="BF1241" s="135"/>
      <c r="BG1241" s="135"/>
      <c r="BH1241" s="135"/>
      <c r="BI1241" s="2" t="s">
        <v>112</v>
      </c>
      <c r="BJ1241" s="136"/>
      <c r="BK1241" s="2"/>
      <c r="BL1241" s="136" t="s">
        <v>18</v>
      </c>
      <c r="BM1241" s="136">
        <v>45910</v>
      </c>
      <c r="BN1241" s="2" t="s">
        <v>4117</v>
      </c>
      <c r="BO1241" s="2"/>
      <c r="BP1241" s="136" t="s">
        <v>4118</v>
      </c>
      <c r="BQ1241" s="137"/>
    </row>
    <row r="1242" spans="1:69" ht="12.75" customHeight="1" x14ac:dyDescent="0.2">
      <c r="A1242" s="2">
        <v>2731</v>
      </c>
      <c r="B1242" s="2" t="s">
        <v>54</v>
      </c>
      <c r="C1242" s="131" t="s">
        <v>96</v>
      </c>
      <c r="D1242" s="131" t="s">
        <v>4122</v>
      </c>
      <c r="E1242" s="2" t="s">
        <v>110</v>
      </c>
      <c r="F1242" s="132">
        <v>0</v>
      </c>
      <c r="G1242" s="132"/>
      <c r="H1242" s="132">
        <f t="shared" si="142"/>
        <v>0</v>
      </c>
      <c r="I1242" s="132"/>
      <c r="J1242" s="132">
        <f t="shared" si="140"/>
        <v>0</v>
      </c>
      <c r="K1242" s="132">
        <f t="shared" si="143"/>
        <v>0</v>
      </c>
      <c r="L1242" s="132">
        <f t="shared" si="145"/>
        <v>0</v>
      </c>
      <c r="M1242" s="133"/>
      <c r="N1242" s="133">
        <f t="shared" si="141"/>
        <v>0</v>
      </c>
      <c r="O1242" s="134">
        <v>1</v>
      </c>
      <c r="P1242" s="133"/>
      <c r="Q1242" s="2"/>
      <c r="R1242" s="156">
        <f t="shared" si="146"/>
        <v>0</v>
      </c>
      <c r="S1242" s="156">
        <f t="shared" si="147"/>
        <v>0</v>
      </c>
      <c r="T1242" s="133"/>
      <c r="U1242" s="133"/>
      <c r="V1242" s="133"/>
      <c r="W1242" s="133"/>
      <c r="X1242" s="133"/>
      <c r="Y1242" s="133"/>
      <c r="Z1242" s="133"/>
      <c r="AA1242" s="133"/>
      <c r="AB1242" s="133"/>
      <c r="AC1242" s="133"/>
      <c r="AD1242" s="133"/>
      <c r="AE1242" s="133"/>
      <c r="AF1242" s="133"/>
      <c r="AG1242" s="133"/>
      <c r="AH1242" s="133"/>
      <c r="AI1242" s="133"/>
      <c r="AJ1242" s="133"/>
      <c r="AK1242" s="133"/>
      <c r="AL1242" s="133"/>
      <c r="AM1242" s="133"/>
      <c r="AN1242" s="133"/>
      <c r="AO1242" s="133"/>
      <c r="AP1242" s="133"/>
      <c r="AQ1242" s="133"/>
      <c r="AR1242" s="133"/>
      <c r="AS1242" s="153">
        <v>0</v>
      </c>
      <c r="AT1242" s="153">
        <v>0</v>
      </c>
      <c r="AU1242" s="153">
        <v>0</v>
      </c>
      <c r="AV1242" s="135"/>
      <c r="AW1242" s="135"/>
      <c r="AX1242" s="135"/>
      <c r="AY1242" s="135"/>
      <c r="AZ1242" s="135"/>
      <c r="BA1242" s="135"/>
      <c r="BB1242" s="135"/>
      <c r="BC1242" s="135"/>
      <c r="BD1242" s="135"/>
      <c r="BE1242" s="135"/>
      <c r="BF1242" s="135"/>
      <c r="BG1242" s="135"/>
      <c r="BH1242" s="135"/>
      <c r="BI1242" s="2" t="s">
        <v>112</v>
      </c>
      <c r="BJ1242" s="136"/>
      <c r="BK1242" s="2"/>
      <c r="BL1242" s="136" t="s">
        <v>18</v>
      </c>
      <c r="BM1242" s="136">
        <v>45901</v>
      </c>
      <c r="BN1242" s="2" t="s">
        <v>4120</v>
      </c>
      <c r="BO1242" s="2"/>
      <c r="BP1242" s="136" t="s">
        <v>4119</v>
      </c>
      <c r="BQ1242" s="137"/>
    </row>
    <row r="1243" spans="1:69" ht="12.75" customHeight="1" x14ac:dyDescent="0.2">
      <c r="A1243" s="2">
        <v>2732</v>
      </c>
      <c r="B1243" s="2" t="s">
        <v>54</v>
      </c>
      <c r="C1243" s="131" t="s">
        <v>96</v>
      </c>
      <c r="D1243" s="131" t="s">
        <v>4123</v>
      </c>
      <c r="E1243" s="2" t="s">
        <v>71</v>
      </c>
      <c r="F1243" s="132">
        <v>0</v>
      </c>
      <c r="G1243" s="132"/>
      <c r="H1243" s="132">
        <f t="shared" si="142"/>
        <v>0</v>
      </c>
      <c r="I1243" s="132"/>
      <c r="J1243" s="132">
        <f t="shared" si="140"/>
        <v>0</v>
      </c>
      <c r="K1243" s="132">
        <f t="shared" si="143"/>
        <v>0</v>
      </c>
      <c r="L1243" s="132">
        <f t="shared" si="145"/>
        <v>0</v>
      </c>
      <c r="M1243" s="133"/>
      <c r="N1243" s="133">
        <f t="shared" si="141"/>
        <v>0</v>
      </c>
      <c r="O1243" s="134">
        <v>1</v>
      </c>
      <c r="P1243" s="133"/>
      <c r="Q1243" s="2"/>
      <c r="R1243" s="156">
        <f t="shared" si="146"/>
        <v>0</v>
      </c>
      <c r="S1243" s="156">
        <f t="shared" si="147"/>
        <v>0</v>
      </c>
      <c r="T1243" s="133"/>
      <c r="U1243" s="133"/>
      <c r="V1243" s="133"/>
      <c r="W1243" s="133"/>
      <c r="X1243" s="133"/>
      <c r="Y1243" s="133"/>
      <c r="Z1243" s="133"/>
      <c r="AA1243" s="133"/>
      <c r="AB1243" s="133"/>
      <c r="AC1243" s="133"/>
      <c r="AD1243" s="133"/>
      <c r="AE1243" s="133"/>
      <c r="AF1243" s="133"/>
      <c r="AG1243" s="133"/>
      <c r="AH1243" s="133"/>
      <c r="AI1243" s="133"/>
      <c r="AJ1243" s="133"/>
      <c r="AK1243" s="133"/>
      <c r="AL1243" s="133"/>
      <c r="AM1243" s="133"/>
      <c r="AN1243" s="133"/>
      <c r="AO1243" s="133"/>
      <c r="AP1243" s="133"/>
      <c r="AQ1243" s="133"/>
      <c r="AR1243" s="133"/>
      <c r="AS1243" s="153">
        <v>0</v>
      </c>
      <c r="AT1243" s="153">
        <v>0</v>
      </c>
      <c r="AU1243" s="153">
        <v>0</v>
      </c>
      <c r="AV1243" s="135"/>
      <c r="AW1243" s="135"/>
      <c r="AX1243" s="135"/>
      <c r="AY1243" s="135"/>
      <c r="AZ1243" s="135"/>
      <c r="BA1243" s="135"/>
      <c r="BB1243" s="135"/>
      <c r="BC1243" s="135"/>
      <c r="BD1243" s="135"/>
      <c r="BE1243" s="135"/>
      <c r="BF1243" s="135"/>
      <c r="BG1243" s="135"/>
      <c r="BH1243" s="135"/>
      <c r="BI1243" s="2" t="s">
        <v>11</v>
      </c>
      <c r="BJ1243" s="136"/>
      <c r="BK1243" s="2"/>
      <c r="BL1243" s="136" t="s">
        <v>18</v>
      </c>
      <c r="BM1243" s="136">
        <v>45901</v>
      </c>
      <c r="BN1243" s="2" t="s">
        <v>4121</v>
      </c>
      <c r="BO1243" s="2"/>
      <c r="BP1243" s="136" t="s">
        <v>4119</v>
      </c>
      <c r="BQ1243" s="137"/>
    </row>
    <row r="1244" spans="1:69" ht="12.75" customHeight="1" x14ac:dyDescent="0.2">
      <c r="A1244" s="2">
        <v>2733</v>
      </c>
      <c r="B1244" s="2" t="s">
        <v>55</v>
      </c>
      <c r="C1244" s="2" t="s">
        <v>103</v>
      </c>
      <c r="D1244" s="2" t="s">
        <v>4127</v>
      </c>
      <c r="E1244" s="2" t="s">
        <v>117</v>
      </c>
      <c r="F1244" s="132">
        <v>0</v>
      </c>
      <c r="G1244" s="132"/>
      <c r="H1244" s="132">
        <f t="shared" si="142"/>
        <v>5356.75</v>
      </c>
      <c r="I1244" s="132"/>
      <c r="J1244" s="132">
        <f t="shared" si="140"/>
        <v>817.13</v>
      </c>
      <c r="K1244" s="132">
        <f t="shared" si="143"/>
        <v>-817.13</v>
      </c>
      <c r="L1244" s="132">
        <f t="shared" si="145"/>
        <v>4539.62</v>
      </c>
      <c r="M1244" s="133"/>
      <c r="N1244" s="133">
        <f t="shared" si="141"/>
        <v>4539.62</v>
      </c>
      <c r="O1244" s="134">
        <v>1</v>
      </c>
      <c r="P1244" s="133"/>
      <c r="Q1244" s="2" t="s">
        <v>4126</v>
      </c>
      <c r="R1244" s="156">
        <f t="shared" si="146"/>
        <v>5356.75</v>
      </c>
      <c r="S1244" s="156">
        <f t="shared" si="147"/>
        <v>817.13</v>
      </c>
      <c r="T1244" s="133"/>
      <c r="U1244" s="133"/>
      <c r="V1244" s="133"/>
      <c r="W1244" s="133"/>
      <c r="X1244" s="133"/>
      <c r="Y1244" s="133"/>
      <c r="Z1244" s="133"/>
      <c r="AA1244" s="133"/>
      <c r="AB1244" s="133"/>
      <c r="AC1244" s="133"/>
      <c r="AD1244" s="133"/>
      <c r="AE1244" s="133"/>
      <c r="AF1244" s="133"/>
      <c r="AG1244" s="133"/>
      <c r="AH1244" s="133"/>
      <c r="AI1244" s="133"/>
      <c r="AJ1244" s="133"/>
      <c r="AK1244" s="133"/>
      <c r="AL1244" s="133">
        <f>3061*1.75</f>
        <v>5356.75</v>
      </c>
      <c r="AM1244" s="133"/>
      <c r="AN1244" s="133"/>
      <c r="AO1244" s="133">
        <v>817.13</v>
      </c>
      <c r="AP1244" s="133"/>
      <c r="AQ1244" s="133"/>
      <c r="AR1244" s="133"/>
      <c r="AS1244" s="153">
        <v>0</v>
      </c>
      <c r="AT1244" s="153">
        <v>0</v>
      </c>
      <c r="AU1244" s="153">
        <v>0</v>
      </c>
      <c r="AV1244" s="135"/>
      <c r="AW1244" s="135"/>
      <c r="AX1244" s="135"/>
      <c r="AY1244" s="135"/>
      <c r="AZ1244" s="135"/>
      <c r="BA1244" s="135"/>
      <c r="BB1244" s="135"/>
      <c r="BC1244" s="135"/>
      <c r="BD1244" s="135"/>
      <c r="BE1244" s="135"/>
      <c r="BF1244" s="135"/>
      <c r="BG1244" s="135"/>
      <c r="BH1244" s="135"/>
      <c r="BI1244" s="2" t="s">
        <v>112</v>
      </c>
      <c r="BJ1244" s="136">
        <v>45940</v>
      </c>
      <c r="BK1244" s="2" t="s">
        <v>145</v>
      </c>
      <c r="BL1244" s="136" t="s">
        <v>18</v>
      </c>
      <c r="BM1244" s="136">
        <v>45925</v>
      </c>
      <c r="BN1244" s="2" t="s">
        <v>4125</v>
      </c>
      <c r="BO1244" s="2"/>
      <c r="BP1244" s="136"/>
      <c r="BQ1244" s="137"/>
    </row>
    <row r="1245" spans="1:69" ht="12.75" customHeight="1" x14ac:dyDescent="0.2">
      <c r="A1245" s="2">
        <v>2734</v>
      </c>
      <c r="B1245" s="2" t="s">
        <v>55</v>
      </c>
      <c r="C1245" s="2" t="s">
        <v>103</v>
      </c>
      <c r="D1245" s="2" t="s">
        <v>4128</v>
      </c>
      <c r="E1245" s="2" t="s">
        <v>87</v>
      </c>
      <c r="F1245" s="132">
        <v>0</v>
      </c>
      <c r="G1245" s="132"/>
      <c r="H1245" s="132">
        <f t="shared" si="142"/>
        <v>0</v>
      </c>
      <c r="I1245" s="132"/>
      <c r="J1245" s="132">
        <f t="shared" si="140"/>
        <v>0</v>
      </c>
      <c r="K1245" s="132">
        <f t="shared" si="143"/>
        <v>0</v>
      </c>
      <c r="L1245" s="132">
        <f t="shared" si="145"/>
        <v>0</v>
      </c>
      <c r="M1245" s="133"/>
      <c r="N1245" s="133">
        <f t="shared" si="141"/>
        <v>0</v>
      </c>
      <c r="O1245" s="134">
        <v>1</v>
      </c>
      <c r="P1245" s="133"/>
      <c r="Q1245" s="2" t="s">
        <v>4126</v>
      </c>
      <c r="R1245" s="156">
        <f t="shared" si="146"/>
        <v>0</v>
      </c>
      <c r="S1245" s="156">
        <f t="shared" si="147"/>
        <v>0</v>
      </c>
      <c r="T1245" s="133"/>
      <c r="U1245" s="133"/>
      <c r="V1245" s="133"/>
      <c r="W1245" s="133"/>
      <c r="X1245" s="133"/>
      <c r="Y1245" s="133"/>
      <c r="Z1245" s="133"/>
      <c r="AA1245" s="133"/>
      <c r="AB1245" s="133"/>
      <c r="AC1245" s="133"/>
      <c r="AD1245" s="133"/>
      <c r="AE1245" s="133"/>
      <c r="AF1245" s="133"/>
      <c r="AG1245" s="133"/>
      <c r="AH1245" s="133"/>
      <c r="AI1245" s="133"/>
      <c r="AJ1245" s="133"/>
      <c r="AK1245" s="133"/>
      <c r="AL1245" s="133"/>
      <c r="AM1245" s="133"/>
      <c r="AN1245" s="133"/>
      <c r="AO1245" s="133"/>
      <c r="AP1245" s="133"/>
      <c r="AQ1245" s="133"/>
      <c r="AR1245" s="133"/>
      <c r="AS1245" s="153">
        <v>0</v>
      </c>
      <c r="AT1245" s="153">
        <v>0</v>
      </c>
      <c r="AU1245" s="153">
        <v>0</v>
      </c>
      <c r="AV1245" s="135"/>
      <c r="AW1245" s="135"/>
      <c r="AX1245" s="135"/>
      <c r="AY1245" s="135"/>
      <c r="AZ1245" s="135"/>
      <c r="BA1245" s="135"/>
      <c r="BB1245" s="135"/>
      <c r="BC1245" s="135"/>
      <c r="BD1245" s="135"/>
      <c r="BE1245" s="135"/>
      <c r="BF1245" s="135"/>
      <c r="BG1245" s="135"/>
      <c r="BH1245" s="135"/>
      <c r="BI1245" s="2" t="s">
        <v>11</v>
      </c>
      <c r="BJ1245" s="136"/>
      <c r="BK1245" s="2"/>
      <c r="BL1245" s="136" t="s">
        <v>18</v>
      </c>
      <c r="BM1245" s="136">
        <v>45925</v>
      </c>
      <c r="BN1245" s="2" t="s">
        <v>4124</v>
      </c>
      <c r="BO1245" s="2"/>
      <c r="BP1245" s="136"/>
      <c r="BQ1245" s="137"/>
    </row>
    <row r="1246" spans="1:69" ht="12.75" customHeight="1" x14ac:dyDescent="0.2">
      <c r="A1246" s="2">
        <v>2735</v>
      </c>
      <c r="B1246" s="2" t="s">
        <v>44</v>
      </c>
      <c r="C1246" s="131" t="s">
        <v>45</v>
      </c>
      <c r="D1246" s="131" t="s">
        <v>4130</v>
      </c>
      <c r="E1246" s="2" t="s">
        <v>3635</v>
      </c>
      <c r="F1246" s="132">
        <v>0</v>
      </c>
      <c r="G1246" s="132"/>
      <c r="H1246" s="132">
        <f t="shared" si="142"/>
        <v>6500</v>
      </c>
      <c r="I1246" s="132"/>
      <c r="J1246" s="132">
        <f t="shared" si="140"/>
        <v>0</v>
      </c>
      <c r="K1246" s="132">
        <f t="shared" si="143"/>
        <v>0</v>
      </c>
      <c r="L1246" s="132">
        <f t="shared" si="145"/>
        <v>6500</v>
      </c>
      <c r="M1246" s="133"/>
      <c r="N1246" s="133">
        <f t="shared" si="141"/>
        <v>6500</v>
      </c>
      <c r="O1246" s="134">
        <v>1</v>
      </c>
      <c r="P1246" s="133"/>
      <c r="Q1246" s="2" t="s">
        <v>3823</v>
      </c>
      <c r="R1246" s="156">
        <f t="shared" si="146"/>
        <v>6500</v>
      </c>
      <c r="S1246" s="156">
        <f t="shared" si="147"/>
        <v>0</v>
      </c>
      <c r="T1246" s="133"/>
      <c r="U1246" s="133"/>
      <c r="V1246" s="133"/>
      <c r="W1246" s="133"/>
      <c r="X1246" s="133"/>
      <c r="Y1246" s="133"/>
      <c r="Z1246" s="133"/>
      <c r="AA1246" s="133"/>
      <c r="AB1246" s="133"/>
      <c r="AC1246" s="133"/>
      <c r="AD1246" s="133"/>
      <c r="AE1246" s="133"/>
      <c r="AF1246" s="133"/>
      <c r="AG1246" s="133"/>
      <c r="AH1246" s="133"/>
      <c r="AI1246" s="133"/>
      <c r="AJ1246" s="133"/>
      <c r="AK1246" s="133"/>
      <c r="AL1246" s="133"/>
      <c r="AM1246" s="133"/>
      <c r="AN1246" s="133">
        <v>6500</v>
      </c>
      <c r="AO1246" s="133"/>
      <c r="AP1246" s="133"/>
      <c r="AQ1246" s="133"/>
      <c r="AR1246" s="133"/>
      <c r="AS1246" s="153">
        <v>0</v>
      </c>
      <c r="AT1246" s="153">
        <v>0</v>
      </c>
      <c r="AU1246" s="153">
        <v>0</v>
      </c>
      <c r="AV1246" s="135"/>
      <c r="AW1246" s="135"/>
      <c r="AX1246" s="135"/>
      <c r="AY1246" s="135"/>
      <c r="AZ1246" s="135"/>
      <c r="BA1246" s="135"/>
      <c r="BB1246" s="135"/>
      <c r="BC1246" s="135"/>
      <c r="BD1246" s="135"/>
      <c r="BE1246" s="135"/>
      <c r="BF1246" s="135"/>
      <c r="BG1246" s="135"/>
      <c r="BH1246" s="135"/>
      <c r="BI1246" s="2" t="s">
        <v>3746</v>
      </c>
      <c r="BJ1246" s="136">
        <v>45971</v>
      </c>
      <c r="BK1246" s="2" t="s">
        <v>109</v>
      </c>
      <c r="BL1246" s="136" t="s">
        <v>113</v>
      </c>
      <c r="BM1246" s="136">
        <v>45635</v>
      </c>
      <c r="BN1246" s="2" t="s">
        <v>3641</v>
      </c>
      <c r="BO1246" s="2"/>
      <c r="BP1246" s="136"/>
      <c r="BQ1246" s="137" t="s">
        <v>119</v>
      </c>
    </row>
    <row r="1247" spans="1:69" ht="12.75" customHeight="1" x14ac:dyDescent="0.2">
      <c r="A1247" s="2">
        <v>2736</v>
      </c>
      <c r="B1247" s="2" t="s">
        <v>44</v>
      </c>
      <c r="C1247" s="131" t="s">
        <v>45</v>
      </c>
      <c r="D1247" s="131" t="s">
        <v>4131</v>
      </c>
      <c r="E1247" s="2" t="s">
        <v>3635</v>
      </c>
      <c r="F1247" s="132">
        <v>0</v>
      </c>
      <c r="G1247" s="132"/>
      <c r="H1247" s="132">
        <f t="shared" si="142"/>
        <v>22500</v>
      </c>
      <c r="I1247" s="132"/>
      <c r="J1247" s="132">
        <f t="shared" si="140"/>
        <v>0</v>
      </c>
      <c r="K1247" s="132">
        <f t="shared" si="143"/>
        <v>0</v>
      </c>
      <c r="L1247" s="132">
        <f t="shared" si="145"/>
        <v>22500</v>
      </c>
      <c r="M1247" s="133"/>
      <c r="N1247" s="133">
        <f t="shared" si="141"/>
        <v>22500</v>
      </c>
      <c r="O1247" s="134">
        <v>1</v>
      </c>
      <c r="P1247" s="133"/>
      <c r="Q1247" s="2" t="s">
        <v>3893</v>
      </c>
      <c r="R1247" s="156">
        <f t="shared" si="146"/>
        <v>22500</v>
      </c>
      <c r="S1247" s="156">
        <f t="shared" si="147"/>
        <v>0</v>
      </c>
      <c r="T1247" s="133"/>
      <c r="U1247" s="133"/>
      <c r="V1247" s="133"/>
      <c r="W1247" s="133"/>
      <c r="X1247" s="133"/>
      <c r="Y1247" s="133"/>
      <c r="Z1247" s="133"/>
      <c r="AA1247" s="133"/>
      <c r="AB1247" s="133"/>
      <c r="AC1247" s="133"/>
      <c r="AD1247" s="133"/>
      <c r="AE1247" s="133"/>
      <c r="AF1247" s="133"/>
      <c r="AG1247" s="133"/>
      <c r="AH1247" s="133"/>
      <c r="AI1247" s="133"/>
      <c r="AJ1247" s="133"/>
      <c r="AK1247" s="133"/>
      <c r="AL1247" s="133"/>
      <c r="AM1247" s="133"/>
      <c r="AN1247" s="133">
        <v>22500</v>
      </c>
      <c r="AO1247" s="133"/>
      <c r="AP1247" s="133"/>
      <c r="AQ1247" s="133"/>
      <c r="AR1247" s="133"/>
      <c r="AS1247" s="153">
        <v>0</v>
      </c>
      <c r="AT1247" s="153">
        <v>0</v>
      </c>
      <c r="AU1247" s="153">
        <v>0</v>
      </c>
      <c r="AV1247" s="135"/>
      <c r="AW1247" s="135"/>
      <c r="AX1247" s="135"/>
      <c r="AY1247" s="135"/>
      <c r="AZ1247" s="135"/>
      <c r="BA1247" s="135"/>
      <c r="BB1247" s="135"/>
      <c r="BC1247" s="135"/>
      <c r="BD1247" s="135"/>
      <c r="BE1247" s="135"/>
      <c r="BF1247" s="135"/>
      <c r="BG1247" s="135"/>
      <c r="BH1247" s="135"/>
      <c r="BI1247" s="2" t="s">
        <v>3746</v>
      </c>
      <c r="BJ1247" s="136">
        <v>45971</v>
      </c>
      <c r="BK1247" s="2" t="s">
        <v>109</v>
      </c>
      <c r="BL1247" s="136" t="s">
        <v>113</v>
      </c>
      <c r="BM1247" s="136">
        <v>45635</v>
      </c>
      <c r="BN1247" s="2" t="s">
        <v>3641</v>
      </c>
      <c r="BO1247" s="2"/>
      <c r="BP1247" s="136"/>
      <c r="BQ1247" s="137" t="s">
        <v>119</v>
      </c>
    </row>
    <row r="1248" spans="1:69" ht="12.75" customHeight="1" x14ac:dyDescent="0.2">
      <c r="A1248" s="2">
        <v>2737</v>
      </c>
      <c r="B1248" s="2" t="s">
        <v>108</v>
      </c>
      <c r="C1248" s="131" t="s">
        <v>40</v>
      </c>
      <c r="D1248" s="131" t="s">
        <v>4133</v>
      </c>
      <c r="E1248" s="2" t="s">
        <v>3635</v>
      </c>
      <c r="F1248" s="132">
        <v>0</v>
      </c>
      <c r="G1248" s="132"/>
      <c r="H1248" s="132">
        <f t="shared" si="142"/>
        <v>22000</v>
      </c>
      <c r="I1248" s="132"/>
      <c r="J1248" s="132">
        <f t="shared" si="140"/>
        <v>0</v>
      </c>
      <c r="K1248" s="132">
        <f t="shared" si="143"/>
        <v>0</v>
      </c>
      <c r="L1248" s="132">
        <f t="shared" si="145"/>
        <v>22000</v>
      </c>
      <c r="M1248" s="133"/>
      <c r="N1248" s="133">
        <f t="shared" si="141"/>
        <v>0</v>
      </c>
      <c r="O1248" s="134">
        <v>1</v>
      </c>
      <c r="P1248" s="133"/>
      <c r="Q1248" s="2" t="s">
        <v>2813</v>
      </c>
      <c r="R1248" s="156">
        <f t="shared" si="146"/>
        <v>22000</v>
      </c>
      <c r="S1248" s="156">
        <f t="shared" si="147"/>
        <v>0</v>
      </c>
      <c r="T1248" s="133"/>
      <c r="U1248" s="133"/>
      <c r="V1248" s="133"/>
      <c r="W1248" s="133"/>
      <c r="X1248" s="133"/>
      <c r="Y1248" s="133"/>
      <c r="Z1248" s="133"/>
      <c r="AA1248" s="133"/>
      <c r="AB1248" s="133"/>
      <c r="AC1248" s="133"/>
      <c r="AD1248" s="133"/>
      <c r="AE1248" s="133"/>
      <c r="AF1248" s="133"/>
      <c r="AG1248" s="133"/>
      <c r="AH1248" s="133"/>
      <c r="AI1248" s="133"/>
      <c r="AJ1248" s="133"/>
      <c r="AK1248" s="133"/>
      <c r="AL1248" s="133"/>
      <c r="AM1248" s="133"/>
      <c r="AN1248" s="133">
        <v>22000</v>
      </c>
      <c r="AO1248" s="133"/>
      <c r="AP1248" s="133"/>
      <c r="AQ1248" s="133"/>
      <c r="AR1248" s="133"/>
      <c r="AS1248" s="153">
        <v>0</v>
      </c>
      <c r="AT1248" s="153">
        <v>0</v>
      </c>
      <c r="AU1248" s="153">
        <v>0</v>
      </c>
      <c r="AV1248" s="135"/>
      <c r="AW1248" s="135"/>
      <c r="AX1248" s="135"/>
      <c r="AY1248" s="135"/>
      <c r="AZ1248" s="135"/>
      <c r="BA1248" s="135"/>
      <c r="BB1248" s="135"/>
      <c r="BC1248" s="135"/>
      <c r="BD1248" s="135"/>
      <c r="BE1248" s="135"/>
      <c r="BF1248" s="135"/>
      <c r="BG1248" s="135"/>
      <c r="BH1248" s="135"/>
      <c r="BI1248" s="2" t="s">
        <v>3773</v>
      </c>
      <c r="BJ1248" s="136"/>
      <c r="BK1248" s="2">
        <v>99</v>
      </c>
      <c r="BL1248" s="136" t="s">
        <v>113</v>
      </c>
      <c r="BM1248" s="136">
        <v>45597</v>
      </c>
      <c r="BN1248" s="2" t="s">
        <v>4132</v>
      </c>
      <c r="BO1248" s="2"/>
      <c r="BP1248" s="136"/>
      <c r="BQ1248" s="137" t="s">
        <v>119</v>
      </c>
    </row>
    <row r="1249" spans="1:69" ht="12.75" customHeight="1" x14ac:dyDescent="0.2">
      <c r="A1249" s="2">
        <v>2738</v>
      </c>
      <c r="B1249" s="2" t="s">
        <v>108</v>
      </c>
      <c r="C1249" s="131" t="s">
        <v>40</v>
      </c>
      <c r="D1249" s="131" t="s">
        <v>4134</v>
      </c>
      <c r="E1249" s="2" t="s">
        <v>3635</v>
      </c>
      <c r="F1249" s="132">
        <v>0</v>
      </c>
      <c r="G1249" s="132"/>
      <c r="H1249" s="132">
        <f t="shared" si="142"/>
        <v>8000</v>
      </c>
      <c r="I1249" s="132"/>
      <c r="J1249" s="132">
        <f t="shared" si="140"/>
        <v>0</v>
      </c>
      <c r="K1249" s="132">
        <f t="shared" si="143"/>
        <v>0</v>
      </c>
      <c r="L1249" s="132">
        <f t="shared" si="145"/>
        <v>8000</v>
      </c>
      <c r="M1249" s="133"/>
      <c r="N1249" s="133">
        <f t="shared" si="141"/>
        <v>0</v>
      </c>
      <c r="O1249" s="134">
        <v>1</v>
      </c>
      <c r="P1249" s="133"/>
      <c r="Q1249" s="2" t="s">
        <v>2813</v>
      </c>
      <c r="R1249" s="156">
        <f t="shared" si="146"/>
        <v>8000</v>
      </c>
      <c r="S1249" s="156">
        <f t="shared" si="147"/>
        <v>0</v>
      </c>
      <c r="T1249" s="133"/>
      <c r="U1249" s="133"/>
      <c r="V1249" s="133"/>
      <c r="W1249" s="133"/>
      <c r="X1249" s="133"/>
      <c r="Y1249" s="133"/>
      <c r="Z1249" s="133"/>
      <c r="AA1249" s="133"/>
      <c r="AB1249" s="133"/>
      <c r="AC1249" s="133"/>
      <c r="AD1249" s="133"/>
      <c r="AE1249" s="133"/>
      <c r="AF1249" s="133"/>
      <c r="AG1249" s="133"/>
      <c r="AH1249" s="133"/>
      <c r="AI1249" s="133"/>
      <c r="AJ1249" s="133"/>
      <c r="AK1249" s="133"/>
      <c r="AL1249" s="133"/>
      <c r="AM1249" s="133"/>
      <c r="AN1249" s="133">
        <v>8000</v>
      </c>
      <c r="AO1249" s="133"/>
      <c r="AP1249" s="133"/>
      <c r="AQ1249" s="133"/>
      <c r="AR1249" s="133"/>
      <c r="AS1249" s="153">
        <v>0</v>
      </c>
      <c r="AT1249" s="153">
        <v>0</v>
      </c>
      <c r="AU1249" s="153">
        <v>0</v>
      </c>
      <c r="AV1249" s="135"/>
      <c r="AW1249" s="135"/>
      <c r="AX1249" s="135"/>
      <c r="AY1249" s="135"/>
      <c r="AZ1249" s="135"/>
      <c r="BA1249" s="135"/>
      <c r="BB1249" s="135"/>
      <c r="BC1249" s="135"/>
      <c r="BD1249" s="135"/>
      <c r="BE1249" s="135"/>
      <c r="BF1249" s="135"/>
      <c r="BG1249" s="135"/>
      <c r="BH1249" s="135"/>
      <c r="BI1249" s="2" t="s">
        <v>3773</v>
      </c>
      <c r="BJ1249" s="136"/>
      <c r="BK1249" s="2">
        <v>99</v>
      </c>
      <c r="BL1249" s="136" t="s">
        <v>113</v>
      </c>
      <c r="BM1249" s="136">
        <v>45597</v>
      </c>
      <c r="BN1249" s="2" t="s">
        <v>4132</v>
      </c>
      <c r="BO1249" s="2"/>
      <c r="BP1249" s="136"/>
      <c r="BQ1249" s="137" t="s">
        <v>119</v>
      </c>
    </row>
    <row r="1250" spans="1:69" ht="12.75" customHeight="1" x14ac:dyDescent="0.2">
      <c r="A1250" s="2">
        <v>2739</v>
      </c>
      <c r="B1250" s="2" t="s">
        <v>108</v>
      </c>
      <c r="C1250" s="131" t="s">
        <v>40</v>
      </c>
      <c r="D1250" s="131" t="s">
        <v>4135</v>
      </c>
      <c r="E1250" s="2" t="s">
        <v>3635</v>
      </c>
      <c r="F1250" s="132">
        <v>0</v>
      </c>
      <c r="G1250" s="132"/>
      <c r="H1250" s="132">
        <f t="shared" si="142"/>
        <v>6000</v>
      </c>
      <c r="I1250" s="132"/>
      <c r="J1250" s="132">
        <f t="shared" si="140"/>
        <v>0</v>
      </c>
      <c r="K1250" s="132">
        <f t="shared" si="143"/>
        <v>0</v>
      </c>
      <c r="L1250" s="132">
        <f t="shared" si="145"/>
        <v>6000</v>
      </c>
      <c r="M1250" s="133"/>
      <c r="N1250" s="133">
        <f t="shared" si="141"/>
        <v>0</v>
      </c>
      <c r="O1250" s="134">
        <v>1</v>
      </c>
      <c r="P1250" s="133"/>
      <c r="Q1250" s="2" t="s">
        <v>2813</v>
      </c>
      <c r="R1250" s="156">
        <f t="shared" si="146"/>
        <v>6000</v>
      </c>
      <c r="S1250" s="156">
        <f t="shared" si="147"/>
        <v>0</v>
      </c>
      <c r="T1250" s="133"/>
      <c r="U1250" s="133"/>
      <c r="V1250" s="133"/>
      <c r="W1250" s="133"/>
      <c r="X1250" s="133"/>
      <c r="Y1250" s="133"/>
      <c r="Z1250" s="133"/>
      <c r="AA1250" s="133"/>
      <c r="AB1250" s="133"/>
      <c r="AC1250" s="133"/>
      <c r="AD1250" s="133"/>
      <c r="AE1250" s="133"/>
      <c r="AF1250" s="133"/>
      <c r="AG1250" s="133"/>
      <c r="AH1250" s="133"/>
      <c r="AI1250" s="133"/>
      <c r="AJ1250" s="133"/>
      <c r="AK1250" s="133"/>
      <c r="AL1250" s="133"/>
      <c r="AM1250" s="133"/>
      <c r="AN1250" s="133">
        <v>6000</v>
      </c>
      <c r="AO1250" s="133"/>
      <c r="AP1250" s="133"/>
      <c r="AQ1250" s="133"/>
      <c r="AR1250" s="133"/>
      <c r="AS1250" s="153">
        <v>0</v>
      </c>
      <c r="AT1250" s="153">
        <v>0</v>
      </c>
      <c r="AU1250" s="153">
        <v>0</v>
      </c>
      <c r="AV1250" s="135"/>
      <c r="AW1250" s="135"/>
      <c r="AX1250" s="135"/>
      <c r="AY1250" s="135"/>
      <c r="AZ1250" s="135"/>
      <c r="BA1250" s="135"/>
      <c r="BB1250" s="135"/>
      <c r="BC1250" s="135"/>
      <c r="BD1250" s="135"/>
      <c r="BE1250" s="135"/>
      <c r="BF1250" s="135"/>
      <c r="BG1250" s="135"/>
      <c r="BH1250" s="135"/>
      <c r="BI1250" s="2" t="s">
        <v>3773</v>
      </c>
      <c r="BJ1250" s="136"/>
      <c r="BK1250" s="2">
        <v>99</v>
      </c>
      <c r="BL1250" s="136" t="s">
        <v>113</v>
      </c>
      <c r="BM1250" s="136">
        <v>45597</v>
      </c>
      <c r="BN1250" s="2" t="s">
        <v>4132</v>
      </c>
      <c r="BO1250" s="2"/>
      <c r="BP1250" s="136"/>
      <c r="BQ1250" s="137" t="s">
        <v>119</v>
      </c>
    </row>
    <row r="1251" spans="1:69" ht="12.75" customHeight="1" x14ac:dyDescent="0.2">
      <c r="A1251" s="2">
        <v>2740</v>
      </c>
      <c r="B1251" s="2" t="s">
        <v>108</v>
      </c>
      <c r="C1251" s="131" t="s">
        <v>40</v>
      </c>
      <c r="D1251" s="131" t="s">
        <v>4136</v>
      </c>
      <c r="E1251" s="2" t="s">
        <v>3635</v>
      </c>
      <c r="F1251" s="132">
        <v>0</v>
      </c>
      <c r="G1251" s="132"/>
      <c r="H1251" s="132">
        <f t="shared" si="142"/>
        <v>6000</v>
      </c>
      <c r="I1251" s="132"/>
      <c r="J1251" s="132">
        <f t="shared" si="140"/>
        <v>0</v>
      </c>
      <c r="K1251" s="132">
        <f t="shared" si="143"/>
        <v>0</v>
      </c>
      <c r="L1251" s="132">
        <f t="shared" si="145"/>
        <v>6000</v>
      </c>
      <c r="M1251" s="133"/>
      <c r="N1251" s="133">
        <f t="shared" si="141"/>
        <v>0</v>
      </c>
      <c r="O1251" s="134">
        <v>1</v>
      </c>
      <c r="P1251" s="133"/>
      <c r="Q1251" s="2" t="s">
        <v>2813</v>
      </c>
      <c r="R1251" s="156">
        <f t="shared" si="146"/>
        <v>6000</v>
      </c>
      <c r="S1251" s="156">
        <f t="shared" si="147"/>
        <v>0</v>
      </c>
      <c r="T1251" s="133"/>
      <c r="U1251" s="133"/>
      <c r="V1251" s="133"/>
      <c r="W1251" s="133"/>
      <c r="X1251" s="133"/>
      <c r="Y1251" s="133"/>
      <c r="Z1251" s="133"/>
      <c r="AA1251" s="133"/>
      <c r="AB1251" s="133"/>
      <c r="AC1251" s="133"/>
      <c r="AD1251" s="133"/>
      <c r="AE1251" s="133"/>
      <c r="AF1251" s="133"/>
      <c r="AG1251" s="133"/>
      <c r="AH1251" s="133"/>
      <c r="AI1251" s="133"/>
      <c r="AJ1251" s="133"/>
      <c r="AK1251" s="133"/>
      <c r="AL1251" s="133"/>
      <c r="AM1251" s="133"/>
      <c r="AN1251" s="133">
        <v>6000</v>
      </c>
      <c r="AO1251" s="133"/>
      <c r="AP1251" s="133"/>
      <c r="AQ1251" s="133"/>
      <c r="AR1251" s="133"/>
      <c r="AS1251" s="153">
        <v>0</v>
      </c>
      <c r="AT1251" s="153">
        <v>0</v>
      </c>
      <c r="AU1251" s="153">
        <v>0</v>
      </c>
      <c r="AV1251" s="135"/>
      <c r="AW1251" s="135"/>
      <c r="AX1251" s="135"/>
      <c r="AY1251" s="135"/>
      <c r="AZ1251" s="135"/>
      <c r="BA1251" s="135"/>
      <c r="BB1251" s="135"/>
      <c r="BC1251" s="135"/>
      <c r="BD1251" s="135"/>
      <c r="BE1251" s="135"/>
      <c r="BF1251" s="135"/>
      <c r="BG1251" s="135"/>
      <c r="BH1251" s="135"/>
      <c r="BI1251" s="2" t="s">
        <v>3773</v>
      </c>
      <c r="BJ1251" s="136"/>
      <c r="BK1251" s="2">
        <v>99</v>
      </c>
      <c r="BL1251" s="136" t="s">
        <v>113</v>
      </c>
      <c r="BM1251" s="136">
        <v>45597</v>
      </c>
      <c r="BN1251" s="2" t="s">
        <v>4132</v>
      </c>
      <c r="BO1251" s="2"/>
      <c r="BP1251" s="136"/>
      <c r="BQ1251" s="137" t="s">
        <v>119</v>
      </c>
    </row>
    <row r="1252" spans="1:69" ht="12.75" customHeight="1" x14ac:dyDescent="0.2">
      <c r="A1252" s="2">
        <v>2741</v>
      </c>
      <c r="B1252" s="2" t="s">
        <v>108</v>
      </c>
      <c r="C1252" s="131" t="s">
        <v>40</v>
      </c>
      <c r="D1252" s="131" t="s">
        <v>4137</v>
      </c>
      <c r="E1252" s="2" t="s">
        <v>3635</v>
      </c>
      <c r="F1252" s="132">
        <v>0</v>
      </c>
      <c r="G1252" s="132"/>
      <c r="H1252" s="132">
        <f t="shared" si="142"/>
        <v>6000</v>
      </c>
      <c r="I1252" s="132"/>
      <c r="J1252" s="132">
        <f t="shared" ref="J1252:J1315" si="148">S1252</f>
        <v>0</v>
      </c>
      <c r="K1252" s="132">
        <f t="shared" si="143"/>
        <v>0</v>
      </c>
      <c r="L1252" s="132">
        <f t="shared" si="145"/>
        <v>6000</v>
      </c>
      <c r="M1252" s="133"/>
      <c r="N1252" s="133">
        <f t="shared" si="141"/>
        <v>0</v>
      </c>
      <c r="O1252" s="134">
        <v>1</v>
      </c>
      <c r="P1252" s="133"/>
      <c r="Q1252" s="2" t="s">
        <v>2813</v>
      </c>
      <c r="R1252" s="156">
        <f t="shared" si="146"/>
        <v>6000</v>
      </c>
      <c r="S1252" s="156">
        <f t="shared" si="147"/>
        <v>0</v>
      </c>
      <c r="T1252" s="133"/>
      <c r="U1252" s="133"/>
      <c r="V1252" s="133"/>
      <c r="W1252" s="133"/>
      <c r="X1252" s="133"/>
      <c r="Y1252" s="133"/>
      <c r="Z1252" s="133"/>
      <c r="AA1252" s="133"/>
      <c r="AB1252" s="133"/>
      <c r="AC1252" s="133"/>
      <c r="AD1252" s="133"/>
      <c r="AE1252" s="133"/>
      <c r="AF1252" s="133"/>
      <c r="AG1252" s="133"/>
      <c r="AH1252" s="133"/>
      <c r="AI1252" s="133"/>
      <c r="AJ1252" s="133"/>
      <c r="AK1252" s="133"/>
      <c r="AL1252" s="133"/>
      <c r="AM1252" s="133"/>
      <c r="AN1252" s="133">
        <v>6000</v>
      </c>
      <c r="AO1252" s="133"/>
      <c r="AP1252" s="133"/>
      <c r="AQ1252" s="133"/>
      <c r="AR1252" s="133"/>
      <c r="AS1252" s="153">
        <v>0</v>
      </c>
      <c r="AT1252" s="153">
        <v>0</v>
      </c>
      <c r="AU1252" s="153">
        <v>0</v>
      </c>
      <c r="AV1252" s="135"/>
      <c r="AW1252" s="135"/>
      <c r="AX1252" s="135"/>
      <c r="AY1252" s="135"/>
      <c r="AZ1252" s="135"/>
      <c r="BA1252" s="135"/>
      <c r="BB1252" s="135"/>
      <c r="BC1252" s="135"/>
      <c r="BD1252" s="135"/>
      <c r="BE1252" s="135"/>
      <c r="BF1252" s="135"/>
      <c r="BG1252" s="135"/>
      <c r="BH1252" s="135"/>
      <c r="BI1252" s="2" t="s">
        <v>3773</v>
      </c>
      <c r="BJ1252" s="136"/>
      <c r="BK1252" s="2">
        <v>99</v>
      </c>
      <c r="BL1252" s="136" t="s">
        <v>113</v>
      </c>
      <c r="BM1252" s="136">
        <v>45597</v>
      </c>
      <c r="BN1252" s="2" t="s">
        <v>4132</v>
      </c>
      <c r="BO1252" s="2"/>
      <c r="BP1252" s="136"/>
      <c r="BQ1252" s="137" t="s">
        <v>119</v>
      </c>
    </row>
    <row r="1253" spans="1:69" ht="12.75" customHeight="1" x14ac:dyDescent="0.2">
      <c r="A1253" s="2">
        <v>2742</v>
      </c>
      <c r="B1253" s="2" t="s">
        <v>108</v>
      </c>
      <c r="C1253" s="131" t="s">
        <v>40</v>
      </c>
      <c r="D1253" s="131" t="s">
        <v>4138</v>
      </c>
      <c r="E1253" s="2" t="s">
        <v>3635</v>
      </c>
      <c r="F1253" s="132">
        <v>0</v>
      </c>
      <c r="G1253" s="132"/>
      <c r="H1253" s="132">
        <f t="shared" si="142"/>
        <v>6000</v>
      </c>
      <c r="I1253" s="132"/>
      <c r="J1253" s="132">
        <f t="shared" si="148"/>
        <v>0</v>
      </c>
      <c r="K1253" s="132">
        <f t="shared" si="143"/>
        <v>0</v>
      </c>
      <c r="L1253" s="132">
        <f t="shared" si="145"/>
        <v>6000</v>
      </c>
      <c r="M1253" s="133"/>
      <c r="N1253" s="133">
        <f t="shared" si="141"/>
        <v>0</v>
      </c>
      <c r="O1253" s="134">
        <v>1</v>
      </c>
      <c r="P1253" s="133"/>
      <c r="Q1253" s="2" t="s">
        <v>2813</v>
      </c>
      <c r="R1253" s="156">
        <f t="shared" si="146"/>
        <v>6000</v>
      </c>
      <c r="S1253" s="156">
        <f t="shared" si="147"/>
        <v>0</v>
      </c>
      <c r="T1253" s="133"/>
      <c r="U1253" s="133"/>
      <c r="V1253" s="133"/>
      <c r="W1253" s="133"/>
      <c r="X1253" s="133"/>
      <c r="Y1253" s="133"/>
      <c r="Z1253" s="133"/>
      <c r="AA1253" s="133"/>
      <c r="AB1253" s="133"/>
      <c r="AC1253" s="133"/>
      <c r="AD1253" s="133"/>
      <c r="AE1253" s="133"/>
      <c r="AF1253" s="133"/>
      <c r="AG1253" s="133"/>
      <c r="AH1253" s="133"/>
      <c r="AI1253" s="133"/>
      <c r="AJ1253" s="133"/>
      <c r="AK1253" s="133"/>
      <c r="AL1253" s="133"/>
      <c r="AM1253" s="133"/>
      <c r="AN1253" s="133">
        <v>6000</v>
      </c>
      <c r="AO1253" s="133"/>
      <c r="AP1253" s="133"/>
      <c r="AQ1253" s="133"/>
      <c r="AR1253" s="133"/>
      <c r="AS1253" s="153">
        <v>0</v>
      </c>
      <c r="AT1253" s="153">
        <v>0</v>
      </c>
      <c r="AU1253" s="153">
        <v>0</v>
      </c>
      <c r="AV1253" s="135"/>
      <c r="AW1253" s="135"/>
      <c r="AX1253" s="135"/>
      <c r="AY1253" s="135"/>
      <c r="AZ1253" s="135"/>
      <c r="BA1253" s="135"/>
      <c r="BB1253" s="135"/>
      <c r="BC1253" s="135"/>
      <c r="BD1253" s="135"/>
      <c r="BE1253" s="135"/>
      <c r="BF1253" s="135"/>
      <c r="BG1253" s="135"/>
      <c r="BH1253" s="135"/>
      <c r="BI1253" s="2" t="s">
        <v>3773</v>
      </c>
      <c r="BJ1253" s="136"/>
      <c r="BK1253" s="2">
        <v>99</v>
      </c>
      <c r="BL1253" s="136" t="s">
        <v>113</v>
      </c>
      <c r="BM1253" s="136">
        <v>45597</v>
      </c>
      <c r="BN1253" s="2" t="s">
        <v>4132</v>
      </c>
      <c r="BO1253" s="2"/>
      <c r="BP1253" s="136"/>
      <c r="BQ1253" s="137" t="s">
        <v>119</v>
      </c>
    </row>
    <row r="1254" spans="1:69" ht="12.75" customHeight="1" x14ac:dyDescent="0.2">
      <c r="A1254" s="2">
        <v>2743</v>
      </c>
      <c r="B1254" s="2" t="s">
        <v>108</v>
      </c>
      <c r="C1254" s="131" t="s">
        <v>43</v>
      </c>
      <c r="D1254" s="131" t="s">
        <v>4141</v>
      </c>
      <c r="E1254" s="2" t="s">
        <v>3635</v>
      </c>
      <c r="F1254" s="132">
        <v>0</v>
      </c>
      <c r="G1254" s="132"/>
      <c r="H1254" s="132">
        <f t="shared" si="142"/>
        <v>115000</v>
      </c>
      <c r="I1254" s="132"/>
      <c r="J1254" s="132">
        <f t="shared" si="148"/>
        <v>0</v>
      </c>
      <c r="K1254" s="132">
        <f t="shared" si="143"/>
        <v>0</v>
      </c>
      <c r="L1254" s="132">
        <f t="shared" si="145"/>
        <v>115000</v>
      </c>
      <c r="M1254" s="133"/>
      <c r="N1254" s="133">
        <f t="shared" si="141"/>
        <v>0</v>
      </c>
      <c r="O1254" s="134">
        <v>1</v>
      </c>
      <c r="P1254" s="133"/>
      <c r="Q1254" s="2" t="s">
        <v>4140</v>
      </c>
      <c r="R1254" s="156">
        <f t="shared" si="146"/>
        <v>115000</v>
      </c>
      <c r="S1254" s="156">
        <f t="shared" si="147"/>
        <v>0</v>
      </c>
      <c r="T1254" s="133"/>
      <c r="U1254" s="133"/>
      <c r="V1254" s="133"/>
      <c r="W1254" s="133"/>
      <c r="X1254" s="133"/>
      <c r="Y1254" s="133"/>
      <c r="Z1254" s="133"/>
      <c r="AA1254" s="133"/>
      <c r="AB1254" s="133"/>
      <c r="AC1254" s="133"/>
      <c r="AD1254" s="133"/>
      <c r="AE1254" s="133"/>
      <c r="AF1254" s="133"/>
      <c r="AG1254" s="133"/>
      <c r="AH1254" s="133"/>
      <c r="AI1254" s="133"/>
      <c r="AJ1254" s="133"/>
      <c r="AK1254" s="133"/>
      <c r="AL1254" s="133"/>
      <c r="AM1254" s="133"/>
      <c r="AN1254" s="133">
        <v>115000</v>
      </c>
      <c r="AO1254" s="133"/>
      <c r="AP1254" s="133"/>
      <c r="AQ1254" s="133"/>
      <c r="AR1254" s="133"/>
      <c r="AS1254" s="153">
        <v>0</v>
      </c>
      <c r="AT1254" s="153">
        <v>0</v>
      </c>
      <c r="AU1254" s="153">
        <v>0</v>
      </c>
      <c r="AV1254" s="135"/>
      <c r="AW1254" s="135"/>
      <c r="AX1254" s="135"/>
      <c r="AY1254" s="135"/>
      <c r="AZ1254" s="135"/>
      <c r="BA1254" s="135"/>
      <c r="BB1254" s="135"/>
      <c r="BC1254" s="135"/>
      <c r="BD1254" s="135"/>
      <c r="BE1254" s="135"/>
      <c r="BF1254" s="135"/>
      <c r="BG1254" s="135"/>
      <c r="BH1254" s="135"/>
      <c r="BI1254" s="2" t="s">
        <v>3773</v>
      </c>
      <c r="BJ1254" s="136"/>
      <c r="BK1254" s="2">
        <v>99</v>
      </c>
      <c r="BL1254" s="136" t="s">
        <v>113</v>
      </c>
      <c r="BM1254" s="136">
        <v>45597</v>
      </c>
      <c r="BN1254" s="2" t="s">
        <v>4139</v>
      </c>
      <c r="BO1254" s="2"/>
      <c r="BP1254" s="136"/>
      <c r="BQ1254" s="137" t="s">
        <v>119</v>
      </c>
    </row>
    <row r="1255" spans="1:69" ht="12.75" customHeight="1" x14ac:dyDescent="0.2">
      <c r="A1255" s="2">
        <v>2744</v>
      </c>
      <c r="B1255" s="2" t="s">
        <v>108</v>
      </c>
      <c r="C1255" s="131" t="s">
        <v>43</v>
      </c>
      <c r="D1255" s="131" t="s">
        <v>4144</v>
      </c>
      <c r="E1255" s="2" t="s">
        <v>3635</v>
      </c>
      <c r="F1255" s="132">
        <v>0</v>
      </c>
      <c r="G1255" s="132"/>
      <c r="H1255" s="132">
        <f t="shared" si="142"/>
        <v>185000</v>
      </c>
      <c r="I1255" s="132"/>
      <c r="J1255" s="132">
        <f t="shared" si="148"/>
        <v>0</v>
      </c>
      <c r="K1255" s="132">
        <f t="shared" si="143"/>
        <v>0</v>
      </c>
      <c r="L1255" s="132">
        <f t="shared" si="145"/>
        <v>185000</v>
      </c>
      <c r="M1255" s="133"/>
      <c r="N1255" s="133">
        <f t="shared" si="141"/>
        <v>0</v>
      </c>
      <c r="O1255" s="134">
        <v>1</v>
      </c>
      <c r="P1255" s="133"/>
      <c r="Q1255" s="2" t="s">
        <v>4143</v>
      </c>
      <c r="R1255" s="156">
        <f t="shared" si="146"/>
        <v>185000</v>
      </c>
      <c r="S1255" s="156">
        <f t="shared" si="147"/>
        <v>0</v>
      </c>
      <c r="T1255" s="133"/>
      <c r="U1255" s="133"/>
      <c r="V1255" s="133"/>
      <c r="W1255" s="133"/>
      <c r="X1255" s="133"/>
      <c r="Y1255" s="133"/>
      <c r="Z1255" s="133"/>
      <c r="AA1255" s="133"/>
      <c r="AB1255" s="133"/>
      <c r="AC1255" s="133"/>
      <c r="AD1255" s="133"/>
      <c r="AE1255" s="133"/>
      <c r="AF1255" s="133"/>
      <c r="AG1255" s="133"/>
      <c r="AH1255" s="133"/>
      <c r="AI1255" s="133"/>
      <c r="AJ1255" s="133"/>
      <c r="AK1255" s="133"/>
      <c r="AL1255" s="133"/>
      <c r="AM1255" s="133"/>
      <c r="AN1255" s="133">
        <v>185000</v>
      </c>
      <c r="AO1255" s="133"/>
      <c r="AP1255" s="133"/>
      <c r="AQ1255" s="133"/>
      <c r="AR1255" s="133"/>
      <c r="AS1255" s="153">
        <v>0</v>
      </c>
      <c r="AT1255" s="153">
        <v>0</v>
      </c>
      <c r="AU1255" s="153">
        <v>0</v>
      </c>
      <c r="AV1255" s="135"/>
      <c r="AW1255" s="135"/>
      <c r="AX1255" s="135"/>
      <c r="AY1255" s="135"/>
      <c r="AZ1255" s="135"/>
      <c r="BA1255" s="135"/>
      <c r="BB1255" s="135"/>
      <c r="BC1255" s="135"/>
      <c r="BD1255" s="135"/>
      <c r="BE1255" s="135"/>
      <c r="BF1255" s="135"/>
      <c r="BG1255" s="135"/>
      <c r="BH1255" s="135"/>
      <c r="BI1255" s="2" t="s">
        <v>3773</v>
      </c>
      <c r="BJ1255" s="136"/>
      <c r="BK1255" s="2">
        <v>99</v>
      </c>
      <c r="BL1255" s="136" t="s">
        <v>113</v>
      </c>
      <c r="BM1255" s="136">
        <v>45597</v>
      </c>
      <c r="BN1255" s="2" t="s">
        <v>4142</v>
      </c>
      <c r="BO1255" s="2"/>
      <c r="BP1255" s="136"/>
      <c r="BQ1255" s="137" t="s">
        <v>119</v>
      </c>
    </row>
    <row r="1256" spans="1:69" ht="12.75" customHeight="1" x14ac:dyDescent="0.2">
      <c r="A1256" s="2">
        <v>2745</v>
      </c>
      <c r="B1256" s="2"/>
      <c r="C1256" s="131"/>
      <c r="D1256" s="131"/>
      <c r="E1256" s="2"/>
      <c r="F1256" s="132">
        <v>0</v>
      </c>
      <c r="G1256" s="132"/>
      <c r="H1256" s="132">
        <f t="shared" si="142"/>
        <v>0</v>
      </c>
      <c r="I1256" s="132"/>
      <c r="J1256" s="132">
        <f t="shared" si="148"/>
        <v>0</v>
      </c>
      <c r="K1256" s="132">
        <f t="shared" si="143"/>
        <v>0</v>
      </c>
      <c r="L1256" s="132">
        <f t="shared" si="145"/>
        <v>0</v>
      </c>
      <c r="M1256" s="133"/>
      <c r="N1256" s="133">
        <f t="shared" si="141"/>
        <v>0</v>
      </c>
      <c r="O1256" s="134"/>
      <c r="P1256" s="133"/>
      <c r="Q1256" s="2"/>
      <c r="R1256" s="156">
        <f t="shared" si="146"/>
        <v>0</v>
      </c>
      <c r="S1256" s="156">
        <f t="shared" si="147"/>
        <v>0</v>
      </c>
      <c r="T1256" s="133"/>
      <c r="U1256" s="133"/>
      <c r="V1256" s="133"/>
      <c r="W1256" s="133"/>
      <c r="X1256" s="133"/>
      <c r="Y1256" s="133"/>
      <c r="Z1256" s="133"/>
      <c r="AA1256" s="133"/>
      <c r="AB1256" s="133"/>
      <c r="AC1256" s="133"/>
      <c r="AD1256" s="133"/>
      <c r="AE1256" s="133"/>
      <c r="AF1256" s="133"/>
      <c r="AG1256" s="133"/>
      <c r="AH1256" s="133"/>
      <c r="AI1256" s="133"/>
      <c r="AJ1256" s="133"/>
      <c r="AK1256" s="133"/>
      <c r="AL1256" s="133"/>
      <c r="AM1256" s="133"/>
      <c r="AN1256" s="133"/>
      <c r="AO1256" s="133"/>
      <c r="AP1256" s="133"/>
      <c r="AQ1256" s="133"/>
      <c r="AR1256" s="133"/>
      <c r="AS1256" s="153">
        <v>0</v>
      </c>
      <c r="AT1256" s="153">
        <v>0</v>
      </c>
      <c r="AU1256" s="153">
        <v>0</v>
      </c>
      <c r="AV1256" s="135"/>
      <c r="AW1256" s="135"/>
      <c r="AX1256" s="135"/>
      <c r="AY1256" s="135"/>
      <c r="AZ1256" s="135"/>
      <c r="BA1256" s="135"/>
      <c r="BB1256" s="135"/>
      <c r="BC1256" s="135"/>
      <c r="BD1256" s="135"/>
      <c r="BE1256" s="135"/>
      <c r="BF1256" s="135"/>
      <c r="BG1256" s="135"/>
      <c r="BH1256" s="135"/>
      <c r="BI1256" s="2"/>
      <c r="BJ1256" s="136"/>
      <c r="BK1256" s="2"/>
      <c r="BL1256" s="136"/>
      <c r="BM1256" s="136"/>
      <c r="BN1256" s="2"/>
      <c r="BO1256" s="2"/>
      <c r="BP1256" s="136"/>
      <c r="BQ1256" s="137"/>
    </row>
    <row r="1257" spans="1:69" ht="12.75" customHeight="1" x14ac:dyDescent="0.2">
      <c r="A1257" s="2">
        <v>2746</v>
      </c>
      <c r="B1257" s="2"/>
      <c r="C1257" s="131"/>
      <c r="D1257" s="131"/>
      <c r="E1257" s="2"/>
      <c r="F1257" s="132">
        <v>0</v>
      </c>
      <c r="G1257" s="132"/>
      <c r="H1257" s="132">
        <f t="shared" si="142"/>
        <v>0</v>
      </c>
      <c r="I1257" s="132"/>
      <c r="J1257" s="132">
        <f t="shared" si="148"/>
        <v>0</v>
      </c>
      <c r="K1257" s="132">
        <f t="shared" si="143"/>
        <v>0</v>
      </c>
      <c r="L1257" s="132">
        <f t="shared" si="145"/>
        <v>0</v>
      </c>
      <c r="M1257" s="133"/>
      <c r="N1257" s="133">
        <f t="shared" si="141"/>
        <v>0</v>
      </c>
      <c r="O1257" s="134"/>
      <c r="P1257" s="133"/>
      <c r="Q1257" s="2"/>
      <c r="R1257" s="156">
        <f t="shared" si="146"/>
        <v>0</v>
      </c>
      <c r="S1257" s="156">
        <f t="shared" si="147"/>
        <v>0</v>
      </c>
      <c r="T1257" s="133"/>
      <c r="U1257" s="133"/>
      <c r="V1257" s="133"/>
      <c r="W1257" s="133"/>
      <c r="X1257" s="133"/>
      <c r="Y1257" s="133"/>
      <c r="Z1257" s="133"/>
      <c r="AA1257" s="133"/>
      <c r="AB1257" s="133"/>
      <c r="AC1257" s="133"/>
      <c r="AD1257" s="133"/>
      <c r="AE1257" s="133"/>
      <c r="AF1257" s="133"/>
      <c r="AG1257" s="133"/>
      <c r="AH1257" s="133"/>
      <c r="AI1257" s="133"/>
      <c r="AJ1257" s="133"/>
      <c r="AK1257" s="133"/>
      <c r="AL1257" s="133"/>
      <c r="AM1257" s="133"/>
      <c r="AN1257" s="133"/>
      <c r="AO1257" s="133"/>
      <c r="AP1257" s="133"/>
      <c r="AQ1257" s="133"/>
      <c r="AR1257" s="133"/>
      <c r="AS1257" s="153">
        <v>0</v>
      </c>
      <c r="AT1257" s="153">
        <v>0</v>
      </c>
      <c r="AU1257" s="153">
        <v>0</v>
      </c>
      <c r="AV1257" s="135"/>
      <c r="AW1257" s="135"/>
      <c r="AX1257" s="135"/>
      <c r="AY1257" s="135"/>
      <c r="AZ1257" s="135"/>
      <c r="BA1257" s="135"/>
      <c r="BB1257" s="135"/>
      <c r="BC1257" s="135"/>
      <c r="BD1257" s="135"/>
      <c r="BE1257" s="135"/>
      <c r="BF1257" s="135"/>
      <c r="BG1257" s="135"/>
      <c r="BH1257" s="135"/>
      <c r="BI1257" s="2"/>
      <c r="BJ1257" s="136"/>
      <c r="BK1257" s="2"/>
      <c r="BL1257" s="136"/>
      <c r="BM1257" s="136"/>
      <c r="BN1257" s="2"/>
      <c r="BO1257" s="2"/>
      <c r="BP1257" s="136"/>
      <c r="BQ1257" s="137"/>
    </row>
    <row r="1258" spans="1:69" ht="12.75" customHeight="1" x14ac:dyDescent="0.2">
      <c r="A1258" s="2">
        <v>2747</v>
      </c>
      <c r="B1258" s="2"/>
      <c r="C1258" s="131"/>
      <c r="D1258" s="131"/>
      <c r="E1258" s="2"/>
      <c r="F1258" s="132">
        <v>0</v>
      </c>
      <c r="G1258" s="132"/>
      <c r="H1258" s="132">
        <f t="shared" si="142"/>
        <v>0</v>
      </c>
      <c r="I1258" s="132"/>
      <c r="J1258" s="132">
        <f t="shared" si="148"/>
        <v>0</v>
      </c>
      <c r="K1258" s="132">
        <f t="shared" si="143"/>
        <v>0</v>
      </c>
      <c r="L1258" s="132">
        <f t="shared" si="145"/>
        <v>0</v>
      </c>
      <c r="M1258" s="133"/>
      <c r="N1258" s="133">
        <f t="shared" ref="N1258:N1321" si="149">IF(OR(BK1258="принят",BK1258="Завершено",BK1258="ПриПро"),H1258-J1258,F1258-J1258)</f>
        <v>0</v>
      </c>
      <c r="O1258" s="134"/>
      <c r="P1258" s="133"/>
      <c r="Q1258" s="2"/>
      <c r="R1258" s="156">
        <f t="shared" si="146"/>
        <v>0</v>
      </c>
      <c r="S1258" s="156">
        <f t="shared" si="147"/>
        <v>0</v>
      </c>
      <c r="T1258" s="133"/>
      <c r="U1258" s="133"/>
      <c r="V1258" s="133"/>
      <c r="W1258" s="133"/>
      <c r="X1258" s="133"/>
      <c r="Y1258" s="133"/>
      <c r="Z1258" s="133"/>
      <c r="AA1258" s="133"/>
      <c r="AB1258" s="133"/>
      <c r="AC1258" s="133"/>
      <c r="AD1258" s="133"/>
      <c r="AE1258" s="133"/>
      <c r="AF1258" s="133"/>
      <c r="AG1258" s="133"/>
      <c r="AH1258" s="133"/>
      <c r="AI1258" s="133"/>
      <c r="AJ1258" s="133"/>
      <c r="AK1258" s="133"/>
      <c r="AL1258" s="133"/>
      <c r="AM1258" s="133"/>
      <c r="AN1258" s="133"/>
      <c r="AO1258" s="133"/>
      <c r="AP1258" s="133"/>
      <c r="AQ1258" s="133"/>
      <c r="AR1258" s="133"/>
      <c r="AS1258" s="153">
        <v>0</v>
      </c>
      <c r="AT1258" s="153">
        <v>0</v>
      </c>
      <c r="AU1258" s="153">
        <v>0</v>
      </c>
      <c r="AV1258" s="135"/>
      <c r="AW1258" s="135"/>
      <c r="AX1258" s="135"/>
      <c r="AY1258" s="135"/>
      <c r="AZ1258" s="135"/>
      <c r="BA1258" s="135"/>
      <c r="BB1258" s="135"/>
      <c r="BC1258" s="135"/>
      <c r="BD1258" s="135"/>
      <c r="BE1258" s="135"/>
      <c r="BF1258" s="135"/>
      <c r="BG1258" s="135"/>
      <c r="BH1258" s="135"/>
      <c r="BI1258" s="2"/>
      <c r="BJ1258" s="136"/>
      <c r="BK1258" s="2"/>
      <c r="BL1258" s="136"/>
      <c r="BM1258" s="136"/>
      <c r="BN1258" s="2"/>
      <c r="BO1258" s="2"/>
      <c r="BP1258" s="136"/>
      <c r="BQ1258" s="137"/>
    </row>
    <row r="1259" spans="1:69" ht="12.75" customHeight="1" x14ac:dyDescent="0.2">
      <c r="A1259" s="2">
        <v>2748</v>
      </c>
      <c r="B1259" s="2"/>
      <c r="C1259" s="131"/>
      <c r="D1259" s="131"/>
      <c r="E1259" s="2"/>
      <c r="F1259" s="132">
        <v>0</v>
      </c>
      <c r="G1259" s="132"/>
      <c r="H1259" s="132">
        <f t="shared" si="142"/>
        <v>0</v>
      </c>
      <c r="I1259" s="132"/>
      <c r="J1259" s="132">
        <f t="shared" si="148"/>
        <v>0</v>
      </c>
      <c r="K1259" s="132">
        <f t="shared" si="143"/>
        <v>0</v>
      </c>
      <c r="L1259" s="132">
        <f t="shared" si="145"/>
        <v>0</v>
      </c>
      <c r="M1259" s="133"/>
      <c r="N1259" s="133">
        <f t="shared" si="149"/>
        <v>0</v>
      </c>
      <c r="O1259" s="134"/>
      <c r="P1259" s="133"/>
      <c r="Q1259" s="2"/>
      <c r="R1259" s="156">
        <f t="shared" si="146"/>
        <v>0</v>
      </c>
      <c r="S1259" s="156">
        <f t="shared" si="147"/>
        <v>0</v>
      </c>
      <c r="T1259" s="133"/>
      <c r="U1259" s="133"/>
      <c r="V1259" s="133"/>
      <c r="W1259" s="133"/>
      <c r="X1259" s="133"/>
      <c r="Y1259" s="133"/>
      <c r="Z1259" s="133"/>
      <c r="AA1259" s="133"/>
      <c r="AB1259" s="133"/>
      <c r="AC1259" s="133"/>
      <c r="AD1259" s="133"/>
      <c r="AE1259" s="133"/>
      <c r="AF1259" s="133"/>
      <c r="AG1259" s="133"/>
      <c r="AH1259" s="133"/>
      <c r="AI1259" s="133"/>
      <c r="AJ1259" s="133"/>
      <c r="AK1259" s="133"/>
      <c r="AL1259" s="133"/>
      <c r="AM1259" s="133"/>
      <c r="AN1259" s="133"/>
      <c r="AO1259" s="133"/>
      <c r="AP1259" s="133"/>
      <c r="AQ1259" s="133"/>
      <c r="AR1259" s="133"/>
      <c r="AS1259" s="153">
        <v>0</v>
      </c>
      <c r="AT1259" s="153">
        <v>0</v>
      </c>
      <c r="AU1259" s="153">
        <v>0</v>
      </c>
      <c r="AV1259" s="135"/>
      <c r="AW1259" s="135"/>
      <c r="AX1259" s="135"/>
      <c r="AY1259" s="135"/>
      <c r="AZ1259" s="135"/>
      <c r="BA1259" s="135"/>
      <c r="BB1259" s="135"/>
      <c r="BC1259" s="135"/>
      <c r="BD1259" s="135"/>
      <c r="BE1259" s="135"/>
      <c r="BF1259" s="135"/>
      <c r="BG1259" s="135"/>
      <c r="BH1259" s="135"/>
      <c r="BI1259" s="2"/>
      <c r="BJ1259" s="136"/>
      <c r="BK1259" s="2"/>
      <c r="BL1259" s="136"/>
      <c r="BM1259" s="136"/>
      <c r="BN1259" s="2"/>
      <c r="BO1259" s="2"/>
      <c r="BP1259" s="136"/>
      <c r="BQ1259" s="137"/>
    </row>
    <row r="1260" spans="1:69" ht="12.75" customHeight="1" x14ac:dyDescent="0.2">
      <c r="A1260" s="2">
        <v>2749</v>
      </c>
      <c r="B1260" s="2"/>
      <c r="C1260" s="131"/>
      <c r="D1260" s="131"/>
      <c r="E1260" s="2"/>
      <c r="F1260" s="132">
        <v>0</v>
      </c>
      <c r="G1260" s="132"/>
      <c r="H1260" s="132">
        <f t="shared" si="142"/>
        <v>0</v>
      </c>
      <c r="I1260" s="132"/>
      <c r="J1260" s="132">
        <f t="shared" si="148"/>
        <v>0</v>
      </c>
      <c r="K1260" s="132">
        <f t="shared" si="143"/>
        <v>0</v>
      </c>
      <c r="L1260" s="132">
        <f t="shared" si="145"/>
        <v>0</v>
      </c>
      <c r="M1260" s="133"/>
      <c r="N1260" s="133">
        <f t="shared" si="149"/>
        <v>0</v>
      </c>
      <c r="O1260" s="134"/>
      <c r="P1260" s="133"/>
      <c r="Q1260" s="2"/>
      <c r="R1260" s="156">
        <f t="shared" si="146"/>
        <v>0</v>
      </c>
      <c r="S1260" s="156">
        <f t="shared" si="147"/>
        <v>0</v>
      </c>
      <c r="T1260" s="133"/>
      <c r="U1260" s="133"/>
      <c r="V1260" s="133"/>
      <c r="W1260" s="133"/>
      <c r="X1260" s="133"/>
      <c r="Y1260" s="133"/>
      <c r="Z1260" s="133"/>
      <c r="AA1260" s="133"/>
      <c r="AB1260" s="133"/>
      <c r="AC1260" s="133"/>
      <c r="AD1260" s="133"/>
      <c r="AE1260" s="133"/>
      <c r="AF1260" s="133"/>
      <c r="AG1260" s="133"/>
      <c r="AH1260" s="133"/>
      <c r="AI1260" s="133"/>
      <c r="AJ1260" s="133"/>
      <c r="AK1260" s="133"/>
      <c r="AL1260" s="133"/>
      <c r="AM1260" s="133"/>
      <c r="AN1260" s="133"/>
      <c r="AO1260" s="133"/>
      <c r="AP1260" s="133"/>
      <c r="AQ1260" s="133"/>
      <c r="AR1260" s="133"/>
      <c r="AS1260" s="153">
        <v>0</v>
      </c>
      <c r="AT1260" s="153">
        <v>0</v>
      </c>
      <c r="AU1260" s="153">
        <v>0</v>
      </c>
      <c r="AV1260" s="135"/>
      <c r="AW1260" s="135"/>
      <c r="AX1260" s="135"/>
      <c r="AY1260" s="135"/>
      <c r="AZ1260" s="135"/>
      <c r="BA1260" s="135"/>
      <c r="BB1260" s="135"/>
      <c r="BC1260" s="135"/>
      <c r="BD1260" s="135"/>
      <c r="BE1260" s="135"/>
      <c r="BF1260" s="135"/>
      <c r="BG1260" s="135"/>
      <c r="BH1260" s="135"/>
      <c r="BI1260" s="2"/>
      <c r="BJ1260" s="136"/>
      <c r="BK1260" s="2"/>
      <c r="BL1260" s="136"/>
      <c r="BM1260" s="136"/>
      <c r="BN1260" s="2"/>
      <c r="BO1260" s="2"/>
      <c r="BP1260" s="136"/>
      <c r="BQ1260" s="137"/>
    </row>
    <row r="1261" spans="1:69" ht="12.75" customHeight="1" x14ac:dyDescent="0.2">
      <c r="A1261" s="2">
        <v>2750</v>
      </c>
      <c r="B1261" s="2"/>
      <c r="C1261" s="131"/>
      <c r="D1261" s="131"/>
      <c r="E1261" s="2"/>
      <c r="F1261" s="132">
        <v>0</v>
      </c>
      <c r="G1261" s="132"/>
      <c r="H1261" s="132">
        <f t="shared" si="142"/>
        <v>0</v>
      </c>
      <c r="I1261" s="132"/>
      <c r="J1261" s="132">
        <f t="shared" si="148"/>
        <v>0</v>
      </c>
      <c r="K1261" s="132">
        <f t="shared" si="143"/>
        <v>0</v>
      </c>
      <c r="L1261" s="132">
        <f t="shared" si="145"/>
        <v>0</v>
      </c>
      <c r="M1261" s="133"/>
      <c r="N1261" s="133">
        <f t="shared" si="149"/>
        <v>0</v>
      </c>
      <c r="O1261" s="134"/>
      <c r="P1261" s="133"/>
      <c r="Q1261" s="2"/>
      <c r="R1261" s="156">
        <f t="shared" si="146"/>
        <v>0</v>
      </c>
      <c r="S1261" s="156">
        <f t="shared" si="147"/>
        <v>0</v>
      </c>
      <c r="T1261" s="133"/>
      <c r="U1261" s="133"/>
      <c r="V1261" s="133"/>
      <c r="W1261" s="133"/>
      <c r="X1261" s="133"/>
      <c r="Y1261" s="133"/>
      <c r="Z1261" s="133"/>
      <c r="AA1261" s="133"/>
      <c r="AB1261" s="133"/>
      <c r="AC1261" s="133"/>
      <c r="AD1261" s="133"/>
      <c r="AE1261" s="133"/>
      <c r="AF1261" s="133"/>
      <c r="AG1261" s="133"/>
      <c r="AH1261" s="133"/>
      <c r="AI1261" s="133"/>
      <c r="AJ1261" s="133"/>
      <c r="AK1261" s="133"/>
      <c r="AL1261" s="133"/>
      <c r="AM1261" s="133"/>
      <c r="AN1261" s="133"/>
      <c r="AO1261" s="133"/>
      <c r="AP1261" s="133"/>
      <c r="AQ1261" s="133"/>
      <c r="AR1261" s="133"/>
      <c r="AS1261" s="153">
        <v>0</v>
      </c>
      <c r="AT1261" s="153">
        <v>0</v>
      </c>
      <c r="AU1261" s="153">
        <v>0</v>
      </c>
      <c r="AV1261" s="135"/>
      <c r="AW1261" s="135"/>
      <c r="AX1261" s="135"/>
      <c r="AY1261" s="135"/>
      <c r="AZ1261" s="135"/>
      <c r="BA1261" s="135"/>
      <c r="BB1261" s="135"/>
      <c r="BC1261" s="135"/>
      <c r="BD1261" s="135"/>
      <c r="BE1261" s="135"/>
      <c r="BF1261" s="135"/>
      <c r="BG1261" s="135"/>
      <c r="BH1261" s="135"/>
      <c r="BI1261" s="2"/>
      <c r="BJ1261" s="136"/>
      <c r="BK1261" s="2"/>
      <c r="BL1261" s="136"/>
      <c r="BM1261" s="136"/>
      <c r="BN1261" s="2"/>
      <c r="BO1261" s="2"/>
      <c r="BP1261" s="136"/>
      <c r="BQ1261" s="137"/>
    </row>
    <row r="1262" spans="1:69" ht="12.75" customHeight="1" x14ac:dyDescent="0.2">
      <c r="A1262" s="2">
        <v>2751</v>
      </c>
      <c r="B1262" s="2"/>
      <c r="C1262" s="131"/>
      <c r="D1262" s="131"/>
      <c r="E1262" s="2"/>
      <c r="F1262" s="132">
        <v>0</v>
      </c>
      <c r="G1262" s="132"/>
      <c r="H1262" s="132">
        <f t="shared" ref="H1262:H1325" si="150">R1262</f>
        <v>0</v>
      </c>
      <c r="I1262" s="132"/>
      <c r="J1262" s="132">
        <f t="shared" si="148"/>
        <v>0</v>
      </c>
      <c r="K1262" s="132">
        <f t="shared" si="143"/>
        <v>0</v>
      </c>
      <c r="L1262" s="132">
        <f t="shared" si="145"/>
        <v>0</v>
      </c>
      <c r="M1262" s="133"/>
      <c r="N1262" s="133">
        <f t="shared" si="149"/>
        <v>0</v>
      </c>
      <c r="O1262" s="134"/>
      <c r="P1262" s="133"/>
      <c r="Q1262" s="2"/>
      <c r="R1262" s="156">
        <f t="shared" si="146"/>
        <v>0</v>
      </c>
      <c r="S1262" s="156">
        <f t="shared" si="147"/>
        <v>0</v>
      </c>
      <c r="T1262" s="133"/>
      <c r="U1262" s="133"/>
      <c r="V1262" s="133"/>
      <c r="W1262" s="133"/>
      <c r="X1262" s="133"/>
      <c r="Y1262" s="133"/>
      <c r="Z1262" s="133"/>
      <c r="AA1262" s="133"/>
      <c r="AB1262" s="133"/>
      <c r="AC1262" s="133"/>
      <c r="AD1262" s="133"/>
      <c r="AE1262" s="133"/>
      <c r="AF1262" s="133"/>
      <c r="AG1262" s="133"/>
      <c r="AH1262" s="133"/>
      <c r="AI1262" s="133"/>
      <c r="AJ1262" s="133"/>
      <c r="AK1262" s="133"/>
      <c r="AL1262" s="133"/>
      <c r="AM1262" s="133"/>
      <c r="AN1262" s="133"/>
      <c r="AO1262" s="133"/>
      <c r="AP1262" s="133"/>
      <c r="AQ1262" s="133"/>
      <c r="AR1262" s="133"/>
      <c r="AS1262" s="153">
        <v>0</v>
      </c>
      <c r="AT1262" s="153">
        <v>0</v>
      </c>
      <c r="AU1262" s="153">
        <v>0</v>
      </c>
      <c r="AV1262" s="135"/>
      <c r="AW1262" s="135"/>
      <c r="AX1262" s="135"/>
      <c r="AY1262" s="135"/>
      <c r="AZ1262" s="135"/>
      <c r="BA1262" s="135"/>
      <c r="BB1262" s="135"/>
      <c r="BC1262" s="135"/>
      <c r="BD1262" s="135"/>
      <c r="BE1262" s="135"/>
      <c r="BF1262" s="135"/>
      <c r="BG1262" s="135"/>
      <c r="BH1262" s="135"/>
      <c r="BI1262" s="2"/>
      <c r="BJ1262" s="136"/>
      <c r="BK1262" s="2"/>
      <c r="BL1262" s="136"/>
      <c r="BM1262" s="136"/>
      <c r="BN1262" s="2"/>
      <c r="BO1262" s="2"/>
      <c r="BP1262" s="136"/>
      <c r="BQ1262" s="137"/>
    </row>
    <row r="1263" spans="1:69" ht="12.75" customHeight="1" x14ac:dyDescent="0.2">
      <c r="A1263" s="2">
        <v>2752</v>
      </c>
      <c r="B1263" s="2"/>
      <c r="C1263" s="131"/>
      <c r="D1263" s="131"/>
      <c r="E1263" s="2"/>
      <c r="F1263" s="132">
        <v>0</v>
      </c>
      <c r="G1263" s="132"/>
      <c r="H1263" s="132">
        <f t="shared" si="150"/>
        <v>0</v>
      </c>
      <c r="I1263" s="132"/>
      <c r="J1263" s="132">
        <f t="shared" si="148"/>
        <v>0</v>
      </c>
      <c r="K1263" s="132">
        <f t="shared" si="143"/>
        <v>0</v>
      </c>
      <c r="L1263" s="132">
        <f t="shared" si="145"/>
        <v>0</v>
      </c>
      <c r="M1263" s="133"/>
      <c r="N1263" s="133">
        <f t="shared" si="149"/>
        <v>0</v>
      </c>
      <c r="O1263" s="134"/>
      <c r="P1263" s="133"/>
      <c r="Q1263" s="2"/>
      <c r="R1263" s="156">
        <f t="shared" si="146"/>
        <v>0</v>
      </c>
      <c r="S1263" s="156">
        <f t="shared" si="147"/>
        <v>0</v>
      </c>
      <c r="T1263" s="133"/>
      <c r="U1263" s="133"/>
      <c r="V1263" s="133"/>
      <c r="W1263" s="133"/>
      <c r="X1263" s="133"/>
      <c r="Y1263" s="133"/>
      <c r="Z1263" s="133"/>
      <c r="AA1263" s="133"/>
      <c r="AB1263" s="133"/>
      <c r="AC1263" s="133"/>
      <c r="AD1263" s="133"/>
      <c r="AE1263" s="133"/>
      <c r="AF1263" s="133"/>
      <c r="AG1263" s="133"/>
      <c r="AH1263" s="133"/>
      <c r="AI1263" s="133"/>
      <c r="AJ1263" s="133"/>
      <c r="AK1263" s="133"/>
      <c r="AL1263" s="133"/>
      <c r="AM1263" s="133"/>
      <c r="AN1263" s="133"/>
      <c r="AO1263" s="133"/>
      <c r="AP1263" s="133"/>
      <c r="AQ1263" s="133"/>
      <c r="AR1263" s="133"/>
      <c r="AS1263" s="153">
        <v>0</v>
      </c>
      <c r="AT1263" s="153">
        <v>0</v>
      </c>
      <c r="AU1263" s="153">
        <v>0</v>
      </c>
      <c r="AV1263" s="135"/>
      <c r="AW1263" s="135"/>
      <c r="AX1263" s="135"/>
      <c r="AY1263" s="135"/>
      <c r="AZ1263" s="135"/>
      <c r="BA1263" s="135"/>
      <c r="BB1263" s="135"/>
      <c r="BC1263" s="135"/>
      <c r="BD1263" s="135"/>
      <c r="BE1263" s="135"/>
      <c r="BF1263" s="135"/>
      <c r="BG1263" s="135"/>
      <c r="BH1263" s="135"/>
      <c r="BI1263" s="2"/>
      <c r="BJ1263" s="136"/>
      <c r="BK1263" s="2"/>
      <c r="BL1263" s="136"/>
      <c r="BM1263" s="136"/>
      <c r="BN1263" s="2"/>
      <c r="BO1263" s="2"/>
      <c r="BP1263" s="136"/>
      <c r="BQ1263" s="137"/>
    </row>
    <row r="1264" spans="1:69" ht="12.75" customHeight="1" x14ac:dyDescent="0.2">
      <c r="A1264" s="2">
        <v>2753</v>
      </c>
      <c r="B1264" s="2"/>
      <c r="C1264" s="131"/>
      <c r="D1264" s="131"/>
      <c r="E1264" s="2"/>
      <c r="F1264" s="132">
        <v>0</v>
      </c>
      <c r="G1264" s="132"/>
      <c r="H1264" s="132">
        <f t="shared" si="150"/>
        <v>0</v>
      </c>
      <c r="I1264" s="132"/>
      <c r="J1264" s="132">
        <f t="shared" si="148"/>
        <v>0</v>
      </c>
      <c r="K1264" s="132">
        <f t="shared" si="143"/>
        <v>0</v>
      </c>
      <c r="L1264" s="132">
        <f t="shared" si="145"/>
        <v>0</v>
      </c>
      <c r="M1264" s="133"/>
      <c r="N1264" s="133">
        <f t="shared" si="149"/>
        <v>0</v>
      </c>
      <c r="O1264" s="134"/>
      <c r="P1264" s="133"/>
      <c r="Q1264" s="2"/>
      <c r="R1264" s="156">
        <f t="shared" si="146"/>
        <v>0</v>
      </c>
      <c r="S1264" s="156">
        <f t="shared" si="147"/>
        <v>0</v>
      </c>
      <c r="T1264" s="133"/>
      <c r="U1264" s="133"/>
      <c r="V1264" s="133"/>
      <c r="W1264" s="133"/>
      <c r="X1264" s="133"/>
      <c r="Y1264" s="133"/>
      <c r="Z1264" s="133"/>
      <c r="AA1264" s="133"/>
      <c r="AB1264" s="133"/>
      <c r="AC1264" s="133"/>
      <c r="AD1264" s="133"/>
      <c r="AE1264" s="133"/>
      <c r="AF1264" s="133"/>
      <c r="AG1264" s="133"/>
      <c r="AH1264" s="133"/>
      <c r="AI1264" s="133"/>
      <c r="AJ1264" s="133"/>
      <c r="AK1264" s="133"/>
      <c r="AL1264" s="133"/>
      <c r="AM1264" s="133"/>
      <c r="AN1264" s="133"/>
      <c r="AO1264" s="133"/>
      <c r="AP1264" s="133"/>
      <c r="AQ1264" s="133"/>
      <c r="AR1264" s="133"/>
      <c r="AS1264" s="153">
        <v>0</v>
      </c>
      <c r="AT1264" s="153">
        <v>0</v>
      </c>
      <c r="AU1264" s="153">
        <v>0</v>
      </c>
      <c r="AV1264" s="135"/>
      <c r="AW1264" s="135"/>
      <c r="AX1264" s="135"/>
      <c r="AY1264" s="135"/>
      <c r="AZ1264" s="135"/>
      <c r="BA1264" s="135"/>
      <c r="BB1264" s="135"/>
      <c r="BC1264" s="135"/>
      <c r="BD1264" s="135"/>
      <c r="BE1264" s="135"/>
      <c r="BF1264" s="135"/>
      <c r="BG1264" s="135"/>
      <c r="BH1264" s="135"/>
      <c r="BI1264" s="2"/>
      <c r="BJ1264" s="136"/>
      <c r="BK1264" s="2"/>
      <c r="BL1264" s="136"/>
      <c r="BM1264" s="136"/>
      <c r="BN1264" s="2"/>
      <c r="BO1264" s="2"/>
      <c r="BP1264" s="136"/>
      <c r="BQ1264" s="137"/>
    </row>
    <row r="1265" spans="1:69" ht="12.75" customHeight="1" x14ac:dyDescent="0.2">
      <c r="A1265" s="2">
        <v>2754</v>
      </c>
      <c r="B1265" s="2"/>
      <c r="C1265" s="131"/>
      <c r="D1265" s="131"/>
      <c r="E1265" s="2"/>
      <c r="F1265" s="132">
        <v>0</v>
      </c>
      <c r="G1265" s="132"/>
      <c r="H1265" s="132">
        <f t="shared" si="150"/>
        <v>0</v>
      </c>
      <c r="I1265" s="132"/>
      <c r="J1265" s="132">
        <f t="shared" si="148"/>
        <v>0</v>
      </c>
      <c r="K1265" s="132">
        <f t="shared" si="143"/>
        <v>0</v>
      </c>
      <c r="L1265" s="132">
        <f t="shared" si="145"/>
        <v>0</v>
      </c>
      <c r="M1265" s="133"/>
      <c r="N1265" s="133">
        <f t="shared" si="149"/>
        <v>0</v>
      </c>
      <c r="O1265" s="134"/>
      <c r="P1265" s="133"/>
      <c r="Q1265" s="2"/>
      <c r="R1265" s="156">
        <f t="shared" si="146"/>
        <v>0</v>
      </c>
      <c r="S1265" s="156">
        <f t="shared" si="147"/>
        <v>0</v>
      </c>
      <c r="T1265" s="133"/>
      <c r="U1265" s="133"/>
      <c r="V1265" s="133"/>
      <c r="W1265" s="133"/>
      <c r="X1265" s="133"/>
      <c r="Y1265" s="133"/>
      <c r="Z1265" s="133"/>
      <c r="AA1265" s="133"/>
      <c r="AB1265" s="133"/>
      <c r="AC1265" s="133"/>
      <c r="AD1265" s="133"/>
      <c r="AE1265" s="133"/>
      <c r="AF1265" s="133"/>
      <c r="AG1265" s="133"/>
      <c r="AH1265" s="133"/>
      <c r="AI1265" s="133"/>
      <c r="AJ1265" s="133"/>
      <c r="AK1265" s="133"/>
      <c r="AL1265" s="133"/>
      <c r="AM1265" s="133"/>
      <c r="AN1265" s="133"/>
      <c r="AO1265" s="133"/>
      <c r="AP1265" s="133"/>
      <c r="AQ1265" s="133"/>
      <c r="AR1265" s="133"/>
      <c r="AS1265" s="153">
        <v>0</v>
      </c>
      <c r="AT1265" s="153">
        <v>0</v>
      </c>
      <c r="AU1265" s="153">
        <v>0</v>
      </c>
      <c r="AV1265" s="135"/>
      <c r="AW1265" s="135"/>
      <c r="AX1265" s="135"/>
      <c r="AY1265" s="135"/>
      <c r="AZ1265" s="135"/>
      <c r="BA1265" s="135"/>
      <c r="BB1265" s="135"/>
      <c r="BC1265" s="135"/>
      <c r="BD1265" s="135"/>
      <c r="BE1265" s="135"/>
      <c r="BF1265" s="135"/>
      <c r="BG1265" s="135"/>
      <c r="BH1265" s="135"/>
      <c r="BI1265" s="2"/>
      <c r="BJ1265" s="136"/>
      <c r="BK1265" s="2"/>
      <c r="BL1265" s="136"/>
      <c r="BM1265" s="136"/>
      <c r="BN1265" s="2"/>
      <c r="BO1265" s="2"/>
      <c r="BP1265" s="136"/>
      <c r="BQ1265" s="137"/>
    </row>
    <row r="1266" spans="1:69" ht="12.75" customHeight="1" x14ac:dyDescent="0.2">
      <c r="A1266" s="2">
        <v>2755</v>
      </c>
      <c r="B1266" s="2"/>
      <c r="C1266" s="131"/>
      <c r="D1266" s="131"/>
      <c r="E1266" s="2"/>
      <c r="F1266" s="132">
        <v>0</v>
      </c>
      <c r="G1266" s="132"/>
      <c r="H1266" s="132">
        <f t="shared" si="150"/>
        <v>0</v>
      </c>
      <c r="I1266" s="132"/>
      <c r="J1266" s="132">
        <f t="shared" si="148"/>
        <v>0</v>
      </c>
      <c r="K1266" s="132">
        <f t="shared" si="143"/>
        <v>0</v>
      </c>
      <c r="L1266" s="132">
        <f t="shared" si="145"/>
        <v>0</v>
      </c>
      <c r="M1266" s="133"/>
      <c r="N1266" s="133">
        <f t="shared" si="149"/>
        <v>0</v>
      </c>
      <c r="O1266" s="134"/>
      <c r="P1266" s="133"/>
      <c r="Q1266" s="2"/>
      <c r="R1266" s="156">
        <f t="shared" si="146"/>
        <v>0</v>
      </c>
      <c r="S1266" s="156">
        <f t="shared" si="147"/>
        <v>0</v>
      </c>
      <c r="T1266" s="133"/>
      <c r="U1266" s="133"/>
      <c r="V1266" s="133"/>
      <c r="W1266" s="133"/>
      <c r="X1266" s="133"/>
      <c r="Y1266" s="133"/>
      <c r="Z1266" s="133"/>
      <c r="AA1266" s="133"/>
      <c r="AB1266" s="133"/>
      <c r="AC1266" s="133"/>
      <c r="AD1266" s="133"/>
      <c r="AE1266" s="133"/>
      <c r="AF1266" s="133"/>
      <c r="AG1266" s="133"/>
      <c r="AH1266" s="133"/>
      <c r="AI1266" s="133"/>
      <c r="AJ1266" s="133"/>
      <c r="AK1266" s="133"/>
      <c r="AL1266" s="133"/>
      <c r="AM1266" s="133"/>
      <c r="AN1266" s="133"/>
      <c r="AO1266" s="133"/>
      <c r="AP1266" s="133"/>
      <c r="AQ1266" s="133"/>
      <c r="AR1266" s="133"/>
      <c r="AS1266" s="153">
        <v>0</v>
      </c>
      <c r="AT1266" s="153">
        <v>0</v>
      </c>
      <c r="AU1266" s="153">
        <v>0</v>
      </c>
      <c r="AV1266" s="135"/>
      <c r="AW1266" s="135"/>
      <c r="AX1266" s="135"/>
      <c r="AY1266" s="135"/>
      <c r="AZ1266" s="135"/>
      <c r="BA1266" s="135"/>
      <c r="BB1266" s="135"/>
      <c r="BC1266" s="135"/>
      <c r="BD1266" s="135"/>
      <c r="BE1266" s="135"/>
      <c r="BF1266" s="135"/>
      <c r="BG1266" s="135"/>
      <c r="BH1266" s="135"/>
      <c r="BI1266" s="2"/>
      <c r="BJ1266" s="136"/>
      <c r="BK1266" s="2"/>
      <c r="BL1266" s="136"/>
      <c r="BM1266" s="136"/>
      <c r="BN1266" s="2"/>
      <c r="BO1266" s="2"/>
      <c r="BP1266" s="136"/>
      <c r="BQ1266" s="137"/>
    </row>
    <row r="1267" spans="1:69" ht="12.75" customHeight="1" x14ac:dyDescent="0.2">
      <c r="A1267" s="2">
        <v>2756</v>
      </c>
      <c r="B1267" s="2"/>
      <c r="C1267" s="131"/>
      <c r="D1267" s="131"/>
      <c r="E1267" s="2"/>
      <c r="F1267" s="132">
        <v>0</v>
      </c>
      <c r="G1267" s="132"/>
      <c r="H1267" s="132">
        <f t="shared" si="150"/>
        <v>0</v>
      </c>
      <c r="I1267" s="132"/>
      <c r="J1267" s="132">
        <f t="shared" si="148"/>
        <v>0</v>
      </c>
      <c r="K1267" s="132">
        <f t="shared" si="143"/>
        <v>0</v>
      </c>
      <c r="L1267" s="132">
        <f t="shared" si="145"/>
        <v>0</v>
      </c>
      <c r="M1267" s="133"/>
      <c r="N1267" s="133">
        <f t="shared" si="149"/>
        <v>0</v>
      </c>
      <c r="O1267" s="134"/>
      <c r="P1267" s="133"/>
      <c r="Q1267" s="2"/>
      <c r="R1267" s="156">
        <f t="shared" si="146"/>
        <v>0</v>
      </c>
      <c r="S1267" s="156">
        <f t="shared" si="147"/>
        <v>0</v>
      </c>
      <c r="T1267" s="133"/>
      <c r="U1267" s="133"/>
      <c r="V1267" s="133"/>
      <c r="W1267" s="133"/>
      <c r="X1267" s="133"/>
      <c r="Y1267" s="133"/>
      <c r="Z1267" s="133"/>
      <c r="AA1267" s="133"/>
      <c r="AB1267" s="133"/>
      <c r="AC1267" s="133"/>
      <c r="AD1267" s="133"/>
      <c r="AE1267" s="133"/>
      <c r="AF1267" s="133"/>
      <c r="AG1267" s="133"/>
      <c r="AH1267" s="133"/>
      <c r="AI1267" s="133"/>
      <c r="AJ1267" s="133"/>
      <c r="AK1267" s="133"/>
      <c r="AL1267" s="133"/>
      <c r="AM1267" s="133"/>
      <c r="AN1267" s="133"/>
      <c r="AO1267" s="133"/>
      <c r="AP1267" s="133"/>
      <c r="AQ1267" s="133"/>
      <c r="AR1267" s="133"/>
      <c r="AS1267" s="153">
        <v>0</v>
      </c>
      <c r="AT1267" s="153">
        <v>0</v>
      </c>
      <c r="AU1267" s="153">
        <v>0</v>
      </c>
      <c r="AV1267" s="135"/>
      <c r="AW1267" s="135"/>
      <c r="AX1267" s="135"/>
      <c r="AY1267" s="135"/>
      <c r="AZ1267" s="135"/>
      <c r="BA1267" s="135"/>
      <c r="BB1267" s="135"/>
      <c r="BC1267" s="135"/>
      <c r="BD1267" s="135"/>
      <c r="BE1267" s="135"/>
      <c r="BF1267" s="135"/>
      <c r="BG1267" s="135"/>
      <c r="BH1267" s="135"/>
      <c r="BI1267" s="2"/>
      <c r="BJ1267" s="136"/>
      <c r="BK1267" s="2"/>
      <c r="BL1267" s="136"/>
      <c r="BM1267" s="136"/>
      <c r="BN1267" s="2"/>
      <c r="BO1267" s="2"/>
      <c r="BP1267" s="136"/>
      <c r="BQ1267" s="137"/>
    </row>
    <row r="1268" spans="1:69" ht="12.75" customHeight="1" x14ac:dyDescent="0.2">
      <c r="A1268" s="2">
        <v>2757</v>
      </c>
      <c r="B1268" s="2"/>
      <c r="C1268" s="131"/>
      <c r="D1268" s="131"/>
      <c r="E1268" s="2"/>
      <c r="F1268" s="132">
        <v>0</v>
      </c>
      <c r="G1268" s="132"/>
      <c r="H1268" s="132">
        <f t="shared" si="150"/>
        <v>0</v>
      </c>
      <c r="I1268" s="132"/>
      <c r="J1268" s="132">
        <f t="shared" si="148"/>
        <v>0</v>
      </c>
      <c r="K1268" s="132">
        <f t="shared" si="143"/>
        <v>0</v>
      </c>
      <c r="L1268" s="132">
        <f t="shared" si="145"/>
        <v>0</v>
      </c>
      <c r="M1268" s="133"/>
      <c r="N1268" s="133">
        <f t="shared" si="149"/>
        <v>0</v>
      </c>
      <c r="O1268" s="134"/>
      <c r="P1268" s="133"/>
      <c r="Q1268" s="2"/>
      <c r="R1268" s="156">
        <f t="shared" si="146"/>
        <v>0</v>
      </c>
      <c r="S1268" s="156">
        <f t="shared" si="147"/>
        <v>0</v>
      </c>
      <c r="T1268" s="133"/>
      <c r="U1268" s="133"/>
      <c r="V1268" s="133"/>
      <c r="W1268" s="133"/>
      <c r="X1268" s="133"/>
      <c r="Y1268" s="133"/>
      <c r="Z1268" s="133"/>
      <c r="AA1268" s="133"/>
      <c r="AB1268" s="133"/>
      <c r="AC1268" s="133"/>
      <c r="AD1268" s="133"/>
      <c r="AE1268" s="133"/>
      <c r="AF1268" s="133"/>
      <c r="AG1268" s="133"/>
      <c r="AH1268" s="133"/>
      <c r="AI1268" s="133"/>
      <c r="AJ1268" s="133"/>
      <c r="AK1268" s="133"/>
      <c r="AL1268" s="133"/>
      <c r="AM1268" s="133"/>
      <c r="AN1268" s="133"/>
      <c r="AO1268" s="133"/>
      <c r="AP1268" s="133"/>
      <c r="AQ1268" s="133"/>
      <c r="AR1268" s="133"/>
      <c r="AS1268" s="153">
        <v>0</v>
      </c>
      <c r="AT1268" s="153">
        <v>0</v>
      </c>
      <c r="AU1268" s="153">
        <v>0</v>
      </c>
      <c r="AV1268" s="135"/>
      <c r="AW1268" s="135"/>
      <c r="AX1268" s="135"/>
      <c r="AY1268" s="135"/>
      <c r="AZ1268" s="135"/>
      <c r="BA1268" s="135"/>
      <c r="BB1268" s="135"/>
      <c r="BC1268" s="135"/>
      <c r="BD1268" s="135"/>
      <c r="BE1268" s="135"/>
      <c r="BF1268" s="135"/>
      <c r="BG1268" s="135"/>
      <c r="BH1268" s="135"/>
      <c r="BI1268" s="2"/>
      <c r="BJ1268" s="136"/>
      <c r="BK1268" s="2"/>
      <c r="BL1268" s="136"/>
      <c r="BM1268" s="136"/>
      <c r="BN1268" s="2"/>
      <c r="BO1268" s="2"/>
      <c r="BP1268" s="136"/>
      <c r="BQ1268" s="137"/>
    </row>
    <row r="1269" spans="1:69" ht="12.75" customHeight="1" x14ac:dyDescent="0.2">
      <c r="A1269" s="2">
        <v>2758</v>
      </c>
      <c r="B1269" s="2"/>
      <c r="C1269" s="131"/>
      <c r="D1269" s="131"/>
      <c r="E1269" s="2"/>
      <c r="F1269" s="132">
        <v>0</v>
      </c>
      <c r="G1269" s="132"/>
      <c r="H1269" s="132">
        <f t="shared" si="150"/>
        <v>0</v>
      </c>
      <c r="I1269" s="132"/>
      <c r="J1269" s="132">
        <f t="shared" si="148"/>
        <v>0</v>
      </c>
      <c r="K1269" s="132">
        <f t="shared" si="143"/>
        <v>0</v>
      </c>
      <c r="L1269" s="132">
        <f t="shared" si="145"/>
        <v>0</v>
      </c>
      <c r="M1269" s="133"/>
      <c r="N1269" s="133">
        <f t="shared" si="149"/>
        <v>0</v>
      </c>
      <c r="O1269" s="134"/>
      <c r="P1269" s="133"/>
      <c r="Q1269" s="2"/>
      <c r="R1269" s="156">
        <f t="shared" si="146"/>
        <v>0</v>
      </c>
      <c r="S1269" s="156">
        <f t="shared" si="147"/>
        <v>0</v>
      </c>
      <c r="T1269" s="133"/>
      <c r="U1269" s="133"/>
      <c r="V1269" s="133"/>
      <c r="W1269" s="133"/>
      <c r="X1269" s="133"/>
      <c r="Y1269" s="133"/>
      <c r="Z1269" s="133"/>
      <c r="AA1269" s="133"/>
      <c r="AB1269" s="133"/>
      <c r="AC1269" s="133"/>
      <c r="AD1269" s="133"/>
      <c r="AE1269" s="133"/>
      <c r="AF1269" s="133"/>
      <c r="AG1269" s="133"/>
      <c r="AH1269" s="133"/>
      <c r="AI1269" s="133"/>
      <c r="AJ1269" s="133"/>
      <c r="AK1269" s="133"/>
      <c r="AL1269" s="133"/>
      <c r="AM1269" s="133"/>
      <c r="AN1269" s="133"/>
      <c r="AO1269" s="133"/>
      <c r="AP1269" s="133"/>
      <c r="AQ1269" s="133"/>
      <c r="AR1269" s="133"/>
      <c r="AS1269" s="153">
        <v>0</v>
      </c>
      <c r="AT1269" s="153">
        <v>0</v>
      </c>
      <c r="AU1269" s="153">
        <v>0</v>
      </c>
      <c r="AV1269" s="135"/>
      <c r="AW1269" s="135"/>
      <c r="AX1269" s="135"/>
      <c r="AY1269" s="135"/>
      <c r="AZ1269" s="135"/>
      <c r="BA1269" s="135"/>
      <c r="BB1269" s="135"/>
      <c r="BC1269" s="135"/>
      <c r="BD1269" s="135"/>
      <c r="BE1269" s="135"/>
      <c r="BF1269" s="135"/>
      <c r="BG1269" s="135"/>
      <c r="BH1269" s="135"/>
      <c r="BI1269" s="2"/>
      <c r="BJ1269" s="136"/>
      <c r="BK1269" s="2"/>
      <c r="BL1269" s="136"/>
      <c r="BM1269" s="136"/>
      <c r="BN1269" s="2"/>
      <c r="BO1269" s="2"/>
      <c r="BP1269" s="136"/>
      <c r="BQ1269" s="137"/>
    </row>
    <row r="1270" spans="1:69" ht="12.75" customHeight="1" x14ac:dyDescent="0.2">
      <c r="A1270" s="2">
        <v>2759</v>
      </c>
      <c r="B1270" s="2"/>
      <c r="C1270" s="131"/>
      <c r="D1270" s="131"/>
      <c r="E1270" s="2"/>
      <c r="F1270" s="132">
        <v>0</v>
      </c>
      <c r="G1270" s="132"/>
      <c r="H1270" s="132">
        <f t="shared" si="150"/>
        <v>0</v>
      </c>
      <c r="I1270" s="132"/>
      <c r="J1270" s="132">
        <f t="shared" si="148"/>
        <v>0</v>
      </c>
      <c r="K1270" s="132">
        <f t="shared" ref="K1270:K1333" si="151">F1270-J1270</f>
        <v>0</v>
      </c>
      <c r="L1270" s="132">
        <f t="shared" si="145"/>
        <v>0</v>
      </c>
      <c r="M1270" s="133"/>
      <c r="N1270" s="133">
        <f t="shared" si="149"/>
        <v>0</v>
      </c>
      <c r="O1270" s="134"/>
      <c r="P1270" s="133"/>
      <c r="Q1270" s="2"/>
      <c r="R1270" s="156">
        <f t="shared" si="146"/>
        <v>0</v>
      </c>
      <c r="S1270" s="156">
        <f t="shared" si="147"/>
        <v>0</v>
      </c>
      <c r="T1270" s="133"/>
      <c r="U1270" s="133"/>
      <c r="V1270" s="133"/>
      <c r="W1270" s="133"/>
      <c r="X1270" s="133"/>
      <c r="Y1270" s="133"/>
      <c r="Z1270" s="133"/>
      <c r="AA1270" s="133"/>
      <c r="AB1270" s="133"/>
      <c r="AC1270" s="133"/>
      <c r="AD1270" s="133"/>
      <c r="AE1270" s="133"/>
      <c r="AF1270" s="133"/>
      <c r="AG1270" s="133"/>
      <c r="AH1270" s="133"/>
      <c r="AI1270" s="133"/>
      <c r="AJ1270" s="133"/>
      <c r="AK1270" s="133"/>
      <c r="AL1270" s="133"/>
      <c r="AM1270" s="133"/>
      <c r="AN1270" s="133"/>
      <c r="AO1270" s="133"/>
      <c r="AP1270" s="133"/>
      <c r="AQ1270" s="133"/>
      <c r="AR1270" s="133"/>
      <c r="AS1270" s="153">
        <v>0</v>
      </c>
      <c r="AT1270" s="153">
        <v>0</v>
      </c>
      <c r="AU1270" s="153">
        <v>0</v>
      </c>
      <c r="AV1270" s="135"/>
      <c r="AW1270" s="135"/>
      <c r="AX1270" s="135"/>
      <c r="AY1270" s="135"/>
      <c r="AZ1270" s="135"/>
      <c r="BA1270" s="135"/>
      <c r="BB1270" s="135"/>
      <c r="BC1270" s="135"/>
      <c r="BD1270" s="135"/>
      <c r="BE1270" s="135"/>
      <c r="BF1270" s="135"/>
      <c r="BG1270" s="135"/>
      <c r="BH1270" s="135"/>
      <c r="BI1270" s="2"/>
      <c r="BJ1270" s="136"/>
      <c r="BK1270" s="2"/>
      <c r="BL1270" s="136"/>
      <c r="BM1270" s="136"/>
      <c r="BN1270" s="2"/>
      <c r="BO1270" s="2"/>
      <c r="BP1270" s="136"/>
      <c r="BQ1270" s="137"/>
    </row>
    <row r="1271" spans="1:69" ht="12.75" customHeight="1" x14ac:dyDescent="0.2">
      <c r="A1271" s="2">
        <v>2760</v>
      </c>
      <c r="B1271" s="2"/>
      <c r="C1271" s="131"/>
      <c r="D1271" s="131"/>
      <c r="E1271" s="2"/>
      <c r="F1271" s="132">
        <v>0</v>
      </c>
      <c r="G1271" s="132"/>
      <c r="H1271" s="132">
        <f t="shared" si="150"/>
        <v>0</v>
      </c>
      <c r="I1271" s="132"/>
      <c r="J1271" s="132">
        <f t="shared" si="148"/>
        <v>0</v>
      </c>
      <c r="K1271" s="132">
        <f t="shared" si="151"/>
        <v>0</v>
      </c>
      <c r="L1271" s="132">
        <f t="shared" si="145"/>
        <v>0</v>
      </c>
      <c r="M1271" s="133"/>
      <c r="N1271" s="133">
        <f t="shared" si="149"/>
        <v>0</v>
      </c>
      <c r="O1271" s="134"/>
      <c r="P1271" s="133"/>
      <c r="Q1271" s="2"/>
      <c r="R1271" s="156">
        <f t="shared" si="146"/>
        <v>0</v>
      </c>
      <c r="S1271" s="156">
        <f t="shared" si="147"/>
        <v>0</v>
      </c>
      <c r="T1271" s="133"/>
      <c r="U1271" s="133"/>
      <c r="V1271" s="133"/>
      <c r="W1271" s="133"/>
      <c r="X1271" s="133"/>
      <c r="Y1271" s="133"/>
      <c r="Z1271" s="133"/>
      <c r="AA1271" s="133"/>
      <c r="AB1271" s="133"/>
      <c r="AC1271" s="133"/>
      <c r="AD1271" s="133"/>
      <c r="AE1271" s="133"/>
      <c r="AF1271" s="133"/>
      <c r="AG1271" s="133"/>
      <c r="AH1271" s="133"/>
      <c r="AI1271" s="133"/>
      <c r="AJ1271" s="133"/>
      <c r="AK1271" s="133"/>
      <c r="AL1271" s="133"/>
      <c r="AM1271" s="133"/>
      <c r="AN1271" s="133"/>
      <c r="AO1271" s="133"/>
      <c r="AP1271" s="133"/>
      <c r="AQ1271" s="133"/>
      <c r="AR1271" s="133"/>
      <c r="AS1271" s="153">
        <v>0</v>
      </c>
      <c r="AT1271" s="153">
        <v>0</v>
      </c>
      <c r="AU1271" s="153">
        <v>0</v>
      </c>
      <c r="AV1271" s="135"/>
      <c r="AW1271" s="135"/>
      <c r="AX1271" s="135"/>
      <c r="AY1271" s="135"/>
      <c r="AZ1271" s="135"/>
      <c r="BA1271" s="135"/>
      <c r="BB1271" s="135"/>
      <c r="BC1271" s="135"/>
      <c r="BD1271" s="135"/>
      <c r="BE1271" s="135"/>
      <c r="BF1271" s="135"/>
      <c r="BG1271" s="135"/>
      <c r="BH1271" s="135"/>
      <c r="BI1271" s="2"/>
      <c r="BJ1271" s="136"/>
      <c r="BK1271" s="2"/>
      <c r="BL1271" s="136"/>
      <c r="BM1271" s="136"/>
      <c r="BN1271" s="2"/>
      <c r="BO1271" s="2"/>
      <c r="BP1271" s="136"/>
      <c r="BQ1271" s="137"/>
    </row>
    <row r="1272" spans="1:69" ht="12.75" customHeight="1" x14ac:dyDescent="0.2">
      <c r="A1272" s="2">
        <v>2761</v>
      </c>
      <c r="B1272" s="2"/>
      <c r="C1272" s="131"/>
      <c r="D1272" s="131"/>
      <c r="E1272" s="2"/>
      <c r="F1272" s="132">
        <v>0</v>
      </c>
      <c r="G1272" s="132"/>
      <c r="H1272" s="132">
        <f t="shared" si="150"/>
        <v>0</v>
      </c>
      <c r="I1272" s="132"/>
      <c r="J1272" s="132">
        <f t="shared" si="148"/>
        <v>0</v>
      </c>
      <c r="K1272" s="132">
        <f t="shared" si="151"/>
        <v>0</v>
      </c>
      <c r="L1272" s="132">
        <f t="shared" si="145"/>
        <v>0</v>
      </c>
      <c r="M1272" s="133"/>
      <c r="N1272" s="133">
        <f t="shared" si="149"/>
        <v>0</v>
      </c>
      <c r="O1272" s="134"/>
      <c r="P1272" s="133"/>
      <c r="Q1272" s="2"/>
      <c r="R1272" s="156">
        <f t="shared" si="146"/>
        <v>0</v>
      </c>
      <c r="S1272" s="156">
        <f t="shared" si="147"/>
        <v>0</v>
      </c>
      <c r="T1272" s="133"/>
      <c r="U1272" s="133"/>
      <c r="V1272" s="133"/>
      <c r="W1272" s="133"/>
      <c r="X1272" s="133"/>
      <c r="Y1272" s="133"/>
      <c r="Z1272" s="133"/>
      <c r="AA1272" s="133"/>
      <c r="AB1272" s="133"/>
      <c r="AC1272" s="133"/>
      <c r="AD1272" s="133"/>
      <c r="AE1272" s="133"/>
      <c r="AF1272" s="133"/>
      <c r="AG1272" s="133"/>
      <c r="AH1272" s="133"/>
      <c r="AI1272" s="133"/>
      <c r="AJ1272" s="133"/>
      <c r="AK1272" s="133"/>
      <c r="AL1272" s="133"/>
      <c r="AM1272" s="133"/>
      <c r="AN1272" s="133"/>
      <c r="AO1272" s="133"/>
      <c r="AP1272" s="133"/>
      <c r="AQ1272" s="133"/>
      <c r="AR1272" s="133"/>
      <c r="AS1272" s="153">
        <v>0</v>
      </c>
      <c r="AT1272" s="153">
        <v>0</v>
      </c>
      <c r="AU1272" s="153">
        <v>0</v>
      </c>
      <c r="AV1272" s="135"/>
      <c r="AW1272" s="135"/>
      <c r="AX1272" s="135"/>
      <c r="AY1272" s="135"/>
      <c r="AZ1272" s="135"/>
      <c r="BA1272" s="135"/>
      <c r="BB1272" s="135"/>
      <c r="BC1272" s="135"/>
      <c r="BD1272" s="135"/>
      <c r="BE1272" s="135"/>
      <c r="BF1272" s="135"/>
      <c r="BG1272" s="135"/>
      <c r="BH1272" s="135"/>
      <c r="BI1272" s="2"/>
      <c r="BJ1272" s="136"/>
      <c r="BK1272" s="2"/>
      <c r="BL1272" s="136"/>
      <c r="BM1272" s="136"/>
      <c r="BN1272" s="2"/>
      <c r="BO1272" s="2"/>
      <c r="BP1272" s="136"/>
      <c r="BQ1272" s="137"/>
    </row>
    <row r="1273" spans="1:69" ht="12.75" customHeight="1" x14ac:dyDescent="0.2">
      <c r="A1273" s="2">
        <v>2762</v>
      </c>
      <c r="B1273" s="2"/>
      <c r="C1273" s="131"/>
      <c r="D1273" s="131"/>
      <c r="E1273" s="2"/>
      <c r="F1273" s="132">
        <v>0</v>
      </c>
      <c r="G1273" s="132"/>
      <c r="H1273" s="132">
        <f t="shared" si="150"/>
        <v>0</v>
      </c>
      <c r="I1273" s="132"/>
      <c r="J1273" s="132">
        <f t="shared" si="148"/>
        <v>0</v>
      </c>
      <c r="K1273" s="132">
        <f t="shared" si="151"/>
        <v>0</v>
      </c>
      <c r="L1273" s="132">
        <f t="shared" si="145"/>
        <v>0</v>
      </c>
      <c r="M1273" s="133"/>
      <c r="N1273" s="133">
        <f t="shared" si="149"/>
        <v>0</v>
      </c>
      <c r="O1273" s="134"/>
      <c r="P1273" s="133"/>
      <c r="Q1273" s="2"/>
      <c r="R1273" s="156">
        <f t="shared" si="146"/>
        <v>0</v>
      </c>
      <c r="S1273" s="156">
        <f t="shared" si="147"/>
        <v>0</v>
      </c>
      <c r="T1273" s="133"/>
      <c r="U1273" s="133"/>
      <c r="V1273" s="133"/>
      <c r="W1273" s="133"/>
      <c r="X1273" s="133"/>
      <c r="Y1273" s="133"/>
      <c r="Z1273" s="133"/>
      <c r="AA1273" s="133"/>
      <c r="AB1273" s="133"/>
      <c r="AC1273" s="133"/>
      <c r="AD1273" s="133"/>
      <c r="AE1273" s="133"/>
      <c r="AF1273" s="133"/>
      <c r="AG1273" s="133"/>
      <c r="AH1273" s="133"/>
      <c r="AI1273" s="133"/>
      <c r="AJ1273" s="133"/>
      <c r="AK1273" s="133"/>
      <c r="AL1273" s="133"/>
      <c r="AM1273" s="133"/>
      <c r="AN1273" s="133"/>
      <c r="AO1273" s="133"/>
      <c r="AP1273" s="133"/>
      <c r="AQ1273" s="133"/>
      <c r="AR1273" s="133"/>
      <c r="AS1273" s="153">
        <v>0</v>
      </c>
      <c r="AT1273" s="153">
        <v>0</v>
      </c>
      <c r="AU1273" s="153">
        <v>0</v>
      </c>
      <c r="AV1273" s="135"/>
      <c r="AW1273" s="135"/>
      <c r="AX1273" s="135"/>
      <c r="AY1273" s="135"/>
      <c r="AZ1273" s="135"/>
      <c r="BA1273" s="135"/>
      <c r="BB1273" s="135"/>
      <c r="BC1273" s="135"/>
      <c r="BD1273" s="135"/>
      <c r="BE1273" s="135"/>
      <c r="BF1273" s="135"/>
      <c r="BG1273" s="135"/>
      <c r="BH1273" s="135"/>
      <c r="BI1273" s="2"/>
      <c r="BJ1273" s="136"/>
      <c r="BK1273" s="2"/>
      <c r="BL1273" s="136"/>
      <c r="BM1273" s="136"/>
      <c r="BN1273" s="2"/>
      <c r="BO1273" s="2"/>
      <c r="BP1273" s="136"/>
      <c r="BQ1273" s="137"/>
    </row>
    <row r="1274" spans="1:69" ht="12.75" customHeight="1" x14ac:dyDescent="0.2">
      <c r="A1274" s="2">
        <v>2763</v>
      </c>
      <c r="B1274" s="2"/>
      <c r="C1274" s="131"/>
      <c r="D1274" s="131"/>
      <c r="E1274" s="2"/>
      <c r="F1274" s="132">
        <v>0</v>
      </c>
      <c r="G1274" s="132"/>
      <c r="H1274" s="132">
        <f t="shared" si="150"/>
        <v>0</v>
      </c>
      <c r="I1274" s="132"/>
      <c r="J1274" s="132">
        <f t="shared" si="148"/>
        <v>0</v>
      </c>
      <c r="K1274" s="132">
        <f t="shared" si="151"/>
        <v>0</v>
      </c>
      <c r="L1274" s="132">
        <f t="shared" si="145"/>
        <v>0</v>
      </c>
      <c r="M1274" s="133"/>
      <c r="N1274" s="133">
        <f t="shared" si="149"/>
        <v>0</v>
      </c>
      <c r="O1274" s="134"/>
      <c r="P1274" s="133"/>
      <c r="Q1274" s="2"/>
      <c r="R1274" s="156">
        <f t="shared" si="146"/>
        <v>0</v>
      </c>
      <c r="S1274" s="156">
        <f t="shared" si="147"/>
        <v>0</v>
      </c>
      <c r="T1274" s="133"/>
      <c r="U1274" s="133"/>
      <c r="V1274" s="133"/>
      <c r="W1274" s="133"/>
      <c r="X1274" s="133"/>
      <c r="Y1274" s="133"/>
      <c r="Z1274" s="133"/>
      <c r="AA1274" s="133"/>
      <c r="AB1274" s="133"/>
      <c r="AC1274" s="133"/>
      <c r="AD1274" s="133"/>
      <c r="AE1274" s="133"/>
      <c r="AF1274" s="133"/>
      <c r="AG1274" s="133"/>
      <c r="AH1274" s="133"/>
      <c r="AI1274" s="133"/>
      <c r="AJ1274" s="133"/>
      <c r="AK1274" s="133"/>
      <c r="AL1274" s="133"/>
      <c r="AM1274" s="133"/>
      <c r="AN1274" s="133"/>
      <c r="AO1274" s="133"/>
      <c r="AP1274" s="133"/>
      <c r="AQ1274" s="133"/>
      <c r="AR1274" s="133"/>
      <c r="AS1274" s="153">
        <v>0</v>
      </c>
      <c r="AT1274" s="153">
        <v>0</v>
      </c>
      <c r="AU1274" s="153">
        <v>0</v>
      </c>
      <c r="AV1274" s="135"/>
      <c r="AW1274" s="135"/>
      <c r="AX1274" s="135"/>
      <c r="AY1274" s="135"/>
      <c r="AZ1274" s="135"/>
      <c r="BA1274" s="135"/>
      <c r="BB1274" s="135"/>
      <c r="BC1274" s="135"/>
      <c r="BD1274" s="135"/>
      <c r="BE1274" s="135"/>
      <c r="BF1274" s="135"/>
      <c r="BG1274" s="135"/>
      <c r="BH1274" s="135"/>
      <c r="BI1274" s="2"/>
      <c r="BJ1274" s="136"/>
      <c r="BK1274" s="2"/>
      <c r="BL1274" s="136"/>
      <c r="BM1274" s="136"/>
      <c r="BN1274" s="2"/>
      <c r="BO1274" s="2"/>
      <c r="BP1274" s="136"/>
      <c r="BQ1274" s="137"/>
    </row>
    <row r="1275" spans="1:69" ht="12.75" customHeight="1" x14ac:dyDescent="0.2">
      <c r="A1275" s="2">
        <v>2764</v>
      </c>
      <c r="B1275" s="2"/>
      <c r="C1275" s="131"/>
      <c r="D1275" s="131"/>
      <c r="E1275" s="2"/>
      <c r="F1275" s="132">
        <v>0</v>
      </c>
      <c r="G1275" s="132"/>
      <c r="H1275" s="132">
        <f t="shared" si="150"/>
        <v>0</v>
      </c>
      <c r="I1275" s="132"/>
      <c r="J1275" s="132">
        <f t="shared" si="148"/>
        <v>0</v>
      </c>
      <c r="K1275" s="132">
        <f t="shared" si="151"/>
        <v>0</v>
      </c>
      <c r="L1275" s="132">
        <f t="shared" si="145"/>
        <v>0</v>
      </c>
      <c r="M1275" s="133"/>
      <c r="N1275" s="133">
        <f t="shared" si="149"/>
        <v>0</v>
      </c>
      <c r="O1275" s="134"/>
      <c r="P1275" s="133"/>
      <c r="Q1275" s="2"/>
      <c r="R1275" s="156">
        <f t="shared" si="146"/>
        <v>0</v>
      </c>
      <c r="S1275" s="156">
        <f t="shared" si="147"/>
        <v>0</v>
      </c>
      <c r="T1275" s="133"/>
      <c r="U1275" s="133"/>
      <c r="V1275" s="133"/>
      <c r="W1275" s="133"/>
      <c r="X1275" s="133"/>
      <c r="Y1275" s="133"/>
      <c r="Z1275" s="133"/>
      <c r="AA1275" s="133"/>
      <c r="AB1275" s="133"/>
      <c r="AC1275" s="133"/>
      <c r="AD1275" s="133"/>
      <c r="AE1275" s="133"/>
      <c r="AF1275" s="133"/>
      <c r="AG1275" s="133"/>
      <c r="AH1275" s="133"/>
      <c r="AI1275" s="133"/>
      <c r="AJ1275" s="133"/>
      <c r="AK1275" s="133"/>
      <c r="AL1275" s="133"/>
      <c r="AM1275" s="133"/>
      <c r="AN1275" s="133"/>
      <c r="AO1275" s="133"/>
      <c r="AP1275" s="133"/>
      <c r="AQ1275" s="133"/>
      <c r="AR1275" s="133"/>
      <c r="AS1275" s="153">
        <v>0</v>
      </c>
      <c r="AT1275" s="153">
        <v>0</v>
      </c>
      <c r="AU1275" s="153">
        <v>0</v>
      </c>
      <c r="AV1275" s="135"/>
      <c r="AW1275" s="135"/>
      <c r="AX1275" s="135"/>
      <c r="AY1275" s="135"/>
      <c r="AZ1275" s="135"/>
      <c r="BA1275" s="135"/>
      <c r="BB1275" s="135"/>
      <c r="BC1275" s="135"/>
      <c r="BD1275" s="135"/>
      <c r="BE1275" s="135"/>
      <c r="BF1275" s="135"/>
      <c r="BG1275" s="135"/>
      <c r="BH1275" s="135"/>
      <c r="BI1275" s="2"/>
      <c r="BJ1275" s="136"/>
      <c r="BK1275" s="2"/>
      <c r="BL1275" s="136"/>
      <c r="BM1275" s="136"/>
      <c r="BN1275" s="2"/>
      <c r="BO1275" s="2"/>
      <c r="BP1275" s="136"/>
      <c r="BQ1275" s="137"/>
    </row>
    <row r="1276" spans="1:69" ht="12.75" customHeight="1" x14ac:dyDescent="0.2">
      <c r="A1276" s="2">
        <v>2765</v>
      </c>
      <c r="B1276" s="2"/>
      <c r="C1276" s="131"/>
      <c r="D1276" s="131"/>
      <c r="E1276" s="2"/>
      <c r="F1276" s="132">
        <v>0</v>
      </c>
      <c r="G1276" s="132"/>
      <c r="H1276" s="132">
        <f t="shared" si="150"/>
        <v>0</v>
      </c>
      <c r="I1276" s="132"/>
      <c r="J1276" s="132">
        <f t="shared" si="148"/>
        <v>0</v>
      </c>
      <c r="K1276" s="132">
        <f t="shared" si="151"/>
        <v>0</v>
      </c>
      <c r="L1276" s="132">
        <f t="shared" si="145"/>
        <v>0</v>
      </c>
      <c r="M1276" s="133"/>
      <c r="N1276" s="133">
        <f t="shared" si="149"/>
        <v>0</v>
      </c>
      <c r="O1276" s="134"/>
      <c r="P1276" s="133"/>
      <c r="Q1276" s="2"/>
      <c r="R1276" s="156">
        <f t="shared" si="146"/>
        <v>0</v>
      </c>
      <c r="S1276" s="156">
        <f t="shared" si="147"/>
        <v>0</v>
      </c>
      <c r="T1276" s="133"/>
      <c r="U1276" s="133"/>
      <c r="V1276" s="133"/>
      <c r="W1276" s="133"/>
      <c r="X1276" s="133"/>
      <c r="Y1276" s="133"/>
      <c r="Z1276" s="133"/>
      <c r="AA1276" s="133"/>
      <c r="AB1276" s="133"/>
      <c r="AC1276" s="133"/>
      <c r="AD1276" s="133"/>
      <c r="AE1276" s="133"/>
      <c r="AF1276" s="133"/>
      <c r="AG1276" s="133"/>
      <c r="AH1276" s="133"/>
      <c r="AI1276" s="133"/>
      <c r="AJ1276" s="133"/>
      <c r="AK1276" s="133"/>
      <c r="AL1276" s="133"/>
      <c r="AM1276" s="133"/>
      <c r="AN1276" s="133"/>
      <c r="AO1276" s="133"/>
      <c r="AP1276" s="133"/>
      <c r="AQ1276" s="133"/>
      <c r="AR1276" s="133"/>
      <c r="AS1276" s="153">
        <v>0</v>
      </c>
      <c r="AT1276" s="153">
        <v>0</v>
      </c>
      <c r="AU1276" s="153">
        <v>0</v>
      </c>
      <c r="AV1276" s="135"/>
      <c r="AW1276" s="135"/>
      <c r="AX1276" s="135"/>
      <c r="AY1276" s="135"/>
      <c r="AZ1276" s="135"/>
      <c r="BA1276" s="135"/>
      <c r="BB1276" s="135"/>
      <c r="BC1276" s="135"/>
      <c r="BD1276" s="135"/>
      <c r="BE1276" s="135"/>
      <c r="BF1276" s="135"/>
      <c r="BG1276" s="135"/>
      <c r="BH1276" s="135"/>
      <c r="BI1276" s="2"/>
      <c r="BJ1276" s="136"/>
      <c r="BK1276" s="2"/>
      <c r="BL1276" s="136"/>
      <c r="BM1276" s="136"/>
      <c r="BN1276" s="2"/>
      <c r="BO1276" s="2"/>
      <c r="BP1276" s="136"/>
      <c r="BQ1276" s="137"/>
    </row>
    <row r="1277" spans="1:69" ht="12.75" customHeight="1" x14ac:dyDescent="0.2">
      <c r="A1277" s="2">
        <v>2766</v>
      </c>
      <c r="B1277" s="2"/>
      <c r="C1277" s="131"/>
      <c r="D1277" s="131"/>
      <c r="E1277" s="2"/>
      <c r="F1277" s="132">
        <v>0</v>
      </c>
      <c r="G1277" s="132"/>
      <c r="H1277" s="132">
        <f t="shared" si="150"/>
        <v>0</v>
      </c>
      <c r="I1277" s="132"/>
      <c r="J1277" s="132">
        <f t="shared" si="148"/>
        <v>0</v>
      </c>
      <c r="K1277" s="132">
        <f t="shared" si="151"/>
        <v>0</v>
      </c>
      <c r="L1277" s="132">
        <f t="shared" si="145"/>
        <v>0</v>
      </c>
      <c r="M1277" s="133"/>
      <c r="N1277" s="133">
        <f t="shared" si="149"/>
        <v>0</v>
      </c>
      <c r="O1277" s="134"/>
      <c r="P1277" s="133"/>
      <c r="Q1277" s="2"/>
      <c r="R1277" s="156">
        <f t="shared" si="146"/>
        <v>0</v>
      </c>
      <c r="S1277" s="156">
        <f t="shared" si="147"/>
        <v>0</v>
      </c>
      <c r="T1277" s="133"/>
      <c r="U1277" s="133"/>
      <c r="V1277" s="133"/>
      <c r="W1277" s="133"/>
      <c r="X1277" s="133"/>
      <c r="Y1277" s="133"/>
      <c r="Z1277" s="133"/>
      <c r="AA1277" s="133"/>
      <c r="AB1277" s="133"/>
      <c r="AC1277" s="133"/>
      <c r="AD1277" s="133"/>
      <c r="AE1277" s="133"/>
      <c r="AF1277" s="133"/>
      <c r="AG1277" s="133"/>
      <c r="AH1277" s="133"/>
      <c r="AI1277" s="133"/>
      <c r="AJ1277" s="133"/>
      <c r="AK1277" s="133"/>
      <c r="AL1277" s="133"/>
      <c r="AM1277" s="133"/>
      <c r="AN1277" s="133"/>
      <c r="AO1277" s="133"/>
      <c r="AP1277" s="133"/>
      <c r="AQ1277" s="133"/>
      <c r="AR1277" s="133"/>
      <c r="AS1277" s="153">
        <v>0</v>
      </c>
      <c r="AT1277" s="153">
        <v>0</v>
      </c>
      <c r="AU1277" s="153">
        <v>0</v>
      </c>
      <c r="AV1277" s="135"/>
      <c r="AW1277" s="135"/>
      <c r="AX1277" s="135"/>
      <c r="AY1277" s="135"/>
      <c r="AZ1277" s="135"/>
      <c r="BA1277" s="135"/>
      <c r="BB1277" s="135"/>
      <c r="BC1277" s="135"/>
      <c r="BD1277" s="135"/>
      <c r="BE1277" s="135"/>
      <c r="BF1277" s="135"/>
      <c r="BG1277" s="135"/>
      <c r="BH1277" s="135"/>
      <c r="BI1277" s="2"/>
      <c r="BJ1277" s="136"/>
      <c r="BK1277" s="2"/>
      <c r="BL1277" s="136"/>
      <c r="BM1277" s="136"/>
      <c r="BN1277" s="2"/>
      <c r="BO1277" s="2"/>
      <c r="BP1277" s="136"/>
      <c r="BQ1277" s="137"/>
    </row>
    <row r="1278" spans="1:69" ht="12.75" customHeight="1" x14ac:dyDescent="0.2">
      <c r="A1278" s="2">
        <v>2767</v>
      </c>
      <c r="B1278" s="2"/>
      <c r="C1278" s="131"/>
      <c r="D1278" s="131"/>
      <c r="E1278" s="2"/>
      <c r="F1278" s="132">
        <v>0</v>
      </c>
      <c r="G1278" s="132"/>
      <c r="H1278" s="132">
        <f t="shared" si="150"/>
        <v>0</v>
      </c>
      <c r="I1278" s="132"/>
      <c r="J1278" s="132">
        <f t="shared" si="148"/>
        <v>0</v>
      </c>
      <c r="K1278" s="132">
        <f t="shared" si="151"/>
        <v>0</v>
      </c>
      <c r="L1278" s="132">
        <f t="shared" si="145"/>
        <v>0</v>
      </c>
      <c r="M1278" s="133"/>
      <c r="N1278" s="133">
        <f t="shared" si="149"/>
        <v>0</v>
      </c>
      <c r="O1278" s="134"/>
      <c r="P1278" s="133"/>
      <c r="Q1278" s="2"/>
      <c r="R1278" s="156">
        <f t="shared" si="146"/>
        <v>0</v>
      </c>
      <c r="S1278" s="156">
        <f t="shared" si="147"/>
        <v>0</v>
      </c>
      <c r="T1278" s="133"/>
      <c r="U1278" s="133"/>
      <c r="V1278" s="133"/>
      <c r="W1278" s="133"/>
      <c r="X1278" s="133"/>
      <c r="Y1278" s="133"/>
      <c r="Z1278" s="133"/>
      <c r="AA1278" s="133"/>
      <c r="AB1278" s="133"/>
      <c r="AC1278" s="133"/>
      <c r="AD1278" s="133"/>
      <c r="AE1278" s="133"/>
      <c r="AF1278" s="133"/>
      <c r="AG1278" s="133"/>
      <c r="AH1278" s="133"/>
      <c r="AI1278" s="133"/>
      <c r="AJ1278" s="133"/>
      <c r="AK1278" s="133"/>
      <c r="AL1278" s="133"/>
      <c r="AM1278" s="133"/>
      <c r="AN1278" s="133"/>
      <c r="AO1278" s="133"/>
      <c r="AP1278" s="133"/>
      <c r="AQ1278" s="133"/>
      <c r="AR1278" s="133"/>
      <c r="AS1278" s="153">
        <v>0</v>
      </c>
      <c r="AT1278" s="153">
        <v>0</v>
      </c>
      <c r="AU1278" s="153">
        <v>0</v>
      </c>
      <c r="AV1278" s="135"/>
      <c r="AW1278" s="135"/>
      <c r="AX1278" s="135"/>
      <c r="AY1278" s="135"/>
      <c r="AZ1278" s="135"/>
      <c r="BA1278" s="135"/>
      <c r="BB1278" s="135"/>
      <c r="BC1278" s="135"/>
      <c r="BD1278" s="135"/>
      <c r="BE1278" s="135"/>
      <c r="BF1278" s="135"/>
      <c r="BG1278" s="135"/>
      <c r="BH1278" s="135"/>
      <c r="BI1278" s="2"/>
      <c r="BJ1278" s="136"/>
      <c r="BK1278" s="2"/>
      <c r="BL1278" s="136"/>
      <c r="BM1278" s="136"/>
      <c r="BN1278" s="2"/>
      <c r="BO1278" s="2"/>
      <c r="BP1278" s="136"/>
      <c r="BQ1278" s="137"/>
    </row>
    <row r="1279" spans="1:69" ht="12.75" customHeight="1" x14ac:dyDescent="0.2">
      <c r="A1279" s="2">
        <v>2768</v>
      </c>
      <c r="B1279" s="2"/>
      <c r="C1279" s="131"/>
      <c r="D1279" s="131"/>
      <c r="E1279" s="2"/>
      <c r="F1279" s="132">
        <v>0</v>
      </c>
      <c r="G1279" s="132"/>
      <c r="H1279" s="132">
        <f t="shared" si="150"/>
        <v>0</v>
      </c>
      <c r="I1279" s="132"/>
      <c r="J1279" s="132">
        <f t="shared" si="148"/>
        <v>0</v>
      </c>
      <c r="K1279" s="132">
        <f t="shared" si="151"/>
        <v>0</v>
      </c>
      <c r="L1279" s="132">
        <f t="shared" si="145"/>
        <v>0</v>
      </c>
      <c r="M1279" s="133"/>
      <c r="N1279" s="133">
        <f t="shared" si="149"/>
        <v>0</v>
      </c>
      <c r="O1279" s="134"/>
      <c r="P1279" s="133"/>
      <c r="Q1279" s="2"/>
      <c r="R1279" s="156">
        <f t="shared" si="146"/>
        <v>0</v>
      </c>
      <c r="S1279" s="156">
        <f t="shared" si="147"/>
        <v>0</v>
      </c>
      <c r="T1279" s="133"/>
      <c r="U1279" s="133"/>
      <c r="V1279" s="133"/>
      <c r="W1279" s="133"/>
      <c r="X1279" s="133"/>
      <c r="Y1279" s="133"/>
      <c r="Z1279" s="133"/>
      <c r="AA1279" s="133"/>
      <c r="AB1279" s="133"/>
      <c r="AC1279" s="133"/>
      <c r="AD1279" s="133"/>
      <c r="AE1279" s="133"/>
      <c r="AF1279" s="133"/>
      <c r="AG1279" s="133"/>
      <c r="AH1279" s="133"/>
      <c r="AI1279" s="133"/>
      <c r="AJ1279" s="133"/>
      <c r="AK1279" s="133"/>
      <c r="AL1279" s="133"/>
      <c r="AM1279" s="133"/>
      <c r="AN1279" s="133"/>
      <c r="AO1279" s="133"/>
      <c r="AP1279" s="133"/>
      <c r="AQ1279" s="133"/>
      <c r="AR1279" s="133"/>
      <c r="AS1279" s="153">
        <v>0</v>
      </c>
      <c r="AT1279" s="153">
        <v>0</v>
      </c>
      <c r="AU1279" s="153">
        <v>0</v>
      </c>
      <c r="AV1279" s="135"/>
      <c r="AW1279" s="135"/>
      <c r="AX1279" s="135"/>
      <c r="AY1279" s="135"/>
      <c r="AZ1279" s="135"/>
      <c r="BA1279" s="135"/>
      <c r="BB1279" s="135"/>
      <c r="BC1279" s="135"/>
      <c r="BD1279" s="135"/>
      <c r="BE1279" s="135"/>
      <c r="BF1279" s="135"/>
      <c r="BG1279" s="135"/>
      <c r="BH1279" s="135"/>
      <c r="BI1279" s="2"/>
      <c r="BJ1279" s="136"/>
      <c r="BK1279" s="2"/>
      <c r="BL1279" s="136"/>
      <c r="BM1279" s="136"/>
      <c r="BN1279" s="2"/>
      <c r="BO1279" s="2"/>
      <c r="BP1279" s="136"/>
      <c r="BQ1279" s="137"/>
    </row>
    <row r="1280" spans="1:69" ht="12.75" customHeight="1" x14ac:dyDescent="0.2">
      <c r="A1280" s="2">
        <v>2769</v>
      </c>
      <c r="B1280" s="2"/>
      <c r="C1280" s="131"/>
      <c r="D1280" s="131"/>
      <c r="E1280" s="2"/>
      <c r="F1280" s="132">
        <v>0</v>
      </c>
      <c r="G1280" s="132"/>
      <c r="H1280" s="132">
        <f t="shared" si="150"/>
        <v>0</v>
      </c>
      <c r="I1280" s="132"/>
      <c r="J1280" s="132">
        <f t="shared" si="148"/>
        <v>0</v>
      </c>
      <c r="K1280" s="132">
        <f t="shared" si="151"/>
        <v>0</v>
      </c>
      <c r="L1280" s="132">
        <f t="shared" si="145"/>
        <v>0</v>
      </c>
      <c r="M1280" s="133"/>
      <c r="N1280" s="133">
        <f t="shared" si="149"/>
        <v>0</v>
      </c>
      <c r="O1280" s="134"/>
      <c r="P1280" s="133"/>
      <c r="Q1280" s="2"/>
      <c r="R1280" s="156">
        <f t="shared" si="146"/>
        <v>0</v>
      </c>
      <c r="S1280" s="156">
        <f t="shared" si="147"/>
        <v>0</v>
      </c>
      <c r="T1280" s="133"/>
      <c r="U1280" s="133"/>
      <c r="V1280" s="133"/>
      <c r="W1280" s="133"/>
      <c r="X1280" s="133"/>
      <c r="Y1280" s="133"/>
      <c r="Z1280" s="133"/>
      <c r="AA1280" s="133"/>
      <c r="AB1280" s="133"/>
      <c r="AC1280" s="133"/>
      <c r="AD1280" s="133"/>
      <c r="AE1280" s="133"/>
      <c r="AF1280" s="133"/>
      <c r="AG1280" s="133"/>
      <c r="AH1280" s="133"/>
      <c r="AI1280" s="133"/>
      <c r="AJ1280" s="133"/>
      <c r="AK1280" s="133"/>
      <c r="AL1280" s="133"/>
      <c r="AM1280" s="133"/>
      <c r="AN1280" s="133"/>
      <c r="AO1280" s="133"/>
      <c r="AP1280" s="133"/>
      <c r="AQ1280" s="133"/>
      <c r="AR1280" s="133"/>
      <c r="AS1280" s="153">
        <v>0</v>
      </c>
      <c r="AT1280" s="153">
        <v>0</v>
      </c>
      <c r="AU1280" s="153">
        <v>0</v>
      </c>
      <c r="AV1280" s="135"/>
      <c r="AW1280" s="135"/>
      <c r="AX1280" s="135"/>
      <c r="AY1280" s="135"/>
      <c r="AZ1280" s="135"/>
      <c r="BA1280" s="135"/>
      <c r="BB1280" s="135"/>
      <c r="BC1280" s="135"/>
      <c r="BD1280" s="135"/>
      <c r="BE1280" s="135"/>
      <c r="BF1280" s="135"/>
      <c r="BG1280" s="135"/>
      <c r="BH1280" s="135"/>
      <c r="BI1280" s="2"/>
      <c r="BJ1280" s="136"/>
      <c r="BK1280" s="2"/>
      <c r="BL1280" s="136"/>
      <c r="BM1280" s="136"/>
      <c r="BN1280" s="2"/>
      <c r="BO1280" s="2"/>
      <c r="BP1280" s="136"/>
      <c r="BQ1280" s="137"/>
    </row>
    <row r="1281" spans="1:69" ht="12.75" customHeight="1" x14ac:dyDescent="0.2">
      <c r="A1281" s="2">
        <v>2770</v>
      </c>
      <c r="B1281" s="2"/>
      <c r="C1281" s="131"/>
      <c r="D1281" s="131"/>
      <c r="E1281" s="2"/>
      <c r="F1281" s="132">
        <v>0</v>
      </c>
      <c r="G1281" s="132"/>
      <c r="H1281" s="132">
        <f t="shared" si="150"/>
        <v>0</v>
      </c>
      <c r="I1281" s="132"/>
      <c r="J1281" s="132">
        <f t="shared" si="148"/>
        <v>0</v>
      </c>
      <c r="K1281" s="132">
        <f t="shared" si="151"/>
        <v>0</v>
      </c>
      <c r="L1281" s="132">
        <f t="shared" si="145"/>
        <v>0</v>
      </c>
      <c r="M1281" s="133"/>
      <c r="N1281" s="133">
        <f t="shared" si="149"/>
        <v>0</v>
      </c>
      <c r="O1281" s="134"/>
      <c r="P1281" s="133"/>
      <c r="Q1281" s="2"/>
      <c r="R1281" s="156">
        <f t="shared" si="146"/>
        <v>0</v>
      </c>
      <c r="S1281" s="156">
        <f t="shared" si="147"/>
        <v>0</v>
      </c>
      <c r="T1281" s="133"/>
      <c r="U1281" s="133"/>
      <c r="V1281" s="133"/>
      <c r="W1281" s="133"/>
      <c r="X1281" s="133"/>
      <c r="Y1281" s="133"/>
      <c r="Z1281" s="133"/>
      <c r="AA1281" s="133"/>
      <c r="AB1281" s="133"/>
      <c r="AC1281" s="133"/>
      <c r="AD1281" s="133"/>
      <c r="AE1281" s="133"/>
      <c r="AF1281" s="133"/>
      <c r="AG1281" s="133"/>
      <c r="AH1281" s="133"/>
      <c r="AI1281" s="133"/>
      <c r="AJ1281" s="133"/>
      <c r="AK1281" s="133"/>
      <c r="AL1281" s="133"/>
      <c r="AM1281" s="133"/>
      <c r="AN1281" s="133"/>
      <c r="AO1281" s="133"/>
      <c r="AP1281" s="133"/>
      <c r="AQ1281" s="133"/>
      <c r="AR1281" s="133"/>
      <c r="AS1281" s="153">
        <v>0</v>
      </c>
      <c r="AT1281" s="153">
        <v>0</v>
      </c>
      <c r="AU1281" s="153">
        <v>0</v>
      </c>
      <c r="AV1281" s="135"/>
      <c r="AW1281" s="135"/>
      <c r="AX1281" s="135"/>
      <c r="AY1281" s="135"/>
      <c r="AZ1281" s="135"/>
      <c r="BA1281" s="135"/>
      <c r="BB1281" s="135"/>
      <c r="BC1281" s="135"/>
      <c r="BD1281" s="135"/>
      <c r="BE1281" s="135"/>
      <c r="BF1281" s="135"/>
      <c r="BG1281" s="135"/>
      <c r="BH1281" s="135"/>
      <c r="BI1281" s="2"/>
      <c r="BJ1281" s="136"/>
      <c r="BK1281" s="2"/>
      <c r="BL1281" s="136"/>
      <c r="BM1281" s="136"/>
      <c r="BN1281" s="2"/>
      <c r="BO1281" s="2"/>
      <c r="BP1281" s="136"/>
      <c r="BQ1281" s="137"/>
    </row>
    <row r="1282" spans="1:69" ht="12.75" customHeight="1" x14ac:dyDescent="0.2">
      <c r="A1282" s="2">
        <v>2771</v>
      </c>
      <c r="B1282" s="2"/>
      <c r="C1282" s="131"/>
      <c r="D1282" s="131"/>
      <c r="E1282" s="2"/>
      <c r="F1282" s="132">
        <v>0</v>
      </c>
      <c r="G1282" s="132"/>
      <c r="H1282" s="132">
        <f t="shared" si="150"/>
        <v>0</v>
      </c>
      <c r="I1282" s="132"/>
      <c r="J1282" s="132">
        <f t="shared" si="148"/>
        <v>0</v>
      </c>
      <c r="K1282" s="132">
        <f t="shared" si="151"/>
        <v>0</v>
      </c>
      <c r="L1282" s="132">
        <f t="shared" si="145"/>
        <v>0</v>
      </c>
      <c r="M1282" s="133"/>
      <c r="N1282" s="133">
        <f t="shared" si="149"/>
        <v>0</v>
      </c>
      <c r="O1282" s="134"/>
      <c r="P1282" s="133"/>
      <c r="Q1282" s="2"/>
      <c r="R1282" s="156">
        <f t="shared" si="146"/>
        <v>0</v>
      </c>
      <c r="S1282" s="156">
        <f t="shared" si="147"/>
        <v>0</v>
      </c>
      <c r="T1282" s="133"/>
      <c r="U1282" s="133"/>
      <c r="V1282" s="133"/>
      <c r="W1282" s="133"/>
      <c r="X1282" s="133"/>
      <c r="Y1282" s="133"/>
      <c r="Z1282" s="133"/>
      <c r="AA1282" s="133"/>
      <c r="AB1282" s="133"/>
      <c r="AC1282" s="133"/>
      <c r="AD1282" s="133"/>
      <c r="AE1282" s="133"/>
      <c r="AF1282" s="133"/>
      <c r="AG1282" s="133"/>
      <c r="AH1282" s="133"/>
      <c r="AI1282" s="133"/>
      <c r="AJ1282" s="133"/>
      <c r="AK1282" s="133"/>
      <c r="AL1282" s="133"/>
      <c r="AM1282" s="133"/>
      <c r="AN1282" s="133"/>
      <c r="AO1282" s="133"/>
      <c r="AP1282" s="133"/>
      <c r="AQ1282" s="133"/>
      <c r="AR1282" s="133"/>
      <c r="AS1282" s="153">
        <v>0</v>
      </c>
      <c r="AT1282" s="153">
        <v>0</v>
      </c>
      <c r="AU1282" s="153">
        <v>0</v>
      </c>
      <c r="AV1282" s="135"/>
      <c r="AW1282" s="135"/>
      <c r="AX1282" s="135"/>
      <c r="AY1282" s="135"/>
      <c r="AZ1282" s="135"/>
      <c r="BA1282" s="135"/>
      <c r="BB1282" s="135"/>
      <c r="BC1282" s="135"/>
      <c r="BD1282" s="135"/>
      <c r="BE1282" s="135"/>
      <c r="BF1282" s="135"/>
      <c r="BG1282" s="135"/>
      <c r="BH1282" s="135"/>
      <c r="BI1282" s="2"/>
      <c r="BJ1282" s="136"/>
      <c r="BK1282" s="2"/>
      <c r="BL1282" s="136"/>
      <c r="BM1282" s="136"/>
      <c r="BN1282" s="2"/>
      <c r="BO1282" s="2"/>
      <c r="BP1282" s="136"/>
      <c r="BQ1282" s="137"/>
    </row>
    <row r="1283" spans="1:69" ht="12.75" customHeight="1" x14ac:dyDescent="0.2">
      <c r="A1283" s="2">
        <v>2772</v>
      </c>
      <c r="B1283" s="2"/>
      <c r="C1283" s="131"/>
      <c r="D1283" s="131"/>
      <c r="E1283" s="2"/>
      <c r="F1283" s="132">
        <v>0</v>
      </c>
      <c r="G1283" s="132"/>
      <c r="H1283" s="132">
        <f t="shared" si="150"/>
        <v>0</v>
      </c>
      <c r="I1283" s="132"/>
      <c r="J1283" s="132">
        <f t="shared" si="148"/>
        <v>0</v>
      </c>
      <c r="K1283" s="132">
        <f t="shared" si="151"/>
        <v>0</v>
      </c>
      <c r="L1283" s="132">
        <f t="shared" si="145"/>
        <v>0</v>
      </c>
      <c r="M1283" s="133"/>
      <c r="N1283" s="133">
        <f t="shared" si="149"/>
        <v>0</v>
      </c>
      <c r="O1283" s="134"/>
      <c r="P1283" s="133"/>
      <c r="Q1283" s="2"/>
      <c r="R1283" s="156">
        <f t="shared" si="146"/>
        <v>0</v>
      </c>
      <c r="S1283" s="156">
        <f t="shared" si="147"/>
        <v>0</v>
      </c>
      <c r="T1283" s="133"/>
      <c r="U1283" s="133"/>
      <c r="V1283" s="133"/>
      <c r="W1283" s="133"/>
      <c r="X1283" s="133"/>
      <c r="Y1283" s="133"/>
      <c r="Z1283" s="133"/>
      <c r="AA1283" s="133"/>
      <c r="AB1283" s="133"/>
      <c r="AC1283" s="133"/>
      <c r="AD1283" s="133"/>
      <c r="AE1283" s="133"/>
      <c r="AF1283" s="133"/>
      <c r="AG1283" s="133"/>
      <c r="AH1283" s="133"/>
      <c r="AI1283" s="133"/>
      <c r="AJ1283" s="133"/>
      <c r="AK1283" s="133"/>
      <c r="AL1283" s="133"/>
      <c r="AM1283" s="133"/>
      <c r="AN1283" s="133"/>
      <c r="AO1283" s="133"/>
      <c r="AP1283" s="133"/>
      <c r="AQ1283" s="133"/>
      <c r="AR1283" s="133"/>
      <c r="AS1283" s="153">
        <v>0</v>
      </c>
      <c r="AT1283" s="153">
        <v>0</v>
      </c>
      <c r="AU1283" s="153">
        <v>0</v>
      </c>
      <c r="AV1283" s="135"/>
      <c r="AW1283" s="135"/>
      <c r="AX1283" s="135"/>
      <c r="AY1283" s="135"/>
      <c r="AZ1283" s="135"/>
      <c r="BA1283" s="135"/>
      <c r="BB1283" s="135"/>
      <c r="BC1283" s="135"/>
      <c r="BD1283" s="135"/>
      <c r="BE1283" s="135"/>
      <c r="BF1283" s="135"/>
      <c r="BG1283" s="135"/>
      <c r="BH1283" s="135"/>
      <c r="BI1283" s="2"/>
      <c r="BJ1283" s="136"/>
      <c r="BK1283" s="2"/>
      <c r="BL1283" s="136"/>
      <c r="BM1283" s="136"/>
      <c r="BN1283" s="2"/>
      <c r="BO1283" s="2"/>
      <c r="BP1283" s="136"/>
      <c r="BQ1283" s="137"/>
    </row>
    <row r="1284" spans="1:69" ht="12.75" customHeight="1" x14ac:dyDescent="0.2">
      <c r="A1284" s="2">
        <v>2773</v>
      </c>
      <c r="B1284" s="2"/>
      <c r="C1284" s="131"/>
      <c r="D1284" s="131"/>
      <c r="E1284" s="2"/>
      <c r="F1284" s="132">
        <v>0</v>
      </c>
      <c r="G1284" s="132"/>
      <c r="H1284" s="132">
        <f t="shared" si="150"/>
        <v>0</v>
      </c>
      <c r="I1284" s="132"/>
      <c r="J1284" s="132">
        <f t="shared" si="148"/>
        <v>0</v>
      </c>
      <c r="K1284" s="132">
        <f t="shared" si="151"/>
        <v>0</v>
      </c>
      <c r="L1284" s="132">
        <f t="shared" si="145"/>
        <v>0</v>
      </c>
      <c r="M1284" s="133"/>
      <c r="N1284" s="133">
        <f t="shared" si="149"/>
        <v>0</v>
      </c>
      <c r="O1284" s="134"/>
      <c r="P1284" s="133"/>
      <c r="Q1284" s="2"/>
      <c r="R1284" s="156">
        <f t="shared" si="146"/>
        <v>0</v>
      </c>
      <c r="S1284" s="156">
        <f t="shared" si="147"/>
        <v>0</v>
      </c>
      <c r="T1284" s="133"/>
      <c r="U1284" s="133"/>
      <c r="V1284" s="133"/>
      <c r="W1284" s="133"/>
      <c r="X1284" s="133"/>
      <c r="Y1284" s="133"/>
      <c r="Z1284" s="133"/>
      <c r="AA1284" s="133"/>
      <c r="AB1284" s="133"/>
      <c r="AC1284" s="133"/>
      <c r="AD1284" s="133"/>
      <c r="AE1284" s="133"/>
      <c r="AF1284" s="133"/>
      <c r="AG1284" s="133"/>
      <c r="AH1284" s="133"/>
      <c r="AI1284" s="133"/>
      <c r="AJ1284" s="133"/>
      <c r="AK1284" s="133"/>
      <c r="AL1284" s="133"/>
      <c r="AM1284" s="133"/>
      <c r="AN1284" s="133"/>
      <c r="AO1284" s="133"/>
      <c r="AP1284" s="133"/>
      <c r="AQ1284" s="133"/>
      <c r="AR1284" s="133"/>
      <c r="AS1284" s="153">
        <v>0</v>
      </c>
      <c r="AT1284" s="153">
        <v>0</v>
      </c>
      <c r="AU1284" s="153">
        <v>0</v>
      </c>
      <c r="AV1284" s="135"/>
      <c r="AW1284" s="135"/>
      <c r="AX1284" s="135"/>
      <c r="AY1284" s="135"/>
      <c r="AZ1284" s="135"/>
      <c r="BA1284" s="135"/>
      <c r="BB1284" s="135"/>
      <c r="BC1284" s="135"/>
      <c r="BD1284" s="135"/>
      <c r="BE1284" s="135"/>
      <c r="BF1284" s="135"/>
      <c r="BG1284" s="135"/>
      <c r="BH1284" s="135"/>
      <c r="BI1284" s="2"/>
      <c r="BJ1284" s="136"/>
      <c r="BK1284" s="2"/>
      <c r="BL1284" s="136"/>
      <c r="BM1284" s="136"/>
      <c r="BN1284" s="2"/>
      <c r="BO1284" s="2"/>
      <c r="BP1284" s="136"/>
      <c r="BQ1284" s="137"/>
    </row>
    <row r="1285" spans="1:69" ht="12.75" customHeight="1" x14ac:dyDescent="0.2">
      <c r="A1285" s="2">
        <v>2774</v>
      </c>
      <c r="B1285" s="2"/>
      <c r="C1285" s="131"/>
      <c r="D1285" s="131"/>
      <c r="E1285" s="2"/>
      <c r="F1285" s="132">
        <v>0</v>
      </c>
      <c r="G1285" s="132"/>
      <c r="H1285" s="132">
        <f t="shared" si="150"/>
        <v>0</v>
      </c>
      <c r="I1285" s="132"/>
      <c r="J1285" s="132">
        <f t="shared" si="148"/>
        <v>0</v>
      </c>
      <c r="K1285" s="132">
        <f t="shared" si="151"/>
        <v>0</v>
      </c>
      <c r="L1285" s="132">
        <f t="shared" si="145"/>
        <v>0</v>
      </c>
      <c r="M1285" s="133"/>
      <c r="N1285" s="133">
        <f t="shared" si="149"/>
        <v>0</v>
      </c>
      <c r="O1285" s="134"/>
      <c r="P1285" s="133"/>
      <c r="Q1285" s="2"/>
      <c r="R1285" s="156">
        <f t="shared" si="146"/>
        <v>0</v>
      </c>
      <c r="S1285" s="156">
        <f t="shared" si="147"/>
        <v>0</v>
      </c>
      <c r="T1285" s="133"/>
      <c r="U1285" s="133"/>
      <c r="V1285" s="133"/>
      <c r="W1285" s="133"/>
      <c r="X1285" s="133"/>
      <c r="Y1285" s="133"/>
      <c r="Z1285" s="133"/>
      <c r="AA1285" s="133"/>
      <c r="AB1285" s="133"/>
      <c r="AC1285" s="133"/>
      <c r="AD1285" s="133"/>
      <c r="AE1285" s="133"/>
      <c r="AF1285" s="133"/>
      <c r="AG1285" s="133"/>
      <c r="AH1285" s="133"/>
      <c r="AI1285" s="133"/>
      <c r="AJ1285" s="133"/>
      <c r="AK1285" s="133"/>
      <c r="AL1285" s="133"/>
      <c r="AM1285" s="133"/>
      <c r="AN1285" s="133"/>
      <c r="AO1285" s="133"/>
      <c r="AP1285" s="133"/>
      <c r="AQ1285" s="133"/>
      <c r="AR1285" s="133"/>
      <c r="AS1285" s="153">
        <v>0</v>
      </c>
      <c r="AT1285" s="153">
        <v>0</v>
      </c>
      <c r="AU1285" s="153">
        <v>0</v>
      </c>
      <c r="AV1285" s="135"/>
      <c r="AW1285" s="135"/>
      <c r="AX1285" s="135"/>
      <c r="AY1285" s="135"/>
      <c r="AZ1285" s="135"/>
      <c r="BA1285" s="135"/>
      <c r="BB1285" s="135"/>
      <c r="BC1285" s="135"/>
      <c r="BD1285" s="135"/>
      <c r="BE1285" s="135"/>
      <c r="BF1285" s="135"/>
      <c r="BG1285" s="135"/>
      <c r="BH1285" s="135"/>
      <c r="BI1285" s="2"/>
      <c r="BJ1285" s="136"/>
      <c r="BK1285" s="2"/>
      <c r="BL1285" s="136"/>
      <c r="BM1285" s="136"/>
      <c r="BN1285" s="2"/>
      <c r="BO1285" s="2"/>
      <c r="BP1285" s="136"/>
      <c r="BQ1285" s="137"/>
    </row>
    <row r="1286" spans="1:69" ht="12.75" customHeight="1" x14ac:dyDescent="0.2">
      <c r="A1286" s="2">
        <v>2775</v>
      </c>
      <c r="B1286" s="2"/>
      <c r="C1286" s="131"/>
      <c r="D1286" s="131"/>
      <c r="E1286" s="2"/>
      <c r="F1286" s="132">
        <v>0</v>
      </c>
      <c r="G1286" s="132"/>
      <c r="H1286" s="132">
        <f t="shared" si="150"/>
        <v>0</v>
      </c>
      <c r="I1286" s="132"/>
      <c r="J1286" s="132">
        <f t="shared" si="148"/>
        <v>0</v>
      </c>
      <c r="K1286" s="132">
        <f t="shared" si="151"/>
        <v>0</v>
      </c>
      <c r="L1286" s="132">
        <f t="shared" si="145"/>
        <v>0</v>
      </c>
      <c r="M1286" s="133"/>
      <c r="N1286" s="133">
        <f t="shared" si="149"/>
        <v>0</v>
      </c>
      <c r="O1286" s="134"/>
      <c r="P1286" s="133"/>
      <c r="Q1286" s="2"/>
      <c r="R1286" s="156">
        <f t="shared" si="146"/>
        <v>0</v>
      </c>
      <c r="S1286" s="156">
        <f t="shared" si="147"/>
        <v>0</v>
      </c>
      <c r="T1286" s="133"/>
      <c r="U1286" s="133"/>
      <c r="V1286" s="133"/>
      <c r="W1286" s="133"/>
      <c r="X1286" s="133"/>
      <c r="Y1286" s="133"/>
      <c r="Z1286" s="133"/>
      <c r="AA1286" s="133"/>
      <c r="AB1286" s="133"/>
      <c r="AC1286" s="133"/>
      <c r="AD1286" s="133"/>
      <c r="AE1286" s="133"/>
      <c r="AF1286" s="133"/>
      <c r="AG1286" s="133"/>
      <c r="AH1286" s="133"/>
      <c r="AI1286" s="133"/>
      <c r="AJ1286" s="133"/>
      <c r="AK1286" s="133"/>
      <c r="AL1286" s="133"/>
      <c r="AM1286" s="133"/>
      <c r="AN1286" s="133"/>
      <c r="AO1286" s="133"/>
      <c r="AP1286" s="133"/>
      <c r="AQ1286" s="133"/>
      <c r="AR1286" s="133"/>
      <c r="AS1286" s="153">
        <v>0</v>
      </c>
      <c r="AT1286" s="153">
        <v>0</v>
      </c>
      <c r="AU1286" s="153">
        <v>0</v>
      </c>
      <c r="AV1286" s="135"/>
      <c r="AW1286" s="135"/>
      <c r="AX1286" s="135"/>
      <c r="AY1286" s="135"/>
      <c r="AZ1286" s="135"/>
      <c r="BA1286" s="135"/>
      <c r="BB1286" s="135"/>
      <c r="BC1286" s="135"/>
      <c r="BD1286" s="135"/>
      <c r="BE1286" s="135"/>
      <c r="BF1286" s="135"/>
      <c r="BG1286" s="135"/>
      <c r="BH1286" s="135"/>
      <c r="BI1286" s="2"/>
      <c r="BJ1286" s="136"/>
      <c r="BK1286" s="2"/>
      <c r="BL1286" s="136"/>
      <c r="BM1286" s="136"/>
      <c r="BN1286" s="2"/>
      <c r="BO1286" s="2"/>
      <c r="BP1286" s="136"/>
      <c r="BQ1286" s="137"/>
    </row>
    <row r="1287" spans="1:69" ht="12.75" customHeight="1" x14ac:dyDescent="0.2">
      <c r="A1287" s="2">
        <v>2776</v>
      </c>
      <c r="B1287" s="2"/>
      <c r="C1287" s="131"/>
      <c r="D1287" s="131"/>
      <c r="E1287" s="2"/>
      <c r="F1287" s="132">
        <v>0</v>
      </c>
      <c r="G1287" s="132"/>
      <c r="H1287" s="132">
        <f t="shared" si="150"/>
        <v>0</v>
      </c>
      <c r="I1287" s="132"/>
      <c r="J1287" s="132">
        <f t="shared" si="148"/>
        <v>0</v>
      </c>
      <c r="K1287" s="132">
        <f t="shared" si="151"/>
        <v>0</v>
      </c>
      <c r="L1287" s="132">
        <f t="shared" si="145"/>
        <v>0</v>
      </c>
      <c r="M1287" s="133"/>
      <c r="N1287" s="133">
        <f t="shared" si="149"/>
        <v>0</v>
      </c>
      <c r="O1287" s="134"/>
      <c r="P1287" s="133"/>
      <c r="Q1287" s="2"/>
      <c r="R1287" s="156">
        <f t="shared" si="146"/>
        <v>0</v>
      </c>
      <c r="S1287" s="156">
        <f t="shared" si="147"/>
        <v>0</v>
      </c>
      <c r="T1287" s="133"/>
      <c r="U1287" s="133"/>
      <c r="V1287" s="133"/>
      <c r="W1287" s="133"/>
      <c r="X1287" s="133"/>
      <c r="Y1287" s="133"/>
      <c r="Z1287" s="133"/>
      <c r="AA1287" s="133"/>
      <c r="AB1287" s="133"/>
      <c r="AC1287" s="133"/>
      <c r="AD1287" s="133"/>
      <c r="AE1287" s="133"/>
      <c r="AF1287" s="133"/>
      <c r="AG1287" s="133"/>
      <c r="AH1287" s="133"/>
      <c r="AI1287" s="133"/>
      <c r="AJ1287" s="133"/>
      <c r="AK1287" s="133"/>
      <c r="AL1287" s="133"/>
      <c r="AM1287" s="133"/>
      <c r="AN1287" s="133"/>
      <c r="AO1287" s="133"/>
      <c r="AP1287" s="133"/>
      <c r="AQ1287" s="133"/>
      <c r="AR1287" s="133"/>
      <c r="AS1287" s="153">
        <v>0</v>
      </c>
      <c r="AT1287" s="153">
        <v>0</v>
      </c>
      <c r="AU1287" s="153">
        <v>0</v>
      </c>
      <c r="AV1287" s="135"/>
      <c r="AW1287" s="135"/>
      <c r="AX1287" s="135"/>
      <c r="AY1287" s="135"/>
      <c r="AZ1287" s="135"/>
      <c r="BA1287" s="135"/>
      <c r="BB1287" s="135"/>
      <c r="BC1287" s="135"/>
      <c r="BD1287" s="135"/>
      <c r="BE1287" s="135"/>
      <c r="BF1287" s="135"/>
      <c r="BG1287" s="135"/>
      <c r="BH1287" s="135"/>
      <c r="BI1287" s="2"/>
      <c r="BJ1287" s="136"/>
      <c r="BK1287" s="2"/>
      <c r="BL1287" s="136"/>
      <c r="BM1287" s="136"/>
      <c r="BN1287" s="2"/>
      <c r="BO1287" s="2"/>
      <c r="BP1287" s="136"/>
      <c r="BQ1287" s="137"/>
    </row>
    <row r="1288" spans="1:69" ht="12.75" customHeight="1" x14ac:dyDescent="0.2">
      <c r="A1288" s="2">
        <v>2777</v>
      </c>
      <c r="B1288" s="2"/>
      <c r="C1288" s="131"/>
      <c r="D1288" s="131"/>
      <c r="E1288" s="2"/>
      <c r="F1288" s="132">
        <v>0</v>
      </c>
      <c r="G1288" s="132"/>
      <c r="H1288" s="132">
        <f t="shared" si="150"/>
        <v>0</v>
      </c>
      <c r="I1288" s="132"/>
      <c r="J1288" s="132">
        <f t="shared" si="148"/>
        <v>0</v>
      </c>
      <c r="K1288" s="132">
        <f t="shared" si="151"/>
        <v>0</v>
      </c>
      <c r="L1288" s="132">
        <f t="shared" si="145"/>
        <v>0</v>
      </c>
      <c r="M1288" s="133"/>
      <c r="N1288" s="133">
        <f t="shared" si="149"/>
        <v>0</v>
      </c>
      <c r="O1288" s="134"/>
      <c r="P1288" s="133"/>
      <c r="Q1288" s="2"/>
      <c r="R1288" s="156">
        <f t="shared" si="146"/>
        <v>0</v>
      </c>
      <c r="S1288" s="156">
        <f t="shared" si="147"/>
        <v>0</v>
      </c>
      <c r="T1288" s="133"/>
      <c r="U1288" s="133"/>
      <c r="V1288" s="133"/>
      <c r="W1288" s="133"/>
      <c r="X1288" s="133"/>
      <c r="Y1288" s="133"/>
      <c r="Z1288" s="133"/>
      <c r="AA1288" s="133"/>
      <c r="AB1288" s="133"/>
      <c r="AC1288" s="133"/>
      <c r="AD1288" s="133"/>
      <c r="AE1288" s="133"/>
      <c r="AF1288" s="133"/>
      <c r="AG1288" s="133"/>
      <c r="AH1288" s="133"/>
      <c r="AI1288" s="133"/>
      <c r="AJ1288" s="133"/>
      <c r="AK1288" s="133"/>
      <c r="AL1288" s="133"/>
      <c r="AM1288" s="133"/>
      <c r="AN1288" s="133"/>
      <c r="AO1288" s="133"/>
      <c r="AP1288" s="133"/>
      <c r="AQ1288" s="133"/>
      <c r="AR1288" s="133"/>
      <c r="AS1288" s="153">
        <v>0</v>
      </c>
      <c r="AT1288" s="153">
        <v>0</v>
      </c>
      <c r="AU1288" s="153">
        <v>0</v>
      </c>
      <c r="AV1288" s="135"/>
      <c r="AW1288" s="135"/>
      <c r="AX1288" s="135"/>
      <c r="AY1288" s="135"/>
      <c r="AZ1288" s="135"/>
      <c r="BA1288" s="135"/>
      <c r="BB1288" s="135"/>
      <c r="BC1288" s="135"/>
      <c r="BD1288" s="135"/>
      <c r="BE1288" s="135"/>
      <c r="BF1288" s="135"/>
      <c r="BG1288" s="135"/>
      <c r="BH1288" s="135"/>
      <c r="BI1288" s="2"/>
      <c r="BJ1288" s="136"/>
      <c r="BK1288" s="2"/>
      <c r="BL1288" s="136"/>
      <c r="BM1288" s="136"/>
      <c r="BN1288" s="2"/>
      <c r="BO1288" s="2"/>
      <c r="BP1288" s="136"/>
      <c r="BQ1288" s="137"/>
    </row>
    <row r="1289" spans="1:69" ht="12.75" customHeight="1" x14ac:dyDescent="0.2">
      <c r="A1289" s="2">
        <v>2778</v>
      </c>
      <c r="B1289" s="2"/>
      <c r="C1289" s="131"/>
      <c r="D1289" s="131"/>
      <c r="E1289" s="2"/>
      <c r="F1289" s="132">
        <v>0</v>
      </c>
      <c r="G1289" s="132"/>
      <c r="H1289" s="132">
        <f t="shared" si="150"/>
        <v>0</v>
      </c>
      <c r="I1289" s="132"/>
      <c r="J1289" s="132">
        <f t="shared" si="148"/>
        <v>0</v>
      </c>
      <c r="K1289" s="132">
        <f t="shared" si="151"/>
        <v>0</v>
      </c>
      <c r="L1289" s="132">
        <f t="shared" si="145"/>
        <v>0</v>
      </c>
      <c r="M1289" s="133"/>
      <c r="N1289" s="133">
        <f t="shared" si="149"/>
        <v>0</v>
      </c>
      <c r="O1289" s="134"/>
      <c r="P1289" s="133"/>
      <c r="Q1289" s="2"/>
      <c r="R1289" s="156">
        <f t="shared" si="146"/>
        <v>0</v>
      </c>
      <c r="S1289" s="156">
        <f t="shared" si="147"/>
        <v>0</v>
      </c>
      <c r="T1289" s="133"/>
      <c r="U1289" s="133"/>
      <c r="V1289" s="133"/>
      <c r="W1289" s="133"/>
      <c r="X1289" s="133"/>
      <c r="Y1289" s="133"/>
      <c r="Z1289" s="133"/>
      <c r="AA1289" s="133"/>
      <c r="AB1289" s="133"/>
      <c r="AC1289" s="133"/>
      <c r="AD1289" s="133"/>
      <c r="AE1289" s="133"/>
      <c r="AF1289" s="133"/>
      <c r="AG1289" s="133"/>
      <c r="AH1289" s="133"/>
      <c r="AI1289" s="133"/>
      <c r="AJ1289" s="133"/>
      <c r="AK1289" s="133"/>
      <c r="AL1289" s="133"/>
      <c r="AM1289" s="133"/>
      <c r="AN1289" s="133"/>
      <c r="AO1289" s="133"/>
      <c r="AP1289" s="133"/>
      <c r="AQ1289" s="133"/>
      <c r="AR1289" s="133"/>
      <c r="AS1289" s="153">
        <v>0</v>
      </c>
      <c r="AT1289" s="153">
        <v>0</v>
      </c>
      <c r="AU1289" s="153">
        <v>0</v>
      </c>
      <c r="AV1289" s="135"/>
      <c r="AW1289" s="135"/>
      <c r="AX1289" s="135"/>
      <c r="AY1289" s="135"/>
      <c r="AZ1289" s="135"/>
      <c r="BA1289" s="135"/>
      <c r="BB1289" s="135"/>
      <c r="BC1289" s="135"/>
      <c r="BD1289" s="135"/>
      <c r="BE1289" s="135"/>
      <c r="BF1289" s="135"/>
      <c r="BG1289" s="135"/>
      <c r="BH1289" s="135"/>
      <c r="BI1289" s="2"/>
      <c r="BJ1289" s="136"/>
      <c r="BK1289" s="2"/>
      <c r="BL1289" s="136"/>
      <c r="BM1289" s="136"/>
      <c r="BN1289" s="2"/>
      <c r="BO1289" s="2"/>
      <c r="BP1289" s="136"/>
      <c r="BQ1289" s="137"/>
    </row>
    <row r="1290" spans="1:69" ht="12.75" customHeight="1" x14ac:dyDescent="0.2">
      <c r="A1290" s="2">
        <v>2779</v>
      </c>
      <c r="B1290" s="2"/>
      <c r="C1290" s="131"/>
      <c r="D1290" s="131"/>
      <c r="E1290" s="2"/>
      <c r="F1290" s="132">
        <v>0</v>
      </c>
      <c r="G1290" s="132"/>
      <c r="H1290" s="132">
        <f t="shared" si="150"/>
        <v>0</v>
      </c>
      <c r="I1290" s="132"/>
      <c r="J1290" s="132">
        <f t="shared" si="148"/>
        <v>0</v>
      </c>
      <c r="K1290" s="132">
        <f t="shared" si="151"/>
        <v>0</v>
      </c>
      <c r="L1290" s="132">
        <f t="shared" si="145"/>
        <v>0</v>
      </c>
      <c r="M1290" s="133"/>
      <c r="N1290" s="133">
        <f t="shared" si="149"/>
        <v>0</v>
      </c>
      <c r="O1290" s="134"/>
      <c r="P1290" s="133"/>
      <c r="Q1290" s="2"/>
      <c r="R1290" s="156">
        <f t="shared" si="146"/>
        <v>0</v>
      </c>
      <c r="S1290" s="156">
        <f t="shared" si="147"/>
        <v>0</v>
      </c>
      <c r="T1290" s="133"/>
      <c r="U1290" s="133"/>
      <c r="V1290" s="133"/>
      <c r="W1290" s="133"/>
      <c r="X1290" s="133"/>
      <c r="Y1290" s="133"/>
      <c r="Z1290" s="133"/>
      <c r="AA1290" s="133"/>
      <c r="AB1290" s="133"/>
      <c r="AC1290" s="133"/>
      <c r="AD1290" s="133"/>
      <c r="AE1290" s="133"/>
      <c r="AF1290" s="133"/>
      <c r="AG1290" s="133"/>
      <c r="AH1290" s="133"/>
      <c r="AI1290" s="133"/>
      <c r="AJ1290" s="133"/>
      <c r="AK1290" s="133"/>
      <c r="AL1290" s="133"/>
      <c r="AM1290" s="133"/>
      <c r="AN1290" s="133"/>
      <c r="AO1290" s="133"/>
      <c r="AP1290" s="133"/>
      <c r="AQ1290" s="133"/>
      <c r="AR1290" s="133"/>
      <c r="AS1290" s="153">
        <v>0</v>
      </c>
      <c r="AT1290" s="153">
        <v>0</v>
      </c>
      <c r="AU1290" s="153">
        <v>0</v>
      </c>
      <c r="AV1290" s="135"/>
      <c r="AW1290" s="135"/>
      <c r="AX1290" s="135"/>
      <c r="AY1290" s="135"/>
      <c r="AZ1290" s="135"/>
      <c r="BA1290" s="135"/>
      <c r="BB1290" s="135"/>
      <c r="BC1290" s="135"/>
      <c r="BD1290" s="135"/>
      <c r="BE1290" s="135"/>
      <c r="BF1290" s="135"/>
      <c r="BG1290" s="135"/>
      <c r="BH1290" s="135"/>
      <c r="BI1290" s="2"/>
      <c r="BJ1290" s="136"/>
      <c r="BK1290" s="2"/>
      <c r="BL1290" s="136"/>
      <c r="BM1290" s="136"/>
      <c r="BN1290" s="2"/>
      <c r="BO1290" s="2"/>
      <c r="BP1290" s="136"/>
      <c r="BQ1290" s="137"/>
    </row>
    <row r="1291" spans="1:69" ht="12.75" customHeight="1" x14ac:dyDescent="0.2">
      <c r="A1291" s="2">
        <v>2780</v>
      </c>
      <c r="B1291" s="2"/>
      <c r="C1291" s="131"/>
      <c r="D1291" s="131"/>
      <c r="E1291" s="2"/>
      <c r="F1291" s="132">
        <v>0</v>
      </c>
      <c r="G1291" s="132"/>
      <c r="H1291" s="132">
        <f t="shared" si="150"/>
        <v>0</v>
      </c>
      <c r="I1291" s="132"/>
      <c r="J1291" s="132">
        <f t="shared" si="148"/>
        <v>0</v>
      </c>
      <c r="K1291" s="132">
        <f t="shared" si="151"/>
        <v>0</v>
      </c>
      <c r="L1291" s="132">
        <f t="shared" ref="L1291:L1354" si="152">H1291-J1291</f>
        <v>0</v>
      </c>
      <c r="M1291" s="133"/>
      <c r="N1291" s="133">
        <f t="shared" si="149"/>
        <v>0</v>
      </c>
      <c r="O1291" s="134"/>
      <c r="P1291" s="133"/>
      <c r="Q1291" s="2"/>
      <c r="R1291" s="156">
        <f t="shared" ref="R1291:R1354" si="153">T1291+V1291+X1291+Z1291+AB1291+AD1291+AF1291+AH1291+AJ1291+AL1291+AN1291+AP1291</f>
        <v>0</v>
      </c>
      <c r="S1291" s="156">
        <f t="shared" ref="S1291:S1354" si="154">U1291+W1291+Y1291+AA1291+AC1291+AE1291+AG1291+AI1291+AK1291+AM1291+AO1291+AQ1291</f>
        <v>0</v>
      </c>
      <c r="T1291" s="133"/>
      <c r="U1291" s="133"/>
      <c r="V1291" s="133"/>
      <c r="W1291" s="133"/>
      <c r="X1291" s="133"/>
      <c r="Y1291" s="133"/>
      <c r="Z1291" s="133"/>
      <c r="AA1291" s="133"/>
      <c r="AB1291" s="133"/>
      <c r="AC1291" s="133"/>
      <c r="AD1291" s="133"/>
      <c r="AE1291" s="133"/>
      <c r="AF1291" s="133"/>
      <c r="AG1291" s="133"/>
      <c r="AH1291" s="133"/>
      <c r="AI1291" s="133"/>
      <c r="AJ1291" s="133"/>
      <c r="AK1291" s="133"/>
      <c r="AL1291" s="133"/>
      <c r="AM1291" s="133"/>
      <c r="AN1291" s="133"/>
      <c r="AO1291" s="133"/>
      <c r="AP1291" s="133"/>
      <c r="AQ1291" s="133"/>
      <c r="AR1291" s="133"/>
      <c r="AS1291" s="153">
        <v>0</v>
      </c>
      <c r="AT1291" s="153">
        <v>0</v>
      </c>
      <c r="AU1291" s="153">
        <v>0</v>
      </c>
      <c r="AV1291" s="135"/>
      <c r="AW1291" s="135"/>
      <c r="AX1291" s="135"/>
      <c r="AY1291" s="135"/>
      <c r="AZ1291" s="135"/>
      <c r="BA1291" s="135"/>
      <c r="BB1291" s="135"/>
      <c r="BC1291" s="135"/>
      <c r="BD1291" s="135"/>
      <c r="BE1291" s="135"/>
      <c r="BF1291" s="135"/>
      <c r="BG1291" s="135"/>
      <c r="BH1291" s="135"/>
      <c r="BI1291" s="2"/>
      <c r="BJ1291" s="136"/>
      <c r="BK1291" s="2"/>
      <c r="BL1291" s="136"/>
      <c r="BM1291" s="136"/>
      <c r="BN1291" s="2"/>
      <c r="BO1291" s="2"/>
      <c r="BP1291" s="136"/>
      <c r="BQ1291" s="137"/>
    </row>
    <row r="1292" spans="1:69" ht="12.75" customHeight="1" x14ac:dyDescent="0.2">
      <c r="A1292" s="2">
        <v>2781</v>
      </c>
      <c r="B1292" s="2"/>
      <c r="C1292" s="131"/>
      <c r="D1292" s="131"/>
      <c r="E1292" s="2"/>
      <c r="F1292" s="132">
        <v>0</v>
      </c>
      <c r="G1292" s="132"/>
      <c r="H1292" s="132">
        <f t="shared" si="150"/>
        <v>0</v>
      </c>
      <c r="I1292" s="132"/>
      <c r="J1292" s="132">
        <f t="shared" si="148"/>
        <v>0</v>
      </c>
      <c r="K1292" s="132">
        <f t="shared" si="151"/>
        <v>0</v>
      </c>
      <c r="L1292" s="132">
        <f t="shared" si="152"/>
        <v>0</v>
      </c>
      <c r="M1292" s="133"/>
      <c r="N1292" s="133">
        <f t="shared" si="149"/>
        <v>0</v>
      </c>
      <c r="O1292" s="134"/>
      <c r="P1292" s="133"/>
      <c r="Q1292" s="2"/>
      <c r="R1292" s="156">
        <f t="shared" si="153"/>
        <v>0</v>
      </c>
      <c r="S1292" s="156">
        <f t="shared" si="154"/>
        <v>0</v>
      </c>
      <c r="T1292" s="133"/>
      <c r="U1292" s="133"/>
      <c r="V1292" s="133"/>
      <c r="W1292" s="133"/>
      <c r="X1292" s="133"/>
      <c r="Y1292" s="133"/>
      <c r="Z1292" s="133"/>
      <c r="AA1292" s="133"/>
      <c r="AB1292" s="133"/>
      <c r="AC1292" s="133"/>
      <c r="AD1292" s="133"/>
      <c r="AE1292" s="133"/>
      <c r="AF1292" s="133"/>
      <c r="AG1292" s="133"/>
      <c r="AH1292" s="133"/>
      <c r="AI1292" s="133"/>
      <c r="AJ1292" s="133"/>
      <c r="AK1292" s="133"/>
      <c r="AL1292" s="133"/>
      <c r="AM1292" s="133"/>
      <c r="AN1292" s="133"/>
      <c r="AO1292" s="133"/>
      <c r="AP1292" s="133"/>
      <c r="AQ1292" s="133"/>
      <c r="AR1292" s="133"/>
      <c r="AS1292" s="153">
        <v>0</v>
      </c>
      <c r="AT1292" s="153">
        <v>0</v>
      </c>
      <c r="AU1292" s="153">
        <v>0</v>
      </c>
      <c r="AV1292" s="135"/>
      <c r="AW1292" s="135"/>
      <c r="AX1292" s="135"/>
      <c r="AY1292" s="135"/>
      <c r="AZ1292" s="135"/>
      <c r="BA1292" s="135"/>
      <c r="BB1292" s="135"/>
      <c r="BC1292" s="135"/>
      <c r="BD1292" s="135"/>
      <c r="BE1292" s="135"/>
      <c r="BF1292" s="135"/>
      <c r="BG1292" s="135"/>
      <c r="BH1292" s="135"/>
      <c r="BI1292" s="2"/>
      <c r="BJ1292" s="136"/>
      <c r="BK1292" s="2"/>
      <c r="BL1292" s="136"/>
      <c r="BM1292" s="136"/>
      <c r="BN1292" s="2"/>
      <c r="BO1292" s="2"/>
      <c r="BP1292" s="136"/>
      <c r="BQ1292" s="137"/>
    </row>
    <row r="1293" spans="1:69" ht="12.75" customHeight="1" x14ac:dyDescent="0.2">
      <c r="A1293" s="2">
        <v>2782</v>
      </c>
      <c r="B1293" s="2"/>
      <c r="C1293" s="131"/>
      <c r="D1293" s="131"/>
      <c r="E1293" s="2"/>
      <c r="F1293" s="132">
        <v>0</v>
      </c>
      <c r="G1293" s="132"/>
      <c r="H1293" s="132">
        <f t="shared" si="150"/>
        <v>0</v>
      </c>
      <c r="I1293" s="132"/>
      <c r="J1293" s="132">
        <f t="shared" si="148"/>
        <v>0</v>
      </c>
      <c r="K1293" s="132">
        <f t="shared" si="151"/>
        <v>0</v>
      </c>
      <c r="L1293" s="132">
        <f t="shared" si="152"/>
        <v>0</v>
      </c>
      <c r="M1293" s="133"/>
      <c r="N1293" s="133">
        <f t="shared" si="149"/>
        <v>0</v>
      </c>
      <c r="O1293" s="134"/>
      <c r="P1293" s="133"/>
      <c r="Q1293" s="2"/>
      <c r="R1293" s="156">
        <f t="shared" si="153"/>
        <v>0</v>
      </c>
      <c r="S1293" s="156">
        <f t="shared" si="154"/>
        <v>0</v>
      </c>
      <c r="T1293" s="133"/>
      <c r="U1293" s="133"/>
      <c r="V1293" s="133"/>
      <c r="W1293" s="133"/>
      <c r="X1293" s="133"/>
      <c r="Y1293" s="133"/>
      <c r="Z1293" s="133"/>
      <c r="AA1293" s="133"/>
      <c r="AB1293" s="133"/>
      <c r="AC1293" s="133"/>
      <c r="AD1293" s="133"/>
      <c r="AE1293" s="133"/>
      <c r="AF1293" s="133"/>
      <c r="AG1293" s="133"/>
      <c r="AH1293" s="133"/>
      <c r="AI1293" s="133"/>
      <c r="AJ1293" s="133"/>
      <c r="AK1293" s="133"/>
      <c r="AL1293" s="133"/>
      <c r="AM1293" s="133"/>
      <c r="AN1293" s="133"/>
      <c r="AO1293" s="133"/>
      <c r="AP1293" s="133"/>
      <c r="AQ1293" s="133"/>
      <c r="AR1293" s="133"/>
      <c r="AS1293" s="153">
        <v>0</v>
      </c>
      <c r="AT1293" s="153">
        <v>0</v>
      </c>
      <c r="AU1293" s="153">
        <v>0</v>
      </c>
      <c r="AV1293" s="135"/>
      <c r="AW1293" s="135"/>
      <c r="AX1293" s="135"/>
      <c r="AY1293" s="135"/>
      <c r="AZ1293" s="135"/>
      <c r="BA1293" s="135"/>
      <c r="BB1293" s="135"/>
      <c r="BC1293" s="135"/>
      <c r="BD1293" s="135"/>
      <c r="BE1293" s="135"/>
      <c r="BF1293" s="135"/>
      <c r="BG1293" s="135"/>
      <c r="BH1293" s="135"/>
      <c r="BI1293" s="2"/>
      <c r="BJ1293" s="136"/>
      <c r="BK1293" s="2"/>
      <c r="BL1293" s="136"/>
      <c r="BM1293" s="136"/>
      <c r="BN1293" s="2"/>
      <c r="BO1293" s="2"/>
      <c r="BP1293" s="136"/>
      <c r="BQ1293" s="137"/>
    </row>
    <row r="1294" spans="1:69" ht="12.75" customHeight="1" x14ac:dyDescent="0.2">
      <c r="A1294" s="2">
        <v>2783</v>
      </c>
      <c r="B1294" s="2"/>
      <c r="C1294" s="131"/>
      <c r="D1294" s="131"/>
      <c r="E1294" s="2"/>
      <c r="F1294" s="132">
        <v>0</v>
      </c>
      <c r="G1294" s="132"/>
      <c r="H1294" s="132">
        <f t="shared" si="150"/>
        <v>0</v>
      </c>
      <c r="I1294" s="132"/>
      <c r="J1294" s="132">
        <f t="shared" si="148"/>
        <v>0</v>
      </c>
      <c r="K1294" s="132">
        <f t="shared" si="151"/>
        <v>0</v>
      </c>
      <c r="L1294" s="132">
        <f t="shared" si="152"/>
        <v>0</v>
      </c>
      <c r="M1294" s="133"/>
      <c r="N1294" s="133">
        <f t="shared" si="149"/>
        <v>0</v>
      </c>
      <c r="O1294" s="134"/>
      <c r="P1294" s="133"/>
      <c r="Q1294" s="2"/>
      <c r="R1294" s="156">
        <f t="shared" si="153"/>
        <v>0</v>
      </c>
      <c r="S1294" s="156">
        <f t="shared" si="154"/>
        <v>0</v>
      </c>
      <c r="T1294" s="133"/>
      <c r="U1294" s="133"/>
      <c r="V1294" s="133"/>
      <c r="W1294" s="133"/>
      <c r="X1294" s="133"/>
      <c r="Y1294" s="133"/>
      <c r="Z1294" s="133"/>
      <c r="AA1294" s="133"/>
      <c r="AB1294" s="133"/>
      <c r="AC1294" s="133"/>
      <c r="AD1294" s="133"/>
      <c r="AE1294" s="133"/>
      <c r="AF1294" s="133"/>
      <c r="AG1294" s="133"/>
      <c r="AH1294" s="133"/>
      <c r="AI1294" s="133"/>
      <c r="AJ1294" s="133"/>
      <c r="AK1294" s="133"/>
      <c r="AL1294" s="133"/>
      <c r="AM1294" s="133"/>
      <c r="AN1294" s="133"/>
      <c r="AO1294" s="133"/>
      <c r="AP1294" s="133"/>
      <c r="AQ1294" s="133"/>
      <c r="AR1294" s="133"/>
      <c r="AS1294" s="153">
        <v>0</v>
      </c>
      <c r="AT1294" s="153">
        <v>0</v>
      </c>
      <c r="AU1294" s="153">
        <v>0</v>
      </c>
      <c r="AV1294" s="135"/>
      <c r="AW1294" s="135"/>
      <c r="AX1294" s="135"/>
      <c r="AY1294" s="135"/>
      <c r="AZ1294" s="135"/>
      <c r="BA1294" s="135"/>
      <c r="BB1294" s="135"/>
      <c r="BC1294" s="135"/>
      <c r="BD1294" s="135"/>
      <c r="BE1294" s="135"/>
      <c r="BF1294" s="135"/>
      <c r="BG1294" s="135"/>
      <c r="BH1294" s="135"/>
      <c r="BI1294" s="2"/>
      <c r="BJ1294" s="136"/>
      <c r="BK1294" s="2"/>
      <c r="BL1294" s="136"/>
      <c r="BM1294" s="136"/>
      <c r="BN1294" s="2"/>
      <c r="BO1294" s="2"/>
      <c r="BP1294" s="136"/>
      <c r="BQ1294" s="137"/>
    </row>
    <row r="1295" spans="1:69" ht="12.75" customHeight="1" x14ac:dyDescent="0.2">
      <c r="A1295" s="2">
        <v>2784</v>
      </c>
      <c r="B1295" s="2"/>
      <c r="C1295" s="131"/>
      <c r="D1295" s="131"/>
      <c r="E1295" s="2"/>
      <c r="F1295" s="132">
        <v>0</v>
      </c>
      <c r="G1295" s="132"/>
      <c r="H1295" s="132">
        <f t="shared" si="150"/>
        <v>0</v>
      </c>
      <c r="I1295" s="132"/>
      <c r="J1295" s="132">
        <f t="shared" si="148"/>
        <v>0</v>
      </c>
      <c r="K1295" s="132">
        <f t="shared" si="151"/>
        <v>0</v>
      </c>
      <c r="L1295" s="132">
        <f t="shared" si="152"/>
        <v>0</v>
      </c>
      <c r="M1295" s="133"/>
      <c r="N1295" s="133">
        <f t="shared" si="149"/>
        <v>0</v>
      </c>
      <c r="O1295" s="134"/>
      <c r="P1295" s="133"/>
      <c r="Q1295" s="2"/>
      <c r="R1295" s="156">
        <f t="shared" si="153"/>
        <v>0</v>
      </c>
      <c r="S1295" s="156">
        <f t="shared" si="154"/>
        <v>0</v>
      </c>
      <c r="T1295" s="133"/>
      <c r="U1295" s="133"/>
      <c r="V1295" s="133"/>
      <c r="W1295" s="133"/>
      <c r="X1295" s="133"/>
      <c r="Y1295" s="133"/>
      <c r="Z1295" s="133"/>
      <c r="AA1295" s="133"/>
      <c r="AB1295" s="133"/>
      <c r="AC1295" s="133"/>
      <c r="AD1295" s="133"/>
      <c r="AE1295" s="133"/>
      <c r="AF1295" s="133"/>
      <c r="AG1295" s="133"/>
      <c r="AH1295" s="133"/>
      <c r="AI1295" s="133"/>
      <c r="AJ1295" s="133"/>
      <c r="AK1295" s="133"/>
      <c r="AL1295" s="133"/>
      <c r="AM1295" s="133"/>
      <c r="AN1295" s="133"/>
      <c r="AO1295" s="133"/>
      <c r="AP1295" s="133"/>
      <c r="AQ1295" s="133"/>
      <c r="AR1295" s="133"/>
      <c r="AS1295" s="153">
        <v>0</v>
      </c>
      <c r="AT1295" s="153">
        <v>0</v>
      </c>
      <c r="AU1295" s="153">
        <v>0</v>
      </c>
      <c r="AV1295" s="135"/>
      <c r="AW1295" s="135"/>
      <c r="AX1295" s="135"/>
      <c r="AY1295" s="135"/>
      <c r="AZ1295" s="135"/>
      <c r="BA1295" s="135"/>
      <c r="BB1295" s="135"/>
      <c r="BC1295" s="135"/>
      <c r="BD1295" s="135"/>
      <c r="BE1295" s="135"/>
      <c r="BF1295" s="135"/>
      <c r="BG1295" s="135"/>
      <c r="BH1295" s="135"/>
      <c r="BI1295" s="2"/>
      <c r="BJ1295" s="136"/>
      <c r="BK1295" s="2"/>
      <c r="BL1295" s="136"/>
      <c r="BM1295" s="136"/>
      <c r="BN1295" s="2"/>
      <c r="BO1295" s="2"/>
      <c r="BP1295" s="136"/>
      <c r="BQ1295" s="137"/>
    </row>
    <row r="1296" spans="1:69" ht="12.75" customHeight="1" x14ac:dyDescent="0.2">
      <c r="A1296" s="2">
        <v>2785</v>
      </c>
      <c r="B1296" s="2"/>
      <c r="C1296" s="131"/>
      <c r="D1296" s="131"/>
      <c r="E1296" s="2"/>
      <c r="F1296" s="132">
        <v>0</v>
      </c>
      <c r="G1296" s="132"/>
      <c r="H1296" s="132">
        <f t="shared" si="150"/>
        <v>0</v>
      </c>
      <c r="I1296" s="132"/>
      <c r="J1296" s="132">
        <f t="shared" si="148"/>
        <v>0</v>
      </c>
      <c r="K1296" s="132">
        <f t="shared" si="151"/>
        <v>0</v>
      </c>
      <c r="L1296" s="132">
        <f t="shared" si="152"/>
        <v>0</v>
      </c>
      <c r="M1296" s="133"/>
      <c r="N1296" s="133">
        <f t="shared" si="149"/>
        <v>0</v>
      </c>
      <c r="O1296" s="134"/>
      <c r="P1296" s="133"/>
      <c r="Q1296" s="2"/>
      <c r="R1296" s="156">
        <f t="shared" si="153"/>
        <v>0</v>
      </c>
      <c r="S1296" s="156">
        <f t="shared" si="154"/>
        <v>0</v>
      </c>
      <c r="T1296" s="133"/>
      <c r="U1296" s="133"/>
      <c r="V1296" s="133"/>
      <c r="W1296" s="133"/>
      <c r="X1296" s="133"/>
      <c r="Y1296" s="133"/>
      <c r="Z1296" s="133"/>
      <c r="AA1296" s="133"/>
      <c r="AB1296" s="133"/>
      <c r="AC1296" s="133"/>
      <c r="AD1296" s="133"/>
      <c r="AE1296" s="133"/>
      <c r="AF1296" s="133"/>
      <c r="AG1296" s="133"/>
      <c r="AH1296" s="133"/>
      <c r="AI1296" s="133"/>
      <c r="AJ1296" s="133"/>
      <c r="AK1296" s="133"/>
      <c r="AL1296" s="133"/>
      <c r="AM1296" s="133"/>
      <c r="AN1296" s="133"/>
      <c r="AO1296" s="133"/>
      <c r="AP1296" s="133"/>
      <c r="AQ1296" s="133"/>
      <c r="AR1296" s="133"/>
      <c r="AS1296" s="153">
        <v>0</v>
      </c>
      <c r="AT1296" s="153">
        <v>0</v>
      </c>
      <c r="AU1296" s="153">
        <v>0</v>
      </c>
      <c r="AV1296" s="135"/>
      <c r="AW1296" s="135"/>
      <c r="AX1296" s="135"/>
      <c r="AY1296" s="135"/>
      <c r="AZ1296" s="135"/>
      <c r="BA1296" s="135"/>
      <c r="BB1296" s="135"/>
      <c r="BC1296" s="135"/>
      <c r="BD1296" s="135"/>
      <c r="BE1296" s="135"/>
      <c r="BF1296" s="135"/>
      <c r="BG1296" s="135"/>
      <c r="BH1296" s="135"/>
      <c r="BI1296" s="2"/>
      <c r="BJ1296" s="136"/>
      <c r="BK1296" s="2"/>
      <c r="BL1296" s="136"/>
      <c r="BM1296" s="136"/>
      <c r="BN1296" s="2"/>
      <c r="BO1296" s="2"/>
      <c r="BP1296" s="136"/>
      <c r="BQ1296" s="137"/>
    </row>
    <row r="1297" spans="1:69" ht="12.75" customHeight="1" x14ac:dyDescent="0.2">
      <c r="A1297" s="2">
        <v>2786</v>
      </c>
      <c r="B1297" s="2"/>
      <c r="C1297" s="131"/>
      <c r="D1297" s="131"/>
      <c r="E1297" s="2"/>
      <c r="F1297" s="132">
        <v>0</v>
      </c>
      <c r="G1297" s="132"/>
      <c r="H1297" s="132">
        <f t="shared" si="150"/>
        <v>0</v>
      </c>
      <c r="I1297" s="132"/>
      <c r="J1297" s="132">
        <f t="shared" si="148"/>
        <v>0</v>
      </c>
      <c r="K1297" s="132">
        <f t="shared" si="151"/>
        <v>0</v>
      </c>
      <c r="L1297" s="132">
        <f t="shared" si="152"/>
        <v>0</v>
      </c>
      <c r="M1297" s="133"/>
      <c r="N1297" s="133">
        <f t="shared" si="149"/>
        <v>0</v>
      </c>
      <c r="O1297" s="134"/>
      <c r="P1297" s="133"/>
      <c r="Q1297" s="2"/>
      <c r="R1297" s="156">
        <f t="shared" si="153"/>
        <v>0</v>
      </c>
      <c r="S1297" s="156">
        <f t="shared" si="154"/>
        <v>0</v>
      </c>
      <c r="T1297" s="133"/>
      <c r="U1297" s="133"/>
      <c r="V1297" s="133"/>
      <c r="W1297" s="133"/>
      <c r="X1297" s="133"/>
      <c r="Y1297" s="133"/>
      <c r="Z1297" s="133"/>
      <c r="AA1297" s="133"/>
      <c r="AB1297" s="133"/>
      <c r="AC1297" s="133"/>
      <c r="AD1297" s="133"/>
      <c r="AE1297" s="133"/>
      <c r="AF1297" s="133"/>
      <c r="AG1297" s="133"/>
      <c r="AH1297" s="133"/>
      <c r="AI1297" s="133"/>
      <c r="AJ1297" s="133"/>
      <c r="AK1297" s="133"/>
      <c r="AL1297" s="133"/>
      <c r="AM1297" s="133"/>
      <c r="AN1297" s="133"/>
      <c r="AO1297" s="133"/>
      <c r="AP1297" s="133"/>
      <c r="AQ1297" s="133"/>
      <c r="AR1297" s="133"/>
      <c r="AS1297" s="153">
        <v>0</v>
      </c>
      <c r="AT1297" s="153">
        <v>0</v>
      </c>
      <c r="AU1297" s="153">
        <v>0</v>
      </c>
      <c r="AV1297" s="135"/>
      <c r="AW1297" s="135"/>
      <c r="AX1297" s="135"/>
      <c r="AY1297" s="135"/>
      <c r="AZ1297" s="135"/>
      <c r="BA1297" s="135"/>
      <c r="BB1297" s="135"/>
      <c r="BC1297" s="135"/>
      <c r="BD1297" s="135"/>
      <c r="BE1297" s="135"/>
      <c r="BF1297" s="135"/>
      <c r="BG1297" s="135"/>
      <c r="BH1297" s="135"/>
      <c r="BI1297" s="2"/>
      <c r="BJ1297" s="136"/>
      <c r="BK1297" s="2"/>
      <c r="BL1297" s="136"/>
      <c r="BM1297" s="136"/>
      <c r="BN1297" s="2"/>
      <c r="BO1297" s="2"/>
      <c r="BP1297" s="136"/>
      <c r="BQ1297" s="137"/>
    </row>
    <row r="1298" spans="1:69" ht="12.75" customHeight="1" x14ac:dyDescent="0.2">
      <c r="A1298" s="2">
        <v>2787</v>
      </c>
      <c r="B1298" s="2"/>
      <c r="C1298" s="131"/>
      <c r="D1298" s="131"/>
      <c r="E1298" s="2"/>
      <c r="F1298" s="132">
        <v>0</v>
      </c>
      <c r="G1298" s="132"/>
      <c r="H1298" s="132">
        <f t="shared" si="150"/>
        <v>0</v>
      </c>
      <c r="I1298" s="132"/>
      <c r="J1298" s="132">
        <f t="shared" si="148"/>
        <v>0</v>
      </c>
      <c r="K1298" s="132">
        <f t="shared" si="151"/>
        <v>0</v>
      </c>
      <c r="L1298" s="132">
        <f t="shared" si="152"/>
        <v>0</v>
      </c>
      <c r="M1298" s="133"/>
      <c r="N1298" s="133">
        <f t="shared" si="149"/>
        <v>0</v>
      </c>
      <c r="O1298" s="134"/>
      <c r="P1298" s="133"/>
      <c r="Q1298" s="2"/>
      <c r="R1298" s="156">
        <f t="shared" si="153"/>
        <v>0</v>
      </c>
      <c r="S1298" s="156">
        <f t="shared" si="154"/>
        <v>0</v>
      </c>
      <c r="T1298" s="133"/>
      <c r="U1298" s="133"/>
      <c r="V1298" s="133"/>
      <c r="W1298" s="133"/>
      <c r="X1298" s="133"/>
      <c r="Y1298" s="133"/>
      <c r="Z1298" s="133"/>
      <c r="AA1298" s="133"/>
      <c r="AB1298" s="133"/>
      <c r="AC1298" s="133"/>
      <c r="AD1298" s="133"/>
      <c r="AE1298" s="133"/>
      <c r="AF1298" s="133"/>
      <c r="AG1298" s="133"/>
      <c r="AH1298" s="133"/>
      <c r="AI1298" s="133"/>
      <c r="AJ1298" s="133"/>
      <c r="AK1298" s="133"/>
      <c r="AL1298" s="133"/>
      <c r="AM1298" s="133"/>
      <c r="AN1298" s="133"/>
      <c r="AO1298" s="133"/>
      <c r="AP1298" s="133"/>
      <c r="AQ1298" s="133"/>
      <c r="AR1298" s="133"/>
      <c r="AS1298" s="153">
        <v>0</v>
      </c>
      <c r="AT1298" s="153">
        <v>0</v>
      </c>
      <c r="AU1298" s="153">
        <v>0</v>
      </c>
      <c r="AV1298" s="135"/>
      <c r="AW1298" s="135"/>
      <c r="AX1298" s="135"/>
      <c r="AY1298" s="135"/>
      <c r="AZ1298" s="135"/>
      <c r="BA1298" s="135"/>
      <c r="BB1298" s="135"/>
      <c r="BC1298" s="135"/>
      <c r="BD1298" s="135"/>
      <c r="BE1298" s="135"/>
      <c r="BF1298" s="135"/>
      <c r="BG1298" s="135"/>
      <c r="BH1298" s="135"/>
      <c r="BI1298" s="2"/>
      <c r="BJ1298" s="136"/>
      <c r="BK1298" s="2"/>
      <c r="BL1298" s="136"/>
      <c r="BM1298" s="136"/>
      <c r="BN1298" s="2"/>
      <c r="BO1298" s="2"/>
      <c r="BP1298" s="136"/>
      <c r="BQ1298" s="137"/>
    </row>
    <row r="1299" spans="1:69" ht="12.75" customHeight="1" x14ac:dyDescent="0.2">
      <c r="A1299" s="2">
        <v>2788</v>
      </c>
      <c r="B1299" s="2"/>
      <c r="C1299" s="131"/>
      <c r="D1299" s="131"/>
      <c r="E1299" s="2"/>
      <c r="F1299" s="132">
        <v>0</v>
      </c>
      <c r="G1299" s="132"/>
      <c r="H1299" s="132">
        <f t="shared" si="150"/>
        <v>0</v>
      </c>
      <c r="I1299" s="132"/>
      <c r="J1299" s="132">
        <f t="shared" si="148"/>
        <v>0</v>
      </c>
      <c r="K1299" s="132">
        <f t="shared" si="151"/>
        <v>0</v>
      </c>
      <c r="L1299" s="132">
        <f t="shared" si="152"/>
        <v>0</v>
      </c>
      <c r="M1299" s="133"/>
      <c r="N1299" s="133">
        <f t="shared" si="149"/>
        <v>0</v>
      </c>
      <c r="O1299" s="134"/>
      <c r="P1299" s="133"/>
      <c r="Q1299" s="2"/>
      <c r="R1299" s="156">
        <f t="shared" si="153"/>
        <v>0</v>
      </c>
      <c r="S1299" s="156">
        <f t="shared" si="154"/>
        <v>0</v>
      </c>
      <c r="T1299" s="133"/>
      <c r="U1299" s="133"/>
      <c r="V1299" s="133"/>
      <c r="W1299" s="133"/>
      <c r="X1299" s="133"/>
      <c r="Y1299" s="133"/>
      <c r="Z1299" s="133"/>
      <c r="AA1299" s="133"/>
      <c r="AB1299" s="133"/>
      <c r="AC1299" s="133"/>
      <c r="AD1299" s="133"/>
      <c r="AE1299" s="133"/>
      <c r="AF1299" s="133"/>
      <c r="AG1299" s="133"/>
      <c r="AH1299" s="133"/>
      <c r="AI1299" s="133"/>
      <c r="AJ1299" s="133"/>
      <c r="AK1299" s="133"/>
      <c r="AL1299" s="133"/>
      <c r="AM1299" s="133"/>
      <c r="AN1299" s="133"/>
      <c r="AO1299" s="133"/>
      <c r="AP1299" s="133"/>
      <c r="AQ1299" s="133"/>
      <c r="AR1299" s="133"/>
      <c r="AS1299" s="153">
        <v>0</v>
      </c>
      <c r="AT1299" s="153">
        <v>0</v>
      </c>
      <c r="AU1299" s="153">
        <v>0</v>
      </c>
      <c r="AV1299" s="135"/>
      <c r="AW1299" s="135"/>
      <c r="AX1299" s="135"/>
      <c r="AY1299" s="135"/>
      <c r="AZ1299" s="135"/>
      <c r="BA1299" s="135"/>
      <c r="BB1299" s="135"/>
      <c r="BC1299" s="135"/>
      <c r="BD1299" s="135"/>
      <c r="BE1299" s="135"/>
      <c r="BF1299" s="135"/>
      <c r="BG1299" s="135"/>
      <c r="BH1299" s="135"/>
      <c r="BI1299" s="2"/>
      <c r="BJ1299" s="136"/>
      <c r="BK1299" s="2"/>
      <c r="BL1299" s="136"/>
      <c r="BM1299" s="136"/>
      <c r="BN1299" s="2"/>
      <c r="BO1299" s="2"/>
      <c r="BP1299" s="136"/>
      <c r="BQ1299" s="137"/>
    </row>
    <row r="1300" spans="1:69" ht="12.75" customHeight="1" x14ac:dyDescent="0.2">
      <c r="A1300" s="2">
        <v>2789</v>
      </c>
      <c r="B1300" s="2"/>
      <c r="C1300" s="131"/>
      <c r="D1300" s="131"/>
      <c r="E1300" s="2"/>
      <c r="F1300" s="132">
        <v>0</v>
      </c>
      <c r="G1300" s="132"/>
      <c r="H1300" s="132">
        <f t="shared" si="150"/>
        <v>0</v>
      </c>
      <c r="I1300" s="132"/>
      <c r="J1300" s="132">
        <f t="shared" si="148"/>
        <v>0</v>
      </c>
      <c r="K1300" s="132">
        <f t="shared" si="151"/>
        <v>0</v>
      </c>
      <c r="L1300" s="132">
        <f t="shared" si="152"/>
        <v>0</v>
      </c>
      <c r="M1300" s="133"/>
      <c r="N1300" s="133">
        <f t="shared" si="149"/>
        <v>0</v>
      </c>
      <c r="O1300" s="134"/>
      <c r="P1300" s="133"/>
      <c r="Q1300" s="2"/>
      <c r="R1300" s="156">
        <f t="shared" si="153"/>
        <v>0</v>
      </c>
      <c r="S1300" s="156">
        <f t="shared" si="154"/>
        <v>0</v>
      </c>
      <c r="T1300" s="133"/>
      <c r="U1300" s="133"/>
      <c r="V1300" s="133"/>
      <c r="W1300" s="133"/>
      <c r="X1300" s="133"/>
      <c r="Y1300" s="133"/>
      <c r="Z1300" s="133"/>
      <c r="AA1300" s="133"/>
      <c r="AB1300" s="133"/>
      <c r="AC1300" s="133"/>
      <c r="AD1300" s="133"/>
      <c r="AE1300" s="133"/>
      <c r="AF1300" s="133"/>
      <c r="AG1300" s="133"/>
      <c r="AH1300" s="133"/>
      <c r="AI1300" s="133"/>
      <c r="AJ1300" s="133"/>
      <c r="AK1300" s="133"/>
      <c r="AL1300" s="133"/>
      <c r="AM1300" s="133"/>
      <c r="AN1300" s="133"/>
      <c r="AO1300" s="133"/>
      <c r="AP1300" s="133"/>
      <c r="AQ1300" s="133"/>
      <c r="AR1300" s="133"/>
      <c r="AS1300" s="153">
        <v>0</v>
      </c>
      <c r="AT1300" s="153">
        <v>0</v>
      </c>
      <c r="AU1300" s="153">
        <v>0</v>
      </c>
      <c r="AV1300" s="135"/>
      <c r="AW1300" s="135"/>
      <c r="AX1300" s="135"/>
      <c r="AY1300" s="135"/>
      <c r="AZ1300" s="135"/>
      <c r="BA1300" s="135"/>
      <c r="BB1300" s="135"/>
      <c r="BC1300" s="135"/>
      <c r="BD1300" s="135"/>
      <c r="BE1300" s="135"/>
      <c r="BF1300" s="135"/>
      <c r="BG1300" s="135"/>
      <c r="BH1300" s="135"/>
      <c r="BI1300" s="2"/>
      <c r="BJ1300" s="136"/>
      <c r="BK1300" s="2"/>
      <c r="BL1300" s="136"/>
      <c r="BM1300" s="136"/>
      <c r="BN1300" s="2"/>
      <c r="BO1300" s="2"/>
      <c r="BP1300" s="136"/>
      <c r="BQ1300" s="137"/>
    </row>
    <row r="1301" spans="1:69" ht="12.75" customHeight="1" x14ac:dyDescent="0.2">
      <c r="A1301" s="2">
        <v>2790</v>
      </c>
      <c r="B1301" s="2"/>
      <c r="C1301" s="131"/>
      <c r="D1301" s="131"/>
      <c r="E1301" s="2"/>
      <c r="F1301" s="132">
        <v>0</v>
      </c>
      <c r="G1301" s="132"/>
      <c r="H1301" s="132">
        <f t="shared" si="150"/>
        <v>0</v>
      </c>
      <c r="I1301" s="132"/>
      <c r="J1301" s="132">
        <f t="shared" si="148"/>
        <v>0</v>
      </c>
      <c r="K1301" s="132">
        <f t="shared" si="151"/>
        <v>0</v>
      </c>
      <c r="L1301" s="132">
        <f t="shared" si="152"/>
        <v>0</v>
      </c>
      <c r="M1301" s="133"/>
      <c r="N1301" s="133">
        <f t="shared" si="149"/>
        <v>0</v>
      </c>
      <c r="O1301" s="134"/>
      <c r="P1301" s="133"/>
      <c r="Q1301" s="2"/>
      <c r="R1301" s="156">
        <f t="shared" si="153"/>
        <v>0</v>
      </c>
      <c r="S1301" s="156">
        <f t="shared" si="154"/>
        <v>0</v>
      </c>
      <c r="T1301" s="133"/>
      <c r="U1301" s="133"/>
      <c r="V1301" s="133"/>
      <c r="W1301" s="133"/>
      <c r="X1301" s="133"/>
      <c r="Y1301" s="133"/>
      <c r="Z1301" s="133"/>
      <c r="AA1301" s="133"/>
      <c r="AB1301" s="133"/>
      <c r="AC1301" s="133"/>
      <c r="AD1301" s="133"/>
      <c r="AE1301" s="133"/>
      <c r="AF1301" s="133"/>
      <c r="AG1301" s="133"/>
      <c r="AH1301" s="133"/>
      <c r="AI1301" s="133"/>
      <c r="AJ1301" s="133"/>
      <c r="AK1301" s="133"/>
      <c r="AL1301" s="133"/>
      <c r="AM1301" s="133"/>
      <c r="AN1301" s="133"/>
      <c r="AO1301" s="133"/>
      <c r="AP1301" s="133"/>
      <c r="AQ1301" s="133"/>
      <c r="AR1301" s="133"/>
      <c r="AS1301" s="153">
        <v>0</v>
      </c>
      <c r="AT1301" s="153">
        <v>0</v>
      </c>
      <c r="AU1301" s="153">
        <v>0</v>
      </c>
      <c r="AV1301" s="135"/>
      <c r="AW1301" s="135"/>
      <c r="AX1301" s="135"/>
      <c r="AY1301" s="135"/>
      <c r="AZ1301" s="135"/>
      <c r="BA1301" s="135"/>
      <c r="BB1301" s="135"/>
      <c r="BC1301" s="135"/>
      <c r="BD1301" s="135"/>
      <c r="BE1301" s="135"/>
      <c r="BF1301" s="135"/>
      <c r="BG1301" s="135"/>
      <c r="BH1301" s="135"/>
      <c r="BI1301" s="2"/>
      <c r="BJ1301" s="136"/>
      <c r="BK1301" s="2"/>
      <c r="BL1301" s="136"/>
      <c r="BM1301" s="136"/>
      <c r="BN1301" s="2"/>
      <c r="BO1301" s="2"/>
      <c r="BP1301" s="136"/>
      <c r="BQ1301" s="137"/>
    </row>
    <row r="1302" spans="1:69" ht="12.75" customHeight="1" x14ac:dyDescent="0.2">
      <c r="A1302" s="2">
        <v>2791</v>
      </c>
      <c r="B1302" s="2"/>
      <c r="C1302" s="131"/>
      <c r="D1302" s="131"/>
      <c r="E1302" s="2"/>
      <c r="F1302" s="132">
        <v>0</v>
      </c>
      <c r="G1302" s="132"/>
      <c r="H1302" s="132">
        <f t="shared" si="150"/>
        <v>0</v>
      </c>
      <c r="I1302" s="132"/>
      <c r="J1302" s="132">
        <f t="shared" si="148"/>
        <v>0</v>
      </c>
      <c r="K1302" s="132">
        <f t="shared" si="151"/>
        <v>0</v>
      </c>
      <c r="L1302" s="132">
        <f t="shared" si="152"/>
        <v>0</v>
      </c>
      <c r="M1302" s="133"/>
      <c r="N1302" s="133">
        <f t="shared" si="149"/>
        <v>0</v>
      </c>
      <c r="O1302" s="134"/>
      <c r="P1302" s="133"/>
      <c r="Q1302" s="2"/>
      <c r="R1302" s="156">
        <f t="shared" si="153"/>
        <v>0</v>
      </c>
      <c r="S1302" s="156">
        <f t="shared" si="154"/>
        <v>0</v>
      </c>
      <c r="T1302" s="133"/>
      <c r="U1302" s="133"/>
      <c r="V1302" s="133"/>
      <c r="W1302" s="133"/>
      <c r="X1302" s="133"/>
      <c r="Y1302" s="133"/>
      <c r="Z1302" s="133"/>
      <c r="AA1302" s="133"/>
      <c r="AB1302" s="133"/>
      <c r="AC1302" s="133"/>
      <c r="AD1302" s="133"/>
      <c r="AE1302" s="133"/>
      <c r="AF1302" s="133"/>
      <c r="AG1302" s="133"/>
      <c r="AH1302" s="133"/>
      <c r="AI1302" s="133"/>
      <c r="AJ1302" s="133"/>
      <c r="AK1302" s="133"/>
      <c r="AL1302" s="133"/>
      <c r="AM1302" s="133"/>
      <c r="AN1302" s="133"/>
      <c r="AO1302" s="133"/>
      <c r="AP1302" s="133"/>
      <c r="AQ1302" s="133"/>
      <c r="AR1302" s="133"/>
      <c r="AS1302" s="153">
        <v>0</v>
      </c>
      <c r="AT1302" s="153">
        <v>0</v>
      </c>
      <c r="AU1302" s="153">
        <v>0</v>
      </c>
      <c r="AV1302" s="135"/>
      <c r="AW1302" s="135"/>
      <c r="AX1302" s="135"/>
      <c r="AY1302" s="135"/>
      <c r="AZ1302" s="135"/>
      <c r="BA1302" s="135"/>
      <c r="BB1302" s="135"/>
      <c r="BC1302" s="135"/>
      <c r="BD1302" s="135"/>
      <c r="BE1302" s="135"/>
      <c r="BF1302" s="135"/>
      <c r="BG1302" s="135"/>
      <c r="BH1302" s="135"/>
      <c r="BI1302" s="2"/>
      <c r="BJ1302" s="136"/>
      <c r="BK1302" s="2"/>
      <c r="BL1302" s="136"/>
      <c r="BM1302" s="136"/>
      <c r="BN1302" s="2"/>
      <c r="BO1302" s="2"/>
      <c r="BP1302" s="136"/>
      <c r="BQ1302" s="137"/>
    </row>
    <row r="1303" spans="1:69" ht="12.75" customHeight="1" x14ac:dyDescent="0.2">
      <c r="A1303" s="2">
        <v>2792</v>
      </c>
      <c r="B1303" s="2"/>
      <c r="C1303" s="131"/>
      <c r="D1303" s="131"/>
      <c r="E1303" s="2"/>
      <c r="F1303" s="132">
        <v>0</v>
      </c>
      <c r="G1303" s="132"/>
      <c r="H1303" s="132">
        <f t="shared" si="150"/>
        <v>0</v>
      </c>
      <c r="I1303" s="132"/>
      <c r="J1303" s="132">
        <f t="shared" si="148"/>
        <v>0</v>
      </c>
      <c r="K1303" s="132">
        <f t="shared" si="151"/>
        <v>0</v>
      </c>
      <c r="L1303" s="132">
        <f t="shared" si="152"/>
        <v>0</v>
      </c>
      <c r="M1303" s="133"/>
      <c r="N1303" s="133">
        <f t="shared" si="149"/>
        <v>0</v>
      </c>
      <c r="O1303" s="134"/>
      <c r="P1303" s="133"/>
      <c r="Q1303" s="2"/>
      <c r="R1303" s="156">
        <f t="shared" si="153"/>
        <v>0</v>
      </c>
      <c r="S1303" s="156">
        <f t="shared" si="154"/>
        <v>0</v>
      </c>
      <c r="T1303" s="133"/>
      <c r="U1303" s="133"/>
      <c r="V1303" s="133"/>
      <c r="W1303" s="133"/>
      <c r="X1303" s="133"/>
      <c r="Y1303" s="133"/>
      <c r="Z1303" s="133"/>
      <c r="AA1303" s="133"/>
      <c r="AB1303" s="133"/>
      <c r="AC1303" s="133"/>
      <c r="AD1303" s="133"/>
      <c r="AE1303" s="133"/>
      <c r="AF1303" s="133"/>
      <c r="AG1303" s="133"/>
      <c r="AH1303" s="133"/>
      <c r="AI1303" s="133"/>
      <c r="AJ1303" s="133"/>
      <c r="AK1303" s="133"/>
      <c r="AL1303" s="133"/>
      <c r="AM1303" s="133"/>
      <c r="AN1303" s="133"/>
      <c r="AO1303" s="133"/>
      <c r="AP1303" s="133"/>
      <c r="AQ1303" s="133"/>
      <c r="AR1303" s="133"/>
      <c r="AS1303" s="153">
        <v>0</v>
      </c>
      <c r="AT1303" s="153">
        <v>0</v>
      </c>
      <c r="AU1303" s="153">
        <v>0</v>
      </c>
      <c r="AV1303" s="135"/>
      <c r="AW1303" s="135"/>
      <c r="AX1303" s="135"/>
      <c r="AY1303" s="135"/>
      <c r="AZ1303" s="135"/>
      <c r="BA1303" s="135"/>
      <c r="BB1303" s="135"/>
      <c r="BC1303" s="135"/>
      <c r="BD1303" s="135"/>
      <c r="BE1303" s="135"/>
      <c r="BF1303" s="135"/>
      <c r="BG1303" s="135"/>
      <c r="BH1303" s="135"/>
      <c r="BI1303" s="2"/>
      <c r="BJ1303" s="136"/>
      <c r="BK1303" s="2"/>
      <c r="BL1303" s="136"/>
      <c r="BM1303" s="136"/>
      <c r="BN1303" s="2"/>
      <c r="BO1303" s="2"/>
      <c r="BP1303" s="136"/>
      <c r="BQ1303" s="137"/>
    </row>
    <row r="1304" spans="1:69" ht="12.75" customHeight="1" x14ac:dyDescent="0.2">
      <c r="A1304" s="2">
        <v>2793</v>
      </c>
      <c r="B1304" s="2"/>
      <c r="C1304" s="131"/>
      <c r="D1304" s="131"/>
      <c r="E1304" s="2"/>
      <c r="F1304" s="132">
        <v>0</v>
      </c>
      <c r="G1304" s="132"/>
      <c r="H1304" s="132">
        <f t="shared" si="150"/>
        <v>0</v>
      </c>
      <c r="I1304" s="132"/>
      <c r="J1304" s="132">
        <f t="shared" si="148"/>
        <v>0</v>
      </c>
      <c r="K1304" s="132">
        <f t="shared" si="151"/>
        <v>0</v>
      </c>
      <c r="L1304" s="132">
        <f t="shared" si="152"/>
        <v>0</v>
      </c>
      <c r="M1304" s="133"/>
      <c r="N1304" s="133">
        <f t="shared" si="149"/>
        <v>0</v>
      </c>
      <c r="O1304" s="134"/>
      <c r="P1304" s="133"/>
      <c r="Q1304" s="2"/>
      <c r="R1304" s="156">
        <f t="shared" si="153"/>
        <v>0</v>
      </c>
      <c r="S1304" s="156">
        <f t="shared" si="154"/>
        <v>0</v>
      </c>
      <c r="T1304" s="133"/>
      <c r="U1304" s="133"/>
      <c r="V1304" s="133"/>
      <c r="W1304" s="133"/>
      <c r="X1304" s="133"/>
      <c r="Y1304" s="133"/>
      <c r="Z1304" s="133"/>
      <c r="AA1304" s="133"/>
      <c r="AB1304" s="133"/>
      <c r="AC1304" s="133"/>
      <c r="AD1304" s="133"/>
      <c r="AE1304" s="133"/>
      <c r="AF1304" s="133"/>
      <c r="AG1304" s="133"/>
      <c r="AH1304" s="133"/>
      <c r="AI1304" s="133"/>
      <c r="AJ1304" s="133"/>
      <c r="AK1304" s="133"/>
      <c r="AL1304" s="133"/>
      <c r="AM1304" s="133"/>
      <c r="AN1304" s="133"/>
      <c r="AO1304" s="133"/>
      <c r="AP1304" s="133"/>
      <c r="AQ1304" s="133"/>
      <c r="AR1304" s="133"/>
      <c r="AS1304" s="153">
        <v>0</v>
      </c>
      <c r="AT1304" s="153">
        <v>0</v>
      </c>
      <c r="AU1304" s="153">
        <v>0</v>
      </c>
      <c r="AV1304" s="135"/>
      <c r="AW1304" s="135"/>
      <c r="AX1304" s="135"/>
      <c r="AY1304" s="135"/>
      <c r="AZ1304" s="135"/>
      <c r="BA1304" s="135"/>
      <c r="BB1304" s="135"/>
      <c r="BC1304" s="135"/>
      <c r="BD1304" s="135"/>
      <c r="BE1304" s="135"/>
      <c r="BF1304" s="135"/>
      <c r="BG1304" s="135"/>
      <c r="BH1304" s="135"/>
      <c r="BI1304" s="2"/>
      <c r="BJ1304" s="136"/>
      <c r="BK1304" s="2"/>
      <c r="BL1304" s="136"/>
      <c r="BM1304" s="136"/>
      <c r="BN1304" s="2"/>
      <c r="BO1304" s="2"/>
      <c r="BP1304" s="136"/>
      <c r="BQ1304" s="137"/>
    </row>
    <row r="1305" spans="1:69" ht="12.75" customHeight="1" x14ac:dyDescent="0.2">
      <c r="A1305" s="2">
        <v>2794</v>
      </c>
      <c r="B1305" s="2"/>
      <c r="C1305" s="131"/>
      <c r="D1305" s="131"/>
      <c r="E1305" s="2"/>
      <c r="F1305" s="132">
        <v>0</v>
      </c>
      <c r="G1305" s="132"/>
      <c r="H1305" s="132">
        <f t="shared" si="150"/>
        <v>0</v>
      </c>
      <c r="I1305" s="132"/>
      <c r="J1305" s="132">
        <f t="shared" si="148"/>
        <v>0</v>
      </c>
      <c r="K1305" s="132">
        <f t="shared" si="151"/>
        <v>0</v>
      </c>
      <c r="L1305" s="132">
        <f t="shared" si="152"/>
        <v>0</v>
      </c>
      <c r="M1305" s="133"/>
      <c r="N1305" s="133">
        <f t="shared" si="149"/>
        <v>0</v>
      </c>
      <c r="O1305" s="134"/>
      <c r="P1305" s="133"/>
      <c r="Q1305" s="2"/>
      <c r="R1305" s="156">
        <f t="shared" si="153"/>
        <v>0</v>
      </c>
      <c r="S1305" s="156">
        <f t="shared" si="154"/>
        <v>0</v>
      </c>
      <c r="T1305" s="133"/>
      <c r="U1305" s="133"/>
      <c r="V1305" s="133"/>
      <c r="W1305" s="133"/>
      <c r="X1305" s="133"/>
      <c r="Y1305" s="133"/>
      <c r="Z1305" s="133"/>
      <c r="AA1305" s="133"/>
      <c r="AB1305" s="133"/>
      <c r="AC1305" s="133"/>
      <c r="AD1305" s="133"/>
      <c r="AE1305" s="133"/>
      <c r="AF1305" s="133"/>
      <c r="AG1305" s="133"/>
      <c r="AH1305" s="133"/>
      <c r="AI1305" s="133"/>
      <c r="AJ1305" s="133"/>
      <c r="AK1305" s="133"/>
      <c r="AL1305" s="133"/>
      <c r="AM1305" s="133"/>
      <c r="AN1305" s="133"/>
      <c r="AO1305" s="133"/>
      <c r="AP1305" s="133"/>
      <c r="AQ1305" s="133"/>
      <c r="AR1305" s="133"/>
      <c r="AS1305" s="153">
        <v>0</v>
      </c>
      <c r="AT1305" s="153">
        <v>0</v>
      </c>
      <c r="AU1305" s="153">
        <v>0</v>
      </c>
      <c r="AV1305" s="135"/>
      <c r="AW1305" s="135"/>
      <c r="AX1305" s="135"/>
      <c r="AY1305" s="135"/>
      <c r="AZ1305" s="135"/>
      <c r="BA1305" s="135"/>
      <c r="BB1305" s="135"/>
      <c r="BC1305" s="135"/>
      <c r="BD1305" s="135"/>
      <c r="BE1305" s="135"/>
      <c r="BF1305" s="135"/>
      <c r="BG1305" s="135"/>
      <c r="BH1305" s="135"/>
      <c r="BI1305" s="2"/>
      <c r="BJ1305" s="136"/>
      <c r="BK1305" s="2"/>
      <c r="BL1305" s="136"/>
      <c r="BM1305" s="136"/>
      <c r="BN1305" s="2"/>
      <c r="BO1305" s="2"/>
      <c r="BP1305" s="136"/>
      <c r="BQ1305" s="137"/>
    </row>
    <row r="1306" spans="1:69" ht="12.75" customHeight="1" x14ac:dyDescent="0.2">
      <c r="A1306" s="2">
        <v>2795</v>
      </c>
      <c r="B1306" s="2"/>
      <c r="C1306" s="131"/>
      <c r="D1306" s="131"/>
      <c r="E1306" s="2"/>
      <c r="F1306" s="132">
        <v>0</v>
      </c>
      <c r="G1306" s="132"/>
      <c r="H1306" s="132">
        <f t="shared" si="150"/>
        <v>0</v>
      </c>
      <c r="I1306" s="132"/>
      <c r="J1306" s="132">
        <f t="shared" si="148"/>
        <v>0</v>
      </c>
      <c r="K1306" s="132">
        <f t="shared" si="151"/>
        <v>0</v>
      </c>
      <c r="L1306" s="132">
        <f t="shared" si="152"/>
        <v>0</v>
      </c>
      <c r="M1306" s="133"/>
      <c r="N1306" s="133">
        <f t="shared" si="149"/>
        <v>0</v>
      </c>
      <c r="O1306" s="134"/>
      <c r="P1306" s="133"/>
      <c r="Q1306" s="2"/>
      <c r="R1306" s="156">
        <f t="shared" si="153"/>
        <v>0</v>
      </c>
      <c r="S1306" s="156">
        <f t="shared" si="154"/>
        <v>0</v>
      </c>
      <c r="T1306" s="133"/>
      <c r="U1306" s="133"/>
      <c r="V1306" s="133"/>
      <c r="W1306" s="133"/>
      <c r="X1306" s="133"/>
      <c r="Y1306" s="133"/>
      <c r="Z1306" s="133"/>
      <c r="AA1306" s="133"/>
      <c r="AB1306" s="133"/>
      <c r="AC1306" s="133"/>
      <c r="AD1306" s="133"/>
      <c r="AE1306" s="133"/>
      <c r="AF1306" s="133"/>
      <c r="AG1306" s="133"/>
      <c r="AH1306" s="133"/>
      <c r="AI1306" s="133"/>
      <c r="AJ1306" s="133"/>
      <c r="AK1306" s="133"/>
      <c r="AL1306" s="133"/>
      <c r="AM1306" s="133"/>
      <c r="AN1306" s="133"/>
      <c r="AO1306" s="133"/>
      <c r="AP1306" s="133"/>
      <c r="AQ1306" s="133"/>
      <c r="AR1306" s="133"/>
      <c r="AS1306" s="153">
        <v>0</v>
      </c>
      <c r="AT1306" s="153">
        <v>0</v>
      </c>
      <c r="AU1306" s="153">
        <v>0</v>
      </c>
      <c r="AV1306" s="135"/>
      <c r="AW1306" s="135"/>
      <c r="AX1306" s="135"/>
      <c r="AY1306" s="135"/>
      <c r="AZ1306" s="135"/>
      <c r="BA1306" s="135"/>
      <c r="BB1306" s="135"/>
      <c r="BC1306" s="135"/>
      <c r="BD1306" s="135"/>
      <c r="BE1306" s="135"/>
      <c r="BF1306" s="135"/>
      <c r="BG1306" s="135"/>
      <c r="BH1306" s="135"/>
      <c r="BI1306" s="2"/>
      <c r="BJ1306" s="136"/>
      <c r="BK1306" s="2"/>
      <c r="BL1306" s="136"/>
      <c r="BM1306" s="136"/>
      <c r="BN1306" s="2"/>
      <c r="BO1306" s="2"/>
      <c r="BP1306" s="136"/>
      <c r="BQ1306" s="137"/>
    </row>
    <row r="1307" spans="1:69" ht="12.75" customHeight="1" x14ac:dyDescent="0.2">
      <c r="A1307" s="2">
        <v>2796</v>
      </c>
      <c r="B1307" s="2"/>
      <c r="C1307" s="131"/>
      <c r="D1307" s="131"/>
      <c r="E1307" s="2"/>
      <c r="F1307" s="132">
        <v>0</v>
      </c>
      <c r="G1307" s="132"/>
      <c r="H1307" s="132">
        <f t="shared" si="150"/>
        <v>0</v>
      </c>
      <c r="I1307" s="132"/>
      <c r="J1307" s="132">
        <f t="shared" si="148"/>
        <v>0</v>
      </c>
      <c r="K1307" s="132">
        <f t="shared" si="151"/>
        <v>0</v>
      </c>
      <c r="L1307" s="132">
        <f t="shared" si="152"/>
        <v>0</v>
      </c>
      <c r="M1307" s="133"/>
      <c r="N1307" s="133">
        <f t="shared" si="149"/>
        <v>0</v>
      </c>
      <c r="O1307" s="134"/>
      <c r="P1307" s="133"/>
      <c r="Q1307" s="2"/>
      <c r="R1307" s="156">
        <f t="shared" si="153"/>
        <v>0</v>
      </c>
      <c r="S1307" s="156">
        <f t="shared" si="154"/>
        <v>0</v>
      </c>
      <c r="T1307" s="133"/>
      <c r="U1307" s="133"/>
      <c r="V1307" s="133"/>
      <c r="W1307" s="133"/>
      <c r="X1307" s="133"/>
      <c r="Y1307" s="133"/>
      <c r="Z1307" s="133"/>
      <c r="AA1307" s="133"/>
      <c r="AB1307" s="133"/>
      <c r="AC1307" s="133"/>
      <c r="AD1307" s="133"/>
      <c r="AE1307" s="133"/>
      <c r="AF1307" s="133"/>
      <c r="AG1307" s="133"/>
      <c r="AH1307" s="133"/>
      <c r="AI1307" s="133"/>
      <c r="AJ1307" s="133"/>
      <c r="AK1307" s="133"/>
      <c r="AL1307" s="133"/>
      <c r="AM1307" s="133"/>
      <c r="AN1307" s="133"/>
      <c r="AO1307" s="133"/>
      <c r="AP1307" s="133"/>
      <c r="AQ1307" s="133"/>
      <c r="AR1307" s="133"/>
      <c r="AS1307" s="153">
        <v>0</v>
      </c>
      <c r="AT1307" s="153">
        <v>0</v>
      </c>
      <c r="AU1307" s="153">
        <v>0</v>
      </c>
      <c r="AV1307" s="135"/>
      <c r="AW1307" s="135"/>
      <c r="AX1307" s="135"/>
      <c r="AY1307" s="135"/>
      <c r="AZ1307" s="135"/>
      <c r="BA1307" s="135"/>
      <c r="BB1307" s="135"/>
      <c r="BC1307" s="135"/>
      <c r="BD1307" s="135"/>
      <c r="BE1307" s="135"/>
      <c r="BF1307" s="135"/>
      <c r="BG1307" s="135"/>
      <c r="BH1307" s="135"/>
      <c r="BI1307" s="2"/>
      <c r="BJ1307" s="136"/>
      <c r="BK1307" s="2"/>
      <c r="BL1307" s="136"/>
      <c r="BM1307" s="136"/>
      <c r="BN1307" s="2"/>
      <c r="BO1307" s="2"/>
      <c r="BP1307" s="136"/>
      <c r="BQ1307" s="137"/>
    </row>
    <row r="1308" spans="1:69" ht="12.75" customHeight="1" x14ac:dyDescent="0.2">
      <c r="A1308" s="2">
        <v>2797</v>
      </c>
      <c r="B1308" s="2"/>
      <c r="C1308" s="131"/>
      <c r="D1308" s="131"/>
      <c r="E1308" s="2"/>
      <c r="F1308" s="132">
        <v>0</v>
      </c>
      <c r="G1308" s="132"/>
      <c r="H1308" s="132">
        <f t="shared" si="150"/>
        <v>0</v>
      </c>
      <c r="I1308" s="132"/>
      <c r="J1308" s="132">
        <f t="shared" si="148"/>
        <v>0</v>
      </c>
      <c r="K1308" s="132">
        <f t="shared" si="151"/>
        <v>0</v>
      </c>
      <c r="L1308" s="132">
        <f t="shared" si="152"/>
        <v>0</v>
      </c>
      <c r="M1308" s="133"/>
      <c r="N1308" s="133">
        <f t="shared" si="149"/>
        <v>0</v>
      </c>
      <c r="O1308" s="134"/>
      <c r="P1308" s="133"/>
      <c r="Q1308" s="2"/>
      <c r="R1308" s="156">
        <f t="shared" si="153"/>
        <v>0</v>
      </c>
      <c r="S1308" s="156">
        <f t="shared" si="154"/>
        <v>0</v>
      </c>
      <c r="T1308" s="133"/>
      <c r="U1308" s="133"/>
      <c r="V1308" s="133"/>
      <c r="W1308" s="133"/>
      <c r="X1308" s="133"/>
      <c r="Y1308" s="133"/>
      <c r="Z1308" s="133"/>
      <c r="AA1308" s="133"/>
      <c r="AB1308" s="133"/>
      <c r="AC1308" s="133"/>
      <c r="AD1308" s="133"/>
      <c r="AE1308" s="133"/>
      <c r="AF1308" s="133"/>
      <c r="AG1308" s="133"/>
      <c r="AH1308" s="133"/>
      <c r="AI1308" s="133"/>
      <c r="AJ1308" s="133"/>
      <c r="AK1308" s="133"/>
      <c r="AL1308" s="133"/>
      <c r="AM1308" s="133"/>
      <c r="AN1308" s="133"/>
      <c r="AO1308" s="133"/>
      <c r="AP1308" s="133"/>
      <c r="AQ1308" s="133"/>
      <c r="AR1308" s="133"/>
      <c r="AS1308" s="153">
        <v>0</v>
      </c>
      <c r="AT1308" s="153">
        <v>0</v>
      </c>
      <c r="AU1308" s="153">
        <v>0</v>
      </c>
      <c r="AV1308" s="135"/>
      <c r="AW1308" s="135"/>
      <c r="AX1308" s="135"/>
      <c r="AY1308" s="135"/>
      <c r="AZ1308" s="135"/>
      <c r="BA1308" s="135"/>
      <c r="BB1308" s="135"/>
      <c r="BC1308" s="135"/>
      <c r="BD1308" s="135"/>
      <c r="BE1308" s="135"/>
      <c r="BF1308" s="135"/>
      <c r="BG1308" s="135"/>
      <c r="BH1308" s="135"/>
      <c r="BI1308" s="2"/>
      <c r="BJ1308" s="136"/>
      <c r="BK1308" s="2"/>
      <c r="BL1308" s="136"/>
      <c r="BM1308" s="136"/>
      <c r="BN1308" s="2"/>
      <c r="BO1308" s="2"/>
      <c r="BP1308" s="136"/>
      <c r="BQ1308" s="137"/>
    </row>
    <row r="1309" spans="1:69" ht="12.75" customHeight="1" x14ac:dyDescent="0.2">
      <c r="A1309" s="2">
        <v>2798</v>
      </c>
      <c r="B1309" s="2"/>
      <c r="C1309" s="131"/>
      <c r="D1309" s="131"/>
      <c r="E1309" s="2"/>
      <c r="F1309" s="132">
        <v>0</v>
      </c>
      <c r="G1309" s="132"/>
      <c r="H1309" s="132">
        <f t="shared" si="150"/>
        <v>0</v>
      </c>
      <c r="I1309" s="132"/>
      <c r="J1309" s="132">
        <f t="shared" si="148"/>
        <v>0</v>
      </c>
      <c r="K1309" s="132">
        <f t="shared" si="151"/>
        <v>0</v>
      </c>
      <c r="L1309" s="132">
        <f t="shared" si="152"/>
        <v>0</v>
      </c>
      <c r="M1309" s="133"/>
      <c r="N1309" s="133">
        <f t="shared" si="149"/>
        <v>0</v>
      </c>
      <c r="O1309" s="134"/>
      <c r="P1309" s="133"/>
      <c r="Q1309" s="2"/>
      <c r="R1309" s="156">
        <f t="shared" si="153"/>
        <v>0</v>
      </c>
      <c r="S1309" s="156">
        <f t="shared" si="154"/>
        <v>0</v>
      </c>
      <c r="T1309" s="133"/>
      <c r="U1309" s="133"/>
      <c r="V1309" s="133"/>
      <c r="W1309" s="133"/>
      <c r="X1309" s="133"/>
      <c r="Y1309" s="133"/>
      <c r="Z1309" s="133"/>
      <c r="AA1309" s="133"/>
      <c r="AB1309" s="133"/>
      <c r="AC1309" s="133"/>
      <c r="AD1309" s="133"/>
      <c r="AE1309" s="133"/>
      <c r="AF1309" s="133"/>
      <c r="AG1309" s="133"/>
      <c r="AH1309" s="133"/>
      <c r="AI1309" s="133"/>
      <c r="AJ1309" s="133"/>
      <c r="AK1309" s="133"/>
      <c r="AL1309" s="133"/>
      <c r="AM1309" s="133"/>
      <c r="AN1309" s="133"/>
      <c r="AO1309" s="133"/>
      <c r="AP1309" s="133"/>
      <c r="AQ1309" s="133"/>
      <c r="AR1309" s="133"/>
      <c r="AS1309" s="153">
        <v>0</v>
      </c>
      <c r="AT1309" s="153">
        <v>0</v>
      </c>
      <c r="AU1309" s="153">
        <v>0</v>
      </c>
      <c r="AV1309" s="135"/>
      <c r="AW1309" s="135"/>
      <c r="AX1309" s="135"/>
      <c r="AY1309" s="135"/>
      <c r="AZ1309" s="135"/>
      <c r="BA1309" s="135"/>
      <c r="BB1309" s="135"/>
      <c r="BC1309" s="135"/>
      <c r="BD1309" s="135"/>
      <c r="BE1309" s="135"/>
      <c r="BF1309" s="135"/>
      <c r="BG1309" s="135"/>
      <c r="BH1309" s="135"/>
      <c r="BI1309" s="2"/>
      <c r="BJ1309" s="136"/>
      <c r="BK1309" s="2"/>
      <c r="BL1309" s="136"/>
      <c r="BM1309" s="136"/>
      <c r="BN1309" s="2"/>
      <c r="BO1309" s="2"/>
      <c r="BP1309" s="136"/>
      <c r="BQ1309" s="137"/>
    </row>
    <row r="1310" spans="1:69" ht="12.75" customHeight="1" x14ac:dyDescent="0.2">
      <c r="A1310" s="2">
        <v>2799</v>
      </c>
      <c r="B1310" s="2"/>
      <c r="C1310" s="131"/>
      <c r="D1310" s="131"/>
      <c r="E1310" s="2"/>
      <c r="F1310" s="132">
        <v>0</v>
      </c>
      <c r="G1310" s="132"/>
      <c r="H1310" s="132">
        <f t="shared" si="150"/>
        <v>0</v>
      </c>
      <c r="I1310" s="132"/>
      <c r="J1310" s="132">
        <f t="shared" si="148"/>
        <v>0</v>
      </c>
      <c r="K1310" s="132">
        <f t="shared" si="151"/>
        <v>0</v>
      </c>
      <c r="L1310" s="132">
        <f t="shared" si="152"/>
        <v>0</v>
      </c>
      <c r="M1310" s="133"/>
      <c r="N1310" s="133">
        <f t="shared" si="149"/>
        <v>0</v>
      </c>
      <c r="O1310" s="134"/>
      <c r="P1310" s="133"/>
      <c r="Q1310" s="2"/>
      <c r="R1310" s="156">
        <f t="shared" si="153"/>
        <v>0</v>
      </c>
      <c r="S1310" s="156">
        <f t="shared" si="154"/>
        <v>0</v>
      </c>
      <c r="T1310" s="133"/>
      <c r="U1310" s="133"/>
      <c r="V1310" s="133"/>
      <c r="W1310" s="133"/>
      <c r="X1310" s="133"/>
      <c r="Y1310" s="133"/>
      <c r="Z1310" s="133"/>
      <c r="AA1310" s="133"/>
      <c r="AB1310" s="133"/>
      <c r="AC1310" s="133"/>
      <c r="AD1310" s="133"/>
      <c r="AE1310" s="133"/>
      <c r="AF1310" s="133"/>
      <c r="AG1310" s="133"/>
      <c r="AH1310" s="133"/>
      <c r="AI1310" s="133"/>
      <c r="AJ1310" s="133"/>
      <c r="AK1310" s="133"/>
      <c r="AL1310" s="133"/>
      <c r="AM1310" s="133"/>
      <c r="AN1310" s="133"/>
      <c r="AO1310" s="133"/>
      <c r="AP1310" s="133"/>
      <c r="AQ1310" s="133"/>
      <c r="AR1310" s="133"/>
      <c r="AS1310" s="153">
        <v>0</v>
      </c>
      <c r="AT1310" s="153">
        <v>0</v>
      </c>
      <c r="AU1310" s="153">
        <v>0</v>
      </c>
      <c r="AV1310" s="135"/>
      <c r="AW1310" s="135"/>
      <c r="AX1310" s="135"/>
      <c r="AY1310" s="135"/>
      <c r="AZ1310" s="135"/>
      <c r="BA1310" s="135"/>
      <c r="BB1310" s="135"/>
      <c r="BC1310" s="135"/>
      <c r="BD1310" s="135"/>
      <c r="BE1310" s="135"/>
      <c r="BF1310" s="135"/>
      <c r="BG1310" s="135"/>
      <c r="BH1310" s="135"/>
      <c r="BI1310" s="2"/>
      <c r="BJ1310" s="136"/>
      <c r="BK1310" s="2"/>
      <c r="BL1310" s="136"/>
      <c r="BM1310" s="136"/>
      <c r="BN1310" s="2"/>
      <c r="BO1310" s="2"/>
      <c r="BP1310" s="136"/>
      <c r="BQ1310" s="137"/>
    </row>
    <row r="1311" spans="1:69" ht="12.75" customHeight="1" x14ac:dyDescent="0.2">
      <c r="A1311" s="2">
        <v>2800</v>
      </c>
      <c r="B1311" s="2"/>
      <c r="C1311" s="131"/>
      <c r="D1311" s="131"/>
      <c r="E1311" s="2"/>
      <c r="F1311" s="132">
        <v>0</v>
      </c>
      <c r="G1311" s="132"/>
      <c r="H1311" s="132">
        <f t="shared" si="150"/>
        <v>0</v>
      </c>
      <c r="I1311" s="132"/>
      <c r="J1311" s="132">
        <f t="shared" si="148"/>
        <v>0</v>
      </c>
      <c r="K1311" s="132">
        <f t="shared" si="151"/>
        <v>0</v>
      </c>
      <c r="L1311" s="132">
        <f t="shared" si="152"/>
        <v>0</v>
      </c>
      <c r="M1311" s="133"/>
      <c r="N1311" s="133">
        <f t="shared" si="149"/>
        <v>0</v>
      </c>
      <c r="O1311" s="134"/>
      <c r="P1311" s="133"/>
      <c r="Q1311" s="2"/>
      <c r="R1311" s="156">
        <f t="shared" si="153"/>
        <v>0</v>
      </c>
      <c r="S1311" s="156">
        <f t="shared" si="154"/>
        <v>0</v>
      </c>
      <c r="T1311" s="133"/>
      <c r="U1311" s="133"/>
      <c r="V1311" s="133"/>
      <c r="W1311" s="133"/>
      <c r="X1311" s="133"/>
      <c r="Y1311" s="133"/>
      <c r="Z1311" s="133"/>
      <c r="AA1311" s="133"/>
      <c r="AB1311" s="133"/>
      <c r="AC1311" s="133"/>
      <c r="AD1311" s="133"/>
      <c r="AE1311" s="133"/>
      <c r="AF1311" s="133"/>
      <c r="AG1311" s="133"/>
      <c r="AH1311" s="133"/>
      <c r="AI1311" s="133"/>
      <c r="AJ1311" s="133"/>
      <c r="AK1311" s="133"/>
      <c r="AL1311" s="133"/>
      <c r="AM1311" s="133"/>
      <c r="AN1311" s="133"/>
      <c r="AO1311" s="133"/>
      <c r="AP1311" s="133"/>
      <c r="AQ1311" s="133"/>
      <c r="AR1311" s="133"/>
      <c r="AS1311" s="153">
        <v>0</v>
      </c>
      <c r="AT1311" s="153">
        <v>0</v>
      </c>
      <c r="AU1311" s="153">
        <v>0</v>
      </c>
      <c r="AV1311" s="135"/>
      <c r="AW1311" s="135"/>
      <c r="AX1311" s="135"/>
      <c r="AY1311" s="135"/>
      <c r="AZ1311" s="135"/>
      <c r="BA1311" s="135"/>
      <c r="BB1311" s="135"/>
      <c r="BC1311" s="135"/>
      <c r="BD1311" s="135"/>
      <c r="BE1311" s="135"/>
      <c r="BF1311" s="135"/>
      <c r="BG1311" s="135"/>
      <c r="BH1311" s="135"/>
      <c r="BI1311" s="2"/>
      <c r="BJ1311" s="136"/>
      <c r="BK1311" s="2"/>
      <c r="BL1311" s="136"/>
      <c r="BM1311" s="136"/>
      <c r="BN1311" s="2"/>
      <c r="BO1311" s="2"/>
      <c r="BP1311" s="136"/>
      <c r="BQ1311" s="137"/>
    </row>
    <row r="1312" spans="1:69" ht="12.75" customHeight="1" x14ac:dyDescent="0.2">
      <c r="A1312" s="2">
        <v>2801</v>
      </c>
      <c r="B1312" s="2"/>
      <c r="C1312" s="131"/>
      <c r="D1312" s="131"/>
      <c r="E1312" s="2"/>
      <c r="F1312" s="132">
        <v>0</v>
      </c>
      <c r="G1312" s="132"/>
      <c r="H1312" s="132">
        <f t="shared" si="150"/>
        <v>0</v>
      </c>
      <c r="I1312" s="132"/>
      <c r="J1312" s="132">
        <f t="shared" si="148"/>
        <v>0</v>
      </c>
      <c r="K1312" s="132">
        <f t="shared" si="151"/>
        <v>0</v>
      </c>
      <c r="L1312" s="132">
        <f t="shared" si="152"/>
        <v>0</v>
      </c>
      <c r="M1312" s="133"/>
      <c r="N1312" s="133">
        <f t="shared" si="149"/>
        <v>0</v>
      </c>
      <c r="O1312" s="134"/>
      <c r="P1312" s="133"/>
      <c r="Q1312" s="2"/>
      <c r="R1312" s="156">
        <f t="shared" si="153"/>
        <v>0</v>
      </c>
      <c r="S1312" s="156">
        <f t="shared" si="154"/>
        <v>0</v>
      </c>
      <c r="T1312" s="133"/>
      <c r="U1312" s="133"/>
      <c r="V1312" s="133"/>
      <c r="W1312" s="133"/>
      <c r="X1312" s="133"/>
      <c r="Y1312" s="133"/>
      <c r="Z1312" s="133"/>
      <c r="AA1312" s="133"/>
      <c r="AB1312" s="133"/>
      <c r="AC1312" s="133"/>
      <c r="AD1312" s="133"/>
      <c r="AE1312" s="133"/>
      <c r="AF1312" s="133"/>
      <c r="AG1312" s="133"/>
      <c r="AH1312" s="133"/>
      <c r="AI1312" s="133"/>
      <c r="AJ1312" s="133"/>
      <c r="AK1312" s="133"/>
      <c r="AL1312" s="133"/>
      <c r="AM1312" s="133"/>
      <c r="AN1312" s="133"/>
      <c r="AO1312" s="133"/>
      <c r="AP1312" s="133"/>
      <c r="AQ1312" s="133"/>
      <c r="AR1312" s="133"/>
      <c r="AS1312" s="153">
        <v>0</v>
      </c>
      <c r="AT1312" s="153">
        <v>0</v>
      </c>
      <c r="AU1312" s="153">
        <v>0</v>
      </c>
      <c r="AV1312" s="135"/>
      <c r="AW1312" s="135"/>
      <c r="AX1312" s="135"/>
      <c r="AY1312" s="135"/>
      <c r="AZ1312" s="135"/>
      <c r="BA1312" s="135"/>
      <c r="BB1312" s="135"/>
      <c r="BC1312" s="135"/>
      <c r="BD1312" s="135"/>
      <c r="BE1312" s="135"/>
      <c r="BF1312" s="135"/>
      <c r="BG1312" s="135"/>
      <c r="BH1312" s="135"/>
      <c r="BI1312" s="2"/>
      <c r="BJ1312" s="136"/>
      <c r="BK1312" s="2"/>
      <c r="BL1312" s="136"/>
      <c r="BM1312" s="136"/>
      <c r="BN1312" s="2"/>
      <c r="BO1312" s="2"/>
      <c r="BP1312" s="136"/>
      <c r="BQ1312" s="137"/>
    </row>
    <row r="1313" spans="1:69" ht="12.75" customHeight="1" x14ac:dyDescent="0.2">
      <c r="A1313" s="2">
        <v>2802</v>
      </c>
      <c r="B1313" s="2"/>
      <c r="C1313" s="131"/>
      <c r="D1313" s="131"/>
      <c r="E1313" s="2"/>
      <c r="F1313" s="132">
        <v>0</v>
      </c>
      <c r="G1313" s="132"/>
      <c r="H1313" s="132">
        <f t="shared" si="150"/>
        <v>0</v>
      </c>
      <c r="I1313" s="132"/>
      <c r="J1313" s="132">
        <f t="shared" si="148"/>
        <v>0</v>
      </c>
      <c r="K1313" s="132">
        <f t="shared" si="151"/>
        <v>0</v>
      </c>
      <c r="L1313" s="132">
        <f t="shared" si="152"/>
        <v>0</v>
      </c>
      <c r="M1313" s="133"/>
      <c r="N1313" s="133">
        <f t="shared" si="149"/>
        <v>0</v>
      </c>
      <c r="O1313" s="134"/>
      <c r="P1313" s="133"/>
      <c r="Q1313" s="2"/>
      <c r="R1313" s="156">
        <f t="shared" si="153"/>
        <v>0</v>
      </c>
      <c r="S1313" s="156">
        <f t="shared" si="154"/>
        <v>0</v>
      </c>
      <c r="T1313" s="133"/>
      <c r="U1313" s="133"/>
      <c r="V1313" s="133"/>
      <c r="W1313" s="133"/>
      <c r="X1313" s="133"/>
      <c r="Y1313" s="133"/>
      <c r="Z1313" s="133"/>
      <c r="AA1313" s="133"/>
      <c r="AB1313" s="133"/>
      <c r="AC1313" s="133"/>
      <c r="AD1313" s="133"/>
      <c r="AE1313" s="133"/>
      <c r="AF1313" s="133"/>
      <c r="AG1313" s="133"/>
      <c r="AH1313" s="133"/>
      <c r="AI1313" s="133"/>
      <c r="AJ1313" s="133"/>
      <c r="AK1313" s="133"/>
      <c r="AL1313" s="133"/>
      <c r="AM1313" s="133"/>
      <c r="AN1313" s="133"/>
      <c r="AO1313" s="133"/>
      <c r="AP1313" s="133"/>
      <c r="AQ1313" s="133"/>
      <c r="AR1313" s="133"/>
      <c r="AS1313" s="153">
        <v>0</v>
      </c>
      <c r="AT1313" s="153">
        <v>0</v>
      </c>
      <c r="AU1313" s="153">
        <v>0</v>
      </c>
      <c r="AV1313" s="135"/>
      <c r="AW1313" s="135"/>
      <c r="AX1313" s="135"/>
      <c r="AY1313" s="135"/>
      <c r="AZ1313" s="135"/>
      <c r="BA1313" s="135"/>
      <c r="BB1313" s="135"/>
      <c r="BC1313" s="135"/>
      <c r="BD1313" s="135"/>
      <c r="BE1313" s="135"/>
      <c r="BF1313" s="135"/>
      <c r="BG1313" s="135"/>
      <c r="BH1313" s="135"/>
      <c r="BI1313" s="2"/>
      <c r="BJ1313" s="136"/>
      <c r="BK1313" s="2"/>
      <c r="BL1313" s="136"/>
      <c r="BM1313" s="136"/>
      <c r="BN1313" s="2"/>
      <c r="BO1313" s="2"/>
      <c r="BP1313" s="136"/>
      <c r="BQ1313" s="137"/>
    </row>
    <row r="1314" spans="1:69" ht="12.75" customHeight="1" x14ac:dyDescent="0.2">
      <c r="A1314" s="2">
        <v>2803</v>
      </c>
      <c r="B1314" s="2"/>
      <c r="C1314" s="131"/>
      <c r="D1314" s="131"/>
      <c r="E1314" s="2"/>
      <c r="F1314" s="132">
        <v>0</v>
      </c>
      <c r="G1314" s="132"/>
      <c r="H1314" s="132">
        <f t="shared" si="150"/>
        <v>0</v>
      </c>
      <c r="I1314" s="132"/>
      <c r="J1314" s="132">
        <f t="shared" si="148"/>
        <v>0</v>
      </c>
      <c r="K1314" s="132">
        <f t="shared" si="151"/>
        <v>0</v>
      </c>
      <c r="L1314" s="132">
        <f t="shared" si="152"/>
        <v>0</v>
      </c>
      <c r="M1314" s="133"/>
      <c r="N1314" s="133">
        <f t="shared" si="149"/>
        <v>0</v>
      </c>
      <c r="O1314" s="134"/>
      <c r="P1314" s="133"/>
      <c r="Q1314" s="2"/>
      <c r="R1314" s="156">
        <f t="shared" si="153"/>
        <v>0</v>
      </c>
      <c r="S1314" s="156">
        <f t="shared" si="154"/>
        <v>0</v>
      </c>
      <c r="T1314" s="133"/>
      <c r="U1314" s="133"/>
      <c r="V1314" s="133"/>
      <c r="W1314" s="133"/>
      <c r="X1314" s="133"/>
      <c r="Y1314" s="133"/>
      <c r="Z1314" s="133"/>
      <c r="AA1314" s="133"/>
      <c r="AB1314" s="133"/>
      <c r="AC1314" s="133"/>
      <c r="AD1314" s="133"/>
      <c r="AE1314" s="133"/>
      <c r="AF1314" s="133"/>
      <c r="AG1314" s="133"/>
      <c r="AH1314" s="133"/>
      <c r="AI1314" s="133"/>
      <c r="AJ1314" s="133"/>
      <c r="AK1314" s="133"/>
      <c r="AL1314" s="133"/>
      <c r="AM1314" s="133"/>
      <c r="AN1314" s="133"/>
      <c r="AO1314" s="133"/>
      <c r="AP1314" s="133"/>
      <c r="AQ1314" s="133"/>
      <c r="AR1314" s="133"/>
      <c r="AS1314" s="153">
        <v>0</v>
      </c>
      <c r="AT1314" s="153">
        <v>0</v>
      </c>
      <c r="AU1314" s="153">
        <v>0</v>
      </c>
      <c r="AV1314" s="135"/>
      <c r="AW1314" s="135"/>
      <c r="AX1314" s="135"/>
      <c r="AY1314" s="135"/>
      <c r="AZ1314" s="135"/>
      <c r="BA1314" s="135"/>
      <c r="BB1314" s="135"/>
      <c r="BC1314" s="135"/>
      <c r="BD1314" s="135"/>
      <c r="BE1314" s="135"/>
      <c r="BF1314" s="135"/>
      <c r="BG1314" s="135"/>
      <c r="BH1314" s="135"/>
      <c r="BI1314" s="2"/>
      <c r="BJ1314" s="136"/>
      <c r="BK1314" s="2"/>
      <c r="BL1314" s="136"/>
      <c r="BM1314" s="136"/>
      <c r="BN1314" s="2"/>
      <c r="BO1314" s="2"/>
      <c r="BP1314" s="136"/>
      <c r="BQ1314" s="137"/>
    </row>
    <row r="1315" spans="1:69" ht="12.75" customHeight="1" x14ac:dyDescent="0.2">
      <c r="A1315" s="2">
        <v>2804</v>
      </c>
      <c r="B1315" s="2"/>
      <c r="C1315" s="131"/>
      <c r="D1315" s="131"/>
      <c r="E1315" s="2"/>
      <c r="F1315" s="132">
        <v>0</v>
      </c>
      <c r="G1315" s="132"/>
      <c r="H1315" s="132">
        <f t="shared" si="150"/>
        <v>0</v>
      </c>
      <c r="I1315" s="132"/>
      <c r="J1315" s="132">
        <f t="shared" si="148"/>
        <v>0</v>
      </c>
      <c r="K1315" s="132">
        <f t="shared" si="151"/>
        <v>0</v>
      </c>
      <c r="L1315" s="132">
        <f t="shared" si="152"/>
        <v>0</v>
      </c>
      <c r="M1315" s="133"/>
      <c r="N1315" s="133">
        <f t="shared" si="149"/>
        <v>0</v>
      </c>
      <c r="O1315" s="134"/>
      <c r="P1315" s="133"/>
      <c r="Q1315" s="2"/>
      <c r="R1315" s="156">
        <f t="shared" si="153"/>
        <v>0</v>
      </c>
      <c r="S1315" s="156">
        <f t="shared" si="154"/>
        <v>0</v>
      </c>
      <c r="T1315" s="133"/>
      <c r="U1315" s="133"/>
      <c r="V1315" s="133"/>
      <c r="W1315" s="133"/>
      <c r="X1315" s="133"/>
      <c r="Y1315" s="133"/>
      <c r="Z1315" s="133"/>
      <c r="AA1315" s="133"/>
      <c r="AB1315" s="133"/>
      <c r="AC1315" s="133"/>
      <c r="AD1315" s="133"/>
      <c r="AE1315" s="133"/>
      <c r="AF1315" s="133"/>
      <c r="AG1315" s="133"/>
      <c r="AH1315" s="133"/>
      <c r="AI1315" s="133"/>
      <c r="AJ1315" s="133"/>
      <c r="AK1315" s="133"/>
      <c r="AL1315" s="133"/>
      <c r="AM1315" s="133"/>
      <c r="AN1315" s="133"/>
      <c r="AO1315" s="133"/>
      <c r="AP1315" s="133"/>
      <c r="AQ1315" s="133"/>
      <c r="AR1315" s="133"/>
      <c r="AS1315" s="153">
        <v>0</v>
      </c>
      <c r="AT1315" s="153">
        <v>0</v>
      </c>
      <c r="AU1315" s="153">
        <v>0</v>
      </c>
      <c r="AV1315" s="135"/>
      <c r="AW1315" s="135"/>
      <c r="AX1315" s="135"/>
      <c r="AY1315" s="135"/>
      <c r="AZ1315" s="135"/>
      <c r="BA1315" s="135"/>
      <c r="BB1315" s="135"/>
      <c r="BC1315" s="135"/>
      <c r="BD1315" s="135"/>
      <c r="BE1315" s="135"/>
      <c r="BF1315" s="135"/>
      <c r="BG1315" s="135"/>
      <c r="BH1315" s="135"/>
      <c r="BI1315" s="2"/>
      <c r="BJ1315" s="136"/>
      <c r="BK1315" s="2"/>
      <c r="BL1315" s="136"/>
      <c r="BM1315" s="136"/>
      <c r="BN1315" s="2"/>
      <c r="BO1315" s="2"/>
      <c r="BP1315" s="136"/>
      <c r="BQ1315" s="137"/>
    </row>
    <row r="1316" spans="1:69" ht="12.75" customHeight="1" x14ac:dyDescent="0.2">
      <c r="A1316" s="2">
        <v>2805</v>
      </c>
      <c r="B1316" s="2"/>
      <c r="C1316" s="131"/>
      <c r="D1316" s="131"/>
      <c r="E1316" s="2"/>
      <c r="F1316" s="132">
        <v>0</v>
      </c>
      <c r="G1316" s="132"/>
      <c r="H1316" s="132">
        <f t="shared" si="150"/>
        <v>0</v>
      </c>
      <c r="I1316" s="132"/>
      <c r="J1316" s="132">
        <f t="shared" ref="J1316:J1379" si="155">S1316</f>
        <v>0</v>
      </c>
      <c r="K1316" s="132">
        <f t="shared" si="151"/>
        <v>0</v>
      </c>
      <c r="L1316" s="132">
        <f t="shared" si="152"/>
        <v>0</v>
      </c>
      <c r="M1316" s="133"/>
      <c r="N1316" s="133">
        <f t="shared" si="149"/>
        <v>0</v>
      </c>
      <c r="O1316" s="134"/>
      <c r="P1316" s="133"/>
      <c r="Q1316" s="2"/>
      <c r="R1316" s="156">
        <f t="shared" si="153"/>
        <v>0</v>
      </c>
      <c r="S1316" s="156">
        <f t="shared" si="154"/>
        <v>0</v>
      </c>
      <c r="T1316" s="133"/>
      <c r="U1316" s="133"/>
      <c r="V1316" s="133"/>
      <c r="W1316" s="133"/>
      <c r="X1316" s="133"/>
      <c r="Y1316" s="133"/>
      <c r="Z1316" s="133"/>
      <c r="AA1316" s="133"/>
      <c r="AB1316" s="133"/>
      <c r="AC1316" s="133"/>
      <c r="AD1316" s="133"/>
      <c r="AE1316" s="133"/>
      <c r="AF1316" s="133"/>
      <c r="AG1316" s="133"/>
      <c r="AH1316" s="133"/>
      <c r="AI1316" s="133"/>
      <c r="AJ1316" s="133"/>
      <c r="AK1316" s="133"/>
      <c r="AL1316" s="133"/>
      <c r="AM1316" s="133"/>
      <c r="AN1316" s="133"/>
      <c r="AO1316" s="133"/>
      <c r="AP1316" s="133"/>
      <c r="AQ1316" s="133"/>
      <c r="AR1316" s="133"/>
      <c r="AS1316" s="153">
        <v>0</v>
      </c>
      <c r="AT1316" s="153">
        <v>0</v>
      </c>
      <c r="AU1316" s="153">
        <v>0</v>
      </c>
      <c r="AV1316" s="135"/>
      <c r="AW1316" s="135"/>
      <c r="AX1316" s="135"/>
      <c r="AY1316" s="135"/>
      <c r="AZ1316" s="135"/>
      <c r="BA1316" s="135"/>
      <c r="BB1316" s="135"/>
      <c r="BC1316" s="135"/>
      <c r="BD1316" s="135"/>
      <c r="BE1316" s="135"/>
      <c r="BF1316" s="135"/>
      <c r="BG1316" s="135"/>
      <c r="BH1316" s="135"/>
      <c r="BI1316" s="2"/>
      <c r="BJ1316" s="136"/>
      <c r="BK1316" s="2"/>
      <c r="BL1316" s="136"/>
      <c r="BM1316" s="136"/>
      <c r="BN1316" s="2"/>
      <c r="BO1316" s="2"/>
      <c r="BP1316" s="136"/>
      <c r="BQ1316" s="137"/>
    </row>
    <row r="1317" spans="1:69" ht="12.75" customHeight="1" x14ac:dyDescent="0.2">
      <c r="A1317" s="2">
        <v>2806</v>
      </c>
      <c r="B1317" s="2"/>
      <c r="C1317" s="131"/>
      <c r="D1317" s="131"/>
      <c r="E1317" s="2"/>
      <c r="F1317" s="132">
        <v>0</v>
      </c>
      <c r="G1317" s="132"/>
      <c r="H1317" s="132">
        <f t="shared" si="150"/>
        <v>0</v>
      </c>
      <c r="I1317" s="132"/>
      <c r="J1317" s="132">
        <f t="shared" si="155"/>
        <v>0</v>
      </c>
      <c r="K1317" s="132">
        <f t="shared" si="151"/>
        <v>0</v>
      </c>
      <c r="L1317" s="132">
        <f t="shared" si="152"/>
        <v>0</v>
      </c>
      <c r="M1317" s="133"/>
      <c r="N1317" s="133">
        <f t="shared" si="149"/>
        <v>0</v>
      </c>
      <c r="O1317" s="134"/>
      <c r="P1317" s="133"/>
      <c r="Q1317" s="2"/>
      <c r="R1317" s="156">
        <f t="shared" si="153"/>
        <v>0</v>
      </c>
      <c r="S1317" s="156">
        <f t="shared" si="154"/>
        <v>0</v>
      </c>
      <c r="T1317" s="133"/>
      <c r="U1317" s="133"/>
      <c r="V1317" s="133"/>
      <c r="W1317" s="133"/>
      <c r="X1317" s="133"/>
      <c r="Y1317" s="133"/>
      <c r="Z1317" s="133"/>
      <c r="AA1317" s="133"/>
      <c r="AB1317" s="133"/>
      <c r="AC1317" s="133"/>
      <c r="AD1317" s="133"/>
      <c r="AE1317" s="133"/>
      <c r="AF1317" s="133"/>
      <c r="AG1317" s="133"/>
      <c r="AH1317" s="133"/>
      <c r="AI1317" s="133"/>
      <c r="AJ1317" s="133"/>
      <c r="AK1317" s="133"/>
      <c r="AL1317" s="133"/>
      <c r="AM1317" s="133"/>
      <c r="AN1317" s="133"/>
      <c r="AO1317" s="133"/>
      <c r="AP1317" s="133"/>
      <c r="AQ1317" s="133"/>
      <c r="AR1317" s="133"/>
      <c r="AS1317" s="153">
        <v>0</v>
      </c>
      <c r="AT1317" s="153">
        <v>0</v>
      </c>
      <c r="AU1317" s="153">
        <v>0</v>
      </c>
      <c r="AV1317" s="135"/>
      <c r="AW1317" s="135"/>
      <c r="AX1317" s="135"/>
      <c r="AY1317" s="135"/>
      <c r="AZ1317" s="135"/>
      <c r="BA1317" s="135"/>
      <c r="BB1317" s="135"/>
      <c r="BC1317" s="135"/>
      <c r="BD1317" s="135"/>
      <c r="BE1317" s="135"/>
      <c r="BF1317" s="135"/>
      <c r="BG1317" s="135"/>
      <c r="BH1317" s="135"/>
      <c r="BI1317" s="2"/>
      <c r="BJ1317" s="136"/>
      <c r="BK1317" s="2"/>
      <c r="BL1317" s="136"/>
      <c r="BM1317" s="136"/>
      <c r="BN1317" s="2"/>
      <c r="BO1317" s="2"/>
      <c r="BP1317" s="136"/>
      <c r="BQ1317" s="137"/>
    </row>
    <row r="1318" spans="1:69" ht="12.75" customHeight="1" x14ac:dyDescent="0.2">
      <c r="A1318" s="2">
        <v>2807</v>
      </c>
      <c r="B1318" s="2"/>
      <c r="C1318" s="131"/>
      <c r="D1318" s="131"/>
      <c r="E1318" s="2"/>
      <c r="F1318" s="132">
        <v>0</v>
      </c>
      <c r="G1318" s="132"/>
      <c r="H1318" s="132">
        <f t="shared" si="150"/>
        <v>0</v>
      </c>
      <c r="I1318" s="132"/>
      <c r="J1318" s="132">
        <f t="shared" si="155"/>
        <v>0</v>
      </c>
      <c r="K1318" s="132">
        <f t="shared" si="151"/>
        <v>0</v>
      </c>
      <c r="L1318" s="132">
        <f t="shared" si="152"/>
        <v>0</v>
      </c>
      <c r="M1318" s="133"/>
      <c r="N1318" s="133">
        <f t="shared" si="149"/>
        <v>0</v>
      </c>
      <c r="O1318" s="134"/>
      <c r="P1318" s="133"/>
      <c r="Q1318" s="2"/>
      <c r="R1318" s="156">
        <f t="shared" si="153"/>
        <v>0</v>
      </c>
      <c r="S1318" s="156">
        <f t="shared" si="154"/>
        <v>0</v>
      </c>
      <c r="T1318" s="133"/>
      <c r="U1318" s="133"/>
      <c r="V1318" s="133"/>
      <c r="W1318" s="133"/>
      <c r="X1318" s="133"/>
      <c r="Y1318" s="133"/>
      <c r="Z1318" s="133"/>
      <c r="AA1318" s="133"/>
      <c r="AB1318" s="133"/>
      <c r="AC1318" s="133"/>
      <c r="AD1318" s="133"/>
      <c r="AE1318" s="133"/>
      <c r="AF1318" s="133"/>
      <c r="AG1318" s="133"/>
      <c r="AH1318" s="133"/>
      <c r="AI1318" s="133"/>
      <c r="AJ1318" s="133"/>
      <c r="AK1318" s="133"/>
      <c r="AL1318" s="133"/>
      <c r="AM1318" s="133"/>
      <c r="AN1318" s="133"/>
      <c r="AO1318" s="133"/>
      <c r="AP1318" s="133"/>
      <c r="AQ1318" s="133"/>
      <c r="AR1318" s="133"/>
      <c r="AS1318" s="153">
        <v>0</v>
      </c>
      <c r="AT1318" s="153">
        <v>0</v>
      </c>
      <c r="AU1318" s="153">
        <v>0</v>
      </c>
      <c r="AV1318" s="135"/>
      <c r="AW1318" s="135"/>
      <c r="AX1318" s="135"/>
      <c r="AY1318" s="135"/>
      <c r="AZ1318" s="135"/>
      <c r="BA1318" s="135"/>
      <c r="BB1318" s="135"/>
      <c r="BC1318" s="135"/>
      <c r="BD1318" s="135"/>
      <c r="BE1318" s="135"/>
      <c r="BF1318" s="135"/>
      <c r="BG1318" s="135"/>
      <c r="BH1318" s="135"/>
      <c r="BI1318" s="2"/>
      <c r="BJ1318" s="136"/>
      <c r="BK1318" s="2"/>
      <c r="BL1318" s="136"/>
      <c r="BM1318" s="136"/>
      <c r="BN1318" s="2"/>
      <c r="BO1318" s="2"/>
      <c r="BP1318" s="136"/>
      <c r="BQ1318" s="137"/>
    </row>
    <row r="1319" spans="1:69" ht="12.75" customHeight="1" x14ac:dyDescent="0.2">
      <c r="A1319" s="2">
        <v>2808</v>
      </c>
      <c r="B1319" s="2"/>
      <c r="C1319" s="131"/>
      <c r="D1319" s="131"/>
      <c r="E1319" s="2"/>
      <c r="F1319" s="132">
        <v>0</v>
      </c>
      <c r="G1319" s="132"/>
      <c r="H1319" s="132">
        <f t="shared" si="150"/>
        <v>0</v>
      </c>
      <c r="I1319" s="132"/>
      <c r="J1319" s="132">
        <f t="shared" si="155"/>
        <v>0</v>
      </c>
      <c r="K1319" s="132">
        <f t="shared" si="151"/>
        <v>0</v>
      </c>
      <c r="L1319" s="132">
        <f t="shared" si="152"/>
        <v>0</v>
      </c>
      <c r="M1319" s="133"/>
      <c r="N1319" s="133">
        <f t="shared" si="149"/>
        <v>0</v>
      </c>
      <c r="O1319" s="134"/>
      <c r="P1319" s="133"/>
      <c r="Q1319" s="2"/>
      <c r="R1319" s="156">
        <f t="shared" si="153"/>
        <v>0</v>
      </c>
      <c r="S1319" s="156">
        <f t="shared" si="154"/>
        <v>0</v>
      </c>
      <c r="T1319" s="133"/>
      <c r="U1319" s="133"/>
      <c r="V1319" s="133"/>
      <c r="W1319" s="133"/>
      <c r="X1319" s="133"/>
      <c r="Y1319" s="133"/>
      <c r="Z1319" s="133"/>
      <c r="AA1319" s="133"/>
      <c r="AB1319" s="133"/>
      <c r="AC1319" s="133"/>
      <c r="AD1319" s="133"/>
      <c r="AE1319" s="133"/>
      <c r="AF1319" s="133"/>
      <c r="AG1319" s="133"/>
      <c r="AH1319" s="133"/>
      <c r="AI1319" s="133"/>
      <c r="AJ1319" s="133"/>
      <c r="AK1319" s="133"/>
      <c r="AL1319" s="133"/>
      <c r="AM1319" s="133"/>
      <c r="AN1319" s="133"/>
      <c r="AO1319" s="133"/>
      <c r="AP1319" s="133"/>
      <c r="AQ1319" s="133"/>
      <c r="AR1319" s="133"/>
      <c r="AS1319" s="153">
        <v>0</v>
      </c>
      <c r="AT1319" s="153">
        <v>0</v>
      </c>
      <c r="AU1319" s="153">
        <v>0</v>
      </c>
      <c r="AV1319" s="135"/>
      <c r="AW1319" s="135"/>
      <c r="AX1319" s="135"/>
      <c r="AY1319" s="135"/>
      <c r="AZ1319" s="135"/>
      <c r="BA1319" s="135"/>
      <c r="BB1319" s="135"/>
      <c r="BC1319" s="135"/>
      <c r="BD1319" s="135"/>
      <c r="BE1319" s="135"/>
      <c r="BF1319" s="135"/>
      <c r="BG1319" s="135"/>
      <c r="BH1319" s="135"/>
      <c r="BI1319" s="2"/>
      <c r="BJ1319" s="136"/>
      <c r="BK1319" s="2"/>
      <c r="BL1319" s="136"/>
      <c r="BM1319" s="136"/>
      <c r="BN1319" s="2"/>
      <c r="BO1319" s="2"/>
      <c r="BP1319" s="136"/>
      <c r="BQ1319" s="137"/>
    </row>
    <row r="1320" spans="1:69" ht="12.75" customHeight="1" x14ac:dyDescent="0.2">
      <c r="A1320" s="2">
        <v>2809</v>
      </c>
      <c r="B1320" s="2"/>
      <c r="C1320" s="131"/>
      <c r="D1320" s="131"/>
      <c r="E1320" s="2"/>
      <c r="F1320" s="132">
        <v>0</v>
      </c>
      <c r="G1320" s="132"/>
      <c r="H1320" s="132">
        <f t="shared" si="150"/>
        <v>0</v>
      </c>
      <c r="I1320" s="132"/>
      <c r="J1320" s="132">
        <f t="shared" si="155"/>
        <v>0</v>
      </c>
      <c r="K1320" s="132">
        <f t="shared" si="151"/>
        <v>0</v>
      </c>
      <c r="L1320" s="132">
        <f t="shared" si="152"/>
        <v>0</v>
      </c>
      <c r="M1320" s="133"/>
      <c r="N1320" s="133">
        <f t="shared" si="149"/>
        <v>0</v>
      </c>
      <c r="O1320" s="134"/>
      <c r="P1320" s="133"/>
      <c r="Q1320" s="2"/>
      <c r="R1320" s="156">
        <f t="shared" si="153"/>
        <v>0</v>
      </c>
      <c r="S1320" s="156">
        <f t="shared" si="154"/>
        <v>0</v>
      </c>
      <c r="T1320" s="133"/>
      <c r="U1320" s="133"/>
      <c r="V1320" s="133"/>
      <c r="W1320" s="133"/>
      <c r="X1320" s="133"/>
      <c r="Y1320" s="133"/>
      <c r="Z1320" s="133"/>
      <c r="AA1320" s="133"/>
      <c r="AB1320" s="133"/>
      <c r="AC1320" s="133"/>
      <c r="AD1320" s="133"/>
      <c r="AE1320" s="133"/>
      <c r="AF1320" s="133"/>
      <c r="AG1320" s="133"/>
      <c r="AH1320" s="133"/>
      <c r="AI1320" s="133"/>
      <c r="AJ1320" s="133"/>
      <c r="AK1320" s="133"/>
      <c r="AL1320" s="133"/>
      <c r="AM1320" s="133"/>
      <c r="AN1320" s="133"/>
      <c r="AO1320" s="133"/>
      <c r="AP1320" s="133"/>
      <c r="AQ1320" s="133"/>
      <c r="AR1320" s="133"/>
      <c r="AS1320" s="153">
        <v>0</v>
      </c>
      <c r="AT1320" s="153">
        <v>0</v>
      </c>
      <c r="AU1320" s="153">
        <v>0</v>
      </c>
      <c r="AV1320" s="135"/>
      <c r="AW1320" s="135"/>
      <c r="AX1320" s="135"/>
      <c r="AY1320" s="135"/>
      <c r="AZ1320" s="135"/>
      <c r="BA1320" s="135"/>
      <c r="BB1320" s="135"/>
      <c r="BC1320" s="135"/>
      <c r="BD1320" s="135"/>
      <c r="BE1320" s="135"/>
      <c r="BF1320" s="135"/>
      <c r="BG1320" s="135"/>
      <c r="BH1320" s="135"/>
      <c r="BI1320" s="2"/>
      <c r="BJ1320" s="136"/>
      <c r="BK1320" s="2"/>
      <c r="BL1320" s="136"/>
      <c r="BM1320" s="136"/>
      <c r="BN1320" s="2"/>
      <c r="BO1320" s="2"/>
      <c r="BP1320" s="136"/>
      <c r="BQ1320" s="137"/>
    </row>
    <row r="1321" spans="1:69" ht="12.75" customHeight="1" x14ac:dyDescent="0.2">
      <c r="A1321" s="2">
        <v>2810</v>
      </c>
      <c r="B1321" s="2"/>
      <c r="C1321" s="131"/>
      <c r="D1321" s="131"/>
      <c r="E1321" s="2"/>
      <c r="F1321" s="132">
        <v>0</v>
      </c>
      <c r="G1321" s="132"/>
      <c r="H1321" s="132">
        <f t="shared" si="150"/>
        <v>0</v>
      </c>
      <c r="I1321" s="132"/>
      <c r="J1321" s="132">
        <f t="shared" si="155"/>
        <v>0</v>
      </c>
      <c r="K1321" s="132">
        <f t="shared" si="151"/>
        <v>0</v>
      </c>
      <c r="L1321" s="132">
        <f t="shared" si="152"/>
        <v>0</v>
      </c>
      <c r="M1321" s="133"/>
      <c r="N1321" s="133">
        <f t="shared" si="149"/>
        <v>0</v>
      </c>
      <c r="O1321" s="134"/>
      <c r="P1321" s="133"/>
      <c r="Q1321" s="2"/>
      <c r="R1321" s="156">
        <f t="shared" si="153"/>
        <v>0</v>
      </c>
      <c r="S1321" s="156">
        <f t="shared" si="154"/>
        <v>0</v>
      </c>
      <c r="T1321" s="133"/>
      <c r="U1321" s="133"/>
      <c r="V1321" s="133"/>
      <c r="W1321" s="133"/>
      <c r="X1321" s="133"/>
      <c r="Y1321" s="133"/>
      <c r="Z1321" s="133"/>
      <c r="AA1321" s="133"/>
      <c r="AB1321" s="133"/>
      <c r="AC1321" s="133"/>
      <c r="AD1321" s="133"/>
      <c r="AE1321" s="133"/>
      <c r="AF1321" s="133"/>
      <c r="AG1321" s="133"/>
      <c r="AH1321" s="133"/>
      <c r="AI1321" s="133"/>
      <c r="AJ1321" s="133"/>
      <c r="AK1321" s="133"/>
      <c r="AL1321" s="133"/>
      <c r="AM1321" s="133"/>
      <c r="AN1321" s="133"/>
      <c r="AO1321" s="133"/>
      <c r="AP1321" s="133"/>
      <c r="AQ1321" s="133"/>
      <c r="AR1321" s="133"/>
      <c r="AS1321" s="153">
        <v>0</v>
      </c>
      <c r="AT1321" s="153">
        <v>0</v>
      </c>
      <c r="AU1321" s="153">
        <v>0</v>
      </c>
      <c r="AV1321" s="135"/>
      <c r="AW1321" s="135"/>
      <c r="AX1321" s="135"/>
      <c r="AY1321" s="135"/>
      <c r="AZ1321" s="135"/>
      <c r="BA1321" s="135"/>
      <c r="BB1321" s="135"/>
      <c r="BC1321" s="135"/>
      <c r="BD1321" s="135"/>
      <c r="BE1321" s="135"/>
      <c r="BF1321" s="135"/>
      <c r="BG1321" s="135"/>
      <c r="BH1321" s="135"/>
      <c r="BI1321" s="2"/>
      <c r="BJ1321" s="136"/>
      <c r="BK1321" s="2"/>
      <c r="BL1321" s="136"/>
      <c r="BM1321" s="136"/>
      <c r="BN1321" s="2"/>
      <c r="BO1321" s="2"/>
      <c r="BP1321" s="136"/>
      <c r="BQ1321" s="137"/>
    </row>
    <row r="1322" spans="1:69" ht="12.75" customHeight="1" x14ac:dyDescent="0.2">
      <c r="A1322" s="2">
        <v>2811</v>
      </c>
      <c r="B1322" s="2"/>
      <c r="C1322" s="131"/>
      <c r="D1322" s="131"/>
      <c r="E1322" s="2"/>
      <c r="F1322" s="132">
        <v>0</v>
      </c>
      <c r="G1322" s="132"/>
      <c r="H1322" s="132">
        <f t="shared" si="150"/>
        <v>0</v>
      </c>
      <c r="I1322" s="132"/>
      <c r="J1322" s="132">
        <f t="shared" si="155"/>
        <v>0</v>
      </c>
      <c r="K1322" s="132">
        <f t="shared" si="151"/>
        <v>0</v>
      </c>
      <c r="L1322" s="132">
        <f t="shared" si="152"/>
        <v>0</v>
      </c>
      <c r="M1322" s="133"/>
      <c r="N1322" s="133">
        <f t="shared" ref="N1322:N1385" si="156">IF(OR(BK1322="принят",BK1322="Завершено",BK1322="ПриПро"),H1322-J1322,F1322-J1322)</f>
        <v>0</v>
      </c>
      <c r="O1322" s="134"/>
      <c r="P1322" s="133"/>
      <c r="Q1322" s="2"/>
      <c r="R1322" s="156">
        <f t="shared" si="153"/>
        <v>0</v>
      </c>
      <c r="S1322" s="156">
        <f t="shared" si="154"/>
        <v>0</v>
      </c>
      <c r="T1322" s="133"/>
      <c r="U1322" s="133"/>
      <c r="V1322" s="133"/>
      <c r="W1322" s="133"/>
      <c r="X1322" s="133"/>
      <c r="Y1322" s="133"/>
      <c r="Z1322" s="133"/>
      <c r="AA1322" s="133"/>
      <c r="AB1322" s="133"/>
      <c r="AC1322" s="133"/>
      <c r="AD1322" s="133"/>
      <c r="AE1322" s="133"/>
      <c r="AF1322" s="133"/>
      <c r="AG1322" s="133"/>
      <c r="AH1322" s="133"/>
      <c r="AI1322" s="133"/>
      <c r="AJ1322" s="133"/>
      <c r="AK1322" s="133"/>
      <c r="AL1322" s="133"/>
      <c r="AM1322" s="133"/>
      <c r="AN1322" s="133"/>
      <c r="AO1322" s="133"/>
      <c r="AP1322" s="133"/>
      <c r="AQ1322" s="133"/>
      <c r="AR1322" s="133"/>
      <c r="AS1322" s="153">
        <v>0</v>
      </c>
      <c r="AT1322" s="153">
        <v>0</v>
      </c>
      <c r="AU1322" s="153">
        <v>0</v>
      </c>
      <c r="AV1322" s="135"/>
      <c r="AW1322" s="135"/>
      <c r="AX1322" s="135"/>
      <c r="AY1322" s="135"/>
      <c r="AZ1322" s="135"/>
      <c r="BA1322" s="135"/>
      <c r="BB1322" s="135"/>
      <c r="BC1322" s="135"/>
      <c r="BD1322" s="135"/>
      <c r="BE1322" s="135"/>
      <c r="BF1322" s="135"/>
      <c r="BG1322" s="135"/>
      <c r="BH1322" s="135"/>
      <c r="BI1322" s="2"/>
      <c r="BJ1322" s="136"/>
      <c r="BK1322" s="2"/>
      <c r="BL1322" s="136"/>
      <c r="BM1322" s="136"/>
      <c r="BN1322" s="2"/>
      <c r="BO1322" s="2"/>
      <c r="BP1322" s="136"/>
      <c r="BQ1322" s="137"/>
    </row>
    <row r="1323" spans="1:69" ht="12.75" customHeight="1" x14ac:dyDescent="0.2">
      <c r="A1323" s="2">
        <v>2812</v>
      </c>
      <c r="B1323" s="2"/>
      <c r="C1323" s="131"/>
      <c r="D1323" s="131"/>
      <c r="E1323" s="2"/>
      <c r="F1323" s="132">
        <v>0</v>
      </c>
      <c r="G1323" s="132"/>
      <c r="H1323" s="132">
        <f t="shared" si="150"/>
        <v>0</v>
      </c>
      <c r="I1323" s="132"/>
      <c r="J1323" s="132">
        <f t="shared" si="155"/>
        <v>0</v>
      </c>
      <c r="K1323" s="132">
        <f t="shared" si="151"/>
        <v>0</v>
      </c>
      <c r="L1323" s="132">
        <f t="shared" si="152"/>
        <v>0</v>
      </c>
      <c r="M1323" s="133"/>
      <c r="N1323" s="133">
        <f t="shared" si="156"/>
        <v>0</v>
      </c>
      <c r="O1323" s="134"/>
      <c r="P1323" s="133"/>
      <c r="Q1323" s="2"/>
      <c r="R1323" s="156">
        <f t="shared" si="153"/>
        <v>0</v>
      </c>
      <c r="S1323" s="156">
        <f t="shared" si="154"/>
        <v>0</v>
      </c>
      <c r="T1323" s="133"/>
      <c r="U1323" s="133"/>
      <c r="V1323" s="133"/>
      <c r="W1323" s="133"/>
      <c r="X1323" s="133"/>
      <c r="Y1323" s="133"/>
      <c r="Z1323" s="133"/>
      <c r="AA1323" s="133"/>
      <c r="AB1323" s="133"/>
      <c r="AC1323" s="133"/>
      <c r="AD1323" s="133"/>
      <c r="AE1323" s="133"/>
      <c r="AF1323" s="133"/>
      <c r="AG1323" s="133"/>
      <c r="AH1323" s="133"/>
      <c r="AI1323" s="133"/>
      <c r="AJ1323" s="133"/>
      <c r="AK1323" s="133"/>
      <c r="AL1323" s="133"/>
      <c r="AM1323" s="133"/>
      <c r="AN1323" s="133"/>
      <c r="AO1323" s="133"/>
      <c r="AP1323" s="133"/>
      <c r="AQ1323" s="133"/>
      <c r="AR1323" s="133"/>
      <c r="AS1323" s="153">
        <v>0</v>
      </c>
      <c r="AT1323" s="153">
        <v>0</v>
      </c>
      <c r="AU1323" s="153">
        <v>0</v>
      </c>
      <c r="AV1323" s="135"/>
      <c r="AW1323" s="135"/>
      <c r="AX1323" s="135"/>
      <c r="AY1323" s="135"/>
      <c r="AZ1323" s="135"/>
      <c r="BA1323" s="135"/>
      <c r="BB1323" s="135"/>
      <c r="BC1323" s="135"/>
      <c r="BD1323" s="135"/>
      <c r="BE1323" s="135"/>
      <c r="BF1323" s="135"/>
      <c r="BG1323" s="135"/>
      <c r="BH1323" s="135"/>
      <c r="BI1323" s="2"/>
      <c r="BJ1323" s="136"/>
      <c r="BK1323" s="2"/>
      <c r="BL1323" s="136"/>
      <c r="BM1323" s="136"/>
      <c r="BN1323" s="2"/>
      <c r="BO1323" s="2"/>
      <c r="BP1323" s="136"/>
      <c r="BQ1323" s="137"/>
    </row>
    <row r="1324" spans="1:69" ht="12.75" customHeight="1" x14ac:dyDescent="0.2">
      <c r="A1324" s="2">
        <v>2813</v>
      </c>
      <c r="B1324" s="2"/>
      <c r="C1324" s="131"/>
      <c r="D1324" s="131"/>
      <c r="E1324" s="2"/>
      <c r="F1324" s="132">
        <v>0</v>
      </c>
      <c r="G1324" s="132"/>
      <c r="H1324" s="132">
        <f t="shared" si="150"/>
        <v>0</v>
      </c>
      <c r="I1324" s="132"/>
      <c r="J1324" s="132">
        <f t="shared" si="155"/>
        <v>0</v>
      </c>
      <c r="K1324" s="132">
        <f t="shared" si="151"/>
        <v>0</v>
      </c>
      <c r="L1324" s="132">
        <f t="shared" si="152"/>
        <v>0</v>
      </c>
      <c r="M1324" s="133"/>
      <c r="N1324" s="133">
        <f t="shared" si="156"/>
        <v>0</v>
      </c>
      <c r="O1324" s="134"/>
      <c r="P1324" s="133"/>
      <c r="Q1324" s="2"/>
      <c r="R1324" s="156">
        <f t="shared" si="153"/>
        <v>0</v>
      </c>
      <c r="S1324" s="156">
        <f t="shared" si="154"/>
        <v>0</v>
      </c>
      <c r="T1324" s="133"/>
      <c r="U1324" s="133"/>
      <c r="V1324" s="133"/>
      <c r="W1324" s="133"/>
      <c r="X1324" s="133"/>
      <c r="Y1324" s="133"/>
      <c r="Z1324" s="133"/>
      <c r="AA1324" s="133"/>
      <c r="AB1324" s="133"/>
      <c r="AC1324" s="133"/>
      <c r="AD1324" s="133"/>
      <c r="AE1324" s="133"/>
      <c r="AF1324" s="133"/>
      <c r="AG1324" s="133"/>
      <c r="AH1324" s="133"/>
      <c r="AI1324" s="133"/>
      <c r="AJ1324" s="133"/>
      <c r="AK1324" s="133"/>
      <c r="AL1324" s="133"/>
      <c r="AM1324" s="133"/>
      <c r="AN1324" s="133"/>
      <c r="AO1324" s="133"/>
      <c r="AP1324" s="133"/>
      <c r="AQ1324" s="133"/>
      <c r="AR1324" s="133"/>
      <c r="AS1324" s="153">
        <v>0</v>
      </c>
      <c r="AT1324" s="153">
        <v>0</v>
      </c>
      <c r="AU1324" s="153">
        <v>0</v>
      </c>
      <c r="AV1324" s="135"/>
      <c r="AW1324" s="135"/>
      <c r="AX1324" s="135"/>
      <c r="AY1324" s="135"/>
      <c r="AZ1324" s="135"/>
      <c r="BA1324" s="135"/>
      <c r="BB1324" s="135"/>
      <c r="BC1324" s="135"/>
      <c r="BD1324" s="135"/>
      <c r="BE1324" s="135"/>
      <c r="BF1324" s="135"/>
      <c r="BG1324" s="135"/>
      <c r="BH1324" s="135"/>
      <c r="BI1324" s="2"/>
      <c r="BJ1324" s="136"/>
      <c r="BK1324" s="2"/>
      <c r="BL1324" s="136"/>
      <c r="BM1324" s="136"/>
      <c r="BN1324" s="2"/>
      <c r="BO1324" s="2"/>
      <c r="BP1324" s="136"/>
      <c r="BQ1324" s="137"/>
    </row>
    <row r="1325" spans="1:69" ht="12.75" customHeight="1" x14ac:dyDescent="0.2">
      <c r="A1325" s="2">
        <v>2814</v>
      </c>
      <c r="B1325" s="2"/>
      <c r="C1325" s="131"/>
      <c r="D1325" s="131"/>
      <c r="E1325" s="2"/>
      <c r="F1325" s="132">
        <v>0</v>
      </c>
      <c r="G1325" s="132"/>
      <c r="H1325" s="132">
        <f t="shared" si="150"/>
        <v>0</v>
      </c>
      <c r="I1325" s="132"/>
      <c r="J1325" s="132">
        <f t="shared" si="155"/>
        <v>0</v>
      </c>
      <c r="K1325" s="132">
        <f t="shared" si="151"/>
        <v>0</v>
      </c>
      <c r="L1325" s="132">
        <f t="shared" si="152"/>
        <v>0</v>
      </c>
      <c r="M1325" s="133"/>
      <c r="N1325" s="133">
        <f t="shared" si="156"/>
        <v>0</v>
      </c>
      <c r="O1325" s="134"/>
      <c r="P1325" s="133"/>
      <c r="Q1325" s="2"/>
      <c r="R1325" s="156">
        <f t="shared" si="153"/>
        <v>0</v>
      </c>
      <c r="S1325" s="156">
        <f t="shared" si="154"/>
        <v>0</v>
      </c>
      <c r="T1325" s="133"/>
      <c r="U1325" s="133"/>
      <c r="V1325" s="133"/>
      <c r="W1325" s="133"/>
      <c r="X1325" s="133"/>
      <c r="Y1325" s="133"/>
      <c r="Z1325" s="133"/>
      <c r="AA1325" s="133"/>
      <c r="AB1325" s="133"/>
      <c r="AC1325" s="133"/>
      <c r="AD1325" s="133"/>
      <c r="AE1325" s="133"/>
      <c r="AF1325" s="133"/>
      <c r="AG1325" s="133"/>
      <c r="AH1325" s="133"/>
      <c r="AI1325" s="133"/>
      <c r="AJ1325" s="133"/>
      <c r="AK1325" s="133"/>
      <c r="AL1325" s="133"/>
      <c r="AM1325" s="133"/>
      <c r="AN1325" s="133"/>
      <c r="AO1325" s="133"/>
      <c r="AP1325" s="133"/>
      <c r="AQ1325" s="133"/>
      <c r="AR1325" s="133"/>
      <c r="AS1325" s="153">
        <v>0</v>
      </c>
      <c r="AT1325" s="153">
        <v>0</v>
      </c>
      <c r="AU1325" s="153">
        <v>0</v>
      </c>
      <c r="AV1325" s="135"/>
      <c r="AW1325" s="135"/>
      <c r="AX1325" s="135"/>
      <c r="AY1325" s="135"/>
      <c r="AZ1325" s="135"/>
      <c r="BA1325" s="135"/>
      <c r="BB1325" s="135"/>
      <c r="BC1325" s="135"/>
      <c r="BD1325" s="135"/>
      <c r="BE1325" s="135"/>
      <c r="BF1325" s="135"/>
      <c r="BG1325" s="135"/>
      <c r="BH1325" s="135"/>
      <c r="BI1325" s="2"/>
      <c r="BJ1325" s="136"/>
      <c r="BK1325" s="2"/>
      <c r="BL1325" s="136"/>
      <c r="BM1325" s="136"/>
      <c r="BN1325" s="2"/>
      <c r="BO1325" s="2"/>
      <c r="BP1325" s="136"/>
      <c r="BQ1325" s="137"/>
    </row>
    <row r="1326" spans="1:69" ht="12.75" customHeight="1" x14ac:dyDescent="0.2">
      <c r="A1326" s="2">
        <v>2815</v>
      </c>
      <c r="B1326" s="2"/>
      <c r="C1326" s="131"/>
      <c r="D1326" s="131"/>
      <c r="E1326" s="2"/>
      <c r="F1326" s="132">
        <v>0</v>
      </c>
      <c r="G1326" s="132"/>
      <c r="H1326" s="132">
        <f t="shared" ref="H1326:H1389" si="157">R1326</f>
        <v>0</v>
      </c>
      <c r="I1326" s="132"/>
      <c r="J1326" s="132">
        <f t="shared" si="155"/>
        <v>0</v>
      </c>
      <c r="K1326" s="132">
        <f t="shared" si="151"/>
        <v>0</v>
      </c>
      <c r="L1326" s="132">
        <f t="shared" si="152"/>
        <v>0</v>
      </c>
      <c r="M1326" s="133"/>
      <c r="N1326" s="133">
        <f t="shared" si="156"/>
        <v>0</v>
      </c>
      <c r="O1326" s="134"/>
      <c r="P1326" s="133"/>
      <c r="Q1326" s="2"/>
      <c r="R1326" s="156">
        <f t="shared" si="153"/>
        <v>0</v>
      </c>
      <c r="S1326" s="156">
        <f t="shared" si="154"/>
        <v>0</v>
      </c>
      <c r="T1326" s="133"/>
      <c r="U1326" s="133"/>
      <c r="V1326" s="133"/>
      <c r="W1326" s="133"/>
      <c r="X1326" s="133"/>
      <c r="Y1326" s="133"/>
      <c r="Z1326" s="133"/>
      <c r="AA1326" s="133"/>
      <c r="AB1326" s="133"/>
      <c r="AC1326" s="133"/>
      <c r="AD1326" s="133"/>
      <c r="AE1326" s="133"/>
      <c r="AF1326" s="133"/>
      <c r="AG1326" s="133"/>
      <c r="AH1326" s="133"/>
      <c r="AI1326" s="133"/>
      <c r="AJ1326" s="133"/>
      <c r="AK1326" s="133"/>
      <c r="AL1326" s="133"/>
      <c r="AM1326" s="133"/>
      <c r="AN1326" s="133"/>
      <c r="AO1326" s="133"/>
      <c r="AP1326" s="133"/>
      <c r="AQ1326" s="133"/>
      <c r="AR1326" s="133"/>
      <c r="AS1326" s="153">
        <v>0</v>
      </c>
      <c r="AT1326" s="153">
        <v>0</v>
      </c>
      <c r="AU1326" s="153">
        <v>0</v>
      </c>
      <c r="AV1326" s="135"/>
      <c r="AW1326" s="135"/>
      <c r="AX1326" s="135"/>
      <c r="AY1326" s="135"/>
      <c r="AZ1326" s="135"/>
      <c r="BA1326" s="135"/>
      <c r="BB1326" s="135"/>
      <c r="BC1326" s="135"/>
      <c r="BD1326" s="135"/>
      <c r="BE1326" s="135"/>
      <c r="BF1326" s="135"/>
      <c r="BG1326" s="135"/>
      <c r="BH1326" s="135"/>
      <c r="BI1326" s="2"/>
      <c r="BJ1326" s="136"/>
      <c r="BK1326" s="2"/>
      <c r="BL1326" s="136"/>
      <c r="BM1326" s="136"/>
      <c r="BN1326" s="2"/>
      <c r="BO1326" s="2"/>
      <c r="BP1326" s="136"/>
      <c r="BQ1326" s="137"/>
    </row>
    <row r="1327" spans="1:69" ht="12.75" customHeight="1" x14ac:dyDescent="0.2">
      <c r="A1327" s="2">
        <v>2816</v>
      </c>
      <c r="B1327" s="2"/>
      <c r="C1327" s="131"/>
      <c r="D1327" s="131"/>
      <c r="E1327" s="2"/>
      <c r="F1327" s="132">
        <v>0</v>
      </c>
      <c r="G1327" s="132"/>
      <c r="H1327" s="132">
        <f t="shared" si="157"/>
        <v>0</v>
      </c>
      <c r="I1327" s="132"/>
      <c r="J1327" s="132">
        <f t="shared" si="155"/>
        <v>0</v>
      </c>
      <c r="K1327" s="132">
        <f t="shared" si="151"/>
        <v>0</v>
      </c>
      <c r="L1327" s="132">
        <f t="shared" si="152"/>
        <v>0</v>
      </c>
      <c r="M1327" s="133"/>
      <c r="N1327" s="133">
        <f t="shared" si="156"/>
        <v>0</v>
      </c>
      <c r="O1327" s="134"/>
      <c r="P1327" s="133"/>
      <c r="Q1327" s="2"/>
      <c r="R1327" s="156">
        <f t="shared" si="153"/>
        <v>0</v>
      </c>
      <c r="S1327" s="156">
        <f t="shared" si="154"/>
        <v>0</v>
      </c>
      <c r="T1327" s="133"/>
      <c r="U1327" s="133"/>
      <c r="V1327" s="133"/>
      <c r="W1327" s="133"/>
      <c r="X1327" s="133"/>
      <c r="Y1327" s="133"/>
      <c r="Z1327" s="133"/>
      <c r="AA1327" s="133"/>
      <c r="AB1327" s="133"/>
      <c r="AC1327" s="133"/>
      <c r="AD1327" s="133"/>
      <c r="AE1327" s="133"/>
      <c r="AF1327" s="133"/>
      <c r="AG1327" s="133"/>
      <c r="AH1327" s="133"/>
      <c r="AI1327" s="133"/>
      <c r="AJ1327" s="133"/>
      <c r="AK1327" s="133"/>
      <c r="AL1327" s="133"/>
      <c r="AM1327" s="133"/>
      <c r="AN1327" s="133"/>
      <c r="AO1327" s="133"/>
      <c r="AP1327" s="133"/>
      <c r="AQ1327" s="133"/>
      <c r="AR1327" s="133"/>
      <c r="AS1327" s="153">
        <v>0</v>
      </c>
      <c r="AT1327" s="153">
        <v>0</v>
      </c>
      <c r="AU1327" s="153">
        <v>0</v>
      </c>
      <c r="AV1327" s="135"/>
      <c r="AW1327" s="135"/>
      <c r="AX1327" s="135"/>
      <c r="AY1327" s="135"/>
      <c r="AZ1327" s="135"/>
      <c r="BA1327" s="135"/>
      <c r="BB1327" s="135"/>
      <c r="BC1327" s="135"/>
      <c r="BD1327" s="135"/>
      <c r="BE1327" s="135"/>
      <c r="BF1327" s="135"/>
      <c r="BG1327" s="135"/>
      <c r="BH1327" s="135"/>
      <c r="BI1327" s="2"/>
      <c r="BJ1327" s="136"/>
      <c r="BK1327" s="2"/>
      <c r="BL1327" s="136"/>
      <c r="BM1327" s="136"/>
      <c r="BN1327" s="2"/>
      <c r="BO1327" s="2"/>
      <c r="BP1327" s="136"/>
      <c r="BQ1327" s="137"/>
    </row>
    <row r="1328" spans="1:69" ht="12.75" customHeight="1" x14ac:dyDescent="0.2">
      <c r="A1328" s="2">
        <v>2817</v>
      </c>
      <c r="B1328" s="2"/>
      <c r="C1328" s="131"/>
      <c r="D1328" s="131"/>
      <c r="E1328" s="2"/>
      <c r="F1328" s="132">
        <v>0</v>
      </c>
      <c r="G1328" s="132"/>
      <c r="H1328" s="132">
        <f t="shared" si="157"/>
        <v>0</v>
      </c>
      <c r="I1328" s="132"/>
      <c r="J1328" s="132">
        <f t="shared" si="155"/>
        <v>0</v>
      </c>
      <c r="K1328" s="132">
        <f t="shared" si="151"/>
        <v>0</v>
      </c>
      <c r="L1328" s="132">
        <f t="shared" si="152"/>
        <v>0</v>
      </c>
      <c r="M1328" s="133"/>
      <c r="N1328" s="133">
        <f t="shared" si="156"/>
        <v>0</v>
      </c>
      <c r="O1328" s="134"/>
      <c r="P1328" s="133"/>
      <c r="Q1328" s="2"/>
      <c r="R1328" s="156">
        <f t="shared" si="153"/>
        <v>0</v>
      </c>
      <c r="S1328" s="156">
        <f t="shared" si="154"/>
        <v>0</v>
      </c>
      <c r="T1328" s="133"/>
      <c r="U1328" s="133"/>
      <c r="V1328" s="133"/>
      <c r="W1328" s="133"/>
      <c r="X1328" s="133"/>
      <c r="Y1328" s="133"/>
      <c r="Z1328" s="133"/>
      <c r="AA1328" s="133"/>
      <c r="AB1328" s="133"/>
      <c r="AC1328" s="133"/>
      <c r="AD1328" s="133"/>
      <c r="AE1328" s="133"/>
      <c r="AF1328" s="133"/>
      <c r="AG1328" s="133"/>
      <c r="AH1328" s="133"/>
      <c r="AI1328" s="133"/>
      <c r="AJ1328" s="133"/>
      <c r="AK1328" s="133"/>
      <c r="AL1328" s="133"/>
      <c r="AM1328" s="133"/>
      <c r="AN1328" s="133"/>
      <c r="AO1328" s="133"/>
      <c r="AP1328" s="133"/>
      <c r="AQ1328" s="133"/>
      <c r="AR1328" s="133"/>
      <c r="AS1328" s="153">
        <v>0</v>
      </c>
      <c r="AT1328" s="153">
        <v>0</v>
      </c>
      <c r="AU1328" s="153">
        <v>0</v>
      </c>
      <c r="AV1328" s="135"/>
      <c r="AW1328" s="135"/>
      <c r="AX1328" s="135"/>
      <c r="AY1328" s="135"/>
      <c r="AZ1328" s="135"/>
      <c r="BA1328" s="135"/>
      <c r="BB1328" s="135"/>
      <c r="BC1328" s="135"/>
      <c r="BD1328" s="135"/>
      <c r="BE1328" s="135"/>
      <c r="BF1328" s="135"/>
      <c r="BG1328" s="135"/>
      <c r="BH1328" s="135"/>
      <c r="BI1328" s="2"/>
      <c r="BJ1328" s="136"/>
      <c r="BK1328" s="2"/>
      <c r="BL1328" s="136"/>
      <c r="BM1328" s="136"/>
      <c r="BN1328" s="2"/>
      <c r="BO1328" s="2"/>
      <c r="BP1328" s="136"/>
      <c r="BQ1328" s="137"/>
    </row>
    <row r="1329" spans="1:69" ht="12.75" customHeight="1" x14ac:dyDescent="0.2">
      <c r="A1329" s="2">
        <v>2818</v>
      </c>
      <c r="B1329" s="2"/>
      <c r="C1329" s="131"/>
      <c r="D1329" s="131"/>
      <c r="E1329" s="2"/>
      <c r="F1329" s="132">
        <v>0</v>
      </c>
      <c r="G1329" s="132"/>
      <c r="H1329" s="132">
        <f t="shared" si="157"/>
        <v>0</v>
      </c>
      <c r="I1329" s="132"/>
      <c r="J1329" s="132">
        <f t="shared" si="155"/>
        <v>0</v>
      </c>
      <c r="K1329" s="132">
        <f t="shared" si="151"/>
        <v>0</v>
      </c>
      <c r="L1329" s="132">
        <f t="shared" si="152"/>
        <v>0</v>
      </c>
      <c r="M1329" s="133"/>
      <c r="N1329" s="133">
        <f t="shared" si="156"/>
        <v>0</v>
      </c>
      <c r="O1329" s="134"/>
      <c r="P1329" s="133"/>
      <c r="Q1329" s="2"/>
      <c r="R1329" s="156">
        <f t="shared" si="153"/>
        <v>0</v>
      </c>
      <c r="S1329" s="156">
        <f t="shared" si="154"/>
        <v>0</v>
      </c>
      <c r="T1329" s="133"/>
      <c r="U1329" s="133"/>
      <c r="V1329" s="133"/>
      <c r="W1329" s="133"/>
      <c r="X1329" s="133"/>
      <c r="Y1329" s="133"/>
      <c r="Z1329" s="133"/>
      <c r="AA1329" s="133"/>
      <c r="AB1329" s="133"/>
      <c r="AC1329" s="133"/>
      <c r="AD1329" s="133"/>
      <c r="AE1329" s="133"/>
      <c r="AF1329" s="133"/>
      <c r="AG1329" s="133"/>
      <c r="AH1329" s="133"/>
      <c r="AI1329" s="133"/>
      <c r="AJ1329" s="133"/>
      <c r="AK1329" s="133"/>
      <c r="AL1329" s="133"/>
      <c r="AM1329" s="133"/>
      <c r="AN1329" s="133"/>
      <c r="AO1329" s="133"/>
      <c r="AP1329" s="133"/>
      <c r="AQ1329" s="133"/>
      <c r="AR1329" s="133"/>
      <c r="AS1329" s="153">
        <v>0</v>
      </c>
      <c r="AT1329" s="153">
        <v>0</v>
      </c>
      <c r="AU1329" s="153">
        <v>0</v>
      </c>
      <c r="AV1329" s="135"/>
      <c r="AW1329" s="135"/>
      <c r="AX1329" s="135"/>
      <c r="AY1329" s="135"/>
      <c r="AZ1329" s="135"/>
      <c r="BA1329" s="135"/>
      <c r="BB1329" s="135"/>
      <c r="BC1329" s="135"/>
      <c r="BD1329" s="135"/>
      <c r="BE1329" s="135"/>
      <c r="BF1329" s="135"/>
      <c r="BG1329" s="135"/>
      <c r="BH1329" s="135"/>
      <c r="BI1329" s="2"/>
      <c r="BJ1329" s="136"/>
      <c r="BK1329" s="2"/>
      <c r="BL1329" s="136"/>
      <c r="BM1329" s="136"/>
      <c r="BN1329" s="2"/>
      <c r="BO1329" s="2"/>
      <c r="BP1329" s="136"/>
      <c r="BQ1329" s="137"/>
    </row>
    <row r="1330" spans="1:69" ht="12.75" customHeight="1" x14ac:dyDescent="0.2">
      <c r="A1330" s="2">
        <v>2819</v>
      </c>
      <c r="B1330" s="2"/>
      <c r="C1330" s="131"/>
      <c r="D1330" s="131"/>
      <c r="E1330" s="2"/>
      <c r="F1330" s="132">
        <v>0</v>
      </c>
      <c r="G1330" s="132"/>
      <c r="H1330" s="132">
        <f t="shared" si="157"/>
        <v>0</v>
      </c>
      <c r="I1330" s="132"/>
      <c r="J1330" s="132">
        <f t="shared" si="155"/>
        <v>0</v>
      </c>
      <c r="K1330" s="132">
        <f t="shared" si="151"/>
        <v>0</v>
      </c>
      <c r="L1330" s="132">
        <f t="shared" si="152"/>
        <v>0</v>
      </c>
      <c r="M1330" s="133"/>
      <c r="N1330" s="133">
        <f t="shared" si="156"/>
        <v>0</v>
      </c>
      <c r="O1330" s="134"/>
      <c r="P1330" s="133"/>
      <c r="Q1330" s="2"/>
      <c r="R1330" s="156">
        <f t="shared" si="153"/>
        <v>0</v>
      </c>
      <c r="S1330" s="156">
        <f t="shared" si="154"/>
        <v>0</v>
      </c>
      <c r="T1330" s="133"/>
      <c r="U1330" s="133"/>
      <c r="V1330" s="133"/>
      <c r="W1330" s="133"/>
      <c r="X1330" s="133"/>
      <c r="Y1330" s="133"/>
      <c r="Z1330" s="133"/>
      <c r="AA1330" s="133"/>
      <c r="AB1330" s="133"/>
      <c r="AC1330" s="133"/>
      <c r="AD1330" s="133"/>
      <c r="AE1330" s="133"/>
      <c r="AF1330" s="133"/>
      <c r="AG1330" s="133"/>
      <c r="AH1330" s="133"/>
      <c r="AI1330" s="133"/>
      <c r="AJ1330" s="133"/>
      <c r="AK1330" s="133"/>
      <c r="AL1330" s="133"/>
      <c r="AM1330" s="133"/>
      <c r="AN1330" s="133"/>
      <c r="AO1330" s="133"/>
      <c r="AP1330" s="133"/>
      <c r="AQ1330" s="133"/>
      <c r="AR1330" s="133"/>
      <c r="AS1330" s="153">
        <v>0</v>
      </c>
      <c r="AT1330" s="153">
        <v>0</v>
      </c>
      <c r="AU1330" s="153">
        <v>0</v>
      </c>
      <c r="AV1330" s="135"/>
      <c r="AW1330" s="135"/>
      <c r="AX1330" s="135"/>
      <c r="AY1330" s="135"/>
      <c r="AZ1330" s="135"/>
      <c r="BA1330" s="135"/>
      <c r="BB1330" s="135"/>
      <c r="BC1330" s="135"/>
      <c r="BD1330" s="135"/>
      <c r="BE1330" s="135"/>
      <c r="BF1330" s="135"/>
      <c r="BG1330" s="135"/>
      <c r="BH1330" s="135"/>
      <c r="BI1330" s="2"/>
      <c r="BJ1330" s="136"/>
      <c r="BK1330" s="2"/>
      <c r="BL1330" s="136"/>
      <c r="BM1330" s="136"/>
      <c r="BN1330" s="2"/>
      <c r="BO1330" s="2"/>
      <c r="BP1330" s="136"/>
      <c r="BQ1330" s="137"/>
    </row>
    <row r="1331" spans="1:69" ht="12.75" customHeight="1" x14ac:dyDescent="0.2">
      <c r="A1331" s="2">
        <v>2820</v>
      </c>
      <c r="B1331" s="2"/>
      <c r="C1331" s="131"/>
      <c r="D1331" s="131"/>
      <c r="E1331" s="2"/>
      <c r="F1331" s="132">
        <v>0</v>
      </c>
      <c r="G1331" s="132"/>
      <c r="H1331" s="132">
        <f t="shared" si="157"/>
        <v>0</v>
      </c>
      <c r="I1331" s="132"/>
      <c r="J1331" s="132">
        <f t="shared" si="155"/>
        <v>0</v>
      </c>
      <c r="K1331" s="132">
        <f t="shared" si="151"/>
        <v>0</v>
      </c>
      <c r="L1331" s="132">
        <f t="shared" si="152"/>
        <v>0</v>
      </c>
      <c r="M1331" s="133"/>
      <c r="N1331" s="133">
        <f t="shared" si="156"/>
        <v>0</v>
      </c>
      <c r="O1331" s="134"/>
      <c r="P1331" s="133"/>
      <c r="Q1331" s="2"/>
      <c r="R1331" s="156">
        <f t="shared" si="153"/>
        <v>0</v>
      </c>
      <c r="S1331" s="156">
        <f t="shared" si="154"/>
        <v>0</v>
      </c>
      <c r="T1331" s="133"/>
      <c r="U1331" s="133"/>
      <c r="V1331" s="133"/>
      <c r="W1331" s="133"/>
      <c r="X1331" s="133"/>
      <c r="Y1331" s="133"/>
      <c r="Z1331" s="133"/>
      <c r="AA1331" s="133"/>
      <c r="AB1331" s="133"/>
      <c r="AC1331" s="133"/>
      <c r="AD1331" s="133"/>
      <c r="AE1331" s="133"/>
      <c r="AF1331" s="133"/>
      <c r="AG1331" s="133"/>
      <c r="AH1331" s="133"/>
      <c r="AI1331" s="133"/>
      <c r="AJ1331" s="133"/>
      <c r="AK1331" s="133"/>
      <c r="AL1331" s="133"/>
      <c r="AM1331" s="133"/>
      <c r="AN1331" s="133"/>
      <c r="AO1331" s="133"/>
      <c r="AP1331" s="133"/>
      <c r="AQ1331" s="133"/>
      <c r="AR1331" s="133"/>
      <c r="AS1331" s="153">
        <v>0</v>
      </c>
      <c r="AT1331" s="153">
        <v>0</v>
      </c>
      <c r="AU1331" s="153">
        <v>0</v>
      </c>
      <c r="AV1331" s="135"/>
      <c r="AW1331" s="135"/>
      <c r="AX1331" s="135"/>
      <c r="AY1331" s="135"/>
      <c r="AZ1331" s="135"/>
      <c r="BA1331" s="135"/>
      <c r="BB1331" s="135"/>
      <c r="BC1331" s="135"/>
      <c r="BD1331" s="135"/>
      <c r="BE1331" s="135"/>
      <c r="BF1331" s="135"/>
      <c r="BG1331" s="135"/>
      <c r="BH1331" s="135"/>
      <c r="BI1331" s="2"/>
      <c r="BJ1331" s="136"/>
      <c r="BK1331" s="2"/>
      <c r="BL1331" s="136"/>
      <c r="BM1331" s="136"/>
      <c r="BN1331" s="2"/>
      <c r="BO1331" s="2"/>
      <c r="BP1331" s="136"/>
      <c r="BQ1331" s="137"/>
    </row>
    <row r="1332" spans="1:69" ht="12.75" customHeight="1" x14ac:dyDescent="0.2">
      <c r="A1332" s="2">
        <v>2821</v>
      </c>
      <c r="B1332" s="2"/>
      <c r="C1332" s="131"/>
      <c r="D1332" s="131"/>
      <c r="E1332" s="2"/>
      <c r="F1332" s="132">
        <v>0</v>
      </c>
      <c r="G1332" s="132"/>
      <c r="H1332" s="132">
        <f t="shared" si="157"/>
        <v>0</v>
      </c>
      <c r="I1332" s="132"/>
      <c r="J1332" s="132">
        <f t="shared" si="155"/>
        <v>0</v>
      </c>
      <c r="K1332" s="132">
        <f t="shared" si="151"/>
        <v>0</v>
      </c>
      <c r="L1332" s="132">
        <f t="shared" si="152"/>
        <v>0</v>
      </c>
      <c r="M1332" s="133"/>
      <c r="N1332" s="133">
        <f t="shared" si="156"/>
        <v>0</v>
      </c>
      <c r="O1332" s="134"/>
      <c r="P1332" s="133"/>
      <c r="Q1332" s="2"/>
      <c r="R1332" s="156">
        <f t="shared" si="153"/>
        <v>0</v>
      </c>
      <c r="S1332" s="156">
        <f t="shared" si="154"/>
        <v>0</v>
      </c>
      <c r="T1332" s="133"/>
      <c r="U1332" s="133"/>
      <c r="V1332" s="133"/>
      <c r="W1332" s="133"/>
      <c r="X1332" s="133"/>
      <c r="Y1332" s="133"/>
      <c r="Z1332" s="133"/>
      <c r="AA1332" s="133"/>
      <c r="AB1332" s="133"/>
      <c r="AC1332" s="133"/>
      <c r="AD1332" s="133"/>
      <c r="AE1332" s="133"/>
      <c r="AF1332" s="133"/>
      <c r="AG1332" s="133"/>
      <c r="AH1332" s="133"/>
      <c r="AI1332" s="133"/>
      <c r="AJ1332" s="133"/>
      <c r="AK1332" s="133"/>
      <c r="AL1332" s="133"/>
      <c r="AM1332" s="133"/>
      <c r="AN1332" s="133"/>
      <c r="AO1332" s="133"/>
      <c r="AP1332" s="133"/>
      <c r="AQ1332" s="133"/>
      <c r="AR1332" s="133"/>
      <c r="AS1332" s="153">
        <v>0</v>
      </c>
      <c r="AT1332" s="153">
        <v>0</v>
      </c>
      <c r="AU1332" s="153">
        <v>0</v>
      </c>
      <c r="AV1332" s="135"/>
      <c r="AW1332" s="135"/>
      <c r="AX1332" s="135"/>
      <c r="AY1332" s="135"/>
      <c r="AZ1332" s="135"/>
      <c r="BA1332" s="135"/>
      <c r="BB1332" s="135"/>
      <c r="BC1332" s="135"/>
      <c r="BD1332" s="135"/>
      <c r="BE1332" s="135"/>
      <c r="BF1332" s="135"/>
      <c r="BG1332" s="135"/>
      <c r="BH1332" s="135"/>
      <c r="BI1332" s="2"/>
      <c r="BJ1332" s="136"/>
      <c r="BK1332" s="2"/>
      <c r="BL1332" s="136"/>
      <c r="BM1332" s="136"/>
      <c r="BN1332" s="2"/>
      <c r="BO1332" s="2"/>
      <c r="BP1332" s="136"/>
      <c r="BQ1332" s="137"/>
    </row>
    <row r="1333" spans="1:69" ht="12.75" customHeight="1" x14ac:dyDescent="0.2">
      <c r="A1333" s="2">
        <v>2822</v>
      </c>
      <c r="B1333" s="2"/>
      <c r="C1333" s="131"/>
      <c r="D1333" s="131"/>
      <c r="E1333" s="2"/>
      <c r="F1333" s="132">
        <v>0</v>
      </c>
      <c r="G1333" s="132"/>
      <c r="H1333" s="132">
        <f t="shared" si="157"/>
        <v>0</v>
      </c>
      <c r="I1333" s="132"/>
      <c r="J1333" s="132">
        <f t="shared" si="155"/>
        <v>0</v>
      </c>
      <c r="K1333" s="132">
        <f t="shared" si="151"/>
        <v>0</v>
      </c>
      <c r="L1333" s="132">
        <f t="shared" si="152"/>
        <v>0</v>
      </c>
      <c r="M1333" s="133"/>
      <c r="N1333" s="133">
        <f t="shared" si="156"/>
        <v>0</v>
      </c>
      <c r="O1333" s="134"/>
      <c r="P1333" s="133"/>
      <c r="Q1333" s="2"/>
      <c r="R1333" s="156">
        <f t="shared" si="153"/>
        <v>0</v>
      </c>
      <c r="S1333" s="156">
        <f t="shared" si="154"/>
        <v>0</v>
      </c>
      <c r="T1333" s="133"/>
      <c r="U1333" s="133"/>
      <c r="V1333" s="133"/>
      <c r="W1333" s="133"/>
      <c r="X1333" s="133"/>
      <c r="Y1333" s="133"/>
      <c r="Z1333" s="133"/>
      <c r="AA1333" s="133"/>
      <c r="AB1333" s="133"/>
      <c r="AC1333" s="133"/>
      <c r="AD1333" s="133"/>
      <c r="AE1333" s="133"/>
      <c r="AF1333" s="133"/>
      <c r="AG1333" s="133"/>
      <c r="AH1333" s="133"/>
      <c r="AI1333" s="133"/>
      <c r="AJ1333" s="133"/>
      <c r="AK1333" s="133"/>
      <c r="AL1333" s="133"/>
      <c r="AM1333" s="133"/>
      <c r="AN1333" s="133"/>
      <c r="AO1333" s="133"/>
      <c r="AP1333" s="133"/>
      <c r="AQ1333" s="133"/>
      <c r="AR1333" s="133"/>
      <c r="AS1333" s="153">
        <v>0</v>
      </c>
      <c r="AT1333" s="153">
        <v>0</v>
      </c>
      <c r="AU1333" s="153">
        <v>0</v>
      </c>
      <c r="AV1333" s="135"/>
      <c r="AW1333" s="135"/>
      <c r="AX1333" s="135"/>
      <c r="AY1333" s="135"/>
      <c r="AZ1333" s="135"/>
      <c r="BA1333" s="135"/>
      <c r="BB1333" s="135"/>
      <c r="BC1333" s="135"/>
      <c r="BD1333" s="135"/>
      <c r="BE1333" s="135"/>
      <c r="BF1333" s="135"/>
      <c r="BG1333" s="135"/>
      <c r="BH1333" s="135"/>
      <c r="BI1333" s="2"/>
      <c r="BJ1333" s="136"/>
      <c r="BK1333" s="2"/>
      <c r="BL1333" s="136"/>
      <c r="BM1333" s="136"/>
      <c r="BN1333" s="2"/>
      <c r="BO1333" s="2"/>
      <c r="BP1333" s="136"/>
      <c r="BQ1333" s="137"/>
    </row>
    <row r="1334" spans="1:69" ht="12.75" customHeight="1" x14ac:dyDescent="0.2">
      <c r="A1334" s="2">
        <v>2823</v>
      </c>
      <c r="B1334" s="2"/>
      <c r="C1334" s="131"/>
      <c r="D1334" s="131"/>
      <c r="E1334" s="2"/>
      <c r="F1334" s="132">
        <v>0</v>
      </c>
      <c r="G1334" s="132"/>
      <c r="H1334" s="132">
        <f t="shared" si="157"/>
        <v>0</v>
      </c>
      <c r="I1334" s="132"/>
      <c r="J1334" s="132">
        <f t="shared" si="155"/>
        <v>0</v>
      </c>
      <c r="K1334" s="132">
        <f t="shared" ref="K1334:K1397" si="158">F1334-J1334</f>
        <v>0</v>
      </c>
      <c r="L1334" s="132">
        <f t="shared" si="152"/>
        <v>0</v>
      </c>
      <c r="M1334" s="133"/>
      <c r="N1334" s="133">
        <f t="shared" si="156"/>
        <v>0</v>
      </c>
      <c r="O1334" s="134"/>
      <c r="P1334" s="133"/>
      <c r="Q1334" s="2"/>
      <c r="R1334" s="156">
        <f t="shared" si="153"/>
        <v>0</v>
      </c>
      <c r="S1334" s="156">
        <f t="shared" si="154"/>
        <v>0</v>
      </c>
      <c r="T1334" s="133"/>
      <c r="U1334" s="133"/>
      <c r="V1334" s="133"/>
      <c r="W1334" s="133"/>
      <c r="X1334" s="133"/>
      <c r="Y1334" s="133"/>
      <c r="Z1334" s="133"/>
      <c r="AA1334" s="133"/>
      <c r="AB1334" s="133"/>
      <c r="AC1334" s="133"/>
      <c r="AD1334" s="133"/>
      <c r="AE1334" s="133"/>
      <c r="AF1334" s="133"/>
      <c r="AG1334" s="133"/>
      <c r="AH1334" s="133"/>
      <c r="AI1334" s="133"/>
      <c r="AJ1334" s="133"/>
      <c r="AK1334" s="133"/>
      <c r="AL1334" s="133"/>
      <c r="AM1334" s="133"/>
      <c r="AN1334" s="133"/>
      <c r="AO1334" s="133"/>
      <c r="AP1334" s="133"/>
      <c r="AQ1334" s="133"/>
      <c r="AR1334" s="133"/>
      <c r="AS1334" s="153">
        <v>0</v>
      </c>
      <c r="AT1334" s="153">
        <v>0</v>
      </c>
      <c r="AU1334" s="153">
        <v>0</v>
      </c>
      <c r="AV1334" s="135"/>
      <c r="AW1334" s="135"/>
      <c r="AX1334" s="135"/>
      <c r="AY1334" s="135"/>
      <c r="AZ1334" s="135"/>
      <c r="BA1334" s="135"/>
      <c r="BB1334" s="135"/>
      <c r="BC1334" s="135"/>
      <c r="BD1334" s="135"/>
      <c r="BE1334" s="135"/>
      <c r="BF1334" s="135"/>
      <c r="BG1334" s="135"/>
      <c r="BH1334" s="135"/>
      <c r="BI1334" s="2"/>
      <c r="BJ1334" s="136"/>
      <c r="BK1334" s="2"/>
      <c r="BL1334" s="136"/>
      <c r="BM1334" s="136"/>
      <c r="BN1334" s="2"/>
      <c r="BO1334" s="2"/>
      <c r="BP1334" s="136"/>
      <c r="BQ1334" s="137"/>
    </row>
    <row r="1335" spans="1:69" ht="12.75" customHeight="1" x14ac:dyDescent="0.2">
      <c r="A1335" s="2">
        <v>2824</v>
      </c>
      <c r="B1335" s="2"/>
      <c r="C1335" s="131"/>
      <c r="D1335" s="131"/>
      <c r="E1335" s="2"/>
      <c r="F1335" s="132">
        <v>0</v>
      </c>
      <c r="G1335" s="132"/>
      <c r="H1335" s="132">
        <f t="shared" si="157"/>
        <v>0</v>
      </c>
      <c r="I1335" s="132"/>
      <c r="J1335" s="132">
        <f t="shared" si="155"/>
        <v>0</v>
      </c>
      <c r="K1335" s="132">
        <f t="shared" si="158"/>
        <v>0</v>
      </c>
      <c r="L1335" s="132">
        <f t="shared" si="152"/>
        <v>0</v>
      </c>
      <c r="M1335" s="133"/>
      <c r="N1335" s="133">
        <f t="shared" si="156"/>
        <v>0</v>
      </c>
      <c r="O1335" s="134"/>
      <c r="P1335" s="133"/>
      <c r="Q1335" s="2"/>
      <c r="R1335" s="156">
        <f t="shared" si="153"/>
        <v>0</v>
      </c>
      <c r="S1335" s="156">
        <f t="shared" si="154"/>
        <v>0</v>
      </c>
      <c r="T1335" s="133"/>
      <c r="U1335" s="133"/>
      <c r="V1335" s="133"/>
      <c r="W1335" s="133"/>
      <c r="X1335" s="133"/>
      <c r="Y1335" s="133"/>
      <c r="Z1335" s="133"/>
      <c r="AA1335" s="133"/>
      <c r="AB1335" s="133"/>
      <c r="AC1335" s="133"/>
      <c r="AD1335" s="133"/>
      <c r="AE1335" s="133"/>
      <c r="AF1335" s="133"/>
      <c r="AG1335" s="133"/>
      <c r="AH1335" s="133"/>
      <c r="AI1335" s="133"/>
      <c r="AJ1335" s="133"/>
      <c r="AK1335" s="133"/>
      <c r="AL1335" s="133"/>
      <c r="AM1335" s="133"/>
      <c r="AN1335" s="133"/>
      <c r="AO1335" s="133"/>
      <c r="AP1335" s="133"/>
      <c r="AQ1335" s="133"/>
      <c r="AR1335" s="133"/>
      <c r="AS1335" s="153">
        <v>0</v>
      </c>
      <c r="AT1335" s="153">
        <v>0</v>
      </c>
      <c r="AU1335" s="153">
        <v>0</v>
      </c>
      <c r="AV1335" s="135"/>
      <c r="AW1335" s="135"/>
      <c r="AX1335" s="135"/>
      <c r="AY1335" s="135"/>
      <c r="AZ1335" s="135"/>
      <c r="BA1335" s="135"/>
      <c r="BB1335" s="135"/>
      <c r="BC1335" s="135"/>
      <c r="BD1335" s="135"/>
      <c r="BE1335" s="135"/>
      <c r="BF1335" s="135"/>
      <c r="BG1335" s="135"/>
      <c r="BH1335" s="135"/>
      <c r="BI1335" s="2"/>
      <c r="BJ1335" s="136"/>
      <c r="BK1335" s="2"/>
      <c r="BL1335" s="136"/>
      <c r="BM1335" s="136"/>
      <c r="BN1335" s="2"/>
      <c r="BO1335" s="2"/>
      <c r="BP1335" s="136"/>
      <c r="BQ1335" s="137"/>
    </row>
    <row r="1336" spans="1:69" ht="12.75" customHeight="1" x14ac:dyDescent="0.2">
      <c r="A1336" s="2">
        <v>2825</v>
      </c>
      <c r="B1336" s="2"/>
      <c r="C1336" s="131"/>
      <c r="D1336" s="131"/>
      <c r="E1336" s="2"/>
      <c r="F1336" s="132">
        <v>0</v>
      </c>
      <c r="G1336" s="132"/>
      <c r="H1336" s="132">
        <f t="shared" si="157"/>
        <v>0</v>
      </c>
      <c r="I1336" s="132"/>
      <c r="J1336" s="132">
        <f t="shared" si="155"/>
        <v>0</v>
      </c>
      <c r="K1336" s="132">
        <f t="shared" si="158"/>
        <v>0</v>
      </c>
      <c r="L1336" s="132">
        <f t="shared" si="152"/>
        <v>0</v>
      </c>
      <c r="M1336" s="133"/>
      <c r="N1336" s="133">
        <f t="shared" si="156"/>
        <v>0</v>
      </c>
      <c r="O1336" s="134"/>
      <c r="P1336" s="133"/>
      <c r="Q1336" s="2"/>
      <c r="R1336" s="156">
        <f t="shared" si="153"/>
        <v>0</v>
      </c>
      <c r="S1336" s="156">
        <f t="shared" si="154"/>
        <v>0</v>
      </c>
      <c r="T1336" s="133"/>
      <c r="U1336" s="133"/>
      <c r="V1336" s="133"/>
      <c r="W1336" s="133"/>
      <c r="X1336" s="133"/>
      <c r="Y1336" s="133"/>
      <c r="Z1336" s="133"/>
      <c r="AA1336" s="133"/>
      <c r="AB1336" s="133"/>
      <c r="AC1336" s="133"/>
      <c r="AD1336" s="133"/>
      <c r="AE1336" s="133"/>
      <c r="AF1336" s="133"/>
      <c r="AG1336" s="133"/>
      <c r="AH1336" s="133"/>
      <c r="AI1336" s="133"/>
      <c r="AJ1336" s="133"/>
      <c r="AK1336" s="133"/>
      <c r="AL1336" s="133"/>
      <c r="AM1336" s="133"/>
      <c r="AN1336" s="133"/>
      <c r="AO1336" s="133"/>
      <c r="AP1336" s="133"/>
      <c r="AQ1336" s="133"/>
      <c r="AR1336" s="133"/>
      <c r="AS1336" s="153">
        <v>0</v>
      </c>
      <c r="AT1336" s="153">
        <v>0</v>
      </c>
      <c r="AU1336" s="153">
        <v>0</v>
      </c>
      <c r="AV1336" s="135"/>
      <c r="AW1336" s="135"/>
      <c r="AX1336" s="135"/>
      <c r="AY1336" s="135"/>
      <c r="AZ1336" s="135"/>
      <c r="BA1336" s="135"/>
      <c r="BB1336" s="135"/>
      <c r="BC1336" s="135"/>
      <c r="BD1336" s="135"/>
      <c r="BE1336" s="135"/>
      <c r="BF1336" s="135"/>
      <c r="BG1336" s="135"/>
      <c r="BH1336" s="135"/>
      <c r="BI1336" s="2"/>
      <c r="BJ1336" s="136"/>
      <c r="BK1336" s="2"/>
      <c r="BL1336" s="136"/>
      <c r="BM1336" s="136"/>
      <c r="BN1336" s="2"/>
      <c r="BO1336" s="2"/>
      <c r="BP1336" s="136"/>
      <c r="BQ1336" s="137"/>
    </row>
    <row r="1337" spans="1:69" ht="12.75" customHeight="1" x14ac:dyDescent="0.2">
      <c r="A1337" s="2">
        <v>2826</v>
      </c>
      <c r="B1337" s="2"/>
      <c r="C1337" s="131"/>
      <c r="D1337" s="131"/>
      <c r="E1337" s="2"/>
      <c r="F1337" s="132">
        <v>0</v>
      </c>
      <c r="G1337" s="132"/>
      <c r="H1337" s="132">
        <f t="shared" si="157"/>
        <v>0</v>
      </c>
      <c r="I1337" s="132"/>
      <c r="J1337" s="132">
        <f t="shared" si="155"/>
        <v>0</v>
      </c>
      <c r="K1337" s="132">
        <f t="shared" si="158"/>
        <v>0</v>
      </c>
      <c r="L1337" s="132">
        <f t="shared" si="152"/>
        <v>0</v>
      </c>
      <c r="M1337" s="133"/>
      <c r="N1337" s="133">
        <f t="shared" si="156"/>
        <v>0</v>
      </c>
      <c r="O1337" s="134"/>
      <c r="P1337" s="133"/>
      <c r="Q1337" s="2"/>
      <c r="R1337" s="156">
        <f t="shared" si="153"/>
        <v>0</v>
      </c>
      <c r="S1337" s="156">
        <f t="shared" si="154"/>
        <v>0</v>
      </c>
      <c r="T1337" s="133"/>
      <c r="U1337" s="133"/>
      <c r="V1337" s="133"/>
      <c r="W1337" s="133"/>
      <c r="X1337" s="133"/>
      <c r="Y1337" s="133"/>
      <c r="Z1337" s="133"/>
      <c r="AA1337" s="133"/>
      <c r="AB1337" s="133"/>
      <c r="AC1337" s="133"/>
      <c r="AD1337" s="133"/>
      <c r="AE1337" s="133"/>
      <c r="AF1337" s="133"/>
      <c r="AG1337" s="133"/>
      <c r="AH1337" s="133"/>
      <c r="AI1337" s="133"/>
      <c r="AJ1337" s="133"/>
      <c r="AK1337" s="133"/>
      <c r="AL1337" s="133"/>
      <c r="AM1337" s="133"/>
      <c r="AN1337" s="133"/>
      <c r="AO1337" s="133"/>
      <c r="AP1337" s="133"/>
      <c r="AQ1337" s="133"/>
      <c r="AR1337" s="133"/>
      <c r="AS1337" s="153">
        <v>0</v>
      </c>
      <c r="AT1337" s="153">
        <v>0</v>
      </c>
      <c r="AU1337" s="153">
        <v>0</v>
      </c>
      <c r="AV1337" s="135"/>
      <c r="AW1337" s="135"/>
      <c r="AX1337" s="135"/>
      <c r="AY1337" s="135"/>
      <c r="AZ1337" s="135"/>
      <c r="BA1337" s="135"/>
      <c r="BB1337" s="135"/>
      <c r="BC1337" s="135"/>
      <c r="BD1337" s="135"/>
      <c r="BE1337" s="135"/>
      <c r="BF1337" s="135"/>
      <c r="BG1337" s="135"/>
      <c r="BH1337" s="135"/>
      <c r="BI1337" s="2"/>
      <c r="BJ1337" s="136"/>
      <c r="BK1337" s="2"/>
      <c r="BL1337" s="136"/>
      <c r="BM1337" s="136"/>
      <c r="BN1337" s="2"/>
      <c r="BO1337" s="2"/>
      <c r="BP1337" s="136"/>
      <c r="BQ1337" s="137"/>
    </row>
    <row r="1338" spans="1:69" ht="12.75" customHeight="1" x14ac:dyDescent="0.2">
      <c r="A1338" s="2">
        <v>2827</v>
      </c>
      <c r="B1338" s="2"/>
      <c r="C1338" s="131"/>
      <c r="D1338" s="131"/>
      <c r="E1338" s="2"/>
      <c r="F1338" s="132">
        <v>0</v>
      </c>
      <c r="G1338" s="132"/>
      <c r="H1338" s="132">
        <f t="shared" si="157"/>
        <v>0</v>
      </c>
      <c r="I1338" s="132"/>
      <c r="J1338" s="132">
        <f t="shared" si="155"/>
        <v>0</v>
      </c>
      <c r="K1338" s="132">
        <f t="shared" si="158"/>
        <v>0</v>
      </c>
      <c r="L1338" s="132">
        <f t="shared" si="152"/>
        <v>0</v>
      </c>
      <c r="M1338" s="133"/>
      <c r="N1338" s="133">
        <f t="shared" si="156"/>
        <v>0</v>
      </c>
      <c r="O1338" s="134"/>
      <c r="P1338" s="133"/>
      <c r="Q1338" s="2"/>
      <c r="R1338" s="156">
        <f t="shared" si="153"/>
        <v>0</v>
      </c>
      <c r="S1338" s="156">
        <f t="shared" si="154"/>
        <v>0</v>
      </c>
      <c r="T1338" s="133"/>
      <c r="U1338" s="133"/>
      <c r="V1338" s="133"/>
      <c r="W1338" s="133"/>
      <c r="X1338" s="133"/>
      <c r="Y1338" s="133"/>
      <c r="Z1338" s="133"/>
      <c r="AA1338" s="133"/>
      <c r="AB1338" s="133"/>
      <c r="AC1338" s="133"/>
      <c r="AD1338" s="133"/>
      <c r="AE1338" s="133"/>
      <c r="AF1338" s="133"/>
      <c r="AG1338" s="133"/>
      <c r="AH1338" s="133"/>
      <c r="AI1338" s="133"/>
      <c r="AJ1338" s="133"/>
      <c r="AK1338" s="133"/>
      <c r="AL1338" s="133"/>
      <c r="AM1338" s="133"/>
      <c r="AN1338" s="133"/>
      <c r="AO1338" s="133"/>
      <c r="AP1338" s="133"/>
      <c r="AQ1338" s="133"/>
      <c r="AR1338" s="133"/>
      <c r="AS1338" s="153">
        <v>0</v>
      </c>
      <c r="AT1338" s="153">
        <v>0</v>
      </c>
      <c r="AU1338" s="153">
        <v>0</v>
      </c>
      <c r="AV1338" s="135"/>
      <c r="AW1338" s="135"/>
      <c r="AX1338" s="135"/>
      <c r="AY1338" s="135"/>
      <c r="AZ1338" s="135"/>
      <c r="BA1338" s="135"/>
      <c r="BB1338" s="135"/>
      <c r="BC1338" s="135"/>
      <c r="BD1338" s="135"/>
      <c r="BE1338" s="135"/>
      <c r="BF1338" s="135"/>
      <c r="BG1338" s="135"/>
      <c r="BH1338" s="135"/>
      <c r="BI1338" s="2"/>
      <c r="BJ1338" s="136"/>
      <c r="BK1338" s="2"/>
      <c r="BL1338" s="136"/>
      <c r="BM1338" s="136"/>
      <c r="BN1338" s="2"/>
      <c r="BO1338" s="2"/>
      <c r="BP1338" s="136"/>
      <c r="BQ1338" s="137"/>
    </row>
    <row r="1339" spans="1:69" ht="12.75" customHeight="1" x14ac:dyDescent="0.2">
      <c r="A1339" s="2">
        <v>2828</v>
      </c>
      <c r="B1339" s="2"/>
      <c r="C1339" s="131"/>
      <c r="D1339" s="131"/>
      <c r="E1339" s="2"/>
      <c r="F1339" s="132">
        <v>0</v>
      </c>
      <c r="G1339" s="132"/>
      <c r="H1339" s="132">
        <f t="shared" si="157"/>
        <v>0</v>
      </c>
      <c r="I1339" s="132"/>
      <c r="J1339" s="132">
        <f t="shared" si="155"/>
        <v>0</v>
      </c>
      <c r="K1339" s="132">
        <f t="shared" si="158"/>
        <v>0</v>
      </c>
      <c r="L1339" s="132">
        <f t="shared" si="152"/>
        <v>0</v>
      </c>
      <c r="M1339" s="133"/>
      <c r="N1339" s="133">
        <f t="shared" si="156"/>
        <v>0</v>
      </c>
      <c r="O1339" s="134"/>
      <c r="P1339" s="133"/>
      <c r="Q1339" s="2"/>
      <c r="R1339" s="156">
        <f t="shared" si="153"/>
        <v>0</v>
      </c>
      <c r="S1339" s="156">
        <f t="shared" si="154"/>
        <v>0</v>
      </c>
      <c r="T1339" s="133"/>
      <c r="U1339" s="133"/>
      <c r="V1339" s="133"/>
      <c r="W1339" s="133"/>
      <c r="X1339" s="133"/>
      <c r="Y1339" s="133"/>
      <c r="Z1339" s="133"/>
      <c r="AA1339" s="133"/>
      <c r="AB1339" s="133"/>
      <c r="AC1339" s="133"/>
      <c r="AD1339" s="133"/>
      <c r="AE1339" s="133"/>
      <c r="AF1339" s="133"/>
      <c r="AG1339" s="133"/>
      <c r="AH1339" s="133"/>
      <c r="AI1339" s="133"/>
      <c r="AJ1339" s="133"/>
      <c r="AK1339" s="133"/>
      <c r="AL1339" s="133"/>
      <c r="AM1339" s="133"/>
      <c r="AN1339" s="133"/>
      <c r="AO1339" s="133"/>
      <c r="AP1339" s="133"/>
      <c r="AQ1339" s="133"/>
      <c r="AR1339" s="133"/>
      <c r="AS1339" s="153">
        <v>0</v>
      </c>
      <c r="AT1339" s="153">
        <v>0</v>
      </c>
      <c r="AU1339" s="153">
        <v>0</v>
      </c>
      <c r="AV1339" s="135"/>
      <c r="AW1339" s="135"/>
      <c r="AX1339" s="135"/>
      <c r="AY1339" s="135"/>
      <c r="AZ1339" s="135"/>
      <c r="BA1339" s="135"/>
      <c r="BB1339" s="135"/>
      <c r="BC1339" s="135"/>
      <c r="BD1339" s="135"/>
      <c r="BE1339" s="135"/>
      <c r="BF1339" s="135"/>
      <c r="BG1339" s="135"/>
      <c r="BH1339" s="135"/>
      <c r="BI1339" s="2"/>
      <c r="BJ1339" s="136"/>
      <c r="BK1339" s="2"/>
      <c r="BL1339" s="136"/>
      <c r="BM1339" s="136"/>
      <c r="BN1339" s="2"/>
      <c r="BO1339" s="2"/>
      <c r="BP1339" s="136"/>
      <c r="BQ1339" s="137"/>
    </row>
    <row r="1340" spans="1:69" ht="12.75" customHeight="1" x14ac:dyDescent="0.2">
      <c r="A1340" s="2">
        <v>2829</v>
      </c>
      <c r="B1340" s="2"/>
      <c r="C1340" s="131"/>
      <c r="D1340" s="131"/>
      <c r="E1340" s="2"/>
      <c r="F1340" s="132">
        <v>0</v>
      </c>
      <c r="G1340" s="132"/>
      <c r="H1340" s="132">
        <f t="shared" si="157"/>
        <v>0</v>
      </c>
      <c r="I1340" s="132"/>
      <c r="J1340" s="132">
        <f t="shared" si="155"/>
        <v>0</v>
      </c>
      <c r="K1340" s="132">
        <f t="shared" si="158"/>
        <v>0</v>
      </c>
      <c r="L1340" s="132">
        <f t="shared" si="152"/>
        <v>0</v>
      </c>
      <c r="M1340" s="133"/>
      <c r="N1340" s="133">
        <f t="shared" si="156"/>
        <v>0</v>
      </c>
      <c r="O1340" s="134"/>
      <c r="P1340" s="133"/>
      <c r="Q1340" s="2"/>
      <c r="R1340" s="156">
        <f t="shared" si="153"/>
        <v>0</v>
      </c>
      <c r="S1340" s="156">
        <f t="shared" si="154"/>
        <v>0</v>
      </c>
      <c r="T1340" s="133"/>
      <c r="U1340" s="133"/>
      <c r="V1340" s="133"/>
      <c r="W1340" s="133"/>
      <c r="X1340" s="133"/>
      <c r="Y1340" s="133"/>
      <c r="Z1340" s="133"/>
      <c r="AA1340" s="133"/>
      <c r="AB1340" s="133"/>
      <c r="AC1340" s="133"/>
      <c r="AD1340" s="133"/>
      <c r="AE1340" s="133"/>
      <c r="AF1340" s="133"/>
      <c r="AG1340" s="133"/>
      <c r="AH1340" s="133"/>
      <c r="AI1340" s="133"/>
      <c r="AJ1340" s="133"/>
      <c r="AK1340" s="133"/>
      <c r="AL1340" s="133"/>
      <c r="AM1340" s="133"/>
      <c r="AN1340" s="133"/>
      <c r="AO1340" s="133"/>
      <c r="AP1340" s="133"/>
      <c r="AQ1340" s="133"/>
      <c r="AR1340" s="133"/>
      <c r="AS1340" s="153">
        <v>0</v>
      </c>
      <c r="AT1340" s="153">
        <v>0</v>
      </c>
      <c r="AU1340" s="153">
        <v>0</v>
      </c>
      <c r="AV1340" s="135"/>
      <c r="AW1340" s="135"/>
      <c r="AX1340" s="135"/>
      <c r="AY1340" s="135"/>
      <c r="AZ1340" s="135"/>
      <c r="BA1340" s="135"/>
      <c r="BB1340" s="135"/>
      <c r="BC1340" s="135"/>
      <c r="BD1340" s="135"/>
      <c r="BE1340" s="135"/>
      <c r="BF1340" s="135"/>
      <c r="BG1340" s="135"/>
      <c r="BH1340" s="135"/>
      <c r="BI1340" s="2"/>
      <c r="BJ1340" s="136"/>
      <c r="BK1340" s="2"/>
      <c r="BL1340" s="136"/>
      <c r="BM1340" s="136"/>
      <c r="BN1340" s="2"/>
      <c r="BO1340" s="2"/>
      <c r="BP1340" s="136"/>
      <c r="BQ1340" s="137"/>
    </row>
    <row r="1341" spans="1:69" ht="12.75" customHeight="1" x14ac:dyDescent="0.2">
      <c r="A1341" s="2">
        <v>2830</v>
      </c>
      <c r="B1341" s="2"/>
      <c r="C1341" s="131"/>
      <c r="D1341" s="131"/>
      <c r="E1341" s="2"/>
      <c r="F1341" s="132">
        <v>0</v>
      </c>
      <c r="G1341" s="132"/>
      <c r="H1341" s="132">
        <f t="shared" si="157"/>
        <v>0</v>
      </c>
      <c r="I1341" s="132"/>
      <c r="J1341" s="132">
        <f t="shared" si="155"/>
        <v>0</v>
      </c>
      <c r="K1341" s="132">
        <f t="shared" si="158"/>
        <v>0</v>
      </c>
      <c r="L1341" s="132">
        <f t="shared" si="152"/>
        <v>0</v>
      </c>
      <c r="M1341" s="133"/>
      <c r="N1341" s="133">
        <f t="shared" si="156"/>
        <v>0</v>
      </c>
      <c r="O1341" s="134"/>
      <c r="P1341" s="133"/>
      <c r="Q1341" s="2"/>
      <c r="R1341" s="156">
        <f t="shared" si="153"/>
        <v>0</v>
      </c>
      <c r="S1341" s="156">
        <f t="shared" si="154"/>
        <v>0</v>
      </c>
      <c r="T1341" s="133"/>
      <c r="U1341" s="133"/>
      <c r="V1341" s="133"/>
      <c r="W1341" s="133"/>
      <c r="X1341" s="133"/>
      <c r="Y1341" s="133"/>
      <c r="Z1341" s="133"/>
      <c r="AA1341" s="133"/>
      <c r="AB1341" s="133"/>
      <c r="AC1341" s="133"/>
      <c r="AD1341" s="133"/>
      <c r="AE1341" s="133"/>
      <c r="AF1341" s="133"/>
      <c r="AG1341" s="133"/>
      <c r="AH1341" s="133"/>
      <c r="AI1341" s="133"/>
      <c r="AJ1341" s="133"/>
      <c r="AK1341" s="133"/>
      <c r="AL1341" s="133"/>
      <c r="AM1341" s="133"/>
      <c r="AN1341" s="133"/>
      <c r="AO1341" s="133"/>
      <c r="AP1341" s="133"/>
      <c r="AQ1341" s="133"/>
      <c r="AR1341" s="133"/>
      <c r="AS1341" s="153">
        <v>0</v>
      </c>
      <c r="AT1341" s="153">
        <v>0</v>
      </c>
      <c r="AU1341" s="153">
        <v>0</v>
      </c>
      <c r="AV1341" s="135"/>
      <c r="AW1341" s="135"/>
      <c r="AX1341" s="135"/>
      <c r="AY1341" s="135"/>
      <c r="AZ1341" s="135"/>
      <c r="BA1341" s="135"/>
      <c r="BB1341" s="135"/>
      <c r="BC1341" s="135"/>
      <c r="BD1341" s="135"/>
      <c r="BE1341" s="135"/>
      <c r="BF1341" s="135"/>
      <c r="BG1341" s="135"/>
      <c r="BH1341" s="135"/>
      <c r="BI1341" s="2"/>
      <c r="BJ1341" s="136"/>
      <c r="BK1341" s="2"/>
      <c r="BL1341" s="136"/>
      <c r="BM1341" s="136"/>
      <c r="BN1341" s="2"/>
      <c r="BO1341" s="2"/>
      <c r="BP1341" s="136"/>
      <c r="BQ1341" s="137"/>
    </row>
    <row r="1342" spans="1:69" ht="12.75" customHeight="1" x14ac:dyDescent="0.2">
      <c r="A1342" s="2">
        <v>2831</v>
      </c>
      <c r="B1342" s="2"/>
      <c r="C1342" s="131"/>
      <c r="D1342" s="131"/>
      <c r="E1342" s="2"/>
      <c r="F1342" s="132">
        <v>0</v>
      </c>
      <c r="G1342" s="132"/>
      <c r="H1342" s="132">
        <f t="shared" si="157"/>
        <v>0</v>
      </c>
      <c r="I1342" s="132"/>
      <c r="J1342" s="132">
        <f t="shared" si="155"/>
        <v>0</v>
      </c>
      <c r="K1342" s="132">
        <f t="shared" si="158"/>
        <v>0</v>
      </c>
      <c r="L1342" s="132">
        <f t="shared" si="152"/>
        <v>0</v>
      </c>
      <c r="M1342" s="133"/>
      <c r="N1342" s="133">
        <f t="shared" si="156"/>
        <v>0</v>
      </c>
      <c r="O1342" s="134"/>
      <c r="P1342" s="133"/>
      <c r="Q1342" s="2"/>
      <c r="R1342" s="156">
        <f t="shared" si="153"/>
        <v>0</v>
      </c>
      <c r="S1342" s="156">
        <f t="shared" si="154"/>
        <v>0</v>
      </c>
      <c r="T1342" s="133"/>
      <c r="U1342" s="133"/>
      <c r="V1342" s="133"/>
      <c r="W1342" s="133"/>
      <c r="X1342" s="133"/>
      <c r="Y1342" s="133"/>
      <c r="Z1342" s="133"/>
      <c r="AA1342" s="133"/>
      <c r="AB1342" s="133"/>
      <c r="AC1342" s="133"/>
      <c r="AD1342" s="133"/>
      <c r="AE1342" s="133"/>
      <c r="AF1342" s="133"/>
      <c r="AG1342" s="133"/>
      <c r="AH1342" s="133"/>
      <c r="AI1342" s="133"/>
      <c r="AJ1342" s="133"/>
      <c r="AK1342" s="133"/>
      <c r="AL1342" s="133"/>
      <c r="AM1342" s="133"/>
      <c r="AN1342" s="133"/>
      <c r="AO1342" s="133"/>
      <c r="AP1342" s="133"/>
      <c r="AQ1342" s="133"/>
      <c r="AR1342" s="133"/>
      <c r="AS1342" s="153">
        <v>0</v>
      </c>
      <c r="AT1342" s="153">
        <v>0</v>
      </c>
      <c r="AU1342" s="153">
        <v>0</v>
      </c>
      <c r="AV1342" s="135"/>
      <c r="AW1342" s="135"/>
      <c r="AX1342" s="135"/>
      <c r="AY1342" s="135"/>
      <c r="AZ1342" s="135"/>
      <c r="BA1342" s="135"/>
      <c r="BB1342" s="135"/>
      <c r="BC1342" s="135"/>
      <c r="BD1342" s="135"/>
      <c r="BE1342" s="135"/>
      <c r="BF1342" s="135"/>
      <c r="BG1342" s="135"/>
      <c r="BH1342" s="135"/>
      <c r="BI1342" s="2"/>
      <c r="BJ1342" s="136"/>
      <c r="BK1342" s="2"/>
      <c r="BL1342" s="136"/>
      <c r="BM1342" s="136"/>
      <c r="BN1342" s="2"/>
      <c r="BO1342" s="2"/>
      <c r="BP1342" s="136"/>
      <c r="BQ1342" s="137"/>
    </row>
    <row r="1343" spans="1:69" ht="12.75" customHeight="1" x14ac:dyDescent="0.2">
      <c r="A1343" s="2">
        <v>2832</v>
      </c>
      <c r="B1343" s="2"/>
      <c r="C1343" s="131"/>
      <c r="D1343" s="131"/>
      <c r="E1343" s="2"/>
      <c r="F1343" s="132">
        <v>0</v>
      </c>
      <c r="G1343" s="132"/>
      <c r="H1343" s="132">
        <f t="shared" si="157"/>
        <v>0</v>
      </c>
      <c r="I1343" s="132"/>
      <c r="J1343" s="132">
        <f t="shared" si="155"/>
        <v>0</v>
      </c>
      <c r="K1343" s="132">
        <f t="shared" si="158"/>
        <v>0</v>
      </c>
      <c r="L1343" s="132">
        <f t="shared" si="152"/>
        <v>0</v>
      </c>
      <c r="M1343" s="133"/>
      <c r="N1343" s="133">
        <f t="shared" si="156"/>
        <v>0</v>
      </c>
      <c r="O1343" s="134"/>
      <c r="P1343" s="133"/>
      <c r="Q1343" s="2"/>
      <c r="R1343" s="156">
        <f t="shared" si="153"/>
        <v>0</v>
      </c>
      <c r="S1343" s="156">
        <f t="shared" si="154"/>
        <v>0</v>
      </c>
      <c r="T1343" s="133"/>
      <c r="U1343" s="133"/>
      <c r="V1343" s="133"/>
      <c r="W1343" s="133"/>
      <c r="X1343" s="133"/>
      <c r="Y1343" s="133"/>
      <c r="Z1343" s="133"/>
      <c r="AA1343" s="133"/>
      <c r="AB1343" s="133"/>
      <c r="AC1343" s="133"/>
      <c r="AD1343" s="133"/>
      <c r="AE1343" s="133"/>
      <c r="AF1343" s="133"/>
      <c r="AG1343" s="133"/>
      <c r="AH1343" s="133"/>
      <c r="AI1343" s="133"/>
      <c r="AJ1343" s="133"/>
      <c r="AK1343" s="133"/>
      <c r="AL1343" s="133"/>
      <c r="AM1343" s="133"/>
      <c r="AN1343" s="133"/>
      <c r="AO1343" s="133"/>
      <c r="AP1343" s="133"/>
      <c r="AQ1343" s="133"/>
      <c r="AR1343" s="133"/>
      <c r="AS1343" s="153">
        <v>0</v>
      </c>
      <c r="AT1343" s="153">
        <v>0</v>
      </c>
      <c r="AU1343" s="153">
        <v>0</v>
      </c>
      <c r="AV1343" s="135"/>
      <c r="AW1343" s="135"/>
      <c r="AX1343" s="135"/>
      <c r="AY1343" s="135"/>
      <c r="AZ1343" s="135"/>
      <c r="BA1343" s="135"/>
      <c r="BB1343" s="135"/>
      <c r="BC1343" s="135"/>
      <c r="BD1343" s="135"/>
      <c r="BE1343" s="135"/>
      <c r="BF1343" s="135"/>
      <c r="BG1343" s="135"/>
      <c r="BH1343" s="135"/>
      <c r="BI1343" s="2"/>
      <c r="BJ1343" s="136"/>
      <c r="BK1343" s="2"/>
      <c r="BL1343" s="136"/>
      <c r="BM1343" s="136"/>
      <c r="BN1343" s="2"/>
      <c r="BO1343" s="2"/>
      <c r="BP1343" s="136"/>
      <c r="BQ1343" s="137"/>
    </row>
    <row r="1344" spans="1:69" ht="12.75" customHeight="1" x14ac:dyDescent="0.2">
      <c r="A1344" s="2">
        <v>2833</v>
      </c>
      <c r="B1344" s="2"/>
      <c r="C1344" s="131"/>
      <c r="D1344" s="131"/>
      <c r="E1344" s="2"/>
      <c r="F1344" s="132">
        <v>0</v>
      </c>
      <c r="G1344" s="132"/>
      <c r="H1344" s="132">
        <f t="shared" si="157"/>
        <v>0</v>
      </c>
      <c r="I1344" s="132"/>
      <c r="J1344" s="132">
        <f t="shared" si="155"/>
        <v>0</v>
      </c>
      <c r="K1344" s="132">
        <f t="shared" si="158"/>
        <v>0</v>
      </c>
      <c r="L1344" s="132">
        <f t="shared" si="152"/>
        <v>0</v>
      </c>
      <c r="M1344" s="133"/>
      <c r="N1344" s="133">
        <f t="shared" si="156"/>
        <v>0</v>
      </c>
      <c r="O1344" s="134"/>
      <c r="P1344" s="133"/>
      <c r="Q1344" s="2"/>
      <c r="R1344" s="156">
        <f t="shared" si="153"/>
        <v>0</v>
      </c>
      <c r="S1344" s="156">
        <f t="shared" si="154"/>
        <v>0</v>
      </c>
      <c r="T1344" s="133"/>
      <c r="U1344" s="133"/>
      <c r="V1344" s="133"/>
      <c r="W1344" s="133"/>
      <c r="X1344" s="133"/>
      <c r="Y1344" s="133"/>
      <c r="Z1344" s="133"/>
      <c r="AA1344" s="133"/>
      <c r="AB1344" s="133"/>
      <c r="AC1344" s="133"/>
      <c r="AD1344" s="133"/>
      <c r="AE1344" s="133"/>
      <c r="AF1344" s="133"/>
      <c r="AG1344" s="133"/>
      <c r="AH1344" s="133"/>
      <c r="AI1344" s="133"/>
      <c r="AJ1344" s="133"/>
      <c r="AK1344" s="133"/>
      <c r="AL1344" s="133"/>
      <c r="AM1344" s="133"/>
      <c r="AN1344" s="133"/>
      <c r="AO1344" s="133"/>
      <c r="AP1344" s="133"/>
      <c r="AQ1344" s="133"/>
      <c r="AR1344" s="133"/>
      <c r="AS1344" s="153">
        <v>0</v>
      </c>
      <c r="AT1344" s="153">
        <v>0</v>
      </c>
      <c r="AU1344" s="153">
        <v>0</v>
      </c>
      <c r="AV1344" s="135"/>
      <c r="AW1344" s="135"/>
      <c r="AX1344" s="135"/>
      <c r="AY1344" s="135"/>
      <c r="AZ1344" s="135"/>
      <c r="BA1344" s="135"/>
      <c r="BB1344" s="135"/>
      <c r="BC1344" s="135"/>
      <c r="BD1344" s="135"/>
      <c r="BE1344" s="135"/>
      <c r="BF1344" s="135"/>
      <c r="BG1344" s="135"/>
      <c r="BH1344" s="135"/>
      <c r="BI1344" s="2"/>
      <c r="BJ1344" s="136"/>
      <c r="BK1344" s="2"/>
      <c r="BL1344" s="136"/>
      <c r="BM1344" s="136"/>
      <c r="BN1344" s="2"/>
      <c r="BO1344" s="2"/>
      <c r="BP1344" s="136"/>
      <c r="BQ1344" s="137"/>
    </row>
    <row r="1345" spans="1:69" ht="12.75" customHeight="1" x14ac:dyDescent="0.2">
      <c r="A1345" s="2">
        <v>2834</v>
      </c>
      <c r="B1345" s="2"/>
      <c r="C1345" s="131"/>
      <c r="D1345" s="131"/>
      <c r="E1345" s="2"/>
      <c r="F1345" s="132">
        <v>0</v>
      </c>
      <c r="G1345" s="132"/>
      <c r="H1345" s="132">
        <f t="shared" si="157"/>
        <v>0</v>
      </c>
      <c r="I1345" s="132"/>
      <c r="J1345" s="132">
        <f t="shared" si="155"/>
        <v>0</v>
      </c>
      <c r="K1345" s="132">
        <f t="shared" si="158"/>
        <v>0</v>
      </c>
      <c r="L1345" s="132">
        <f t="shared" si="152"/>
        <v>0</v>
      </c>
      <c r="M1345" s="133"/>
      <c r="N1345" s="133">
        <f t="shared" si="156"/>
        <v>0</v>
      </c>
      <c r="O1345" s="134"/>
      <c r="P1345" s="133"/>
      <c r="Q1345" s="2"/>
      <c r="R1345" s="156">
        <f t="shared" si="153"/>
        <v>0</v>
      </c>
      <c r="S1345" s="156">
        <f t="shared" si="154"/>
        <v>0</v>
      </c>
      <c r="T1345" s="133"/>
      <c r="U1345" s="133"/>
      <c r="V1345" s="133"/>
      <c r="W1345" s="133"/>
      <c r="X1345" s="133"/>
      <c r="Y1345" s="133"/>
      <c r="Z1345" s="133"/>
      <c r="AA1345" s="133"/>
      <c r="AB1345" s="133"/>
      <c r="AC1345" s="133"/>
      <c r="AD1345" s="133"/>
      <c r="AE1345" s="133"/>
      <c r="AF1345" s="133"/>
      <c r="AG1345" s="133"/>
      <c r="AH1345" s="133"/>
      <c r="AI1345" s="133"/>
      <c r="AJ1345" s="133"/>
      <c r="AK1345" s="133"/>
      <c r="AL1345" s="133"/>
      <c r="AM1345" s="133"/>
      <c r="AN1345" s="133"/>
      <c r="AO1345" s="133"/>
      <c r="AP1345" s="133"/>
      <c r="AQ1345" s="133"/>
      <c r="AR1345" s="133"/>
      <c r="AS1345" s="153">
        <v>0</v>
      </c>
      <c r="AT1345" s="153">
        <v>0</v>
      </c>
      <c r="AU1345" s="153">
        <v>0</v>
      </c>
      <c r="AV1345" s="135"/>
      <c r="AW1345" s="135"/>
      <c r="AX1345" s="135"/>
      <c r="AY1345" s="135"/>
      <c r="AZ1345" s="135"/>
      <c r="BA1345" s="135"/>
      <c r="BB1345" s="135"/>
      <c r="BC1345" s="135"/>
      <c r="BD1345" s="135"/>
      <c r="BE1345" s="135"/>
      <c r="BF1345" s="135"/>
      <c r="BG1345" s="135"/>
      <c r="BH1345" s="135"/>
      <c r="BI1345" s="2"/>
      <c r="BJ1345" s="136"/>
      <c r="BK1345" s="2"/>
      <c r="BL1345" s="136"/>
      <c r="BM1345" s="136"/>
      <c r="BN1345" s="2"/>
      <c r="BO1345" s="2"/>
      <c r="BP1345" s="136"/>
      <c r="BQ1345" s="137"/>
    </row>
    <row r="1346" spans="1:69" ht="12.75" customHeight="1" x14ac:dyDescent="0.2">
      <c r="A1346" s="2">
        <v>2835</v>
      </c>
      <c r="B1346" s="2"/>
      <c r="C1346" s="131"/>
      <c r="D1346" s="131"/>
      <c r="E1346" s="2"/>
      <c r="F1346" s="132">
        <v>0</v>
      </c>
      <c r="G1346" s="132"/>
      <c r="H1346" s="132">
        <f t="shared" si="157"/>
        <v>0</v>
      </c>
      <c r="I1346" s="132"/>
      <c r="J1346" s="132">
        <f t="shared" si="155"/>
        <v>0</v>
      </c>
      <c r="K1346" s="132">
        <f t="shared" si="158"/>
        <v>0</v>
      </c>
      <c r="L1346" s="132">
        <f t="shared" si="152"/>
        <v>0</v>
      </c>
      <c r="M1346" s="133"/>
      <c r="N1346" s="133">
        <f t="shared" si="156"/>
        <v>0</v>
      </c>
      <c r="O1346" s="134"/>
      <c r="P1346" s="133"/>
      <c r="Q1346" s="2"/>
      <c r="R1346" s="156">
        <f t="shared" si="153"/>
        <v>0</v>
      </c>
      <c r="S1346" s="156">
        <f t="shared" si="154"/>
        <v>0</v>
      </c>
      <c r="T1346" s="133"/>
      <c r="U1346" s="133"/>
      <c r="V1346" s="133"/>
      <c r="W1346" s="133"/>
      <c r="X1346" s="133"/>
      <c r="Y1346" s="133"/>
      <c r="Z1346" s="133"/>
      <c r="AA1346" s="133"/>
      <c r="AB1346" s="133"/>
      <c r="AC1346" s="133"/>
      <c r="AD1346" s="133"/>
      <c r="AE1346" s="133"/>
      <c r="AF1346" s="133"/>
      <c r="AG1346" s="133"/>
      <c r="AH1346" s="133"/>
      <c r="AI1346" s="133"/>
      <c r="AJ1346" s="133"/>
      <c r="AK1346" s="133"/>
      <c r="AL1346" s="133"/>
      <c r="AM1346" s="133"/>
      <c r="AN1346" s="133"/>
      <c r="AO1346" s="133"/>
      <c r="AP1346" s="133"/>
      <c r="AQ1346" s="133"/>
      <c r="AR1346" s="133"/>
      <c r="AS1346" s="153">
        <v>0</v>
      </c>
      <c r="AT1346" s="153">
        <v>0</v>
      </c>
      <c r="AU1346" s="153">
        <v>0</v>
      </c>
      <c r="AV1346" s="135"/>
      <c r="AW1346" s="135"/>
      <c r="AX1346" s="135"/>
      <c r="AY1346" s="135"/>
      <c r="AZ1346" s="135"/>
      <c r="BA1346" s="135"/>
      <c r="BB1346" s="135"/>
      <c r="BC1346" s="135"/>
      <c r="BD1346" s="135"/>
      <c r="BE1346" s="135"/>
      <c r="BF1346" s="135"/>
      <c r="BG1346" s="135"/>
      <c r="BH1346" s="135"/>
      <c r="BI1346" s="2"/>
      <c r="BJ1346" s="136"/>
      <c r="BK1346" s="2"/>
      <c r="BL1346" s="136"/>
      <c r="BM1346" s="136"/>
      <c r="BN1346" s="2"/>
      <c r="BO1346" s="2"/>
      <c r="BP1346" s="136"/>
      <c r="BQ1346" s="137"/>
    </row>
    <row r="1347" spans="1:69" ht="12.75" customHeight="1" x14ac:dyDescent="0.2">
      <c r="A1347" s="2">
        <v>2836</v>
      </c>
      <c r="B1347" s="2"/>
      <c r="C1347" s="131"/>
      <c r="D1347" s="131"/>
      <c r="E1347" s="2"/>
      <c r="F1347" s="132">
        <v>0</v>
      </c>
      <c r="G1347" s="132"/>
      <c r="H1347" s="132">
        <f t="shared" si="157"/>
        <v>0</v>
      </c>
      <c r="I1347" s="132"/>
      <c r="J1347" s="132">
        <f t="shared" si="155"/>
        <v>0</v>
      </c>
      <c r="K1347" s="132">
        <f t="shared" si="158"/>
        <v>0</v>
      </c>
      <c r="L1347" s="132">
        <f t="shared" si="152"/>
        <v>0</v>
      </c>
      <c r="M1347" s="133"/>
      <c r="N1347" s="133">
        <f t="shared" si="156"/>
        <v>0</v>
      </c>
      <c r="O1347" s="134"/>
      <c r="P1347" s="133"/>
      <c r="Q1347" s="2"/>
      <c r="R1347" s="156">
        <f t="shared" si="153"/>
        <v>0</v>
      </c>
      <c r="S1347" s="156">
        <f t="shared" si="154"/>
        <v>0</v>
      </c>
      <c r="T1347" s="133"/>
      <c r="U1347" s="133"/>
      <c r="V1347" s="133"/>
      <c r="W1347" s="133"/>
      <c r="X1347" s="133"/>
      <c r="Y1347" s="133"/>
      <c r="Z1347" s="133"/>
      <c r="AA1347" s="133"/>
      <c r="AB1347" s="133"/>
      <c r="AC1347" s="133"/>
      <c r="AD1347" s="133"/>
      <c r="AE1347" s="133"/>
      <c r="AF1347" s="133"/>
      <c r="AG1347" s="133"/>
      <c r="AH1347" s="133"/>
      <c r="AI1347" s="133"/>
      <c r="AJ1347" s="133"/>
      <c r="AK1347" s="133"/>
      <c r="AL1347" s="133"/>
      <c r="AM1347" s="133"/>
      <c r="AN1347" s="133"/>
      <c r="AO1347" s="133"/>
      <c r="AP1347" s="133"/>
      <c r="AQ1347" s="133"/>
      <c r="AR1347" s="133"/>
      <c r="AS1347" s="153">
        <v>0</v>
      </c>
      <c r="AT1347" s="153">
        <v>0</v>
      </c>
      <c r="AU1347" s="153">
        <v>0</v>
      </c>
      <c r="AV1347" s="135"/>
      <c r="AW1347" s="135"/>
      <c r="AX1347" s="135"/>
      <c r="AY1347" s="135"/>
      <c r="AZ1347" s="135"/>
      <c r="BA1347" s="135"/>
      <c r="BB1347" s="135"/>
      <c r="BC1347" s="135"/>
      <c r="BD1347" s="135"/>
      <c r="BE1347" s="135"/>
      <c r="BF1347" s="135"/>
      <c r="BG1347" s="135"/>
      <c r="BH1347" s="135"/>
      <c r="BI1347" s="2"/>
      <c r="BJ1347" s="136"/>
      <c r="BK1347" s="2"/>
      <c r="BL1347" s="136"/>
      <c r="BM1347" s="136"/>
      <c r="BN1347" s="2"/>
      <c r="BO1347" s="2"/>
      <c r="BP1347" s="136"/>
      <c r="BQ1347" s="137"/>
    </row>
    <row r="1348" spans="1:69" ht="12.75" customHeight="1" x14ac:dyDescent="0.2">
      <c r="A1348" s="2">
        <v>2837</v>
      </c>
      <c r="B1348" s="2"/>
      <c r="C1348" s="131"/>
      <c r="D1348" s="131"/>
      <c r="E1348" s="2"/>
      <c r="F1348" s="132">
        <v>0</v>
      </c>
      <c r="G1348" s="132"/>
      <c r="H1348" s="132">
        <f t="shared" si="157"/>
        <v>0</v>
      </c>
      <c r="I1348" s="132"/>
      <c r="J1348" s="132">
        <f t="shared" si="155"/>
        <v>0</v>
      </c>
      <c r="K1348" s="132">
        <f t="shared" si="158"/>
        <v>0</v>
      </c>
      <c r="L1348" s="132">
        <f t="shared" si="152"/>
        <v>0</v>
      </c>
      <c r="M1348" s="133"/>
      <c r="N1348" s="133">
        <f t="shared" si="156"/>
        <v>0</v>
      </c>
      <c r="O1348" s="134"/>
      <c r="P1348" s="133"/>
      <c r="Q1348" s="2"/>
      <c r="R1348" s="156">
        <f t="shared" si="153"/>
        <v>0</v>
      </c>
      <c r="S1348" s="156">
        <f t="shared" si="154"/>
        <v>0</v>
      </c>
      <c r="T1348" s="133"/>
      <c r="U1348" s="133"/>
      <c r="V1348" s="133"/>
      <c r="W1348" s="133"/>
      <c r="X1348" s="133"/>
      <c r="Y1348" s="133"/>
      <c r="Z1348" s="133"/>
      <c r="AA1348" s="133"/>
      <c r="AB1348" s="133"/>
      <c r="AC1348" s="133"/>
      <c r="AD1348" s="133"/>
      <c r="AE1348" s="133"/>
      <c r="AF1348" s="133"/>
      <c r="AG1348" s="133"/>
      <c r="AH1348" s="133"/>
      <c r="AI1348" s="133"/>
      <c r="AJ1348" s="133"/>
      <c r="AK1348" s="133"/>
      <c r="AL1348" s="133"/>
      <c r="AM1348" s="133"/>
      <c r="AN1348" s="133"/>
      <c r="AO1348" s="133"/>
      <c r="AP1348" s="133"/>
      <c r="AQ1348" s="133"/>
      <c r="AR1348" s="133"/>
      <c r="AS1348" s="153">
        <v>0</v>
      </c>
      <c r="AT1348" s="153">
        <v>0</v>
      </c>
      <c r="AU1348" s="153">
        <v>0</v>
      </c>
      <c r="AV1348" s="135"/>
      <c r="AW1348" s="135"/>
      <c r="AX1348" s="135"/>
      <c r="AY1348" s="135"/>
      <c r="AZ1348" s="135"/>
      <c r="BA1348" s="135"/>
      <c r="BB1348" s="135"/>
      <c r="BC1348" s="135"/>
      <c r="BD1348" s="135"/>
      <c r="BE1348" s="135"/>
      <c r="BF1348" s="135"/>
      <c r="BG1348" s="135"/>
      <c r="BH1348" s="135"/>
      <c r="BI1348" s="2"/>
      <c r="BJ1348" s="136"/>
      <c r="BK1348" s="2"/>
      <c r="BL1348" s="136"/>
      <c r="BM1348" s="136"/>
      <c r="BN1348" s="2"/>
      <c r="BO1348" s="2"/>
      <c r="BP1348" s="136"/>
      <c r="BQ1348" s="137"/>
    </row>
    <row r="1349" spans="1:69" ht="12.75" customHeight="1" x14ac:dyDescent="0.2">
      <c r="A1349" s="2">
        <v>2838</v>
      </c>
      <c r="B1349" s="2"/>
      <c r="C1349" s="131"/>
      <c r="D1349" s="131"/>
      <c r="E1349" s="2"/>
      <c r="F1349" s="132">
        <v>0</v>
      </c>
      <c r="G1349" s="132"/>
      <c r="H1349" s="132">
        <f t="shared" si="157"/>
        <v>0</v>
      </c>
      <c r="I1349" s="132"/>
      <c r="J1349" s="132">
        <f t="shared" si="155"/>
        <v>0</v>
      </c>
      <c r="K1349" s="132">
        <f t="shared" si="158"/>
        <v>0</v>
      </c>
      <c r="L1349" s="132">
        <f t="shared" si="152"/>
        <v>0</v>
      </c>
      <c r="M1349" s="133"/>
      <c r="N1349" s="133">
        <f t="shared" si="156"/>
        <v>0</v>
      </c>
      <c r="O1349" s="134"/>
      <c r="P1349" s="133"/>
      <c r="Q1349" s="2"/>
      <c r="R1349" s="156">
        <f t="shared" si="153"/>
        <v>0</v>
      </c>
      <c r="S1349" s="156">
        <f t="shared" si="154"/>
        <v>0</v>
      </c>
      <c r="T1349" s="133"/>
      <c r="U1349" s="133"/>
      <c r="V1349" s="133"/>
      <c r="W1349" s="133"/>
      <c r="X1349" s="133"/>
      <c r="Y1349" s="133"/>
      <c r="Z1349" s="133"/>
      <c r="AA1349" s="133"/>
      <c r="AB1349" s="133"/>
      <c r="AC1349" s="133"/>
      <c r="AD1349" s="133"/>
      <c r="AE1349" s="133"/>
      <c r="AF1349" s="133"/>
      <c r="AG1349" s="133"/>
      <c r="AH1349" s="133"/>
      <c r="AI1349" s="133"/>
      <c r="AJ1349" s="133"/>
      <c r="AK1349" s="133"/>
      <c r="AL1349" s="133"/>
      <c r="AM1349" s="133"/>
      <c r="AN1349" s="133"/>
      <c r="AO1349" s="133"/>
      <c r="AP1349" s="133"/>
      <c r="AQ1349" s="133"/>
      <c r="AR1349" s="133"/>
      <c r="AS1349" s="153">
        <v>0</v>
      </c>
      <c r="AT1349" s="153">
        <v>0</v>
      </c>
      <c r="AU1349" s="153">
        <v>0</v>
      </c>
      <c r="AV1349" s="135"/>
      <c r="AW1349" s="135"/>
      <c r="AX1349" s="135"/>
      <c r="AY1349" s="135"/>
      <c r="AZ1349" s="135"/>
      <c r="BA1349" s="135"/>
      <c r="BB1349" s="135"/>
      <c r="BC1349" s="135"/>
      <c r="BD1349" s="135"/>
      <c r="BE1349" s="135"/>
      <c r="BF1349" s="135"/>
      <c r="BG1349" s="135"/>
      <c r="BH1349" s="135"/>
      <c r="BI1349" s="2"/>
      <c r="BJ1349" s="136"/>
      <c r="BK1349" s="2"/>
      <c r="BL1349" s="136"/>
      <c r="BM1349" s="136"/>
      <c r="BN1349" s="2"/>
      <c r="BO1349" s="2"/>
      <c r="BP1349" s="136"/>
      <c r="BQ1349" s="137"/>
    </row>
    <row r="1350" spans="1:69" ht="12.75" customHeight="1" x14ac:dyDescent="0.2">
      <c r="A1350" s="2">
        <v>2839</v>
      </c>
      <c r="B1350" s="2"/>
      <c r="C1350" s="131"/>
      <c r="D1350" s="131"/>
      <c r="E1350" s="2"/>
      <c r="F1350" s="132">
        <v>0</v>
      </c>
      <c r="G1350" s="132"/>
      <c r="H1350" s="132">
        <f t="shared" si="157"/>
        <v>0</v>
      </c>
      <c r="I1350" s="132"/>
      <c r="J1350" s="132">
        <f t="shared" si="155"/>
        <v>0</v>
      </c>
      <c r="K1350" s="132">
        <f t="shared" si="158"/>
        <v>0</v>
      </c>
      <c r="L1350" s="132">
        <f t="shared" si="152"/>
        <v>0</v>
      </c>
      <c r="M1350" s="133"/>
      <c r="N1350" s="133">
        <f t="shared" si="156"/>
        <v>0</v>
      </c>
      <c r="O1350" s="134"/>
      <c r="P1350" s="133"/>
      <c r="Q1350" s="2"/>
      <c r="R1350" s="156">
        <f t="shared" si="153"/>
        <v>0</v>
      </c>
      <c r="S1350" s="156">
        <f t="shared" si="154"/>
        <v>0</v>
      </c>
      <c r="T1350" s="133"/>
      <c r="U1350" s="133"/>
      <c r="V1350" s="133"/>
      <c r="W1350" s="133"/>
      <c r="X1350" s="133"/>
      <c r="Y1350" s="133"/>
      <c r="Z1350" s="133"/>
      <c r="AA1350" s="133"/>
      <c r="AB1350" s="133"/>
      <c r="AC1350" s="133"/>
      <c r="AD1350" s="133"/>
      <c r="AE1350" s="133"/>
      <c r="AF1350" s="133"/>
      <c r="AG1350" s="133"/>
      <c r="AH1350" s="133"/>
      <c r="AI1350" s="133"/>
      <c r="AJ1350" s="133"/>
      <c r="AK1350" s="133"/>
      <c r="AL1350" s="133"/>
      <c r="AM1350" s="133"/>
      <c r="AN1350" s="133"/>
      <c r="AO1350" s="133"/>
      <c r="AP1350" s="133"/>
      <c r="AQ1350" s="133"/>
      <c r="AR1350" s="133"/>
      <c r="AS1350" s="153">
        <v>0</v>
      </c>
      <c r="AT1350" s="153">
        <v>0</v>
      </c>
      <c r="AU1350" s="153">
        <v>0</v>
      </c>
      <c r="AV1350" s="135"/>
      <c r="AW1350" s="135"/>
      <c r="AX1350" s="135"/>
      <c r="AY1350" s="135"/>
      <c r="AZ1350" s="135"/>
      <c r="BA1350" s="135"/>
      <c r="BB1350" s="135"/>
      <c r="BC1350" s="135"/>
      <c r="BD1350" s="135"/>
      <c r="BE1350" s="135"/>
      <c r="BF1350" s="135"/>
      <c r="BG1350" s="135"/>
      <c r="BH1350" s="135"/>
      <c r="BI1350" s="2"/>
      <c r="BJ1350" s="136"/>
      <c r="BK1350" s="2"/>
      <c r="BL1350" s="136"/>
      <c r="BM1350" s="136"/>
      <c r="BN1350" s="2"/>
      <c r="BO1350" s="2"/>
      <c r="BP1350" s="136"/>
      <c r="BQ1350" s="137"/>
    </row>
    <row r="1351" spans="1:69" ht="12.75" customHeight="1" x14ac:dyDescent="0.2">
      <c r="A1351" s="2">
        <v>2840</v>
      </c>
      <c r="B1351" s="2"/>
      <c r="C1351" s="131"/>
      <c r="D1351" s="131"/>
      <c r="E1351" s="2"/>
      <c r="F1351" s="132">
        <v>0</v>
      </c>
      <c r="G1351" s="132"/>
      <c r="H1351" s="132">
        <f t="shared" si="157"/>
        <v>0</v>
      </c>
      <c r="I1351" s="132"/>
      <c r="J1351" s="132">
        <f t="shared" si="155"/>
        <v>0</v>
      </c>
      <c r="K1351" s="132">
        <f t="shared" si="158"/>
        <v>0</v>
      </c>
      <c r="L1351" s="132">
        <f t="shared" si="152"/>
        <v>0</v>
      </c>
      <c r="M1351" s="133"/>
      <c r="N1351" s="133">
        <f t="shared" si="156"/>
        <v>0</v>
      </c>
      <c r="O1351" s="134"/>
      <c r="P1351" s="133"/>
      <c r="Q1351" s="2"/>
      <c r="R1351" s="156">
        <f t="shared" si="153"/>
        <v>0</v>
      </c>
      <c r="S1351" s="156">
        <f t="shared" si="154"/>
        <v>0</v>
      </c>
      <c r="T1351" s="133"/>
      <c r="U1351" s="133"/>
      <c r="V1351" s="133"/>
      <c r="W1351" s="133"/>
      <c r="X1351" s="133"/>
      <c r="Y1351" s="133"/>
      <c r="Z1351" s="133"/>
      <c r="AA1351" s="133"/>
      <c r="AB1351" s="133"/>
      <c r="AC1351" s="133"/>
      <c r="AD1351" s="133"/>
      <c r="AE1351" s="133"/>
      <c r="AF1351" s="133"/>
      <c r="AG1351" s="133"/>
      <c r="AH1351" s="133"/>
      <c r="AI1351" s="133"/>
      <c r="AJ1351" s="133"/>
      <c r="AK1351" s="133"/>
      <c r="AL1351" s="133"/>
      <c r="AM1351" s="133"/>
      <c r="AN1351" s="133"/>
      <c r="AO1351" s="133"/>
      <c r="AP1351" s="133"/>
      <c r="AQ1351" s="133"/>
      <c r="AR1351" s="133"/>
      <c r="AS1351" s="153">
        <v>0</v>
      </c>
      <c r="AT1351" s="153">
        <v>0</v>
      </c>
      <c r="AU1351" s="153">
        <v>0</v>
      </c>
      <c r="AV1351" s="135"/>
      <c r="AW1351" s="135"/>
      <c r="AX1351" s="135"/>
      <c r="AY1351" s="135"/>
      <c r="AZ1351" s="135"/>
      <c r="BA1351" s="135"/>
      <c r="BB1351" s="135"/>
      <c r="BC1351" s="135"/>
      <c r="BD1351" s="135"/>
      <c r="BE1351" s="135"/>
      <c r="BF1351" s="135"/>
      <c r="BG1351" s="135"/>
      <c r="BH1351" s="135"/>
      <c r="BI1351" s="2"/>
      <c r="BJ1351" s="136"/>
      <c r="BK1351" s="2"/>
      <c r="BL1351" s="136"/>
      <c r="BM1351" s="136"/>
      <c r="BN1351" s="2"/>
      <c r="BO1351" s="2"/>
      <c r="BP1351" s="136"/>
      <c r="BQ1351" s="137"/>
    </row>
    <row r="1352" spans="1:69" ht="12.75" customHeight="1" x14ac:dyDescent="0.2">
      <c r="A1352" s="2">
        <v>2841</v>
      </c>
      <c r="B1352" s="2"/>
      <c r="C1352" s="131"/>
      <c r="D1352" s="131"/>
      <c r="E1352" s="2"/>
      <c r="F1352" s="132">
        <v>0</v>
      </c>
      <c r="G1352" s="132"/>
      <c r="H1352" s="132">
        <f t="shared" si="157"/>
        <v>0</v>
      </c>
      <c r="I1352" s="132"/>
      <c r="J1352" s="132">
        <f t="shared" si="155"/>
        <v>0</v>
      </c>
      <c r="K1352" s="132">
        <f t="shared" si="158"/>
        <v>0</v>
      </c>
      <c r="L1352" s="132">
        <f t="shared" si="152"/>
        <v>0</v>
      </c>
      <c r="M1352" s="133"/>
      <c r="N1352" s="133">
        <f t="shared" si="156"/>
        <v>0</v>
      </c>
      <c r="O1352" s="134"/>
      <c r="P1352" s="133"/>
      <c r="Q1352" s="2"/>
      <c r="R1352" s="156">
        <f t="shared" si="153"/>
        <v>0</v>
      </c>
      <c r="S1352" s="156">
        <f t="shared" si="154"/>
        <v>0</v>
      </c>
      <c r="T1352" s="133"/>
      <c r="U1352" s="133"/>
      <c r="V1352" s="133"/>
      <c r="W1352" s="133"/>
      <c r="X1352" s="133"/>
      <c r="Y1352" s="133"/>
      <c r="Z1352" s="133"/>
      <c r="AA1352" s="133"/>
      <c r="AB1352" s="133"/>
      <c r="AC1352" s="133"/>
      <c r="AD1352" s="133"/>
      <c r="AE1352" s="133"/>
      <c r="AF1352" s="133"/>
      <c r="AG1352" s="133"/>
      <c r="AH1352" s="133"/>
      <c r="AI1352" s="133"/>
      <c r="AJ1352" s="133"/>
      <c r="AK1352" s="133"/>
      <c r="AL1352" s="133"/>
      <c r="AM1352" s="133"/>
      <c r="AN1352" s="133"/>
      <c r="AO1352" s="133"/>
      <c r="AP1352" s="133"/>
      <c r="AQ1352" s="133"/>
      <c r="AR1352" s="133"/>
      <c r="AS1352" s="153">
        <v>0</v>
      </c>
      <c r="AT1352" s="153">
        <v>0</v>
      </c>
      <c r="AU1352" s="153">
        <v>0</v>
      </c>
      <c r="AV1352" s="135"/>
      <c r="AW1352" s="135"/>
      <c r="AX1352" s="135"/>
      <c r="AY1352" s="135"/>
      <c r="AZ1352" s="135"/>
      <c r="BA1352" s="135"/>
      <c r="BB1352" s="135"/>
      <c r="BC1352" s="135"/>
      <c r="BD1352" s="135"/>
      <c r="BE1352" s="135"/>
      <c r="BF1352" s="135"/>
      <c r="BG1352" s="135"/>
      <c r="BH1352" s="135"/>
      <c r="BI1352" s="2"/>
      <c r="BJ1352" s="136"/>
      <c r="BK1352" s="2"/>
      <c r="BL1352" s="136"/>
      <c r="BM1352" s="136"/>
      <c r="BN1352" s="2"/>
      <c r="BO1352" s="2"/>
      <c r="BP1352" s="136"/>
      <c r="BQ1352" s="137"/>
    </row>
    <row r="1353" spans="1:69" ht="12.75" customHeight="1" x14ac:dyDescent="0.2">
      <c r="A1353" s="2">
        <v>2842</v>
      </c>
      <c r="B1353" s="2"/>
      <c r="C1353" s="131"/>
      <c r="D1353" s="131"/>
      <c r="E1353" s="2"/>
      <c r="F1353" s="132">
        <v>0</v>
      </c>
      <c r="G1353" s="132"/>
      <c r="H1353" s="132">
        <f t="shared" si="157"/>
        <v>0</v>
      </c>
      <c r="I1353" s="132"/>
      <c r="J1353" s="132">
        <f t="shared" si="155"/>
        <v>0</v>
      </c>
      <c r="K1353" s="132">
        <f t="shared" si="158"/>
        <v>0</v>
      </c>
      <c r="L1353" s="132">
        <f t="shared" si="152"/>
        <v>0</v>
      </c>
      <c r="M1353" s="133"/>
      <c r="N1353" s="133">
        <f t="shared" si="156"/>
        <v>0</v>
      </c>
      <c r="O1353" s="134"/>
      <c r="P1353" s="133"/>
      <c r="Q1353" s="2"/>
      <c r="R1353" s="156">
        <f t="shared" si="153"/>
        <v>0</v>
      </c>
      <c r="S1353" s="156">
        <f t="shared" si="154"/>
        <v>0</v>
      </c>
      <c r="T1353" s="133"/>
      <c r="U1353" s="133"/>
      <c r="V1353" s="133"/>
      <c r="W1353" s="133"/>
      <c r="X1353" s="133"/>
      <c r="Y1353" s="133"/>
      <c r="Z1353" s="133"/>
      <c r="AA1353" s="133"/>
      <c r="AB1353" s="133"/>
      <c r="AC1353" s="133"/>
      <c r="AD1353" s="133"/>
      <c r="AE1353" s="133"/>
      <c r="AF1353" s="133"/>
      <c r="AG1353" s="133"/>
      <c r="AH1353" s="133"/>
      <c r="AI1353" s="133"/>
      <c r="AJ1353" s="133"/>
      <c r="AK1353" s="133"/>
      <c r="AL1353" s="133"/>
      <c r="AM1353" s="133"/>
      <c r="AN1353" s="133"/>
      <c r="AO1353" s="133"/>
      <c r="AP1353" s="133"/>
      <c r="AQ1353" s="133"/>
      <c r="AR1353" s="133"/>
      <c r="AS1353" s="153">
        <v>0</v>
      </c>
      <c r="AT1353" s="153">
        <v>0</v>
      </c>
      <c r="AU1353" s="153">
        <v>0</v>
      </c>
      <c r="AV1353" s="135"/>
      <c r="AW1353" s="135"/>
      <c r="AX1353" s="135"/>
      <c r="AY1353" s="135"/>
      <c r="AZ1353" s="135"/>
      <c r="BA1353" s="135"/>
      <c r="BB1353" s="135"/>
      <c r="BC1353" s="135"/>
      <c r="BD1353" s="135"/>
      <c r="BE1353" s="135"/>
      <c r="BF1353" s="135"/>
      <c r="BG1353" s="135"/>
      <c r="BH1353" s="135"/>
      <c r="BI1353" s="2"/>
      <c r="BJ1353" s="136"/>
      <c r="BK1353" s="2"/>
      <c r="BL1353" s="136"/>
      <c r="BM1353" s="136"/>
      <c r="BN1353" s="2"/>
      <c r="BO1353" s="2"/>
      <c r="BP1353" s="136"/>
      <c r="BQ1353" s="137"/>
    </row>
    <row r="1354" spans="1:69" ht="12.75" customHeight="1" x14ac:dyDescent="0.2">
      <c r="A1354" s="2">
        <v>2843</v>
      </c>
      <c r="B1354" s="2"/>
      <c r="C1354" s="131"/>
      <c r="D1354" s="131"/>
      <c r="E1354" s="2"/>
      <c r="F1354" s="132">
        <v>0</v>
      </c>
      <c r="G1354" s="132"/>
      <c r="H1354" s="132">
        <f t="shared" si="157"/>
        <v>0</v>
      </c>
      <c r="I1354" s="132"/>
      <c r="J1354" s="132">
        <f t="shared" si="155"/>
        <v>0</v>
      </c>
      <c r="K1354" s="132">
        <f t="shared" si="158"/>
        <v>0</v>
      </c>
      <c r="L1354" s="132">
        <f t="shared" si="152"/>
        <v>0</v>
      </c>
      <c r="M1354" s="133"/>
      <c r="N1354" s="133">
        <f t="shared" si="156"/>
        <v>0</v>
      </c>
      <c r="O1354" s="134"/>
      <c r="P1354" s="133"/>
      <c r="Q1354" s="2"/>
      <c r="R1354" s="156">
        <f t="shared" si="153"/>
        <v>0</v>
      </c>
      <c r="S1354" s="156">
        <f t="shared" si="154"/>
        <v>0</v>
      </c>
      <c r="T1354" s="133"/>
      <c r="U1354" s="133"/>
      <c r="V1354" s="133"/>
      <c r="W1354" s="133"/>
      <c r="X1354" s="133"/>
      <c r="Y1354" s="133"/>
      <c r="Z1354" s="133"/>
      <c r="AA1354" s="133"/>
      <c r="AB1354" s="133"/>
      <c r="AC1354" s="133"/>
      <c r="AD1354" s="133"/>
      <c r="AE1354" s="133"/>
      <c r="AF1354" s="133"/>
      <c r="AG1354" s="133"/>
      <c r="AH1354" s="133"/>
      <c r="AI1354" s="133"/>
      <c r="AJ1354" s="133"/>
      <c r="AK1354" s="133"/>
      <c r="AL1354" s="133"/>
      <c r="AM1354" s="133"/>
      <c r="AN1354" s="133"/>
      <c r="AO1354" s="133"/>
      <c r="AP1354" s="133"/>
      <c r="AQ1354" s="133"/>
      <c r="AR1354" s="133"/>
      <c r="AS1354" s="153">
        <v>0</v>
      </c>
      <c r="AT1354" s="153">
        <v>0</v>
      </c>
      <c r="AU1354" s="153">
        <v>0</v>
      </c>
      <c r="AV1354" s="135"/>
      <c r="AW1354" s="135"/>
      <c r="AX1354" s="135"/>
      <c r="AY1354" s="135"/>
      <c r="AZ1354" s="135"/>
      <c r="BA1354" s="135"/>
      <c r="BB1354" s="135"/>
      <c r="BC1354" s="135"/>
      <c r="BD1354" s="135"/>
      <c r="BE1354" s="135"/>
      <c r="BF1354" s="135"/>
      <c r="BG1354" s="135"/>
      <c r="BH1354" s="135"/>
      <c r="BI1354" s="2"/>
      <c r="BJ1354" s="136"/>
      <c r="BK1354" s="2"/>
      <c r="BL1354" s="136"/>
      <c r="BM1354" s="136"/>
      <c r="BN1354" s="2"/>
      <c r="BO1354" s="2"/>
      <c r="BP1354" s="136"/>
      <c r="BQ1354" s="137"/>
    </row>
    <row r="1355" spans="1:69" ht="12.75" customHeight="1" x14ac:dyDescent="0.2">
      <c r="A1355" s="2">
        <v>2844</v>
      </c>
      <c r="B1355" s="2"/>
      <c r="C1355" s="131"/>
      <c r="D1355" s="131"/>
      <c r="E1355" s="2"/>
      <c r="F1355" s="132">
        <v>0</v>
      </c>
      <c r="G1355" s="132"/>
      <c r="H1355" s="132">
        <f t="shared" si="157"/>
        <v>0</v>
      </c>
      <c r="I1355" s="132"/>
      <c r="J1355" s="132">
        <f t="shared" si="155"/>
        <v>0</v>
      </c>
      <c r="K1355" s="132">
        <f t="shared" si="158"/>
        <v>0</v>
      </c>
      <c r="L1355" s="132">
        <f t="shared" ref="L1355:L1418" si="159">H1355-J1355</f>
        <v>0</v>
      </c>
      <c r="M1355" s="133"/>
      <c r="N1355" s="133">
        <f t="shared" si="156"/>
        <v>0</v>
      </c>
      <c r="O1355" s="134"/>
      <c r="P1355" s="133"/>
      <c r="Q1355" s="2"/>
      <c r="R1355" s="156">
        <f t="shared" ref="R1355:R1418" si="160">T1355+V1355+X1355+Z1355+AB1355+AD1355+AF1355+AH1355+AJ1355+AL1355+AN1355+AP1355</f>
        <v>0</v>
      </c>
      <c r="S1355" s="156">
        <f t="shared" ref="S1355:S1418" si="161">U1355+W1355+Y1355+AA1355+AC1355+AE1355+AG1355+AI1355+AK1355+AM1355+AO1355+AQ1355</f>
        <v>0</v>
      </c>
      <c r="T1355" s="133"/>
      <c r="U1355" s="133"/>
      <c r="V1355" s="133"/>
      <c r="W1355" s="133"/>
      <c r="X1355" s="133"/>
      <c r="Y1355" s="133"/>
      <c r="Z1355" s="133"/>
      <c r="AA1355" s="133"/>
      <c r="AB1355" s="133"/>
      <c r="AC1355" s="133"/>
      <c r="AD1355" s="133"/>
      <c r="AE1355" s="133"/>
      <c r="AF1355" s="133"/>
      <c r="AG1355" s="133"/>
      <c r="AH1355" s="133"/>
      <c r="AI1355" s="133"/>
      <c r="AJ1355" s="133"/>
      <c r="AK1355" s="133"/>
      <c r="AL1355" s="133"/>
      <c r="AM1355" s="133"/>
      <c r="AN1355" s="133"/>
      <c r="AO1355" s="133"/>
      <c r="AP1355" s="133"/>
      <c r="AQ1355" s="133"/>
      <c r="AR1355" s="133"/>
      <c r="AS1355" s="153">
        <v>0</v>
      </c>
      <c r="AT1355" s="153">
        <v>0</v>
      </c>
      <c r="AU1355" s="153">
        <v>0</v>
      </c>
      <c r="AV1355" s="135"/>
      <c r="AW1355" s="135"/>
      <c r="AX1355" s="135"/>
      <c r="AY1355" s="135"/>
      <c r="AZ1355" s="135"/>
      <c r="BA1355" s="135"/>
      <c r="BB1355" s="135"/>
      <c r="BC1355" s="135"/>
      <c r="BD1355" s="135"/>
      <c r="BE1355" s="135"/>
      <c r="BF1355" s="135"/>
      <c r="BG1355" s="135"/>
      <c r="BH1355" s="135"/>
      <c r="BI1355" s="2"/>
      <c r="BJ1355" s="136"/>
      <c r="BK1355" s="2"/>
      <c r="BL1355" s="136"/>
      <c r="BM1355" s="136"/>
      <c r="BN1355" s="2"/>
      <c r="BO1355" s="2"/>
      <c r="BP1355" s="136"/>
      <c r="BQ1355" s="137"/>
    </row>
    <row r="1356" spans="1:69" ht="12.75" customHeight="1" x14ac:dyDescent="0.2">
      <c r="A1356" s="2">
        <v>2845</v>
      </c>
      <c r="B1356" s="2"/>
      <c r="C1356" s="131"/>
      <c r="D1356" s="131"/>
      <c r="E1356" s="2"/>
      <c r="F1356" s="132">
        <v>0</v>
      </c>
      <c r="G1356" s="132"/>
      <c r="H1356" s="132">
        <f t="shared" si="157"/>
        <v>0</v>
      </c>
      <c r="I1356" s="132"/>
      <c r="J1356" s="132">
        <f t="shared" si="155"/>
        <v>0</v>
      </c>
      <c r="K1356" s="132">
        <f t="shared" si="158"/>
        <v>0</v>
      </c>
      <c r="L1356" s="132">
        <f t="shared" si="159"/>
        <v>0</v>
      </c>
      <c r="M1356" s="133"/>
      <c r="N1356" s="133">
        <f t="shared" si="156"/>
        <v>0</v>
      </c>
      <c r="O1356" s="134"/>
      <c r="P1356" s="133"/>
      <c r="Q1356" s="2"/>
      <c r="R1356" s="156">
        <f t="shared" si="160"/>
        <v>0</v>
      </c>
      <c r="S1356" s="156">
        <f t="shared" si="161"/>
        <v>0</v>
      </c>
      <c r="T1356" s="133"/>
      <c r="U1356" s="133"/>
      <c r="V1356" s="133"/>
      <c r="W1356" s="133"/>
      <c r="X1356" s="133"/>
      <c r="Y1356" s="133"/>
      <c r="Z1356" s="133"/>
      <c r="AA1356" s="133"/>
      <c r="AB1356" s="133"/>
      <c r="AC1356" s="133"/>
      <c r="AD1356" s="133"/>
      <c r="AE1356" s="133"/>
      <c r="AF1356" s="133"/>
      <c r="AG1356" s="133"/>
      <c r="AH1356" s="133"/>
      <c r="AI1356" s="133"/>
      <c r="AJ1356" s="133"/>
      <c r="AK1356" s="133"/>
      <c r="AL1356" s="133"/>
      <c r="AM1356" s="133"/>
      <c r="AN1356" s="133"/>
      <c r="AO1356" s="133"/>
      <c r="AP1356" s="133"/>
      <c r="AQ1356" s="133"/>
      <c r="AR1356" s="133"/>
      <c r="AS1356" s="153">
        <v>0</v>
      </c>
      <c r="AT1356" s="153">
        <v>0</v>
      </c>
      <c r="AU1356" s="153">
        <v>0</v>
      </c>
      <c r="AV1356" s="135"/>
      <c r="AW1356" s="135"/>
      <c r="AX1356" s="135"/>
      <c r="AY1356" s="135"/>
      <c r="AZ1356" s="135"/>
      <c r="BA1356" s="135"/>
      <c r="BB1356" s="135"/>
      <c r="BC1356" s="135"/>
      <c r="BD1356" s="135"/>
      <c r="BE1356" s="135"/>
      <c r="BF1356" s="135"/>
      <c r="BG1356" s="135"/>
      <c r="BH1356" s="135"/>
      <c r="BI1356" s="2"/>
      <c r="BJ1356" s="136"/>
      <c r="BK1356" s="2"/>
      <c r="BL1356" s="136"/>
      <c r="BM1356" s="136"/>
      <c r="BN1356" s="2"/>
      <c r="BO1356" s="2"/>
      <c r="BP1356" s="136"/>
      <c r="BQ1356" s="137"/>
    </row>
    <row r="1357" spans="1:69" ht="12.75" customHeight="1" x14ac:dyDescent="0.2">
      <c r="A1357" s="2">
        <v>2846</v>
      </c>
      <c r="B1357" s="2"/>
      <c r="C1357" s="131"/>
      <c r="D1357" s="131"/>
      <c r="E1357" s="2"/>
      <c r="F1357" s="132">
        <v>0</v>
      </c>
      <c r="G1357" s="132"/>
      <c r="H1357" s="132">
        <f t="shared" si="157"/>
        <v>0</v>
      </c>
      <c r="I1357" s="132"/>
      <c r="J1357" s="132">
        <f t="shared" si="155"/>
        <v>0</v>
      </c>
      <c r="K1357" s="132">
        <f t="shared" si="158"/>
        <v>0</v>
      </c>
      <c r="L1357" s="132">
        <f t="shared" si="159"/>
        <v>0</v>
      </c>
      <c r="M1357" s="133"/>
      <c r="N1357" s="133">
        <f t="shared" si="156"/>
        <v>0</v>
      </c>
      <c r="O1357" s="134"/>
      <c r="P1357" s="133"/>
      <c r="Q1357" s="2"/>
      <c r="R1357" s="156">
        <f t="shared" si="160"/>
        <v>0</v>
      </c>
      <c r="S1357" s="156">
        <f t="shared" si="161"/>
        <v>0</v>
      </c>
      <c r="T1357" s="133"/>
      <c r="U1357" s="133"/>
      <c r="V1357" s="133"/>
      <c r="W1357" s="133"/>
      <c r="X1357" s="133"/>
      <c r="Y1357" s="133"/>
      <c r="Z1357" s="133"/>
      <c r="AA1357" s="133"/>
      <c r="AB1357" s="133"/>
      <c r="AC1357" s="133"/>
      <c r="AD1357" s="133"/>
      <c r="AE1357" s="133"/>
      <c r="AF1357" s="133"/>
      <c r="AG1357" s="133"/>
      <c r="AH1357" s="133"/>
      <c r="AI1357" s="133"/>
      <c r="AJ1357" s="133"/>
      <c r="AK1357" s="133"/>
      <c r="AL1357" s="133"/>
      <c r="AM1357" s="133"/>
      <c r="AN1357" s="133"/>
      <c r="AO1357" s="133"/>
      <c r="AP1357" s="133"/>
      <c r="AQ1357" s="133"/>
      <c r="AR1357" s="133"/>
      <c r="AS1357" s="153">
        <v>0</v>
      </c>
      <c r="AT1357" s="153">
        <v>0</v>
      </c>
      <c r="AU1357" s="153">
        <v>0</v>
      </c>
      <c r="AV1357" s="135"/>
      <c r="AW1357" s="135"/>
      <c r="AX1357" s="135"/>
      <c r="AY1357" s="135"/>
      <c r="AZ1357" s="135"/>
      <c r="BA1357" s="135"/>
      <c r="BB1357" s="135"/>
      <c r="BC1357" s="135"/>
      <c r="BD1357" s="135"/>
      <c r="BE1357" s="135"/>
      <c r="BF1357" s="135"/>
      <c r="BG1357" s="135"/>
      <c r="BH1357" s="135"/>
      <c r="BI1357" s="2"/>
      <c r="BJ1357" s="136"/>
      <c r="BK1357" s="2"/>
      <c r="BL1357" s="136"/>
      <c r="BM1357" s="136"/>
      <c r="BN1357" s="2"/>
      <c r="BO1357" s="2"/>
      <c r="BP1357" s="136"/>
      <c r="BQ1357" s="137"/>
    </row>
    <row r="1358" spans="1:69" ht="12.75" customHeight="1" x14ac:dyDescent="0.2">
      <c r="A1358" s="2">
        <v>2847</v>
      </c>
      <c r="B1358" s="2"/>
      <c r="C1358" s="131"/>
      <c r="D1358" s="131"/>
      <c r="E1358" s="2"/>
      <c r="F1358" s="132">
        <v>0</v>
      </c>
      <c r="G1358" s="132"/>
      <c r="H1358" s="132">
        <f t="shared" si="157"/>
        <v>0</v>
      </c>
      <c r="I1358" s="132"/>
      <c r="J1358" s="132">
        <f t="shared" si="155"/>
        <v>0</v>
      </c>
      <c r="K1358" s="132">
        <f t="shared" si="158"/>
        <v>0</v>
      </c>
      <c r="L1358" s="132">
        <f t="shared" si="159"/>
        <v>0</v>
      </c>
      <c r="M1358" s="133"/>
      <c r="N1358" s="133">
        <f t="shared" si="156"/>
        <v>0</v>
      </c>
      <c r="O1358" s="134"/>
      <c r="P1358" s="133"/>
      <c r="Q1358" s="2"/>
      <c r="R1358" s="156">
        <f t="shared" si="160"/>
        <v>0</v>
      </c>
      <c r="S1358" s="156">
        <f t="shared" si="161"/>
        <v>0</v>
      </c>
      <c r="T1358" s="133"/>
      <c r="U1358" s="133"/>
      <c r="V1358" s="133"/>
      <c r="W1358" s="133"/>
      <c r="X1358" s="133"/>
      <c r="Y1358" s="133"/>
      <c r="Z1358" s="133"/>
      <c r="AA1358" s="133"/>
      <c r="AB1358" s="133"/>
      <c r="AC1358" s="133"/>
      <c r="AD1358" s="133"/>
      <c r="AE1358" s="133"/>
      <c r="AF1358" s="133"/>
      <c r="AG1358" s="133"/>
      <c r="AH1358" s="133"/>
      <c r="AI1358" s="133"/>
      <c r="AJ1358" s="133"/>
      <c r="AK1358" s="133"/>
      <c r="AL1358" s="133"/>
      <c r="AM1358" s="133"/>
      <c r="AN1358" s="133"/>
      <c r="AO1358" s="133"/>
      <c r="AP1358" s="133"/>
      <c r="AQ1358" s="133"/>
      <c r="AR1358" s="133"/>
      <c r="AS1358" s="153">
        <v>0</v>
      </c>
      <c r="AT1358" s="153">
        <v>0</v>
      </c>
      <c r="AU1358" s="153">
        <v>0</v>
      </c>
      <c r="AV1358" s="135"/>
      <c r="AW1358" s="135"/>
      <c r="AX1358" s="135"/>
      <c r="AY1358" s="135"/>
      <c r="AZ1358" s="135"/>
      <c r="BA1358" s="135"/>
      <c r="BB1358" s="135"/>
      <c r="BC1358" s="135"/>
      <c r="BD1358" s="135"/>
      <c r="BE1358" s="135"/>
      <c r="BF1358" s="135"/>
      <c r="BG1358" s="135"/>
      <c r="BH1358" s="135"/>
      <c r="BI1358" s="2"/>
      <c r="BJ1358" s="136"/>
      <c r="BK1358" s="2"/>
      <c r="BL1358" s="136"/>
      <c r="BM1358" s="136"/>
      <c r="BN1358" s="2"/>
      <c r="BO1358" s="2"/>
      <c r="BP1358" s="136"/>
      <c r="BQ1358" s="137"/>
    </row>
    <row r="1359" spans="1:69" ht="12.75" customHeight="1" x14ac:dyDescent="0.2">
      <c r="A1359" s="2">
        <v>2848</v>
      </c>
      <c r="B1359" s="2"/>
      <c r="C1359" s="131"/>
      <c r="D1359" s="131"/>
      <c r="E1359" s="2"/>
      <c r="F1359" s="132">
        <v>0</v>
      </c>
      <c r="G1359" s="132"/>
      <c r="H1359" s="132">
        <f t="shared" si="157"/>
        <v>0</v>
      </c>
      <c r="I1359" s="132"/>
      <c r="J1359" s="132">
        <f t="shared" si="155"/>
        <v>0</v>
      </c>
      <c r="K1359" s="132">
        <f t="shared" si="158"/>
        <v>0</v>
      </c>
      <c r="L1359" s="132">
        <f t="shared" si="159"/>
        <v>0</v>
      </c>
      <c r="M1359" s="133"/>
      <c r="N1359" s="133">
        <f t="shared" si="156"/>
        <v>0</v>
      </c>
      <c r="O1359" s="134"/>
      <c r="P1359" s="133"/>
      <c r="Q1359" s="2"/>
      <c r="R1359" s="156">
        <f t="shared" si="160"/>
        <v>0</v>
      </c>
      <c r="S1359" s="156">
        <f t="shared" si="161"/>
        <v>0</v>
      </c>
      <c r="T1359" s="133"/>
      <c r="U1359" s="133"/>
      <c r="V1359" s="133"/>
      <c r="W1359" s="133"/>
      <c r="X1359" s="133"/>
      <c r="Y1359" s="133"/>
      <c r="Z1359" s="133"/>
      <c r="AA1359" s="133"/>
      <c r="AB1359" s="133"/>
      <c r="AC1359" s="133"/>
      <c r="AD1359" s="133"/>
      <c r="AE1359" s="133"/>
      <c r="AF1359" s="133"/>
      <c r="AG1359" s="133"/>
      <c r="AH1359" s="133"/>
      <c r="AI1359" s="133"/>
      <c r="AJ1359" s="133"/>
      <c r="AK1359" s="133"/>
      <c r="AL1359" s="133"/>
      <c r="AM1359" s="133"/>
      <c r="AN1359" s="133"/>
      <c r="AO1359" s="133"/>
      <c r="AP1359" s="133"/>
      <c r="AQ1359" s="133"/>
      <c r="AR1359" s="133"/>
      <c r="AS1359" s="153">
        <v>0</v>
      </c>
      <c r="AT1359" s="153">
        <v>0</v>
      </c>
      <c r="AU1359" s="153">
        <v>0</v>
      </c>
      <c r="AV1359" s="135"/>
      <c r="AW1359" s="135"/>
      <c r="AX1359" s="135"/>
      <c r="AY1359" s="135"/>
      <c r="AZ1359" s="135"/>
      <c r="BA1359" s="135"/>
      <c r="BB1359" s="135"/>
      <c r="BC1359" s="135"/>
      <c r="BD1359" s="135"/>
      <c r="BE1359" s="135"/>
      <c r="BF1359" s="135"/>
      <c r="BG1359" s="135"/>
      <c r="BH1359" s="135"/>
      <c r="BI1359" s="2"/>
      <c r="BJ1359" s="136"/>
      <c r="BK1359" s="2"/>
      <c r="BL1359" s="136"/>
      <c r="BM1359" s="136"/>
      <c r="BN1359" s="2"/>
      <c r="BO1359" s="2"/>
      <c r="BP1359" s="136"/>
      <c r="BQ1359" s="137"/>
    </row>
    <row r="1360" spans="1:69" ht="12.75" customHeight="1" x14ac:dyDescent="0.2">
      <c r="A1360" s="2">
        <v>2849</v>
      </c>
      <c r="B1360" s="2"/>
      <c r="C1360" s="131"/>
      <c r="D1360" s="131"/>
      <c r="E1360" s="2"/>
      <c r="F1360" s="132">
        <v>0</v>
      </c>
      <c r="G1360" s="132"/>
      <c r="H1360" s="132">
        <f t="shared" si="157"/>
        <v>0</v>
      </c>
      <c r="I1360" s="132"/>
      <c r="J1360" s="132">
        <f t="shared" si="155"/>
        <v>0</v>
      </c>
      <c r="K1360" s="132">
        <f t="shared" si="158"/>
        <v>0</v>
      </c>
      <c r="L1360" s="132">
        <f t="shared" si="159"/>
        <v>0</v>
      </c>
      <c r="M1360" s="133"/>
      <c r="N1360" s="133">
        <f t="shared" si="156"/>
        <v>0</v>
      </c>
      <c r="O1360" s="134"/>
      <c r="P1360" s="133"/>
      <c r="Q1360" s="2"/>
      <c r="R1360" s="156">
        <f t="shared" si="160"/>
        <v>0</v>
      </c>
      <c r="S1360" s="156">
        <f t="shared" si="161"/>
        <v>0</v>
      </c>
      <c r="T1360" s="133"/>
      <c r="U1360" s="133"/>
      <c r="V1360" s="133"/>
      <c r="W1360" s="133"/>
      <c r="X1360" s="133"/>
      <c r="Y1360" s="133"/>
      <c r="Z1360" s="133"/>
      <c r="AA1360" s="133"/>
      <c r="AB1360" s="133"/>
      <c r="AC1360" s="133"/>
      <c r="AD1360" s="133"/>
      <c r="AE1360" s="133"/>
      <c r="AF1360" s="133"/>
      <c r="AG1360" s="133"/>
      <c r="AH1360" s="133"/>
      <c r="AI1360" s="133"/>
      <c r="AJ1360" s="133"/>
      <c r="AK1360" s="133"/>
      <c r="AL1360" s="133"/>
      <c r="AM1360" s="133"/>
      <c r="AN1360" s="133"/>
      <c r="AO1360" s="133"/>
      <c r="AP1360" s="133"/>
      <c r="AQ1360" s="133"/>
      <c r="AR1360" s="133"/>
      <c r="AS1360" s="153">
        <v>0</v>
      </c>
      <c r="AT1360" s="153">
        <v>0</v>
      </c>
      <c r="AU1360" s="153">
        <v>0</v>
      </c>
      <c r="AV1360" s="135"/>
      <c r="AW1360" s="135"/>
      <c r="AX1360" s="135"/>
      <c r="AY1360" s="135"/>
      <c r="AZ1360" s="135"/>
      <c r="BA1360" s="135"/>
      <c r="BB1360" s="135"/>
      <c r="BC1360" s="135"/>
      <c r="BD1360" s="135"/>
      <c r="BE1360" s="135"/>
      <c r="BF1360" s="135"/>
      <c r="BG1360" s="135"/>
      <c r="BH1360" s="135"/>
      <c r="BI1360" s="2"/>
      <c r="BJ1360" s="136"/>
      <c r="BK1360" s="2"/>
      <c r="BL1360" s="136"/>
      <c r="BM1360" s="136"/>
      <c r="BN1360" s="2"/>
      <c r="BO1360" s="2"/>
      <c r="BP1360" s="136"/>
      <c r="BQ1360" s="137"/>
    </row>
    <row r="1361" spans="1:69" ht="12.75" customHeight="1" x14ac:dyDescent="0.2">
      <c r="A1361" s="2">
        <v>2850</v>
      </c>
      <c r="B1361" s="2"/>
      <c r="C1361" s="131"/>
      <c r="D1361" s="131"/>
      <c r="E1361" s="2"/>
      <c r="F1361" s="132">
        <v>0</v>
      </c>
      <c r="G1361" s="132"/>
      <c r="H1361" s="132">
        <f t="shared" si="157"/>
        <v>0</v>
      </c>
      <c r="I1361" s="132"/>
      <c r="J1361" s="132">
        <f t="shared" si="155"/>
        <v>0</v>
      </c>
      <c r="K1361" s="132">
        <f t="shared" si="158"/>
        <v>0</v>
      </c>
      <c r="L1361" s="132">
        <f t="shared" si="159"/>
        <v>0</v>
      </c>
      <c r="M1361" s="133"/>
      <c r="N1361" s="133">
        <f t="shared" si="156"/>
        <v>0</v>
      </c>
      <c r="O1361" s="134"/>
      <c r="P1361" s="133"/>
      <c r="Q1361" s="2"/>
      <c r="R1361" s="156">
        <f t="shared" si="160"/>
        <v>0</v>
      </c>
      <c r="S1361" s="156">
        <f t="shared" si="161"/>
        <v>0</v>
      </c>
      <c r="T1361" s="133"/>
      <c r="U1361" s="133"/>
      <c r="V1361" s="133"/>
      <c r="W1361" s="133"/>
      <c r="X1361" s="133"/>
      <c r="Y1361" s="133"/>
      <c r="Z1361" s="133"/>
      <c r="AA1361" s="133"/>
      <c r="AB1361" s="133"/>
      <c r="AC1361" s="133"/>
      <c r="AD1361" s="133"/>
      <c r="AE1361" s="133"/>
      <c r="AF1361" s="133"/>
      <c r="AG1361" s="133"/>
      <c r="AH1361" s="133"/>
      <c r="AI1361" s="133"/>
      <c r="AJ1361" s="133"/>
      <c r="AK1361" s="133"/>
      <c r="AL1361" s="133"/>
      <c r="AM1361" s="133"/>
      <c r="AN1361" s="133"/>
      <c r="AO1361" s="133"/>
      <c r="AP1361" s="133"/>
      <c r="AQ1361" s="133"/>
      <c r="AR1361" s="133"/>
      <c r="AS1361" s="153">
        <v>0</v>
      </c>
      <c r="AT1361" s="153">
        <v>0</v>
      </c>
      <c r="AU1361" s="153">
        <v>0</v>
      </c>
      <c r="AV1361" s="135"/>
      <c r="AW1361" s="135"/>
      <c r="AX1361" s="135"/>
      <c r="AY1361" s="135"/>
      <c r="AZ1361" s="135"/>
      <c r="BA1361" s="135"/>
      <c r="BB1361" s="135"/>
      <c r="BC1361" s="135"/>
      <c r="BD1361" s="135"/>
      <c r="BE1361" s="135"/>
      <c r="BF1361" s="135"/>
      <c r="BG1361" s="135"/>
      <c r="BH1361" s="135"/>
      <c r="BI1361" s="2"/>
      <c r="BJ1361" s="136"/>
      <c r="BK1361" s="2"/>
      <c r="BL1361" s="136"/>
      <c r="BM1361" s="136"/>
      <c r="BN1361" s="2"/>
      <c r="BO1361" s="2"/>
      <c r="BP1361" s="136"/>
      <c r="BQ1361" s="137"/>
    </row>
    <row r="1362" spans="1:69" ht="12.75" customHeight="1" x14ac:dyDescent="0.2">
      <c r="A1362" s="2">
        <v>2851</v>
      </c>
      <c r="B1362" s="2"/>
      <c r="C1362" s="131"/>
      <c r="D1362" s="131"/>
      <c r="E1362" s="2"/>
      <c r="F1362" s="132">
        <v>0</v>
      </c>
      <c r="G1362" s="132"/>
      <c r="H1362" s="132">
        <f t="shared" si="157"/>
        <v>0</v>
      </c>
      <c r="I1362" s="132"/>
      <c r="J1362" s="132">
        <f t="shared" si="155"/>
        <v>0</v>
      </c>
      <c r="K1362" s="132">
        <f t="shared" si="158"/>
        <v>0</v>
      </c>
      <c r="L1362" s="132">
        <f t="shared" si="159"/>
        <v>0</v>
      </c>
      <c r="M1362" s="133"/>
      <c r="N1362" s="133">
        <f t="shared" si="156"/>
        <v>0</v>
      </c>
      <c r="O1362" s="134"/>
      <c r="P1362" s="133"/>
      <c r="Q1362" s="2"/>
      <c r="R1362" s="156">
        <f t="shared" si="160"/>
        <v>0</v>
      </c>
      <c r="S1362" s="156">
        <f t="shared" si="161"/>
        <v>0</v>
      </c>
      <c r="T1362" s="133"/>
      <c r="U1362" s="133"/>
      <c r="V1362" s="133"/>
      <c r="W1362" s="133"/>
      <c r="X1362" s="133"/>
      <c r="Y1362" s="133"/>
      <c r="Z1362" s="133"/>
      <c r="AA1362" s="133"/>
      <c r="AB1362" s="133"/>
      <c r="AC1362" s="133"/>
      <c r="AD1362" s="133"/>
      <c r="AE1362" s="133"/>
      <c r="AF1362" s="133"/>
      <c r="AG1362" s="133"/>
      <c r="AH1362" s="133"/>
      <c r="AI1362" s="133"/>
      <c r="AJ1362" s="133"/>
      <c r="AK1362" s="133"/>
      <c r="AL1362" s="133"/>
      <c r="AM1362" s="133"/>
      <c r="AN1362" s="133"/>
      <c r="AO1362" s="133"/>
      <c r="AP1362" s="133"/>
      <c r="AQ1362" s="133"/>
      <c r="AR1362" s="133"/>
      <c r="AS1362" s="153">
        <v>0</v>
      </c>
      <c r="AT1362" s="153">
        <v>0</v>
      </c>
      <c r="AU1362" s="153">
        <v>0</v>
      </c>
      <c r="AV1362" s="135"/>
      <c r="AW1362" s="135"/>
      <c r="AX1362" s="135"/>
      <c r="AY1362" s="135"/>
      <c r="AZ1362" s="135"/>
      <c r="BA1362" s="135"/>
      <c r="BB1362" s="135"/>
      <c r="BC1362" s="135"/>
      <c r="BD1362" s="135"/>
      <c r="BE1362" s="135"/>
      <c r="BF1362" s="135"/>
      <c r="BG1362" s="135"/>
      <c r="BH1362" s="135"/>
      <c r="BI1362" s="2"/>
      <c r="BJ1362" s="136"/>
      <c r="BK1362" s="2"/>
      <c r="BL1362" s="136"/>
      <c r="BM1362" s="136"/>
      <c r="BN1362" s="2"/>
      <c r="BO1362" s="2"/>
      <c r="BP1362" s="136"/>
      <c r="BQ1362" s="137"/>
    </row>
    <row r="1363" spans="1:69" ht="12.75" customHeight="1" x14ac:dyDescent="0.2">
      <c r="A1363" s="2">
        <v>2852</v>
      </c>
      <c r="B1363" s="2"/>
      <c r="C1363" s="131"/>
      <c r="D1363" s="131"/>
      <c r="E1363" s="2"/>
      <c r="F1363" s="132">
        <v>0</v>
      </c>
      <c r="G1363" s="132"/>
      <c r="H1363" s="132">
        <f t="shared" si="157"/>
        <v>0</v>
      </c>
      <c r="I1363" s="132"/>
      <c r="J1363" s="132">
        <f t="shared" si="155"/>
        <v>0</v>
      </c>
      <c r="K1363" s="132">
        <f t="shared" si="158"/>
        <v>0</v>
      </c>
      <c r="L1363" s="132">
        <f t="shared" si="159"/>
        <v>0</v>
      </c>
      <c r="M1363" s="133"/>
      <c r="N1363" s="133">
        <f t="shared" si="156"/>
        <v>0</v>
      </c>
      <c r="O1363" s="134"/>
      <c r="P1363" s="133"/>
      <c r="Q1363" s="2"/>
      <c r="R1363" s="156">
        <f t="shared" si="160"/>
        <v>0</v>
      </c>
      <c r="S1363" s="156">
        <f t="shared" si="161"/>
        <v>0</v>
      </c>
      <c r="T1363" s="133"/>
      <c r="U1363" s="133"/>
      <c r="V1363" s="133"/>
      <c r="W1363" s="133"/>
      <c r="X1363" s="133"/>
      <c r="Y1363" s="133"/>
      <c r="Z1363" s="133"/>
      <c r="AA1363" s="133"/>
      <c r="AB1363" s="133"/>
      <c r="AC1363" s="133"/>
      <c r="AD1363" s="133"/>
      <c r="AE1363" s="133"/>
      <c r="AF1363" s="133"/>
      <c r="AG1363" s="133"/>
      <c r="AH1363" s="133"/>
      <c r="AI1363" s="133"/>
      <c r="AJ1363" s="133"/>
      <c r="AK1363" s="133"/>
      <c r="AL1363" s="133"/>
      <c r="AM1363" s="133"/>
      <c r="AN1363" s="133"/>
      <c r="AO1363" s="133"/>
      <c r="AP1363" s="133"/>
      <c r="AQ1363" s="133"/>
      <c r="AR1363" s="133"/>
      <c r="AS1363" s="153">
        <v>0</v>
      </c>
      <c r="AT1363" s="153">
        <v>0</v>
      </c>
      <c r="AU1363" s="153">
        <v>0</v>
      </c>
      <c r="AV1363" s="135"/>
      <c r="AW1363" s="135"/>
      <c r="AX1363" s="135"/>
      <c r="AY1363" s="135"/>
      <c r="AZ1363" s="135"/>
      <c r="BA1363" s="135"/>
      <c r="BB1363" s="135"/>
      <c r="BC1363" s="135"/>
      <c r="BD1363" s="135"/>
      <c r="BE1363" s="135"/>
      <c r="BF1363" s="135"/>
      <c r="BG1363" s="135"/>
      <c r="BH1363" s="135"/>
      <c r="BI1363" s="2"/>
      <c r="BJ1363" s="136"/>
      <c r="BK1363" s="2"/>
      <c r="BL1363" s="136"/>
      <c r="BM1363" s="136"/>
      <c r="BN1363" s="2"/>
      <c r="BO1363" s="2"/>
      <c r="BP1363" s="136"/>
      <c r="BQ1363" s="137"/>
    </row>
    <row r="1364" spans="1:69" ht="12.75" customHeight="1" x14ac:dyDescent="0.2">
      <c r="A1364" s="2">
        <v>2853</v>
      </c>
      <c r="B1364" s="2"/>
      <c r="C1364" s="131"/>
      <c r="D1364" s="131"/>
      <c r="E1364" s="2"/>
      <c r="F1364" s="132">
        <v>0</v>
      </c>
      <c r="G1364" s="132"/>
      <c r="H1364" s="132">
        <f t="shared" si="157"/>
        <v>0</v>
      </c>
      <c r="I1364" s="132"/>
      <c r="J1364" s="132">
        <f t="shared" si="155"/>
        <v>0</v>
      </c>
      <c r="K1364" s="132">
        <f t="shared" si="158"/>
        <v>0</v>
      </c>
      <c r="L1364" s="132">
        <f t="shared" si="159"/>
        <v>0</v>
      </c>
      <c r="M1364" s="133"/>
      <c r="N1364" s="133">
        <f t="shared" si="156"/>
        <v>0</v>
      </c>
      <c r="O1364" s="134"/>
      <c r="P1364" s="133"/>
      <c r="Q1364" s="2"/>
      <c r="R1364" s="156">
        <f t="shared" si="160"/>
        <v>0</v>
      </c>
      <c r="S1364" s="156">
        <f t="shared" si="161"/>
        <v>0</v>
      </c>
      <c r="T1364" s="133"/>
      <c r="U1364" s="133"/>
      <c r="V1364" s="133"/>
      <c r="W1364" s="133"/>
      <c r="X1364" s="133"/>
      <c r="Y1364" s="133"/>
      <c r="Z1364" s="133"/>
      <c r="AA1364" s="133"/>
      <c r="AB1364" s="133"/>
      <c r="AC1364" s="133"/>
      <c r="AD1364" s="133"/>
      <c r="AE1364" s="133"/>
      <c r="AF1364" s="133"/>
      <c r="AG1364" s="133"/>
      <c r="AH1364" s="133"/>
      <c r="AI1364" s="133"/>
      <c r="AJ1364" s="133"/>
      <c r="AK1364" s="133"/>
      <c r="AL1364" s="133"/>
      <c r="AM1364" s="133"/>
      <c r="AN1364" s="133"/>
      <c r="AO1364" s="133"/>
      <c r="AP1364" s="133"/>
      <c r="AQ1364" s="133"/>
      <c r="AR1364" s="133"/>
      <c r="AS1364" s="153">
        <v>0</v>
      </c>
      <c r="AT1364" s="153">
        <v>0</v>
      </c>
      <c r="AU1364" s="153">
        <v>0</v>
      </c>
      <c r="AV1364" s="135"/>
      <c r="AW1364" s="135"/>
      <c r="AX1364" s="135"/>
      <c r="AY1364" s="135"/>
      <c r="AZ1364" s="135"/>
      <c r="BA1364" s="135"/>
      <c r="BB1364" s="135"/>
      <c r="BC1364" s="135"/>
      <c r="BD1364" s="135"/>
      <c r="BE1364" s="135"/>
      <c r="BF1364" s="135"/>
      <c r="BG1364" s="135"/>
      <c r="BH1364" s="135"/>
      <c r="BI1364" s="2"/>
      <c r="BJ1364" s="136"/>
      <c r="BK1364" s="2"/>
      <c r="BL1364" s="136"/>
      <c r="BM1364" s="136"/>
      <c r="BN1364" s="2"/>
      <c r="BO1364" s="2"/>
      <c r="BP1364" s="136"/>
      <c r="BQ1364" s="137"/>
    </row>
    <row r="1365" spans="1:69" ht="12.75" customHeight="1" x14ac:dyDescent="0.2">
      <c r="A1365" s="2">
        <v>2854</v>
      </c>
      <c r="B1365" s="2"/>
      <c r="C1365" s="131"/>
      <c r="D1365" s="131"/>
      <c r="E1365" s="2"/>
      <c r="F1365" s="132">
        <v>0</v>
      </c>
      <c r="G1365" s="132"/>
      <c r="H1365" s="132">
        <f t="shared" si="157"/>
        <v>0</v>
      </c>
      <c r="I1365" s="132"/>
      <c r="J1365" s="132">
        <f t="shared" si="155"/>
        <v>0</v>
      </c>
      <c r="K1365" s="132">
        <f t="shared" si="158"/>
        <v>0</v>
      </c>
      <c r="L1365" s="132">
        <f t="shared" si="159"/>
        <v>0</v>
      </c>
      <c r="M1365" s="133"/>
      <c r="N1365" s="133">
        <f t="shared" si="156"/>
        <v>0</v>
      </c>
      <c r="O1365" s="134"/>
      <c r="P1365" s="133"/>
      <c r="Q1365" s="2"/>
      <c r="R1365" s="156">
        <f t="shared" si="160"/>
        <v>0</v>
      </c>
      <c r="S1365" s="156">
        <f t="shared" si="161"/>
        <v>0</v>
      </c>
      <c r="T1365" s="133"/>
      <c r="U1365" s="133"/>
      <c r="V1365" s="133"/>
      <c r="W1365" s="133"/>
      <c r="X1365" s="133"/>
      <c r="Y1365" s="133"/>
      <c r="Z1365" s="133"/>
      <c r="AA1365" s="133"/>
      <c r="AB1365" s="133"/>
      <c r="AC1365" s="133"/>
      <c r="AD1365" s="133"/>
      <c r="AE1365" s="133"/>
      <c r="AF1365" s="133"/>
      <c r="AG1365" s="133"/>
      <c r="AH1365" s="133"/>
      <c r="AI1365" s="133"/>
      <c r="AJ1365" s="133"/>
      <c r="AK1365" s="133"/>
      <c r="AL1365" s="133"/>
      <c r="AM1365" s="133"/>
      <c r="AN1365" s="133"/>
      <c r="AO1365" s="133"/>
      <c r="AP1365" s="133"/>
      <c r="AQ1365" s="133"/>
      <c r="AR1365" s="133"/>
      <c r="AS1365" s="153">
        <v>0</v>
      </c>
      <c r="AT1365" s="153">
        <v>0</v>
      </c>
      <c r="AU1365" s="153">
        <v>0</v>
      </c>
      <c r="AV1365" s="135"/>
      <c r="AW1365" s="135"/>
      <c r="AX1365" s="135"/>
      <c r="AY1365" s="135"/>
      <c r="AZ1365" s="135"/>
      <c r="BA1365" s="135"/>
      <c r="BB1365" s="135"/>
      <c r="BC1365" s="135"/>
      <c r="BD1365" s="135"/>
      <c r="BE1365" s="135"/>
      <c r="BF1365" s="135"/>
      <c r="BG1365" s="135"/>
      <c r="BH1365" s="135"/>
      <c r="BI1365" s="2"/>
      <c r="BJ1365" s="136"/>
      <c r="BK1365" s="2"/>
      <c r="BL1365" s="136"/>
      <c r="BM1365" s="136"/>
      <c r="BN1365" s="2"/>
      <c r="BO1365" s="2"/>
      <c r="BP1365" s="136"/>
      <c r="BQ1365" s="137"/>
    </row>
    <row r="1366" spans="1:69" ht="12.75" customHeight="1" x14ac:dyDescent="0.2">
      <c r="A1366" s="2">
        <v>2855</v>
      </c>
      <c r="B1366" s="2"/>
      <c r="C1366" s="131"/>
      <c r="D1366" s="131"/>
      <c r="E1366" s="2"/>
      <c r="F1366" s="132">
        <v>0</v>
      </c>
      <c r="G1366" s="132"/>
      <c r="H1366" s="132">
        <f t="shared" si="157"/>
        <v>0</v>
      </c>
      <c r="I1366" s="132"/>
      <c r="J1366" s="132">
        <f t="shared" si="155"/>
        <v>0</v>
      </c>
      <c r="K1366" s="132">
        <f t="shared" si="158"/>
        <v>0</v>
      </c>
      <c r="L1366" s="132">
        <f t="shared" si="159"/>
        <v>0</v>
      </c>
      <c r="M1366" s="133"/>
      <c r="N1366" s="133">
        <f t="shared" si="156"/>
        <v>0</v>
      </c>
      <c r="O1366" s="134"/>
      <c r="P1366" s="133"/>
      <c r="Q1366" s="2"/>
      <c r="R1366" s="156">
        <f t="shared" si="160"/>
        <v>0</v>
      </c>
      <c r="S1366" s="156">
        <f t="shared" si="161"/>
        <v>0</v>
      </c>
      <c r="T1366" s="133"/>
      <c r="U1366" s="133"/>
      <c r="V1366" s="133"/>
      <c r="W1366" s="133"/>
      <c r="X1366" s="133"/>
      <c r="Y1366" s="133"/>
      <c r="Z1366" s="133"/>
      <c r="AA1366" s="133"/>
      <c r="AB1366" s="133"/>
      <c r="AC1366" s="133"/>
      <c r="AD1366" s="133"/>
      <c r="AE1366" s="133"/>
      <c r="AF1366" s="133"/>
      <c r="AG1366" s="133"/>
      <c r="AH1366" s="133"/>
      <c r="AI1366" s="133"/>
      <c r="AJ1366" s="133"/>
      <c r="AK1366" s="133"/>
      <c r="AL1366" s="133"/>
      <c r="AM1366" s="133"/>
      <c r="AN1366" s="133"/>
      <c r="AO1366" s="133"/>
      <c r="AP1366" s="133"/>
      <c r="AQ1366" s="133"/>
      <c r="AR1366" s="133"/>
      <c r="AS1366" s="153">
        <v>0</v>
      </c>
      <c r="AT1366" s="153">
        <v>0</v>
      </c>
      <c r="AU1366" s="153">
        <v>0</v>
      </c>
      <c r="AV1366" s="135"/>
      <c r="AW1366" s="135"/>
      <c r="AX1366" s="135"/>
      <c r="AY1366" s="135"/>
      <c r="AZ1366" s="135"/>
      <c r="BA1366" s="135"/>
      <c r="BB1366" s="135"/>
      <c r="BC1366" s="135"/>
      <c r="BD1366" s="135"/>
      <c r="BE1366" s="135"/>
      <c r="BF1366" s="135"/>
      <c r="BG1366" s="135"/>
      <c r="BH1366" s="135"/>
      <c r="BI1366" s="2"/>
      <c r="BJ1366" s="136"/>
      <c r="BK1366" s="2"/>
      <c r="BL1366" s="136"/>
      <c r="BM1366" s="136"/>
      <c r="BN1366" s="2"/>
      <c r="BO1366" s="2"/>
      <c r="BP1366" s="136"/>
      <c r="BQ1366" s="137"/>
    </row>
    <row r="1367" spans="1:69" ht="12.75" customHeight="1" x14ac:dyDescent="0.2">
      <c r="A1367" s="2">
        <v>2856</v>
      </c>
      <c r="B1367" s="2"/>
      <c r="C1367" s="131"/>
      <c r="D1367" s="131"/>
      <c r="E1367" s="2"/>
      <c r="F1367" s="132">
        <v>0</v>
      </c>
      <c r="G1367" s="132"/>
      <c r="H1367" s="132">
        <f t="shared" si="157"/>
        <v>0</v>
      </c>
      <c r="I1367" s="132"/>
      <c r="J1367" s="132">
        <f t="shared" si="155"/>
        <v>0</v>
      </c>
      <c r="K1367" s="132">
        <f t="shared" si="158"/>
        <v>0</v>
      </c>
      <c r="L1367" s="132">
        <f t="shared" si="159"/>
        <v>0</v>
      </c>
      <c r="M1367" s="133"/>
      <c r="N1367" s="133">
        <f t="shared" si="156"/>
        <v>0</v>
      </c>
      <c r="O1367" s="134"/>
      <c r="P1367" s="133"/>
      <c r="Q1367" s="2"/>
      <c r="R1367" s="156">
        <f t="shared" si="160"/>
        <v>0</v>
      </c>
      <c r="S1367" s="156">
        <f t="shared" si="161"/>
        <v>0</v>
      </c>
      <c r="T1367" s="133"/>
      <c r="U1367" s="133"/>
      <c r="V1367" s="133"/>
      <c r="W1367" s="133"/>
      <c r="X1367" s="133"/>
      <c r="Y1367" s="133"/>
      <c r="Z1367" s="133"/>
      <c r="AA1367" s="133"/>
      <c r="AB1367" s="133"/>
      <c r="AC1367" s="133"/>
      <c r="AD1367" s="133"/>
      <c r="AE1367" s="133"/>
      <c r="AF1367" s="133"/>
      <c r="AG1367" s="133"/>
      <c r="AH1367" s="133"/>
      <c r="AI1367" s="133"/>
      <c r="AJ1367" s="133"/>
      <c r="AK1367" s="133"/>
      <c r="AL1367" s="133"/>
      <c r="AM1367" s="133"/>
      <c r="AN1367" s="133"/>
      <c r="AO1367" s="133"/>
      <c r="AP1367" s="133"/>
      <c r="AQ1367" s="133"/>
      <c r="AR1367" s="133"/>
      <c r="AS1367" s="153">
        <v>0</v>
      </c>
      <c r="AT1367" s="153">
        <v>0</v>
      </c>
      <c r="AU1367" s="153">
        <v>0</v>
      </c>
      <c r="AV1367" s="135"/>
      <c r="AW1367" s="135"/>
      <c r="AX1367" s="135"/>
      <c r="AY1367" s="135"/>
      <c r="AZ1367" s="135"/>
      <c r="BA1367" s="135"/>
      <c r="BB1367" s="135"/>
      <c r="BC1367" s="135"/>
      <c r="BD1367" s="135"/>
      <c r="BE1367" s="135"/>
      <c r="BF1367" s="135"/>
      <c r="BG1367" s="135"/>
      <c r="BH1367" s="135"/>
      <c r="BI1367" s="2"/>
      <c r="BJ1367" s="136"/>
      <c r="BK1367" s="2"/>
      <c r="BL1367" s="136"/>
      <c r="BM1367" s="136"/>
      <c r="BN1367" s="2"/>
      <c r="BO1367" s="2"/>
      <c r="BP1367" s="136"/>
      <c r="BQ1367" s="137"/>
    </row>
    <row r="1368" spans="1:69" ht="12.75" customHeight="1" x14ac:dyDescent="0.2">
      <c r="A1368" s="2">
        <v>2857</v>
      </c>
      <c r="B1368" s="2"/>
      <c r="C1368" s="131"/>
      <c r="D1368" s="131"/>
      <c r="E1368" s="2"/>
      <c r="F1368" s="132">
        <v>0</v>
      </c>
      <c r="G1368" s="132"/>
      <c r="H1368" s="132">
        <f t="shared" si="157"/>
        <v>0</v>
      </c>
      <c r="I1368" s="132"/>
      <c r="J1368" s="132">
        <f t="shared" si="155"/>
        <v>0</v>
      </c>
      <c r="K1368" s="132">
        <f t="shared" si="158"/>
        <v>0</v>
      </c>
      <c r="L1368" s="132">
        <f t="shared" si="159"/>
        <v>0</v>
      </c>
      <c r="M1368" s="133"/>
      <c r="N1368" s="133">
        <f t="shared" si="156"/>
        <v>0</v>
      </c>
      <c r="O1368" s="134"/>
      <c r="P1368" s="133"/>
      <c r="Q1368" s="2"/>
      <c r="R1368" s="156">
        <f t="shared" si="160"/>
        <v>0</v>
      </c>
      <c r="S1368" s="156">
        <f t="shared" si="161"/>
        <v>0</v>
      </c>
      <c r="T1368" s="133"/>
      <c r="U1368" s="133"/>
      <c r="V1368" s="133"/>
      <c r="W1368" s="133"/>
      <c r="X1368" s="133"/>
      <c r="Y1368" s="133"/>
      <c r="Z1368" s="133"/>
      <c r="AA1368" s="133"/>
      <c r="AB1368" s="133"/>
      <c r="AC1368" s="133"/>
      <c r="AD1368" s="133"/>
      <c r="AE1368" s="133"/>
      <c r="AF1368" s="133"/>
      <c r="AG1368" s="133"/>
      <c r="AH1368" s="133"/>
      <c r="AI1368" s="133"/>
      <c r="AJ1368" s="133"/>
      <c r="AK1368" s="133"/>
      <c r="AL1368" s="133"/>
      <c r="AM1368" s="133"/>
      <c r="AN1368" s="133"/>
      <c r="AO1368" s="133"/>
      <c r="AP1368" s="133"/>
      <c r="AQ1368" s="133"/>
      <c r="AR1368" s="133"/>
      <c r="AS1368" s="153">
        <v>0</v>
      </c>
      <c r="AT1368" s="153">
        <v>0</v>
      </c>
      <c r="AU1368" s="153">
        <v>0</v>
      </c>
      <c r="AV1368" s="135"/>
      <c r="AW1368" s="135"/>
      <c r="AX1368" s="135"/>
      <c r="AY1368" s="135"/>
      <c r="AZ1368" s="135"/>
      <c r="BA1368" s="135"/>
      <c r="BB1368" s="135"/>
      <c r="BC1368" s="135"/>
      <c r="BD1368" s="135"/>
      <c r="BE1368" s="135"/>
      <c r="BF1368" s="135"/>
      <c r="BG1368" s="135"/>
      <c r="BH1368" s="135"/>
      <c r="BI1368" s="2"/>
      <c r="BJ1368" s="136"/>
      <c r="BK1368" s="2"/>
      <c r="BL1368" s="136"/>
      <c r="BM1368" s="136"/>
      <c r="BN1368" s="2"/>
      <c r="BO1368" s="2"/>
      <c r="BP1368" s="136"/>
      <c r="BQ1368" s="137"/>
    </row>
    <row r="1369" spans="1:69" ht="12.75" customHeight="1" x14ac:dyDescent="0.2">
      <c r="A1369" s="2">
        <v>2858</v>
      </c>
      <c r="B1369" s="2"/>
      <c r="C1369" s="131"/>
      <c r="D1369" s="131"/>
      <c r="E1369" s="2"/>
      <c r="F1369" s="132">
        <v>0</v>
      </c>
      <c r="G1369" s="132"/>
      <c r="H1369" s="132">
        <f t="shared" si="157"/>
        <v>0</v>
      </c>
      <c r="I1369" s="132"/>
      <c r="J1369" s="132">
        <f t="shared" si="155"/>
        <v>0</v>
      </c>
      <c r="K1369" s="132">
        <f t="shared" si="158"/>
        <v>0</v>
      </c>
      <c r="L1369" s="132">
        <f t="shared" si="159"/>
        <v>0</v>
      </c>
      <c r="M1369" s="133"/>
      <c r="N1369" s="133">
        <f t="shared" si="156"/>
        <v>0</v>
      </c>
      <c r="O1369" s="134"/>
      <c r="P1369" s="133"/>
      <c r="Q1369" s="2"/>
      <c r="R1369" s="156">
        <f t="shared" si="160"/>
        <v>0</v>
      </c>
      <c r="S1369" s="156">
        <f t="shared" si="161"/>
        <v>0</v>
      </c>
      <c r="T1369" s="133"/>
      <c r="U1369" s="133"/>
      <c r="V1369" s="133"/>
      <c r="W1369" s="133"/>
      <c r="X1369" s="133"/>
      <c r="Y1369" s="133"/>
      <c r="Z1369" s="133"/>
      <c r="AA1369" s="133"/>
      <c r="AB1369" s="133"/>
      <c r="AC1369" s="133"/>
      <c r="AD1369" s="133"/>
      <c r="AE1369" s="133"/>
      <c r="AF1369" s="133"/>
      <c r="AG1369" s="133"/>
      <c r="AH1369" s="133"/>
      <c r="AI1369" s="133"/>
      <c r="AJ1369" s="133"/>
      <c r="AK1369" s="133"/>
      <c r="AL1369" s="133"/>
      <c r="AM1369" s="133"/>
      <c r="AN1369" s="133"/>
      <c r="AO1369" s="133"/>
      <c r="AP1369" s="133"/>
      <c r="AQ1369" s="133"/>
      <c r="AR1369" s="133"/>
      <c r="AS1369" s="153">
        <v>0</v>
      </c>
      <c r="AT1369" s="153">
        <v>0</v>
      </c>
      <c r="AU1369" s="153">
        <v>0</v>
      </c>
      <c r="AV1369" s="135"/>
      <c r="AW1369" s="135"/>
      <c r="AX1369" s="135"/>
      <c r="AY1369" s="135"/>
      <c r="AZ1369" s="135"/>
      <c r="BA1369" s="135"/>
      <c r="BB1369" s="135"/>
      <c r="BC1369" s="135"/>
      <c r="BD1369" s="135"/>
      <c r="BE1369" s="135"/>
      <c r="BF1369" s="135"/>
      <c r="BG1369" s="135"/>
      <c r="BH1369" s="135"/>
      <c r="BI1369" s="2"/>
      <c r="BJ1369" s="136"/>
      <c r="BK1369" s="2"/>
      <c r="BL1369" s="136"/>
      <c r="BM1369" s="136"/>
      <c r="BN1369" s="2"/>
      <c r="BO1369" s="2"/>
      <c r="BP1369" s="136"/>
      <c r="BQ1369" s="137"/>
    </row>
    <row r="1370" spans="1:69" ht="12.75" customHeight="1" x14ac:dyDescent="0.2">
      <c r="A1370" s="2">
        <v>2859</v>
      </c>
      <c r="B1370" s="2"/>
      <c r="C1370" s="131"/>
      <c r="D1370" s="131"/>
      <c r="E1370" s="2"/>
      <c r="F1370" s="132">
        <v>0</v>
      </c>
      <c r="G1370" s="132"/>
      <c r="H1370" s="132">
        <f t="shared" si="157"/>
        <v>0</v>
      </c>
      <c r="I1370" s="132"/>
      <c r="J1370" s="132">
        <f t="shared" si="155"/>
        <v>0</v>
      </c>
      <c r="K1370" s="132">
        <f t="shared" si="158"/>
        <v>0</v>
      </c>
      <c r="L1370" s="132">
        <f t="shared" si="159"/>
        <v>0</v>
      </c>
      <c r="M1370" s="133"/>
      <c r="N1370" s="133">
        <f t="shared" si="156"/>
        <v>0</v>
      </c>
      <c r="O1370" s="134"/>
      <c r="P1370" s="133"/>
      <c r="Q1370" s="2"/>
      <c r="R1370" s="156">
        <f t="shared" si="160"/>
        <v>0</v>
      </c>
      <c r="S1370" s="156">
        <f t="shared" si="161"/>
        <v>0</v>
      </c>
      <c r="T1370" s="133"/>
      <c r="U1370" s="133"/>
      <c r="V1370" s="133"/>
      <c r="W1370" s="133"/>
      <c r="X1370" s="133"/>
      <c r="Y1370" s="133"/>
      <c r="Z1370" s="133"/>
      <c r="AA1370" s="133"/>
      <c r="AB1370" s="133"/>
      <c r="AC1370" s="133"/>
      <c r="AD1370" s="133"/>
      <c r="AE1370" s="133"/>
      <c r="AF1370" s="133"/>
      <c r="AG1370" s="133"/>
      <c r="AH1370" s="133"/>
      <c r="AI1370" s="133"/>
      <c r="AJ1370" s="133"/>
      <c r="AK1370" s="133"/>
      <c r="AL1370" s="133"/>
      <c r="AM1370" s="133"/>
      <c r="AN1370" s="133"/>
      <c r="AO1370" s="133"/>
      <c r="AP1370" s="133"/>
      <c r="AQ1370" s="133"/>
      <c r="AR1370" s="133"/>
      <c r="AS1370" s="153">
        <v>0</v>
      </c>
      <c r="AT1370" s="153">
        <v>0</v>
      </c>
      <c r="AU1370" s="153">
        <v>0</v>
      </c>
      <c r="AV1370" s="135"/>
      <c r="AW1370" s="135"/>
      <c r="AX1370" s="135"/>
      <c r="AY1370" s="135"/>
      <c r="AZ1370" s="135"/>
      <c r="BA1370" s="135"/>
      <c r="BB1370" s="135"/>
      <c r="BC1370" s="135"/>
      <c r="BD1370" s="135"/>
      <c r="BE1370" s="135"/>
      <c r="BF1370" s="135"/>
      <c r="BG1370" s="135"/>
      <c r="BH1370" s="135"/>
      <c r="BI1370" s="2"/>
      <c r="BJ1370" s="136"/>
      <c r="BK1370" s="2"/>
      <c r="BL1370" s="136"/>
      <c r="BM1370" s="136"/>
      <c r="BN1370" s="2"/>
      <c r="BO1370" s="2"/>
      <c r="BP1370" s="136"/>
      <c r="BQ1370" s="137"/>
    </row>
    <row r="1371" spans="1:69" ht="12.75" customHeight="1" x14ac:dyDescent="0.2">
      <c r="A1371" s="2">
        <v>2860</v>
      </c>
      <c r="B1371" s="2"/>
      <c r="C1371" s="131"/>
      <c r="D1371" s="131"/>
      <c r="E1371" s="2"/>
      <c r="F1371" s="132">
        <v>0</v>
      </c>
      <c r="G1371" s="132"/>
      <c r="H1371" s="132">
        <f t="shared" si="157"/>
        <v>0</v>
      </c>
      <c r="I1371" s="132"/>
      <c r="J1371" s="132">
        <f t="shared" si="155"/>
        <v>0</v>
      </c>
      <c r="K1371" s="132">
        <f t="shared" si="158"/>
        <v>0</v>
      </c>
      <c r="L1371" s="132">
        <f t="shared" si="159"/>
        <v>0</v>
      </c>
      <c r="M1371" s="133"/>
      <c r="N1371" s="133">
        <f t="shared" si="156"/>
        <v>0</v>
      </c>
      <c r="O1371" s="134"/>
      <c r="P1371" s="133"/>
      <c r="Q1371" s="2"/>
      <c r="R1371" s="156">
        <f t="shared" si="160"/>
        <v>0</v>
      </c>
      <c r="S1371" s="156">
        <f t="shared" si="161"/>
        <v>0</v>
      </c>
      <c r="T1371" s="133"/>
      <c r="U1371" s="133"/>
      <c r="V1371" s="133"/>
      <c r="W1371" s="133"/>
      <c r="X1371" s="133"/>
      <c r="Y1371" s="133"/>
      <c r="Z1371" s="133"/>
      <c r="AA1371" s="133"/>
      <c r="AB1371" s="133"/>
      <c r="AC1371" s="133"/>
      <c r="AD1371" s="133"/>
      <c r="AE1371" s="133"/>
      <c r="AF1371" s="133"/>
      <c r="AG1371" s="133"/>
      <c r="AH1371" s="133"/>
      <c r="AI1371" s="133"/>
      <c r="AJ1371" s="133"/>
      <c r="AK1371" s="133"/>
      <c r="AL1371" s="133"/>
      <c r="AM1371" s="133"/>
      <c r="AN1371" s="133"/>
      <c r="AO1371" s="133"/>
      <c r="AP1371" s="133"/>
      <c r="AQ1371" s="133"/>
      <c r="AR1371" s="133"/>
      <c r="AS1371" s="153">
        <v>0</v>
      </c>
      <c r="AT1371" s="153">
        <v>0</v>
      </c>
      <c r="AU1371" s="153">
        <v>0</v>
      </c>
      <c r="AV1371" s="135"/>
      <c r="AW1371" s="135"/>
      <c r="AX1371" s="135"/>
      <c r="AY1371" s="135"/>
      <c r="AZ1371" s="135"/>
      <c r="BA1371" s="135"/>
      <c r="BB1371" s="135"/>
      <c r="BC1371" s="135"/>
      <c r="BD1371" s="135"/>
      <c r="BE1371" s="135"/>
      <c r="BF1371" s="135"/>
      <c r="BG1371" s="135"/>
      <c r="BH1371" s="135"/>
      <c r="BI1371" s="2"/>
      <c r="BJ1371" s="136"/>
      <c r="BK1371" s="2"/>
      <c r="BL1371" s="136"/>
      <c r="BM1371" s="136"/>
      <c r="BN1371" s="2"/>
      <c r="BO1371" s="2"/>
      <c r="BP1371" s="136"/>
      <c r="BQ1371" s="137"/>
    </row>
    <row r="1372" spans="1:69" ht="12.75" customHeight="1" x14ac:dyDescent="0.2">
      <c r="A1372" s="2">
        <v>2861</v>
      </c>
      <c r="B1372" s="2"/>
      <c r="C1372" s="131"/>
      <c r="D1372" s="131"/>
      <c r="E1372" s="2"/>
      <c r="F1372" s="132">
        <v>0</v>
      </c>
      <c r="G1372" s="132"/>
      <c r="H1372" s="132">
        <f t="shared" si="157"/>
        <v>0</v>
      </c>
      <c r="I1372" s="132"/>
      <c r="J1372" s="132">
        <f t="shared" si="155"/>
        <v>0</v>
      </c>
      <c r="K1372" s="132">
        <f t="shared" si="158"/>
        <v>0</v>
      </c>
      <c r="L1372" s="132">
        <f t="shared" si="159"/>
        <v>0</v>
      </c>
      <c r="M1372" s="133"/>
      <c r="N1372" s="133">
        <f t="shared" si="156"/>
        <v>0</v>
      </c>
      <c r="O1372" s="134"/>
      <c r="P1372" s="133"/>
      <c r="Q1372" s="2"/>
      <c r="R1372" s="156">
        <f t="shared" si="160"/>
        <v>0</v>
      </c>
      <c r="S1372" s="156">
        <f t="shared" si="161"/>
        <v>0</v>
      </c>
      <c r="T1372" s="133"/>
      <c r="U1372" s="133"/>
      <c r="V1372" s="133"/>
      <c r="W1372" s="133"/>
      <c r="X1372" s="133"/>
      <c r="Y1372" s="133"/>
      <c r="Z1372" s="133"/>
      <c r="AA1372" s="133"/>
      <c r="AB1372" s="133"/>
      <c r="AC1372" s="133"/>
      <c r="AD1372" s="133"/>
      <c r="AE1372" s="133"/>
      <c r="AF1372" s="133"/>
      <c r="AG1372" s="133"/>
      <c r="AH1372" s="133"/>
      <c r="AI1372" s="133"/>
      <c r="AJ1372" s="133"/>
      <c r="AK1372" s="133"/>
      <c r="AL1372" s="133"/>
      <c r="AM1372" s="133"/>
      <c r="AN1372" s="133"/>
      <c r="AO1372" s="133"/>
      <c r="AP1372" s="133"/>
      <c r="AQ1372" s="133"/>
      <c r="AR1372" s="133"/>
      <c r="AS1372" s="153">
        <v>0</v>
      </c>
      <c r="AT1372" s="153">
        <v>0</v>
      </c>
      <c r="AU1372" s="153">
        <v>0</v>
      </c>
      <c r="AV1372" s="135"/>
      <c r="AW1372" s="135"/>
      <c r="AX1372" s="135"/>
      <c r="AY1372" s="135"/>
      <c r="AZ1372" s="135"/>
      <c r="BA1372" s="135"/>
      <c r="BB1372" s="135"/>
      <c r="BC1372" s="135"/>
      <c r="BD1372" s="135"/>
      <c r="BE1372" s="135"/>
      <c r="BF1372" s="135"/>
      <c r="BG1372" s="135"/>
      <c r="BH1372" s="135"/>
      <c r="BI1372" s="2"/>
      <c r="BJ1372" s="136"/>
      <c r="BK1372" s="2"/>
      <c r="BL1372" s="136"/>
      <c r="BM1372" s="136"/>
      <c r="BN1372" s="2"/>
      <c r="BO1372" s="2"/>
      <c r="BP1372" s="136"/>
      <c r="BQ1372" s="137"/>
    </row>
    <row r="1373" spans="1:69" ht="12.75" customHeight="1" x14ac:dyDescent="0.2">
      <c r="A1373" s="2">
        <v>2862</v>
      </c>
      <c r="B1373" s="2"/>
      <c r="C1373" s="131"/>
      <c r="D1373" s="131"/>
      <c r="E1373" s="2"/>
      <c r="F1373" s="132">
        <v>0</v>
      </c>
      <c r="G1373" s="132"/>
      <c r="H1373" s="132">
        <f t="shared" si="157"/>
        <v>0</v>
      </c>
      <c r="I1373" s="132"/>
      <c r="J1373" s="132">
        <f t="shared" si="155"/>
        <v>0</v>
      </c>
      <c r="K1373" s="132">
        <f t="shared" si="158"/>
        <v>0</v>
      </c>
      <c r="L1373" s="132">
        <f t="shared" si="159"/>
        <v>0</v>
      </c>
      <c r="M1373" s="133"/>
      <c r="N1373" s="133">
        <f t="shared" si="156"/>
        <v>0</v>
      </c>
      <c r="O1373" s="134"/>
      <c r="P1373" s="133"/>
      <c r="Q1373" s="2"/>
      <c r="R1373" s="156">
        <f t="shared" si="160"/>
        <v>0</v>
      </c>
      <c r="S1373" s="156">
        <f t="shared" si="161"/>
        <v>0</v>
      </c>
      <c r="T1373" s="133"/>
      <c r="U1373" s="133"/>
      <c r="V1373" s="133"/>
      <c r="W1373" s="133"/>
      <c r="X1373" s="133"/>
      <c r="Y1373" s="133"/>
      <c r="Z1373" s="133"/>
      <c r="AA1373" s="133"/>
      <c r="AB1373" s="133"/>
      <c r="AC1373" s="133"/>
      <c r="AD1373" s="133"/>
      <c r="AE1373" s="133"/>
      <c r="AF1373" s="133"/>
      <c r="AG1373" s="133"/>
      <c r="AH1373" s="133"/>
      <c r="AI1373" s="133"/>
      <c r="AJ1373" s="133"/>
      <c r="AK1373" s="133"/>
      <c r="AL1373" s="133"/>
      <c r="AM1373" s="133"/>
      <c r="AN1373" s="133"/>
      <c r="AO1373" s="133"/>
      <c r="AP1373" s="133"/>
      <c r="AQ1373" s="133"/>
      <c r="AR1373" s="133"/>
      <c r="AS1373" s="153">
        <v>0</v>
      </c>
      <c r="AT1373" s="153">
        <v>0</v>
      </c>
      <c r="AU1373" s="153">
        <v>0</v>
      </c>
      <c r="AV1373" s="135"/>
      <c r="AW1373" s="135"/>
      <c r="AX1373" s="135"/>
      <c r="AY1373" s="135"/>
      <c r="AZ1373" s="135"/>
      <c r="BA1373" s="135"/>
      <c r="BB1373" s="135"/>
      <c r="BC1373" s="135"/>
      <c r="BD1373" s="135"/>
      <c r="BE1373" s="135"/>
      <c r="BF1373" s="135"/>
      <c r="BG1373" s="135"/>
      <c r="BH1373" s="135"/>
      <c r="BI1373" s="2"/>
      <c r="BJ1373" s="136"/>
      <c r="BK1373" s="2"/>
      <c r="BL1373" s="136"/>
      <c r="BM1373" s="136"/>
      <c r="BN1373" s="2"/>
      <c r="BO1373" s="2"/>
      <c r="BP1373" s="136"/>
      <c r="BQ1373" s="137"/>
    </row>
    <row r="1374" spans="1:69" ht="12.75" customHeight="1" x14ac:dyDescent="0.2">
      <c r="A1374" s="2">
        <v>2863</v>
      </c>
      <c r="B1374" s="2"/>
      <c r="C1374" s="131"/>
      <c r="D1374" s="131"/>
      <c r="E1374" s="2"/>
      <c r="F1374" s="132">
        <v>0</v>
      </c>
      <c r="G1374" s="132"/>
      <c r="H1374" s="132">
        <f t="shared" si="157"/>
        <v>0</v>
      </c>
      <c r="I1374" s="132"/>
      <c r="J1374" s="132">
        <f t="shared" si="155"/>
        <v>0</v>
      </c>
      <c r="K1374" s="132">
        <f t="shared" si="158"/>
        <v>0</v>
      </c>
      <c r="L1374" s="132">
        <f t="shared" si="159"/>
        <v>0</v>
      </c>
      <c r="M1374" s="133"/>
      <c r="N1374" s="133">
        <f t="shared" si="156"/>
        <v>0</v>
      </c>
      <c r="O1374" s="134"/>
      <c r="P1374" s="133"/>
      <c r="Q1374" s="2"/>
      <c r="R1374" s="156">
        <f t="shared" si="160"/>
        <v>0</v>
      </c>
      <c r="S1374" s="156">
        <f t="shared" si="161"/>
        <v>0</v>
      </c>
      <c r="T1374" s="133"/>
      <c r="U1374" s="133"/>
      <c r="V1374" s="133"/>
      <c r="W1374" s="133"/>
      <c r="X1374" s="133"/>
      <c r="Y1374" s="133"/>
      <c r="Z1374" s="133"/>
      <c r="AA1374" s="133"/>
      <c r="AB1374" s="133"/>
      <c r="AC1374" s="133"/>
      <c r="AD1374" s="133"/>
      <c r="AE1374" s="133"/>
      <c r="AF1374" s="133"/>
      <c r="AG1374" s="133"/>
      <c r="AH1374" s="133"/>
      <c r="AI1374" s="133"/>
      <c r="AJ1374" s="133"/>
      <c r="AK1374" s="133"/>
      <c r="AL1374" s="133"/>
      <c r="AM1374" s="133"/>
      <c r="AN1374" s="133"/>
      <c r="AO1374" s="133"/>
      <c r="AP1374" s="133"/>
      <c r="AQ1374" s="133"/>
      <c r="AR1374" s="133"/>
      <c r="AS1374" s="153">
        <v>0</v>
      </c>
      <c r="AT1374" s="153">
        <v>0</v>
      </c>
      <c r="AU1374" s="153">
        <v>0</v>
      </c>
      <c r="AV1374" s="135"/>
      <c r="AW1374" s="135"/>
      <c r="AX1374" s="135"/>
      <c r="AY1374" s="135"/>
      <c r="AZ1374" s="135"/>
      <c r="BA1374" s="135"/>
      <c r="BB1374" s="135"/>
      <c r="BC1374" s="135"/>
      <c r="BD1374" s="135"/>
      <c r="BE1374" s="135"/>
      <c r="BF1374" s="135"/>
      <c r="BG1374" s="135"/>
      <c r="BH1374" s="135"/>
      <c r="BI1374" s="2"/>
      <c r="BJ1374" s="136"/>
      <c r="BK1374" s="2"/>
      <c r="BL1374" s="136"/>
      <c r="BM1374" s="136"/>
      <c r="BN1374" s="2"/>
      <c r="BO1374" s="2"/>
      <c r="BP1374" s="136"/>
      <c r="BQ1374" s="137"/>
    </row>
    <row r="1375" spans="1:69" ht="12.75" customHeight="1" x14ac:dyDescent="0.2">
      <c r="A1375" s="2">
        <v>2864</v>
      </c>
      <c r="B1375" s="2"/>
      <c r="C1375" s="131"/>
      <c r="D1375" s="131"/>
      <c r="E1375" s="2"/>
      <c r="F1375" s="132">
        <v>0</v>
      </c>
      <c r="G1375" s="132"/>
      <c r="H1375" s="132">
        <f t="shared" si="157"/>
        <v>0</v>
      </c>
      <c r="I1375" s="132"/>
      <c r="J1375" s="132">
        <f t="shared" si="155"/>
        <v>0</v>
      </c>
      <c r="K1375" s="132">
        <f t="shared" si="158"/>
        <v>0</v>
      </c>
      <c r="L1375" s="132">
        <f t="shared" si="159"/>
        <v>0</v>
      </c>
      <c r="M1375" s="133"/>
      <c r="N1375" s="133">
        <f t="shared" si="156"/>
        <v>0</v>
      </c>
      <c r="O1375" s="134"/>
      <c r="P1375" s="133"/>
      <c r="Q1375" s="2"/>
      <c r="R1375" s="156">
        <f t="shared" si="160"/>
        <v>0</v>
      </c>
      <c r="S1375" s="156">
        <f t="shared" si="161"/>
        <v>0</v>
      </c>
      <c r="T1375" s="133"/>
      <c r="U1375" s="133"/>
      <c r="V1375" s="133"/>
      <c r="W1375" s="133"/>
      <c r="X1375" s="133"/>
      <c r="Y1375" s="133"/>
      <c r="Z1375" s="133"/>
      <c r="AA1375" s="133"/>
      <c r="AB1375" s="133"/>
      <c r="AC1375" s="133"/>
      <c r="AD1375" s="133"/>
      <c r="AE1375" s="133"/>
      <c r="AF1375" s="133"/>
      <c r="AG1375" s="133"/>
      <c r="AH1375" s="133"/>
      <c r="AI1375" s="133"/>
      <c r="AJ1375" s="133"/>
      <c r="AK1375" s="133"/>
      <c r="AL1375" s="133"/>
      <c r="AM1375" s="133"/>
      <c r="AN1375" s="133"/>
      <c r="AO1375" s="133"/>
      <c r="AP1375" s="133"/>
      <c r="AQ1375" s="133"/>
      <c r="AR1375" s="133"/>
      <c r="AS1375" s="153">
        <v>0</v>
      </c>
      <c r="AT1375" s="153">
        <v>0</v>
      </c>
      <c r="AU1375" s="153">
        <v>0</v>
      </c>
      <c r="AV1375" s="135"/>
      <c r="AW1375" s="135"/>
      <c r="AX1375" s="135"/>
      <c r="AY1375" s="135"/>
      <c r="AZ1375" s="135"/>
      <c r="BA1375" s="135"/>
      <c r="BB1375" s="135"/>
      <c r="BC1375" s="135"/>
      <c r="BD1375" s="135"/>
      <c r="BE1375" s="135"/>
      <c r="BF1375" s="135"/>
      <c r="BG1375" s="135"/>
      <c r="BH1375" s="135"/>
      <c r="BI1375" s="2"/>
      <c r="BJ1375" s="136"/>
      <c r="BK1375" s="2"/>
      <c r="BL1375" s="136"/>
      <c r="BM1375" s="136"/>
      <c r="BN1375" s="2"/>
      <c r="BO1375" s="2"/>
      <c r="BP1375" s="136"/>
      <c r="BQ1375" s="137"/>
    </row>
    <row r="1376" spans="1:69" ht="12.75" customHeight="1" x14ac:dyDescent="0.2">
      <c r="A1376" s="2">
        <v>2865</v>
      </c>
      <c r="B1376" s="2"/>
      <c r="C1376" s="131"/>
      <c r="D1376" s="131"/>
      <c r="E1376" s="2"/>
      <c r="F1376" s="132">
        <v>0</v>
      </c>
      <c r="G1376" s="132"/>
      <c r="H1376" s="132">
        <f t="shared" si="157"/>
        <v>0</v>
      </c>
      <c r="I1376" s="132"/>
      <c r="J1376" s="132">
        <f t="shared" si="155"/>
        <v>0</v>
      </c>
      <c r="K1376" s="132">
        <f t="shared" si="158"/>
        <v>0</v>
      </c>
      <c r="L1376" s="132">
        <f t="shared" si="159"/>
        <v>0</v>
      </c>
      <c r="M1376" s="133"/>
      <c r="N1376" s="133">
        <f t="shared" si="156"/>
        <v>0</v>
      </c>
      <c r="O1376" s="134"/>
      <c r="P1376" s="133"/>
      <c r="Q1376" s="2"/>
      <c r="R1376" s="156">
        <f t="shared" si="160"/>
        <v>0</v>
      </c>
      <c r="S1376" s="156">
        <f t="shared" si="161"/>
        <v>0</v>
      </c>
      <c r="T1376" s="133"/>
      <c r="U1376" s="133"/>
      <c r="V1376" s="133"/>
      <c r="W1376" s="133"/>
      <c r="X1376" s="133"/>
      <c r="Y1376" s="133"/>
      <c r="Z1376" s="133"/>
      <c r="AA1376" s="133"/>
      <c r="AB1376" s="133"/>
      <c r="AC1376" s="133"/>
      <c r="AD1376" s="133"/>
      <c r="AE1376" s="133"/>
      <c r="AF1376" s="133"/>
      <c r="AG1376" s="133"/>
      <c r="AH1376" s="133"/>
      <c r="AI1376" s="133"/>
      <c r="AJ1376" s="133"/>
      <c r="AK1376" s="133"/>
      <c r="AL1376" s="133"/>
      <c r="AM1376" s="133"/>
      <c r="AN1376" s="133"/>
      <c r="AO1376" s="133"/>
      <c r="AP1376" s="133"/>
      <c r="AQ1376" s="133"/>
      <c r="AR1376" s="133"/>
      <c r="AS1376" s="153">
        <v>0</v>
      </c>
      <c r="AT1376" s="153">
        <v>0</v>
      </c>
      <c r="AU1376" s="153">
        <v>0</v>
      </c>
      <c r="AV1376" s="135"/>
      <c r="AW1376" s="135"/>
      <c r="AX1376" s="135"/>
      <c r="AY1376" s="135"/>
      <c r="AZ1376" s="135"/>
      <c r="BA1376" s="135"/>
      <c r="BB1376" s="135"/>
      <c r="BC1376" s="135"/>
      <c r="BD1376" s="135"/>
      <c r="BE1376" s="135"/>
      <c r="BF1376" s="135"/>
      <c r="BG1376" s="135"/>
      <c r="BH1376" s="135"/>
      <c r="BI1376" s="2"/>
      <c r="BJ1376" s="136"/>
      <c r="BK1376" s="2"/>
      <c r="BL1376" s="136"/>
      <c r="BM1376" s="136"/>
      <c r="BN1376" s="2"/>
      <c r="BO1376" s="2"/>
      <c r="BP1376" s="136"/>
      <c r="BQ1376" s="137"/>
    </row>
    <row r="1377" spans="1:69" ht="12.75" customHeight="1" x14ac:dyDescent="0.2">
      <c r="A1377" s="2">
        <v>2866</v>
      </c>
      <c r="B1377" s="2"/>
      <c r="C1377" s="131"/>
      <c r="D1377" s="131"/>
      <c r="E1377" s="2"/>
      <c r="F1377" s="132">
        <v>0</v>
      </c>
      <c r="G1377" s="132"/>
      <c r="H1377" s="132">
        <f t="shared" si="157"/>
        <v>0</v>
      </c>
      <c r="I1377" s="132"/>
      <c r="J1377" s="132">
        <f t="shared" si="155"/>
        <v>0</v>
      </c>
      <c r="K1377" s="132">
        <f t="shared" si="158"/>
        <v>0</v>
      </c>
      <c r="L1377" s="132">
        <f t="shared" si="159"/>
        <v>0</v>
      </c>
      <c r="M1377" s="133"/>
      <c r="N1377" s="133">
        <f t="shared" si="156"/>
        <v>0</v>
      </c>
      <c r="O1377" s="134"/>
      <c r="P1377" s="133"/>
      <c r="Q1377" s="2"/>
      <c r="R1377" s="156">
        <f t="shared" si="160"/>
        <v>0</v>
      </c>
      <c r="S1377" s="156">
        <f t="shared" si="161"/>
        <v>0</v>
      </c>
      <c r="T1377" s="133"/>
      <c r="U1377" s="133"/>
      <c r="V1377" s="133"/>
      <c r="W1377" s="133"/>
      <c r="X1377" s="133"/>
      <c r="Y1377" s="133"/>
      <c r="Z1377" s="133"/>
      <c r="AA1377" s="133"/>
      <c r="AB1377" s="133"/>
      <c r="AC1377" s="133"/>
      <c r="AD1377" s="133"/>
      <c r="AE1377" s="133"/>
      <c r="AF1377" s="133"/>
      <c r="AG1377" s="133"/>
      <c r="AH1377" s="133"/>
      <c r="AI1377" s="133"/>
      <c r="AJ1377" s="133"/>
      <c r="AK1377" s="133"/>
      <c r="AL1377" s="133"/>
      <c r="AM1377" s="133"/>
      <c r="AN1377" s="133"/>
      <c r="AO1377" s="133"/>
      <c r="AP1377" s="133"/>
      <c r="AQ1377" s="133"/>
      <c r="AR1377" s="133"/>
      <c r="AS1377" s="153">
        <v>0</v>
      </c>
      <c r="AT1377" s="153">
        <v>0</v>
      </c>
      <c r="AU1377" s="153">
        <v>0</v>
      </c>
      <c r="AV1377" s="135"/>
      <c r="AW1377" s="135"/>
      <c r="AX1377" s="135"/>
      <c r="AY1377" s="135"/>
      <c r="AZ1377" s="135"/>
      <c r="BA1377" s="135"/>
      <c r="BB1377" s="135"/>
      <c r="BC1377" s="135"/>
      <c r="BD1377" s="135"/>
      <c r="BE1377" s="135"/>
      <c r="BF1377" s="135"/>
      <c r="BG1377" s="135"/>
      <c r="BH1377" s="135"/>
      <c r="BI1377" s="2"/>
      <c r="BJ1377" s="136"/>
      <c r="BK1377" s="2"/>
      <c r="BL1377" s="136"/>
      <c r="BM1377" s="136"/>
      <c r="BN1377" s="2"/>
      <c r="BO1377" s="2"/>
      <c r="BP1377" s="136"/>
      <c r="BQ1377" s="137"/>
    </row>
    <row r="1378" spans="1:69" ht="12.75" customHeight="1" x14ac:dyDescent="0.2">
      <c r="A1378" s="2">
        <v>2867</v>
      </c>
      <c r="B1378" s="2"/>
      <c r="C1378" s="131"/>
      <c r="D1378" s="131"/>
      <c r="E1378" s="2"/>
      <c r="F1378" s="132">
        <v>0</v>
      </c>
      <c r="G1378" s="132"/>
      <c r="H1378" s="132">
        <f t="shared" si="157"/>
        <v>0</v>
      </c>
      <c r="I1378" s="132"/>
      <c r="J1378" s="132">
        <f t="shared" si="155"/>
        <v>0</v>
      </c>
      <c r="K1378" s="132">
        <f t="shared" si="158"/>
        <v>0</v>
      </c>
      <c r="L1378" s="132">
        <f t="shared" si="159"/>
        <v>0</v>
      </c>
      <c r="M1378" s="133"/>
      <c r="N1378" s="133">
        <f t="shared" si="156"/>
        <v>0</v>
      </c>
      <c r="O1378" s="134"/>
      <c r="P1378" s="133"/>
      <c r="Q1378" s="2"/>
      <c r="R1378" s="156">
        <f t="shared" si="160"/>
        <v>0</v>
      </c>
      <c r="S1378" s="156">
        <f t="shared" si="161"/>
        <v>0</v>
      </c>
      <c r="T1378" s="133"/>
      <c r="U1378" s="133"/>
      <c r="V1378" s="133"/>
      <c r="W1378" s="133"/>
      <c r="X1378" s="133"/>
      <c r="Y1378" s="133"/>
      <c r="Z1378" s="133"/>
      <c r="AA1378" s="133"/>
      <c r="AB1378" s="133"/>
      <c r="AC1378" s="133"/>
      <c r="AD1378" s="133"/>
      <c r="AE1378" s="133"/>
      <c r="AF1378" s="133"/>
      <c r="AG1378" s="133"/>
      <c r="AH1378" s="133"/>
      <c r="AI1378" s="133"/>
      <c r="AJ1378" s="133"/>
      <c r="AK1378" s="133"/>
      <c r="AL1378" s="133"/>
      <c r="AM1378" s="133"/>
      <c r="AN1378" s="133"/>
      <c r="AO1378" s="133"/>
      <c r="AP1378" s="133"/>
      <c r="AQ1378" s="133"/>
      <c r="AR1378" s="133"/>
      <c r="AS1378" s="153">
        <v>0</v>
      </c>
      <c r="AT1378" s="153">
        <v>0</v>
      </c>
      <c r="AU1378" s="153">
        <v>0</v>
      </c>
      <c r="AV1378" s="135"/>
      <c r="AW1378" s="135"/>
      <c r="AX1378" s="135"/>
      <c r="AY1378" s="135"/>
      <c r="AZ1378" s="135"/>
      <c r="BA1378" s="135"/>
      <c r="BB1378" s="135"/>
      <c r="BC1378" s="135"/>
      <c r="BD1378" s="135"/>
      <c r="BE1378" s="135"/>
      <c r="BF1378" s="135"/>
      <c r="BG1378" s="135"/>
      <c r="BH1378" s="135"/>
      <c r="BI1378" s="2"/>
      <c r="BJ1378" s="136"/>
      <c r="BK1378" s="2"/>
      <c r="BL1378" s="136"/>
      <c r="BM1378" s="136"/>
      <c r="BN1378" s="2"/>
      <c r="BO1378" s="2"/>
      <c r="BP1378" s="136"/>
      <c r="BQ1378" s="137"/>
    </row>
    <row r="1379" spans="1:69" ht="12.75" customHeight="1" x14ac:dyDescent="0.2">
      <c r="A1379" s="2">
        <v>2868</v>
      </c>
      <c r="B1379" s="2"/>
      <c r="C1379" s="131"/>
      <c r="D1379" s="131"/>
      <c r="E1379" s="2"/>
      <c r="F1379" s="132">
        <v>0</v>
      </c>
      <c r="G1379" s="132"/>
      <c r="H1379" s="132">
        <f t="shared" si="157"/>
        <v>0</v>
      </c>
      <c r="I1379" s="132"/>
      <c r="J1379" s="132">
        <f t="shared" si="155"/>
        <v>0</v>
      </c>
      <c r="K1379" s="132">
        <f t="shared" si="158"/>
        <v>0</v>
      </c>
      <c r="L1379" s="132">
        <f t="shared" si="159"/>
        <v>0</v>
      </c>
      <c r="M1379" s="133"/>
      <c r="N1379" s="133">
        <f t="shared" si="156"/>
        <v>0</v>
      </c>
      <c r="O1379" s="134"/>
      <c r="P1379" s="133"/>
      <c r="Q1379" s="2"/>
      <c r="R1379" s="156">
        <f t="shared" si="160"/>
        <v>0</v>
      </c>
      <c r="S1379" s="156">
        <f t="shared" si="161"/>
        <v>0</v>
      </c>
      <c r="T1379" s="133"/>
      <c r="U1379" s="133"/>
      <c r="V1379" s="133"/>
      <c r="W1379" s="133"/>
      <c r="X1379" s="133"/>
      <c r="Y1379" s="133"/>
      <c r="Z1379" s="133"/>
      <c r="AA1379" s="133"/>
      <c r="AB1379" s="133"/>
      <c r="AC1379" s="133"/>
      <c r="AD1379" s="133"/>
      <c r="AE1379" s="133"/>
      <c r="AF1379" s="133"/>
      <c r="AG1379" s="133"/>
      <c r="AH1379" s="133"/>
      <c r="AI1379" s="133"/>
      <c r="AJ1379" s="133"/>
      <c r="AK1379" s="133"/>
      <c r="AL1379" s="133"/>
      <c r="AM1379" s="133"/>
      <c r="AN1379" s="133"/>
      <c r="AO1379" s="133"/>
      <c r="AP1379" s="133"/>
      <c r="AQ1379" s="133"/>
      <c r="AR1379" s="133"/>
      <c r="AS1379" s="153">
        <v>0</v>
      </c>
      <c r="AT1379" s="153">
        <v>0</v>
      </c>
      <c r="AU1379" s="153">
        <v>0</v>
      </c>
      <c r="AV1379" s="135"/>
      <c r="AW1379" s="135"/>
      <c r="AX1379" s="135"/>
      <c r="AY1379" s="135"/>
      <c r="AZ1379" s="135"/>
      <c r="BA1379" s="135"/>
      <c r="BB1379" s="135"/>
      <c r="BC1379" s="135"/>
      <c r="BD1379" s="135"/>
      <c r="BE1379" s="135"/>
      <c r="BF1379" s="135"/>
      <c r="BG1379" s="135"/>
      <c r="BH1379" s="135"/>
      <c r="BI1379" s="2"/>
      <c r="BJ1379" s="136"/>
      <c r="BK1379" s="2"/>
      <c r="BL1379" s="136"/>
      <c r="BM1379" s="136"/>
      <c r="BN1379" s="2"/>
      <c r="BO1379" s="2"/>
      <c r="BP1379" s="136"/>
      <c r="BQ1379" s="137"/>
    </row>
    <row r="1380" spans="1:69" ht="12.75" customHeight="1" x14ac:dyDescent="0.2">
      <c r="A1380" s="2">
        <v>2869</v>
      </c>
      <c r="B1380" s="2"/>
      <c r="C1380" s="131"/>
      <c r="D1380" s="131"/>
      <c r="E1380" s="2"/>
      <c r="F1380" s="132">
        <v>0</v>
      </c>
      <c r="G1380" s="132"/>
      <c r="H1380" s="132">
        <f t="shared" si="157"/>
        <v>0</v>
      </c>
      <c r="I1380" s="132"/>
      <c r="J1380" s="132">
        <f t="shared" ref="J1380:J1443" si="162">S1380</f>
        <v>0</v>
      </c>
      <c r="K1380" s="132">
        <f t="shared" si="158"/>
        <v>0</v>
      </c>
      <c r="L1380" s="132">
        <f t="shared" si="159"/>
        <v>0</v>
      </c>
      <c r="M1380" s="133"/>
      <c r="N1380" s="133">
        <f t="shared" si="156"/>
        <v>0</v>
      </c>
      <c r="O1380" s="134"/>
      <c r="P1380" s="133"/>
      <c r="Q1380" s="2"/>
      <c r="R1380" s="156">
        <f t="shared" si="160"/>
        <v>0</v>
      </c>
      <c r="S1380" s="156">
        <f t="shared" si="161"/>
        <v>0</v>
      </c>
      <c r="T1380" s="133"/>
      <c r="U1380" s="133"/>
      <c r="V1380" s="133"/>
      <c r="W1380" s="133"/>
      <c r="X1380" s="133"/>
      <c r="Y1380" s="133"/>
      <c r="Z1380" s="133"/>
      <c r="AA1380" s="133"/>
      <c r="AB1380" s="133"/>
      <c r="AC1380" s="133"/>
      <c r="AD1380" s="133"/>
      <c r="AE1380" s="133"/>
      <c r="AF1380" s="133"/>
      <c r="AG1380" s="133"/>
      <c r="AH1380" s="133"/>
      <c r="AI1380" s="133"/>
      <c r="AJ1380" s="133"/>
      <c r="AK1380" s="133"/>
      <c r="AL1380" s="133"/>
      <c r="AM1380" s="133"/>
      <c r="AN1380" s="133"/>
      <c r="AO1380" s="133"/>
      <c r="AP1380" s="133"/>
      <c r="AQ1380" s="133"/>
      <c r="AR1380" s="133"/>
      <c r="AS1380" s="153">
        <v>0</v>
      </c>
      <c r="AT1380" s="153">
        <v>0</v>
      </c>
      <c r="AU1380" s="153">
        <v>0</v>
      </c>
      <c r="AV1380" s="135"/>
      <c r="AW1380" s="135"/>
      <c r="AX1380" s="135"/>
      <c r="AY1380" s="135"/>
      <c r="AZ1380" s="135"/>
      <c r="BA1380" s="135"/>
      <c r="BB1380" s="135"/>
      <c r="BC1380" s="135"/>
      <c r="BD1380" s="135"/>
      <c r="BE1380" s="135"/>
      <c r="BF1380" s="135"/>
      <c r="BG1380" s="135"/>
      <c r="BH1380" s="135"/>
      <c r="BI1380" s="2"/>
      <c r="BJ1380" s="136"/>
      <c r="BK1380" s="2"/>
      <c r="BL1380" s="136"/>
      <c r="BM1380" s="136"/>
      <c r="BN1380" s="2"/>
      <c r="BO1380" s="2"/>
      <c r="BP1380" s="136"/>
      <c r="BQ1380" s="137"/>
    </row>
    <row r="1381" spans="1:69" ht="12.75" customHeight="1" x14ac:dyDescent="0.2">
      <c r="A1381" s="2">
        <v>2870</v>
      </c>
      <c r="B1381" s="2"/>
      <c r="C1381" s="131"/>
      <c r="D1381" s="131"/>
      <c r="E1381" s="2"/>
      <c r="F1381" s="132">
        <v>0</v>
      </c>
      <c r="G1381" s="132"/>
      <c r="H1381" s="132">
        <f t="shared" si="157"/>
        <v>0</v>
      </c>
      <c r="I1381" s="132"/>
      <c r="J1381" s="132">
        <f t="shared" si="162"/>
        <v>0</v>
      </c>
      <c r="K1381" s="132">
        <f t="shared" si="158"/>
        <v>0</v>
      </c>
      <c r="L1381" s="132">
        <f t="shared" si="159"/>
        <v>0</v>
      </c>
      <c r="M1381" s="133"/>
      <c r="N1381" s="133">
        <f t="shared" si="156"/>
        <v>0</v>
      </c>
      <c r="O1381" s="134"/>
      <c r="P1381" s="133"/>
      <c r="Q1381" s="2"/>
      <c r="R1381" s="156">
        <f t="shared" si="160"/>
        <v>0</v>
      </c>
      <c r="S1381" s="156">
        <f t="shared" si="161"/>
        <v>0</v>
      </c>
      <c r="T1381" s="133"/>
      <c r="U1381" s="133"/>
      <c r="V1381" s="133"/>
      <c r="W1381" s="133"/>
      <c r="X1381" s="133"/>
      <c r="Y1381" s="133"/>
      <c r="Z1381" s="133"/>
      <c r="AA1381" s="133"/>
      <c r="AB1381" s="133"/>
      <c r="AC1381" s="133"/>
      <c r="AD1381" s="133"/>
      <c r="AE1381" s="133"/>
      <c r="AF1381" s="133"/>
      <c r="AG1381" s="133"/>
      <c r="AH1381" s="133"/>
      <c r="AI1381" s="133"/>
      <c r="AJ1381" s="133"/>
      <c r="AK1381" s="133"/>
      <c r="AL1381" s="133"/>
      <c r="AM1381" s="133"/>
      <c r="AN1381" s="133"/>
      <c r="AO1381" s="133"/>
      <c r="AP1381" s="133"/>
      <c r="AQ1381" s="133"/>
      <c r="AR1381" s="133"/>
      <c r="AS1381" s="153">
        <v>0</v>
      </c>
      <c r="AT1381" s="153">
        <v>0</v>
      </c>
      <c r="AU1381" s="153">
        <v>0</v>
      </c>
      <c r="AV1381" s="135"/>
      <c r="AW1381" s="135"/>
      <c r="AX1381" s="135"/>
      <c r="AY1381" s="135"/>
      <c r="AZ1381" s="135"/>
      <c r="BA1381" s="135"/>
      <c r="BB1381" s="135"/>
      <c r="BC1381" s="135"/>
      <c r="BD1381" s="135"/>
      <c r="BE1381" s="135"/>
      <c r="BF1381" s="135"/>
      <c r="BG1381" s="135"/>
      <c r="BH1381" s="135"/>
      <c r="BI1381" s="2"/>
      <c r="BJ1381" s="136"/>
      <c r="BK1381" s="2"/>
      <c r="BL1381" s="136"/>
      <c r="BM1381" s="136"/>
      <c r="BN1381" s="2"/>
      <c r="BO1381" s="2"/>
      <c r="BP1381" s="136"/>
      <c r="BQ1381" s="137"/>
    </row>
    <row r="1382" spans="1:69" ht="12.75" customHeight="1" x14ac:dyDescent="0.2">
      <c r="A1382" s="2">
        <v>2871</v>
      </c>
      <c r="B1382" s="2"/>
      <c r="C1382" s="131"/>
      <c r="D1382" s="131"/>
      <c r="E1382" s="2"/>
      <c r="F1382" s="132">
        <v>0</v>
      </c>
      <c r="G1382" s="132"/>
      <c r="H1382" s="132">
        <f t="shared" si="157"/>
        <v>0</v>
      </c>
      <c r="I1382" s="132"/>
      <c r="J1382" s="132">
        <f t="shared" si="162"/>
        <v>0</v>
      </c>
      <c r="K1382" s="132">
        <f t="shared" si="158"/>
        <v>0</v>
      </c>
      <c r="L1382" s="132">
        <f t="shared" si="159"/>
        <v>0</v>
      </c>
      <c r="M1382" s="133"/>
      <c r="N1382" s="133">
        <f t="shared" si="156"/>
        <v>0</v>
      </c>
      <c r="O1382" s="134"/>
      <c r="P1382" s="133"/>
      <c r="Q1382" s="2"/>
      <c r="R1382" s="156">
        <f t="shared" si="160"/>
        <v>0</v>
      </c>
      <c r="S1382" s="156">
        <f t="shared" si="161"/>
        <v>0</v>
      </c>
      <c r="T1382" s="133"/>
      <c r="U1382" s="133"/>
      <c r="V1382" s="133"/>
      <c r="W1382" s="133"/>
      <c r="X1382" s="133"/>
      <c r="Y1382" s="133"/>
      <c r="Z1382" s="133"/>
      <c r="AA1382" s="133"/>
      <c r="AB1382" s="133"/>
      <c r="AC1382" s="133"/>
      <c r="AD1382" s="133"/>
      <c r="AE1382" s="133"/>
      <c r="AF1382" s="133"/>
      <c r="AG1382" s="133"/>
      <c r="AH1382" s="133"/>
      <c r="AI1382" s="133"/>
      <c r="AJ1382" s="133"/>
      <c r="AK1382" s="133"/>
      <c r="AL1382" s="133"/>
      <c r="AM1382" s="133"/>
      <c r="AN1382" s="133"/>
      <c r="AO1382" s="133"/>
      <c r="AP1382" s="133"/>
      <c r="AQ1382" s="133"/>
      <c r="AR1382" s="133"/>
      <c r="AS1382" s="153">
        <v>0</v>
      </c>
      <c r="AT1382" s="153">
        <v>0</v>
      </c>
      <c r="AU1382" s="153">
        <v>0</v>
      </c>
      <c r="AV1382" s="135"/>
      <c r="AW1382" s="135"/>
      <c r="AX1382" s="135"/>
      <c r="AY1382" s="135"/>
      <c r="AZ1382" s="135"/>
      <c r="BA1382" s="135"/>
      <c r="BB1382" s="135"/>
      <c r="BC1382" s="135"/>
      <c r="BD1382" s="135"/>
      <c r="BE1382" s="135"/>
      <c r="BF1382" s="135"/>
      <c r="BG1382" s="135"/>
      <c r="BH1382" s="135"/>
      <c r="BI1382" s="2"/>
      <c r="BJ1382" s="136"/>
      <c r="BK1382" s="2"/>
      <c r="BL1382" s="136"/>
      <c r="BM1382" s="136"/>
      <c r="BN1382" s="2"/>
      <c r="BO1382" s="2"/>
      <c r="BP1382" s="136"/>
      <c r="BQ1382" s="137"/>
    </row>
    <row r="1383" spans="1:69" ht="12.75" customHeight="1" x14ac:dyDescent="0.2">
      <c r="A1383" s="2">
        <v>2872</v>
      </c>
      <c r="B1383" s="2"/>
      <c r="C1383" s="131"/>
      <c r="D1383" s="131"/>
      <c r="E1383" s="2"/>
      <c r="F1383" s="132">
        <v>0</v>
      </c>
      <c r="G1383" s="132"/>
      <c r="H1383" s="132">
        <f t="shared" si="157"/>
        <v>0</v>
      </c>
      <c r="I1383" s="132"/>
      <c r="J1383" s="132">
        <f t="shared" si="162"/>
        <v>0</v>
      </c>
      <c r="K1383" s="132">
        <f t="shared" si="158"/>
        <v>0</v>
      </c>
      <c r="L1383" s="132">
        <f t="shared" si="159"/>
        <v>0</v>
      </c>
      <c r="M1383" s="133"/>
      <c r="N1383" s="133">
        <f t="shared" si="156"/>
        <v>0</v>
      </c>
      <c r="O1383" s="134"/>
      <c r="P1383" s="133"/>
      <c r="Q1383" s="2"/>
      <c r="R1383" s="156">
        <f t="shared" si="160"/>
        <v>0</v>
      </c>
      <c r="S1383" s="156">
        <f t="shared" si="161"/>
        <v>0</v>
      </c>
      <c r="T1383" s="133"/>
      <c r="U1383" s="133"/>
      <c r="V1383" s="133"/>
      <c r="W1383" s="133"/>
      <c r="X1383" s="133"/>
      <c r="Y1383" s="133"/>
      <c r="Z1383" s="133"/>
      <c r="AA1383" s="133"/>
      <c r="AB1383" s="133"/>
      <c r="AC1383" s="133"/>
      <c r="AD1383" s="133"/>
      <c r="AE1383" s="133"/>
      <c r="AF1383" s="133"/>
      <c r="AG1383" s="133"/>
      <c r="AH1383" s="133"/>
      <c r="AI1383" s="133"/>
      <c r="AJ1383" s="133"/>
      <c r="AK1383" s="133"/>
      <c r="AL1383" s="133"/>
      <c r="AM1383" s="133"/>
      <c r="AN1383" s="133"/>
      <c r="AO1383" s="133"/>
      <c r="AP1383" s="133"/>
      <c r="AQ1383" s="133"/>
      <c r="AR1383" s="133"/>
      <c r="AS1383" s="153">
        <v>0</v>
      </c>
      <c r="AT1383" s="153">
        <v>0</v>
      </c>
      <c r="AU1383" s="153">
        <v>0</v>
      </c>
      <c r="AV1383" s="135"/>
      <c r="AW1383" s="135"/>
      <c r="AX1383" s="135"/>
      <c r="AY1383" s="135"/>
      <c r="AZ1383" s="135"/>
      <c r="BA1383" s="135"/>
      <c r="BB1383" s="135"/>
      <c r="BC1383" s="135"/>
      <c r="BD1383" s="135"/>
      <c r="BE1383" s="135"/>
      <c r="BF1383" s="135"/>
      <c r="BG1383" s="135"/>
      <c r="BH1383" s="135"/>
      <c r="BI1383" s="2"/>
      <c r="BJ1383" s="136"/>
      <c r="BK1383" s="2"/>
      <c r="BL1383" s="136"/>
      <c r="BM1383" s="136"/>
      <c r="BN1383" s="2"/>
      <c r="BO1383" s="2"/>
      <c r="BP1383" s="136"/>
      <c r="BQ1383" s="137"/>
    </row>
    <row r="1384" spans="1:69" ht="12.75" customHeight="1" x14ac:dyDescent="0.2">
      <c r="A1384" s="2">
        <v>2873</v>
      </c>
      <c r="B1384" s="2"/>
      <c r="C1384" s="131"/>
      <c r="D1384" s="131"/>
      <c r="E1384" s="2"/>
      <c r="F1384" s="132">
        <v>0</v>
      </c>
      <c r="G1384" s="132"/>
      <c r="H1384" s="132">
        <f t="shared" si="157"/>
        <v>0</v>
      </c>
      <c r="I1384" s="132"/>
      <c r="J1384" s="132">
        <f t="shared" si="162"/>
        <v>0</v>
      </c>
      <c r="K1384" s="132">
        <f t="shared" si="158"/>
        <v>0</v>
      </c>
      <c r="L1384" s="132">
        <f t="shared" si="159"/>
        <v>0</v>
      </c>
      <c r="M1384" s="133"/>
      <c r="N1384" s="133">
        <f t="shared" si="156"/>
        <v>0</v>
      </c>
      <c r="O1384" s="134"/>
      <c r="P1384" s="133"/>
      <c r="Q1384" s="2"/>
      <c r="R1384" s="156">
        <f t="shared" si="160"/>
        <v>0</v>
      </c>
      <c r="S1384" s="156">
        <f t="shared" si="161"/>
        <v>0</v>
      </c>
      <c r="T1384" s="133"/>
      <c r="U1384" s="133"/>
      <c r="V1384" s="133"/>
      <c r="W1384" s="133"/>
      <c r="X1384" s="133"/>
      <c r="Y1384" s="133"/>
      <c r="Z1384" s="133"/>
      <c r="AA1384" s="133"/>
      <c r="AB1384" s="133"/>
      <c r="AC1384" s="133"/>
      <c r="AD1384" s="133"/>
      <c r="AE1384" s="133"/>
      <c r="AF1384" s="133"/>
      <c r="AG1384" s="133"/>
      <c r="AH1384" s="133"/>
      <c r="AI1384" s="133"/>
      <c r="AJ1384" s="133"/>
      <c r="AK1384" s="133"/>
      <c r="AL1384" s="133"/>
      <c r="AM1384" s="133"/>
      <c r="AN1384" s="133"/>
      <c r="AO1384" s="133"/>
      <c r="AP1384" s="133"/>
      <c r="AQ1384" s="133"/>
      <c r="AR1384" s="133"/>
      <c r="AS1384" s="153">
        <v>0</v>
      </c>
      <c r="AT1384" s="153">
        <v>0</v>
      </c>
      <c r="AU1384" s="153">
        <v>0</v>
      </c>
      <c r="AV1384" s="135"/>
      <c r="AW1384" s="135"/>
      <c r="AX1384" s="135"/>
      <c r="AY1384" s="135"/>
      <c r="AZ1384" s="135"/>
      <c r="BA1384" s="135"/>
      <c r="BB1384" s="135"/>
      <c r="BC1384" s="135"/>
      <c r="BD1384" s="135"/>
      <c r="BE1384" s="135"/>
      <c r="BF1384" s="135"/>
      <c r="BG1384" s="135"/>
      <c r="BH1384" s="135"/>
      <c r="BI1384" s="2"/>
      <c r="BJ1384" s="136"/>
      <c r="BK1384" s="2"/>
      <c r="BL1384" s="136"/>
      <c r="BM1384" s="136"/>
      <c r="BN1384" s="2"/>
      <c r="BO1384" s="2"/>
      <c r="BP1384" s="136"/>
      <c r="BQ1384" s="137"/>
    </row>
    <row r="1385" spans="1:69" ht="12.75" customHeight="1" x14ac:dyDescent="0.2">
      <c r="A1385" s="2">
        <v>2874</v>
      </c>
      <c r="B1385" s="2"/>
      <c r="C1385" s="131"/>
      <c r="D1385" s="131"/>
      <c r="E1385" s="2"/>
      <c r="F1385" s="132">
        <v>0</v>
      </c>
      <c r="G1385" s="132"/>
      <c r="H1385" s="132">
        <f t="shared" si="157"/>
        <v>0</v>
      </c>
      <c r="I1385" s="132"/>
      <c r="J1385" s="132">
        <f t="shared" si="162"/>
        <v>0</v>
      </c>
      <c r="K1385" s="132">
        <f t="shared" si="158"/>
        <v>0</v>
      </c>
      <c r="L1385" s="132">
        <f t="shared" si="159"/>
        <v>0</v>
      </c>
      <c r="M1385" s="133"/>
      <c r="N1385" s="133">
        <f t="shared" si="156"/>
        <v>0</v>
      </c>
      <c r="O1385" s="134"/>
      <c r="P1385" s="133"/>
      <c r="Q1385" s="2"/>
      <c r="R1385" s="156">
        <f t="shared" si="160"/>
        <v>0</v>
      </c>
      <c r="S1385" s="156">
        <f t="shared" si="161"/>
        <v>0</v>
      </c>
      <c r="T1385" s="133"/>
      <c r="U1385" s="133"/>
      <c r="V1385" s="133"/>
      <c r="W1385" s="133"/>
      <c r="X1385" s="133"/>
      <c r="Y1385" s="133"/>
      <c r="Z1385" s="133"/>
      <c r="AA1385" s="133"/>
      <c r="AB1385" s="133"/>
      <c r="AC1385" s="133"/>
      <c r="AD1385" s="133"/>
      <c r="AE1385" s="133"/>
      <c r="AF1385" s="133"/>
      <c r="AG1385" s="133"/>
      <c r="AH1385" s="133"/>
      <c r="AI1385" s="133"/>
      <c r="AJ1385" s="133"/>
      <c r="AK1385" s="133"/>
      <c r="AL1385" s="133"/>
      <c r="AM1385" s="133"/>
      <c r="AN1385" s="133"/>
      <c r="AO1385" s="133"/>
      <c r="AP1385" s="133"/>
      <c r="AQ1385" s="133"/>
      <c r="AR1385" s="133"/>
      <c r="AS1385" s="153">
        <v>0</v>
      </c>
      <c r="AT1385" s="153">
        <v>0</v>
      </c>
      <c r="AU1385" s="153">
        <v>0</v>
      </c>
      <c r="AV1385" s="135"/>
      <c r="AW1385" s="135"/>
      <c r="AX1385" s="135"/>
      <c r="AY1385" s="135"/>
      <c r="AZ1385" s="135"/>
      <c r="BA1385" s="135"/>
      <c r="BB1385" s="135"/>
      <c r="BC1385" s="135"/>
      <c r="BD1385" s="135"/>
      <c r="BE1385" s="135"/>
      <c r="BF1385" s="135"/>
      <c r="BG1385" s="135"/>
      <c r="BH1385" s="135"/>
      <c r="BI1385" s="2"/>
      <c r="BJ1385" s="136"/>
      <c r="BK1385" s="2"/>
      <c r="BL1385" s="136"/>
      <c r="BM1385" s="136"/>
      <c r="BN1385" s="2"/>
      <c r="BO1385" s="2"/>
      <c r="BP1385" s="136"/>
      <c r="BQ1385" s="137"/>
    </row>
    <row r="1386" spans="1:69" ht="12.75" customHeight="1" x14ac:dyDescent="0.2">
      <c r="A1386" s="2">
        <v>2875</v>
      </c>
      <c r="B1386" s="2"/>
      <c r="C1386" s="131"/>
      <c r="D1386" s="131"/>
      <c r="E1386" s="2"/>
      <c r="F1386" s="132">
        <v>0</v>
      </c>
      <c r="G1386" s="132"/>
      <c r="H1386" s="132">
        <f t="shared" si="157"/>
        <v>0</v>
      </c>
      <c r="I1386" s="132"/>
      <c r="J1386" s="132">
        <f t="shared" si="162"/>
        <v>0</v>
      </c>
      <c r="K1386" s="132">
        <f t="shared" si="158"/>
        <v>0</v>
      </c>
      <c r="L1386" s="132">
        <f t="shared" si="159"/>
        <v>0</v>
      </c>
      <c r="M1386" s="133"/>
      <c r="N1386" s="133">
        <f t="shared" ref="N1386:N1449" si="163">IF(OR(BK1386="принят",BK1386="Завершено",BK1386="ПриПро"),H1386-J1386,F1386-J1386)</f>
        <v>0</v>
      </c>
      <c r="O1386" s="134"/>
      <c r="P1386" s="133"/>
      <c r="Q1386" s="2"/>
      <c r="R1386" s="156">
        <f t="shared" si="160"/>
        <v>0</v>
      </c>
      <c r="S1386" s="156">
        <f t="shared" si="161"/>
        <v>0</v>
      </c>
      <c r="T1386" s="133"/>
      <c r="U1386" s="133"/>
      <c r="V1386" s="133"/>
      <c r="W1386" s="133"/>
      <c r="X1386" s="133"/>
      <c r="Y1386" s="133"/>
      <c r="Z1386" s="133"/>
      <c r="AA1386" s="133"/>
      <c r="AB1386" s="133"/>
      <c r="AC1386" s="133"/>
      <c r="AD1386" s="133"/>
      <c r="AE1386" s="133"/>
      <c r="AF1386" s="133"/>
      <c r="AG1386" s="133"/>
      <c r="AH1386" s="133"/>
      <c r="AI1386" s="133"/>
      <c r="AJ1386" s="133"/>
      <c r="AK1386" s="133"/>
      <c r="AL1386" s="133"/>
      <c r="AM1386" s="133"/>
      <c r="AN1386" s="133"/>
      <c r="AO1386" s="133"/>
      <c r="AP1386" s="133"/>
      <c r="AQ1386" s="133"/>
      <c r="AR1386" s="133"/>
      <c r="AS1386" s="153">
        <v>0</v>
      </c>
      <c r="AT1386" s="153">
        <v>0</v>
      </c>
      <c r="AU1386" s="153">
        <v>0</v>
      </c>
      <c r="AV1386" s="135"/>
      <c r="AW1386" s="135"/>
      <c r="AX1386" s="135"/>
      <c r="AY1386" s="135"/>
      <c r="AZ1386" s="135"/>
      <c r="BA1386" s="135"/>
      <c r="BB1386" s="135"/>
      <c r="BC1386" s="135"/>
      <c r="BD1386" s="135"/>
      <c r="BE1386" s="135"/>
      <c r="BF1386" s="135"/>
      <c r="BG1386" s="135"/>
      <c r="BH1386" s="135"/>
      <c r="BI1386" s="2"/>
      <c r="BJ1386" s="136"/>
      <c r="BK1386" s="2"/>
      <c r="BL1386" s="136"/>
      <c r="BM1386" s="136"/>
      <c r="BN1386" s="2"/>
      <c r="BO1386" s="2"/>
      <c r="BP1386" s="136"/>
      <c r="BQ1386" s="137"/>
    </row>
    <row r="1387" spans="1:69" ht="12.75" customHeight="1" x14ac:dyDescent="0.2">
      <c r="A1387" s="2">
        <v>2876</v>
      </c>
      <c r="B1387" s="2"/>
      <c r="C1387" s="131"/>
      <c r="D1387" s="131"/>
      <c r="E1387" s="2"/>
      <c r="F1387" s="132">
        <v>0</v>
      </c>
      <c r="G1387" s="132"/>
      <c r="H1387" s="132">
        <f t="shared" si="157"/>
        <v>0</v>
      </c>
      <c r="I1387" s="132"/>
      <c r="J1387" s="132">
        <f t="shared" si="162"/>
        <v>0</v>
      </c>
      <c r="K1387" s="132">
        <f t="shared" si="158"/>
        <v>0</v>
      </c>
      <c r="L1387" s="132">
        <f t="shared" si="159"/>
        <v>0</v>
      </c>
      <c r="M1387" s="133"/>
      <c r="N1387" s="133">
        <f t="shared" si="163"/>
        <v>0</v>
      </c>
      <c r="O1387" s="134"/>
      <c r="P1387" s="133"/>
      <c r="Q1387" s="2"/>
      <c r="R1387" s="156">
        <f t="shared" si="160"/>
        <v>0</v>
      </c>
      <c r="S1387" s="156">
        <f t="shared" si="161"/>
        <v>0</v>
      </c>
      <c r="T1387" s="133"/>
      <c r="U1387" s="133"/>
      <c r="V1387" s="133"/>
      <c r="W1387" s="133"/>
      <c r="X1387" s="133"/>
      <c r="Y1387" s="133"/>
      <c r="Z1387" s="133"/>
      <c r="AA1387" s="133"/>
      <c r="AB1387" s="133"/>
      <c r="AC1387" s="133"/>
      <c r="AD1387" s="133"/>
      <c r="AE1387" s="133"/>
      <c r="AF1387" s="133"/>
      <c r="AG1387" s="133"/>
      <c r="AH1387" s="133"/>
      <c r="AI1387" s="133"/>
      <c r="AJ1387" s="133"/>
      <c r="AK1387" s="133"/>
      <c r="AL1387" s="133"/>
      <c r="AM1387" s="133"/>
      <c r="AN1387" s="133"/>
      <c r="AO1387" s="133"/>
      <c r="AP1387" s="133"/>
      <c r="AQ1387" s="133"/>
      <c r="AR1387" s="133"/>
      <c r="AS1387" s="153">
        <v>0</v>
      </c>
      <c r="AT1387" s="153">
        <v>0</v>
      </c>
      <c r="AU1387" s="153">
        <v>0</v>
      </c>
      <c r="AV1387" s="135"/>
      <c r="AW1387" s="135"/>
      <c r="AX1387" s="135"/>
      <c r="AY1387" s="135"/>
      <c r="AZ1387" s="135"/>
      <c r="BA1387" s="135"/>
      <c r="BB1387" s="135"/>
      <c r="BC1387" s="135"/>
      <c r="BD1387" s="135"/>
      <c r="BE1387" s="135"/>
      <c r="BF1387" s="135"/>
      <c r="BG1387" s="135"/>
      <c r="BH1387" s="135"/>
      <c r="BI1387" s="2"/>
      <c r="BJ1387" s="136"/>
      <c r="BK1387" s="2"/>
      <c r="BL1387" s="136"/>
      <c r="BM1387" s="136"/>
      <c r="BN1387" s="2"/>
      <c r="BO1387" s="2"/>
      <c r="BP1387" s="136"/>
      <c r="BQ1387" s="137"/>
    </row>
    <row r="1388" spans="1:69" ht="12.75" customHeight="1" x14ac:dyDescent="0.2">
      <c r="A1388" s="2">
        <v>2877</v>
      </c>
      <c r="B1388" s="2"/>
      <c r="C1388" s="131"/>
      <c r="D1388" s="131"/>
      <c r="E1388" s="2"/>
      <c r="F1388" s="132">
        <v>0</v>
      </c>
      <c r="G1388" s="132"/>
      <c r="H1388" s="132">
        <f t="shared" si="157"/>
        <v>0</v>
      </c>
      <c r="I1388" s="132"/>
      <c r="J1388" s="132">
        <f t="shared" si="162"/>
        <v>0</v>
      </c>
      <c r="K1388" s="132">
        <f t="shared" si="158"/>
        <v>0</v>
      </c>
      <c r="L1388" s="132">
        <f t="shared" si="159"/>
        <v>0</v>
      </c>
      <c r="M1388" s="133"/>
      <c r="N1388" s="133">
        <f t="shared" si="163"/>
        <v>0</v>
      </c>
      <c r="O1388" s="134"/>
      <c r="P1388" s="133"/>
      <c r="Q1388" s="2"/>
      <c r="R1388" s="156">
        <f t="shared" si="160"/>
        <v>0</v>
      </c>
      <c r="S1388" s="156">
        <f t="shared" si="161"/>
        <v>0</v>
      </c>
      <c r="T1388" s="133"/>
      <c r="U1388" s="133"/>
      <c r="V1388" s="133"/>
      <c r="W1388" s="133"/>
      <c r="X1388" s="133"/>
      <c r="Y1388" s="133"/>
      <c r="Z1388" s="133"/>
      <c r="AA1388" s="133"/>
      <c r="AB1388" s="133"/>
      <c r="AC1388" s="133"/>
      <c r="AD1388" s="133"/>
      <c r="AE1388" s="133"/>
      <c r="AF1388" s="133"/>
      <c r="AG1388" s="133"/>
      <c r="AH1388" s="133"/>
      <c r="AI1388" s="133"/>
      <c r="AJ1388" s="133"/>
      <c r="AK1388" s="133"/>
      <c r="AL1388" s="133"/>
      <c r="AM1388" s="133"/>
      <c r="AN1388" s="133"/>
      <c r="AO1388" s="133"/>
      <c r="AP1388" s="133"/>
      <c r="AQ1388" s="133"/>
      <c r="AR1388" s="133"/>
      <c r="AS1388" s="153">
        <v>0</v>
      </c>
      <c r="AT1388" s="153">
        <v>0</v>
      </c>
      <c r="AU1388" s="153">
        <v>0</v>
      </c>
      <c r="AV1388" s="135"/>
      <c r="AW1388" s="135"/>
      <c r="AX1388" s="135"/>
      <c r="AY1388" s="135"/>
      <c r="AZ1388" s="135"/>
      <c r="BA1388" s="135"/>
      <c r="BB1388" s="135"/>
      <c r="BC1388" s="135"/>
      <c r="BD1388" s="135"/>
      <c r="BE1388" s="135"/>
      <c r="BF1388" s="135"/>
      <c r="BG1388" s="135"/>
      <c r="BH1388" s="135"/>
      <c r="BI1388" s="2"/>
      <c r="BJ1388" s="136"/>
      <c r="BK1388" s="2"/>
      <c r="BL1388" s="136"/>
      <c r="BM1388" s="136"/>
      <c r="BN1388" s="2"/>
      <c r="BO1388" s="2"/>
      <c r="BP1388" s="136"/>
      <c r="BQ1388" s="137"/>
    </row>
    <row r="1389" spans="1:69" ht="12.75" customHeight="1" x14ac:dyDescent="0.2">
      <c r="A1389" s="2">
        <v>2878</v>
      </c>
      <c r="B1389" s="2"/>
      <c r="C1389" s="131"/>
      <c r="D1389" s="131"/>
      <c r="E1389" s="2"/>
      <c r="F1389" s="132">
        <v>0</v>
      </c>
      <c r="G1389" s="132"/>
      <c r="H1389" s="132">
        <f t="shared" si="157"/>
        <v>0</v>
      </c>
      <c r="I1389" s="132"/>
      <c r="J1389" s="132">
        <f t="shared" si="162"/>
        <v>0</v>
      </c>
      <c r="K1389" s="132">
        <f t="shared" si="158"/>
        <v>0</v>
      </c>
      <c r="L1389" s="132">
        <f t="shared" si="159"/>
        <v>0</v>
      </c>
      <c r="M1389" s="133"/>
      <c r="N1389" s="133">
        <f t="shared" si="163"/>
        <v>0</v>
      </c>
      <c r="O1389" s="134"/>
      <c r="P1389" s="133"/>
      <c r="Q1389" s="2"/>
      <c r="R1389" s="156">
        <f t="shared" si="160"/>
        <v>0</v>
      </c>
      <c r="S1389" s="156">
        <f t="shared" si="161"/>
        <v>0</v>
      </c>
      <c r="T1389" s="133"/>
      <c r="U1389" s="133"/>
      <c r="V1389" s="133"/>
      <c r="W1389" s="133"/>
      <c r="X1389" s="133"/>
      <c r="Y1389" s="133"/>
      <c r="Z1389" s="133"/>
      <c r="AA1389" s="133"/>
      <c r="AB1389" s="133"/>
      <c r="AC1389" s="133"/>
      <c r="AD1389" s="133"/>
      <c r="AE1389" s="133"/>
      <c r="AF1389" s="133"/>
      <c r="AG1389" s="133"/>
      <c r="AH1389" s="133"/>
      <c r="AI1389" s="133"/>
      <c r="AJ1389" s="133"/>
      <c r="AK1389" s="133"/>
      <c r="AL1389" s="133"/>
      <c r="AM1389" s="133"/>
      <c r="AN1389" s="133"/>
      <c r="AO1389" s="133"/>
      <c r="AP1389" s="133"/>
      <c r="AQ1389" s="133"/>
      <c r="AR1389" s="133"/>
      <c r="AS1389" s="153">
        <v>0</v>
      </c>
      <c r="AT1389" s="153">
        <v>0</v>
      </c>
      <c r="AU1389" s="153">
        <v>0</v>
      </c>
      <c r="AV1389" s="135"/>
      <c r="AW1389" s="135"/>
      <c r="AX1389" s="135"/>
      <c r="AY1389" s="135"/>
      <c r="AZ1389" s="135"/>
      <c r="BA1389" s="135"/>
      <c r="BB1389" s="135"/>
      <c r="BC1389" s="135"/>
      <c r="BD1389" s="135"/>
      <c r="BE1389" s="135"/>
      <c r="BF1389" s="135"/>
      <c r="BG1389" s="135"/>
      <c r="BH1389" s="135"/>
      <c r="BI1389" s="2"/>
      <c r="BJ1389" s="136"/>
      <c r="BK1389" s="2"/>
      <c r="BL1389" s="136"/>
      <c r="BM1389" s="136"/>
      <c r="BN1389" s="2"/>
      <c r="BO1389" s="2"/>
      <c r="BP1389" s="136"/>
      <c r="BQ1389" s="137"/>
    </row>
    <row r="1390" spans="1:69" ht="12.75" customHeight="1" x14ac:dyDescent="0.2">
      <c r="A1390" s="2">
        <v>2879</v>
      </c>
      <c r="B1390" s="2"/>
      <c r="C1390" s="131"/>
      <c r="D1390" s="131"/>
      <c r="E1390" s="2"/>
      <c r="F1390" s="132">
        <v>0</v>
      </c>
      <c r="G1390" s="132"/>
      <c r="H1390" s="132">
        <f t="shared" ref="H1390:H1453" si="164">R1390</f>
        <v>0</v>
      </c>
      <c r="I1390" s="132"/>
      <c r="J1390" s="132">
        <f t="shared" si="162"/>
        <v>0</v>
      </c>
      <c r="K1390" s="132">
        <f t="shared" si="158"/>
        <v>0</v>
      </c>
      <c r="L1390" s="132">
        <f t="shared" si="159"/>
        <v>0</v>
      </c>
      <c r="M1390" s="133"/>
      <c r="N1390" s="133">
        <f t="shared" si="163"/>
        <v>0</v>
      </c>
      <c r="O1390" s="134"/>
      <c r="P1390" s="133"/>
      <c r="Q1390" s="2"/>
      <c r="R1390" s="156">
        <f t="shared" si="160"/>
        <v>0</v>
      </c>
      <c r="S1390" s="156">
        <f t="shared" si="161"/>
        <v>0</v>
      </c>
      <c r="T1390" s="133"/>
      <c r="U1390" s="133"/>
      <c r="V1390" s="133"/>
      <c r="W1390" s="133"/>
      <c r="X1390" s="133"/>
      <c r="Y1390" s="133"/>
      <c r="Z1390" s="133"/>
      <c r="AA1390" s="133"/>
      <c r="AB1390" s="133"/>
      <c r="AC1390" s="133"/>
      <c r="AD1390" s="133"/>
      <c r="AE1390" s="133"/>
      <c r="AF1390" s="133"/>
      <c r="AG1390" s="133"/>
      <c r="AH1390" s="133"/>
      <c r="AI1390" s="133"/>
      <c r="AJ1390" s="133"/>
      <c r="AK1390" s="133"/>
      <c r="AL1390" s="133"/>
      <c r="AM1390" s="133"/>
      <c r="AN1390" s="133"/>
      <c r="AO1390" s="133"/>
      <c r="AP1390" s="133"/>
      <c r="AQ1390" s="133"/>
      <c r="AR1390" s="133"/>
      <c r="AS1390" s="153">
        <v>0</v>
      </c>
      <c r="AT1390" s="153">
        <v>0</v>
      </c>
      <c r="AU1390" s="153">
        <v>0</v>
      </c>
      <c r="AV1390" s="135"/>
      <c r="AW1390" s="135"/>
      <c r="AX1390" s="135"/>
      <c r="AY1390" s="135"/>
      <c r="AZ1390" s="135"/>
      <c r="BA1390" s="135"/>
      <c r="BB1390" s="135"/>
      <c r="BC1390" s="135"/>
      <c r="BD1390" s="135"/>
      <c r="BE1390" s="135"/>
      <c r="BF1390" s="135"/>
      <c r="BG1390" s="135"/>
      <c r="BH1390" s="135"/>
      <c r="BI1390" s="2"/>
      <c r="BJ1390" s="136"/>
      <c r="BK1390" s="2"/>
      <c r="BL1390" s="136"/>
      <c r="BM1390" s="136"/>
      <c r="BN1390" s="2"/>
      <c r="BO1390" s="2"/>
      <c r="BP1390" s="136"/>
      <c r="BQ1390" s="137"/>
    </row>
    <row r="1391" spans="1:69" ht="12.75" customHeight="1" x14ac:dyDescent="0.2">
      <c r="A1391" s="2">
        <v>2880</v>
      </c>
      <c r="B1391" s="2"/>
      <c r="C1391" s="131"/>
      <c r="D1391" s="131"/>
      <c r="E1391" s="2"/>
      <c r="F1391" s="132">
        <v>0</v>
      </c>
      <c r="G1391" s="132"/>
      <c r="H1391" s="132">
        <f t="shared" si="164"/>
        <v>0</v>
      </c>
      <c r="I1391" s="132"/>
      <c r="J1391" s="132">
        <f t="shared" si="162"/>
        <v>0</v>
      </c>
      <c r="K1391" s="132">
        <f t="shared" si="158"/>
        <v>0</v>
      </c>
      <c r="L1391" s="132">
        <f t="shared" si="159"/>
        <v>0</v>
      </c>
      <c r="M1391" s="133"/>
      <c r="N1391" s="133">
        <f t="shared" si="163"/>
        <v>0</v>
      </c>
      <c r="O1391" s="134"/>
      <c r="P1391" s="133"/>
      <c r="Q1391" s="2"/>
      <c r="R1391" s="156">
        <f t="shared" si="160"/>
        <v>0</v>
      </c>
      <c r="S1391" s="156">
        <f t="shared" si="161"/>
        <v>0</v>
      </c>
      <c r="T1391" s="133"/>
      <c r="U1391" s="133"/>
      <c r="V1391" s="133"/>
      <c r="W1391" s="133"/>
      <c r="X1391" s="133"/>
      <c r="Y1391" s="133"/>
      <c r="Z1391" s="133"/>
      <c r="AA1391" s="133"/>
      <c r="AB1391" s="133"/>
      <c r="AC1391" s="133"/>
      <c r="AD1391" s="133"/>
      <c r="AE1391" s="133"/>
      <c r="AF1391" s="133"/>
      <c r="AG1391" s="133"/>
      <c r="AH1391" s="133"/>
      <c r="AI1391" s="133"/>
      <c r="AJ1391" s="133"/>
      <c r="AK1391" s="133"/>
      <c r="AL1391" s="133"/>
      <c r="AM1391" s="133"/>
      <c r="AN1391" s="133"/>
      <c r="AO1391" s="133"/>
      <c r="AP1391" s="133"/>
      <c r="AQ1391" s="133"/>
      <c r="AR1391" s="133"/>
      <c r="AS1391" s="153">
        <v>0</v>
      </c>
      <c r="AT1391" s="153">
        <v>0</v>
      </c>
      <c r="AU1391" s="153">
        <v>0</v>
      </c>
      <c r="AV1391" s="135"/>
      <c r="AW1391" s="135"/>
      <c r="AX1391" s="135"/>
      <c r="AY1391" s="135"/>
      <c r="AZ1391" s="135"/>
      <c r="BA1391" s="135"/>
      <c r="BB1391" s="135"/>
      <c r="BC1391" s="135"/>
      <c r="BD1391" s="135"/>
      <c r="BE1391" s="135"/>
      <c r="BF1391" s="135"/>
      <c r="BG1391" s="135"/>
      <c r="BH1391" s="135"/>
      <c r="BI1391" s="2"/>
      <c r="BJ1391" s="136"/>
      <c r="BK1391" s="2"/>
      <c r="BL1391" s="136"/>
      <c r="BM1391" s="136"/>
      <c r="BN1391" s="2"/>
      <c r="BO1391" s="2"/>
      <c r="BP1391" s="136"/>
      <c r="BQ1391" s="137"/>
    </row>
    <row r="1392" spans="1:69" ht="12.75" customHeight="1" x14ac:dyDescent="0.2">
      <c r="A1392" s="2">
        <v>2881</v>
      </c>
      <c r="B1392" s="2"/>
      <c r="C1392" s="131"/>
      <c r="D1392" s="131"/>
      <c r="E1392" s="2"/>
      <c r="F1392" s="132">
        <v>0</v>
      </c>
      <c r="G1392" s="132"/>
      <c r="H1392" s="132">
        <f t="shared" si="164"/>
        <v>0</v>
      </c>
      <c r="I1392" s="132"/>
      <c r="J1392" s="132">
        <f t="shared" si="162"/>
        <v>0</v>
      </c>
      <c r="K1392" s="132">
        <f t="shared" si="158"/>
        <v>0</v>
      </c>
      <c r="L1392" s="132">
        <f t="shared" si="159"/>
        <v>0</v>
      </c>
      <c r="M1392" s="133"/>
      <c r="N1392" s="133">
        <f t="shared" si="163"/>
        <v>0</v>
      </c>
      <c r="O1392" s="134"/>
      <c r="P1392" s="133"/>
      <c r="Q1392" s="2"/>
      <c r="R1392" s="156">
        <f t="shared" si="160"/>
        <v>0</v>
      </c>
      <c r="S1392" s="156">
        <f t="shared" si="161"/>
        <v>0</v>
      </c>
      <c r="T1392" s="133"/>
      <c r="U1392" s="133"/>
      <c r="V1392" s="133"/>
      <c r="W1392" s="133"/>
      <c r="X1392" s="133"/>
      <c r="Y1392" s="133"/>
      <c r="Z1392" s="133"/>
      <c r="AA1392" s="133"/>
      <c r="AB1392" s="133"/>
      <c r="AC1392" s="133"/>
      <c r="AD1392" s="133"/>
      <c r="AE1392" s="133"/>
      <c r="AF1392" s="133"/>
      <c r="AG1392" s="133"/>
      <c r="AH1392" s="133"/>
      <c r="AI1392" s="133"/>
      <c r="AJ1392" s="133"/>
      <c r="AK1392" s="133"/>
      <c r="AL1392" s="133"/>
      <c r="AM1392" s="133"/>
      <c r="AN1392" s="133"/>
      <c r="AO1392" s="133"/>
      <c r="AP1392" s="133"/>
      <c r="AQ1392" s="133"/>
      <c r="AR1392" s="133"/>
      <c r="AS1392" s="153">
        <v>0</v>
      </c>
      <c r="AT1392" s="153">
        <v>0</v>
      </c>
      <c r="AU1392" s="153">
        <v>0</v>
      </c>
      <c r="AV1392" s="135"/>
      <c r="AW1392" s="135"/>
      <c r="AX1392" s="135"/>
      <c r="AY1392" s="135"/>
      <c r="AZ1392" s="135"/>
      <c r="BA1392" s="135"/>
      <c r="BB1392" s="135"/>
      <c r="BC1392" s="135"/>
      <c r="BD1392" s="135"/>
      <c r="BE1392" s="135"/>
      <c r="BF1392" s="135"/>
      <c r="BG1392" s="135"/>
      <c r="BH1392" s="135"/>
      <c r="BI1392" s="2"/>
      <c r="BJ1392" s="136"/>
      <c r="BK1392" s="2"/>
      <c r="BL1392" s="136"/>
      <c r="BM1392" s="136"/>
      <c r="BN1392" s="2"/>
      <c r="BO1392" s="2"/>
      <c r="BP1392" s="136"/>
      <c r="BQ1392" s="137"/>
    </row>
    <row r="1393" spans="1:69" ht="12.75" customHeight="1" x14ac:dyDescent="0.2">
      <c r="A1393" s="2">
        <v>2882</v>
      </c>
      <c r="B1393" s="2"/>
      <c r="C1393" s="131"/>
      <c r="D1393" s="131"/>
      <c r="E1393" s="2"/>
      <c r="F1393" s="132">
        <v>0</v>
      </c>
      <c r="G1393" s="132"/>
      <c r="H1393" s="132">
        <f t="shared" si="164"/>
        <v>0</v>
      </c>
      <c r="I1393" s="132"/>
      <c r="J1393" s="132">
        <f t="shared" si="162"/>
        <v>0</v>
      </c>
      <c r="K1393" s="132">
        <f t="shared" si="158"/>
        <v>0</v>
      </c>
      <c r="L1393" s="132">
        <f t="shared" si="159"/>
        <v>0</v>
      </c>
      <c r="M1393" s="133"/>
      <c r="N1393" s="133">
        <f t="shared" si="163"/>
        <v>0</v>
      </c>
      <c r="O1393" s="134"/>
      <c r="P1393" s="133"/>
      <c r="Q1393" s="2"/>
      <c r="R1393" s="156">
        <f t="shared" si="160"/>
        <v>0</v>
      </c>
      <c r="S1393" s="156">
        <f t="shared" si="161"/>
        <v>0</v>
      </c>
      <c r="T1393" s="133"/>
      <c r="U1393" s="133"/>
      <c r="V1393" s="133"/>
      <c r="W1393" s="133"/>
      <c r="X1393" s="133"/>
      <c r="Y1393" s="133"/>
      <c r="Z1393" s="133"/>
      <c r="AA1393" s="133"/>
      <c r="AB1393" s="133"/>
      <c r="AC1393" s="133"/>
      <c r="AD1393" s="133"/>
      <c r="AE1393" s="133"/>
      <c r="AF1393" s="133"/>
      <c r="AG1393" s="133"/>
      <c r="AH1393" s="133"/>
      <c r="AI1393" s="133"/>
      <c r="AJ1393" s="133"/>
      <c r="AK1393" s="133"/>
      <c r="AL1393" s="133"/>
      <c r="AM1393" s="133"/>
      <c r="AN1393" s="133"/>
      <c r="AO1393" s="133"/>
      <c r="AP1393" s="133"/>
      <c r="AQ1393" s="133"/>
      <c r="AR1393" s="133"/>
      <c r="AS1393" s="153">
        <v>0</v>
      </c>
      <c r="AT1393" s="153">
        <v>0</v>
      </c>
      <c r="AU1393" s="153">
        <v>0</v>
      </c>
      <c r="AV1393" s="135"/>
      <c r="AW1393" s="135"/>
      <c r="AX1393" s="135"/>
      <c r="AY1393" s="135"/>
      <c r="AZ1393" s="135"/>
      <c r="BA1393" s="135"/>
      <c r="BB1393" s="135"/>
      <c r="BC1393" s="135"/>
      <c r="BD1393" s="135"/>
      <c r="BE1393" s="135"/>
      <c r="BF1393" s="135"/>
      <c r="BG1393" s="135"/>
      <c r="BH1393" s="135"/>
      <c r="BI1393" s="2"/>
      <c r="BJ1393" s="136"/>
      <c r="BK1393" s="2"/>
      <c r="BL1393" s="136"/>
      <c r="BM1393" s="136"/>
      <c r="BN1393" s="2"/>
      <c r="BO1393" s="2"/>
      <c r="BP1393" s="136"/>
      <c r="BQ1393" s="137"/>
    </row>
    <row r="1394" spans="1:69" ht="12.75" customHeight="1" x14ac:dyDescent="0.2">
      <c r="A1394" s="2">
        <v>2883</v>
      </c>
      <c r="B1394" s="2"/>
      <c r="C1394" s="131"/>
      <c r="D1394" s="131"/>
      <c r="E1394" s="2"/>
      <c r="F1394" s="132">
        <v>0</v>
      </c>
      <c r="G1394" s="132"/>
      <c r="H1394" s="132">
        <f t="shared" si="164"/>
        <v>0</v>
      </c>
      <c r="I1394" s="132"/>
      <c r="J1394" s="132">
        <f t="shared" si="162"/>
        <v>0</v>
      </c>
      <c r="K1394" s="132">
        <f t="shared" si="158"/>
        <v>0</v>
      </c>
      <c r="L1394" s="132">
        <f t="shared" si="159"/>
        <v>0</v>
      </c>
      <c r="M1394" s="133"/>
      <c r="N1394" s="133">
        <f t="shared" si="163"/>
        <v>0</v>
      </c>
      <c r="O1394" s="134"/>
      <c r="P1394" s="133"/>
      <c r="Q1394" s="2"/>
      <c r="R1394" s="156">
        <f t="shared" si="160"/>
        <v>0</v>
      </c>
      <c r="S1394" s="156">
        <f t="shared" si="161"/>
        <v>0</v>
      </c>
      <c r="T1394" s="133"/>
      <c r="U1394" s="133"/>
      <c r="V1394" s="133"/>
      <c r="W1394" s="133"/>
      <c r="X1394" s="133"/>
      <c r="Y1394" s="133"/>
      <c r="Z1394" s="133"/>
      <c r="AA1394" s="133"/>
      <c r="AB1394" s="133"/>
      <c r="AC1394" s="133"/>
      <c r="AD1394" s="133"/>
      <c r="AE1394" s="133"/>
      <c r="AF1394" s="133"/>
      <c r="AG1394" s="133"/>
      <c r="AH1394" s="133"/>
      <c r="AI1394" s="133"/>
      <c r="AJ1394" s="133"/>
      <c r="AK1394" s="133"/>
      <c r="AL1394" s="133"/>
      <c r="AM1394" s="133"/>
      <c r="AN1394" s="133"/>
      <c r="AO1394" s="133"/>
      <c r="AP1394" s="133"/>
      <c r="AQ1394" s="133"/>
      <c r="AR1394" s="133"/>
      <c r="AS1394" s="153">
        <v>0</v>
      </c>
      <c r="AT1394" s="153">
        <v>0</v>
      </c>
      <c r="AU1394" s="153">
        <v>0</v>
      </c>
      <c r="AV1394" s="135"/>
      <c r="AW1394" s="135"/>
      <c r="AX1394" s="135"/>
      <c r="AY1394" s="135"/>
      <c r="AZ1394" s="135"/>
      <c r="BA1394" s="135"/>
      <c r="BB1394" s="135"/>
      <c r="BC1394" s="135"/>
      <c r="BD1394" s="135"/>
      <c r="BE1394" s="135"/>
      <c r="BF1394" s="135"/>
      <c r="BG1394" s="135"/>
      <c r="BH1394" s="135"/>
      <c r="BI1394" s="2"/>
      <c r="BJ1394" s="136"/>
      <c r="BK1394" s="2"/>
      <c r="BL1394" s="136"/>
      <c r="BM1394" s="136"/>
      <c r="BN1394" s="2"/>
      <c r="BO1394" s="2"/>
      <c r="BP1394" s="136"/>
      <c r="BQ1394" s="137"/>
    </row>
    <row r="1395" spans="1:69" ht="12.75" customHeight="1" x14ac:dyDescent="0.2">
      <c r="A1395" s="2">
        <v>2884</v>
      </c>
      <c r="B1395" s="2"/>
      <c r="C1395" s="131"/>
      <c r="D1395" s="131"/>
      <c r="E1395" s="2"/>
      <c r="F1395" s="132">
        <v>0</v>
      </c>
      <c r="G1395" s="132"/>
      <c r="H1395" s="132">
        <f t="shared" si="164"/>
        <v>0</v>
      </c>
      <c r="I1395" s="132"/>
      <c r="J1395" s="132">
        <f t="shared" si="162"/>
        <v>0</v>
      </c>
      <c r="K1395" s="132">
        <f t="shared" si="158"/>
        <v>0</v>
      </c>
      <c r="L1395" s="132">
        <f t="shared" si="159"/>
        <v>0</v>
      </c>
      <c r="M1395" s="133"/>
      <c r="N1395" s="133">
        <f t="shared" si="163"/>
        <v>0</v>
      </c>
      <c r="O1395" s="134"/>
      <c r="P1395" s="133"/>
      <c r="Q1395" s="2"/>
      <c r="R1395" s="156">
        <f t="shared" si="160"/>
        <v>0</v>
      </c>
      <c r="S1395" s="156">
        <f t="shared" si="161"/>
        <v>0</v>
      </c>
      <c r="T1395" s="133"/>
      <c r="U1395" s="133"/>
      <c r="V1395" s="133"/>
      <c r="W1395" s="133"/>
      <c r="X1395" s="133"/>
      <c r="Y1395" s="133"/>
      <c r="Z1395" s="133"/>
      <c r="AA1395" s="133"/>
      <c r="AB1395" s="133"/>
      <c r="AC1395" s="133"/>
      <c r="AD1395" s="133"/>
      <c r="AE1395" s="133"/>
      <c r="AF1395" s="133"/>
      <c r="AG1395" s="133"/>
      <c r="AH1395" s="133"/>
      <c r="AI1395" s="133"/>
      <c r="AJ1395" s="133"/>
      <c r="AK1395" s="133"/>
      <c r="AL1395" s="133"/>
      <c r="AM1395" s="133"/>
      <c r="AN1395" s="133"/>
      <c r="AO1395" s="133"/>
      <c r="AP1395" s="133"/>
      <c r="AQ1395" s="133"/>
      <c r="AR1395" s="133"/>
      <c r="AS1395" s="153">
        <v>0</v>
      </c>
      <c r="AT1395" s="153">
        <v>0</v>
      </c>
      <c r="AU1395" s="153">
        <v>0</v>
      </c>
      <c r="AV1395" s="135"/>
      <c r="AW1395" s="135"/>
      <c r="AX1395" s="135"/>
      <c r="AY1395" s="135"/>
      <c r="AZ1395" s="135"/>
      <c r="BA1395" s="135"/>
      <c r="BB1395" s="135"/>
      <c r="BC1395" s="135"/>
      <c r="BD1395" s="135"/>
      <c r="BE1395" s="135"/>
      <c r="BF1395" s="135"/>
      <c r="BG1395" s="135"/>
      <c r="BH1395" s="135"/>
      <c r="BI1395" s="2"/>
      <c r="BJ1395" s="136"/>
      <c r="BK1395" s="2"/>
      <c r="BL1395" s="136"/>
      <c r="BM1395" s="136"/>
      <c r="BN1395" s="2"/>
      <c r="BO1395" s="2"/>
      <c r="BP1395" s="136"/>
      <c r="BQ1395" s="137"/>
    </row>
    <row r="1396" spans="1:69" ht="12.75" customHeight="1" x14ac:dyDescent="0.2">
      <c r="A1396" s="2">
        <v>2885</v>
      </c>
      <c r="B1396" s="2"/>
      <c r="C1396" s="131"/>
      <c r="D1396" s="131"/>
      <c r="E1396" s="2"/>
      <c r="F1396" s="132">
        <v>0</v>
      </c>
      <c r="G1396" s="132"/>
      <c r="H1396" s="132">
        <f t="shared" si="164"/>
        <v>0</v>
      </c>
      <c r="I1396" s="132"/>
      <c r="J1396" s="132">
        <f t="shared" si="162"/>
        <v>0</v>
      </c>
      <c r="K1396" s="132">
        <f t="shared" si="158"/>
        <v>0</v>
      </c>
      <c r="L1396" s="132">
        <f t="shared" si="159"/>
        <v>0</v>
      </c>
      <c r="M1396" s="133"/>
      <c r="N1396" s="133">
        <f t="shared" si="163"/>
        <v>0</v>
      </c>
      <c r="O1396" s="134"/>
      <c r="P1396" s="133"/>
      <c r="Q1396" s="2"/>
      <c r="R1396" s="156">
        <f t="shared" si="160"/>
        <v>0</v>
      </c>
      <c r="S1396" s="156">
        <f t="shared" si="161"/>
        <v>0</v>
      </c>
      <c r="T1396" s="133"/>
      <c r="U1396" s="133"/>
      <c r="V1396" s="133"/>
      <c r="W1396" s="133"/>
      <c r="X1396" s="133"/>
      <c r="Y1396" s="133"/>
      <c r="Z1396" s="133"/>
      <c r="AA1396" s="133"/>
      <c r="AB1396" s="133"/>
      <c r="AC1396" s="133"/>
      <c r="AD1396" s="133"/>
      <c r="AE1396" s="133"/>
      <c r="AF1396" s="133"/>
      <c r="AG1396" s="133"/>
      <c r="AH1396" s="133"/>
      <c r="AI1396" s="133"/>
      <c r="AJ1396" s="133"/>
      <c r="AK1396" s="133"/>
      <c r="AL1396" s="133"/>
      <c r="AM1396" s="133"/>
      <c r="AN1396" s="133"/>
      <c r="AO1396" s="133"/>
      <c r="AP1396" s="133"/>
      <c r="AQ1396" s="133"/>
      <c r="AR1396" s="133"/>
      <c r="AS1396" s="153">
        <v>0</v>
      </c>
      <c r="AT1396" s="153">
        <v>0</v>
      </c>
      <c r="AU1396" s="153">
        <v>0</v>
      </c>
      <c r="AV1396" s="135"/>
      <c r="AW1396" s="135"/>
      <c r="AX1396" s="135"/>
      <c r="AY1396" s="135"/>
      <c r="AZ1396" s="135"/>
      <c r="BA1396" s="135"/>
      <c r="BB1396" s="135"/>
      <c r="BC1396" s="135"/>
      <c r="BD1396" s="135"/>
      <c r="BE1396" s="135"/>
      <c r="BF1396" s="135"/>
      <c r="BG1396" s="135"/>
      <c r="BH1396" s="135"/>
      <c r="BI1396" s="2"/>
      <c r="BJ1396" s="136"/>
      <c r="BK1396" s="2"/>
      <c r="BL1396" s="136"/>
      <c r="BM1396" s="136"/>
      <c r="BN1396" s="2"/>
      <c r="BO1396" s="2"/>
      <c r="BP1396" s="136"/>
      <c r="BQ1396" s="137"/>
    </row>
    <row r="1397" spans="1:69" ht="12.75" customHeight="1" x14ac:dyDescent="0.2">
      <c r="A1397" s="2">
        <v>2886</v>
      </c>
      <c r="B1397" s="2"/>
      <c r="C1397" s="131"/>
      <c r="D1397" s="131"/>
      <c r="E1397" s="2"/>
      <c r="F1397" s="132">
        <v>0</v>
      </c>
      <c r="G1397" s="132"/>
      <c r="H1397" s="132">
        <f t="shared" si="164"/>
        <v>0</v>
      </c>
      <c r="I1397" s="132"/>
      <c r="J1397" s="132">
        <f t="shared" si="162"/>
        <v>0</v>
      </c>
      <c r="K1397" s="132">
        <f t="shared" si="158"/>
        <v>0</v>
      </c>
      <c r="L1397" s="132">
        <f t="shared" si="159"/>
        <v>0</v>
      </c>
      <c r="M1397" s="133"/>
      <c r="N1397" s="133">
        <f t="shared" si="163"/>
        <v>0</v>
      </c>
      <c r="O1397" s="134"/>
      <c r="P1397" s="133"/>
      <c r="Q1397" s="2"/>
      <c r="R1397" s="156">
        <f t="shared" si="160"/>
        <v>0</v>
      </c>
      <c r="S1397" s="156">
        <f t="shared" si="161"/>
        <v>0</v>
      </c>
      <c r="T1397" s="133"/>
      <c r="U1397" s="133"/>
      <c r="V1397" s="133"/>
      <c r="W1397" s="133"/>
      <c r="X1397" s="133"/>
      <c r="Y1397" s="133"/>
      <c r="Z1397" s="133"/>
      <c r="AA1397" s="133"/>
      <c r="AB1397" s="133"/>
      <c r="AC1397" s="133"/>
      <c r="AD1397" s="133"/>
      <c r="AE1397" s="133"/>
      <c r="AF1397" s="133"/>
      <c r="AG1397" s="133"/>
      <c r="AH1397" s="133"/>
      <c r="AI1397" s="133"/>
      <c r="AJ1397" s="133"/>
      <c r="AK1397" s="133"/>
      <c r="AL1397" s="133"/>
      <c r="AM1397" s="133"/>
      <c r="AN1397" s="133"/>
      <c r="AO1397" s="133"/>
      <c r="AP1397" s="133"/>
      <c r="AQ1397" s="133"/>
      <c r="AR1397" s="133"/>
      <c r="AS1397" s="153">
        <v>0</v>
      </c>
      <c r="AT1397" s="153">
        <v>0</v>
      </c>
      <c r="AU1397" s="153">
        <v>0</v>
      </c>
      <c r="AV1397" s="135"/>
      <c r="AW1397" s="135"/>
      <c r="AX1397" s="135"/>
      <c r="AY1397" s="135"/>
      <c r="AZ1397" s="135"/>
      <c r="BA1397" s="135"/>
      <c r="BB1397" s="135"/>
      <c r="BC1397" s="135"/>
      <c r="BD1397" s="135"/>
      <c r="BE1397" s="135"/>
      <c r="BF1397" s="135"/>
      <c r="BG1397" s="135"/>
      <c r="BH1397" s="135"/>
      <c r="BI1397" s="2"/>
      <c r="BJ1397" s="136"/>
      <c r="BK1397" s="2"/>
      <c r="BL1397" s="136"/>
      <c r="BM1397" s="136"/>
      <c r="BN1397" s="2"/>
      <c r="BO1397" s="2"/>
      <c r="BP1397" s="136"/>
      <c r="BQ1397" s="137"/>
    </row>
    <row r="1398" spans="1:69" ht="12.75" customHeight="1" x14ac:dyDescent="0.2">
      <c r="A1398" s="2">
        <v>2887</v>
      </c>
      <c r="B1398" s="2"/>
      <c r="C1398" s="131"/>
      <c r="D1398" s="131"/>
      <c r="E1398" s="2"/>
      <c r="F1398" s="132">
        <v>0</v>
      </c>
      <c r="G1398" s="132"/>
      <c r="H1398" s="132">
        <f t="shared" si="164"/>
        <v>0</v>
      </c>
      <c r="I1398" s="132"/>
      <c r="J1398" s="132">
        <f t="shared" si="162"/>
        <v>0</v>
      </c>
      <c r="K1398" s="132">
        <f t="shared" ref="K1398:K1461" si="165">F1398-J1398</f>
        <v>0</v>
      </c>
      <c r="L1398" s="132">
        <f t="shared" si="159"/>
        <v>0</v>
      </c>
      <c r="M1398" s="133"/>
      <c r="N1398" s="133">
        <f t="shared" si="163"/>
        <v>0</v>
      </c>
      <c r="O1398" s="134"/>
      <c r="P1398" s="133"/>
      <c r="Q1398" s="2"/>
      <c r="R1398" s="156">
        <f t="shared" si="160"/>
        <v>0</v>
      </c>
      <c r="S1398" s="156">
        <f t="shared" si="161"/>
        <v>0</v>
      </c>
      <c r="T1398" s="133"/>
      <c r="U1398" s="133"/>
      <c r="V1398" s="133"/>
      <c r="W1398" s="133"/>
      <c r="X1398" s="133"/>
      <c r="Y1398" s="133"/>
      <c r="Z1398" s="133"/>
      <c r="AA1398" s="133"/>
      <c r="AB1398" s="133"/>
      <c r="AC1398" s="133"/>
      <c r="AD1398" s="133"/>
      <c r="AE1398" s="133"/>
      <c r="AF1398" s="133"/>
      <c r="AG1398" s="133"/>
      <c r="AH1398" s="133"/>
      <c r="AI1398" s="133"/>
      <c r="AJ1398" s="133"/>
      <c r="AK1398" s="133"/>
      <c r="AL1398" s="133"/>
      <c r="AM1398" s="133"/>
      <c r="AN1398" s="133"/>
      <c r="AO1398" s="133"/>
      <c r="AP1398" s="133"/>
      <c r="AQ1398" s="133"/>
      <c r="AR1398" s="133"/>
      <c r="AS1398" s="153">
        <v>0</v>
      </c>
      <c r="AT1398" s="153">
        <v>0</v>
      </c>
      <c r="AU1398" s="153">
        <v>0</v>
      </c>
      <c r="AV1398" s="135"/>
      <c r="AW1398" s="135"/>
      <c r="AX1398" s="135"/>
      <c r="AY1398" s="135"/>
      <c r="AZ1398" s="135"/>
      <c r="BA1398" s="135"/>
      <c r="BB1398" s="135"/>
      <c r="BC1398" s="135"/>
      <c r="BD1398" s="135"/>
      <c r="BE1398" s="135"/>
      <c r="BF1398" s="135"/>
      <c r="BG1398" s="135"/>
      <c r="BH1398" s="135"/>
      <c r="BI1398" s="2"/>
      <c r="BJ1398" s="136"/>
      <c r="BK1398" s="2"/>
      <c r="BL1398" s="136"/>
      <c r="BM1398" s="136"/>
      <c r="BN1398" s="2"/>
      <c r="BO1398" s="2"/>
      <c r="BP1398" s="136"/>
      <c r="BQ1398" s="137"/>
    </row>
    <row r="1399" spans="1:69" ht="12.75" customHeight="1" x14ac:dyDescent="0.2">
      <c r="A1399" s="2">
        <v>2888</v>
      </c>
      <c r="B1399" s="2"/>
      <c r="C1399" s="131"/>
      <c r="D1399" s="131"/>
      <c r="E1399" s="2"/>
      <c r="F1399" s="132">
        <v>0</v>
      </c>
      <c r="G1399" s="132"/>
      <c r="H1399" s="132">
        <f t="shared" si="164"/>
        <v>0</v>
      </c>
      <c r="I1399" s="132"/>
      <c r="J1399" s="132">
        <f t="shared" si="162"/>
        <v>0</v>
      </c>
      <c r="K1399" s="132">
        <f t="shared" si="165"/>
        <v>0</v>
      </c>
      <c r="L1399" s="132">
        <f t="shared" si="159"/>
        <v>0</v>
      </c>
      <c r="M1399" s="133"/>
      <c r="N1399" s="133">
        <f t="shared" si="163"/>
        <v>0</v>
      </c>
      <c r="O1399" s="134"/>
      <c r="P1399" s="133"/>
      <c r="Q1399" s="2"/>
      <c r="R1399" s="156">
        <f t="shared" si="160"/>
        <v>0</v>
      </c>
      <c r="S1399" s="156">
        <f t="shared" si="161"/>
        <v>0</v>
      </c>
      <c r="T1399" s="133"/>
      <c r="U1399" s="133"/>
      <c r="V1399" s="133"/>
      <c r="W1399" s="133"/>
      <c r="X1399" s="133"/>
      <c r="Y1399" s="133"/>
      <c r="Z1399" s="133"/>
      <c r="AA1399" s="133"/>
      <c r="AB1399" s="133"/>
      <c r="AC1399" s="133"/>
      <c r="AD1399" s="133"/>
      <c r="AE1399" s="133"/>
      <c r="AF1399" s="133"/>
      <c r="AG1399" s="133"/>
      <c r="AH1399" s="133"/>
      <c r="AI1399" s="133"/>
      <c r="AJ1399" s="133"/>
      <c r="AK1399" s="133"/>
      <c r="AL1399" s="133"/>
      <c r="AM1399" s="133"/>
      <c r="AN1399" s="133"/>
      <c r="AO1399" s="133"/>
      <c r="AP1399" s="133"/>
      <c r="AQ1399" s="133"/>
      <c r="AR1399" s="133"/>
      <c r="AS1399" s="153">
        <v>0</v>
      </c>
      <c r="AT1399" s="153">
        <v>0</v>
      </c>
      <c r="AU1399" s="153">
        <v>0</v>
      </c>
      <c r="AV1399" s="135"/>
      <c r="AW1399" s="135"/>
      <c r="AX1399" s="135"/>
      <c r="AY1399" s="135"/>
      <c r="AZ1399" s="135"/>
      <c r="BA1399" s="135"/>
      <c r="BB1399" s="135"/>
      <c r="BC1399" s="135"/>
      <c r="BD1399" s="135"/>
      <c r="BE1399" s="135"/>
      <c r="BF1399" s="135"/>
      <c r="BG1399" s="135"/>
      <c r="BH1399" s="135"/>
      <c r="BI1399" s="2"/>
      <c r="BJ1399" s="136"/>
      <c r="BK1399" s="2"/>
      <c r="BL1399" s="136"/>
      <c r="BM1399" s="136"/>
      <c r="BN1399" s="2"/>
      <c r="BO1399" s="2"/>
      <c r="BP1399" s="136"/>
      <c r="BQ1399" s="137"/>
    </row>
    <row r="1400" spans="1:69" ht="12.75" customHeight="1" x14ac:dyDescent="0.2">
      <c r="A1400" s="2">
        <v>2889</v>
      </c>
      <c r="B1400" s="2"/>
      <c r="C1400" s="131"/>
      <c r="D1400" s="131"/>
      <c r="E1400" s="2"/>
      <c r="F1400" s="132">
        <v>0</v>
      </c>
      <c r="G1400" s="132"/>
      <c r="H1400" s="132">
        <f t="shared" si="164"/>
        <v>0</v>
      </c>
      <c r="I1400" s="132"/>
      <c r="J1400" s="132">
        <f t="shared" si="162"/>
        <v>0</v>
      </c>
      <c r="K1400" s="132">
        <f t="shared" si="165"/>
        <v>0</v>
      </c>
      <c r="L1400" s="132">
        <f t="shared" si="159"/>
        <v>0</v>
      </c>
      <c r="M1400" s="133"/>
      <c r="N1400" s="133">
        <f t="shared" si="163"/>
        <v>0</v>
      </c>
      <c r="O1400" s="134"/>
      <c r="P1400" s="133"/>
      <c r="Q1400" s="2"/>
      <c r="R1400" s="156">
        <f t="shared" si="160"/>
        <v>0</v>
      </c>
      <c r="S1400" s="156">
        <f t="shared" si="161"/>
        <v>0</v>
      </c>
      <c r="T1400" s="133"/>
      <c r="U1400" s="133"/>
      <c r="V1400" s="133"/>
      <c r="W1400" s="133"/>
      <c r="X1400" s="133"/>
      <c r="Y1400" s="133"/>
      <c r="Z1400" s="133"/>
      <c r="AA1400" s="133"/>
      <c r="AB1400" s="133"/>
      <c r="AC1400" s="133"/>
      <c r="AD1400" s="133"/>
      <c r="AE1400" s="133"/>
      <c r="AF1400" s="133"/>
      <c r="AG1400" s="133"/>
      <c r="AH1400" s="133"/>
      <c r="AI1400" s="133"/>
      <c r="AJ1400" s="133"/>
      <c r="AK1400" s="133"/>
      <c r="AL1400" s="133"/>
      <c r="AM1400" s="133"/>
      <c r="AN1400" s="133"/>
      <c r="AO1400" s="133"/>
      <c r="AP1400" s="133"/>
      <c r="AQ1400" s="133"/>
      <c r="AR1400" s="133"/>
      <c r="AS1400" s="153">
        <v>0</v>
      </c>
      <c r="AT1400" s="153">
        <v>0</v>
      </c>
      <c r="AU1400" s="153">
        <v>0</v>
      </c>
      <c r="AV1400" s="135"/>
      <c r="AW1400" s="135"/>
      <c r="AX1400" s="135"/>
      <c r="AY1400" s="135"/>
      <c r="AZ1400" s="135"/>
      <c r="BA1400" s="135"/>
      <c r="BB1400" s="135"/>
      <c r="BC1400" s="135"/>
      <c r="BD1400" s="135"/>
      <c r="BE1400" s="135"/>
      <c r="BF1400" s="135"/>
      <c r="BG1400" s="135"/>
      <c r="BH1400" s="135"/>
      <c r="BI1400" s="2"/>
      <c r="BJ1400" s="136"/>
      <c r="BK1400" s="2"/>
      <c r="BL1400" s="136"/>
      <c r="BM1400" s="136"/>
      <c r="BN1400" s="2"/>
      <c r="BO1400" s="2"/>
      <c r="BP1400" s="136"/>
      <c r="BQ1400" s="137"/>
    </row>
    <row r="1401" spans="1:69" ht="12.75" customHeight="1" x14ac:dyDescent="0.2">
      <c r="A1401" s="2">
        <v>2890</v>
      </c>
      <c r="B1401" s="2"/>
      <c r="C1401" s="131"/>
      <c r="D1401" s="131"/>
      <c r="E1401" s="2"/>
      <c r="F1401" s="132">
        <v>0</v>
      </c>
      <c r="G1401" s="132"/>
      <c r="H1401" s="132">
        <f t="shared" si="164"/>
        <v>0</v>
      </c>
      <c r="I1401" s="132"/>
      <c r="J1401" s="132">
        <f t="shared" si="162"/>
        <v>0</v>
      </c>
      <c r="K1401" s="132">
        <f t="shared" si="165"/>
        <v>0</v>
      </c>
      <c r="L1401" s="132">
        <f t="shared" si="159"/>
        <v>0</v>
      </c>
      <c r="M1401" s="133"/>
      <c r="N1401" s="133">
        <f t="shared" si="163"/>
        <v>0</v>
      </c>
      <c r="O1401" s="134"/>
      <c r="P1401" s="133"/>
      <c r="Q1401" s="2"/>
      <c r="R1401" s="156">
        <f t="shared" si="160"/>
        <v>0</v>
      </c>
      <c r="S1401" s="156">
        <f t="shared" si="161"/>
        <v>0</v>
      </c>
      <c r="T1401" s="133"/>
      <c r="U1401" s="133"/>
      <c r="V1401" s="133"/>
      <c r="W1401" s="133"/>
      <c r="X1401" s="133"/>
      <c r="Y1401" s="133"/>
      <c r="Z1401" s="133"/>
      <c r="AA1401" s="133"/>
      <c r="AB1401" s="133"/>
      <c r="AC1401" s="133"/>
      <c r="AD1401" s="133"/>
      <c r="AE1401" s="133"/>
      <c r="AF1401" s="133"/>
      <c r="AG1401" s="133"/>
      <c r="AH1401" s="133"/>
      <c r="AI1401" s="133"/>
      <c r="AJ1401" s="133"/>
      <c r="AK1401" s="133"/>
      <c r="AL1401" s="133"/>
      <c r="AM1401" s="133"/>
      <c r="AN1401" s="133"/>
      <c r="AO1401" s="133"/>
      <c r="AP1401" s="133"/>
      <c r="AQ1401" s="133"/>
      <c r="AR1401" s="133"/>
      <c r="AS1401" s="153">
        <v>0</v>
      </c>
      <c r="AT1401" s="153">
        <v>0</v>
      </c>
      <c r="AU1401" s="153">
        <v>0</v>
      </c>
      <c r="AV1401" s="135"/>
      <c r="AW1401" s="135"/>
      <c r="AX1401" s="135"/>
      <c r="AY1401" s="135"/>
      <c r="AZ1401" s="135"/>
      <c r="BA1401" s="135"/>
      <c r="BB1401" s="135"/>
      <c r="BC1401" s="135"/>
      <c r="BD1401" s="135"/>
      <c r="BE1401" s="135"/>
      <c r="BF1401" s="135"/>
      <c r="BG1401" s="135"/>
      <c r="BH1401" s="135"/>
      <c r="BI1401" s="2"/>
      <c r="BJ1401" s="136"/>
      <c r="BK1401" s="2"/>
      <c r="BL1401" s="136"/>
      <c r="BM1401" s="136"/>
      <c r="BN1401" s="2"/>
      <c r="BO1401" s="2"/>
      <c r="BP1401" s="136"/>
      <c r="BQ1401" s="137"/>
    </row>
    <row r="1402" spans="1:69" ht="12.75" customHeight="1" x14ac:dyDescent="0.2">
      <c r="A1402" s="2">
        <v>2891</v>
      </c>
      <c r="B1402" s="2"/>
      <c r="C1402" s="131"/>
      <c r="D1402" s="131"/>
      <c r="E1402" s="2"/>
      <c r="F1402" s="132">
        <v>0</v>
      </c>
      <c r="G1402" s="132"/>
      <c r="H1402" s="132">
        <f t="shared" si="164"/>
        <v>0</v>
      </c>
      <c r="I1402" s="132"/>
      <c r="J1402" s="132">
        <f t="shared" si="162"/>
        <v>0</v>
      </c>
      <c r="K1402" s="132">
        <f t="shared" si="165"/>
        <v>0</v>
      </c>
      <c r="L1402" s="132">
        <f t="shared" si="159"/>
        <v>0</v>
      </c>
      <c r="M1402" s="133"/>
      <c r="N1402" s="133">
        <f t="shared" si="163"/>
        <v>0</v>
      </c>
      <c r="O1402" s="134"/>
      <c r="P1402" s="133"/>
      <c r="Q1402" s="2"/>
      <c r="R1402" s="156">
        <f t="shared" si="160"/>
        <v>0</v>
      </c>
      <c r="S1402" s="156">
        <f t="shared" si="161"/>
        <v>0</v>
      </c>
      <c r="T1402" s="133"/>
      <c r="U1402" s="133"/>
      <c r="V1402" s="133"/>
      <c r="W1402" s="133"/>
      <c r="X1402" s="133"/>
      <c r="Y1402" s="133"/>
      <c r="Z1402" s="133"/>
      <c r="AA1402" s="133"/>
      <c r="AB1402" s="133"/>
      <c r="AC1402" s="133"/>
      <c r="AD1402" s="133"/>
      <c r="AE1402" s="133"/>
      <c r="AF1402" s="133"/>
      <c r="AG1402" s="133"/>
      <c r="AH1402" s="133"/>
      <c r="AI1402" s="133"/>
      <c r="AJ1402" s="133"/>
      <c r="AK1402" s="133"/>
      <c r="AL1402" s="133"/>
      <c r="AM1402" s="133"/>
      <c r="AN1402" s="133"/>
      <c r="AO1402" s="133"/>
      <c r="AP1402" s="133"/>
      <c r="AQ1402" s="133"/>
      <c r="AR1402" s="133"/>
      <c r="AS1402" s="153">
        <v>0</v>
      </c>
      <c r="AT1402" s="153">
        <v>0</v>
      </c>
      <c r="AU1402" s="153">
        <v>0</v>
      </c>
      <c r="AV1402" s="135"/>
      <c r="AW1402" s="135"/>
      <c r="AX1402" s="135"/>
      <c r="AY1402" s="135"/>
      <c r="AZ1402" s="135"/>
      <c r="BA1402" s="135"/>
      <c r="BB1402" s="135"/>
      <c r="BC1402" s="135"/>
      <c r="BD1402" s="135"/>
      <c r="BE1402" s="135"/>
      <c r="BF1402" s="135"/>
      <c r="BG1402" s="135"/>
      <c r="BH1402" s="135"/>
      <c r="BI1402" s="2"/>
      <c r="BJ1402" s="136"/>
      <c r="BK1402" s="2"/>
      <c r="BL1402" s="136"/>
      <c r="BM1402" s="136"/>
      <c r="BN1402" s="2"/>
      <c r="BO1402" s="2"/>
      <c r="BP1402" s="136"/>
      <c r="BQ1402" s="137"/>
    </row>
    <row r="1403" spans="1:69" ht="12.75" customHeight="1" x14ac:dyDescent="0.2">
      <c r="A1403" s="2">
        <v>2892</v>
      </c>
      <c r="B1403" s="2"/>
      <c r="C1403" s="131"/>
      <c r="D1403" s="131"/>
      <c r="E1403" s="2"/>
      <c r="F1403" s="132">
        <v>0</v>
      </c>
      <c r="G1403" s="132"/>
      <c r="H1403" s="132">
        <f t="shared" si="164"/>
        <v>0</v>
      </c>
      <c r="I1403" s="132"/>
      <c r="J1403" s="132">
        <f t="shared" si="162"/>
        <v>0</v>
      </c>
      <c r="K1403" s="132">
        <f t="shared" si="165"/>
        <v>0</v>
      </c>
      <c r="L1403" s="132">
        <f t="shared" si="159"/>
        <v>0</v>
      </c>
      <c r="M1403" s="133"/>
      <c r="N1403" s="133">
        <f t="shared" si="163"/>
        <v>0</v>
      </c>
      <c r="O1403" s="134"/>
      <c r="P1403" s="133"/>
      <c r="Q1403" s="2"/>
      <c r="R1403" s="156">
        <f t="shared" si="160"/>
        <v>0</v>
      </c>
      <c r="S1403" s="156">
        <f t="shared" si="161"/>
        <v>0</v>
      </c>
      <c r="T1403" s="133"/>
      <c r="U1403" s="133"/>
      <c r="V1403" s="133"/>
      <c r="W1403" s="133"/>
      <c r="X1403" s="133"/>
      <c r="Y1403" s="133"/>
      <c r="Z1403" s="133"/>
      <c r="AA1403" s="133"/>
      <c r="AB1403" s="133"/>
      <c r="AC1403" s="133"/>
      <c r="AD1403" s="133"/>
      <c r="AE1403" s="133"/>
      <c r="AF1403" s="133"/>
      <c r="AG1403" s="133"/>
      <c r="AH1403" s="133"/>
      <c r="AI1403" s="133"/>
      <c r="AJ1403" s="133"/>
      <c r="AK1403" s="133"/>
      <c r="AL1403" s="133"/>
      <c r="AM1403" s="133"/>
      <c r="AN1403" s="133"/>
      <c r="AO1403" s="133"/>
      <c r="AP1403" s="133"/>
      <c r="AQ1403" s="133"/>
      <c r="AR1403" s="133"/>
      <c r="AS1403" s="153">
        <v>0</v>
      </c>
      <c r="AT1403" s="153">
        <v>0</v>
      </c>
      <c r="AU1403" s="153">
        <v>0</v>
      </c>
      <c r="AV1403" s="135"/>
      <c r="AW1403" s="135"/>
      <c r="AX1403" s="135"/>
      <c r="AY1403" s="135"/>
      <c r="AZ1403" s="135"/>
      <c r="BA1403" s="135"/>
      <c r="BB1403" s="135"/>
      <c r="BC1403" s="135"/>
      <c r="BD1403" s="135"/>
      <c r="BE1403" s="135"/>
      <c r="BF1403" s="135"/>
      <c r="BG1403" s="135"/>
      <c r="BH1403" s="135"/>
      <c r="BI1403" s="2"/>
      <c r="BJ1403" s="136"/>
      <c r="BK1403" s="2"/>
      <c r="BL1403" s="136"/>
      <c r="BM1403" s="136"/>
      <c r="BN1403" s="2"/>
      <c r="BO1403" s="2"/>
      <c r="BP1403" s="136"/>
      <c r="BQ1403" s="137"/>
    </row>
    <row r="1404" spans="1:69" ht="12.75" customHeight="1" x14ac:dyDescent="0.2">
      <c r="A1404" s="2">
        <v>2893</v>
      </c>
      <c r="B1404" s="2"/>
      <c r="C1404" s="131"/>
      <c r="D1404" s="131"/>
      <c r="E1404" s="2"/>
      <c r="F1404" s="132">
        <v>0</v>
      </c>
      <c r="G1404" s="132"/>
      <c r="H1404" s="132">
        <f t="shared" si="164"/>
        <v>0</v>
      </c>
      <c r="I1404" s="132"/>
      <c r="J1404" s="132">
        <f t="shared" si="162"/>
        <v>0</v>
      </c>
      <c r="K1404" s="132">
        <f t="shared" si="165"/>
        <v>0</v>
      </c>
      <c r="L1404" s="132">
        <f t="shared" si="159"/>
        <v>0</v>
      </c>
      <c r="M1404" s="133"/>
      <c r="N1404" s="133">
        <f t="shared" si="163"/>
        <v>0</v>
      </c>
      <c r="O1404" s="134"/>
      <c r="P1404" s="133"/>
      <c r="Q1404" s="2"/>
      <c r="R1404" s="156">
        <f t="shared" si="160"/>
        <v>0</v>
      </c>
      <c r="S1404" s="156">
        <f t="shared" si="161"/>
        <v>0</v>
      </c>
      <c r="T1404" s="133"/>
      <c r="U1404" s="133"/>
      <c r="V1404" s="133"/>
      <c r="W1404" s="133"/>
      <c r="X1404" s="133"/>
      <c r="Y1404" s="133"/>
      <c r="Z1404" s="133"/>
      <c r="AA1404" s="133"/>
      <c r="AB1404" s="133"/>
      <c r="AC1404" s="133"/>
      <c r="AD1404" s="133"/>
      <c r="AE1404" s="133"/>
      <c r="AF1404" s="133"/>
      <c r="AG1404" s="133"/>
      <c r="AH1404" s="133"/>
      <c r="AI1404" s="133"/>
      <c r="AJ1404" s="133"/>
      <c r="AK1404" s="133"/>
      <c r="AL1404" s="133"/>
      <c r="AM1404" s="133"/>
      <c r="AN1404" s="133"/>
      <c r="AO1404" s="133"/>
      <c r="AP1404" s="133"/>
      <c r="AQ1404" s="133"/>
      <c r="AR1404" s="133"/>
      <c r="AS1404" s="153">
        <v>0</v>
      </c>
      <c r="AT1404" s="153">
        <v>0</v>
      </c>
      <c r="AU1404" s="153">
        <v>0</v>
      </c>
      <c r="AV1404" s="135"/>
      <c r="AW1404" s="135"/>
      <c r="AX1404" s="135"/>
      <c r="AY1404" s="135"/>
      <c r="AZ1404" s="135"/>
      <c r="BA1404" s="135"/>
      <c r="BB1404" s="135"/>
      <c r="BC1404" s="135"/>
      <c r="BD1404" s="135"/>
      <c r="BE1404" s="135"/>
      <c r="BF1404" s="135"/>
      <c r="BG1404" s="135"/>
      <c r="BH1404" s="135"/>
      <c r="BI1404" s="2"/>
      <c r="BJ1404" s="136"/>
      <c r="BK1404" s="2"/>
      <c r="BL1404" s="136"/>
      <c r="BM1404" s="136"/>
      <c r="BN1404" s="2"/>
      <c r="BO1404" s="2"/>
      <c r="BP1404" s="136"/>
      <c r="BQ1404" s="137"/>
    </row>
    <row r="1405" spans="1:69" ht="12.75" customHeight="1" x14ac:dyDescent="0.2">
      <c r="A1405" s="2">
        <v>2894</v>
      </c>
      <c r="B1405" s="2"/>
      <c r="C1405" s="131"/>
      <c r="D1405" s="131"/>
      <c r="E1405" s="2"/>
      <c r="F1405" s="132">
        <v>0</v>
      </c>
      <c r="G1405" s="132"/>
      <c r="H1405" s="132">
        <f t="shared" si="164"/>
        <v>0</v>
      </c>
      <c r="I1405" s="132"/>
      <c r="J1405" s="132">
        <f t="shared" si="162"/>
        <v>0</v>
      </c>
      <c r="K1405" s="132">
        <f t="shared" si="165"/>
        <v>0</v>
      </c>
      <c r="L1405" s="132">
        <f t="shared" si="159"/>
        <v>0</v>
      </c>
      <c r="M1405" s="133"/>
      <c r="N1405" s="133">
        <f t="shared" si="163"/>
        <v>0</v>
      </c>
      <c r="O1405" s="134"/>
      <c r="P1405" s="133"/>
      <c r="Q1405" s="2"/>
      <c r="R1405" s="156">
        <f t="shared" si="160"/>
        <v>0</v>
      </c>
      <c r="S1405" s="156">
        <f t="shared" si="161"/>
        <v>0</v>
      </c>
      <c r="T1405" s="133"/>
      <c r="U1405" s="133"/>
      <c r="V1405" s="133"/>
      <c r="W1405" s="133"/>
      <c r="X1405" s="133"/>
      <c r="Y1405" s="133"/>
      <c r="Z1405" s="133"/>
      <c r="AA1405" s="133"/>
      <c r="AB1405" s="133"/>
      <c r="AC1405" s="133"/>
      <c r="AD1405" s="133"/>
      <c r="AE1405" s="133"/>
      <c r="AF1405" s="133"/>
      <c r="AG1405" s="133"/>
      <c r="AH1405" s="133"/>
      <c r="AI1405" s="133"/>
      <c r="AJ1405" s="133"/>
      <c r="AK1405" s="133"/>
      <c r="AL1405" s="133"/>
      <c r="AM1405" s="133"/>
      <c r="AN1405" s="133"/>
      <c r="AO1405" s="133"/>
      <c r="AP1405" s="133"/>
      <c r="AQ1405" s="133"/>
      <c r="AR1405" s="133"/>
      <c r="AS1405" s="153">
        <v>0</v>
      </c>
      <c r="AT1405" s="153">
        <v>0</v>
      </c>
      <c r="AU1405" s="153">
        <v>0</v>
      </c>
      <c r="AV1405" s="135"/>
      <c r="AW1405" s="135"/>
      <c r="AX1405" s="135"/>
      <c r="AY1405" s="135"/>
      <c r="AZ1405" s="135"/>
      <c r="BA1405" s="135"/>
      <c r="BB1405" s="135"/>
      <c r="BC1405" s="135"/>
      <c r="BD1405" s="135"/>
      <c r="BE1405" s="135"/>
      <c r="BF1405" s="135"/>
      <c r="BG1405" s="135"/>
      <c r="BH1405" s="135"/>
      <c r="BI1405" s="2"/>
      <c r="BJ1405" s="136"/>
      <c r="BK1405" s="2"/>
      <c r="BL1405" s="136"/>
      <c r="BM1405" s="136"/>
      <c r="BN1405" s="2"/>
      <c r="BO1405" s="2"/>
      <c r="BP1405" s="136"/>
      <c r="BQ1405" s="137"/>
    </row>
    <row r="1406" spans="1:69" ht="12.75" customHeight="1" x14ac:dyDescent="0.2">
      <c r="A1406" s="2">
        <v>2895</v>
      </c>
      <c r="B1406" s="2"/>
      <c r="C1406" s="131"/>
      <c r="D1406" s="131"/>
      <c r="E1406" s="2"/>
      <c r="F1406" s="132">
        <v>0</v>
      </c>
      <c r="G1406" s="132"/>
      <c r="H1406" s="132">
        <f t="shared" si="164"/>
        <v>0</v>
      </c>
      <c r="I1406" s="132"/>
      <c r="J1406" s="132">
        <f t="shared" si="162"/>
        <v>0</v>
      </c>
      <c r="K1406" s="132">
        <f t="shared" si="165"/>
        <v>0</v>
      </c>
      <c r="L1406" s="132">
        <f t="shared" si="159"/>
        <v>0</v>
      </c>
      <c r="M1406" s="133"/>
      <c r="N1406" s="133">
        <f t="shared" si="163"/>
        <v>0</v>
      </c>
      <c r="O1406" s="134"/>
      <c r="P1406" s="133"/>
      <c r="Q1406" s="2"/>
      <c r="R1406" s="156">
        <f t="shared" si="160"/>
        <v>0</v>
      </c>
      <c r="S1406" s="156">
        <f t="shared" si="161"/>
        <v>0</v>
      </c>
      <c r="T1406" s="133"/>
      <c r="U1406" s="133"/>
      <c r="V1406" s="133"/>
      <c r="W1406" s="133"/>
      <c r="X1406" s="133"/>
      <c r="Y1406" s="133"/>
      <c r="Z1406" s="133"/>
      <c r="AA1406" s="133"/>
      <c r="AB1406" s="133"/>
      <c r="AC1406" s="133"/>
      <c r="AD1406" s="133"/>
      <c r="AE1406" s="133"/>
      <c r="AF1406" s="133"/>
      <c r="AG1406" s="133"/>
      <c r="AH1406" s="133"/>
      <c r="AI1406" s="133"/>
      <c r="AJ1406" s="133"/>
      <c r="AK1406" s="133"/>
      <c r="AL1406" s="133"/>
      <c r="AM1406" s="133"/>
      <c r="AN1406" s="133"/>
      <c r="AO1406" s="133"/>
      <c r="AP1406" s="133"/>
      <c r="AQ1406" s="133"/>
      <c r="AR1406" s="133"/>
      <c r="AS1406" s="153">
        <v>0</v>
      </c>
      <c r="AT1406" s="153">
        <v>0</v>
      </c>
      <c r="AU1406" s="153">
        <v>0</v>
      </c>
      <c r="AV1406" s="135"/>
      <c r="AW1406" s="135"/>
      <c r="AX1406" s="135"/>
      <c r="AY1406" s="135"/>
      <c r="AZ1406" s="135"/>
      <c r="BA1406" s="135"/>
      <c r="BB1406" s="135"/>
      <c r="BC1406" s="135"/>
      <c r="BD1406" s="135"/>
      <c r="BE1406" s="135"/>
      <c r="BF1406" s="135"/>
      <c r="BG1406" s="135"/>
      <c r="BH1406" s="135"/>
      <c r="BI1406" s="2"/>
      <c r="BJ1406" s="136"/>
      <c r="BK1406" s="2"/>
      <c r="BL1406" s="136"/>
      <c r="BM1406" s="136"/>
      <c r="BN1406" s="2"/>
      <c r="BO1406" s="2"/>
      <c r="BP1406" s="136"/>
      <c r="BQ1406" s="137"/>
    </row>
    <row r="1407" spans="1:69" ht="12.75" customHeight="1" x14ac:dyDescent="0.2">
      <c r="A1407" s="2">
        <v>2896</v>
      </c>
      <c r="B1407" s="2"/>
      <c r="C1407" s="131"/>
      <c r="D1407" s="131"/>
      <c r="E1407" s="2"/>
      <c r="F1407" s="132">
        <v>0</v>
      </c>
      <c r="G1407" s="132"/>
      <c r="H1407" s="132">
        <f t="shared" si="164"/>
        <v>0</v>
      </c>
      <c r="I1407" s="132"/>
      <c r="J1407" s="132">
        <f t="shared" si="162"/>
        <v>0</v>
      </c>
      <c r="K1407" s="132">
        <f t="shared" si="165"/>
        <v>0</v>
      </c>
      <c r="L1407" s="132">
        <f t="shared" si="159"/>
        <v>0</v>
      </c>
      <c r="M1407" s="133"/>
      <c r="N1407" s="133">
        <f t="shared" si="163"/>
        <v>0</v>
      </c>
      <c r="O1407" s="134"/>
      <c r="P1407" s="133"/>
      <c r="Q1407" s="2"/>
      <c r="R1407" s="156">
        <f t="shared" si="160"/>
        <v>0</v>
      </c>
      <c r="S1407" s="156">
        <f t="shared" si="161"/>
        <v>0</v>
      </c>
      <c r="T1407" s="133"/>
      <c r="U1407" s="133"/>
      <c r="V1407" s="133"/>
      <c r="W1407" s="133"/>
      <c r="X1407" s="133"/>
      <c r="Y1407" s="133"/>
      <c r="Z1407" s="133"/>
      <c r="AA1407" s="133"/>
      <c r="AB1407" s="133"/>
      <c r="AC1407" s="133"/>
      <c r="AD1407" s="133"/>
      <c r="AE1407" s="133"/>
      <c r="AF1407" s="133"/>
      <c r="AG1407" s="133"/>
      <c r="AH1407" s="133"/>
      <c r="AI1407" s="133"/>
      <c r="AJ1407" s="133"/>
      <c r="AK1407" s="133"/>
      <c r="AL1407" s="133"/>
      <c r="AM1407" s="133"/>
      <c r="AN1407" s="133"/>
      <c r="AO1407" s="133"/>
      <c r="AP1407" s="133"/>
      <c r="AQ1407" s="133"/>
      <c r="AR1407" s="133"/>
      <c r="AS1407" s="153">
        <v>0</v>
      </c>
      <c r="AT1407" s="153">
        <v>0</v>
      </c>
      <c r="AU1407" s="153">
        <v>0</v>
      </c>
      <c r="AV1407" s="135"/>
      <c r="AW1407" s="135"/>
      <c r="AX1407" s="135"/>
      <c r="AY1407" s="135"/>
      <c r="AZ1407" s="135"/>
      <c r="BA1407" s="135"/>
      <c r="BB1407" s="135"/>
      <c r="BC1407" s="135"/>
      <c r="BD1407" s="135"/>
      <c r="BE1407" s="135"/>
      <c r="BF1407" s="135"/>
      <c r="BG1407" s="135"/>
      <c r="BH1407" s="135"/>
      <c r="BI1407" s="2"/>
      <c r="BJ1407" s="136"/>
      <c r="BK1407" s="2"/>
      <c r="BL1407" s="136"/>
      <c r="BM1407" s="136"/>
      <c r="BN1407" s="2"/>
      <c r="BO1407" s="2"/>
      <c r="BP1407" s="136"/>
      <c r="BQ1407" s="137"/>
    </row>
    <row r="1408" spans="1:69" ht="12.75" customHeight="1" x14ac:dyDescent="0.2">
      <c r="A1408" s="2">
        <v>2897</v>
      </c>
      <c r="B1408" s="2"/>
      <c r="C1408" s="131"/>
      <c r="D1408" s="131"/>
      <c r="E1408" s="2"/>
      <c r="F1408" s="132">
        <v>0</v>
      </c>
      <c r="G1408" s="132"/>
      <c r="H1408" s="132">
        <f t="shared" si="164"/>
        <v>0</v>
      </c>
      <c r="I1408" s="132"/>
      <c r="J1408" s="132">
        <f t="shared" si="162"/>
        <v>0</v>
      </c>
      <c r="K1408" s="132">
        <f t="shared" si="165"/>
        <v>0</v>
      </c>
      <c r="L1408" s="132">
        <f t="shared" si="159"/>
        <v>0</v>
      </c>
      <c r="M1408" s="133"/>
      <c r="N1408" s="133">
        <f t="shared" si="163"/>
        <v>0</v>
      </c>
      <c r="O1408" s="134"/>
      <c r="P1408" s="133"/>
      <c r="Q1408" s="2"/>
      <c r="R1408" s="156">
        <f t="shared" si="160"/>
        <v>0</v>
      </c>
      <c r="S1408" s="156">
        <f t="shared" si="161"/>
        <v>0</v>
      </c>
      <c r="T1408" s="133"/>
      <c r="U1408" s="133"/>
      <c r="V1408" s="133"/>
      <c r="W1408" s="133"/>
      <c r="X1408" s="133"/>
      <c r="Y1408" s="133"/>
      <c r="Z1408" s="133"/>
      <c r="AA1408" s="133"/>
      <c r="AB1408" s="133"/>
      <c r="AC1408" s="133"/>
      <c r="AD1408" s="133"/>
      <c r="AE1408" s="133"/>
      <c r="AF1408" s="133"/>
      <c r="AG1408" s="133"/>
      <c r="AH1408" s="133"/>
      <c r="AI1408" s="133"/>
      <c r="AJ1408" s="133"/>
      <c r="AK1408" s="133"/>
      <c r="AL1408" s="133"/>
      <c r="AM1408" s="133"/>
      <c r="AN1408" s="133"/>
      <c r="AO1408" s="133"/>
      <c r="AP1408" s="133"/>
      <c r="AQ1408" s="133"/>
      <c r="AR1408" s="133"/>
      <c r="AS1408" s="153">
        <v>0</v>
      </c>
      <c r="AT1408" s="153">
        <v>0</v>
      </c>
      <c r="AU1408" s="153">
        <v>0</v>
      </c>
      <c r="AV1408" s="135"/>
      <c r="AW1408" s="135"/>
      <c r="AX1408" s="135"/>
      <c r="AY1408" s="135"/>
      <c r="AZ1408" s="135"/>
      <c r="BA1408" s="135"/>
      <c r="BB1408" s="135"/>
      <c r="BC1408" s="135"/>
      <c r="BD1408" s="135"/>
      <c r="BE1408" s="135"/>
      <c r="BF1408" s="135"/>
      <c r="BG1408" s="135"/>
      <c r="BH1408" s="135"/>
      <c r="BI1408" s="2"/>
      <c r="BJ1408" s="136"/>
      <c r="BK1408" s="2"/>
      <c r="BL1408" s="136"/>
      <c r="BM1408" s="136"/>
      <c r="BN1408" s="2"/>
      <c r="BO1408" s="2"/>
      <c r="BP1408" s="136"/>
      <c r="BQ1408" s="137"/>
    </row>
    <row r="1409" spans="1:69" ht="12.75" customHeight="1" x14ac:dyDescent="0.2">
      <c r="A1409" s="2">
        <v>2898</v>
      </c>
      <c r="B1409" s="2"/>
      <c r="C1409" s="131"/>
      <c r="D1409" s="131"/>
      <c r="E1409" s="2"/>
      <c r="F1409" s="132">
        <v>0</v>
      </c>
      <c r="G1409" s="132"/>
      <c r="H1409" s="132">
        <f t="shared" si="164"/>
        <v>0</v>
      </c>
      <c r="I1409" s="132"/>
      <c r="J1409" s="132">
        <f t="shared" si="162"/>
        <v>0</v>
      </c>
      <c r="K1409" s="132">
        <f t="shared" si="165"/>
        <v>0</v>
      </c>
      <c r="L1409" s="132">
        <f t="shared" si="159"/>
        <v>0</v>
      </c>
      <c r="M1409" s="133"/>
      <c r="N1409" s="133">
        <f t="shared" si="163"/>
        <v>0</v>
      </c>
      <c r="O1409" s="134"/>
      <c r="P1409" s="133"/>
      <c r="Q1409" s="2"/>
      <c r="R1409" s="156">
        <f t="shared" si="160"/>
        <v>0</v>
      </c>
      <c r="S1409" s="156">
        <f t="shared" si="161"/>
        <v>0</v>
      </c>
      <c r="T1409" s="133"/>
      <c r="U1409" s="133"/>
      <c r="V1409" s="133"/>
      <c r="W1409" s="133"/>
      <c r="X1409" s="133"/>
      <c r="Y1409" s="133"/>
      <c r="Z1409" s="133"/>
      <c r="AA1409" s="133"/>
      <c r="AB1409" s="133"/>
      <c r="AC1409" s="133"/>
      <c r="AD1409" s="133"/>
      <c r="AE1409" s="133"/>
      <c r="AF1409" s="133"/>
      <c r="AG1409" s="133"/>
      <c r="AH1409" s="133"/>
      <c r="AI1409" s="133"/>
      <c r="AJ1409" s="133"/>
      <c r="AK1409" s="133"/>
      <c r="AL1409" s="133"/>
      <c r="AM1409" s="133"/>
      <c r="AN1409" s="133"/>
      <c r="AO1409" s="133"/>
      <c r="AP1409" s="133"/>
      <c r="AQ1409" s="133"/>
      <c r="AR1409" s="133"/>
      <c r="AS1409" s="153">
        <v>0</v>
      </c>
      <c r="AT1409" s="153">
        <v>0</v>
      </c>
      <c r="AU1409" s="153">
        <v>0</v>
      </c>
      <c r="AV1409" s="135"/>
      <c r="AW1409" s="135"/>
      <c r="AX1409" s="135"/>
      <c r="AY1409" s="135"/>
      <c r="AZ1409" s="135"/>
      <c r="BA1409" s="135"/>
      <c r="BB1409" s="135"/>
      <c r="BC1409" s="135"/>
      <c r="BD1409" s="135"/>
      <c r="BE1409" s="135"/>
      <c r="BF1409" s="135"/>
      <c r="BG1409" s="135"/>
      <c r="BH1409" s="135"/>
      <c r="BI1409" s="2"/>
      <c r="BJ1409" s="136"/>
      <c r="BK1409" s="2"/>
      <c r="BL1409" s="136"/>
      <c r="BM1409" s="136"/>
      <c r="BN1409" s="2"/>
      <c r="BO1409" s="2"/>
      <c r="BP1409" s="136"/>
      <c r="BQ1409" s="137"/>
    </row>
    <row r="1410" spans="1:69" ht="12.75" customHeight="1" x14ac:dyDescent="0.2">
      <c r="A1410" s="2">
        <v>2899</v>
      </c>
      <c r="B1410" s="2"/>
      <c r="C1410" s="131"/>
      <c r="D1410" s="131"/>
      <c r="E1410" s="2"/>
      <c r="F1410" s="132">
        <v>0</v>
      </c>
      <c r="G1410" s="132"/>
      <c r="H1410" s="132">
        <f t="shared" si="164"/>
        <v>0</v>
      </c>
      <c r="I1410" s="132"/>
      <c r="J1410" s="132">
        <f t="shared" si="162"/>
        <v>0</v>
      </c>
      <c r="K1410" s="132">
        <f t="shared" si="165"/>
        <v>0</v>
      </c>
      <c r="L1410" s="132">
        <f t="shared" si="159"/>
        <v>0</v>
      </c>
      <c r="M1410" s="133"/>
      <c r="N1410" s="133">
        <f t="shared" si="163"/>
        <v>0</v>
      </c>
      <c r="O1410" s="134"/>
      <c r="P1410" s="133"/>
      <c r="Q1410" s="2"/>
      <c r="R1410" s="156">
        <f t="shared" si="160"/>
        <v>0</v>
      </c>
      <c r="S1410" s="156">
        <f t="shared" si="161"/>
        <v>0</v>
      </c>
      <c r="T1410" s="133"/>
      <c r="U1410" s="133"/>
      <c r="V1410" s="133"/>
      <c r="W1410" s="133"/>
      <c r="X1410" s="133"/>
      <c r="Y1410" s="133"/>
      <c r="Z1410" s="133"/>
      <c r="AA1410" s="133"/>
      <c r="AB1410" s="133"/>
      <c r="AC1410" s="133"/>
      <c r="AD1410" s="133"/>
      <c r="AE1410" s="133"/>
      <c r="AF1410" s="133"/>
      <c r="AG1410" s="133"/>
      <c r="AH1410" s="133"/>
      <c r="AI1410" s="133"/>
      <c r="AJ1410" s="133"/>
      <c r="AK1410" s="133"/>
      <c r="AL1410" s="133"/>
      <c r="AM1410" s="133"/>
      <c r="AN1410" s="133"/>
      <c r="AO1410" s="133"/>
      <c r="AP1410" s="133"/>
      <c r="AQ1410" s="133"/>
      <c r="AR1410" s="133"/>
      <c r="AS1410" s="153">
        <v>0</v>
      </c>
      <c r="AT1410" s="153">
        <v>0</v>
      </c>
      <c r="AU1410" s="153">
        <v>0</v>
      </c>
      <c r="AV1410" s="135"/>
      <c r="AW1410" s="135"/>
      <c r="AX1410" s="135"/>
      <c r="AY1410" s="135"/>
      <c r="AZ1410" s="135"/>
      <c r="BA1410" s="135"/>
      <c r="BB1410" s="135"/>
      <c r="BC1410" s="135"/>
      <c r="BD1410" s="135"/>
      <c r="BE1410" s="135"/>
      <c r="BF1410" s="135"/>
      <c r="BG1410" s="135"/>
      <c r="BH1410" s="135"/>
      <c r="BI1410" s="2"/>
      <c r="BJ1410" s="136"/>
      <c r="BK1410" s="2"/>
      <c r="BL1410" s="136"/>
      <c r="BM1410" s="136"/>
      <c r="BN1410" s="2"/>
      <c r="BO1410" s="2"/>
      <c r="BP1410" s="136"/>
      <c r="BQ1410" s="137"/>
    </row>
    <row r="1411" spans="1:69" ht="12.75" customHeight="1" x14ac:dyDescent="0.2">
      <c r="A1411" s="2">
        <v>2900</v>
      </c>
      <c r="B1411" s="2"/>
      <c r="C1411" s="131"/>
      <c r="D1411" s="131"/>
      <c r="E1411" s="2"/>
      <c r="F1411" s="132">
        <v>0</v>
      </c>
      <c r="G1411" s="132"/>
      <c r="H1411" s="132">
        <f t="shared" si="164"/>
        <v>0</v>
      </c>
      <c r="I1411" s="132"/>
      <c r="J1411" s="132">
        <f t="shared" si="162"/>
        <v>0</v>
      </c>
      <c r="K1411" s="132">
        <f t="shared" si="165"/>
        <v>0</v>
      </c>
      <c r="L1411" s="132">
        <f t="shared" si="159"/>
        <v>0</v>
      </c>
      <c r="M1411" s="133"/>
      <c r="N1411" s="133">
        <f t="shared" si="163"/>
        <v>0</v>
      </c>
      <c r="O1411" s="134"/>
      <c r="P1411" s="133"/>
      <c r="Q1411" s="2"/>
      <c r="R1411" s="156">
        <f t="shared" si="160"/>
        <v>0</v>
      </c>
      <c r="S1411" s="156">
        <f t="shared" si="161"/>
        <v>0</v>
      </c>
      <c r="T1411" s="133"/>
      <c r="U1411" s="133"/>
      <c r="V1411" s="133"/>
      <c r="W1411" s="133"/>
      <c r="X1411" s="133"/>
      <c r="Y1411" s="133"/>
      <c r="Z1411" s="133"/>
      <c r="AA1411" s="133"/>
      <c r="AB1411" s="133"/>
      <c r="AC1411" s="133"/>
      <c r="AD1411" s="133"/>
      <c r="AE1411" s="133"/>
      <c r="AF1411" s="133"/>
      <c r="AG1411" s="133"/>
      <c r="AH1411" s="133"/>
      <c r="AI1411" s="133"/>
      <c r="AJ1411" s="133"/>
      <c r="AK1411" s="133"/>
      <c r="AL1411" s="133"/>
      <c r="AM1411" s="133"/>
      <c r="AN1411" s="133"/>
      <c r="AO1411" s="133"/>
      <c r="AP1411" s="133"/>
      <c r="AQ1411" s="133"/>
      <c r="AR1411" s="133"/>
      <c r="AS1411" s="153">
        <v>0</v>
      </c>
      <c r="AT1411" s="153">
        <v>0</v>
      </c>
      <c r="AU1411" s="153">
        <v>0</v>
      </c>
      <c r="AV1411" s="135"/>
      <c r="AW1411" s="135"/>
      <c r="AX1411" s="135"/>
      <c r="AY1411" s="135"/>
      <c r="AZ1411" s="135"/>
      <c r="BA1411" s="135"/>
      <c r="BB1411" s="135"/>
      <c r="BC1411" s="135"/>
      <c r="BD1411" s="135"/>
      <c r="BE1411" s="135"/>
      <c r="BF1411" s="135"/>
      <c r="BG1411" s="135"/>
      <c r="BH1411" s="135"/>
      <c r="BI1411" s="2"/>
      <c r="BJ1411" s="136"/>
      <c r="BK1411" s="2"/>
      <c r="BL1411" s="136"/>
      <c r="BM1411" s="136"/>
      <c r="BN1411" s="2"/>
      <c r="BO1411" s="2"/>
      <c r="BP1411" s="136"/>
      <c r="BQ1411" s="137"/>
    </row>
    <row r="1412" spans="1:69" ht="12.75" customHeight="1" x14ac:dyDescent="0.2">
      <c r="A1412" s="2">
        <v>2901</v>
      </c>
      <c r="B1412" s="2"/>
      <c r="C1412" s="131"/>
      <c r="D1412" s="131"/>
      <c r="E1412" s="2"/>
      <c r="F1412" s="132">
        <v>0</v>
      </c>
      <c r="G1412" s="132"/>
      <c r="H1412" s="132">
        <f t="shared" si="164"/>
        <v>0</v>
      </c>
      <c r="I1412" s="132"/>
      <c r="J1412" s="132">
        <f t="shared" si="162"/>
        <v>0</v>
      </c>
      <c r="K1412" s="132">
        <f t="shared" si="165"/>
        <v>0</v>
      </c>
      <c r="L1412" s="132">
        <f t="shared" si="159"/>
        <v>0</v>
      </c>
      <c r="M1412" s="133"/>
      <c r="N1412" s="133">
        <f t="shared" si="163"/>
        <v>0</v>
      </c>
      <c r="O1412" s="134"/>
      <c r="P1412" s="133"/>
      <c r="Q1412" s="2"/>
      <c r="R1412" s="156">
        <f t="shared" si="160"/>
        <v>0</v>
      </c>
      <c r="S1412" s="156">
        <f t="shared" si="161"/>
        <v>0</v>
      </c>
      <c r="T1412" s="133"/>
      <c r="U1412" s="133"/>
      <c r="V1412" s="133"/>
      <c r="W1412" s="133"/>
      <c r="X1412" s="133"/>
      <c r="Y1412" s="133"/>
      <c r="Z1412" s="133"/>
      <c r="AA1412" s="133"/>
      <c r="AB1412" s="133"/>
      <c r="AC1412" s="133"/>
      <c r="AD1412" s="133"/>
      <c r="AE1412" s="133"/>
      <c r="AF1412" s="133"/>
      <c r="AG1412" s="133"/>
      <c r="AH1412" s="133"/>
      <c r="AI1412" s="133"/>
      <c r="AJ1412" s="133"/>
      <c r="AK1412" s="133"/>
      <c r="AL1412" s="133"/>
      <c r="AM1412" s="133"/>
      <c r="AN1412" s="133"/>
      <c r="AO1412" s="133"/>
      <c r="AP1412" s="133"/>
      <c r="AQ1412" s="133"/>
      <c r="AR1412" s="133"/>
      <c r="AS1412" s="153">
        <v>0</v>
      </c>
      <c r="AT1412" s="153">
        <v>0</v>
      </c>
      <c r="AU1412" s="153">
        <v>0</v>
      </c>
      <c r="AV1412" s="135"/>
      <c r="AW1412" s="135"/>
      <c r="AX1412" s="135"/>
      <c r="AY1412" s="135"/>
      <c r="AZ1412" s="135"/>
      <c r="BA1412" s="135"/>
      <c r="BB1412" s="135"/>
      <c r="BC1412" s="135"/>
      <c r="BD1412" s="135"/>
      <c r="BE1412" s="135"/>
      <c r="BF1412" s="135"/>
      <c r="BG1412" s="135"/>
      <c r="BH1412" s="135"/>
      <c r="BI1412" s="2"/>
      <c r="BJ1412" s="136"/>
      <c r="BK1412" s="2"/>
      <c r="BL1412" s="136"/>
      <c r="BM1412" s="136"/>
      <c r="BN1412" s="2"/>
      <c r="BO1412" s="2"/>
      <c r="BP1412" s="136"/>
      <c r="BQ1412" s="137"/>
    </row>
    <row r="1413" spans="1:69" ht="12.75" customHeight="1" x14ac:dyDescent="0.2">
      <c r="A1413" s="2">
        <v>2902</v>
      </c>
      <c r="B1413" s="2"/>
      <c r="C1413" s="131"/>
      <c r="D1413" s="131"/>
      <c r="E1413" s="2"/>
      <c r="F1413" s="132">
        <v>0</v>
      </c>
      <c r="G1413" s="132"/>
      <c r="H1413" s="132">
        <f t="shared" si="164"/>
        <v>0</v>
      </c>
      <c r="I1413" s="132"/>
      <c r="J1413" s="132">
        <f t="shared" si="162"/>
        <v>0</v>
      </c>
      <c r="K1413" s="132">
        <f t="shared" si="165"/>
        <v>0</v>
      </c>
      <c r="L1413" s="132">
        <f t="shared" si="159"/>
        <v>0</v>
      </c>
      <c r="M1413" s="133"/>
      <c r="N1413" s="133">
        <f t="shared" si="163"/>
        <v>0</v>
      </c>
      <c r="O1413" s="134"/>
      <c r="P1413" s="133"/>
      <c r="Q1413" s="2"/>
      <c r="R1413" s="156">
        <f t="shared" si="160"/>
        <v>0</v>
      </c>
      <c r="S1413" s="156">
        <f t="shared" si="161"/>
        <v>0</v>
      </c>
      <c r="T1413" s="133"/>
      <c r="U1413" s="133"/>
      <c r="V1413" s="133"/>
      <c r="W1413" s="133"/>
      <c r="X1413" s="133"/>
      <c r="Y1413" s="133"/>
      <c r="Z1413" s="133"/>
      <c r="AA1413" s="133"/>
      <c r="AB1413" s="133"/>
      <c r="AC1413" s="133"/>
      <c r="AD1413" s="133"/>
      <c r="AE1413" s="133"/>
      <c r="AF1413" s="133"/>
      <c r="AG1413" s="133"/>
      <c r="AH1413" s="133"/>
      <c r="AI1413" s="133"/>
      <c r="AJ1413" s="133"/>
      <c r="AK1413" s="133"/>
      <c r="AL1413" s="133"/>
      <c r="AM1413" s="133"/>
      <c r="AN1413" s="133"/>
      <c r="AO1413" s="133"/>
      <c r="AP1413" s="133"/>
      <c r="AQ1413" s="133"/>
      <c r="AR1413" s="133"/>
      <c r="AS1413" s="153">
        <v>0</v>
      </c>
      <c r="AT1413" s="153">
        <v>0</v>
      </c>
      <c r="AU1413" s="153">
        <v>0</v>
      </c>
      <c r="AV1413" s="135"/>
      <c r="AW1413" s="135"/>
      <c r="AX1413" s="135"/>
      <c r="AY1413" s="135"/>
      <c r="AZ1413" s="135"/>
      <c r="BA1413" s="135"/>
      <c r="BB1413" s="135"/>
      <c r="BC1413" s="135"/>
      <c r="BD1413" s="135"/>
      <c r="BE1413" s="135"/>
      <c r="BF1413" s="135"/>
      <c r="BG1413" s="135"/>
      <c r="BH1413" s="135"/>
      <c r="BI1413" s="2"/>
      <c r="BJ1413" s="136"/>
      <c r="BK1413" s="2"/>
      <c r="BL1413" s="136"/>
      <c r="BM1413" s="136"/>
      <c r="BN1413" s="2"/>
      <c r="BO1413" s="2"/>
      <c r="BP1413" s="136"/>
      <c r="BQ1413" s="137"/>
    </row>
    <row r="1414" spans="1:69" ht="12.75" customHeight="1" x14ac:dyDescent="0.2">
      <c r="A1414" s="2">
        <v>2903</v>
      </c>
      <c r="B1414" s="2"/>
      <c r="C1414" s="131"/>
      <c r="D1414" s="131"/>
      <c r="E1414" s="2"/>
      <c r="F1414" s="132">
        <v>0</v>
      </c>
      <c r="G1414" s="132"/>
      <c r="H1414" s="132">
        <f t="shared" si="164"/>
        <v>0</v>
      </c>
      <c r="I1414" s="132"/>
      <c r="J1414" s="132">
        <f t="shared" si="162"/>
        <v>0</v>
      </c>
      <c r="K1414" s="132">
        <f t="shared" si="165"/>
        <v>0</v>
      </c>
      <c r="L1414" s="132">
        <f t="shared" si="159"/>
        <v>0</v>
      </c>
      <c r="M1414" s="133"/>
      <c r="N1414" s="133">
        <f t="shared" si="163"/>
        <v>0</v>
      </c>
      <c r="O1414" s="134"/>
      <c r="P1414" s="133"/>
      <c r="Q1414" s="2"/>
      <c r="R1414" s="156">
        <f t="shared" si="160"/>
        <v>0</v>
      </c>
      <c r="S1414" s="156">
        <f t="shared" si="161"/>
        <v>0</v>
      </c>
      <c r="T1414" s="133"/>
      <c r="U1414" s="133"/>
      <c r="V1414" s="133"/>
      <c r="W1414" s="133"/>
      <c r="X1414" s="133"/>
      <c r="Y1414" s="133"/>
      <c r="Z1414" s="133"/>
      <c r="AA1414" s="133"/>
      <c r="AB1414" s="133"/>
      <c r="AC1414" s="133"/>
      <c r="AD1414" s="133"/>
      <c r="AE1414" s="133"/>
      <c r="AF1414" s="133"/>
      <c r="AG1414" s="133"/>
      <c r="AH1414" s="133"/>
      <c r="AI1414" s="133"/>
      <c r="AJ1414" s="133"/>
      <c r="AK1414" s="133"/>
      <c r="AL1414" s="133"/>
      <c r="AM1414" s="133"/>
      <c r="AN1414" s="133"/>
      <c r="AO1414" s="133"/>
      <c r="AP1414" s="133"/>
      <c r="AQ1414" s="133"/>
      <c r="AR1414" s="133"/>
      <c r="AS1414" s="153">
        <v>0</v>
      </c>
      <c r="AT1414" s="153">
        <v>0</v>
      </c>
      <c r="AU1414" s="153">
        <v>0</v>
      </c>
      <c r="AV1414" s="135"/>
      <c r="AW1414" s="135"/>
      <c r="AX1414" s="135"/>
      <c r="AY1414" s="135"/>
      <c r="AZ1414" s="135"/>
      <c r="BA1414" s="135"/>
      <c r="BB1414" s="135"/>
      <c r="BC1414" s="135"/>
      <c r="BD1414" s="135"/>
      <c r="BE1414" s="135"/>
      <c r="BF1414" s="135"/>
      <c r="BG1414" s="135"/>
      <c r="BH1414" s="135"/>
      <c r="BI1414" s="2"/>
      <c r="BJ1414" s="136"/>
      <c r="BK1414" s="2"/>
      <c r="BL1414" s="136"/>
      <c r="BM1414" s="136"/>
      <c r="BN1414" s="2"/>
      <c r="BO1414" s="2"/>
      <c r="BP1414" s="136"/>
      <c r="BQ1414" s="137"/>
    </row>
    <row r="1415" spans="1:69" ht="12.75" customHeight="1" x14ac:dyDescent="0.2">
      <c r="A1415" s="2">
        <v>2904</v>
      </c>
      <c r="B1415" s="2"/>
      <c r="C1415" s="131"/>
      <c r="D1415" s="131"/>
      <c r="E1415" s="2"/>
      <c r="F1415" s="132">
        <v>0</v>
      </c>
      <c r="G1415" s="132"/>
      <c r="H1415" s="132">
        <f t="shared" si="164"/>
        <v>0</v>
      </c>
      <c r="I1415" s="132"/>
      <c r="J1415" s="132">
        <f t="shared" si="162"/>
        <v>0</v>
      </c>
      <c r="K1415" s="132">
        <f t="shared" si="165"/>
        <v>0</v>
      </c>
      <c r="L1415" s="132">
        <f t="shared" si="159"/>
        <v>0</v>
      </c>
      <c r="M1415" s="133"/>
      <c r="N1415" s="133">
        <f t="shared" si="163"/>
        <v>0</v>
      </c>
      <c r="O1415" s="134"/>
      <c r="P1415" s="133"/>
      <c r="Q1415" s="2"/>
      <c r="R1415" s="156">
        <f t="shared" si="160"/>
        <v>0</v>
      </c>
      <c r="S1415" s="156">
        <f t="shared" si="161"/>
        <v>0</v>
      </c>
      <c r="T1415" s="133"/>
      <c r="U1415" s="133"/>
      <c r="V1415" s="133"/>
      <c r="W1415" s="133"/>
      <c r="X1415" s="133"/>
      <c r="Y1415" s="133"/>
      <c r="Z1415" s="133"/>
      <c r="AA1415" s="133"/>
      <c r="AB1415" s="133"/>
      <c r="AC1415" s="133"/>
      <c r="AD1415" s="133"/>
      <c r="AE1415" s="133"/>
      <c r="AF1415" s="133"/>
      <c r="AG1415" s="133"/>
      <c r="AH1415" s="133"/>
      <c r="AI1415" s="133"/>
      <c r="AJ1415" s="133"/>
      <c r="AK1415" s="133"/>
      <c r="AL1415" s="133"/>
      <c r="AM1415" s="133"/>
      <c r="AN1415" s="133"/>
      <c r="AO1415" s="133"/>
      <c r="AP1415" s="133"/>
      <c r="AQ1415" s="133"/>
      <c r="AR1415" s="133"/>
      <c r="AS1415" s="153">
        <v>0</v>
      </c>
      <c r="AT1415" s="153">
        <v>0</v>
      </c>
      <c r="AU1415" s="153">
        <v>0</v>
      </c>
      <c r="AV1415" s="135"/>
      <c r="AW1415" s="135"/>
      <c r="AX1415" s="135"/>
      <c r="AY1415" s="135"/>
      <c r="AZ1415" s="135"/>
      <c r="BA1415" s="135"/>
      <c r="BB1415" s="135"/>
      <c r="BC1415" s="135"/>
      <c r="BD1415" s="135"/>
      <c r="BE1415" s="135"/>
      <c r="BF1415" s="135"/>
      <c r="BG1415" s="135"/>
      <c r="BH1415" s="135"/>
      <c r="BI1415" s="2"/>
      <c r="BJ1415" s="136"/>
      <c r="BK1415" s="2"/>
      <c r="BL1415" s="136"/>
      <c r="BM1415" s="136"/>
      <c r="BN1415" s="2"/>
      <c r="BO1415" s="2"/>
      <c r="BP1415" s="136"/>
      <c r="BQ1415" s="137"/>
    </row>
    <row r="1416" spans="1:69" ht="12.75" customHeight="1" x14ac:dyDescent="0.2">
      <c r="A1416" s="2">
        <v>2905</v>
      </c>
      <c r="B1416" s="2"/>
      <c r="C1416" s="131"/>
      <c r="D1416" s="131"/>
      <c r="E1416" s="2"/>
      <c r="F1416" s="132">
        <v>0</v>
      </c>
      <c r="G1416" s="132"/>
      <c r="H1416" s="132">
        <f t="shared" si="164"/>
        <v>0</v>
      </c>
      <c r="I1416" s="132"/>
      <c r="J1416" s="132">
        <f t="shared" si="162"/>
        <v>0</v>
      </c>
      <c r="K1416" s="132">
        <f t="shared" si="165"/>
        <v>0</v>
      </c>
      <c r="L1416" s="132">
        <f t="shared" si="159"/>
        <v>0</v>
      </c>
      <c r="M1416" s="133"/>
      <c r="N1416" s="133">
        <f t="shared" si="163"/>
        <v>0</v>
      </c>
      <c r="O1416" s="134"/>
      <c r="P1416" s="133"/>
      <c r="Q1416" s="2"/>
      <c r="R1416" s="156">
        <f t="shared" si="160"/>
        <v>0</v>
      </c>
      <c r="S1416" s="156">
        <f t="shared" si="161"/>
        <v>0</v>
      </c>
      <c r="T1416" s="133"/>
      <c r="U1416" s="133"/>
      <c r="V1416" s="133"/>
      <c r="W1416" s="133"/>
      <c r="X1416" s="133"/>
      <c r="Y1416" s="133"/>
      <c r="Z1416" s="133"/>
      <c r="AA1416" s="133"/>
      <c r="AB1416" s="133"/>
      <c r="AC1416" s="133"/>
      <c r="AD1416" s="133"/>
      <c r="AE1416" s="133"/>
      <c r="AF1416" s="133"/>
      <c r="AG1416" s="133"/>
      <c r="AH1416" s="133"/>
      <c r="AI1416" s="133"/>
      <c r="AJ1416" s="133"/>
      <c r="AK1416" s="133"/>
      <c r="AL1416" s="133"/>
      <c r="AM1416" s="133"/>
      <c r="AN1416" s="133"/>
      <c r="AO1416" s="133"/>
      <c r="AP1416" s="133"/>
      <c r="AQ1416" s="133"/>
      <c r="AR1416" s="133"/>
      <c r="AS1416" s="153">
        <v>0</v>
      </c>
      <c r="AT1416" s="153">
        <v>0</v>
      </c>
      <c r="AU1416" s="153">
        <v>0</v>
      </c>
      <c r="AV1416" s="135"/>
      <c r="AW1416" s="135"/>
      <c r="AX1416" s="135"/>
      <c r="AY1416" s="135"/>
      <c r="AZ1416" s="135"/>
      <c r="BA1416" s="135"/>
      <c r="BB1416" s="135"/>
      <c r="BC1416" s="135"/>
      <c r="BD1416" s="135"/>
      <c r="BE1416" s="135"/>
      <c r="BF1416" s="135"/>
      <c r="BG1416" s="135"/>
      <c r="BH1416" s="135"/>
      <c r="BI1416" s="2"/>
      <c r="BJ1416" s="136"/>
      <c r="BK1416" s="2"/>
      <c r="BL1416" s="136"/>
      <c r="BM1416" s="136"/>
      <c r="BN1416" s="2"/>
      <c r="BO1416" s="2"/>
      <c r="BP1416" s="136"/>
      <c r="BQ1416" s="137"/>
    </row>
    <row r="1417" spans="1:69" ht="12.75" customHeight="1" x14ac:dyDescent="0.2">
      <c r="A1417" s="2">
        <v>2906</v>
      </c>
      <c r="B1417" s="2"/>
      <c r="C1417" s="131"/>
      <c r="D1417" s="131"/>
      <c r="E1417" s="2"/>
      <c r="F1417" s="132">
        <v>0</v>
      </c>
      <c r="G1417" s="132"/>
      <c r="H1417" s="132">
        <f t="shared" si="164"/>
        <v>0</v>
      </c>
      <c r="I1417" s="132"/>
      <c r="J1417" s="132">
        <f t="shared" si="162"/>
        <v>0</v>
      </c>
      <c r="K1417" s="132">
        <f t="shared" si="165"/>
        <v>0</v>
      </c>
      <c r="L1417" s="132">
        <f t="shared" si="159"/>
        <v>0</v>
      </c>
      <c r="M1417" s="133"/>
      <c r="N1417" s="133">
        <f t="shared" si="163"/>
        <v>0</v>
      </c>
      <c r="O1417" s="134"/>
      <c r="P1417" s="133"/>
      <c r="Q1417" s="2"/>
      <c r="R1417" s="156">
        <f t="shared" si="160"/>
        <v>0</v>
      </c>
      <c r="S1417" s="156">
        <f t="shared" si="161"/>
        <v>0</v>
      </c>
      <c r="T1417" s="133"/>
      <c r="U1417" s="133"/>
      <c r="V1417" s="133"/>
      <c r="W1417" s="133"/>
      <c r="X1417" s="133"/>
      <c r="Y1417" s="133"/>
      <c r="Z1417" s="133"/>
      <c r="AA1417" s="133"/>
      <c r="AB1417" s="133"/>
      <c r="AC1417" s="133"/>
      <c r="AD1417" s="133"/>
      <c r="AE1417" s="133"/>
      <c r="AF1417" s="133"/>
      <c r="AG1417" s="133"/>
      <c r="AH1417" s="133"/>
      <c r="AI1417" s="133"/>
      <c r="AJ1417" s="133"/>
      <c r="AK1417" s="133"/>
      <c r="AL1417" s="133"/>
      <c r="AM1417" s="133"/>
      <c r="AN1417" s="133"/>
      <c r="AO1417" s="133"/>
      <c r="AP1417" s="133"/>
      <c r="AQ1417" s="133"/>
      <c r="AR1417" s="133"/>
      <c r="AS1417" s="153">
        <v>0</v>
      </c>
      <c r="AT1417" s="153">
        <v>0</v>
      </c>
      <c r="AU1417" s="153">
        <v>0</v>
      </c>
      <c r="AV1417" s="135"/>
      <c r="AW1417" s="135"/>
      <c r="AX1417" s="135"/>
      <c r="AY1417" s="135"/>
      <c r="AZ1417" s="135"/>
      <c r="BA1417" s="135"/>
      <c r="BB1417" s="135"/>
      <c r="BC1417" s="135"/>
      <c r="BD1417" s="135"/>
      <c r="BE1417" s="135"/>
      <c r="BF1417" s="135"/>
      <c r="BG1417" s="135"/>
      <c r="BH1417" s="135"/>
      <c r="BI1417" s="2"/>
      <c r="BJ1417" s="136"/>
      <c r="BK1417" s="2"/>
      <c r="BL1417" s="136"/>
      <c r="BM1417" s="136"/>
      <c r="BN1417" s="2"/>
      <c r="BO1417" s="2"/>
      <c r="BP1417" s="136"/>
      <c r="BQ1417" s="137"/>
    </row>
    <row r="1418" spans="1:69" ht="12.75" customHeight="1" x14ac:dyDescent="0.2">
      <c r="A1418" s="2">
        <v>2907</v>
      </c>
      <c r="B1418" s="2"/>
      <c r="C1418" s="131"/>
      <c r="D1418" s="131"/>
      <c r="E1418" s="2"/>
      <c r="F1418" s="132">
        <v>0</v>
      </c>
      <c r="G1418" s="132"/>
      <c r="H1418" s="132">
        <f t="shared" si="164"/>
        <v>0</v>
      </c>
      <c r="I1418" s="132"/>
      <c r="J1418" s="132">
        <f t="shared" si="162"/>
        <v>0</v>
      </c>
      <c r="K1418" s="132">
        <f t="shared" si="165"/>
        <v>0</v>
      </c>
      <c r="L1418" s="132">
        <f t="shared" si="159"/>
        <v>0</v>
      </c>
      <c r="M1418" s="133"/>
      <c r="N1418" s="133">
        <f t="shared" si="163"/>
        <v>0</v>
      </c>
      <c r="O1418" s="134"/>
      <c r="P1418" s="133"/>
      <c r="Q1418" s="2"/>
      <c r="R1418" s="156">
        <f t="shared" si="160"/>
        <v>0</v>
      </c>
      <c r="S1418" s="156">
        <f t="shared" si="161"/>
        <v>0</v>
      </c>
      <c r="T1418" s="133"/>
      <c r="U1418" s="133"/>
      <c r="V1418" s="133"/>
      <c r="W1418" s="133"/>
      <c r="X1418" s="133"/>
      <c r="Y1418" s="133"/>
      <c r="Z1418" s="133"/>
      <c r="AA1418" s="133"/>
      <c r="AB1418" s="133"/>
      <c r="AC1418" s="133"/>
      <c r="AD1418" s="133"/>
      <c r="AE1418" s="133"/>
      <c r="AF1418" s="133"/>
      <c r="AG1418" s="133"/>
      <c r="AH1418" s="133"/>
      <c r="AI1418" s="133"/>
      <c r="AJ1418" s="133"/>
      <c r="AK1418" s="133"/>
      <c r="AL1418" s="133"/>
      <c r="AM1418" s="133"/>
      <c r="AN1418" s="133"/>
      <c r="AO1418" s="133"/>
      <c r="AP1418" s="133"/>
      <c r="AQ1418" s="133"/>
      <c r="AR1418" s="133"/>
      <c r="AS1418" s="153">
        <v>0</v>
      </c>
      <c r="AT1418" s="153">
        <v>0</v>
      </c>
      <c r="AU1418" s="153">
        <v>0</v>
      </c>
      <c r="AV1418" s="135"/>
      <c r="AW1418" s="135"/>
      <c r="AX1418" s="135"/>
      <c r="AY1418" s="135"/>
      <c r="AZ1418" s="135"/>
      <c r="BA1418" s="135"/>
      <c r="BB1418" s="135"/>
      <c r="BC1418" s="135"/>
      <c r="BD1418" s="135"/>
      <c r="BE1418" s="135"/>
      <c r="BF1418" s="135"/>
      <c r="BG1418" s="135"/>
      <c r="BH1418" s="135"/>
      <c r="BI1418" s="2"/>
      <c r="BJ1418" s="136"/>
      <c r="BK1418" s="2"/>
      <c r="BL1418" s="136"/>
      <c r="BM1418" s="136"/>
      <c r="BN1418" s="2"/>
      <c r="BO1418" s="2"/>
      <c r="BP1418" s="136"/>
      <c r="BQ1418" s="137"/>
    </row>
    <row r="1419" spans="1:69" ht="12.75" customHeight="1" x14ac:dyDescent="0.2">
      <c r="A1419" s="2">
        <v>2908</v>
      </c>
      <c r="B1419" s="2"/>
      <c r="C1419" s="131"/>
      <c r="D1419" s="131"/>
      <c r="E1419" s="2"/>
      <c r="F1419" s="132">
        <v>0</v>
      </c>
      <c r="G1419" s="132"/>
      <c r="H1419" s="132">
        <f t="shared" si="164"/>
        <v>0</v>
      </c>
      <c r="I1419" s="132"/>
      <c r="J1419" s="132">
        <f t="shared" si="162"/>
        <v>0</v>
      </c>
      <c r="K1419" s="132">
        <f t="shared" si="165"/>
        <v>0</v>
      </c>
      <c r="L1419" s="132">
        <f t="shared" ref="L1419:L1482" si="166">H1419-J1419</f>
        <v>0</v>
      </c>
      <c r="M1419" s="133"/>
      <c r="N1419" s="133">
        <f t="shared" si="163"/>
        <v>0</v>
      </c>
      <c r="O1419" s="134"/>
      <c r="P1419" s="133"/>
      <c r="Q1419" s="2"/>
      <c r="R1419" s="156">
        <f t="shared" ref="R1419:R1482" si="167">T1419+V1419+X1419+Z1419+AB1419+AD1419+AF1419+AH1419+AJ1419+AL1419+AN1419+AP1419</f>
        <v>0</v>
      </c>
      <c r="S1419" s="156">
        <f t="shared" ref="S1419:S1482" si="168">U1419+W1419+Y1419+AA1419+AC1419+AE1419+AG1419+AI1419+AK1419+AM1419+AO1419+AQ1419</f>
        <v>0</v>
      </c>
      <c r="T1419" s="133"/>
      <c r="U1419" s="133"/>
      <c r="V1419" s="133"/>
      <c r="W1419" s="133"/>
      <c r="X1419" s="133"/>
      <c r="Y1419" s="133"/>
      <c r="Z1419" s="133"/>
      <c r="AA1419" s="133"/>
      <c r="AB1419" s="133"/>
      <c r="AC1419" s="133"/>
      <c r="AD1419" s="133"/>
      <c r="AE1419" s="133"/>
      <c r="AF1419" s="133"/>
      <c r="AG1419" s="133"/>
      <c r="AH1419" s="133"/>
      <c r="AI1419" s="133"/>
      <c r="AJ1419" s="133"/>
      <c r="AK1419" s="133"/>
      <c r="AL1419" s="133"/>
      <c r="AM1419" s="133"/>
      <c r="AN1419" s="133"/>
      <c r="AO1419" s="133"/>
      <c r="AP1419" s="133"/>
      <c r="AQ1419" s="133"/>
      <c r="AR1419" s="133"/>
      <c r="AS1419" s="153">
        <v>0</v>
      </c>
      <c r="AT1419" s="153">
        <v>0</v>
      </c>
      <c r="AU1419" s="153">
        <v>0</v>
      </c>
      <c r="AV1419" s="135"/>
      <c r="AW1419" s="135"/>
      <c r="AX1419" s="135"/>
      <c r="AY1419" s="135"/>
      <c r="AZ1419" s="135"/>
      <c r="BA1419" s="135"/>
      <c r="BB1419" s="135"/>
      <c r="BC1419" s="135"/>
      <c r="BD1419" s="135"/>
      <c r="BE1419" s="135"/>
      <c r="BF1419" s="135"/>
      <c r="BG1419" s="135"/>
      <c r="BH1419" s="135"/>
      <c r="BI1419" s="2"/>
      <c r="BJ1419" s="136"/>
      <c r="BK1419" s="2"/>
      <c r="BL1419" s="136"/>
      <c r="BM1419" s="136"/>
      <c r="BN1419" s="2"/>
      <c r="BO1419" s="2"/>
      <c r="BP1419" s="136"/>
      <c r="BQ1419" s="137"/>
    </row>
    <row r="1420" spans="1:69" ht="12.75" customHeight="1" x14ac:dyDescent="0.2">
      <c r="A1420" s="2">
        <v>2909</v>
      </c>
      <c r="B1420" s="2"/>
      <c r="C1420" s="131"/>
      <c r="D1420" s="131"/>
      <c r="E1420" s="2"/>
      <c r="F1420" s="132">
        <v>0</v>
      </c>
      <c r="G1420" s="132"/>
      <c r="H1420" s="132">
        <f t="shared" si="164"/>
        <v>0</v>
      </c>
      <c r="I1420" s="132"/>
      <c r="J1420" s="132">
        <f t="shared" si="162"/>
        <v>0</v>
      </c>
      <c r="K1420" s="132">
        <f t="shared" si="165"/>
        <v>0</v>
      </c>
      <c r="L1420" s="132">
        <f t="shared" si="166"/>
        <v>0</v>
      </c>
      <c r="M1420" s="133"/>
      <c r="N1420" s="133">
        <f t="shared" si="163"/>
        <v>0</v>
      </c>
      <c r="O1420" s="134"/>
      <c r="P1420" s="133"/>
      <c r="Q1420" s="2"/>
      <c r="R1420" s="156">
        <f t="shared" si="167"/>
        <v>0</v>
      </c>
      <c r="S1420" s="156">
        <f t="shared" si="168"/>
        <v>0</v>
      </c>
      <c r="T1420" s="133"/>
      <c r="U1420" s="133"/>
      <c r="V1420" s="133"/>
      <c r="W1420" s="133"/>
      <c r="X1420" s="133"/>
      <c r="Y1420" s="133"/>
      <c r="Z1420" s="133"/>
      <c r="AA1420" s="133"/>
      <c r="AB1420" s="133"/>
      <c r="AC1420" s="133"/>
      <c r="AD1420" s="133"/>
      <c r="AE1420" s="133"/>
      <c r="AF1420" s="133"/>
      <c r="AG1420" s="133"/>
      <c r="AH1420" s="133"/>
      <c r="AI1420" s="133"/>
      <c r="AJ1420" s="133"/>
      <c r="AK1420" s="133"/>
      <c r="AL1420" s="133"/>
      <c r="AM1420" s="133"/>
      <c r="AN1420" s="133"/>
      <c r="AO1420" s="133"/>
      <c r="AP1420" s="133"/>
      <c r="AQ1420" s="133"/>
      <c r="AR1420" s="133"/>
      <c r="AS1420" s="153">
        <v>0</v>
      </c>
      <c r="AT1420" s="153">
        <v>0</v>
      </c>
      <c r="AU1420" s="153">
        <v>0</v>
      </c>
      <c r="AV1420" s="135"/>
      <c r="AW1420" s="135"/>
      <c r="AX1420" s="135"/>
      <c r="AY1420" s="135"/>
      <c r="AZ1420" s="135"/>
      <c r="BA1420" s="135"/>
      <c r="BB1420" s="135"/>
      <c r="BC1420" s="135"/>
      <c r="BD1420" s="135"/>
      <c r="BE1420" s="135"/>
      <c r="BF1420" s="135"/>
      <c r="BG1420" s="135"/>
      <c r="BH1420" s="135"/>
      <c r="BI1420" s="2"/>
      <c r="BJ1420" s="136"/>
      <c r="BK1420" s="2"/>
      <c r="BL1420" s="136"/>
      <c r="BM1420" s="136"/>
      <c r="BN1420" s="2"/>
      <c r="BO1420" s="2"/>
      <c r="BP1420" s="136"/>
      <c r="BQ1420" s="137"/>
    </row>
    <row r="1421" spans="1:69" ht="12.75" customHeight="1" x14ac:dyDescent="0.2">
      <c r="A1421" s="2">
        <v>2910</v>
      </c>
      <c r="B1421" s="2"/>
      <c r="C1421" s="131"/>
      <c r="D1421" s="131"/>
      <c r="E1421" s="2"/>
      <c r="F1421" s="132">
        <v>0</v>
      </c>
      <c r="G1421" s="132"/>
      <c r="H1421" s="132">
        <f t="shared" si="164"/>
        <v>0</v>
      </c>
      <c r="I1421" s="132"/>
      <c r="J1421" s="132">
        <f t="shared" si="162"/>
        <v>0</v>
      </c>
      <c r="K1421" s="132">
        <f t="shared" si="165"/>
        <v>0</v>
      </c>
      <c r="L1421" s="132">
        <f t="shared" si="166"/>
        <v>0</v>
      </c>
      <c r="M1421" s="133"/>
      <c r="N1421" s="133">
        <f t="shared" si="163"/>
        <v>0</v>
      </c>
      <c r="O1421" s="134"/>
      <c r="P1421" s="133"/>
      <c r="Q1421" s="2"/>
      <c r="R1421" s="156">
        <f t="shared" si="167"/>
        <v>0</v>
      </c>
      <c r="S1421" s="156">
        <f t="shared" si="168"/>
        <v>0</v>
      </c>
      <c r="T1421" s="133"/>
      <c r="U1421" s="133"/>
      <c r="V1421" s="133"/>
      <c r="W1421" s="133"/>
      <c r="X1421" s="133"/>
      <c r="Y1421" s="133"/>
      <c r="Z1421" s="133"/>
      <c r="AA1421" s="133"/>
      <c r="AB1421" s="133"/>
      <c r="AC1421" s="133"/>
      <c r="AD1421" s="133"/>
      <c r="AE1421" s="133"/>
      <c r="AF1421" s="133"/>
      <c r="AG1421" s="133"/>
      <c r="AH1421" s="133"/>
      <c r="AI1421" s="133"/>
      <c r="AJ1421" s="133"/>
      <c r="AK1421" s="133"/>
      <c r="AL1421" s="133"/>
      <c r="AM1421" s="133"/>
      <c r="AN1421" s="133"/>
      <c r="AO1421" s="133"/>
      <c r="AP1421" s="133"/>
      <c r="AQ1421" s="133"/>
      <c r="AR1421" s="133"/>
      <c r="AS1421" s="153">
        <v>0</v>
      </c>
      <c r="AT1421" s="153">
        <v>0</v>
      </c>
      <c r="AU1421" s="153">
        <v>0</v>
      </c>
      <c r="AV1421" s="135"/>
      <c r="AW1421" s="135"/>
      <c r="AX1421" s="135"/>
      <c r="AY1421" s="135"/>
      <c r="AZ1421" s="135"/>
      <c r="BA1421" s="135"/>
      <c r="BB1421" s="135"/>
      <c r="BC1421" s="135"/>
      <c r="BD1421" s="135"/>
      <c r="BE1421" s="135"/>
      <c r="BF1421" s="135"/>
      <c r="BG1421" s="135"/>
      <c r="BH1421" s="135"/>
      <c r="BI1421" s="2"/>
      <c r="BJ1421" s="136"/>
      <c r="BK1421" s="2"/>
      <c r="BL1421" s="136"/>
      <c r="BM1421" s="136"/>
      <c r="BN1421" s="2"/>
      <c r="BO1421" s="2"/>
      <c r="BP1421" s="136"/>
      <c r="BQ1421" s="137"/>
    </row>
    <row r="1422" spans="1:69" ht="12.75" customHeight="1" x14ac:dyDescent="0.2">
      <c r="A1422" s="2">
        <v>2911</v>
      </c>
      <c r="B1422" s="2"/>
      <c r="C1422" s="131"/>
      <c r="D1422" s="131"/>
      <c r="E1422" s="2"/>
      <c r="F1422" s="132">
        <v>0</v>
      </c>
      <c r="G1422" s="132"/>
      <c r="H1422" s="132">
        <f t="shared" si="164"/>
        <v>0</v>
      </c>
      <c r="I1422" s="132"/>
      <c r="J1422" s="132">
        <f t="shared" si="162"/>
        <v>0</v>
      </c>
      <c r="K1422" s="132">
        <f t="shared" si="165"/>
        <v>0</v>
      </c>
      <c r="L1422" s="132">
        <f t="shared" si="166"/>
        <v>0</v>
      </c>
      <c r="M1422" s="133"/>
      <c r="N1422" s="133">
        <f t="shared" si="163"/>
        <v>0</v>
      </c>
      <c r="O1422" s="134"/>
      <c r="P1422" s="133"/>
      <c r="Q1422" s="2"/>
      <c r="R1422" s="156">
        <f t="shared" si="167"/>
        <v>0</v>
      </c>
      <c r="S1422" s="156">
        <f t="shared" si="168"/>
        <v>0</v>
      </c>
      <c r="T1422" s="133"/>
      <c r="U1422" s="133"/>
      <c r="V1422" s="133"/>
      <c r="W1422" s="133"/>
      <c r="X1422" s="133"/>
      <c r="Y1422" s="133"/>
      <c r="Z1422" s="133"/>
      <c r="AA1422" s="133"/>
      <c r="AB1422" s="133"/>
      <c r="AC1422" s="133"/>
      <c r="AD1422" s="133"/>
      <c r="AE1422" s="133"/>
      <c r="AF1422" s="133"/>
      <c r="AG1422" s="133"/>
      <c r="AH1422" s="133"/>
      <c r="AI1422" s="133"/>
      <c r="AJ1422" s="133"/>
      <c r="AK1422" s="133"/>
      <c r="AL1422" s="133"/>
      <c r="AM1422" s="133"/>
      <c r="AN1422" s="133"/>
      <c r="AO1422" s="133"/>
      <c r="AP1422" s="133"/>
      <c r="AQ1422" s="133"/>
      <c r="AR1422" s="133"/>
      <c r="AS1422" s="153">
        <v>0</v>
      </c>
      <c r="AT1422" s="153">
        <v>0</v>
      </c>
      <c r="AU1422" s="153">
        <v>0</v>
      </c>
      <c r="AV1422" s="135"/>
      <c r="AW1422" s="135"/>
      <c r="AX1422" s="135"/>
      <c r="AY1422" s="135"/>
      <c r="AZ1422" s="135"/>
      <c r="BA1422" s="135"/>
      <c r="BB1422" s="135"/>
      <c r="BC1422" s="135"/>
      <c r="BD1422" s="135"/>
      <c r="BE1422" s="135"/>
      <c r="BF1422" s="135"/>
      <c r="BG1422" s="135"/>
      <c r="BH1422" s="135"/>
      <c r="BI1422" s="2"/>
      <c r="BJ1422" s="136"/>
      <c r="BK1422" s="2"/>
      <c r="BL1422" s="136"/>
      <c r="BM1422" s="136"/>
      <c r="BN1422" s="2"/>
      <c r="BO1422" s="2"/>
      <c r="BP1422" s="136"/>
      <c r="BQ1422" s="137"/>
    </row>
    <row r="1423" spans="1:69" ht="12.75" customHeight="1" x14ac:dyDescent="0.2">
      <c r="A1423" s="2">
        <v>2912</v>
      </c>
      <c r="B1423" s="2"/>
      <c r="C1423" s="131"/>
      <c r="D1423" s="131"/>
      <c r="E1423" s="2"/>
      <c r="F1423" s="132">
        <v>0</v>
      </c>
      <c r="G1423" s="132"/>
      <c r="H1423" s="132">
        <f t="shared" si="164"/>
        <v>0</v>
      </c>
      <c r="I1423" s="132"/>
      <c r="J1423" s="132">
        <f t="shared" si="162"/>
        <v>0</v>
      </c>
      <c r="K1423" s="132">
        <f t="shared" si="165"/>
        <v>0</v>
      </c>
      <c r="L1423" s="132">
        <f t="shared" si="166"/>
        <v>0</v>
      </c>
      <c r="M1423" s="133"/>
      <c r="N1423" s="133">
        <f t="shared" si="163"/>
        <v>0</v>
      </c>
      <c r="O1423" s="134"/>
      <c r="P1423" s="133"/>
      <c r="Q1423" s="2"/>
      <c r="R1423" s="156">
        <f t="shared" si="167"/>
        <v>0</v>
      </c>
      <c r="S1423" s="156">
        <f t="shared" si="168"/>
        <v>0</v>
      </c>
      <c r="T1423" s="133"/>
      <c r="U1423" s="133"/>
      <c r="V1423" s="133"/>
      <c r="W1423" s="133"/>
      <c r="X1423" s="133"/>
      <c r="Y1423" s="133"/>
      <c r="Z1423" s="133"/>
      <c r="AA1423" s="133"/>
      <c r="AB1423" s="133"/>
      <c r="AC1423" s="133"/>
      <c r="AD1423" s="133"/>
      <c r="AE1423" s="133"/>
      <c r="AF1423" s="133"/>
      <c r="AG1423" s="133"/>
      <c r="AH1423" s="133"/>
      <c r="AI1423" s="133"/>
      <c r="AJ1423" s="133"/>
      <c r="AK1423" s="133"/>
      <c r="AL1423" s="133"/>
      <c r="AM1423" s="133"/>
      <c r="AN1423" s="133"/>
      <c r="AO1423" s="133"/>
      <c r="AP1423" s="133"/>
      <c r="AQ1423" s="133"/>
      <c r="AR1423" s="133"/>
      <c r="AS1423" s="153">
        <v>0</v>
      </c>
      <c r="AT1423" s="153">
        <v>0</v>
      </c>
      <c r="AU1423" s="153">
        <v>0</v>
      </c>
      <c r="AV1423" s="135"/>
      <c r="AW1423" s="135"/>
      <c r="AX1423" s="135"/>
      <c r="AY1423" s="135"/>
      <c r="AZ1423" s="135"/>
      <c r="BA1423" s="135"/>
      <c r="BB1423" s="135"/>
      <c r="BC1423" s="135"/>
      <c r="BD1423" s="135"/>
      <c r="BE1423" s="135"/>
      <c r="BF1423" s="135"/>
      <c r="BG1423" s="135"/>
      <c r="BH1423" s="135"/>
      <c r="BI1423" s="2"/>
      <c r="BJ1423" s="136"/>
      <c r="BK1423" s="2"/>
      <c r="BL1423" s="136"/>
      <c r="BM1423" s="136"/>
      <c r="BN1423" s="2"/>
      <c r="BO1423" s="2"/>
      <c r="BP1423" s="136"/>
      <c r="BQ1423" s="137"/>
    </row>
    <row r="1424" spans="1:69" ht="12.75" customHeight="1" x14ac:dyDescent="0.2">
      <c r="A1424" s="2">
        <v>2913</v>
      </c>
      <c r="B1424" s="2"/>
      <c r="C1424" s="131"/>
      <c r="D1424" s="131"/>
      <c r="E1424" s="2"/>
      <c r="F1424" s="132">
        <v>0</v>
      </c>
      <c r="G1424" s="132"/>
      <c r="H1424" s="132">
        <f t="shared" si="164"/>
        <v>0</v>
      </c>
      <c r="I1424" s="132"/>
      <c r="J1424" s="132">
        <f t="shared" si="162"/>
        <v>0</v>
      </c>
      <c r="K1424" s="132">
        <f t="shared" si="165"/>
        <v>0</v>
      </c>
      <c r="L1424" s="132">
        <f t="shared" si="166"/>
        <v>0</v>
      </c>
      <c r="M1424" s="133"/>
      <c r="N1424" s="133">
        <f t="shared" si="163"/>
        <v>0</v>
      </c>
      <c r="O1424" s="134"/>
      <c r="P1424" s="133"/>
      <c r="Q1424" s="2"/>
      <c r="R1424" s="156">
        <f t="shared" si="167"/>
        <v>0</v>
      </c>
      <c r="S1424" s="156">
        <f t="shared" si="168"/>
        <v>0</v>
      </c>
      <c r="T1424" s="133"/>
      <c r="U1424" s="133"/>
      <c r="V1424" s="133"/>
      <c r="W1424" s="133"/>
      <c r="X1424" s="133"/>
      <c r="Y1424" s="133"/>
      <c r="Z1424" s="133"/>
      <c r="AA1424" s="133"/>
      <c r="AB1424" s="133"/>
      <c r="AC1424" s="133"/>
      <c r="AD1424" s="133"/>
      <c r="AE1424" s="133"/>
      <c r="AF1424" s="133"/>
      <c r="AG1424" s="133"/>
      <c r="AH1424" s="133"/>
      <c r="AI1424" s="133"/>
      <c r="AJ1424" s="133"/>
      <c r="AK1424" s="133"/>
      <c r="AL1424" s="133"/>
      <c r="AM1424" s="133"/>
      <c r="AN1424" s="133"/>
      <c r="AO1424" s="133"/>
      <c r="AP1424" s="133"/>
      <c r="AQ1424" s="133"/>
      <c r="AR1424" s="133"/>
      <c r="AS1424" s="153">
        <v>0</v>
      </c>
      <c r="AT1424" s="153">
        <v>0</v>
      </c>
      <c r="AU1424" s="153">
        <v>0</v>
      </c>
      <c r="AV1424" s="135"/>
      <c r="AW1424" s="135"/>
      <c r="AX1424" s="135"/>
      <c r="AY1424" s="135"/>
      <c r="AZ1424" s="135"/>
      <c r="BA1424" s="135"/>
      <c r="BB1424" s="135"/>
      <c r="BC1424" s="135"/>
      <c r="BD1424" s="135"/>
      <c r="BE1424" s="135"/>
      <c r="BF1424" s="135"/>
      <c r="BG1424" s="135"/>
      <c r="BH1424" s="135"/>
      <c r="BI1424" s="2"/>
      <c r="BJ1424" s="136"/>
      <c r="BK1424" s="2"/>
      <c r="BL1424" s="136"/>
      <c r="BM1424" s="136"/>
      <c r="BN1424" s="2"/>
      <c r="BO1424" s="2"/>
      <c r="BP1424" s="136"/>
      <c r="BQ1424" s="137"/>
    </row>
    <row r="1425" spans="1:69" ht="12.75" customHeight="1" x14ac:dyDescent="0.2">
      <c r="A1425" s="2">
        <v>2914</v>
      </c>
      <c r="B1425" s="2"/>
      <c r="C1425" s="131"/>
      <c r="D1425" s="131"/>
      <c r="E1425" s="2"/>
      <c r="F1425" s="132">
        <v>0</v>
      </c>
      <c r="G1425" s="132"/>
      <c r="H1425" s="132">
        <f t="shared" si="164"/>
        <v>0</v>
      </c>
      <c r="I1425" s="132"/>
      <c r="J1425" s="132">
        <f t="shared" si="162"/>
        <v>0</v>
      </c>
      <c r="K1425" s="132">
        <f t="shared" si="165"/>
        <v>0</v>
      </c>
      <c r="L1425" s="132">
        <f t="shared" si="166"/>
        <v>0</v>
      </c>
      <c r="M1425" s="133"/>
      <c r="N1425" s="133">
        <f t="shared" si="163"/>
        <v>0</v>
      </c>
      <c r="O1425" s="134"/>
      <c r="P1425" s="133"/>
      <c r="Q1425" s="2"/>
      <c r="R1425" s="156">
        <f t="shared" si="167"/>
        <v>0</v>
      </c>
      <c r="S1425" s="156">
        <f t="shared" si="168"/>
        <v>0</v>
      </c>
      <c r="T1425" s="133"/>
      <c r="U1425" s="133"/>
      <c r="V1425" s="133"/>
      <c r="W1425" s="133"/>
      <c r="X1425" s="133"/>
      <c r="Y1425" s="133"/>
      <c r="Z1425" s="133"/>
      <c r="AA1425" s="133"/>
      <c r="AB1425" s="133"/>
      <c r="AC1425" s="133"/>
      <c r="AD1425" s="133"/>
      <c r="AE1425" s="133"/>
      <c r="AF1425" s="133"/>
      <c r="AG1425" s="133"/>
      <c r="AH1425" s="133"/>
      <c r="AI1425" s="133"/>
      <c r="AJ1425" s="133"/>
      <c r="AK1425" s="133"/>
      <c r="AL1425" s="133"/>
      <c r="AM1425" s="133"/>
      <c r="AN1425" s="133"/>
      <c r="AO1425" s="133"/>
      <c r="AP1425" s="133"/>
      <c r="AQ1425" s="133"/>
      <c r="AR1425" s="133"/>
      <c r="AS1425" s="153">
        <v>0</v>
      </c>
      <c r="AT1425" s="153">
        <v>0</v>
      </c>
      <c r="AU1425" s="153">
        <v>0</v>
      </c>
      <c r="AV1425" s="135"/>
      <c r="AW1425" s="135"/>
      <c r="AX1425" s="135"/>
      <c r="AY1425" s="135"/>
      <c r="AZ1425" s="135"/>
      <c r="BA1425" s="135"/>
      <c r="BB1425" s="135"/>
      <c r="BC1425" s="135"/>
      <c r="BD1425" s="135"/>
      <c r="BE1425" s="135"/>
      <c r="BF1425" s="135"/>
      <c r="BG1425" s="135"/>
      <c r="BH1425" s="135"/>
      <c r="BI1425" s="2"/>
      <c r="BJ1425" s="136"/>
      <c r="BK1425" s="2"/>
      <c r="BL1425" s="136"/>
      <c r="BM1425" s="136"/>
      <c r="BN1425" s="2"/>
      <c r="BO1425" s="2"/>
      <c r="BP1425" s="136"/>
      <c r="BQ1425" s="137"/>
    </row>
    <row r="1426" spans="1:69" ht="12.75" customHeight="1" x14ac:dyDescent="0.2">
      <c r="A1426" s="2">
        <v>2915</v>
      </c>
      <c r="B1426" s="2"/>
      <c r="C1426" s="131"/>
      <c r="D1426" s="131"/>
      <c r="E1426" s="2"/>
      <c r="F1426" s="132">
        <v>0</v>
      </c>
      <c r="G1426" s="132"/>
      <c r="H1426" s="132">
        <f t="shared" si="164"/>
        <v>0</v>
      </c>
      <c r="I1426" s="132"/>
      <c r="J1426" s="132">
        <f t="shared" si="162"/>
        <v>0</v>
      </c>
      <c r="K1426" s="132">
        <f t="shared" si="165"/>
        <v>0</v>
      </c>
      <c r="L1426" s="132">
        <f t="shared" si="166"/>
        <v>0</v>
      </c>
      <c r="M1426" s="133"/>
      <c r="N1426" s="133">
        <f t="shared" si="163"/>
        <v>0</v>
      </c>
      <c r="O1426" s="134"/>
      <c r="P1426" s="133"/>
      <c r="Q1426" s="2"/>
      <c r="R1426" s="156">
        <f t="shared" si="167"/>
        <v>0</v>
      </c>
      <c r="S1426" s="156">
        <f t="shared" si="168"/>
        <v>0</v>
      </c>
      <c r="T1426" s="133"/>
      <c r="U1426" s="133"/>
      <c r="V1426" s="133"/>
      <c r="W1426" s="133"/>
      <c r="X1426" s="133"/>
      <c r="Y1426" s="133"/>
      <c r="Z1426" s="133"/>
      <c r="AA1426" s="133"/>
      <c r="AB1426" s="133"/>
      <c r="AC1426" s="133"/>
      <c r="AD1426" s="133"/>
      <c r="AE1426" s="133"/>
      <c r="AF1426" s="133"/>
      <c r="AG1426" s="133"/>
      <c r="AH1426" s="133"/>
      <c r="AI1426" s="133"/>
      <c r="AJ1426" s="133"/>
      <c r="AK1426" s="133"/>
      <c r="AL1426" s="133"/>
      <c r="AM1426" s="133"/>
      <c r="AN1426" s="133"/>
      <c r="AO1426" s="133"/>
      <c r="AP1426" s="133"/>
      <c r="AQ1426" s="133"/>
      <c r="AR1426" s="133"/>
      <c r="AS1426" s="153">
        <v>0</v>
      </c>
      <c r="AT1426" s="153">
        <v>0</v>
      </c>
      <c r="AU1426" s="153">
        <v>0</v>
      </c>
      <c r="AV1426" s="135"/>
      <c r="AW1426" s="135"/>
      <c r="AX1426" s="135"/>
      <c r="AY1426" s="135"/>
      <c r="AZ1426" s="135"/>
      <c r="BA1426" s="135"/>
      <c r="BB1426" s="135"/>
      <c r="BC1426" s="135"/>
      <c r="BD1426" s="135"/>
      <c r="BE1426" s="135"/>
      <c r="BF1426" s="135"/>
      <c r="BG1426" s="135"/>
      <c r="BH1426" s="135"/>
      <c r="BI1426" s="2"/>
      <c r="BJ1426" s="136"/>
      <c r="BK1426" s="2"/>
      <c r="BL1426" s="136"/>
      <c r="BM1426" s="136"/>
      <c r="BN1426" s="2"/>
      <c r="BO1426" s="2"/>
      <c r="BP1426" s="136"/>
      <c r="BQ1426" s="137"/>
    </row>
    <row r="1427" spans="1:69" ht="12.75" customHeight="1" x14ac:dyDescent="0.2">
      <c r="A1427" s="2">
        <v>2916</v>
      </c>
      <c r="B1427" s="2"/>
      <c r="C1427" s="131"/>
      <c r="D1427" s="131"/>
      <c r="E1427" s="2"/>
      <c r="F1427" s="132">
        <v>0</v>
      </c>
      <c r="G1427" s="132"/>
      <c r="H1427" s="132">
        <f t="shared" si="164"/>
        <v>0</v>
      </c>
      <c r="I1427" s="132"/>
      <c r="J1427" s="132">
        <f t="shared" si="162"/>
        <v>0</v>
      </c>
      <c r="K1427" s="132">
        <f t="shared" si="165"/>
        <v>0</v>
      </c>
      <c r="L1427" s="132">
        <f t="shared" si="166"/>
        <v>0</v>
      </c>
      <c r="M1427" s="133"/>
      <c r="N1427" s="133">
        <f t="shared" si="163"/>
        <v>0</v>
      </c>
      <c r="O1427" s="134"/>
      <c r="P1427" s="133"/>
      <c r="Q1427" s="2"/>
      <c r="R1427" s="156">
        <f t="shared" si="167"/>
        <v>0</v>
      </c>
      <c r="S1427" s="156">
        <f t="shared" si="168"/>
        <v>0</v>
      </c>
      <c r="T1427" s="133"/>
      <c r="U1427" s="133"/>
      <c r="V1427" s="133"/>
      <c r="W1427" s="133"/>
      <c r="X1427" s="133"/>
      <c r="Y1427" s="133"/>
      <c r="Z1427" s="133"/>
      <c r="AA1427" s="133"/>
      <c r="AB1427" s="133"/>
      <c r="AC1427" s="133"/>
      <c r="AD1427" s="133"/>
      <c r="AE1427" s="133"/>
      <c r="AF1427" s="133"/>
      <c r="AG1427" s="133"/>
      <c r="AH1427" s="133"/>
      <c r="AI1427" s="133"/>
      <c r="AJ1427" s="133"/>
      <c r="AK1427" s="133"/>
      <c r="AL1427" s="133"/>
      <c r="AM1427" s="133"/>
      <c r="AN1427" s="133"/>
      <c r="AO1427" s="133"/>
      <c r="AP1427" s="133"/>
      <c r="AQ1427" s="133"/>
      <c r="AR1427" s="133"/>
      <c r="AS1427" s="153">
        <v>0</v>
      </c>
      <c r="AT1427" s="153">
        <v>0</v>
      </c>
      <c r="AU1427" s="153">
        <v>0</v>
      </c>
      <c r="AV1427" s="135"/>
      <c r="AW1427" s="135"/>
      <c r="AX1427" s="135"/>
      <c r="AY1427" s="135"/>
      <c r="AZ1427" s="135"/>
      <c r="BA1427" s="135"/>
      <c r="BB1427" s="135"/>
      <c r="BC1427" s="135"/>
      <c r="BD1427" s="135"/>
      <c r="BE1427" s="135"/>
      <c r="BF1427" s="135"/>
      <c r="BG1427" s="135"/>
      <c r="BH1427" s="135"/>
      <c r="BI1427" s="2"/>
      <c r="BJ1427" s="136"/>
      <c r="BK1427" s="2"/>
      <c r="BL1427" s="136"/>
      <c r="BM1427" s="136"/>
      <c r="BN1427" s="2"/>
      <c r="BO1427" s="2"/>
      <c r="BP1427" s="136"/>
      <c r="BQ1427" s="137"/>
    </row>
    <row r="1428" spans="1:69" ht="12.75" customHeight="1" x14ac:dyDescent="0.2">
      <c r="A1428" s="2">
        <v>2917</v>
      </c>
      <c r="B1428" s="2"/>
      <c r="C1428" s="131"/>
      <c r="D1428" s="131"/>
      <c r="E1428" s="2"/>
      <c r="F1428" s="132">
        <v>0</v>
      </c>
      <c r="G1428" s="132"/>
      <c r="H1428" s="132">
        <f t="shared" si="164"/>
        <v>0</v>
      </c>
      <c r="I1428" s="132"/>
      <c r="J1428" s="132">
        <f t="shared" si="162"/>
        <v>0</v>
      </c>
      <c r="K1428" s="132">
        <f t="shared" si="165"/>
        <v>0</v>
      </c>
      <c r="L1428" s="132">
        <f t="shared" si="166"/>
        <v>0</v>
      </c>
      <c r="M1428" s="133"/>
      <c r="N1428" s="133">
        <f t="shared" si="163"/>
        <v>0</v>
      </c>
      <c r="O1428" s="134"/>
      <c r="P1428" s="133"/>
      <c r="Q1428" s="2"/>
      <c r="R1428" s="156">
        <f t="shared" si="167"/>
        <v>0</v>
      </c>
      <c r="S1428" s="156">
        <f t="shared" si="168"/>
        <v>0</v>
      </c>
      <c r="T1428" s="133"/>
      <c r="U1428" s="133"/>
      <c r="V1428" s="133"/>
      <c r="W1428" s="133"/>
      <c r="X1428" s="133"/>
      <c r="Y1428" s="133"/>
      <c r="Z1428" s="133"/>
      <c r="AA1428" s="133"/>
      <c r="AB1428" s="133"/>
      <c r="AC1428" s="133"/>
      <c r="AD1428" s="133"/>
      <c r="AE1428" s="133"/>
      <c r="AF1428" s="133"/>
      <c r="AG1428" s="133"/>
      <c r="AH1428" s="133"/>
      <c r="AI1428" s="133"/>
      <c r="AJ1428" s="133"/>
      <c r="AK1428" s="133"/>
      <c r="AL1428" s="133"/>
      <c r="AM1428" s="133"/>
      <c r="AN1428" s="133"/>
      <c r="AO1428" s="133"/>
      <c r="AP1428" s="133"/>
      <c r="AQ1428" s="133"/>
      <c r="AR1428" s="133"/>
      <c r="AS1428" s="153">
        <v>0</v>
      </c>
      <c r="AT1428" s="153">
        <v>0</v>
      </c>
      <c r="AU1428" s="153">
        <v>0</v>
      </c>
      <c r="AV1428" s="135"/>
      <c r="AW1428" s="135"/>
      <c r="AX1428" s="135"/>
      <c r="AY1428" s="135"/>
      <c r="AZ1428" s="135"/>
      <c r="BA1428" s="135"/>
      <c r="BB1428" s="135"/>
      <c r="BC1428" s="135"/>
      <c r="BD1428" s="135"/>
      <c r="BE1428" s="135"/>
      <c r="BF1428" s="135"/>
      <c r="BG1428" s="135"/>
      <c r="BH1428" s="135"/>
      <c r="BI1428" s="2"/>
      <c r="BJ1428" s="136"/>
      <c r="BK1428" s="2"/>
      <c r="BL1428" s="136"/>
      <c r="BM1428" s="136"/>
      <c r="BN1428" s="2"/>
      <c r="BO1428" s="2"/>
      <c r="BP1428" s="136"/>
      <c r="BQ1428" s="137"/>
    </row>
    <row r="1429" spans="1:69" ht="12.75" customHeight="1" x14ac:dyDescent="0.2">
      <c r="A1429" s="2">
        <v>2918</v>
      </c>
      <c r="B1429" s="2"/>
      <c r="C1429" s="131"/>
      <c r="D1429" s="131"/>
      <c r="E1429" s="2"/>
      <c r="F1429" s="132">
        <v>0</v>
      </c>
      <c r="G1429" s="132"/>
      <c r="H1429" s="132">
        <f t="shared" si="164"/>
        <v>0</v>
      </c>
      <c r="I1429" s="132"/>
      <c r="J1429" s="132">
        <f t="shared" si="162"/>
        <v>0</v>
      </c>
      <c r="K1429" s="132">
        <f t="shared" si="165"/>
        <v>0</v>
      </c>
      <c r="L1429" s="132">
        <f t="shared" si="166"/>
        <v>0</v>
      </c>
      <c r="M1429" s="133"/>
      <c r="N1429" s="133">
        <f t="shared" si="163"/>
        <v>0</v>
      </c>
      <c r="O1429" s="134"/>
      <c r="P1429" s="133"/>
      <c r="Q1429" s="2"/>
      <c r="R1429" s="156">
        <f t="shared" si="167"/>
        <v>0</v>
      </c>
      <c r="S1429" s="156">
        <f t="shared" si="168"/>
        <v>0</v>
      </c>
      <c r="T1429" s="133"/>
      <c r="U1429" s="133"/>
      <c r="V1429" s="133"/>
      <c r="W1429" s="133"/>
      <c r="X1429" s="133"/>
      <c r="Y1429" s="133"/>
      <c r="Z1429" s="133"/>
      <c r="AA1429" s="133"/>
      <c r="AB1429" s="133"/>
      <c r="AC1429" s="133"/>
      <c r="AD1429" s="133"/>
      <c r="AE1429" s="133"/>
      <c r="AF1429" s="133"/>
      <c r="AG1429" s="133"/>
      <c r="AH1429" s="133"/>
      <c r="AI1429" s="133"/>
      <c r="AJ1429" s="133"/>
      <c r="AK1429" s="133"/>
      <c r="AL1429" s="133"/>
      <c r="AM1429" s="133"/>
      <c r="AN1429" s="133"/>
      <c r="AO1429" s="133"/>
      <c r="AP1429" s="133"/>
      <c r="AQ1429" s="133"/>
      <c r="AR1429" s="133"/>
      <c r="AS1429" s="153">
        <v>0</v>
      </c>
      <c r="AT1429" s="153">
        <v>0</v>
      </c>
      <c r="AU1429" s="153">
        <v>0</v>
      </c>
      <c r="AV1429" s="135"/>
      <c r="AW1429" s="135"/>
      <c r="AX1429" s="135"/>
      <c r="AY1429" s="135"/>
      <c r="AZ1429" s="135"/>
      <c r="BA1429" s="135"/>
      <c r="BB1429" s="135"/>
      <c r="BC1429" s="135"/>
      <c r="BD1429" s="135"/>
      <c r="BE1429" s="135"/>
      <c r="BF1429" s="135"/>
      <c r="BG1429" s="135"/>
      <c r="BH1429" s="135"/>
      <c r="BI1429" s="2"/>
      <c r="BJ1429" s="136"/>
      <c r="BK1429" s="2"/>
      <c r="BL1429" s="136"/>
      <c r="BM1429" s="136"/>
      <c r="BN1429" s="2"/>
      <c r="BO1429" s="2"/>
      <c r="BP1429" s="136"/>
      <c r="BQ1429" s="137"/>
    </row>
    <row r="1430" spans="1:69" ht="12.75" customHeight="1" x14ac:dyDescent="0.2">
      <c r="A1430" s="2">
        <v>2919</v>
      </c>
      <c r="B1430" s="2"/>
      <c r="C1430" s="131"/>
      <c r="D1430" s="131"/>
      <c r="E1430" s="2"/>
      <c r="F1430" s="132">
        <v>0</v>
      </c>
      <c r="G1430" s="132"/>
      <c r="H1430" s="132">
        <f t="shared" si="164"/>
        <v>0</v>
      </c>
      <c r="I1430" s="132"/>
      <c r="J1430" s="132">
        <f t="shared" si="162"/>
        <v>0</v>
      </c>
      <c r="K1430" s="132">
        <f t="shared" si="165"/>
        <v>0</v>
      </c>
      <c r="L1430" s="132">
        <f t="shared" si="166"/>
        <v>0</v>
      </c>
      <c r="M1430" s="133"/>
      <c r="N1430" s="133">
        <f t="shared" si="163"/>
        <v>0</v>
      </c>
      <c r="O1430" s="134"/>
      <c r="P1430" s="133"/>
      <c r="Q1430" s="2"/>
      <c r="R1430" s="156">
        <f t="shared" si="167"/>
        <v>0</v>
      </c>
      <c r="S1430" s="156">
        <f t="shared" si="168"/>
        <v>0</v>
      </c>
      <c r="T1430" s="133"/>
      <c r="U1430" s="133"/>
      <c r="V1430" s="133"/>
      <c r="W1430" s="133"/>
      <c r="X1430" s="133"/>
      <c r="Y1430" s="133"/>
      <c r="Z1430" s="133"/>
      <c r="AA1430" s="133"/>
      <c r="AB1430" s="133"/>
      <c r="AC1430" s="133"/>
      <c r="AD1430" s="133"/>
      <c r="AE1430" s="133"/>
      <c r="AF1430" s="133"/>
      <c r="AG1430" s="133"/>
      <c r="AH1430" s="133"/>
      <c r="AI1430" s="133"/>
      <c r="AJ1430" s="133"/>
      <c r="AK1430" s="133"/>
      <c r="AL1430" s="133"/>
      <c r="AM1430" s="133"/>
      <c r="AN1430" s="133"/>
      <c r="AO1430" s="133"/>
      <c r="AP1430" s="133"/>
      <c r="AQ1430" s="133"/>
      <c r="AR1430" s="133"/>
      <c r="AS1430" s="153">
        <v>0</v>
      </c>
      <c r="AT1430" s="153">
        <v>0</v>
      </c>
      <c r="AU1430" s="153">
        <v>0</v>
      </c>
      <c r="AV1430" s="135"/>
      <c r="AW1430" s="135"/>
      <c r="AX1430" s="135"/>
      <c r="AY1430" s="135"/>
      <c r="AZ1430" s="135"/>
      <c r="BA1430" s="135"/>
      <c r="BB1430" s="135"/>
      <c r="BC1430" s="135"/>
      <c r="BD1430" s="135"/>
      <c r="BE1430" s="135"/>
      <c r="BF1430" s="135"/>
      <c r="BG1430" s="135"/>
      <c r="BH1430" s="135"/>
      <c r="BI1430" s="2"/>
      <c r="BJ1430" s="136"/>
      <c r="BK1430" s="2"/>
      <c r="BL1430" s="136"/>
      <c r="BM1430" s="136"/>
      <c r="BN1430" s="2"/>
      <c r="BO1430" s="2"/>
      <c r="BP1430" s="136"/>
      <c r="BQ1430" s="137"/>
    </row>
    <row r="1431" spans="1:69" ht="12.75" customHeight="1" x14ac:dyDescent="0.2">
      <c r="A1431" s="2">
        <v>2920</v>
      </c>
      <c r="B1431" s="2"/>
      <c r="C1431" s="131"/>
      <c r="D1431" s="131"/>
      <c r="E1431" s="2"/>
      <c r="F1431" s="132">
        <v>0</v>
      </c>
      <c r="G1431" s="132"/>
      <c r="H1431" s="132">
        <f t="shared" si="164"/>
        <v>0</v>
      </c>
      <c r="I1431" s="132"/>
      <c r="J1431" s="132">
        <f t="shared" si="162"/>
        <v>0</v>
      </c>
      <c r="K1431" s="132">
        <f t="shared" si="165"/>
        <v>0</v>
      </c>
      <c r="L1431" s="132">
        <f t="shared" si="166"/>
        <v>0</v>
      </c>
      <c r="M1431" s="133"/>
      <c r="N1431" s="133">
        <f t="shared" si="163"/>
        <v>0</v>
      </c>
      <c r="O1431" s="134"/>
      <c r="P1431" s="133"/>
      <c r="Q1431" s="2"/>
      <c r="R1431" s="156">
        <f t="shared" si="167"/>
        <v>0</v>
      </c>
      <c r="S1431" s="156">
        <f t="shared" si="168"/>
        <v>0</v>
      </c>
      <c r="T1431" s="133"/>
      <c r="U1431" s="133"/>
      <c r="V1431" s="133"/>
      <c r="W1431" s="133"/>
      <c r="X1431" s="133"/>
      <c r="Y1431" s="133"/>
      <c r="Z1431" s="133"/>
      <c r="AA1431" s="133"/>
      <c r="AB1431" s="133"/>
      <c r="AC1431" s="133"/>
      <c r="AD1431" s="133"/>
      <c r="AE1431" s="133"/>
      <c r="AF1431" s="133"/>
      <c r="AG1431" s="133"/>
      <c r="AH1431" s="133"/>
      <c r="AI1431" s="133"/>
      <c r="AJ1431" s="133"/>
      <c r="AK1431" s="133"/>
      <c r="AL1431" s="133"/>
      <c r="AM1431" s="133"/>
      <c r="AN1431" s="133"/>
      <c r="AO1431" s="133"/>
      <c r="AP1431" s="133"/>
      <c r="AQ1431" s="133"/>
      <c r="AR1431" s="133"/>
      <c r="AS1431" s="153">
        <v>0</v>
      </c>
      <c r="AT1431" s="153">
        <v>0</v>
      </c>
      <c r="AU1431" s="153">
        <v>0</v>
      </c>
      <c r="AV1431" s="135"/>
      <c r="AW1431" s="135"/>
      <c r="AX1431" s="135"/>
      <c r="AY1431" s="135"/>
      <c r="AZ1431" s="135"/>
      <c r="BA1431" s="135"/>
      <c r="BB1431" s="135"/>
      <c r="BC1431" s="135"/>
      <c r="BD1431" s="135"/>
      <c r="BE1431" s="135"/>
      <c r="BF1431" s="135"/>
      <c r="BG1431" s="135"/>
      <c r="BH1431" s="135"/>
      <c r="BI1431" s="2"/>
      <c r="BJ1431" s="136"/>
      <c r="BK1431" s="2"/>
      <c r="BL1431" s="136"/>
      <c r="BM1431" s="136"/>
      <c r="BN1431" s="2"/>
      <c r="BO1431" s="2"/>
      <c r="BP1431" s="136"/>
      <c r="BQ1431" s="137"/>
    </row>
    <row r="1432" spans="1:69" ht="12.75" customHeight="1" x14ac:dyDescent="0.2">
      <c r="A1432" s="2">
        <v>2921</v>
      </c>
      <c r="B1432" s="2"/>
      <c r="C1432" s="131"/>
      <c r="D1432" s="131"/>
      <c r="E1432" s="2"/>
      <c r="F1432" s="132">
        <v>0</v>
      </c>
      <c r="G1432" s="132"/>
      <c r="H1432" s="132">
        <f t="shared" si="164"/>
        <v>0</v>
      </c>
      <c r="I1432" s="132"/>
      <c r="J1432" s="132">
        <f t="shared" si="162"/>
        <v>0</v>
      </c>
      <c r="K1432" s="132">
        <f t="shared" si="165"/>
        <v>0</v>
      </c>
      <c r="L1432" s="132">
        <f t="shared" si="166"/>
        <v>0</v>
      </c>
      <c r="M1432" s="133"/>
      <c r="N1432" s="133">
        <f t="shared" si="163"/>
        <v>0</v>
      </c>
      <c r="O1432" s="134"/>
      <c r="P1432" s="133"/>
      <c r="Q1432" s="2"/>
      <c r="R1432" s="156">
        <f t="shared" si="167"/>
        <v>0</v>
      </c>
      <c r="S1432" s="156">
        <f t="shared" si="168"/>
        <v>0</v>
      </c>
      <c r="T1432" s="133"/>
      <c r="U1432" s="133"/>
      <c r="V1432" s="133"/>
      <c r="W1432" s="133"/>
      <c r="X1432" s="133"/>
      <c r="Y1432" s="133"/>
      <c r="Z1432" s="133"/>
      <c r="AA1432" s="133"/>
      <c r="AB1432" s="133"/>
      <c r="AC1432" s="133"/>
      <c r="AD1432" s="133"/>
      <c r="AE1432" s="133"/>
      <c r="AF1432" s="133"/>
      <c r="AG1432" s="133"/>
      <c r="AH1432" s="133"/>
      <c r="AI1432" s="133"/>
      <c r="AJ1432" s="133"/>
      <c r="AK1432" s="133"/>
      <c r="AL1432" s="133"/>
      <c r="AM1432" s="133"/>
      <c r="AN1432" s="133"/>
      <c r="AO1432" s="133"/>
      <c r="AP1432" s="133"/>
      <c r="AQ1432" s="133"/>
      <c r="AR1432" s="133"/>
      <c r="AS1432" s="153">
        <v>0</v>
      </c>
      <c r="AT1432" s="153">
        <v>0</v>
      </c>
      <c r="AU1432" s="153">
        <v>0</v>
      </c>
      <c r="AV1432" s="135"/>
      <c r="AW1432" s="135"/>
      <c r="AX1432" s="135"/>
      <c r="AY1432" s="135"/>
      <c r="AZ1432" s="135"/>
      <c r="BA1432" s="135"/>
      <c r="BB1432" s="135"/>
      <c r="BC1432" s="135"/>
      <c r="BD1432" s="135"/>
      <c r="BE1432" s="135"/>
      <c r="BF1432" s="135"/>
      <c r="BG1432" s="135"/>
      <c r="BH1432" s="135"/>
      <c r="BI1432" s="2"/>
      <c r="BJ1432" s="136"/>
      <c r="BK1432" s="2"/>
      <c r="BL1432" s="136"/>
      <c r="BM1432" s="136"/>
      <c r="BN1432" s="2"/>
      <c r="BO1432" s="2"/>
      <c r="BP1432" s="136"/>
      <c r="BQ1432" s="137"/>
    </row>
    <row r="1433" spans="1:69" ht="12.75" customHeight="1" x14ac:dyDescent="0.2">
      <c r="A1433" s="2">
        <v>2922</v>
      </c>
      <c r="B1433" s="2"/>
      <c r="C1433" s="131"/>
      <c r="D1433" s="131"/>
      <c r="E1433" s="2"/>
      <c r="F1433" s="132">
        <v>0</v>
      </c>
      <c r="G1433" s="132"/>
      <c r="H1433" s="132">
        <f t="shared" si="164"/>
        <v>0</v>
      </c>
      <c r="I1433" s="132"/>
      <c r="J1433" s="132">
        <f t="shared" si="162"/>
        <v>0</v>
      </c>
      <c r="K1433" s="132">
        <f t="shared" si="165"/>
        <v>0</v>
      </c>
      <c r="L1433" s="132">
        <f t="shared" si="166"/>
        <v>0</v>
      </c>
      <c r="M1433" s="133"/>
      <c r="N1433" s="133">
        <f t="shared" si="163"/>
        <v>0</v>
      </c>
      <c r="O1433" s="134"/>
      <c r="P1433" s="133"/>
      <c r="Q1433" s="2"/>
      <c r="R1433" s="156">
        <f t="shared" si="167"/>
        <v>0</v>
      </c>
      <c r="S1433" s="156">
        <f t="shared" si="168"/>
        <v>0</v>
      </c>
      <c r="T1433" s="133"/>
      <c r="U1433" s="133"/>
      <c r="V1433" s="133"/>
      <c r="W1433" s="133"/>
      <c r="X1433" s="133"/>
      <c r="Y1433" s="133"/>
      <c r="Z1433" s="133"/>
      <c r="AA1433" s="133"/>
      <c r="AB1433" s="133"/>
      <c r="AC1433" s="133"/>
      <c r="AD1433" s="133"/>
      <c r="AE1433" s="133"/>
      <c r="AF1433" s="133"/>
      <c r="AG1433" s="133"/>
      <c r="AH1433" s="133"/>
      <c r="AI1433" s="133"/>
      <c r="AJ1433" s="133"/>
      <c r="AK1433" s="133"/>
      <c r="AL1433" s="133"/>
      <c r="AM1433" s="133"/>
      <c r="AN1433" s="133"/>
      <c r="AO1433" s="133"/>
      <c r="AP1433" s="133"/>
      <c r="AQ1433" s="133"/>
      <c r="AR1433" s="133"/>
      <c r="AS1433" s="153">
        <v>0</v>
      </c>
      <c r="AT1433" s="153">
        <v>0</v>
      </c>
      <c r="AU1433" s="153">
        <v>0</v>
      </c>
      <c r="AV1433" s="135"/>
      <c r="AW1433" s="135"/>
      <c r="AX1433" s="135"/>
      <c r="AY1433" s="135"/>
      <c r="AZ1433" s="135"/>
      <c r="BA1433" s="135"/>
      <c r="BB1433" s="135"/>
      <c r="BC1433" s="135"/>
      <c r="BD1433" s="135"/>
      <c r="BE1433" s="135"/>
      <c r="BF1433" s="135"/>
      <c r="BG1433" s="135"/>
      <c r="BH1433" s="135"/>
      <c r="BI1433" s="2"/>
      <c r="BJ1433" s="136"/>
      <c r="BK1433" s="2"/>
      <c r="BL1433" s="136"/>
      <c r="BM1433" s="136"/>
      <c r="BN1433" s="2"/>
      <c r="BO1433" s="2"/>
      <c r="BP1433" s="136"/>
      <c r="BQ1433" s="137"/>
    </row>
    <row r="1434" spans="1:69" ht="12.75" customHeight="1" x14ac:dyDescent="0.2">
      <c r="A1434" s="2">
        <v>2923</v>
      </c>
      <c r="B1434" s="2"/>
      <c r="C1434" s="131"/>
      <c r="D1434" s="131"/>
      <c r="E1434" s="2"/>
      <c r="F1434" s="132">
        <v>0</v>
      </c>
      <c r="G1434" s="132"/>
      <c r="H1434" s="132">
        <f t="shared" si="164"/>
        <v>0</v>
      </c>
      <c r="I1434" s="132"/>
      <c r="J1434" s="132">
        <f t="shared" si="162"/>
        <v>0</v>
      </c>
      <c r="K1434" s="132">
        <f t="shared" si="165"/>
        <v>0</v>
      </c>
      <c r="L1434" s="132">
        <f t="shared" si="166"/>
        <v>0</v>
      </c>
      <c r="M1434" s="133"/>
      <c r="N1434" s="133">
        <f t="shared" si="163"/>
        <v>0</v>
      </c>
      <c r="O1434" s="134"/>
      <c r="P1434" s="133"/>
      <c r="Q1434" s="2"/>
      <c r="R1434" s="156">
        <f t="shared" si="167"/>
        <v>0</v>
      </c>
      <c r="S1434" s="156">
        <f t="shared" si="168"/>
        <v>0</v>
      </c>
      <c r="T1434" s="133"/>
      <c r="U1434" s="133"/>
      <c r="V1434" s="133"/>
      <c r="W1434" s="133"/>
      <c r="X1434" s="133"/>
      <c r="Y1434" s="133"/>
      <c r="Z1434" s="133"/>
      <c r="AA1434" s="133"/>
      <c r="AB1434" s="133"/>
      <c r="AC1434" s="133"/>
      <c r="AD1434" s="133"/>
      <c r="AE1434" s="133"/>
      <c r="AF1434" s="133"/>
      <c r="AG1434" s="133"/>
      <c r="AH1434" s="133"/>
      <c r="AI1434" s="133"/>
      <c r="AJ1434" s="133"/>
      <c r="AK1434" s="133"/>
      <c r="AL1434" s="133"/>
      <c r="AM1434" s="133"/>
      <c r="AN1434" s="133"/>
      <c r="AO1434" s="133"/>
      <c r="AP1434" s="133"/>
      <c r="AQ1434" s="133"/>
      <c r="AR1434" s="133"/>
      <c r="AS1434" s="153">
        <v>0</v>
      </c>
      <c r="AT1434" s="153">
        <v>0</v>
      </c>
      <c r="AU1434" s="153">
        <v>0</v>
      </c>
      <c r="AV1434" s="135"/>
      <c r="AW1434" s="135"/>
      <c r="AX1434" s="135"/>
      <c r="AY1434" s="135"/>
      <c r="AZ1434" s="135"/>
      <c r="BA1434" s="135"/>
      <c r="BB1434" s="135"/>
      <c r="BC1434" s="135"/>
      <c r="BD1434" s="135"/>
      <c r="BE1434" s="135"/>
      <c r="BF1434" s="135"/>
      <c r="BG1434" s="135"/>
      <c r="BH1434" s="135"/>
      <c r="BI1434" s="2"/>
      <c r="BJ1434" s="136"/>
      <c r="BK1434" s="2"/>
      <c r="BL1434" s="136"/>
      <c r="BM1434" s="136"/>
      <c r="BN1434" s="2"/>
      <c r="BO1434" s="2"/>
      <c r="BP1434" s="136"/>
      <c r="BQ1434" s="137"/>
    </row>
    <row r="1435" spans="1:69" ht="12.75" customHeight="1" x14ac:dyDescent="0.2">
      <c r="A1435" s="2">
        <v>2924</v>
      </c>
      <c r="B1435" s="2"/>
      <c r="C1435" s="131"/>
      <c r="D1435" s="131"/>
      <c r="E1435" s="2"/>
      <c r="F1435" s="132">
        <v>0</v>
      </c>
      <c r="G1435" s="132"/>
      <c r="H1435" s="132">
        <f t="shared" si="164"/>
        <v>0</v>
      </c>
      <c r="I1435" s="132"/>
      <c r="J1435" s="132">
        <f t="shared" si="162"/>
        <v>0</v>
      </c>
      <c r="K1435" s="132">
        <f t="shared" si="165"/>
        <v>0</v>
      </c>
      <c r="L1435" s="132">
        <f t="shared" si="166"/>
        <v>0</v>
      </c>
      <c r="M1435" s="133"/>
      <c r="N1435" s="133">
        <f t="shared" si="163"/>
        <v>0</v>
      </c>
      <c r="O1435" s="134"/>
      <c r="P1435" s="133"/>
      <c r="Q1435" s="2"/>
      <c r="R1435" s="156">
        <f t="shared" si="167"/>
        <v>0</v>
      </c>
      <c r="S1435" s="156">
        <f t="shared" si="168"/>
        <v>0</v>
      </c>
      <c r="T1435" s="133"/>
      <c r="U1435" s="133"/>
      <c r="V1435" s="133"/>
      <c r="W1435" s="133"/>
      <c r="X1435" s="133"/>
      <c r="Y1435" s="133"/>
      <c r="Z1435" s="133"/>
      <c r="AA1435" s="133"/>
      <c r="AB1435" s="133"/>
      <c r="AC1435" s="133"/>
      <c r="AD1435" s="133"/>
      <c r="AE1435" s="133"/>
      <c r="AF1435" s="133"/>
      <c r="AG1435" s="133"/>
      <c r="AH1435" s="133"/>
      <c r="AI1435" s="133"/>
      <c r="AJ1435" s="133"/>
      <c r="AK1435" s="133"/>
      <c r="AL1435" s="133"/>
      <c r="AM1435" s="133"/>
      <c r="AN1435" s="133"/>
      <c r="AO1435" s="133"/>
      <c r="AP1435" s="133"/>
      <c r="AQ1435" s="133"/>
      <c r="AR1435" s="133"/>
      <c r="AS1435" s="153">
        <v>0</v>
      </c>
      <c r="AT1435" s="153">
        <v>0</v>
      </c>
      <c r="AU1435" s="153">
        <v>0</v>
      </c>
      <c r="AV1435" s="135"/>
      <c r="AW1435" s="135"/>
      <c r="AX1435" s="135"/>
      <c r="AY1435" s="135"/>
      <c r="AZ1435" s="135"/>
      <c r="BA1435" s="135"/>
      <c r="BB1435" s="135"/>
      <c r="BC1435" s="135"/>
      <c r="BD1435" s="135"/>
      <c r="BE1435" s="135"/>
      <c r="BF1435" s="135"/>
      <c r="BG1435" s="135"/>
      <c r="BH1435" s="135"/>
      <c r="BI1435" s="2"/>
      <c r="BJ1435" s="136"/>
      <c r="BK1435" s="2"/>
      <c r="BL1435" s="136"/>
      <c r="BM1435" s="136"/>
      <c r="BN1435" s="2"/>
      <c r="BO1435" s="2"/>
      <c r="BP1435" s="136"/>
      <c r="BQ1435" s="137"/>
    </row>
    <row r="1436" spans="1:69" ht="12.75" customHeight="1" x14ac:dyDescent="0.2">
      <c r="A1436" s="2">
        <v>2925</v>
      </c>
      <c r="B1436" s="2"/>
      <c r="C1436" s="131"/>
      <c r="D1436" s="131"/>
      <c r="E1436" s="2"/>
      <c r="F1436" s="132">
        <v>0</v>
      </c>
      <c r="G1436" s="132"/>
      <c r="H1436" s="132">
        <f t="shared" si="164"/>
        <v>0</v>
      </c>
      <c r="I1436" s="132"/>
      <c r="J1436" s="132">
        <f t="shared" si="162"/>
        <v>0</v>
      </c>
      <c r="K1436" s="132">
        <f t="shared" si="165"/>
        <v>0</v>
      </c>
      <c r="L1436" s="132">
        <f t="shared" si="166"/>
        <v>0</v>
      </c>
      <c r="M1436" s="133"/>
      <c r="N1436" s="133">
        <f t="shared" si="163"/>
        <v>0</v>
      </c>
      <c r="O1436" s="134"/>
      <c r="P1436" s="133"/>
      <c r="Q1436" s="2"/>
      <c r="R1436" s="156">
        <f t="shared" si="167"/>
        <v>0</v>
      </c>
      <c r="S1436" s="156">
        <f t="shared" si="168"/>
        <v>0</v>
      </c>
      <c r="T1436" s="133"/>
      <c r="U1436" s="133"/>
      <c r="V1436" s="133"/>
      <c r="W1436" s="133"/>
      <c r="X1436" s="133"/>
      <c r="Y1436" s="133"/>
      <c r="Z1436" s="133"/>
      <c r="AA1436" s="133"/>
      <c r="AB1436" s="133"/>
      <c r="AC1436" s="133"/>
      <c r="AD1436" s="133"/>
      <c r="AE1436" s="133"/>
      <c r="AF1436" s="133"/>
      <c r="AG1436" s="133"/>
      <c r="AH1436" s="133"/>
      <c r="AI1436" s="133"/>
      <c r="AJ1436" s="133"/>
      <c r="AK1436" s="133"/>
      <c r="AL1436" s="133"/>
      <c r="AM1436" s="133"/>
      <c r="AN1436" s="133"/>
      <c r="AO1436" s="133"/>
      <c r="AP1436" s="133"/>
      <c r="AQ1436" s="133"/>
      <c r="AR1436" s="133"/>
      <c r="AS1436" s="153">
        <v>0</v>
      </c>
      <c r="AT1436" s="153">
        <v>0</v>
      </c>
      <c r="AU1436" s="153">
        <v>0</v>
      </c>
      <c r="AV1436" s="135"/>
      <c r="AW1436" s="135"/>
      <c r="AX1436" s="135"/>
      <c r="AY1436" s="135"/>
      <c r="AZ1436" s="135"/>
      <c r="BA1436" s="135"/>
      <c r="BB1436" s="135"/>
      <c r="BC1436" s="135"/>
      <c r="BD1436" s="135"/>
      <c r="BE1436" s="135"/>
      <c r="BF1436" s="135"/>
      <c r="BG1436" s="135"/>
      <c r="BH1436" s="135"/>
      <c r="BI1436" s="2"/>
      <c r="BJ1436" s="136"/>
      <c r="BK1436" s="2"/>
      <c r="BL1436" s="136"/>
      <c r="BM1436" s="136"/>
      <c r="BN1436" s="2"/>
      <c r="BO1436" s="2"/>
      <c r="BP1436" s="136"/>
      <c r="BQ1436" s="137"/>
    </row>
    <row r="1437" spans="1:69" ht="12.75" customHeight="1" x14ac:dyDescent="0.2">
      <c r="A1437" s="2">
        <v>2926</v>
      </c>
      <c r="B1437" s="2"/>
      <c r="C1437" s="131"/>
      <c r="D1437" s="131"/>
      <c r="E1437" s="2"/>
      <c r="F1437" s="132">
        <v>0</v>
      </c>
      <c r="G1437" s="132"/>
      <c r="H1437" s="132">
        <f t="shared" si="164"/>
        <v>0</v>
      </c>
      <c r="I1437" s="132"/>
      <c r="J1437" s="132">
        <f t="shared" si="162"/>
        <v>0</v>
      </c>
      <c r="K1437" s="132">
        <f t="shared" si="165"/>
        <v>0</v>
      </c>
      <c r="L1437" s="132">
        <f t="shared" si="166"/>
        <v>0</v>
      </c>
      <c r="M1437" s="133"/>
      <c r="N1437" s="133">
        <f t="shared" si="163"/>
        <v>0</v>
      </c>
      <c r="O1437" s="134"/>
      <c r="P1437" s="133"/>
      <c r="Q1437" s="2"/>
      <c r="R1437" s="156">
        <f t="shared" si="167"/>
        <v>0</v>
      </c>
      <c r="S1437" s="156">
        <f t="shared" si="168"/>
        <v>0</v>
      </c>
      <c r="T1437" s="133"/>
      <c r="U1437" s="133"/>
      <c r="V1437" s="133"/>
      <c r="W1437" s="133"/>
      <c r="X1437" s="133"/>
      <c r="Y1437" s="133"/>
      <c r="Z1437" s="133"/>
      <c r="AA1437" s="133"/>
      <c r="AB1437" s="133"/>
      <c r="AC1437" s="133"/>
      <c r="AD1437" s="133"/>
      <c r="AE1437" s="133"/>
      <c r="AF1437" s="133"/>
      <c r="AG1437" s="133"/>
      <c r="AH1437" s="133"/>
      <c r="AI1437" s="133"/>
      <c r="AJ1437" s="133"/>
      <c r="AK1437" s="133"/>
      <c r="AL1437" s="133"/>
      <c r="AM1437" s="133"/>
      <c r="AN1437" s="133"/>
      <c r="AO1437" s="133"/>
      <c r="AP1437" s="133"/>
      <c r="AQ1437" s="133"/>
      <c r="AR1437" s="133"/>
      <c r="AS1437" s="153">
        <v>0</v>
      </c>
      <c r="AT1437" s="153">
        <v>0</v>
      </c>
      <c r="AU1437" s="153">
        <v>0</v>
      </c>
      <c r="AV1437" s="135"/>
      <c r="AW1437" s="135"/>
      <c r="AX1437" s="135"/>
      <c r="AY1437" s="135"/>
      <c r="AZ1437" s="135"/>
      <c r="BA1437" s="135"/>
      <c r="BB1437" s="135"/>
      <c r="BC1437" s="135"/>
      <c r="BD1437" s="135"/>
      <c r="BE1437" s="135"/>
      <c r="BF1437" s="135"/>
      <c r="BG1437" s="135"/>
      <c r="BH1437" s="135"/>
      <c r="BI1437" s="2"/>
      <c r="BJ1437" s="136"/>
      <c r="BK1437" s="2"/>
      <c r="BL1437" s="136"/>
      <c r="BM1437" s="136"/>
      <c r="BN1437" s="2"/>
      <c r="BO1437" s="2"/>
      <c r="BP1437" s="136"/>
      <c r="BQ1437" s="137"/>
    </row>
    <row r="1438" spans="1:69" ht="12.75" customHeight="1" x14ac:dyDescent="0.2">
      <c r="A1438" s="2">
        <v>2927</v>
      </c>
      <c r="B1438" s="2"/>
      <c r="C1438" s="131"/>
      <c r="D1438" s="131"/>
      <c r="E1438" s="2"/>
      <c r="F1438" s="132">
        <v>0</v>
      </c>
      <c r="G1438" s="132"/>
      <c r="H1438" s="132">
        <f t="shared" si="164"/>
        <v>0</v>
      </c>
      <c r="I1438" s="132"/>
      <c r="J1438" s="132">
        <f t="shared" si="162"/>
        <v>0</v>
      </c>
      <c r="K1438" s="132">
        <f t="shared" si="165"/>
        <v>0</v>
      </c>
      <c r="L1438" s="132">
        <f t="shared" si="166"/>
        <v>0</v>
      </c>
      <c r="M1438" s="133"/>
      <c r="N1438" s="133">
        <f t="shared" si="163"/>
        <v>0</v>
      </c>
      <c r="O1438" s="134"/>
      <c r="P1438" s="133"/>
      <c r="Q1438" s="2"/>
      <c r="R1438" s="156">
        <f t="shared" si="167"/>
        <v>0</v>
      </c>
      <c r="S1438" s="156">
        <f t="shared" si="168"/>
        <v>0</v>
      </c>
      <c r="T1438" s="133"/>
      <c r="U1438" s="133"/>
      <c r="V1438" s="133"/>
      <c r="W1438" s="133"/>
      <c r="X1438" s="133"/>
      <c r="Y1438" s="133"/>
      <c r="Z1438" s="133"/>
      <c r="AA1438" s="133"/>
      <c r="AB1438" s="133"/>
      <c r="AC1438" s="133"/>
      <c r="AD1438" s="133"/>
      <c r="AE1438" s="133"/>
      <c r="AF1438" s="133"/>
      <c r="AG1438" s="133"/>
      <c r="AH1438" s="133"/>
      <c r="AI1438" s="133"/>
      <c r="AJ1438" s="133"/>
      <c r="AK1438" s="133"/>
      <c r="AL1438" s="133"/>
      <c r="AM1438" s="133"/>
      <c r="AN1438" s="133"/>
      <c r="AO1438" s="133"/>
      <c r="AP1438" s="133"/>
      <c r="AQ1438" s="133"/>
      <c r="AR1438" s="133"/>
      <c r="AS1438" s="153">
        <v>0</v>
      </c>
      <c r="AT1438" s="153">
        <v>0</v>
      </c>
      <c r="AU1438" s="153">
        <v>0</v>
      </c>
      <c r="AV1438" s="135"/>
      <c r="AW1438" s="135"/>
      <c r="AX1438" s="135"/>
      <c r="AY1438" s="135"/>
      <c r="AZ1438" s="135"/>
      <c r="BA1438" s="135"/>
      <c r="BB1438" s="135"/>
      <c r="BC1438" s="135"/>
      <c r="BD1438" s="135"/>
      <c r="BE1438" s="135"/>
      <c r="BF1438" s="135"/>
      <c r="BG1438" s="135"/>
      <c r="BH1438" s="135"/>
      <c r="BI1438" s="2"/>
      <c r="BJ1438" s="136"/>
      <c r="BK1438" s="2"/>
      <c r="BL1438" s="136"/>
      <c r="BM1438" s="136"/>
      <c r="BN1438" s="2"/>
      <c r="BO1438" s="2"/>
      <c r="BP1438" s="136"/>
      <c r="BQ1438" s="137"/>
    </row>
    <row r="1439" spans="1:69" ht="12.75" customHeight="1" x14ac:dyDescent="0.2">
      <c r="A1439" s="2">
        <v>2928</v>
      </c>
      <c r="B1439" s="2"/>
      <c r="C1439" s="131"/>
      <c r="D1439" s="131"/>
      <c r="E1439" s="2"/>
      <c r="F1439" s="132">
        <v>0</v>
      </c>
      <c r="G1439" s="132"/>
      <c r="H1439" s="132">
        <f t="shared" si="164"/>
        <v>0</v>
      </c>
      <c r="I1439" s="132"/>
      <c r="J1439" s="132">
        <f t="shared" si="162"/>
        <v>0</v>
      </c>
      <c r="K1439" s="132">
        <f t="shared" si="165"/>
        <v>0</v>
      </c>
      <c r="L1439" s="132">
        <f t="shared" si="166"/>
        <v>0</v>
      </c>
      <c r="M1439" s="133"/>
      <c r="N1439" s="133">
        <f t="shared" si="163"/>
        <v>0</v>
      </c>
      <c r="O1439" s="134"/>
      <c r="P1439" s="133"/>
      <c r="Q1439" s="2"/>
      <c r="R1439" s="156">
        <f t="shared" si="167"/>
        <v>0</v>
      </c>
      <c r="S1439" s="156">
        <f t="shared" si="168"/>
        <v>0</v>
      </c>
      <c r="T1439" s="133"/>
      <c r="U1439" s="133"/>
      <c r="V1439" s="133"/>
      <c r="W1439" s="133"/>
      <c r="X1439" s="133"/>
      <c r="Y1439" s="133"/>
      <c r="Z1439" s="133"/>
      <c r="AA1439" s="133"/>
      <c r="AB1439" s="133"/>
      <c r="AC1439" s="133"/>
      <c r="AD1439" s="133"/>
      <c r="AE1439" s="133"/>
      <c r="AF1439" s="133"/>
      <c r="AG1439" s="133"/>
      <c r="AH1439" s="133"/>
      <c r="AI1439" s="133"/>
      <c r="AJ1439" s="133"/>
      <c r="AK1439" s="133"/>
      <c r="AL1439" s="133"/>
      <c r="AM1439" s="133"/>
      <c r="AN1439" s="133"/>
      <c r="AO1439" s="133"/>
      <c r="AP1439" s="133"/>
      <c r="AQ1439" s="133"/>
      <c r="AR1439" s="133"/>
      <c r="AS1439" s="153">
        <v>0</v>
      </c>
      <c r="AT1439" s="153">
        <v>0</v>
      </c>
      <c r="AU1439" s="153">
        <v>0</v>
      </c>
      <c r="AV1439" s="135"/>
      <c r="AW1439" s="135"/>
      <c r="AX1439" s="135"/>
      <c r="AY1439" s="135"/>
      <c r="AZ1439" s="135"/>
      <c r="BA1439" s="135"/>
      <c r="BB1439" s="135"/>
      <c r="BC1439" s="135"/>
      <c r="BD1439" s="135"/>
      <c r="BE1439" s="135"/>
      <c r="BF1439" s="135"/>
      <c r="BG1439" s="135"/>
      <c r="BH1439" s="135"/>
      <c r="BI1439" s="2"/>
      <c r="BJ1439" s="136"/>
      <c r="BK1439" s="2"/>
      <c r="BL1439" s="136"/>
      <c r="BM1439" s="136"/>
      <c r="BN1439" s="2"/>
      <c r="BO1439" s="2"/>
      <c r="BP1439" s="136"/>
      <c r="BQ1439" s="137"/>
    </row>
    <row r="1440" spans="1:69" ht="12.75" customHeight="1" x14ac:dyDescent="0.2">
      <c r="A1440" s="2">
        <v>2929</v>
      </c>
      <c r="B1440" s="2"/>
      <c r="C1440" s="131"/>
      <c r="D1440" s="131"/>
      <c r="E1440" s="2"/>
      <c r="F1440" s="132">
        <v>0</v>
      </c>
      <c r="G1440" s="132"/>
      <c r="H1440" s="132">
        <f t="shared" si="164"/>
        <v>0</v>
      </c>
      <c r="I1440" s="132"/>
      <c r="J1440" s="132">
        <f t="shared" si="162"/>
        <v>0</v>
      </c>
      <c r="K1440" s="132">
        <f t="shared" si="165"/>
        <v>0</v>
      </c>
      <c r="L1440" s="132">
        <f t="shared" si="166"/>
        <v>0</v>
      </c>
      <c r="M1440" s="133"/>
      <c r="N1440" s="133">
        <f t="shared" si="163"/>
        <v>0</v>
      </c>
      <c r="O1440" s="134"/>
      <c r="P1440" s="133"/>
      <c r="Q1440" s="2"/>
      <c r="R1440" s="156">
        <f t="shared" si="167"/>
        <v>0</v>
      </c>
      <c r="S1440" s="156">
        <f t="shared" si="168"/>
        <v>0</v>
      </c>
      <c r="T1440" s="133"/>
      <c r="U1440" s="133"/>
      <c r="V1440" s="133"/>
      <c r="W1440" s="133"/>
      <c r="X1440" s="133"/>
      <c r="Y1440" s="133"/>
      <c r="Z1440" s="133"/>
      <c r="AA1440" s="133"/>
      <c r="AB1440" s="133"/>
      <c r="AC1440" s="133"/>
      <c r="AD1440" s="133"/>
      <c r="AE1440" s="133"/>
      <c r="AF1440" s="133"/>
      <c r="AG1440" s="133"/>
      <c r="AH1440" s="133"/>
      <c r="AI1440" s="133"/>
      <c r="AJ1440" s="133"/>
      <c r="AK1440" s="133"/>
      <c r="AL1440" s="133"/>
      <c r="AM1440" s="133"/>
      <c r="AN1440" s="133"/>
      <c r="AO1440" s="133"/>
      <c r="AP1440" s="133"/>
      <c r="AQ1440" s="133"/>
      <c r="AR1440" s="133"/>
      <c r="AS1440" s="153">
        <v>0</v>
      </c>
      <c r="AT1440" s="153">
        <v>0</v>
      </c>
      <c r="AU1440" s="153">
        <v>0</v>
      </c>
      <c r="AV1440" s="135"/>
      <c r="AW1440" s="135"/>
      <c r="AX1440" s="135"/>
      <c r="AY1440" s="135"/>
      <c r="AZ1440" s="135"/>
      <c r="BA1440" s="135"/>
      <c r="BB1440" s="135"/>
      <c r="BC1440" s="135"/>
      <c r="BD1440" s="135"/>
      <c r="BE1440" s="135"/>
      <c r="BF1440" s="135"/>
      <c r="BG1440" s="135"/>
      <c r="BH1440" s="135"/>
      <c r="BI1440" s="2"/>
      <c r="BJ1440" s="136"/>
      <c r="BK1440" s="2"/>
      <c r="BL1440" s="136"/>
      <c r="BM1440" s="136"/>
      <c r="BN1440" s="2"/>
      <c r="BO1440" s="2"/>
      <c r="BP1440" s="136"/>
      <c r="BQ1440" s="137"/>
    </row>
    <row r="1441" spans="1:69" ht="12.75" customHeight="1" x14ac:dyDescent="0.2">
      <c r="A1441" s="2">
        <v>2930</v>
      </c>
      <c r="B1441" s="2"/>
      <c r="C1441" s="131"/>
      <c r="D1441" s="131"/>
      <c r="E1441" s="2"/>
      <c r="F1441" s="132">
        <v>0</v>
      </c>
      <c r="G1441" s="132"/>
      <c r="H1441" s="132">
        <f t="shared" si="164"/>
        <v>0</v>
      </c>
      <c r="I1441" s="132"/>
      <c r="J1441" s="132">
        <f t="shared" si="162"/>
        <v>0</v>
      </c>
      <c r="K1441" s="132">
        <f t="shared" si="165"/>
        <v>0</v>
      </c>
      <c r="L1441" s="132">
        <f t="shared" si="166"/>
        <v>0</v>
      </c>
      <c r="M1441" s="133"/>
      <c r="N1441" s="133">
        <f t="shared" si="163"/>
        <v>0</v>
      </c>
      <c r="O1441" s="134"/>
      <c r="P1441" s="133"/>
      <c r="Q1441" s="2"/>
      <c r="R1441" s="156">
        <f t="shared" si="167"/>
        <v>0</v>
      </c>
      <c r="S1441" s="156">
        <f t="shared" si="168"/>
        <v>0</v>
      </c>
      <c r="T1441" s="133"/>
      <c r="U1441" s="133"/>
      <c r="V1441" s="133"/>
      <c r="W1441" s="133"/>
      <c r="X1441" s="133"/>
      <c r="Y1441" s="133"/>
      <c r="Z1441" s="133"/>
      <c r="AA1441" s="133"/>
      <c r="AB1441" s="133"/>
      <c r="AC1441" s="133"/>
      <c r="AD1441" s="133"/>
      <c r="AE1441" s="133"/>
      <c r="AF1441" s="133"/>
      <c r="AG1441" s="133"/>
      <c r="AH1441" s="133"/>
      <c r="AI1441" s="133"/>
      <c r="AJ1441" s="133"/>
      <c r="AK1441" s="133"/>
      <c r="AL1441" s="133"/>
      <c r="AM1441" s="133"/>
      <c r="AN1441" s="133"/>
      <c r="AO1441" s="133"/>
      <c r="AP1441" s="133"/>
      <c r="AQ1441" s="133"/>
      <c r="AR1441" s="133"/>
      <c r="AS1441" s="153">
        <v>0</v>
      </c>
      <c r="AT1441" s="153">
        <v>0</v>
      </c>
      <c r="AU1441" s="153">
        <v>0</v>
      </c>
      <c r="AV1441" s="135"/>
      <c r="AW1441" s="135"/>
      <c r="AX1441" s="135"/>
      <c r="AY1441" s="135"/>
      <c r="AZ1441" s="135"/>
      <c r="BA1441" s="135"/>
      <c r="BB1441" s="135"/>
      <c r="BC1441" s="135"/>
      <c r="BD1441" s="135"/>
      <c r="BE1441" s="135"/>
      <c r="BF1441" s="135"/>
      <c r="BG1441" s="135"/>
      <c r="BH1441" s="135"/>
      <c r="BI1441" s="2"/>
      <c r="BJ1441" s="136"/>
      <c r="BK1441" s="2"/>
      <c r="BL1441" s="136"/>
      <c r="BM1441" s="136"/>
      <c r="BN1441" s="2"/>
      <c r="BO1441" s="2"/>
      <c r="BP1441" s="136"/>
      <c r="BQ1441" s="137"/>
    </row>
    <row r="1442" spans="1:69" ht="12.75" customHeight="1" x14ac:dyDescent="0.2">
      <c r="A1442" s="2">
        <v>2931</v>
      </c>
      <c r="B1442" s="2"/>
      <c r="C1442" s="131"/>
      <c r="D1442" s="131"/>
      <c r="E1442" s="2"/>
      <c r="F1442" s="132">
        <v>0</v>
      </c>
      <c r="G1442" s="132"/>
      <c r="H1442" s="132">
        <f t="shared" si="164"/>
        <v>0</v>
      </c>
      <c r="I1442" s="132"/>
      <c r="J1442" s="132">
        <f t="shared" si="162"/>
        <v>0</v>
      </c>
      <c r="K1442" s="132">
        <f t="shared" si="165"/>
        <v>0</v>
      </c>
      <c r="L1442" s="132">
        <f t="shared" si="166"/>
        <v>0</v>
      </c>
      <c r="M1442" s="133"/>
      <c r="N1442" s="133">
        <f t="shared" si="163"/>
        <v>0</v>
      </c>
      <c r="O1442" s="134"/>
      <c r="P1442" s="133"/>
      <c r="Q1442" s="2"/>
      <c r="R1442" s="156">
        <f t="shared" si="167"/>
        <v>0</v>
      </c>
      <c r="S1442" s="156">
        <f t="shared" si="168"/>
        <v>0</v>
      </c>
      <c r="T1442" s="133"/>
      <c r="U1442" s="133"/>
      <c r="V1442" s="133"/>
      <c r="W1442" s="133"/>
      <c r="X1442" s="133"/>
      <c r="Y1442" s="133"/>
      <c r="Z1442" s="133"/>
      <c r="AA1442" s="133"/>
      <c r="AB1442" s="133"/>
      <c r="AC1442" s="133"/>
      <c r="AD1442" s="133"/>
      <c r="AE1442" s="133"/>
      <c r="AF1442" s="133"/>
      <c r="AG1442" s="133"/>
      <c r="AH1442" s="133"/>
      <c r="AI1442" s="133"/>
      <c r="AJ1442" s="133"/>
      <c r="AK1442" s="133"/>
      <c r="AL1442" s="133"/>
      <c r="AM1442" s="133"/>
      <c r="AN1442" s="133"/>
      <c r="AO1442" s="133"/>
      <c r="AP1442" s="133"/>
      <c r="AQ1442" s="133"/>
      <c r="AR1442" s="133"/>
      <c r="AS1442" s="153">
        <v>0</v>
      </c>
      <c r="AT1442" s="153">
        <v>0</v>
      </c>
      <c r="AU1442" s="153">
        <v>0</v>
      </c>
      <c r="AV1442" s="135"/>
      <c r="AW1442" s="135"/>
      <c r="AX1442" s="135"/>
      <c r="AY1442" s="135"/>
      <c r="AZ1442" s="135"/>
      <c r="BA1442" s="135"/>
      <c r="BB1442" s="135"/>
      <c r="BC1442" s="135"/>
      <c r="BD1442" s="135"/>
      <c r="BE1442" s="135"/>
      <c r="BF1442" s="135"/>
      <c r="BG1442" s="135"/>
      <c r="BH1442" s="135"/>
      <c r="BI1442" s="2"/>
      <c r="BJ1442" s="136"/>
      <c r="BK1442" s="2"/>
      <c r="BL1442" s="136"/>
      <c r="BM1442" s="136"/>
      <c r="BN1442" s="2"/>
      <c r="BO1442" s="2"/>
      <c r="BP1442" s="136"/>
      <c r="BQ1442" s="137"/>
    </row>
    <row r="1443" spans="1:69" ht="12.75" customHeight="1" x14ac:dyDescent="0.2">
      <c r="A1443" s="2">
        <v>2932</v>
      </c>
      <c r="B1443" s="2"/>
      <c r="C1443" s="131"/>
      <c r="D1443" s="131"/>
      <c r="E1443" s="2"/>
      <c r="F1443" s="132">
        <v>0</v>
      </c>
      <c r="G1443" s="132"/>
      <c r="H1443" s="132">
        <f t="shared" si="164"/>
        <v>0</v>
      </c>
      <c r="I1443" s="132"/>
      <c r="J1443" s="132">
        <f t="shared" si="162"/>
        <v>0</v>
      </c>
      <c r="K1443" s="132">
        <f t="shared" si="165"/>
        <v>0</v>
      </c>
      <c r="L1443" s="132">
        <f t="shared" si="166"/>
        <v>0</v>
      </c>
      <c r="M1443" s="133"/>
      <c r="N1443" s="133">
        <f t="shared" si="163"/>
        <v>0</v>
      </c>
      <c r="O1443" s="134"/>
      <c r="P1443" s="133"/>
      <c r="Q1443" s="2"/>
      <c r="R1443" s="156">
        <f t="shared" si="167"/>
        <v>0</v>
      </c>
      <c r="S1443" s="156">
        <f t="shared" si="168"/>
        <v>0</v>
      </c>
      <c r="T1443" s="133"/>
      <c r="U1443" s="133"/>
      <c r="V1443" s="133"/>
      <c r="W1443" s="133"/>
      <c r="X1443" s="133"/>
      <c r="Y1443" s="133"/>
      <c r="Z1443" s="133"/>
      <c r="AA1443" s="133"/>
      <c r="AB1443" s="133"/>
      <c r="AC1443" s="133"/>
      <c r="AD1443" s="133"/>
      <c r="AE1443" s="133"/>
      <c r="AF1443" s="133"/>
      <c r="AG1443" s="133"/>
      <c r="AH1443" s="133"/>
      <c r="AI1443" s="133"/>
      <c r="AJ1443" s="133"/>
      <c r="AK1443" s="133"/>
      <c r="AL1443" s="133"/>
      <c r="AM1443" s="133"/>
      <c r="AN1443" s="133"/>
      <c r="AO1443" s="133"/>
      <c r="AP1443" s="133"/>
      <c r="AQ1443" s="133"/>
      <c r="AR1443" s="133"/>
      <c r="AS1443" s="153">
        <v>0</v>
      </c>
      <c r="AT1443" s="153">
        <v>0</v>
      </c>
      <c r="AU1443" s="153">
        <v>0</v>
      </c>
      <c r="AV1443" s="135"/>
      <c r="AW1443" s="135"/>
      <c r="AX1443" s="135"/>
      <c r="AY1443" s="135"/>
      <c r="AZ1443" s="135"/>
      <c r="BA1443" s="135"/>
      <c r="BB1443" s="135"/>
      <c r="BC1443" s="135"/>
      <c r="BD1443" s="135"/>
      <c r="BE1443" s="135"/>
      <c r="BF1443" s="135"/>
      <c r="BG1443" s="135"/>
      <c r="BH1443" s="135"/>
      <c r="BI1443" s="2"/>
      <c r="BJ1443" s="136"/>
      <c r="BK1443" s="2"/>
      <c r="BL1443" s="136"/>
      <c r="BM1443" s="136"/>
      <c r="BN1443" s="2"/>
      <c r="BO1443" s="2"/>
      <c r="BP1443" s="136"/>
      <c r="BQ1443" s="137"/>
    </row>
    <row r="1444" spans="1:69" ht="12.75" customHeight="1" x14ac:dyDescent="0.2">
      <c r="A1444" s="2">
        <v>2933</v>
      </c>
      <c r="B1444" s="2"/>
      <c r="C1444" s="131"/>
      <c r="D1444" s="131"/>
      <c r="E1444" s="2"/>
      <c r="F1444" s="132">
        <v>0</v>
      </c>
      <c r="G1444" s="132"/>
      <c r="H1444" s="132">
        <f t="shared" si="164"/>
        <v>0</v>
      </c>
      <c r="I1444" s="132"/>
      <c r="J1444" s="132">
        <f t="shared" ref="J1444:J1507" si="169">S1444</f>
        <v>0</v>
      </c>
      <c r="K1444" s="132">
        <f t="shared" si="165"/>
        <v>0</v>
      </c>
      <c r="L1444" s="132">
        <f t="shared" si="166"/>
        <v>0</v>
      </c>
      <c r="M1444" s="133"/>
      <c r="N1444" s="133">
        <f t="shared" si="163"/>
        <v>0</v>
      </c>
      <c r="O1444" s="134"/>
      <c r="P1444" s="133"/>
      <c r="Q1444" s="2"/>
      <c r="R1444" s="156">
        <f t="shared" si="167"/>
        <v>0</v>
      </c>
      <c r="S1444" s="156">
        <f t="shared" si="168"/>
        <v>0</v>
      </c>
      <c r="T1444" s="133"/>
      <c r="U1444" s="133"/>
      <c r="V1444" s="133"/>
      <c r="W1444" s="133"/>
      <c r="X1444" s="133"/>
      <c r="Y1444" s="133"/>
      <c r="Z1444" s="133"/>
      <c r="AA1444" s="133"/>
      <c r="AB1444" s="133"/>
      <c r="AC1444" s="133"/>
      <c r="AD1444" s="133"/>
      <c r="AE1444" s="133"/>
      <c r="AF1444" s="133"/>
      <c r="AG1444" s="133"/>
      <c r="AH1444" s="133"/>
      <c r="AI1444" s="133"/>
      <c r="AJ1444" s="133"/>
      <c r="AK1444" s="133"/>
      <c r="AL1444" s="133"/>
      <c r="AM1444" s="133"/>
      <c r="AN1444" s="133"/>
      <c r="AO1444" s="133"/>
      <c r="AP1444" s="133"/>
      <c r="AQ1444" s="133"/>
      <c r="AR1444" s="133"/>
      <c r="AS1444" s="153">
        <v>0</v>
      </c>
      <c r="AT1444" s="153">
        <v>0</v>
      </c>
      <c r="AU1444" s="153">
        <v>0</v>
      </c>
      <c r="AV1444" s="135"/>
      <c r="AW1444" s="135"/>
      <c r="AX1444" s="135"/>
      <c r="AY1444" s="135"/>
      <c r="AZ1444" s="135"/>
      <c r="BA1444" s="135"/>
      <c r="BB1444" s="135"/>
      <c r="BC1444" s="135"/>
      <c r="BD1444" s="135"/>
      <c r="BE1444" s="135"/>
      <c r="BF1444" s="135"/>
      <c r="BG1444" s="135"/>
      <c r="BH1444" s="135"/>
      <c r="BI1444" s="2"/>
      <c r="BJ1444" s="136"/>
      <c r="BK1444" s="2"/>
      <c r="BL1444" s="136"/>
      <c r="BM1444" s="136"/>
      <c r="BN1444" s="2"/>
      <c r="BO1444" s="2"/>
      <c r="BP1444" s="136"/>
      <c r="BQ1444" s="137"/>
    </row>
    <row r="1445" spans="1:69" ht="12.75" customHeight="1" x14ac:dyDescent="0.2">
      <c r="A1445" s="2">
        <v>2934</v>
      </c>
      <c r="B1445" s="2"/>
      <c r="C1445" s="131"/>
      <c r="D1445" s="131"/>
      <c r="E1445" s="2"/>
      <c r="F1445" s="132">
        <v>0</v>
      </c>
      <c r="G1445" s="132"/>
      <c r="H1445" s="132">
        <f t="shared" si="164"/>
        <v>0</v>
      </c>
      <c r="I1445" s="132"/>
      <c r="J1445" s="132">
        <f t="shared" si="169"/>
        <v>0</v>
      </c>
      <c r="K1445" s="132">
        <f t="shared" si="165"/>
        <v>0</v>
      </c>
      <c r="L1445" s="132">
        <f t="shared" si="166"/>
        <v>0</v>
      </c>
      <c r="M1445" s="133"/>
      <c r="N1445" s="133">
        <f t="shared" si="163"/>
        <v>0</v>
      </c>
      <c r="O1445" s="134"/>
      <c r="P1445" s="133"/>
      <c r="Q1445" s="2"/>
      <c r="R1445" s="156">
        <f t="shared" si="167"/>
        <v>0</v>
      </c>
      <c r="S1445" s="156">
        <f t="shared" si="168"/>
        <v>0</v>
      </c>
      <c r="T1445" s="133"/>
      <c r="U1445" s="133"/>
      <c r="V1445" s="133"/>
      <c r="W1445" s="133"/>
      <c r="X1445" s="133"/>
      <c r="Y1445" s="133"/>
      <c r="Z1445" s="133"/>
      <c r="AA1445" s="133"/>
      <c r="AB1445" s="133"/>
      <c r="AC1445" s="133"/>
      <c r="AD1445" s="133"/>
      <c r="AE1445" s="133"/>
      <c r="AF1445" s="133"/>
      <c r="AG1445" s="133"/>
      <c r="AH1445" s="133"/>
      <c r="AI1445" s="133"/>
      <c r="AJ1445" s="133"/>
      <c r="AK1445" s="133"/>
      <c r="AL1445" s="133"/>
      <c r="AM1445" s="133"/>
      <c r="AN1445" s="133"/>
      <c r="AO1445" s="133"/>
      <c r="AP1445" s="133"/>
      <c r="AQ1445" s="133"/>
      <c r="AR1445" s="133"/>
      <c r="AS1445" s="153">
        <v>0</v>
      </c>
      <c r="AT1445" s="153">
        <v>0</v>
      </c>
      <c r="AU1445" s="153">
        <v>0</v>
      </c>
      <c r="AV1445" s="135"/>
      <c r="AW1445" s="135"/>
      <c r="AX1445" s="135"/>
      <c r="AY1445" s="135"/>
      <c r="AZ1445" s="135"/>
      <c r="BA1445" s="135"/>
      <c r="BB1445" s="135"/>
      <c r="BC1445" s="135"/>
      <c r="BD1445" s="135"/>
      <c r="BE1445" s="135"/>
      <c r="BF1445" s="135"/>
      <c r="BG1445" s="135"/>
      <c r="BH1445" s="135"/>
      <c r="BI1445" s="2"/>
      <c r="BJ1445" s="136"/>
      <c r="BK1445" s="2"/>
      <c r="BL1445" s="136"/>
      <c r="BM1445" s="136"/>
      <c r="BN1445" s="2"/>
      <c r="BO1445" s="2"/>
      <c r="BP1445" s="136"/>
      <c r="BQ1445" s="137"/>
    </row>
    <row r="1446" spans="1:69" ht="12.75" customHeight="1" x14ac:dyDescent="0.2">
      <c r="A1446" s="2">
        <v>2935</v>
      </c>
      <c r="B1446" s="2"/>
      <c r="C1446" s="131"/>
      <c r="D1446" s="131"/>
      <c r="E1446" s="2"/>
      <c r="F1446" s="132">
        <v>0</v>
      </c>
      <c r="G1446" s="132"/>
      <c r="H1446" s="132">
        <f t="shared" si="164"/>
        <v>0</v>
      </c>
      <c r="I1446" s="132"/>
      <c r="J1446" s="132">
        <f t="shared" si="169"/>
        <v>0</v>
      </c>
      <c r="K1446" s="132">
        <f t="shared" si="165"/>
        <v>0</v>
      </c>
      <c r="L1446" s="132">
        <f t="shared" si="166"/>
        <v>0</v>
      </c>
      <c r="M1446" s="133"/>
      <c r="N1446" s="133">
        <f t="shared" si="163"/>
        <v>0</v>
      </c>
      <c r="O1446" s="134"/>
      <c r="P1446" s="133"/>
      <c r="Q1446" s="2"/>
      <c r="R1446" s="156">
        <f t="shared" si="167"/>
        <v>0</v>
      </c>
      <c r="S1446" s="156">
        <f t="shared" si="168"/>
        <v>0</v>
      </c>
      <c r="T1446" s="133"/>
      <c r="U1446" s="133"/>
      <c r="V1446" s="133"/>
      <c r="W1446" s="133"/>
      <c r="X1446" s="133"/>
      <c r="Y1446" s="133"/>
      <c r="Z1446" s="133"/>
      <c r="AA1446" s="133"/>
      <c r="AB1446" s="133"/>
      <c r="AC1446" s="133"/>
      <c r="AD1446" s="133"/>
      <c r="AE1446" s="133"/>
      <c r="AF1446" s="133"/>
      <c r="AG1446" s="133"/>
      <c r="AH1446" s="133"/>
      <c r="AI1446" s="133"/>
      <c r="AJ1446" s="133"/>
      <c r="AK1446" s="133"/>
      <c r="AL1446" s="133"/>
      <c r="AM1446" s="133"/>
      <c r="AN1446" s="133"/>
      <c r="AO1446" s="133"/>
      <c r="AP1446" s="133"/>
      <c r="AQ1446" s="133"/>
      <c r="AR1446" s="133"/>
      <c r="AS1446" s="153">
        <v>0</v>
      </c>
      <c r="AT1446" s="153">
        <v>0</v>
      </c>
      <c r="AU1446" s="153">
        <v>0</v>
      </c>
      <c r="AV1446" s="135"/>
      <c r="AW1446" s="135"/>
      <c r="AX1446" s="135"/>
      <c r="AY1446" s="135"/>
      <c r="AZ1446" s="135"/>
      <c r="BA1446" s="135"/>
      <c r="BB1446" s="135"/>
      <c r="BC1446" s="135"/>
      <c r="BD1446" s="135"/>
      <c r="BE1446" s="135"/>
      <c r="BF1446" s="135"/>
      <c r="BG1446" s="135"/>
      <c r="BH1446" s="135"/>
      <c r="BI1446" s="2"/>
      <c r="BJ1446" s="136"/>
      <c r="BK1446" s="2"/>
      <c r="BL1446" s="136"/>
      <c r="BM1446" s="136"/>
      <c r="BN1446" s="2"/>
      <c r="BO1446" s="2"/>
      <c r="BP1446" s="136"/>
      <c r="BQ1446" s="137"/>
    </row>
    <row r="1447" spans="1:69" ht="12.75" customHeight="1" x14ac:dyDescent="0.2">
      <c r="A1447" s="2">
        <v>2936</v>
      </c>
      <c r="B1447" s="2"/>
      <c r="C1447" s="131"/>
      <c r="D1447" s="131"/>
      <c r="E1447" s="2"/>
      <c r="F1447" s="132">
        <v>0</v>
      </c>
      <c r="G1447" s="132"/>
      <c r="H1447" s="132">
        <f t="shared" si="164"/>
        <v>0</v>
      </c>
      <c r="I1447" s="132"/>
      <c r="J1447" s="132">
        <f t="shared" si="169"/>
        <v>0</v>
      </c>
      <c r="K1447" s="132">
        <f t="shared" si="165"/>
        <v>0</v>
      </c>
      <c r="L1447" s="132">
        <f t="shared" si="166"/>
        <v>0</v>
      </c>
      <c r="M1447" s="133"/>
      <c r="N1447" s="133">
        <f t="shared" si="163"/>
        <v>0</v>
      </c>
      <c r="O1447" s="134"/>
      <c r="P1447" s="133"/>
      <c r="Q1447" s="2"/>
      <c r="R1447" s="156">
        <f t="shared" si="167"/>
        <v>0</v>
      </c>
      <c r="S1447" s="156">
        <f t="shared" si="168"/>
        <v>0</v>
      </c>
      <c r="T1447" s="133"/>
      <c r="U1447" s="133"/>
      <c r="V1447" s="133"/>
      <c r="W1447" s="133"/>
      <c r="X1447" s="133"/>
      <c r="Y1447" s="133"/>
      <c r="Z1447" s="133"/>
      <c r="AA1447" s="133"/>
      <c r="AB1447" s="133"/>
      <c r="AC1447" s="133"/>
      <c r="AD1447" s="133"/>
      <c r="AE1447" s="133"/>
      <c r="AF1447" s="133"/>
      <c r="AG1447" s="133"/>
      <c r="AH1447" s="133"/>
      <c r="AI1447" s="133"/>
      <c r="AJ1447" s="133"/>
      <c r="AK1447" s="133"/>
      <c r="AL1447" s="133"/>
      <c r="AM1447" s="133"/>
      <c r="AN1447" s="133"/>
      <c r="AO1447" s="133"/>
      <c r="AP1447" s="133"/>
      <c r="AQ1447" s="133"/>
      <c r="AR1447" s="133"/>
      <c r="AS1447" s="153">
        <v>0</v>
      </c>
      <c r="AT1447" s="153">
        <v>0</v>
      </c>
      <c r="AU1447" s="153">
        <v>0</v>
      </c>
      <c r="AV1447" s="135"/>
      <c r="AW1447" s="135"/>
      <c r="AX1447" s="135"/>
      <c r="AY1447" s="135"/>
      <c r="AZ1447" s="135"/>
      <c r="BA1447" s="135"/>
      <c r="BB1447" s="135"/>
      <c r="BC1447" s="135"/>
      <c r="BD1447" s="135"/>
      <c r="BE1447" s="135"/>
      <c r="BF1447" s="135"/>
      <c r="BG1447" s="135"/>
      <c r="BH1447" s="135"/>
      <c r="BI1447" s="2"/>
      <c r="BJ1447" s="136"/>
      <c r="BK1447" s="2"/>
      <c r="BL1447" s="136"/>
      <c r="BM1447" s="136"/>
      <c r="BN1447" s="2"/>
      <c r="BO1447" s="2"/>
      <c r="BP1447" s="136"/>
      <c r="BQ1447" s="137"/>
    </row>
    <row r="1448" spans="1:69" ht="12.75" customHeight="1" x14ac:dyDescent="0.2">
      <c r="A1448" s="2">
        <v>2937</v>
      </c>
      <c r="B1448" s="2"/>
      <c r="C1448" s="131"/>
      <c r="D1448" s="131"/>
      <c r="E1448" s="2"/>
      <c r="F1448" s="132">
        <v>0</v>
      </c>
      <c r="G1448" s="132"/>
      <c r="H1448" s="132">
        <f t="shared" si="164"/>
        <v>0</v>
      </c>
      <c r="I1448" s="132"/>
      <c r="J1448" s="132">
        <f t="shared" si="169"/>
        <v>0</v>
      </c>
      <c r="K1448" s="132">
        <f t="shared" si="165"/>
        <v>0</v>
      </c>
      <c r="L1448" s="132">
        <f t="shared" si="166"/>
        <v>0</v>
      </c>
      <c r="M1448" s="133"/>
      <c r="N1448" s="133">
        <f t="shared" si="163"/>
        <v>0</v>
      </c>
      <c r="O1448" s="134"/>
      <c r="P1448" s="133"/>
      <c r="Q1448" s="2"/>
      <c r="R1448" s="156">
        <f t="shared" si="167"/>
        <v>0</v>
      </c>
      <c r="S1448" s="156">
        <f t="shared" si="168"/>
        <v>0</v>
      </c>
      <c r="T1448" s="133"/>
      <c r="U1448" s="133"/>
      <c r="V1448" s="133"/>
      <c r="W1448" s="133"/>
      <c r="X1448" s="133"/>
      <c r="Y1448" s="133"/>
      <c r="Z1448" s="133"/>
      <c r="AA1448" s="133"/>
      <c r="AB1448" s="133"/>
      <c r="AC1448" s="133"/>
      <c r="AD1448" s="133"/>
      <c r="AE1448" s="133"/>
      <c r="AF1448" s="133"/>
      <c r="AG1448" s="133"/>
      <c r="AH1448" s="133"/>
      <c r="AI1448" s="133"/>
      <c r="AJ1448" s="133"/>
      <c r="AK1448" s="133"/>
      <c r="AL1448" s="133"/>
      <c r="AM1448" s="133"/>
      <c r="AN1448" s="133"/>
      <c r="AO1448" s="133"/>
      <c r="AP1448" s="133"/>
      <c r="AQ1448" s="133"/>
      <c r="AR1448" s="133"/>
      <c r="AS1448" s="153">
        <v>0</v>
      </c>
      <c r="AT1448" s="153">
        <v>0</v>
      </c>
      <c r="AU1448" s="153">
        <v>0</v>
      </c>
      <c r="AV1448" s="135"/>
      <c r="AW1448" s="135"/>
      <c r="AX1448" s="135"/>
      <c r="AY1448" s="135"/>
      <c r="AZ1448" s="135"/>
      <c r="BA1448" s="135"/>
      <c r="BB1448" s="135"/>
      <c r="BC1448" s="135"/>
      <c r="BD1448" s="135"/>
      <c r="BE1448" s="135"/>
      <c r="BF1448" s="135"/>
      <c r="BG1448" s="135"/>
      <c r="BH1448" s="135"/>
      <c r="BI1448" s="2"/>
      <c r="BJ1448" s="136"/>
      <c r="BK1448" s="2"/>
      <c r="BL1448" s="136"/>
      <c r="BM1448" s="136"/>
      <c r="BN1448" s="2"/>
      <c r="BO1448" s="2"/>
      <c r="BP1448" s="136"/>
      <c r="BQ1448" s="137"/>
    </row>
    <row r="1449" spans="1:69" ht="12.75" customHeight="1" x14ac:dyDescent="0.2">
      <c r="A1449" s="2">
        <v>2938</v>
      </c>
      <c r="B1449" s="2"/>
      <c r="C1449" s="131"/>
      <c r="D1449" s="131"/>
      <c r="E1449" s="2"/>
      <c r="F1449" s="132">
        <v>0</v>
      </c>
      <c r="G1449" s="132"/>
      <c r="H1449" s="132">
        <f t="shared" si="164"/>
        <v>0</v>
      </c>
      <c r="I1449" s="132"/>
      <c r="J1449" s="132">
        <f t="shared" si="169"/>
        <v>0</v>
      </c>
      <c r="K1449" s="132">
        <f t="shared" si="165"/>
        <v>0</v>
      </c>
      <c r="L1449" s="132">
        <f t="shared" si="166"/>
        <v>0</v>
      </c>
      <c r="M1449" s="133"/>
      <c r="N1449" s="133">
        <f t="shared" si="163"/>
        <v>0</v>
      </c>
      <c r="O1449" s="134"/>
      <c r="P1449" s="133"/>
      <c r="Q1449" s="2"/>
      <c r="R1449" s="156">
        <f t="shared" si="167"/>
        <v>0</v>
      </c>
      <c r="S1449" s="156">
        <f t="shared" si="168"/>
        <v>0</v>
      </c>
      <c r="T1449" s="133"/>
      <c r="U1449" s="133"/>
      <c r="V1449" s="133"/>
      <c r="W1449" s="133"/>
      <c r="X1449" s="133"/>
      <c r="Y1449" s="133"/>
      <c r="Z1449" s="133"/>
      <c r="AA1449" s="133"/>
      <c r="AB1449" s="133"/>
      <c r="AC1449" s="133"/>
      <c r="AD1449" s="133"/>
      <c r="AE1449" s="133"/>
      <c r="AF1449" s="133"/>
      <c r="AG1449" s="133"/>
      <c r="AH1449" s="133"/>
      <c r="AI1449" s="133"/>
      <c r="AJ1449" s="133"/>
      <c r="AK1449" s="133"/>
      <c r="AL1449" s="133"/>
      <c r="AM1449" s="133"/>
      <c r="AN1449" s="133"/>
      <c r="AO1449" s="133"/>
      <c r="AP1449" s="133"/>
      <c r="AQ1449" s="133"/>
      <c r="AR1449" s="133"/>
      <c r="AS1449" s="153">
        <v>0</v>
      </c>
      <c r="AT1449" s="153">
        <v>0</v>
      </c>
      <c r="AU1449" s="153">
        <v>0</v>
      </c>
      <c r="AV1449" s="135"/>
      <c r="AW1449" s="135"/>
      <c r="AX1449" s="135"/>
      <c r="AY1449" s="135"/>
      <c r="AZ1449" s="135"/>
      <c r="BA1449" s="135"/>
      <c r="BB1449" s="135"/>
      <c r="BC1449" s="135"/>
      <c r="BD1449" s="135"/>
      <c r="BE1449" s="135"/>
      <c r="BF1449" s="135"/>
      <c r="BG1449" s="135"/>
      <c r="BH1449" s="135"/>
      <c r="BI1449" s="2"/>
      <c r="BJ1449" s="136"/>
      <c r="BK1449" s="2"/>
      <c r="BL1449" s="136"/>
      <c r="BM1449" s="136"/>
      <c r="BN1449" s="2"/>
      <c r="BO1449" s="2"/>
      <c r="BP1449" s="136"/>
      <c r="BQ1449" s="137"/>
    </row>
    <row r="1450" spans="1:69" ht="12.75" customHeight="1" x14ac:dyDescent="0.2">
      <c r="A1450" s="2">
        <v>2939</v>
      </c>
      <c r="B1450" s="2"/>
      <c r="C1450" s="131"/>
      <c r="D1450" s="131"/>
      <c r="E1450" s="2"/>
      <c r="F1450" s="132">
        <v>0</v>
      </c>
      <c r="G1450" s="132"/>
      <c r="H1450" s="132">
        <f t="shared" si="164"/>
        <v>0</v>
      </c>
      <c r="I1450" s="132"/>
      <c r="J1450" s="132">
        <f t="shared" si="169"/>
        <v>0</v>
      </c>
      <c r="K1450" s="132">
        <f t="shared" si="165"/>
        <v>0</v>
      </c>
      <c r="L1450" s="132">
        <f t="shared" si="166"/>
        <v>0</v>
      </c>
      <c r="M1450" s="133"/>
      <c r="N1450" s="133">
        <f t="shared" ref="N1450:N1513" si="170">IF(OR(BK1450="принят",BK1450="Завершено",BK1450="ПриПро"),H1450-J1450,F1450-J1450)</f>
        <v>0</v>
      </c>
      <c r="O1450" s="134"/>
      <c r="P1450" s="133"/>
      <c r="Q1450" s="2"/>
      <c r="R1450" s="156">
        <f t="shared" si="167"/>
        <v>0</v>
      </c>
      <c r="S1450" s="156">
        <f t="shared" si="168"/>
        <v>0</v>
      </c>
      <c r="T1450" s="133"/>
      <c r="U1450" s="133"/>
      <c r="V1450" s="133"/>
      <c r="W1450" s="133"/>
      <c r="X1450" s="133"/>
      <c r="Y1450" s="133"/>
      <c r="Z1450" s="133"/>
      <c r="AA1450" s="133"/>
      <c r="AB1450" s="133"/>
      <c r="AC1450" s="133"/>
      <c r="AD1450" s="133"/>
      <c r="AE1450" s="133"/>
      <c r="AF1450" s="133"/>
      <c r="AG1450" s="133"/>
      <c r="AH1450" s="133"/>
      <c r="AI1450" s="133"/>
      <c r="AJ1450" s="133"/>
      <c r="AK1450" s="133"/>
      <c r="AL1450" s="133"/>
      <c r="AM1450" s="133"/>
      <c r="AN1450" s="133"/>
      <c r="AO1450" s="133"/>
      <c r="AP1450" s="133"/>
      <c r="AQ1450" s="133"/>
      <c r="AR1450" s="133"/>
      <c r="AS1450" s="153">
        <v>0</v>
      </c>
      <c r="AT1450" s="153">
        <v>0</v>
      </c>
      <c r="AU1450" s="153">
        <v>0</v>
      </c>
      <c r="AV1450" s="135"/>
      <c r="AW1450" s="135"/>
      <c r="AX1450" s="135"/>
      <c r="AY1450" s="135"/>
      <c r="AZ1450" s="135"/>
      <c r="BA1450" s="135"/>
      <c r="BB1450" s="135"/>
      <c r="BC1450" s="135"/>
      <c r="BD1450" s="135"/>
      <c r="BE1450" s="135"/>
      <c r="BF1450" s="135"/>
      <c r="BG1450" s="135"/>
      <c r="BH1450" s="135"/>
      <c r="BI1450" s="2"/>
      <c r="BJ1450" s="136"/>
      <c r="BK1450" s="2"/>
      <c r="BL1450" s="136"/>
      <c r="BM1450" s="136"/>
      <c r="BN1450" s="2"/>
      <c r="BO1450" s="2"/>
      <c r="BP1450" s="136"/>
      <c r="BQ1450" s="137"/>
    </row>
    <row r="1451" spans="1:69" ht="12.75" customHeight="1" x14ac:dyDescent="0.2">
      <c r="A1451" s="2">
        <v>2940</v>
      </c>
      <c r="B1451" s="2"/>
      <c r="C1451" s="131"/>
      <c r="D1451" s="131"/>
      <c r="E1451" s="2"/>
      <c r="F1451" s="132">
        <v>0</v>
      </c>
      <c r="G1451" s="132"/>
      <c r="H1451" s="132">
        <f t="shared" si="164"/>
        <v>0</v>
      </c>
      <c r="I1451" s="132"/>
      <c r="J1451" s="132">
        <f t="shared" si="169"/>
        <v>0</v>
      </c>
      <c r="K1451" s="132">
        <f t="shared" si="165"/>
        <v>0</v>
      </c>
      <c r="L1451" s="132">
        <f t="shared" si="166"/>
        <v>0</v>
      </c>
      <c r="M1451" s="133"/>
      <c r="N1451" s="133">
        <f t="shared" si="170"/>
        <v>0</v>
      </c>
      <c r="O1451" s="134"/>
      <c r="P1451" s="133"/>
      <c r="Q1451" s="2"/>
      <c r="R1451" s="156">
        <f t="shared" si="167"/>
        <v>0</v>
      </c>
      <c r="S1451" s="156">
        <f t="shared" si="168"/>
        <v>0</v>
      </c>
      <c r="T1451" s="133"/>
      <c r="U1451" s="133"/>
      <c r="V1451" s="133"/>
      <c r="W1451" s="133"/>
      <c r="X1451" s="133"/>
      <c r="Y1451" s="133"/>
      <c r="Z1451" s="133"/>
      <c r="AA1451" s="133"/>
      <c r="AB1451" s="133"/>
      <c r="AC1451" s="133"/>
      <c r="AD1451" s="133"/>
      <c r="AE1451" s="133"/>
      <c r="AF1451" s="133"/>
      <c r="AG1451" s="133"/>
      <c r="AH1451" s="133"/>
      <c r="AI1451" s="133"/>
      <c r="AJ1451" s="133"/>
      <c r="AK1451" s="133"/>
      <c r="AL1451" s="133"/>
      <c r="AM1451" s="133"/>
      <c r="AN1451" s="133"/>
      <c r="AO1451" s="133"/>
      <c r="AP1451" s="133"/>
      <c r="AQ1451" s="133"/>
      <c r="AR1451" s="133"/>
      <c r="AS1451" s="153">
        <v>0</v>
      </c>
      <c r="AT1451" s="153">
        <v>0</v>
      </c>
      <c r="AU1451" s="153">
        <v>0</v>
      </c>
      <c r="AV1451" s="135"/>
      <c r="AW1451" s="135"/>
      <c r="AX1451" s="135"/>
      <c r="AY1451" s="135"/>
      <c r="AZ1451" s="135"/>
      <c r="BA1451" s="135"/>
      <c r="BB1451" s="135"/>
      <c r="BC1451" s="135"/>
      <c r="BD1451" s="135"/>
      <c r="BE1451" s="135"/>
      <c r="BF1451" s="135"/>
      <c r="BG1451" s="135"/>
      <c r="BH1451" s="135"/>
      <c r="BI1451" s="2"/>
      <c r="BJ1451" s="136"/>
      <c r="BK1451" s="2"/>
      <c r="BL1451" s="136"/>
      <c r="BM1451" s="136"/>
      <c r="BN1451" s="2"/>
      <c r="BO1451" s="2"/>
      <c r="BP1451" s="136"/>
      <c r="BQ1451" s="137"/>
    </row>
    <row r="1452" spans="1:69" ht="12.75" customHeight="1" x14ac:dyDescent="0.2">
      <c r="A1452" s="2">
        <v>2941</v>
      </c>
      <c r="B1452" s="2"/>
      <c r="C1452" s="131"/>
      <c r="D1452" s="131"/>
      <c r="E1452" s="2"/>
      <c r="F1452" s="132">
        <v>0</v>
      </c>
      <c r="G1452" s="132"/>
      <c r="H1452" s="132">
        <f t="shared" si="164"/>
        <v>0</v>
      </c>
      <c r="I1452" s="132"/>
      <c r="J1452" s="132">
        <f t="shared" si="169"/>
        <v>0</v>
      </c>
      <c r="K1452" s="132">
        <f t="shared" si="165"/>
        <v>0</v>
      </c>
      <c r="L1452" s="132">
        <f t="shared" si="166"/>
        <v>0</v>
      </c>
      <c r="M1452" s="133"/>
      <c r="N1452" s="133">
        <f t="shared" si="170"/>
        <v>0</v>
      </c>
      <c r="O1452" s="134"/>
      <c r="P1452" s="133"/>
      <c r="Q1452" s="2"/>
      <c r="R1452" s="156">
        <f t="shared" si="167"/>
        <v>0</v>
      </c>
      <c r="S1452" s="156">
        <f t="shared" si="168"/>
        <v>0</v>
      </c>
      <c r="T1452" s="133"/>
      <c r="U1452" s="133"/>
      <c r="V1452" s="133"/>
      <c r="W1452" s="133"/>
      <c r="X1452" s="133"/>
      <c r="Y1452" s="133"/>
      <c r="Z1452" s="133"/>
      <c r="AA1452" s="133"/>
      <c r="AB1452" s="133"/>
      <c r="AC1452" s="133"/>
      <c r="AD1452" s="133"/>
      <c r="AE1452" s="133"/>
      <c r="AF1452" s="133"/>
      <c r="AG1452" s="133"/>
      <c r="AH1452" s="133"/>
      <c r="AI1452" s="133"/>
      <c r="AJ1452" s="133"/>
      <c r="AK1452" s="133"/>
      <c r="AL1452" s="133"/>
      <c r="AM1452" s="133"/>
      <c r="AN1452" s="133"/>
      <c r="AO1452" s="133"/>
      <c r="AP1452" s="133"/>
      <c r="AQ1452" s="133"/>
      <c r="AR1452" s="133"/>
      <c r="AS1452" s="153">
        <v>0</v>
      </c>
      <c r="AT1452" s="153">
        <v>0</v>
      </c>
      <c r="AU1452" s="153">
        <v>0</v>
      </c>
      <c r="AV1452" s="135"/>
      <c r="AW1452" s="135"/>
      <c r="AX1452" s="135"/>
      <c r="AY1452" s="135"/>
      <c r="AZ1452" s="135"/>
      <c r="BA1452" s="135"/>
      <c r="BB1452" s="135"/>
      <c r="BC1452" s="135"/>
      <c r="BD1452" s="135"/>
      <c r="BE1452" s="135"/>
      <c r="BF1452" s="135"/>
      <c r="BG1452" s="135"/>
      <c r="BH1452" s="135"/>
      <c r="BI1452" s="2"/>
      <c r="BJ1452" s="136"/>
      <c r="BK1452" s="2"/>
      <c r="BL1452" s="136"/>
      <c r="BM1452" s="136"/>
      <c r="BN1452" s="2"/>
      <c r="BO1452" s="2"/>
      <c r="BP1452" s="136"/>
      <c r="BQ1452" s="137"/>
    </row>
    <row r="1453" spans="1:69" ht="12.75" customHeight="1" x14ac:dyDescent="0.2">
      <c r="A1453" s="2">
        <v>2942</v>
      </c>
      <c r="B1453" s="2"/>
      <c r="C1453" s="131"/>
      <c r="D1453" s="131"/>
      <c r="E1453" s="2"/>
      <c r="F1453" s="132">
        <v>0</v>
      </c>
      <c r="G1453" s="132"/>
      <c r="H1453" s="132">
        <f t="shared" si="164"/>
        <v>0</v>
      </c>
      <c r="I1453" s="132"/>
      <c r="J1453" s="132">
        <f t="shared" si="169"/>
        <v>0</v>
      </c>
      <c r="K1453" s="132">
        <f t="shared" si="165"/>
        <v>0</v>
      </c>
      <c r="L1453" s="132">
        <f t="shared" si="166"/>
        <v>0</v>
      </c>
      <c r="M1453" s="133"/>
      <c r="N1453" s="133">
        <f t="shared" si="170"/>
        <v>0</v>
      </c>
      <c r="O1453" s="134"/>
      <c r="P1453" s="133"/>
      <c r="Q1453" s="2"/>
      <c r="R1453" s="156">
        <f t="shared" si="167"/>
        <v>0</v>
      </c>
      <c r="S1453" s="156">
        <f t="shared" si="168"/>
        <v>0</v>
      </c>
      <c r="T1453" s="133"/>
      <c r="U1453" s="133"/>
      <c r="V1453" s="133"/>
      <c r="W1453" s="133"/>
      <c r="X1453" s="133"/>
      <c r="Y1453" s="133"/>
      <c r="Z1453" s="133"/>
      <c r="AA1453" s="133"/>
      <c r="AB1453" s="133"/>
      <c r="AC1453" s="133"/>
      <c r="AD1453" s="133"/>
      <c r="AE1453" s="133"/>
      <c r="AF1453" s="133"/>
      <c r="AG1453" s="133"/>
      <c r="AH1453" s="133"/>
      <c r="AI1453" s="133"/>
      <c r="AJ1453" s="133"/>
      <c r="AK1453" s="133"/>
      <c r="AL1453" s="133"/>
      <c r="AM1453" s="133"/>
      <c r="AN1453" s="133"/>
      <c r="AO1453" s="133"/>
      <c r="AP1453" s="133"/>
      <c r="AQ1453" s="133"/>
      <c r="AR1453" s="133"/>
      <c r="AS1453" s="153">
        <v>0</v>
      </c>
      <c r="AT1453" s="153">
        <v>0</v>
      </c>
      <c r="AU1453" s="153">
        <v>0</v>
      </c>
      <c r="AV1453" s="135"/>
      <c r="AW1453" s="135"/>
      <c r="AX1453" s="135"/>
      <c r="AY1453" s="135"/>
      <c r="AZ1453" s="135"/>
      <c r="BA1453" s="135"/>
      <c r="BB1453" s="135"/>
      <c r="BC1453" s="135"/>
      <c r="BD1453" s="135"/>
      <c r="BE1453" s="135"/>
      <c r="BF1453" s="135"/>
      <c r="BG1453" s="135"/>
      <c r="BH1453" s="135"/>
      <c r="BI1453" s="2"/>
      <c r="BJ1453" s="136"/>
      <c r="BK1453" s="2"/>
      <c r="BL1453" s="136"/>
      <c r="BM1453" s="136"/>
      <c r="BN1453" s="2"/>
      <c r="BO1453" s="2"/>
      <c r="BP1453" s="136"/>
      <c r="BQ1453" s="137"/>
    </row>
    <row r="1454" spans="1:69" ht="12.75" customHeight="1" x14ac:dyDescent="0.2">
      <c r="A1454" s="2">
        <v>2943</v>
      </c>
      <c r="B1454" s="2"/>
      <c r="C1454" s="131"/>
      <c r="D1454" s="131"/>
      <c r="E1454" s="2"/>
      <c r="F1454" s="132">
        <v>0</v>
      </c>
      <c r="G1454" s="132"/>
      <c r="H1454" s="132">
        <f t="shared" ref="H1454:H1517" si="171">R1454</f>
        <v>0</v>
      </c>
      <c r="I1454" s="132"/>
      <c r="J1454" s="132">
        <f t="shared" si="169"/>
        <v>0</v>
      </c>
      <c r="K1454" s="132">
        <f t="shared" si="165"/>
        <v>0</v>
      </c>
      <c r="L1454" s="132">
        <f t="shared" si="166"/>
        <v>0</v>
      </c>
      <c r="M1454" s="133"/>
      <c r="N1454" s="133">
        <f t="shared" si="170"/>
        <v>0</v>
      </c>
      <c r="O1454" s="134"/>
      <c r="P1454" s="133"/>
      <c r="Q1454" s="2"/>
      <c r="R1454" s="156">
        <f t="shared" si="167"/>
        <v>0</v>
      </c>
      <c r="S1454" s="156">
        <f t="shared" si="168"/>
        <v>0</v>
      </c>
      <c r="T1454" s="133"/>
      <c r="U1454" s="133"/>
      <c r="V1454" s="133"/>
      <c r="W1454" s="133"/>
      <c r="X1454" s="133"/>
      <c r="Y1454" s="133"/>
      <c r="Z1454" s="133"/>
      <c r="AA1454" s="133"/>
      <c r="AB1454" s="133"/>
      <c r="AC1454" s="133"/>
      <c r="AD1454" s="133"/>
      <c r="AE1454" s="133"/>
      <c r="AF1454" s="133"/>
      <c r="AG1454" s="133"/>
      <c r="AH1454" s="133"/>
      <c r="AI1454" s="133"/>
      <c r="AJ1454" s="133"/>
      <c r="AK1454" s="133"/>
      <c r="AL1454" s="133"/>
      <c r="AM1454" s="133"/>
      <c r="AN1454" s="133"/>
      <c r="AO1454" s="133"/>
      <c r="AP1454" s="133"/>
      <c r="AQ1454" s="133"/>
      <c r="AR1454" s="133"/>
      <c r="AS1454" s="153">
        <v>0</v>
      </c>
      <c r="AT1454" s="153">
        <v>0</v>
      </c>
      <c r="AU1454" s="153">
        <v>0</v>
      </c>
      <c r="AV1454" s="135"/>
      <c r="AW1454" s="135"/>
      <c r="AX1454" s="135"/>
      <c r="AY1454" s="135"/>
      <c r="AZ1454" s="135"/>
      <c r="BA1454" s="135"/>
      <c r="BB1454" s="135"/>
      <c r="BC1454" s="135"/>
      <c r="BD1454" s="135"/>
      <c r="BE1454" s="135"/>
      <c r="BF1454" s="135"/>
      <c r="BG1454" s="135"/>
      <c r="BH1454" s="135"/>
      <c r="BI1454" s="2"/>
      <c r="BJ1454" s="136"/>
      <c r="BK1454" s="2"/>
      <c r="BL1454" s="136"/>
      <c r="BM1454" s="136"/>
      <c r="BN1454" s="2"/>
      <c r="BO1454" s="2"/>
      <c r="BP1454" s="136"/>
      <c r="BQ1454" s="137"/>
    </row>
    <row r="1455" spans="1:69" ht="12.75" customHeight="1" x14ac:dyDescent="0.2">
      <c r="A1455" s="2">
        <v>2944</v>
      </c>
      <c r="B1455" s="2"/>
      <c r="C1455" s="131"/>
      <c r="D1455" s="131"/>
      <c r="E1455" s="2"/>
      <c r="F1455" s="132">
        <v>0</v>
      </c>
      <c r="G1455" s="132"/>
      <c r="H1455" s="132">
        <f t="shared" si="171"/>
        <v>0</v>
      </c>
      <c r="I1455" s="132"/>
      <c r="J1455" s="132">
        <f t="shared" si="169"/>
        <v>0</v>
      </c>
      <c r="K1455" s="132">
        <f t="shared" si="165"/>
        <v>0</v>
      </c>
      <c r="L1455" s="132">
        <f t="shared" si="166"/>
        <v>0</v>
      </c>
      <c r="M1455" s="133"/>
      <c r="N1455" s="133">
        <f t="shared" si="170"/>
        <v>0</v>
      </c>
      <c r="O1455" s="134"/>
      <c r="P1455" s="133"/>
      <c r="Q1455" s="2"/>
      <c r="R1455" s="156">
        <f t="shared" si="167"/>
        <v>0</v>
      </c>
      <c r="S1455" s="156">
        <f t="shared" si="168"/>
        <v>0</v>
      </c>
      <c r="T1455" s="133"/>
      <c r="U1455" s="133"/>
      <c r="V1455" s="133"/>
      <c r="W1455" s="133"/>
      <c r="X1455" s="133"/>
      <c r="Y1455" s="133"/>
      <c r="Z1455" s="133"/>
      <c r="AA1455" s="133"/>
      <c r="AB1455" s="133"/>
      <c r="AC1455" s="133"/>
      <c r="AD1455" s="133"/>
      <c r="AE1455" s="133"/>
      <c r="AF1455" s="133"/>
      <c r="AG1455" s="133"/>
      <c r="AH1455" s="133"/>
      <c r="AI1455" s="133"/>
      <c r="AJ1455" s="133"/>
      <c r="AK1455" s="133"/>
      <c r="AL1455" s="133"/>
      <c r="AM1455" s="133"/>
      <c r="AN1455" s="133"/>
      <c r="AO1455" s="133"/>
      <c r="AP1455" s="133"/>
      <c r="AQ1455" s="133"/>
      <c r="AR1455" s="133"/>
      <c r="AS1455" s="153">
        <v>0</v>
      </c>
      <c r="AT1455" s="153">
        <v>0</v>
      </c>
      <c r="AU1455" s="153">
        <v>0</v>
      </c>
      <c r="AV1455" s="135"/>
      <c r="AW1455" s="135"/>
      <c r="AX1455" s="135"/>
      <c r="AY1455" s="135"/>
      <c r="AZ1455" s="135"/>
      <c r="BA1455" s="135"/>
      <c r="BB1455" s="135"/>
      <c r="BC1455" s="135"/>
      <c r="BD1455" s="135"/>
      <c r="BE1455" s="135"/>
      <c r="BF1455" s="135"/>
      <c r="BG1455" s="135"/>
      <c r="BH1455" s="135"/>
      <c r="BI1455" s="2"/>
      <c r="BJ1455" s="136"/>
      <c r="BK1455" s="2"/>
      <c r="BL1455" s="136"/>
      <c r="BM1455" s="136"/>
      <c r="BN1455" s="2"/>
      <c r="BO1455" s="2"/>
      <c r="BP1455" s="136"/>
      <c r="BQ1455" s="137"/>
    </row>
    <row r="1456" spans="1:69" ht="12.75" customHeight="1" x14ac:dyDescent="0.2">
      <c r="A1456" s="2">
        <v>2945</v>
      </c>
      <c r="B1456" s="2"/>
      <c r="C1456" s="131"/>
      <c r="D1456" s="131"/>
      <c r="E1456" s="2"/>
      <c r="F1456" s="132">
        <v>0</v>
      </c>
      <c r="G1456" s="132"/>
      <c r="H1456" s="132">
        <f t="shared" si="171"/>
        <v>0</v>
      </c>
      <c r="I1456" s="132"/>
      <c r="J1456" s="132">
        <f t="shared" si="169"/>
        <v>0</v>
      </c>
      <c r="K1456" s="132">
        <f t="shared" si="165"/>
        <v>0</v>
      </c>
      <c r="L1456" s="132">
        <f t="shared" si="166"/>
        <v>0</v>
      </c>
      <c r="M1456" s="133"/>
      <c r="N1456" s="133">
        <f t="shared" si="170"/>
        <v>0</v>
      </c>
      <c r="O1456" s="134"/>
      <c r="P1456" s="133"/>
      <c r="Q1456" s="2"/>
      <c r="R1456" s="156">
        <f t="shared" si="167"/>
        <v>0</v>
      </c>
      <c r="S1456" s="156">
        <f t="shared" si="168"/>
        <v>0</v>
      </c>
      <c r="T1456" s="133"/>
      <c r="U1456" s="133"/>
      <c r="V1456" s="133"/>
      <c r="W1456" s="133"/>
      <c r="X1456" s="133"/>
      <c r="Y1456" s="133"/>
      <c r="Z1456" s="133"/>
      <c r="AA1456" s="133"/>
      <c r="AB1456" s="133"/>
      <c r="AC1456" s="133"/>
      <c r="AD1456" s="133"/>
      <c r="AE1456" s="133"/>
      <c r="AF1456" s="133"/>
      <c r="AG1456" s="133"/>
      <c r="AH1456" s="133"/>
      <c r="AI1456" s="133"/>
      <c r="AJ1456" s="133"/>
      <c r="AK1456" s="133"/>
      <c r="AL1456" s="133"/>
      <c r="AM1456" s="133"/>
      <c r="AN1456" s="133"/>
      <c r="AO1456" s="133"/>
      <c r="AP1456" s="133"/>
      <c r="AQ1456" s="133"/>
      <c r="AR1456" s="133"/>
      <c r="AS1456" s="153">
        <v>0</v>
      </c>
      <c r="AT1456" s="153">
        <v>0</v>
      </c>
      <c r="AU1456" s="153">
        <v>0</v>
      </c>
      <c r="AV1456" s="135"/>
      <c r="AW1456" s="135"/>
      <c r="AX1456" s="135"/>
      <c r="AY1456" s="135"/>
      <c r="AZ1456" s="135"/>
      <c r="BA1456" s="135"/>
      <c r="BB1456" s="135"/>
      <c r="BC1456" s="135"/>
      <c r="BD1456" s="135"/>
      <c r="BE1456" s="135"/>
      <c r="BF1456" s="135"/>
      <c r="BG1456" s="135"/>
      <c r="BH1456" s="135"/>
      <c r="BI1456" s="2"/>
      <c r="BJ1456" s="136"/>
      <c r="BK1456" s="2"/>
      <c r="BL1456" s="136"/>
      <c r="BM1456" s="136"/>
      <c r="BN1456" s="2"/>
      <c r="BO1456" s="2"/>
      <c r="BP1456" s="136"/>
      <c r="BQ1456" s="137"/>
    </row>
    <row r="1457" spans="1:69" ht="12.75" customHeight="1" x14ac:dyDescent="0.2">
      <c r="A1457" s="2">
        <v>2946</v>
      </c>
      <c r="B1457" s="2"/>
      <c r="C1457" s="131"/>
      <c r="D1457" s="131"/>
      <c r="E1457" s="2"/>
      <c r="F1457" s="132">
        <v>0</v>
      </c>
      <c r="G1457" s="132"/>
      <c r="H1457" s="132">
        <f t="shared" si="171"/>
        <v>0</v>
      </c>
      <c r="I1457" s="132"/>
      <c r="J1457" s="132">
        <f t="shared" si="169"/>
        <v>0</v>
      </c>
      <c r="K1457" s="132">
        <f t="shared" si="165"/>
        <v>0</v>
      </c>
      <c r="L1457" s="132">
        <f t="shared" si="166"/>
        <v>0</v>
      </c>
      <c r="M1457" s="133"/>
      <c r="N1457" s="133">
        <f t="shared" si="170"/>
        <v>0</v>
      </c>
      <c r="O1457" s="134"/>
      <c r="P1457" s="133"/>
      <c r="Q1457" s="2"/>
      <c r="R1457" s="156">
        <f t="shared" si="167"/>
        <v>0</v>
      </c>
      <c r="S1457" s="156">
        <f t="shared" si="168"/>
        <v>0</v>
      </c>
      <c r="T1457" s="133"/>
      <c r="U1457" s="133"/>
      <c r="V1457" s="133"/>
      <c r="W1457" s="133"/>
      <c r="X1457" s="133"/>
      <c r="Y1457" s="133"/>
      <c r="Z1457" s="133"/>
      <c r="AA1457" s="133"/>
      <c r="AB1457" s="133"/>
      <c r="AC1457" s="133"/>
      <c r="AD1457" s="133"/>
      <c r="AE1457" s="133"/>
      <c r="AF1457" s="133"/>
      <c r="AG1457" s="133"/>
      <c r="AH1457" s="133"/>
      <c r="AI1457" s="133"/>
      <c r="AJ1457" s="133"/>
      <c r="AK1457" s="133"/>
      <c r="AL1457" s="133"/>
      <c r="AM1457" s="133"/>
      <c r="AN1457" s="133"/>
      <c r="AO1457" s="133"/>
      <c r="AP1457" s="133"/>
      <c r="AQ1457" s="133"/>
      <c r="AR1457" s="133"/>
      <c r="AS1457" s="153">
        <v>0</v>
      </c>
      <c r="AT1457" s="153">
        <v>0</v>
      </c>
      <c r="AU1457" s="153">
        <v>0</v>
      </c>
      <c r="AV1457" s="135"/>
      <c r="AW1457" s="135"/>
      <c r="AX1457" s="135"/>
      <c r="AY1457" s="135"/>
      <c r="AZ1457" s="135"/>
      <c r="BA1457" s="135"/>
      <c r="BB1457" s="135"/>
      <c r="BC1457" s="135"/>
      <c r="BD1457" s="135"/>
      <c r="BE1457" s="135"/>
      <c r="BF1457" s="135"/>
      <c r="BG1457" s="135"/>
      <c r="BH1457" s="135"/>
      <c r="BI1457" s="2"/>
      <c r="BJ1457" s="136"/>
      <c r="BK1457" s="2"/>
      <c r="BL1457" s="136"/>
      <c r="BM1457" s="136"/>
      <c r="BN1457" s="2"/>
      <c r="BO1457" s="2"/>
      <c r="BP1457" s="136"/>
      <c r="BQ1457" s="137"/>
    </row>
    <row r="1458" spans="1:69" ht="12.75" customHeight="1" x14ac:dyDescent="0.2">
      <c r="A1458" s="2">
        <v>2947</v>
      </c>
      <c r="B1458" s="2"/>
      <c r="C1458" s="131"/>
      <c r="D1458" s="131"/>
      <c r="E1458" s="2"/>
      <c r="F1458" s="132">
        <v>0</v>
      </c>
      <c r="G1458" s="132"/>
      <c r="H1458" s="132">
        <f t="shared" si="171"/>
        <v>0</v>
      </c>
      <c r="I1458" s="132"/>
      <c r="J1458" s="132">
        <f t="shared" si="169"/>
        <v>0</v>
      </c>
      <c r="K1458" s="132">
        <f t="shared" si="165"/>
        <v>0</v>
      </c>
      <c r="L1458" s="132">
        <f t="shared" si="166"/>
        <v>0</v>
      </c>
      <c r="M1458" s="133"/>
      <c r="N1458" s="133">
        <f t="shared" si="170"/>
        <v>0</v>
      </c>
      <c r="O1458" s="134"/>
      <c r="P1458" s="133"/>
      <c r="Q1458" s="2"/>
      <c r="R1458" s="156">
        <f t="shared" si="167"/>
        <v>0</v>
      </c>
      <c r="S1458" s="156">
        <f t="shared" si="168"/>
        <v>0</v>
      </c>
      <c r="T1458" s="133"/>
      <c r="U1458" s="133"/>
      <c r="V1458" s="133"/>
      <c r="W1458" s="133"/>
      <c r="X1458" s="133"/>
      <c r="Y1458" s="133"/>
      <c r="Z1458" s="133"/>
      <c r="AA1458" s="133"/>
      <c r="AB1458" s="133"/>
      <c r="AC1458" s="133"/>
      <c r="AD1458" s="133"/>
      <c r="AE1458" s="133"/>
      <c r="AF1458" s="133"/>
      <c r="AG1458" s="133"/>
      <c r="AH1458" s="133"/>
      <c r="AI1458" s="133"/>
      <c r="AJ1458" s="133"/>
      <c r="AK1458" s="133"/>
      <c r="AL1458" s="133"/>
      <c r="AM1458" s="133"/>
      <c r="AN1458" s="133"/>
      <c r="AO1458" s="133"/>
      <c r="AP1458" s="133"/>
      <c r="AQ1458" s="133"/>
      <c r="AR1458" s="133"/>
      <c r="AS1458" s="153">
        <v>0</v>
      </c>
      <c r="AT1458" s="153">
        <v>0</v>
      </c>
      <c r="AU1458" s="153">
        <v>0</v>
      </c>
      <c r="AV1458" s="135"/>
      <c r="AW1458" s="135"/>
      <c r="AX1458" s="135"/>
      <c r="AY1458" s="135"/>
      <c r="AZ1458" s="135"/>
      <c r="BA1458" s="135"/>
      <c r="BB1458" s="135"/>
      <c r="BC1458" s="135"/>
      <c r="BD1458" s="135"/>
      <c r="BE1458" s="135"/>
      <c r="BF1458" s="135"/>
      <c r="BG1458" s="135"/>
      <c r="BH1458" s="135"/>
      <c r="BI1458" s="2"/>
      <c r="BJ1458" s="136"/>
      <c r="BK1458" s="2"/>
      <c r="BL1458" s="136"/>
      <c r="BM1458" s="136"/>
      <c r="BN1458" s="2"/>
      <c r="BO1458" s="2"/>
      <c r="BP1458" s="136"/>
      <c r="BQ1458" s="137"/>
    </row>
    <row r="1459" spans="1:69" ht="12.75" customHeight="1" x14ac:dyDescent="0.2">
      <c r="A1459" s="2">
        <v>2948</v>
      </c>
      <c r="B1459" s="2"/>
      <c r="C1459" s="131"/>
      <c r="D1459" s="131"/>
      <c r="E1459" s="2"/>
      <c r="F1459" s="132">
        <v>0</v>
      </c>
      <c r="G1459" s="132"/>
      <c r="H1459" s="132">
        <f t="shared" si="171"/>
        <v>0</v>
      </c>
      <c r="I1459" s="132"/>
      <c r="J1459" s="132">
        <f t="shared" si="169"/>
        <v>0</v>
      </c>
      <c r="K1459" s="132">
        <f t="shared" si="165"/>
        <v>0</v>
      </c>
      <c r="L1459" s="132">
        <f t="shared" si="166"/>
        <v>0</v>
      </c>
      <c r="M1459" s="133"/>
      <c r="N1459" s="133">
        <f t="shared" si="170"/>
        <v>0</v>
      </c>
      <c r="O1459" s="134"/>
      <c r="P1459" s="133"/>
      <c r="Q1459" s="2"/>
      <c r="R1459" s="156">
        <f t="shared" si="167"/>
        <v>0</v>
      </c>
      <c r="S1459" s="156">
        <f t="shared" si="168"/>
        <v>0</v>
      </c>
      <c r="T1459" s="133"/>
      <c r="U1459" s="133"/>
      <c r="V1459" s="133"/>
      <c r="W1459" s="133"/>
      <c r="X1459" s="133"/>
      <c r="Y1459" s="133"/>
      <c r="Z1459" s="133"/>
      <c r="AA1459" s="133"/>
      <c r="AB1459" s="133"/>
      <c r="AC1459" s="133"/>
      <c r="AD1459" s="133"/>
      <c r="AE1459" s="133"/>
      <c r="AF1459" s="133"/>
      <c r="AG1459" s="133"/>
      <c r="AH1459" s="133"/>
      <c r="AI1459" s="133"/>
      <c r="AJ1459" s="133"/>
      <c r="AK1459" s="133"/>
      <c r="AL1459" s="133"/>
      <c r="AM1459" s="133"/>
      <c r="AN1459" s="133"/>
      <c r="AO1459" s="133"/>
      <c r="AP1459" s="133"/>
      <c r="AQ1459" s="133"/>
      <c r="AR1459" s="133"/>
      <c r="AS1459" s="153">
        <v>0</v>
      </c>
      <c r="AT1459" s="153">
        <v>0</v>
      </c>
      <c r="AU1459" s="153">
        <v>0</v>
      </c>
      <c r="AV1459" s="135"/>
      <c r="AW1459" s="135"/>
      <c r="AX1459" s="135"/>
      <c r="AY1459" s="135"/>
      <c r="AZ1459" s="135"/>
      <c r="BA1459" s="135"/>
      <c r="BB1459" s="135"/>
      <c r="BC1459" s="135"/>
      <c r="BD1459" s="135"/>
      <c r="BE1459" s="135"/>
      <c r="BF1459" s="135"/>
      <c r="BG1459" s="135"/>
      <c r="BH1459" s="135"/>
      <c r="BI1459" s="2"/>
      <c r="BJ1459" s="136"/>
      <c r="BK1459" s="2"/>
      <c r="BL1459" s="136"/>
      <c r="BM1459" s="136"/>
      <c r="BN1459" s="2"/>
      <c r="BO1459" s="2"/>
      <c r="BP1459" s="136"/>
      <c r="BQ1459" s="137"/>
    </row>
    <row r="1460" spans="1:69" ht="12.75" customHeight="1" x14ac:dyDescent="0.2">
      <c r="A1460" s="2">
        <v>2949</v>
      </c>
      <c r="B1460" s="2"/>
      <c r="C1460" s="131"/>
      <c r="D1460" s="131"/>
      <c r="E1460" s="2"/>
      <c r="F1460" s="132">
        <v>0</v>
      </c>
      <c r="G1460" s="132"/>
      <c r="H1460" s="132">
        <f t="shared" si="171"/>
        <v>0</v>
      </c>
      <c r="I1460" s="132"/>
      <c r="J1460" s="132">
        <f t="shared" si="169"/>
        <v>0</v>
      </c>
      <c r="K1460" s="132">
        <f t="shared" si="165"/>
        <v>0</v>
      </c>
      <c r="L1460" s="132">
        <f t="shared" si="166"/>
        <v>0</v>
      </c>
      <c r="M1460" s="133"/>
      <c r="N1460" s="133">
        <f t="shared" si="170"/>
        <v>0</v>
      </c>
      <c r="O1460" s="134"/>
      <c r="P1460" s="133"/>
      <c r="Q1460" s="2"/>
      <c r="R1460" s="156">
        <f t="shared" si="167"/>
        <v>0</v>
      </c>
      <c r="S1460" s="156">
        <f t="shared" si="168"/>
        <v>0</v>
      </c>
      <c r="T1460" s="133"/>
      <c r="U1460" s="133"/>
      <c r="V1460" s="133"/>
      <c r="W1460" s="133"/>
      <c r="X1460" s="133"/>
      <c r="Y1460" s="133"/>
      <c r="Z1460" s="133"/>
      <c r="AA1460" s="133"/>
      <c r="AB1460" s="133"/>
      <c r="AC1460" s="133"/>
      <c r="AD1460" s="133"/>
      <c r="AE1460" s="133"/>
      <c r="AF1460" s="133"/>
      <c r="AG1460" s="133"/>
      <c r="AH1460" s="133"/>
      <c r="AI1460" s="133"/>
      <c r="AJ1460" s="133"/>
      <c r="AK1460" s="133"/>
      <c r="AL1460" s="133"/>
      <c r="AM1460" s="133"/>
      <c r="AN1460" s="133"/>
      <c r="AO1460" s="133"/>
      <c r="AP1460" s="133"/>
      <c r="AQ1460" s="133"/>
      <c r="AR1460" s="133"/>
      <c r="AS1460" s="153">
        <v>0</v>
      </c>
      <c r="AT1460" s="153">
        <v>0</v>
      </c>
      <c r="AU1460" s="153">
        <v>0</v>
      </c>
      <c r="AV1460" s="135"/>
      <c r="AW1460" s="135"/>
      <c r="AX1460" s="135"/>
      <c r="AY1460" s="135"/>
      <c r="AZ1460" s="135"/>
      <c r="BA1460" s="135"/>
      <c r="BB1460" s="135"/>
      <c r="BC1460" s="135"/>
      <c r="BD1460" s="135"/>
      <c r="BE1460" s="135"/>
      <c r="BF1460" s="135"/>
      <c r="BG1460" s="135"/>
      <c r="BH1460" s="135"/>
      <c r="BI1460" s="2"/>
      <c r="BJ1460" s="136"/>
      <c r="BK1460" s="2"/>
      <c r="BL1460" s="136"/>
      <c r="BM1460" s="136"/>
      <c r="BN1460" s="2"/>
      <c r="BO1460" s="2"/>
      <c r="BP1460" s="136"/>
      <c r="BQ1460" s="137"/>
    </row>
    <row r="1461" spans="1:69" ht="12.75" customHeight="1" x14ac:dyDescent="0.2">
      <c r="A1461" s="2">
        <v>2950</v>
      </c>
      <c r="B1461" s="2"/>
      <c r="C1461" s="131"/>
      <c r="D1461" s="131"/>
      <c r="E1461" s="2"/>
      <c r="F1461" s="132">
        <v>0</v>
      </c>
      <c r="G1461" s="132"/>
      <c r="H1461" s="132">
        <f t="shared" si="171"/>
        <v>0</v>
      </c>
      <c r="I1461" s="132"/>
      <c r="J1461" s="132">
        <f t="shared" si="169"/>
        <v>0</v>
      </c>
      <c r="K1461" s="132">
        <f t="shared" si="165"/>
        <v>0</v>
      </c>
      <c r="L1461" s="132">
        <f t="shared" si="166"/>
        <v>0</v>
      </c>
      <c r="M1461" s="133"/>
      <c r="N1461" s="133">
        <f t="shared" si="170"/>
        <v>0</v>
      </c>
      <c r="O1461" s="134"/>
      <c r="P1461" s="133"/>
      <c r="Q1461" s="2"/>
      <c r="R1461" s="156">
        <f t="shared" si="167"/>
        <v>0</v>
      </c>
      <c r="S1461" s="156">
        <f t="shared" si="168"/>
        <v>0</v>
      </c>
      <c r="T1461" s="133"/>
      <c r="U1461" s="133"/>
      <c r="V1461" s="133"/>
      <c r="W1461" s="133"/>
      <c r="X1461" s="133"/>
      <c r="Y1461" s="133"/>
      <c r="Z1461" s="133"/>
      <c r="AA1461" s="133"/>
      <c r="AB1461" s="133"/>
      <c r="AC1461" s="133"/>
      <c r="AD1461" s="133"/>
      <c r="AE1461" s="133"/>
      <c r="AF1461" s="133"/>
      <c r="AG1461" s="133"/>
      <c r="AH1461" s="133"/>
      <c r="AI1461" s="133"/>
      <c r="AJ1461" s="133"/>
      <c r="AK1461" s="133"/>
      <c r="AL1461" s="133"/>
      <c r="AM1461" s="133"/>
      <c r="AN1461" s="133"/>
      <c r="AO1461" s="133"/>
      <c r="AP1461" s="133"/>
      <c r="AQ1461" s="133"/>
      <c r="AR1461" s="133"/>
      <c r="AS1461" s="153">
        <v>0</v>
      </c>
      <c r="AT1461" s="153">
        <v>0</v>
      </c>
      <c r="AU1461" s="153">
        <v>0</v>
      </c>
      <c r="AV1461" s="135"/>
      <c r="AW1461" s="135"/>
      <c r="AX1461" s="135"/>
      <c r="AY1461" s="135"/>
      <c r="AZ1461" s="135"/>
      <c r="BA1461" s="135"/>
      <c r="BB1461" s="135"/>
      <c r="BC1461" s="135"/>
      <c r="BD1461" s="135"/>
      <c r="BE1461" s="135"/>
      <c r="BF1461" s="135"/>
      <c r="BG1461" s="135"/>
      <c r="BH1461" s="135"/>
      <c r="BI1461" s="2"/>
      <c r="BJ1461" s="136"/>
      <c r="BK1461" s="2"/>
      <c r="BL1461" s="136"/>
      <c r="BM1461" s="136"/>
      <c r="BN1461" s="2"/>
      <c r="BO1461" s="2"/>
      <c r="BP1461" s="136"/>
      <c r="BQ1461" s="137"/>
    </row>
    <row r="1462" spans="1:69" ht="12.75" customHeight="1" x14ac:dyDescent="0.2">
      <c r="A1462" s="2">
        <v>2951</v>
      </c>
      <c r="B1462" s="2"/>
      <c r="C1462" s="131"/>
      <c r="D1462" s="131"/>
      <c r="E1462" s="2"/>
      <c r="F1462" s="132">
        <v>0</v>
      </c>
      <c r="G1462" s="132"/>
      <c r="H1462" s="132">
        <f t="shared" si="171"/>
        <v>0</v>
      </c>
      <c r="I1462" s="132"/>
      <c r="J1462" s="132">
        <f t="shared" si="169"/>
        <v>0</v>
      </c>
      <c r="K1462" s="132">
        <f t="shared" ref="K1462:K1525" si="172">F1462-J1462</f>
        <v>0</v>
      </c>
      <c r="L1462" s="132">
        <f t="shared" si="166"/>
        <v>0</v>
      </c>
      <c r="M1462" s="133"/>
      <c r="N1462" s="133">
        <f t="shared" si="170"/>
        <v>0</v>
      </c>
      <c r="O1462" s="134"/>
      <c r="P1462" s="133"/>
      <c r="Q1462" s="2"/>
      <c r="R1462" s="156">
        <f t="shared" si="167"/>
        <v>0</v>
      </c>
      <c r="S1462" s="156">
        <f t="shared" si="168"/>
        <v>0</v>
      </c>
      <c r="T1462" s="133"/>
      <c r="U1462" s="133"/>
      <c r="V1462" s="133"/>
      <c r="W1462" s="133"/>
      <c r="X1462" s="133"/>
      <c r="Y1462" s="133"/>
      <c r="Z1462" s="133"/>
      <c r="AA1462" s="133"/>
      <c r="AB1462" s="133"/>
      <c r="AC1462" s="133"/>
      <c r="AD1462" s="133"/>
      <c r="AE1462" s="133"/>
      <c r="AF1462" s="133"/>
      <c r="AG1462" s="133"/>
      <c r="AH1462" s="133"/>
      <c r="AI1462" s="133"/>
      <c r="AJ1462" s="133"/>
      <c r="AK1462" s="133"/>
      <c r="AL1462" s="133"/>
      <c r="AM1462" s="133"/>
      <c r="AN1462" s="133"/>
      <c r="AO1462" s="133"/>
      <c r="AP1462" s="133"/>
      <c r="AQ1462" s="133"/>
      <c r="AR1462" s="133"/>
      <c r="AS1462" s="153">
        <v>0</v>
      </c>
      <c r="AT1462" s="153">
        <v>0</v>
      </c>
      <c r="AU1462" s="153">
        <v>0</v>
      </c>
      <c r="AV1462" s="135"/>
      <c r="AW1462" s="135"/>
      <c r="AX1462" s="135"/>
      <c r="AY1462" s="135"/>
      <c r="AZ1462" s="135"/>
      <c r="BA1462" s="135"/>
      <c r="BB1462" s="135"/>
      <c r="BC1462" s="135"/>
      <c r="BD1462" s="135"/>
      <c r="BE1462" s="135"/>
      <c r="BF1462" s="135"/>
      <c r="BG1462" s="135"/>
      <c r="BH1462" s="135"/>
      <c r="BI1462" s="2"/>
      <c r="BJ1462" s="136"/>
      <c r="BK1462" s="2"/>
      <c r="BL1462" s="136"/>
      <c r="BM1462" s="136"/>
      <c r="BN1462" s="2"/>
      <c r="BO1462" s="2"/>
      <c r="BP1462" s="136"/>
      <c r="BQ1462" s="137"/>
    </row>
    <row r="1463" spans="1:69" ht="12.75" customHeight="1" x14ac:dyDescent="0.2">
      <c r="A1463" s="2">
        <v>2952</v>
      </c>
      <c r="B1463" s="2"/>
      <c r="C1463" s="131"/>
      <c r="D1463" s="131"/>
      <c r="E1463" s="2"/>
      <c r="F1463" s="132">
        <v>0</v>
      </c>
      <c r="G1463" s="132"/>
      <c r="H1463" s="132">
        <f t="shared" si="171"/>
        <v>0</v>
      </c>
      <c r="I1463" s="132"/>
      <c r="J1463" s="132">
        <f t="shared" si="169"/>
        <v>0</v>
      </c>
      <c r="K1463" s="132">
        <f t="shared" si="172"/>
        <v>0</v>
      </c>
      <c r="L1463" s="132">
        <f t="shared" si="166"/>
        <v>0</v>
      </c>
      <c r="M1463" s="133"/>
      <c r="N1463" s="133">
        <f t="shared" si="170"/>
        <v>0</v>
      </c>
      <c r="O1463" s="134"/>
      <c r="P1463" s="133"/>
      <c r="Q1463" s="2"/>
      <c r="R1463" s="156">
        <f t="shared" si="167"/>
        <v>0</v>
      </c>
      <c r="S1463" s="156">
        <f t="shared" si="168"/>
        <v>0</v>
      </c>
      <c r="T1463" s="133"/>
      <c r="U1463" s="133"/>
      <c r="V1463" s="133"/>
      <c r="W1463" s="133"/>
      <c r="X1463" s="133"/>
      <c r="Y1463" s="133"/>
      <c r="Z1463" s="133"/>
      <c r="AA1463" s="133"/>
      <c r="AB1463" s="133"/>
      <c r="AC1463" s="133"/>
      <c r="AD1463" s="133"/>
      <c r="AE1463" s="133"/>
      <c r="AF1463" s="133"/>
      <c r="AG1463" s="133"/>
      <c r="AH1463" s="133"/>
      <c r="AI1463" s="133"/>
      <c r="AJ1463" s="133"/>
      <c r="AK1463" s="133"/>
      <c r="AL1463" s="133"/>
      <c r="AM1463" s="133"/>
      <c r="AN1463" s="133"/>
      <c r="AO1463" s="133"/>
      <c r="AP1463" s="133"/>
      <c r="AQ1463" s="133"/>
      <c r="AR1463" s="133"/>
      <c r="AS1463" s="153">
        <v>0</v>
      </c>
      <c r="AT1463" s="153">
        <v>0</v>
      </c>
      <c r="AU1463" s="153">
        <v>0</v>
      </c>
      <c r="AV1463" s="135"/>
      <c r="AW1463" s="135"/>
      <c r="AX1463" s="135"/>
      <c r="AY1463" s="135"/>
      <c r="AZ1463" s="135"/>
      <c r="BA1463" s="135"/>
      <c r="BB1463" s="135"/>
      <c r="BC1463" s="135"/>
      <c r="BD1463" s="135"/>
      <c r="BE1463" s="135"/>
      <c r="BF1463" s="135"/>
      <c r="BG1463" s="135"/>
      <c r="BH1463" s="135"/>
      <c r="BI1463" s="2"/>
      <c r="BJ1463" s="136"/>
      <c r="BK1463" s="2"/>
      <c r="BL1463" s="136"/>
      <c r="BM1463" s="136"/>
      <c r="BN1463" s="2"/>
      <c r="BO1463" s="2"/>
      <c r="BP1463" s="136"/>
      <c r="BQ1463" s="137"/>
    </row>
    <row r="1464" spans="1:69" ht="12.75" customHeight="1" x14ac:dyDescent="0.2">
      <c r="A1464" s="2">
        <v>2953</v>
      </c>
      <c r="B1464" s="2"/>
      <c r="C1464" s="131"/>
      <c r="D1464" s="131"/>
      <c r="E1464" s="2"/>
      <c r="F1464" s="132">
        <v>0</v>
      </c>
      <c r="G1464" s="132"/>
      <c r="H1464" s="132">
        <f t="shared" si="171"/>
        <v>0</v>
      </c>
      <c r="I1464" s="132"/>
      <c r="J1464" s="132">
        <f t="shared" si="169"/>
        <v>0</v>
      </c>
      <c r="K1464" s="132">
        <f t="shared" si="172"/>
        <v>0</v>
      </c>
      <c r="L1464" s="132">
        <f t="shared" si="166"/>
        <v>0</v>
      </c>
      <c r="M1464" s="133"/>
      <c r="N1464" s="133">
        <f t="shared" si="170"/>
        <v>0</v>
      </c>
      <c r="O1464" s="134"/>
      <c r="P1464" s="133"/>
      <c r="Q1464" s="2"/>
      <c r="R1464" s="156">
        <f t="shared" si="167"/>
        <v>0</v>
      </c>
      <c r="S1464" s="156">
        <f t="shared" si="168"/>
        <v>0</v>
      </c>
      <c r="T1464" s="133"/>
      <c r="U1464" s="133"/>
      <c r="V1464" s="133"/>
      <c r="W1464" s="133"/>
      <c r="X1464" s="133"/>
      <c r="Y1464" s="133"/>
      <c r="Z1464" s="133"/>
      <c r="AA1464" s="133"/>
      <c r="AB1464" s="133"/>
      <c r="AC1464" s="133"/>
      <c r="AD1464" s="133"/>
      <c r="AE1464" s="133"/>
      <c r="AF1464" s="133"/>
      <c r="AG1464" s="133"/>
      <c r="AH1464" s="133"/>
      <c r="AI1464" s="133"/>
      <c r="AJ1464" s="133"/>
      <c r="AK1464" s="133"/>
      <c r="AL1464" s="133"/>
      <c r="AM1464" s="133"/>
      <c r="AN1464" s="133"/>
      <c r="AO1464" s="133"/>
      <c r="AP1464" s="133"/>
      <c r="AQ1464" s="133"/>
      <c r="AR1464" s="133"/>
      <c r="AS1464" s="153">
        <v>0</v>
      </c>
      <c r="AT1464" s="153">
        <v>0</v>
      </c>
      <c r="AU1464" s="153">
        <v>0</v>
      </c>
      <c r="AV1464" s="135"/>
      <c r="AW1464" s="135"/>
      <c r="AX1464" s="135"/>
      <c r="AY1464" s="135"/>
      <c r="AZ1464" s="135"/>
      <c r="BA1464" s="135"/>
      <c r="BB1464" s="135"/>
      <c r="BC1464" s="135"/>
      <c r="BD1464" s="135"/>
      <c r="BE1464" s="135"/>
      <c r="BF1464" s="135"/>
      <c r="BG1464" s="135"/>
      <c r="BH1464" s="135"/>
      <c r="BI1464" s="2"/>
      <c r="BJ1464" s="136"/>
      <c r="BK1464" s="2"/>
      <c r="BL1464" s="136"/>
      <c r="BM1464" s="136"/>
      <c r="BN1464" s="2"/>
      <c r="BO1464" s="2"/>
      <c r="BP1464" s="136"/>
      <c r="BQ1464" s="137"/>
    </row>
    <row r="1465" spans="1:69" ht="12.75" customHeight="1" x14ac:dyDescent="0.2">
      <c r="A1465" s="2">
        <v>2954</v>
      </c>
      <c r="B1465" s="2"/>
      <c r="C1465" s="131"/>
      <c r="D1465" s="131"/>
      <c r="E1465" s="2"/>
      <c r="F1465" s="132">
        <v>0</v>
      </c>
      <c r="G1465" s="132"/>
      <c r="H1465" s="132">
        <f t="shared" si="171"/>
        <v>0</v>
      </c>
      <c r="I1465" s="132"/>
      <c r="J1465" s="132">
        <f t="shared" si="169"/>
        <v>0</v>
      </c>
      <c r="K1465" s="132">
        <f t="shared" si="172"/>
        <v>0</v>
      </c>
      <c r="L1465" s="132">
        <f t="shared" si="166"/>
        <v>0</v>
      </c>
      <c r="M1465" s="133"/>
      <c r="N1465" s="133">
        <f t="shared" si="170"/>
        <v>0</v>
      </c>
      <c r="O1465" s="134"/>
      <c r="P1465" s="133"/>
      <c r="Q1465" s="2"/>
      <c r="R1465" s="156">
        <f t="shared" si="167"/>
        <v>0</v>
      </c>
      <c r="S1465" s="156">
        <f t="shared" si="168"/>
        <v>0</v>
      </c>
      <c r="T1465" s="133"/>
      <c r="U1465" s="133"/>
      <c r="V1465" s="133"/>
      <c r="W1465" s="133"/>
      <c r="X1465" s="133"/>
      <c r="Y1465" s="133"/>
      <c r="Z1465" s="133"/>
      <c r="AA1465" s="133"/>
      <c r="AB1465" s="133"/>
      <c r="AC1465" s="133"/>
      <c r="AD1465" s="133"/>
      <c r="AE1465" s="133"/>
      <c r="AF1465" s="133"/>
      <c r="AG1465" s="133"/>
      <c r="AH1465" s="133"/>
      <c r="AI1465" s="133"/>
      <c r="AJ1465" s="133"/>
      <c r="AK1465" s="133"/>
      <c r="AL1465" s="133"/>
      <c r="AM1465" s="133"/>
      <c r="AN1465" s="133"/>
      <c r="AO1465" s="133"/>
      <c r="AP1465" s="133"/>
      <c r="AQ1465" s="133"/>
      <c r="AR1465" s="133"/>
      <c r="AS1465" s="153">
        <v>0</v>
      </c>
      <c r="AT1465" s="153">
        <v>0</v>
      </c>
      <c r="AU1465" s="153">
        <v>0</v>
      </c>
      <c r="AV1465" s="135"/>
      <c r="AW1465" s="135"/>
      <c r="AX1465" s="135"/>
      <c r="AY1465" s="135"/>
      <c r="AZ1465" s="135"/>
      <c r="BA1465" s="135"/>
      <c r="BB1465" s="135"/>
      <c r="BC1465" s="135"/>
      <c r="BD1465" s="135"/>
      <c r="BE1465" s="135"/>
      <c r="BF1465" s="135"/>
      <c r="BG1465" s="135"/>
      <c r="BH1465" s="135"/>
      <c r="BI1465" s="2"/>
      <c r="BJ1465" s="136"/>
      <c r="BK1465" s="2"/>
      <c r="BL1465" s="136"/>
      <c r="BM1465" s="136"/>
      <c r="BN1465" s="2"/>
      <c r="BO1465" s="2"/>
      <c r="BP1465" s="136"/>
      <c r="BQ1465" s="137"/>
    </row>
    <row r="1466" spans="1:69" ht="12.75" customHeight="1" x14ac:dyDescent="0.2">
      <c r="A1466" s="2">
        <v>2955</v>
      </c>
      <c r="B1466" s="2"/>
      <c r="C1466" s="131"/>
      <c r="D1466" s="131"/>
      <c r="E1466" s="2"/>
      <c r="F1466" s="132">
        <v>0</v>
      </c>
      <c r="G1466" s="132"/>
      <c r="H1466" s="132">
        <f t="shared" si="171"/>
        <v>0</v>
      </c>
      <c r="I1466" s="132"/>
      <c r="J1466" s="132">
        <f t="shared" si="169"/>
        <v>0</v>
      </c>
      <c r="K1466" s="132">
        <f t="shared" si="172"/>
        <v>0</v>
      </c>
      <c r="L1466" s="132">
        <f t="shared" si="166"/>
        <v>0</v>
      </c>
      <c r="M1466" s="133"/>
      <c r="N1466" s="133">
        <f t="shared" si="170"/>
        <v>0</v>
      </c>
      <c r="O1466" s="134"/>
      <c r="P1466" s="133"/>
      <c r="Q1466" s="2"/>
      <c r="R1466" s="156">
        <f t="shared" si="167"/>
        <v>0</v>
      </c>
      <c r="S1466" s="156">
        <f t="shared" si="168"/>
        <v>0</v>
      </c>
      <c r="T1466" s="133"/>
      <c r="U1466" s="133"/>
      <c r="V1466" s="133"/>
      <c r="W1466" s="133"/>
      <c r="X1466" s="133"/>
      <c r="Y1466" s="133"/>
      <c r="Z1466" s="133"/>
      <c r="AA1466" s="133"/>
      <c r="AB1466" s="133"/>
      <c r="AC1466" s="133"/>
      <c r="AD1466" s="133"/>
      <c r="AE1466" s="133"/>
      <c r="AF1466" s="133"/>
      <c r="AG1466" s="133"/>
      <c r="AH1466" s="133"/>
      <c r="AI1466" s="133"/>
      <c r="AJ1466" s="133"/>
      <c r="AK1466" s="133"/>
      <c r="AL1466" s="133"/>
      <c r="AM1466" s="133"/>
      <c r="AN1466" s="133"/>
      <c r="AO1466" s="133"/>
      <c r="AP1466" s="133"/>
      <c r="AQ1466" s="133"/>
      <c r="AR1466" s="133"/>
      <c r="AS1466" s="153">
        <v>0</v>
      </c>
      <c r="AT1466" s="153">
        <v>0</v>
      </c>
      <c r="AU1466" s="153">
        <v>0</v>
      </c>
      <c r="AV1466" s="135"/>
      <c r="AW1466" s="135"/>
      <c r="AX1466" s="135"/>
      <c r="AY1466" s="135"/>
      <c r="AZ1466" s="135"/>
      <c r="BA1466" s="135"/>
      <c r="BB1466" s="135"/>
      <c r="BC1466" s="135"/>
      <c r="BD1466" s="135"/>
      <c r="BE1466" s="135"/>
      <c r="BF1466" s="135"/>
      <c r="BG1466" s="135"/>
      <c r="BH1466" s="135"/>
      <c r="BI1466" s="2"/>
      <c r="BJ1466" s="136"/>
      <c r="BK1466" s="2"/>
      <c r="BL1466" s="136"/>
      <c r="BM1466" s="136"/>
      <c r="BN1466" s="2"/>
      <c r="BO1466" s="2"/>
      <c r="BP1466" s="136"/>
      <c r="BQ1466" s="137"/>
    </row>
    <row r="1467" spans="1:69" ht="12.75" customHeight="1" x14ac:dyDescent="0.2">
      <c r="A1467" s="2">
        <v>2956</v>
      </c>
      <c r="B1467" s="2"/>
      <c r="C1467" s="131"/>
      <c r="D1467" s="131"/>
      <c r="E1467" s="2"/>
      <c r="F1467" s="132">
        <v>0</v>
      </c>
      <c r="G1467" s="132"/>
      <c r="H1467" s="132">
        <f t="shared" si="171"/>
        <v>0</v>
      </c>
      <c r="I1467" s="132"/>
      <c r="J1467" s="132">
        <f t="shared" si="169"/>
        <v>0</v>
      </c>
      <c r="K1467" s="132">
        <f t="shared" si="172"/>
        <v>0</v>
      </c>
      <c r="L1467" s="132">
        <f t="shared" si="166"/>
        <v>0</v>
      </c>
      <c r="M1467" s="133"/>
      <c r="N1467" s="133">
        <f t="shared" si="170"/>
        <v>0</v>
      </c>
      <c r="O1467" s="134"/>
      <c r="P1467" s="133"/>
      <c r="Q1467" s="2"/>
      <c r="R1467" s="156">
        <f t="shared" si="167"/>
        <v>0</v>
      </c>
      <c r="S1467" s="156">
        <f t="shared" si="168"/>
        <v>0</v>
      </c>
      <c r="T1467" s="133"/>
      <c r="U1467" s="133"/>
      <c r="V1467" s="133"/>
      <c r="W1467" s="133"/>
      <c r="X1467" s="133"/>
      <c r="Y1467" s="133"/>
      <c r="Z1467" s="133"/>
      <c r="AA1467" s="133"/>
      <c r="AB1467" s="133"/>
      <c r="AC1467" s="133"/>
      <c r="AD1467" s="133"/>
      <c r="AE1467" s="133"/>
      <c r="AF1467" s="133"/>
      <c r="AG1467" s="133"/>
      <c r="AH1467" s="133"/>
      <c r="AI1467" s="133"/>
      <c r="AJ1467" s="133"/>
      <c r="AK1467" s="133"/>
      <c r="AL1467" s="133"/>
      <c r="AM1467" s="133"/>
      <c r="AN1467" s="133"/>
      <c r="AO1467" s="133"/>
      <c r="AP1467" s="133"/>
      <c r="AQ1467" s="133"/>
      <c r="AR1467" s="133"/>
      <c r="AS1467" s="153">
        <v>0</v>
      </c>
      <c r="AT1467" s="153">
        <v>0</v>
      </c>
      <c r="AU1467" s="153">
        <v>0</v>
      </c>
      <c r="AV1467" s="135"/>
      <c r="AW1467" s="135"/>
      <c r="AX1467" s="135"/>
      <c r="AY1467" s="135"/>
      <c r="AZ1467" s="135"/>
      <c r="BA1467" s="135"/>
      <c r="BB1467" s="135"/>
      <c r="BC1467" s="135"/>
      <c r="BD1467" s="135"/>
      <c r="BE1467" s="135"/>
      <c r="BF1467" s="135"/>
      <c r="BG1467" s="135"/>
      <c r="BH1467" s="135"/>
      <c r="BI1467" s="2"/>
      <c r="BJ1467" s="136"/>
      <c r="BK1467" s="2"/>
      <c r="BL1467" s="136"/>
      <c r="BM1467" s="136"/>
      <c r="BN1467" s="2"/>
      <c r="BO1467" s="2"/>
      <c r="BP1467" s="136"/>
      <c r="BQ1467" s="137"/>
    </row>
    <row r="1468" spans="1:69" ht="12.75" customHeight="1" x14ac:dyDescent="0.2">
      <c r="A1468" s="2">
        <v>2957</v>
      </c>
      <c r="B1468" s="2"/>
      <c r="C1468" s="131"/>
      <c r="D1468" s="131"/>
      <c r="E1468" s="2"/>
      <c r="F1468" s="132">
        <v>0</v>
      </c>
      <c r="G1468" s="132"/>
      <c r="H1468" s="132">
        <f t="shared" si="171"/>
        <v>0</v>
      </c>
      <c r="I1468" s="132"/>
      <c r="J1468" s="132">
        <f t="shared" si="169"/>
        <v>0</v>
      </c>
      <c r="K1468" s="132">
        <f t="shared" si="172"/>
        <v>0</v>
      </c>
      <c r="L1468" s="132">
        <f t="shared" si="166"/>
        <v>0</v>
      </c>
      <c r="M1468" s="133"/>
      <c r="N1468" s="133">
        <f t="shared" si="170"/>
        <v>0</v>
      </c>
      <c r="O1468" s="134"/>
      <c r="P1468" s="133"/>
      <c r="Q1468" s="2"/>
      <c r="R1468" s="156">
        <f t="shared" si="167"/>
        <v>0</v>
      </c>
      <c r="S1468" s="156">
        <f t="shared" si="168"/>
        <v>0</v>
      </c>
      <c r="T1468" s="133"/>
      <c r="U1468" s="133"/>
      <c r="V1468" s="133"/>
      <c r="W1468" s="133"/>
      <c r="X1468" s="133"/>
      <c r="Y1468" s="133"/>
      <c r="Z1468" s="133"/>
      <c r="AA1468" s="133"/>
      <c r="AB1468" s="133"/>
      <c r="AC1468" s="133"/>
      <c r="AD1468" s="133"/>
      <c r="AE1468" s="133"/>
      <c r="AF1468" s="133"/>
      <c r="AG1468" s="133"/>
      <c r="AH1468" s="133"/>
      <c r="AI1468" s="133"/>
      <c r="AJ1468" s="133"/>
      <c r="AK1468" s="133"/>
      <c r="AL1468" s="133"/>
      <c r="AM1468" s="133"/>
      <c r="AN1468" s="133"/>
      <c r="AO1468" s="133"/>
      <c r="AP1468" s="133"/>
      <c r="AQ1468" s="133"/>
      <c r="AR1468" s="133"/>
      <c r="AS1468" s="153">
        <v>0</v>
      </c>
      <c r="AT1468" s="153">
        <v>0</v>
      </c>
      <c r="AU1468" s="153">
        <v>0</v>
      </c>
      <c r="AV1468" s="135"/>
      <c r="AW1468" s="135"/>
      <c r="AX1468" s="135"/>
      <c r="AY1468" s="135"/>
      <c r="AZ1468" s="135"/>
      <c r="BA1468" s="135"/>
      <c r="BB1468" s="135"/>
      <c r="BC1468" s="135"/>
      <c r="BD1468" s="135"/>
      <c r="BE1468" s="135"/>
      <c r="BF1468" s="135"/>
      <c r="BG1468" s="135"/>
      <c r="BH1468" s="135"/>
      <c r="BI1468" s="2"/>
      <c r="BJ1468" s="136"/>
      <c r="BK1468" s="2"/>
      <c r="BL1468" s="136"/>
      <c r="BM1468" s="136"/>
      <c r="BN1468" s="2"/>
      <c r="BO1468" s="2"/>
      <c r="BP1468" s="136"/>
      <c r="BQ1468" s="137"/>
    </row>
    <row r="1469" spans="1:69" ht="12.75" customHeight="1" x14ac:dyDescent="0.2">
      <c r="A1469" s="2">
        <v>2958</v>
      </c>
      <c r="B1469" s="2"/>
      <c r="C1469" s="131"/>
      <c r="D1469" s="131"/>
      <c r="E1469" s="2"/>
      <c r="F1469" s="132">
        <v>0</v>
      </c>
      <c r="G1469" s="132"/>
      <c r="H1469" s="132">
        <f t="shared" si="171"/>
        <v>0</v>
      </c>
      <c r="I1469" s="132"/>
      <c r="J1469" s="132">
        <f t="shared" si="169"/>
        <v>0</v>
      </c>
      <c r="K1469" s="132">
        <f t="shared" si="172"/>
        <v>0</v>
      </c>
      <c r="L1469" s="132">
        <f t="shared" si="166"/>
        <v>0</v>
      </c>
      <c r="M1469" s="133"/>
      <c r="N1469" s="133">
        <f t="shared" si="170"/>
        <v>0</v>
      </c>
      <c r="O1469" s="134"/>
      <c r="P1469" s="133"/>
      <c r="Q1469" s="2"/>
      <c r="R1469" s="156">
        <f t="shared" si="167"/>
        <v>0</v>
      </c>
      <c r="S1469" s="156">
        <f t="shared" si="168"/>
        <v>0</v>
      </c>
      <c r="T1469" s="133"/>
      <c r="U1469" s="133"/>
      <c r="V1469" s="133"/>
      <c r="W1469" s="133"/>
      <c r="X1469" s="133"/>
      <c r="Y1469" s="133"/>
      <c r="Z1469" s="133"/>
      <c r="AA1469" s="133"/>
      <c r="AB1469" s="133"/>
      <c r="AC1469" s="133"/>
      <c r="AD1469" s="133"/>
      <c r="AE1469" s="133"/>
      <c r="AF1469" s="133"/>
      <c r="AG1469" s="133"/>
      <c r="AH1469" s="133"/>
      <c r="AI1469" s="133"/>
      <c r="AJ1469" s="133"/>
      <c r="AK1469" s="133"/>
      <c r="AL1469" s="133"/>
      <c r="AM1469" s="133"/>
      <c r="AN1469" s="133"/>
      <c r="AO1469" s="133"/>
      <c r="AP1469" s="133"/>
      <c r="AQ1469" s="133"/>
      <c r="AR1469" s="133"/>
      <c r="AS1469" s="153">
        <v>0</v>
      </c>
      <c r="AT1469" s="153">
        <v>0</v>
      </c>
      <c r="AU1469" s="153">
        <v>0</v>
      </c>
      <c r="AV1469" s="135"/>
      <c r="AW1469" s="135"/>
      <c r="AX1469" s="135"/>
      <c r="AY1469" s="135"/>
      <c r="AZ1469" s="135"/>
      <c r="BA1469" s="135"/>
      <c r="BB1469" s="135"/>
      <c r="BC1469" s="135"/>
      <c r="BD1469" s="135"/>
      <c r="BE1469" s="135"/>
      <c r="BF1469" s="135"/>
      <c r="BG1469" s="135"/>
      <c r="BH1469" s="135"/>
      <c r="BI1469" s="2"/>
      <c r="BJ1469" s="136"/>
      <c r="BK1469" s="2"/>
      <c r="BL1469" s="136"/>
      <c r="BM1469" s="136"/>
      <c r="BN1469" s="2"/>
      <c r="BO1469" s="2"/>
      <c r="BP1469" s="136"/>
      <c r="BQ1469" s="137"/>
    </row>
    <row r="1470" spans="1:69" ht="12.75" customHeight="1" x14ac:dyDescent="0.2">
      <c r="A1470" s="2">
        <v>2959</v>
      </c>
      <c r="B1470" s="2"/>
      <c r="C1470" s="131"/>
      <c r="D1470" s="131"/>
      <c r="E1470" s="2"/>
      <c r="F1470" s="132">
        <v>0</v>
      </c>
      <c r="G1470" s="132"/>
      <c r="H1470" s="132">
        <f t="shared" si="171"/>
        <v>0</v>
      </c>
      <c r="I1470" s="132"/>
      <c r="J1470" s="132">
        <f t="shared" si="169"/>
        <v>0</v>
      </c>
      <c r="K1470" s="132">
        <f t="shared" si="172"/>
        <v>0</v>
      </c>
      <c r="L1470" s="132">
        <f t="shared" si="166"/>
        <v>0</v>
      </c>
      <c r="M1470" s="133"/>
      <c r="N1470" s="133">
        <f t="shared" si="170"/>
        <v>0</v>
      </c>
      <c r="O1470" s="134"/>
      <c r="P1470" s="133"/>
      <c r="Q1470" s="2"/>
      <c r="R1470" s="156">
        <f t="shared" si="167"/>
        <v>0</v>
      </c>
      <c r="S1470" s="156">
        <f t="shared" si="168"/>
        <v>0</v>
      </c>
      <c r="T1470" s="133"/>
      <c r="U1470" s="133"/>
      <c r="V1470" s="133"/>
      <c r="W1470" s="133"/>
      <c r="X1470" s="133"/>
      <c r="Y1470" s="133"/>
      <c r="Z1470" s="133"/>
      <c r="AA1470" s="133"/>
      <c r="AB1470" s="133"/>
      <c r="AC1470" s="133"/>
      <c r="AD1470" s="133"/>
      <c r="AE1470" s="133"/>
      <c r="AF1470" s="133"/>
      <c r="AG1470" s="133"/>
      <c r="AH1470" s="133"/>
      <c r="AI1470" s="133"/>
      <c r="AJ1470" s="133"/>
      <c r="AK1470" s="133"/>
      <c r="AL1470" s="133"/>
      <c r="AM1470" s="133"/>
      <c r="AN1470" s="133"/>
      <c r="AO1470" s="133"/>
      <c r="AP1470" s="133"/>
      <c r="AQ1470" s="133"/>
      <c r="AR1470" s="133"/>
      <c r="AS1470" s="153">
        <v>0</v>
      </c>
      <c r="AT1470" s="153">
        <v>0</v>
      </c>
      <c r="AU1470" s="153">
        <v>0</v>
      </c>
      <c r="AV1470" s="135"/>
      <c r="AW1470" s="135"/>
      <c r="AX1470" s="135"/>
      <c r="AY1470" s="135"/>
      <c r="AZ1470" s="135"/>
      <c r="BA1470" s="135"/>
      <c r="BB1470" s="135"/>
      <c r="BC1470" s="135"/>
      <c r="BD1470" s="135"/>
      <c r="BE1470" s="135"/>
      <c r="BF1470" s="135"/>
      <c r="BG1470" s="135"/>
      <c r="BH1470" s="135"/>
      <c r="BI1470" s="2"/>
      <c r="BJ1470" s="136"/>
      <c r="BK1470" s="2"/>
      <c r="BL1470" s="136"/>
      <c r="BM1470" s="136"/>
      <c r="BN1470" s="2"/>
      <c r="BO1470" s="2"/>
      <c r="BP1470" s="136"/>
      <c r="BQ1470" s="137"/>
    </row>
    <row r="1471" spans="1:69" ht="12.75" customHeight="1" x14ac:dyDescent="0.2">
      <c r="A1471" s="2">
        <v>2960</v>
      </c>
      <c r="B1471" s="2"/>
      <c r="C1471" s="131"/>
      <c r="D1471" s="131"/>
      <c r="E1471" s="2"/>
      <c r="F1471" s="132">
        <v>0</v>
      </c>
      <c r="G1471" s="132"/>
      <c r="H1471" s="132">
        <f t="shared" si="171"/>
        <v>0</v>
      </c>
      <c r="I1471" s="132"/>
      <c r="J1471" s="132">
        <f t="shared" si="169"/>
        <v>0</v>
      </c>
      <c r="K1471" s="132">
        <f t="shared" si="172"/>
        <v>0</v>
      </c>
      <c r="L1471" s="132">
        <f t="shared" si="166"/>
        <v>0</v>
      </c>
      <c r="M1471" s="133"/>
      <c r="N1471" s="133">
        <f t="shared" si="170"/>
        <v>0</v>
      </c>
      <c r="O1471" s="134"/>
      <c r="P1471" s="133"/>
      <c r="Q1471" s="2"/>
      <c r="R1471" s="156">
        <f t="shared" si="167"/>
        <v>0</v>
      </c>
      <c r="S1471" s="156">
        <f t="shared" si="168"/>
        <v>0</v>
      </c>
      <c r="T1471" s="133"/>
      <c r="U1471" s="133"/>
      <c r="V1471" s="133"/>
      <c r="W1471" s="133"/>
      <c r="X1471" s="133"/>
      <c r="Y1471" s="133"/>
      <c r="Z1471" s="133"/>
      <c r="AA1471" s="133"/>
      <c r="AB1471" s="133"/>
      <c r="AC1471" s="133"/>
      <c r="AD1471" s="133"/>
      <c r="AE1471" s="133"/>
      <c r="AF1471" s="133"/>
      <c r="AG1471" s="133"/>
      <c r="AH1471" s="133"/>
      <c r="AI1471" s="133"/>
      <c r="AJ1471" s="133"/>
      <c r="AK1471" s="133"/>
      <c r="AL1471" s="133"/>
      <c r="AM1471" s="133"/>
      <c r="AN1471" s="133"/>
      <c r="AO1471" s="133"/>
      <c r="AP1471" s="133"/>
      <c r="AQ1471" s="133"/>
      <c r="AR1471" s="133"/>
      <c r="AS1471" s="153">
        <v>0</v>
      </c>
      <c r="AT1471" s="153">
        <v>0</v>
      </c>
      <c r="AU1471" s="153">
        <v>0</v>
      </c>
      <c r="AV1471" s="135"/>
      <c r="AW1471" s="135"/>
      <c r="AX1471" s="135"/>
      <c r="AY1471" s="135"/>
      <c r="AZ1471" s="135"/>
      <c r="BA1471" s="135"/>
      <c r="BB1471" s="135"/>
      <c r="BC1471" s="135"/>
      <c r="BD1471" s="135"/>
      <c r="BE1471" s="135"/>
      <c r="BF1471" s="135"/>
      <c r="BG1471" s="135"/>
      <c r="BH1471" s="135"/>
      <c r="BI1471" s="2"/>
      <c r="BJ1471" s="136"/>
      <c r="BK1471" s="2"/>
      <c r="BL1471" s="136"/>
      <c r="BM1471" s="136"/>
      <c r="BN1471" s="2"/>
      <c r="BO1471" s="2"/>
      <c r="BP1471" s="136"/>
      <c r="BQ1471" s="137"/>
    </row>
    <row r="1472" spans="1:69" ht="12.75" customHeight="1" x14ac:dyDescent="0.2">
      <c r="A1472" s="2">
        <v>2961</v>
      </c>
      <c r="B1472" s="2"/>
      <c r="C1472" s="131"/>
      <c r="D1472" s="131"/>
      <c r="E1472" s="2"/>
      <c r="F1472" s="132">
        <v>0</v>
      </c>
      <c r="G1472" s="132"/>
      <c r="H1472" s="132">
        <f t="shared" si="171"/>
        <v>0</v>
      </c>
      <c r="I1472" s="132"/>
      <c r="J1472" s="132">
        <f t="shared" si="169"/>
        <v>0</v>
      </c>
      <c r="K1472" s="132">
        <f t="shared" si="172"/>
        <v>0</v>
      </c>
      <c r="L1472" s="132">
        <f t="shared" si="166"/>
        <v>0</v>
      </c>
      <c r="M1472" s="133"/>
      <c r="N1472" s="133">
        <f t="shared" si="170"/>
        <v>0</v>
      </c>
      <c r="O1472" s="134"/>
      <c r="P1472" s="133"/>
      <c r="Q1472" s="2"/>
      <c r="R1472" s="156">
        <f t="shared" si="167"/>
        <v>0</v>
      </c>
      <c r="S1472" s="156">
        <f t="shared" si="168"/>
        <v>0</v>
      </c>
      <c r="T1472" s="133"/>
      <c r="U1472" s="133"/>
      <c r="V1472" s="133"/>
      <c r="W1472" s="133"/>
      <c r="X1472" s="133"/>
      <c r="Y1472" s="133"/>
      <c r="Z1472" s="133"/>
      <c r="AA1472" s="133"/>
      <c r="AB1472" s="133"/>
      <c r="AC1472" s="133"/>
      <c r="AD1472" s="133"/>
      <c r="AE1472" s="133"/>
      <c r="AF1472" s="133"/>
      <c r="AG1472" s="133"/>
      <c r="AH1472" s="133"/>
      <c r="AI1472" s="133"/>
      <c r="AJ1472" s="133"/>
      <c r="AK1472" s="133"/>
      <c r="AL1472" s="133"/>
      <c r="AM1472" s="133"/>
      <c r="AN1472" s="133"/>
      <c r="AO1472" s="133"/>
      <c r="AP1472" s="133"/>
      <c r="AQ1472" s="133"/>
      <c r="AR1472" s="133"/>
      <c r="AS1472" s="153">
        <v>0</v>
      </c>
      <c r="AT1472" s="153">
        <v>0</v>
      </c>
      <c r="AU1472" s="153">
        <v>0</v>
      </c>
      <c r="AV1472" s="135"/>
      <c r="AW1472" s="135"/>
      <c r="AX1472" s="135"/>
      <c r="AY1472" s="135"/>
      <c r="AZ1472" s="135"/>
      <c r="BA1472" s="135"/>
      <c r="BB1472" s="135"/>
      <c r="BC1472" s="135"/>
      <c r="BD1472" s="135"/>
      <c r="BE1472" s="135"/>
      <c r="BF1472" s="135"/>
      <c r="BG1472" s="135"/>
      <c r="BH1472" s="135"/>
      <c r="BI1472" s="2"/>
      <c r="BJ1472" s="136"/>
      <c r="BK1472" s="2"/>
      <c r="BL1472" s="136"/>
      <c r="BM1472" s="136"/>
      <c r="BN1472" s="2"/>
      <c r="BO1472" s="2"/>
      <c r="BP1472" s="136"/>
      <c r="BQ1472" s="137"/>
    </row>
    <row r="1473" spans="1:69" ht="12.75" customHeight="1" x14ac:dyDescent="0.2">
      <c r="A1473" s="2">
        <v>2962</v>
      </c>
      <c r="B1473" s="2"/>
      <c r="C1473" s="131"/>
      <c r="D1473" s="131"/>
      <c r="E1473" s="2"/>
      <c r="F1473" s="132">
        <v>0</v>
      </c>
      <c r="G1473" s="132"/>
      <c r="H1473" s="132">
        <f t="shared" si="171"/>
        <v>0</v>
      </c>
      <c r="I1473" s="132"/>
      <c r="J1473" s="132">
        <f t="shared" si="169"/>
        <v>0</v>
      </c>
      <c r="K1473" s="132">
        <f t="shared" si="172"/>
        <v>0</v>
      </c>
      <c r="L1473" s="132">
        <f t="shared" si="166"/>
        <v>0</v>
      </c>
      <c r="M1473" s="133"/>
      <c r="N1473" s="133">
        <f t="shared" si="170"/>
        <v>0</v>
      </c>
      <c r="O1473" s="134"/>
      <c r="P1473" s="133"/>
      <c r="Q1473" s="2"/>
      <c r="R1473" s="156">
        <f t="shared" si="167"/>
        <v>0</v>
      </c>
      <c r="S1473" s="156">
        <f t="shared" si="168"/>
        <v>0</v>
      </c>
      <c r="T1473" s="133"/>
      <c r="U1473" s="133"/>
      <c r="V1473" s="133"/>
      <c r="W1473" s="133"/>
      <c r="X1473" s="133"/>
      <c r="Y1473" s="133"/>
      <c r="Z1473" s="133"/>
      <c r="AA1473" s="133"/>
      <c r="AB1473" s="133"/>
      <c r="AC1473" s="133"/>
      <c r="AD1473" s="133"/>
      <c r="AE1473" s="133"/>
      <c r="AF1473" s="133"/>
      <c r="AG1473" s="133"/>
      <c r="AH1473" s="133"/>
      <c r="AI1473" s="133"/>
      <c r="AJ1473" s="133"/>
      <c r="AK1473" s="133"/>
      <c r="AL1473" s="133"/>
      <c r="AM1473" s="133"/>
      <c r="AN1473" s="133"/>
      <c r="AO1473" s="133"/>
      <c r="AP1473" s="133"/>
      <c r="AQ1473" s="133"/>
      <c r="AR1473" s="133"/>
      <c r="AS1473" s="153">
        <v>0</v>
      </c>
      <c r="AT1473" s="153">
        <v>0</v>
      </c>
      <c r="AU1473" s="153">
        <v>0</v>
      </c>
      <c r="AV1473" s="135"/>
      <c r="AW1473" s="135"/>
      <c r="AX1473" s="135"/>
      <c r="AY1473" s="135"/>
      <c r="AZ1473" s="135"/>
      <c r="BA1473" s="135"/>
      <c r="BB1473" s="135"/>
      <c r="BC1473" s="135"/>
      <c r="BD1473" s="135"/>
      <c r="BE1473" s="135"/>
      <c r="BF1473" s="135"/>
      <c r="BG1473" s="135"/>
      <c r="BH1473" s="135"/>
      <c r="BI1473" s="2"/>
      <c r="BJ1473" s="136"/>
      <c r="BK1473" s="2"/>
      <c r="BL1473" s="136"/>
      <c r="BM1473" s="136"/>
      <c r="BN1473" s="2"/>
      <c r="BO1473" s="2"/>
      <c r="BP1473" s="136"/>
      <c r="BQ1473" s="137"/>
    </row>
    <row r="1474" spans="1:69" ht="12.75" customHeight="1" x14ac:dyDescent="0.2">
      <c r="A1474" s="2">
        <v>2963</v>
      </c>
      <c r="B1474" s="2"/>
      <c r="C1474" s="131"/>
      <c r="D1474" s="131"/>
      <c r="E1474" s="2"/>
      <c r="F1474" s="132">
        <v>0</v>
      </c>
      <c r="G1474" s="132"/>
      <c r="H1474" s="132">
        <f t="shared" si="171"/>
        <v>0</v>
      </c>
      <c r="I1474" s="132"/>
      <c r="J1474" s="132">
        <f t="shared" si="169"/>
        <v>0</v>
      </c>
      <c r="K1474" s="132">
        <f t="shared" si="172"/>
        <v>0</v>
      </c>
      <c r="L1474" s="132">
        <f t="shared" si="166"/>
        <v>0</v>
      </c>
      <c r="M1474" s="133"/>
      <c r="N1474" s="133">
        <f t="shared" si="170"/>
        <v>0</v>
      </c>
      <c r="O1474" s="134"/>
      <c r="P1474" s="133"/>
      <c r="Q1474" s="2"/>
      <c r="R1474" s="156">
        <f t="shared" si="167"/>
        <v>0</v>
      </c>
      <c r="S1474" s="156">
        <f t="shared" si="168"/>
        <v>0</v>
      </c>
      <c r="T1474" s="133"/>
      <c r="U1474" s="133"/>
      <c r="V1474" s="133"/>
      <c r="W1474" s="133"/>
      <c r="X1474" s="133"/>
      <c r="Y1474" s="133"/>
      <c r="Z1474" s="133"/>
      <c r="AA1474" s="133"/>
      <c r="AB1474" s="133"/>
      <c r="AC1474" s="133"/>
      <c r="AD1474" s="133"/>
      <c r="AE1474" s="133"/>
      <c r="AF1474" s="133"/>
      <c r="AG1474" s="133"/>
      <c r="AH1474" s="133"/>
      <c r="AI1474" s="133"/>
      <c r="AJ1474" s="133"/>
      <c r="AK1474" s="133"/>
      <c r="AL1474" s="133"/>
      <c r="AM1474" s="133"/>
      <c r="AN1474" s="133"/>
      <c r="AO1474" s="133"/>
      <c r="AP1474" s="133"/>
      <c r="AQ1474" s="133"/>
      <c r="AR1474" s="133"/>
      <c r="AS1474" s="153">
        <v>0</v>
      </c>
      <c r="AT1474" s="153">
        <v>0</v>
      </c>
      <c r="AU1474" s="153">
        <v>0</v>
      </c>
      <c r="AV1474" s="135"/>
      <c r="AW1474" s="135"/>
      <c r="AX1474" s="135"/>
      <c r="AY1474" s="135"/>
      <c r="AZ1474" s="135"/>
      <c r="BA1474" s="135"/>
      <c r="BB1474" s="135"/>
      <c r="BC1474" s="135"/>
      <c r="BD1474" s="135"/>
      <c r="BE1474" s="135"/>
      <c r="BF1474" s="135"/>
      <c r="BG1474" s="135"/>
      <c r="BH1474" s="135"/>
      <c r="BI1474" s="2"/>
      <c r="BJ1474" s="136"/>
      <c r="BK1474" s="2"/>
      <c r="BL1474" s="136"/>
      <c r="BM1474" s="136"/>
      <c r="BN1474" s="2"/>
      <c r="BO1474" s="2"/>
      <c r="BP1474" s="136"/>
      <c r="BQ1474" s="137"/>
    </row>
    <row r="1475" spans="1:69" ht="12.75" customHeight="1" x14ac:dyDescent="0.2">
      <c r="A1475" s="2">
        <v>2964</v>
      </c>
      <c r="B1475" s="2"/>
      <c r="C1475" s="131"/>
      <c r="D1475" s="131"/>
      <c r="E1475" s="2"/>
      <c r="F1475" s="132">
        <v>0</v>
      </c>
      <c r="G1475" s="132"/>
      <c r="H1475" s="132">
        <f t="shared" si="171"/>
        <v>0</v>
      </c>
      <c r="I1475" s="132"/>
      <c r="J1475" s="132">
        <f t="shared" si="169"/>
        <v>0</v>
      </c>
      <c r="K1475" s="132">
        <f t="shared" si="172"/>
        <v>0</v>
      </c>
      <c r="L1475" s="132">
        <f t="shared" si="166"/>
        <v>0</v>
      </c>
      <c r="M1475" s="133"/>
      <c r="N1475" s="133">
        <f t="shared" si="170"/>
        <v>0</v>
      </c>
      <c r="O1475" s="134"/>
      <c r="P1475" s="133"/>
      <c r="Q1475" s="2"/>
      <c r="R1475" s="156">
        <f t="shared" si="167"/>
        <v>0</v>
      </c>
      <c r="S1475" s="156">
        <f t="shared" si="168"/>
        <v>0</v>
      </c>
      <c r="T1475" s="133"/>
      <c r="U1475" s="133"/>
      <c r="V1475" s="133"/>
      <c r="W1475" s="133"/>
      <c r="X1475" s="133"/>
      <c r="Y1475" s="133"/>
      <c r="Z1475" s="133"/>
      <c r="AA1475" s="133"/>
      <c r="AB1475" s="133"/>
      <c r="AC1475" s="133"/>
      <c r="AD1475" s="133"/>
      <c r="AE1475" s="133"/>
      <c r="AF1475" s="133"/>
      <c r="AG1475" s="133"/>
      <c r="AH1475" s="133"/>
      <c r="AI1475" s="133"/>
      <c r="AJ1475" s="133"/>
      <c r="AK1475" s="133"/>
      <c r="AL1475" s="133"/>
      <c r="AM1475" s="133"/>
      <c r="AN1475" s="133"/>
      <c r="AO1475" s="133"/>
      <c r="AP1475" s="133"/>
      <c r="AQ1475" s="133"/>
      <c r="AR1475" s="133"/>
      <c r="AS1475" s="153">
        <v>0</v>
      </c>
      <c r="AT1475" s="153">
        <v>0</v>
      </c>
      <c r="AU1475" s="153">
        <v>0</v>
      </c>
      <c r="AV1475" s="135"/>
      <c r="AW1475" s="135"/>
      <c r="AX1475" s="135"/>
      <c r="AY1475" s="135"/>
      <c r="AZ1475" s="135"/>
      <c r="BA1475" s="135"/>
      <c r="BB1475" s="135"/>
      <c r="BC1475" s="135"/>
      <c r="BD1475" s="135"/>
      <c r="BE1475" s="135"/>
      <c r="BF1475" s="135"/>
      <c r="BG1475" s="135"/>
      <c r="BH1475" s="135"/>
      <c r="BI1475" s="2"/>
      <c r="BJ1475" s="136"/>
      <c r="BK1475" s="2"/>
      <c r="BL1475" s="136"/>
      <c r="BM1475" s="136"/>
      <c r="BN1475" s="2"/>
      <c r="BO1475" s="2"/>
      <c r="BP1475" s="136"/>
      <c r="BQ1475" s="137"/>
    </row>
    <row r="1476" spans="1:69" ht="12.75" customHeight="1" x14ac:dyDescent="0.2">
      <c r="A1476" s="2">
        <v>2965</v>
      </c>
      <c r="B1476" s="2"/>
      <c r="C1476" s="131"/>
      <c r="D1476" s="131"/>
      <c r="E1476" s="2"/>
      <c r="F1476" s="132">
        <v>0</v>
      </c>
      <c r="G1476" s="132"/>
      <c r="H1476" s="132">
        <f t="shared" si="171"/>
        <v>0</v>
      </c>
      <c r="I1476" s="132"/>
      <c r="J1476" s="132">
        <f t="shared" si="169"/>
        <v>0</v>
      </c>
      <c r="K1476" s="132">
        <f t="shared" si="172"/>
        <v>0</v>
      </c>
      <c r="L1476" s="132">
        <f t="shared" si="166"/>
        <v>0</v>
      </c>
      <c r="M1476" s="133"/>
      <c r="N1476" s="133">
        <f t="shared" si="170"/>
        <v>0</v>
      </c>
      <c r="O1476" s="134"/>
      <c r="P1476" s="133"/>
      <c r="Q1476" s="2"/>
      <c r="R1476" s="156">
        <f t="shared" si="167"/>
        <v>0</v>
      </c>
      <c r="S1476" s="156">
        <f t="shared" si="168"/>
        <v>0</v>
      </c>
      <c r="T1476" s="133"/>
      <c r="U1476" s="133"/>
      <c r="V1476" s="133"/>
      <c r="W1476" s="133"/>
      <c r="X1476" s="133"/>
      <c r="Y1476" s="133"/>
      <c r="Z1476" s="133"/>
      <c r="AA1476" s="133"/>
      <c r="AB1476" s="133"/>
      <c r="AC1476" s="133"/>
      <c r="AD1476" s="133"/>
      <c r="AE1476" s="133"/>
      <c r="AF1476" s="133"/>
      <c r="AG1476" s="133"/>
      <c r="AH1476" s="133"/>
      <c r="AI1476" s="133"/>
      <c r="AJ1476" s="133"/>
      <c r="AK1476" s="133"/>
      <c r="AL1476" s="133"/>
      <c r="AM1476" s="133"/>
      <c r="AN1476" s="133"/>
      <c r="AO1476" s="133"/>
      <c r="AP1476" s="133"/>
      <c r="AQ1476" s="133"/>
      <c r="AR1476" s="133"/>
      <c r="AS1476" s="153">
        <v>0</v>
      </c>
      <c r="AT1476" s="153">
        <v>0</v>
      </c>
      <c r="AU1476" s="153">
        <v>0</v>
      </c>
      <c r="AV1476" s="135"/>
      <c r="AW1476" s="135"/>
      <c r="AX1476" s="135"/>
      <c r="AY1476" s="135"/>
      <c r="AZ1476" s="135"/>
      <c r="BA1476" s="135"/>
      <c r="BB1476" s="135"/>
      <c r="BC1476" s="135"/>
      <c r="BD1476" s="135"/>
      <c r="BE1476" s="135"/>
      <c r="BF1476" s="135"/>
      <c r="BG1476" s="135"/>
      <c r="BH1476" s="135"/>
      <c r="BI1476" s="2"/>
      <c r="BJ1476" s="136"/>
      <c r="BK1476" s="2"/>
      <c r="BL1476" s="136"/>
      <c r="BM1476" s="136"/>
      <c r="BN1476" s="2"/>
      <c r="BO1476" s="2"/>
      <c r="BP1476" s="136"/>
      <c r="BQ1476" s="137"/>
    </row>
    <row r="1477" spans="1:69" ht="12.75" customHeight="1" x14ac:dyDescent="0.2">
      <c r="A1477" s="2">
        <v>2966</v>
      </c>
      <c r="B1477" s="2"/>
      <c r="C1477" s="131"/>
      <c r="D1477" s="131"/>
      <c r="E1477" s="2"/>
      <c r="F1477" s="132">
        <v>0</v>
      </c>
      <c r="G1477" s="132"/>
      <c r="H1477" s="132">
        <f t="shared" si="171"/>
        <v>0</v>
      </c>
      <c r="I1477" s="132"/>
      <c r="J1477" s="132">
        <f t="shared" si="169"/>
        <v>0</v>
      </c>
      <c r="K1477" s="132">
        <f t="shared" si="172"/>
        <v>0</v>
      </c>
      <c r="L1477" s="132">
        <f t="shared" si="166"/>
        <v>0</v>
      </c>
      <c r="M1477" s="133"/>
      <c r="N1477" s="133">
        <f t="shared" si="170"/>
        <v>0</v>
      </c>
      <c r="O1477" s="134"/>
      <c r="P1477" s="133"/>
      <c r="Q1477" s="2"/>
      <c r="R1477" s="156">
        <f t="shared" si="167"/>
        <v>0</v>
      </c>
      <c r="S1477" s="156">
        <f t="shared" si="168"/>
        <v>0</v>
      </c>
      <c r="T1477" s="133"/>
      <c r="U1477" s="133"/>
      <c r="V1477" s="133"/>
      <c r="W1477" s="133"/>
      <c r="X1477" s="133"/>
      <c r="Y1477" s="133"/>
      <c r="Z1477" s="133"/>
      <c r="AA1477" s="133"/>
      <c r="AB1477" s="133"/>
      <c r="AC1477" s="133"/>
      <c r="AD1477" s="133"/>
      <c r="AE1477" s="133"/>
      <c r="AF1477" s="133"/>
      <c r="AG1477" s="133"/>
      <c r="AH1477" s="133"/>
      <c r="AI1477" s="133"/>
      <c r="AJ1477" s="133"/>
      <c r="AK1477" s="133"/>
      <c r="AL1477" s="133"/>
      <c r="AM1477" s="133"/>
      <c r="AN1477" s="133"/>
      <c r="AO1477" s="133"/>
      <c r="AP1477" s="133"/>
      <c r="AQ1477" s="133"/>
      <c r="AR1477" s="133"/>
      <c r="AS1477" s="153">
        <v>0</v>
      </c>
      <c r="AT1477" s="153">
        <v>0</v>
      </c>
      <c r="AU1477" s="153">
        <v>0</v>
      </c>
      <c r="AV1477" s="135"/>
      <c r="AW1477" s="135"/>
      <c r="AX1477" s="135"/>
      <c r="AY1477" s="135"/>
      <c r="AZ1477" s="135"/>
      <c r="BA1477" s="135"/>
      <c r="BB1477" s="135"/>
      <c r="BC1477" s="135"/>
      <c r="BD1477" s="135"/>
      <c r="BE1477" s="135"/>
      <c r="BF1477" s="135"/>
      <c r="BG1477" s="135"/>
      <c r="BH1477" s="135"/>
      <c r="BI1477" s="2"/>
      <c r="BJ1477" s="136"/>
      <c r="BK1477" s="2"/>
      <c r="BL1477" s="136"/>
      <c r="BM1477" s="136"/>
      <c r="BN1477" s="2"/>
      <c r="BO1477" s="2"/>
      <c r="BP1477" s="136"/>
      <c r="BQ1477" s="137"/>
    </row>
    <row r="1478" spans="1:69" ht="12.75" customHeight="1" x14ac:dyDescent="0.2">
      <c r="A1478" s="2">
        <v>2967</v>
      </c>
      <c r="B1478" s="2"/>
      <c r="C1478" s="131"/>
      <c r="D1478" s="131"/>
      <c r="E1478" s="2"/>
      <c r="F1478" s="132">
        <v>0</v>
      </c>
      <c r="G1478" s="132"/>
      <c r="H1478" s="132">
        <f t="shared" si="171"/>
        <v>0</v>
      </c>
      <c r="I1478" s="132"/>
      <c r="J1478" s="132">
        <f t="shared" si="169"/>
        <v>0</v>
      </c>
      <c r="K1478" s="132">
        <f t="shared" si="172"/>
        <v>0</v>
      </c>
      <c r="L1478" s="132">
        <f t="shared" si="166"/>
        <v>0</v>
      </c>
      <c r="M1478" s="133"/>
      <c r="N1478" s="133">
        <f t="shared" si="170"/>
        <v>0</v>
      </c>
      <c r="O1478" s="134"/>
      <c r="P1478" s="133"/>
      <c r="Q1478" s="2"/>
      <c r="R1478" s="156">
        <f t="shared" si="167"/>
        <v>0</v>
      </c>
      <c r="S1478" s="156">
        <f t="shared" si="168"/>
        <v>0</v>
      </c>
      <c r="T1478" s="133"/>
      <c r="U1478" s="133"/>
      <c r="V1478" s="133"/>
      <c r="W1478" s="133"/>
      <c r="X1478" s="133"/>
      <c r="Y1478" s="133"/>
      <c r="Z1478" s="133"/>
      <c r="AA1478" s="133"/>
      <c r="AB1478" s="133"/>
      <c r="AC1478" s="133"/>
      <c r="AD1478" s="133"/>
      <c r="AE1478" s="133"/>
      <c r="AF1478" s="133"/>
      <c r="AG1478" s="133"/>
      <c r="AH1478" s="133"/>
      <c r="AI1478" s="133"/>
      <c r="AJ1478" s="133"/>
      <c r="AK1478" s="133"/>
      <c r="AL1478" s="133"/>
      <c r="AM1478" s="133"/>
      <c r="AN1478" s="133"/>
      <c r="AO1478" s="133"/>
      <c r="AP1478" s="133"/>
      <c r="AQ1478" s="133"/>
      <c r="AR1478" s="133"/>
      <c r="AS1478" s="153">
        <v>0</v>
      </c>
      <c r="AT1478" s="153">
        <v>0</v>
      </c>
      <c r="AU1478" s="153">
        <v>0</v>
      </c>
      <c r="AV1478" s="135"/>
      <c r="AW1478" s="135"/>
      <c r="AX1478" s="135"/>
      <c r="AY1478" s="135"/>
      <c r="AZ1478" s="135"/>
      <c r="BA1478" s="135"/>
      <c r="BB1478" s="135"/>
      <c r="BC1478" s="135"/>
      <c r="BD1478" s="135"/>
      <c r="BE1478" s="135"/>
      <c r="BF1478" s="135"/>
      <c r="BG1478" s="135"/>
      <c r="BH1478" s="135"/>
      <c r="BI1478" s="2"/>
      <c r="BJ1478" s="136"/>
      <c r="BK1478" s="2"/>
      <c r="BL1478" s="136"/>
      <c r="BM1478" s="136"/>
      <c r="BN1478" s="2"/>
      <c r="BO1478" s="2"/>
      <c r="BP1478" s="136"/>
      <c r="BQ1478" s="137"/>
    </row>
    <row r="1479" spans="1:69" ht="12.75" customHeight="1" x14ac:dyDescent="0.2">
      <c r="A1479" s="2">
        <v>2968</v>
      </c>
      <c r="B1479" s="2"/>
      <c r="C1479" s="131"/>
      <c r="D1479" s="131"/>
      <c r="E1479" s="2"/>
      <c r="F1479" s="132">
        <v>0</v>
      </c>
      <c r="G1479" s="132"/>
      <c r="H1479" s="132">
        <f t="shared" si="171"/>
        <v>0</v>
      </c>
      <c r="I1479" s="132"/>
      <c r="J1479" s="132">
        <f t="shared" si="169"/>
        <v>0</v>
      </c>
      <c r="K1479" s="132">
        <f t="shared" si="172"/>
        <v>0</v>
      </c>
      <c r="L1479" s="132">
        <f t="shared" si="166"/>
        <v>0</v>
      </c>
      <c r="M1479" s="133"/>
      <c r="N1479" s="133">
        <f t="shared" si="170"/>
        <v>0</v>
      </c>
      <c r="O1479" s="134"/>
      <c r="P1479" s="133"/>
      <c r="Q1479" s="2"/>
      <c r="R1479" s="156">
        <f t="shared" si="167"/>
        <v>0</v>
      </c>
      <c r="S1479" s="156">
        <f t="shared" si="168"/>
        <v>0</v>
      </c>
      <c r="T1479" s="133"/>
      <c r="U1479" s="133"/>
      <c r="V1479" s="133"/>
      <c r="W1479" s="133"/>
      <c r="X1479" s="133"/>
      <c r="Y1479" s="133"/>
      <c r="Z1479" s="133"/>
      <c r="AA1479" s="133"/>
      <c r="AB1479" s="133"/>
      <c r="AC1479" s="133"/>
      <c r="AD1479" s="133"/>
      <c r="AE1479" s="133"/>
      <c r="AF1479" s="133"/>
      <c r="AG1479" s="133"/>
      <c r="AH1479" s="133"/>
      <c r="AI1479" s="133"/>
      <c r="AJ1479" s="133"/>
      <c r="AK1479" s="133"/>
      <c r="AL1479" s="133"/>
      <c r="AM1479" s="133"/>
      <c r="AN1479" s="133"/>
      <c r="AO1479" s="133"/>
      <c r="AP1479" s="133"/>
      <c r="AQ1479" s="133"/>
      <c r="AR1479" s="133"/>
      <c r="AS1479" s="153">
        <v>0</v>
      </c>
      <c r="AT1479" s="153">
        <v>0</v>
      </c>
      <c r="AU1479" s="153">
        <v>0</v>
      </c>
      <c r="AV1479" s="135"/>
      <c r="AW1479" s="135"/>
      <c r="AX1479" s="135"/>
      <c r="AY1479" s="135"/>
      <c r="AZ1479" s="135"/>
      <c r="BA1479" s="135"/>
      <c r="BB1479" s="135"/>
      <c r="BC1479" s="135"/>
      <c r="BD1479" s="135"/>
      <c r="BE1479" s="135"/>
      <c r="BF1479" s="135"/>
      <c r="BG1479" s="135"/>
      <c r="BH1479" s="135"/>
      <c r="BI1479" s="2"/>
      <c r="BJ1479" s="136"/>
      <c r="BK1479" s="2"/>
      <c r="BL1479" s="136"/>
      <c r="BM1479" s="136"/>
      <c r="BN1479" s="2"/>
      <c r="BO1479" s="2"/>
      <c r="BP1479" s="136"/>
      <c r="BQ1479" s="137"/>
    </row>
    <row r="1480" spans="1:69" ht="12.75" customHeight="1" x14ac:dyDescent="0.2">
      <c r="A1480" s="2">
        <v>2969</v>
      </c>
      <c r="B1480" s="2"/>
      <c r="C1480" s="131"/>
      <c r="D1480" s="131"/>
      <c r="E1480" s="2"/>
      <c r="F1480" s="132">
        <v>0</v>
      </c>
      <c r="G1480" s="132"/>
      <c r="H1480" s="132">
        <f t="shared" si="171"/>
        <v>0</v>
      </c>
      <c r="I1480" s="132"/>
      <c r="J1480" s="132">
        <f t="shared" si="169"/>
        <v>0</v>
      </c>
      <c r="K1480" s="132">
        <f t="shared" si="172"/>
        <v>0</v>
      </c>
      <c r="L1480" s="132">
        <f t="shared" si="166"/>
        <v>0</v>
      </c>
      <c r="M1480" s="133"/>
      <c r="N1480" s="133">
        <f t="shared" si="170"/>
        <v>0</v>
      </c>
      <c r="O1480" s="134"/>
      <c r="P1480" s="133"/>
      <c r="Q1480" s="2"/>
      <c r="R1480" s="156">
        <f t="shared" si="167"/>
        <v>0</v>
      </c>
      <c r="S1480" s="156">
        <f t="shared" si="168"/>
        <v>0</v>
      </c>
      <c r="T1480" s="133"/>
      <c r="U1480" s="133"/>
      <c r="V1480" s="133"/>
      <c r="W1480" s="133"/>
      <c r="X1480" s="133"/>
      <c r="Y1480" s="133"/>
      <c r="Z1480" s="133"/>
      <c r="AA1480" s="133"/>
      <c r="AB1480" s="133"/>
      <c r="AC1480" s="133"/>
      <c r="AD1480" s="133"/>
      <c r="AE1480" s="133"/>
      <c r="AF1480" s="133"/>
      <c r="AG1480" s="133"/>
      <c r="AH1480" s="133"/>
      <c r="AI1480" s="133"/>
      <c r="AJ1480" s="133"/>
      <c r="AK1480" s="133"/>
      <c r="AL1480" s="133"/>
      <c r="AM1480" s="133"/>
      <c r="AN1480" s="133"/>
      <c r="AO1480" s="133"/>
      <c r="AP1480" s="133"/>
      <c r="AQ1480" s="133"/>
      <c r="AR1480" s="133"/>
      <c r="AS1480" s="153">
        <v>0</v>
      </c>
      <c r="AT1480" s="153">
        <v>0</v>
      </c>
      <c r="AU1480" s="153">
        <v>0</v>
      </c>
      <c r="AV1480" s="135"/>
      <c r="AW1480" s="135"/>
      <c r="AX1480" s="135"/>
      <c r="AY1480" s="135"/>
      <c r="AZ1480" s="135"/>
      <c r="BA1480" s="135"/>
      <c r="BB1480" s="135"/>
      <c r="BC1480" s="135"/>
      <c r="BD1480" s="135"/>
      <c r="BE1480" s="135"/>
      <c r="BF1480" s="135"/>
      <c r="BG1480" s="135"/>
      <c r="BH1480" s="135"/>
      <c r="BI1480" s="2"/>
      <c r="BJ1480" s="136"/>
      <c r="BK1480" s="2"/>
      <c r="BL1480" s="136"/>
      <c r="BM1480" s="136"/>
      <c r="BN1480" s="2"/>
      <c r="BO1480" s="2"/>
      <c r="BP1480" s="136"/>
      <c r="BQ1480" s="137"/>
    </row>
    <row r="1481" spans="1:69" ht="12.75" customHeight="1" x14ac:dyDescent="0.2">
      <c r="A1481" s="2">
        <v>2970</v>
      </c>
      <c r="B1481" s="2"/>
      <c r="C1481" s="131"/>
      <c r="D1481" s="131"/>
      <c r="E1481" s="2"/>
      <c r="F1481" s="132">
        <v>0</v>
      </c>
      <c r="G1481" s="132"/>
      <c r="H1481" s="132">
        <f t="shared" si="171"/>
        <v>0</v>
      </c>
      <c r="I1481" s="132"/>
      <c r="J1481" s="132">
        <f t="shared" si="169"/>
        <v>0</v>
      </c>
      <c r="K1481" s="132">
        <f t="shared" si="172"/>
        <v>0</v>
      </c>
      <c r="L1481" s="132">
        <f t="shared" si="166"/>
        <v>0</v>
      </c>
      <c r="M1481" s="133"/>
      <c r="N1481" s="133">
        <f t="shared" si="170"/>
        <v>0</v>
      </c>
      <c r="O1481" s="134"/>
      <c r="P1481" s="133"/>
      <c r="Q1481" s="2"/>
      <c r="R1481" s="156">
        <f t="shared" si="167"/>
        <v>0</v>
      </c>
      <c r="S1481" s="156">
        <f t="shared" si="168"/>
        <v>0</v>
      </c>
      <c r="T1481" s="133"/>
      <c r="U1481" s="133"/>
      <c r="V1481" s="133"/>
      <c r="W1481" s="133"/>
      <c r="X1481" s="133"/>
      <c r="Y1481" s="133"/>
      <c r="Z1481" s="133"/>
      <c r="AA1481" s="133"/>
      <c r="AB1481" s="133"/>
      <c r="AC1481" s="133"/>
      <c r="AD1481" s="133"/>
      <c r="AE1481" s="133"/>
      <c r="AF1481" s="133"/>
      <c r="AG1481" s="133"/>
      <c r="AH1481" s="133"/>
      <c r="AI1481" s="133"/>
      <c r="AJ1481" s="133"/>
      <c r="AK1481" s="133"/>
      <c r="AL1481" s="133"/>
      <c r="AM1481" s="133"/>
      <c r="AN1481" s="133"/>
      <c r="AO1481" s="133"/>
      <c r="AP1481" s="133"/>
      <c r="AQ1481" s="133"/>
      <c r="AR1481" s="133"/>
      <c r="AS1481" s="153">
        <v>0</v>
      </c>
      <c r="AT1481" s="153">
        <v>0</v>
      </c>
      <c r="AU1481" s="153">
        <v>0</v>
      </c>
      <c r="AV1481" s="135"/>
      <c r="AW1481" s="135"/>
      <c r="AX1481" s="135"/>
      <c r="AY1481" s="135"/>
      <c r="AZ1481" s="135"/>
      <c r="BA1481" s="135"/>
      <c r="BB1481" s="135"/>
      <c r="BC1481" s="135"/>
      <c r="BD1481" s="135"/>
      <c r="BE1481" s="135"/>
      <c r="BF1481" s="135"/>
      <c r="BG1481" s="135"/>
      <c r="BH1481" s="135"/>
      <c r="BI1481" s="2"/>
      <c r="BJ1481" s="136"/>
      <c r="BK1481" s="2"/>
      <c r="BL1481" s="136"/>
      <c r="BM1481" s="136"/>
      <c r="BN1481" s="2"/>
      <c r="BO1481" s="2"/>
      <c r="BP1481" s="136"/>
      <c r="BQ1481" s="137"/>
    </row>
    <row r="1482" spans="1:69" ht="12.75" customHeight="1" x14ac:dyDescent="0.2">
      <c r="A1482" s="2">
        <v>2971</v>
      </c>
      <c r="B1482" s="2"/>
      <c r="C1482" s="131"/>
      <c r="D1482" s="131"/>
      <c r="E1482" s="2"/>
      <c r="F1482" s="132">
        <v>0</v>
      </c>
      <c r="G1482" s="132"/>
      <c r="H1482" s="132">
        <f t="shared" si="171"/>
        <v>0</v>
      </c>
      <c r="I1482" s="132"/>
      <c r="J1482" s="132">
        <f t="shared" si="169"/>
        <v>0</v>
      </c>
      <c r="K1482" s="132">
        <f t="shared" si="172"/>
        <v>0</v>
      </c>
      <c r="L1482" s="132">
        <f t="shared" si="166"/>
        <v>0</v>
      </c>
      <c r="M1482" s="133"/>
      <c r="N1482" s="133">
        <f t="shared" si="170"/>
        <v>0</v>
      </c>
      <c r="O1482" s="134"/>
      <c r="P1482" s="133"/>
      <c r="Q1482" s="2"/>
      <c r="R1482" s="156">
        <f t="shared" si="167"/>
        <v>0</v>
      </c>
      <c r="S1482" s="156">
        <f t="shared" si="168"/>
        <v>0</v>
      </c>
      <c r="T1482" s="133"/>
      <c r="U1482" s="133"/>
      <c r="V1482" s="133"/>
      <c r="W1482" s="133"/>
      <c r="X1482" s="133"/>
      <c r="Y1482" s="133"/>
      <c r="Z1482" s="133"/>
      <c r="AA1482" s="133"/>
      <c r="AB1482" s="133"/>
      <c r="AC1482" s="133"/>
      <c r="AD1482" s="133"/>
      <c r="AE1482" s="133"/>
      <c r="AF1482" s="133"/>
      <c r="AG1482" s="133"/>
      <c r="AH1482" s="133"/>
      <c r="AI1482" s="133"/>
      <c r="AJ1482" s="133"/>
      <c r="AK1482" s="133"/>
      <c r="AL1482" s="133"/>
      <c r="AM1482" s="133"/>
      <c r="AN1482" s="133"/>
      <c r="AO1482" s="133"/>
      <c r="AP1482" s="133"/>
      <c r="AQ1482" s="133"/>
      <c r="AR1482" s="133"/>
      <c r="AS1482" s="153">
        <v>0</v>
      </c>
      <c r="AT1482" s="153">
        <v>0</v>
      </c>
      <c r="AU1482" s="153">
        <v>0</v>
      </c>
      <c r="AV1482" s="135"/>
      <c r="AW1482" s="135"/>
      <c r="AX1482" s="135"/>
      <c r="AY1482" s="135"/>
      <c r="AZ1482" s="135"/>
      <c r="BA1482" s="135"/>
      <c r="BB1482" s="135"/>
      <c r="BC1482" s="135"/>
      <c r="BD1482" s="135"/>
      <c r="BE1482" s="135"/>
      <c r="BF1482" s="135"/>
      <c r="BG1482" s="135"/>
      <c r="BH1482" s="135"/>
      <c r="BI1482" s="2"/>
      <c r="BJ1482" s="136"/>
      <c r="BK1482" s="2"/>
      <c r="BL1482" s="136"/>
      <c r="BM1482" s="136"/>
      <c r="BN1482" s="2"/>
      <c r="BO1482" s="2"/>
      <c r="BP1482" s="136"/>
      <c r="BQ1482" s="137"/>
    </row>
    <row r="1483" spans="1:69" ht="12.75" customHeight="1" x14ac:dyDescent="0.2">
      <c r="A1483" s="2">
        <v>2972</v>
      </c>
      <c r="B1483" s="2"/>
      <c r="C1483" s="131"/>
      <c r="D1483" s="131"/>
      <c r="E1483" s="2"/>
      <c r="F1483" s="132">
        <v>0</v>
      </c>
      <c r="G1483" s="132"/>
      <c r="H1483" s="132">
        <f t="shared" si="171"/>
        <v>0</v>
      </c>
      <c r="I1483" s="132"/>
      <c r="J1483" s="132">
        <f t="shared" si="169"/>
        <v>0</v>
      </c>
      <c r="K1483" s="132">
        <f t="shared" si="172"/>
        <v>0</v>
      </c>
      <c r="L1483" s="132">
        <f t="shared" ref="L1483:L1546" si="173">H1483-J1483</f>
        <v>0</v>
      </c>
      <c r="M1483" s="133"/>
      <c r="N1483" s="133">
        <f t="shared" si="170"/>
        <v>0</v>
      </c>
      <c r="O1483" s="134"/>
      <c r="P1483" s="133"/>
      <c r="Q1483" s="2"/>
      <c r="R1483" s="156">
        <f t="shared" ref="R1483:R1546" si="174">T1483+V1483+X1483+Z1483+AB1483+AD1483+AF1483+AH1483+AJ1483+AL1483+AN1483+AP1483</f>
        <v>0</v>
      </c>
      <c r="S1483" s="156">
        <f t="shared" ref="S1483:S1546" si="175">U1483+W1483+Y1483+AA1483+AC1483+AE1483+AG1483+AI1483+AK1483+AM1483+AO1483+AQ1483</f>
        <v>0</v>
      </c>
      <c r="T1483" s="133"/>
      <c r="U1483" s="133"/>
      <c r="V1483" s="133"/>
      <c r="W1483" s="133"/>
      <c r="X1483" s="133"/>
      <c r="Y1483" s="133"/>
      <c r="Z1483" s="133"/>
      <c r="AA1483" s="133"/>
      <c r="AB1483" s="133"/>
      <c r="AC1483" s="133"/>
      <c r="AD1483" s="133"/>
      <c r="AE1483" s="133"/>
      <c r="AF1483" s="133"/>
      <c r="AG1483" s="133"/>
      <c r="AH1483" s="133"/>
      <c r="AI1483" s="133"/>
      <c r="AJ1483" s="133"/>
      <c r="AK1483" s="133"/>
      <c r="AL1483" s="133"/>
      <c r="AM1483" s="133"/>
      <c r="AN1483" s="133"/>
      <c r="AO1483" s="133"/>
      <c r="AP1483" s="133"/>
      <c r="AQ1483" s="133"/>
      <c r="AR1483" s="133"/>
      <c r="AS1483" s="153">
        <v>0</v>
      </c>
      <c r="AT1483" s="153">
        <v>0</v>
      </c>
      <c r="AU1483" s="153">
        <v>0</v>
      </c>
      <c r="AV1483" s="135"/>
      <c r="AW1483" s="135"/>
      <c r="AX1483" s="135"/>
      <c r="AY1483" s="135"/>
      <c r="AZ1483" s="135"/>
      <c r="BA1483" s="135"/>
      <c r="BB1483" s="135"/>
      <c r="BC1483" s="135"/>
      <c r="BD1483" s="135"/>
      <c r="BE1483" s="135"/>
      <c r="BF1483" s="135"/>
      <c r="BG1483" s="135"/>
      <c r="BH1483" s="135"/>
      <c r="BI1483" s="2"/>
      <c r="BJ1483" s="136"/>
      <c r="BK1483" s="2"/>
      <c r="BL1483" s="136"/>
      <c r="BM1483" s="136"/>
      <c r="BN1483" s="2"/>
      <c r="BO1483" s="2"/>
      <c r="BP1483" s="136"/>
      <c r="BQ1483" s="137"/>
    </row>
    <row r="1484" spans="1:69" ht="12.75" customHeight="1" x14ac:dyDescent="0.2">
      <c r="A1484" s="2">
        <v>2973</v>
      </c>
      <c r="B1484" s="2"/>
      <c r="C1484" s="131"/>
      <c r="D1484" s="131"/>
      <c r="E1484" s="2"/>
      <c r="F1484" s="132">
        <v>0</v>
      </c>
      <c r="G1484" s="132"/>
      <c r="H1484" s="132">
        <f t="shared" si="171"/>
        <v>0</v>
      </c>
      <c r="I1484" s="132"/>
      <c r="J1484" s="132">
        <f t="shared" si="169"/>
        <v>0</v>
      </c>
      <c r="K1484" s="132">
        <f t="shared" si="172"/>
        <v>0</v>
      </c>
      <c r="L1484" s="132">
        <f t="shared" si="173"/>
        <v>0</v>
      </c>
      <c r="M1484" s="133"/>
      <c r="N1484" s="133">
        <f t="shared" si="170"/>
        <v>0</v>
      </c>
      <c r="O1484" s="134"/>
      <c r="P1484" s="133"/>
      <c r="Q1484" s="2"/>
      <c r="R1484" s="156">
        <f t="shared" si="174"/>
        <v>0</v>
      </c>
      <c r="S1484" s="156">
        <f t="shared" si="175"/>
        <v>0</v>
      </c>
      <c r="T1484" s="133"/>
      <c r="U1484" s="133"/>
      <c r="V1484" s="133"/>
      <c r="W1484" s="133"/>
      <c r="X1484" s="133"/>
      <c r="Y1484" s="133"/>
      <c r="Z1484" s="133"/>
      <c r="AA1484" s="133"/>
      <c r="AB1484" s="133"/>
      <c r="AC1484" s="133"/>
      <c r="AD1484" s="133"/>
      <c r="AE1484" s="133"/>
      <c r="AF1484" s="133"/>
      <c r="AG1484" s="133"/>
      <c r="AH1484" s="133"/>
      <c r="AI1484" s="133"/>
      <c r="AJ1484" s="133"/>
      <c r="AK1484" s="133"/>
      <c r="AL1484" s="133"/>
      <c r="AM1484" s="133"/>
      <c r="AN1484" s="133"/>
      <c r="AO1484" s="133"/>
      <c r="AP1484" s="133"/>
      <c r="AQ1484" s="133"/>
      <c r="AR1484" s="133"/>
      <c r="AS1484" s="153">
        <v>0</v>
      </c>
      <c r="AT1484" s="153">
        <v>0</v>
      </c>
      <c r="AU1484" s="153">
        <v>0</v>
      </c>
      <c r="AV1484" s="135"/>
      <c r="AW1484" s="135"/>
      <c r="AX1484" s="135"/>
      <c r="AY1484" s="135"/>
      <c r="AZ1484" s="135"/>
      <c r="BA1484" s="135"/>
      <c r="BB1484" s="135"/>
      <c r="BC1484" s="135"/>
      <c r="BD1484" s="135"/>
      <c r="BE1484" s="135"/>
      <c r="BF1484" s="135"/>
      <c r="BG1484" s="135"/>
      <c r="BH1484" s="135"/>
      <c r="BI1484" s="2"/>
      <c r="BJ1484" s="136"/>
      <c r="BK1484" s="2"/>
      <c r="BL1484" s="136"/>
      <c r="BM1484" s="136"/>
      <c r="BN1484" s="2"/>
      <c r="BO1484" s="2"/>
      <c r="BP1484" s="136"/>
      <c r="BQ1484" s="137"/>
    </row>
    <row r="1485" spans="1:69" ht="12.75" customHeight="1" x14ac:dyDescent="0.2">
      <c r="A1485" s="2">
        <v>2974</v>
      </c>
      <c r="B1485" s="2"/>
      <c r="C1485" s="131"/>
      <c r="D1485" s="131"/>
      <c r="E1485" s="2"/>
      <c r="F1485" s="132">
        <v>0</v>
      </c>
      <c r="G1485" s="132"/>
      <c r="H1485" s="132">
        <f t="shared" si="171"/>
        <v>0</v>
      </c>
      <c r="I1485" s="132"/>
      <c r="J1485" s="132">
        <f t="shared" si="169"/>
        <v>0</v>
      </c>
      <c r="K1485" s="132">
        <f t="shared" si="172"/>
        <v>0</v>
      </c>
      <c r="L1485" s="132">
        <f t="shared" si="173"/>
        <v>0</v>
      </c>
      <c r="M1485" s="133"/>
      <c r="N1485" s="133">
        <f t="shared" si="170"/>
        <v>0</v>
      </c>
      <c r="O1485" s="134"/>
      <c r="P1485" s="133"/>
      <c r="Q1485" s="2"/>
      <c r="R1485" s="156">
        <f t="shared" si="174"/>
        <v>0</v>
      </c>
      <c r="S1485" s="156">
        <f t="shared" si="175"/>
        <v>0</v>
      </c>
      <c r="T1485" s="133"/>
      <c r="U1485" s="133"/>
      <c r="V1485" s="133"/>
      <c r="W1485" s="133"/>
      <c r="X1485" s="133"/>
      <c r="Y1485" s="133"/>
      <c r="Z1485" s="133"/>
      <c r="AA1485" s="133"/>
      <c r="AB1485" s="133"/>
      <c r="AC1485" s="133"/>
      <c r="AD1485" s="133"/>
      <c r="AE1485" s="133"/>
      <c r="AF1485" s="133"/>
      <c r="AG1485" s="133"/>
      <c r="AH1485" s="133"/>
      <c r="AI1485" s="133"/>
      <c r="AJ1485" s="133"/>
      <c r="AK1485" s="133"/>
      <c r="AL1485" s="133"/>
      <c r="AM1485" s="133"/>
      <c r="AN1485" s="133"/>
      <c r="AO1485" s="133"/>
      <c r="AP1485" s="133"/>
      <c r="AQ1485" s="133"/>
      <c r="AR1485" s="133"/>
      <c r="AS1485" s="153">
        <v>0</v>
      </c>
      <c r="AT1485" s="153">
        <v>0</v>
      </c>
      <c r="AU1485" s="153">
        <v>0</v>
      </c>
      <c r="AV1485" s="135"/>
      <c r="AW1485" s="135"/>
      <c r="AX1485" s="135"/>
      <c r="AY1485" s="135"/>
      <c r="AZ1485" s="135"/>
      <c r="BA1485" s="135"/>
      <c r="BB1485" s="135"/>
      <c r="BC1485" s="135"/>
      <c r="BD1485" s="135"/>
      <c r="BE1485" s="135"/>
      <c r="BF1485" s="135"/>
      <c r="BG1485" s="135"/>
      <c r="BH1485" s="135"/>
      <c r="BI1485" s="2"/>
      <c r="BJ1485" s="136"/>
      <c r="BK1485" s="2"/>
      <c r="BL1485" s="136"/>
      <c r="BM1485" s="136"/>
      <c r="BN1485" s="2"/>
      <c r="BO1485" s="2"/>
      <c r="BP1485" s="136"/>
      <c r="BQ1485" s="137"/>
    </row>
    <row r="1486" spans="1:69" ht="12.75" customHeight="1" x14ac:dyDescent="0.2">
      <c r="A1486" s="2">
        <v>2975</v>
      </c>
      <c r="B1486" s="2"/>
      <c r="C1486" s="131"/>
      <c r="D1486" s="131"/>
      <c r="E1486" s="2"/>
      <c r="F1486" s="132">
        <v>0</v>
      </c>
      <c r="G1486" s="132"/>
      <c r="H1486" s="132">
        <f t="shared" si="171"/>
        <v>0</v>
      </c>
      <c r="I1486" s="132"/>
      <c r="J1486" s="132">
        <f t="shared" si="169"/>
        <v>0</v>
      </c>
      <c r="K1486" s="132">
        <f t="shared" si="172"/>
        <v>0</v>
      </c>
      <c r="L1486" s="132">
        <f t="shared" si="173"/>
        <v>0</v>
      </c>
      <c r="M1486" s="133"/>
      <c r="N1486" s="133">
        <f t="shared" si="170"/>
        <v>0</v>
      </c>
      <c r="O1486" s="134"/>
      <c r="P1486" s="133"/>
      <c r="Q1486" s="2"/>
      <c r="R1486" s="156">
        <f t="shared" si="174"/>
        <v>0</v>
      </c>
      <c r="S1486" s="156">
        <f t="shared" si="175"/>
        <v>0</v>
      </c>
      <c r="T1486" s="133"/>
      <c r="U1486" s="133"/>
      <c r="V1486" s="133"/>
      <c r="W1486" s="133"/>
      <c r="X1486" s="133"/>
      <c r="Y1486" s="133"/>
      <c r="Z1486" s="133"/>
      <c r="AA1486" s="133"/>
      <c r="AB1486" s="133"/>
      <c r="AC1486" s="133"/>
      <c r="AD1486" s="133"/>
      <c r="AE1486" s="133"/>
      <c r="AF1486" s="133"/>
      <c r="AG1486" s="133"/>
      <c r="AH1486" s="133"/>
      <c r="AI1486" s="133"/>
      <c r="AJ1486" s="133"/>
      <c r="AK1486" s="133"/>
      <c r="AL1486" s="133"/>
      <c r="AM1486" s="133"/>
      <c r="AN1486" s="133"/>
      <c r="AO1486" s="133"/>
      <c r="AP1486" s="133"/>
      <c r="AQ1486" s="133"/>
      <c r="AR1486" s="133"/>
      <c r="AS1486" s="153">
        <v>0</v>
      </c>
      <c r="AT1486" s="153">
        <v>0</v>
      </c>
      <c r="AU1486" s="153">
        <v>0</v>
      </c>
      <c r="AV1486" s="135"/>
      <c r="AW1486" s="135"/>
      <c r="AX1486" s="135"/>
      <c r="AY1486" s="135"/>
      <c r="AZ1486" s="135"/>
      <c r="BA1486" s="135"/>
      <c r="BB1486" s="135"/>
      <c r="BC1486" s="135"/>
      <c r="BD1486" s="135"/>
      <c r="BE1486" s="135"/>
      <c r="BF1486" s="135"/>
      <c r="BG1486" s="135"/>
      <c r="BH1486" s="135"/>
      <c r="BI1486" s="2"/>
      <c r="BJ1486" s="136"/>
      <c r="BK1486" s="2"/>
      <c r="BL1486" s="136"/>
      <c r="BM1486" s="136"/>
      <c r="BN1486" s="2"/>
      <c r="BO1486" s="2"/>
      <c r="BP1486" s="136"/>
      <c r="BQ1486" s="137"/>
    </row>
    <row r="1487" spans="1:69" ht="12.75" customHeight="1" x14ac:dyDescent="0.2">
      <c r="A1487" s="2">
        <v>2976</v>
      </c>
      <c r="B1487" s="2"/>
      <c r="C1487" s="131"/>
      <c r="D1487" s="131"/>
      <c r="E1487" s="2"/>
      <c r="F1487" s="132">
        <v>0</v>
      </c>
      <c r="G1487" s="132"/>
      <c r="H1487" s="132">
        <f t="shared" si="171"/>
        <v>0</v>
      </c>
      <c r="I1487" s="132"/>
      <c r="J1487" s="132">
        <f t="shared" si="169"/>
        <v>0</v>
      </c>
      <c r="K1487" s="132">
        <f t="shared" si="172"/>
        <v>0</v>
      </c>
      <c r="L1487" s="132">
        <f t="shared" si="173"/>
        <v>0</v>
      </c>
      <c r="M1487" s="133"/>
      <c r="N1487" s="133">
        <f t="shared" si="170"/>
        <v>0</v>
      </c>
      <c r="O1487" s="134"/>
      <c r="P1487" s="133"/>
      <c r="Q1487" s="2"/>
      <c r="R1487" s="156">
        <f t="shared" si="174"/>
        <v>0</v>
      </c>
      <c r="S1487" s="156">
        <f t="shared" si="175"/>
        <v>0</v>
      </c>
      <c r="T1487" s="133"/>
      <c r="U1487" s="133"/>
      <c r="V1487" s="133"/>
      <c r="W1487" s="133"/>
      <c r="X1487" s="133"/>
      <c r="Y1487" s="133"/>
      <c r="Z1487" s="133"/>
      <c r="AA1487" s="133"/>
      <c r="AB1487" s="133"/>
      <c r="AC1487" s="133"/>
      <c r="AD1487" s="133"/>
      <c r="AE1487" s="133"/>
      <c r="AF1487" s="133"/>
      <c r="AG1487" s="133"/>
      <c r="AH1487" s="133"/>
      <c r="AI1487" s="133"/>
      <c r="AJ1487" s="133"/>
      <c r="AK1487" s="133"/>
      <c r="AL1487" s="133"/>
      <c r="AM1487" s="133"/>
      <c r="AN1487" s="133"/>
      <c r="AO1487" s="133"/>
      <c r="AP1487" s="133"/>
      <c r="AQ1487" s="133"/>
      <c r="AR1487" s="133"/>
      <c r="AS1487" s="153">
        <v>0</v>
      </c>
      <c r="AT1487" s="153">
        <v>0</v>
      </c>
      <c r="AU1487" s="153">
        <v>0</v>
      </c>
      <c r="AV1487" s="135"/>
      <c r="AW1487" s="135"/>
      <c r="AX1487" s="135"/>
      <c r="AY1487" s="135"/>
      <c r="AZ1487" s="135"/>
      <c r="BA1487" s="135"/>
      <c r="BB1487" s="135"/>
      <c r="BC1487" s="135"/>
      <c r="BD1487" s="135"/>
      <c r="BE1487" s="135"/>
      <c r="BF1487" s="135"/>
      <c r="BG1487" s="135"/>
      <c r="BH1487" s="135"/>
      <c r="BI1487" s="2"/>
      <c r="BJ1487" s="136"/>
      <c r="BK1487" s="2"/>
      <c r="BL1487" s="136"/>
      <c r="BM1487" s="136"/>
      <c r="BN1487" s="2"/>
      <c r="BO1487" s="2"/>
      <c r="BP1487" s="136"/>
      <c r="BQ1487" s="137"/>
    </row>
    <row r="1488" spans="1:69" ht="12.75" customHeight="1" x14ac:dyDescent="0.2">
      <c r="A1488" s="2">
        <v>2977</v>
      </c>
      <c r="B1488" s="2"/>
      <c r="C1488" s="131"/>
      <c r="D1488" s="131"/>
      <c r="E1488" s="2"/>
      <c r="F1488" s="132">
        <v>0</v>
      </c>
      <c r="G1488" s="132"/>
      <c r="H1488" s="132">
        <f t="shared" si="171"/>
        <v>0</v>
      </c>
      <c r="I1488" s="132"/>
      <c r="J1488" s="132">
        <f t="shared" si="169"/>
        <v>0</v>
      </c>
      <c r="K1488" s="132">
        <f t="shared" si="172"/>
        <v>0</v>
      </c>
      <c r="L1488" s="132">
        <f t="shared" si="173"/>
        <v>0</v>
      </c>
      <c r="M1488" s="133"/>
      <c r="N1488" s="133">
        <f t="shared" si="170"/>
        <v>0</v>
      </c>
      <c r="O1488" s="134"/>
      <c r="P1488" s="133"/>
      <c r="Q1488" s="2"/>
      <c r="R1488" s="156">
        <f t="shared" si="174"/>
        <v>0</v>
      </c>
      <c r="S1488" s="156">
        <f t="shared" si="175"/>
        <v>0</v>
      </c>
      <c r="T1488" s="133"/>
      <c r="U1488" s="133"/>
      <c r="V1488" s="133"/>
      <c r="W1488" s="133"/>
      <c r="X1488" s="133"/>
      <c r="Y1488" s="133"/>
      <c r="Z1488" s="133"/>
      <c r="AA1488" s="133"/>
      <c r="AB1488" s="133"/>
      <c r="AC1488" s="133"/>
      <c r="AD1488" s="133"/>
      <c r="AE1488" s="133"/>
      <c r="AF1488" s="133"/>
      <c r="AG1488" s="133"/>
      <c r="AH1488" s="133"/>
      <c r="AI1488" s="133"/>
      <c r="AJ1488" s="133"/>
      <c r="AK1488" s="133"/>
      <c r="AL1488" s="133"/>
      <c r="AM1488" s="133"/>
      <c r="AN1488" s="133"/>
      <c r="AO1488" s="133"/>
      <c r="AP1488" s="133"/>
      <c r="AQ1488" s="133"/>
      <c r="AR1488" s="133"/>
      <c r="AS1488" s="153">
        <v>0</v>
      </c>
      <c r="AT1488" s="153">
        <v>0</v>
      </c>
      <c r="AU1488" s="153">
        <v>0</v>
      </c>
      <c r="AV1488" s="135"/>
      <c r="AW1488" s="135"/>
      <c r="AX1488" s="135"/>
      <c r="AY1488" s="135"/>
      <c r="AZ1488" s="135"/>
      <c r="BA1488" s="135"/>
      <c r="BB1488" s="135"/>
      <c r="BC1488" s="135"/>
      <c r="BD1488" s="135"/>
      <c r="BE1488" s="135"/>
      <c r="BF1488" s="135"/>
      <c r="BG1488" s="135"/>
      <c r="BH1488" s="135"/>
      <c r="BI1488" s="2"/>
      <c r="BJ1488" s="136"/>
      <c r="BK1488" s="2"/>
      <c r="BL1488" s="136"/>
      <c r="BM1488" s="136"/>
      <c r="BN1488" s="2"/>
      <c r="BO1488" s="2"/>
      <c r="BP1488" s="136"/>
      <c r="BQ1488" s="137"/>
    </row>
    <row r="1489" spans="1:69" ht="12.75" customHeight="1" x14ac:dyDescent="0.2">
      <c r="A1489" s="2">
        <v>2978</v>
      </c>
      <c r="B1489" s="2"/>
      <c r="C1489" s="131"/>
      <c r="D1489" s="131"/>
      <c r="E1489" s="2"/>
      <c r="F1489" s="132">
        <v>0</v>
      </c>
      <c r="G1489" s="132"/>
      <c r="H1489" s="132">
        <f t="shared" si="171"/>
        <v>0</v>
      </c>
      <c r="I1489" s="132"/>
      <c r="J1489" s="132">
        <f t="shared" si="169"/>
        <v>0</v>
      </c>
      <c r="K1489" s="132">
        <f t="shared" si="172"/>
        <v>0</v>
      </c>
      <c r="L1489" s="132">
        <f t="shared" si="173"/>
        <v>0</v>
      </c>
      <c r="M1489" s="133"/>
      <c r="N1489" s="133">
        <f t="shared" si="170"/>
        <v>0</v>
      </c>
      <c r="O1489" s="134"/>
      <c r="P1489" s="133"/>
      <c r="Q1489" s="2"/>
      <c r="R1489" s="156">
        <f t="shared" si="174"/>
        <v>0</v>
      </c>
      <c r="S1489" s="156">
        <f t="shared" si="175"/>
        <v>0</v>
      </c>
      <c r="T1489" s="133"/>
      <c r="U1489" s="133"/>
      <c r="V1489" s="133"/>
      <c r="W1489" s="133"/>
      <c r="X1489" s="133"/>
      <c r="Y1489" s="133"/>
      <c r="Z1489" s="133"/>
      <c r="AA1489" s="133"/>
      <c r="AB1489" s="133"/>
      <c r="AC1489" s="133"/>
      <c r="AD1489" s="133"/>
      <c r="AE1489" s="133"/>
      <c r="AF1489" s="133"/>
      <c r="AG1489" s="133"/>
      <c r="AH1489" s="133"/>
      <c r="AI1489" s="133"/>
      <c r="AJ1489" s="133"/>
      <c r="AK1489" s="133"/>
      <c r="AL1489" s="133"/>
      <c r="AM1489" s="133"/>
      <c r="AN1489" s="133"/>
      <c r="AO1489" s="133"/>
      <c r="AP1489" s="133"/>
      <c r="AQ1489" s="133"/>
      <c r="AR1489" s="133"/>
      <c r="AS1489" s="153">
        <v>0</v>
      </c>
      <c r="AT1489" s="153">
        <v>0</v>
      </c>
      <c r="AU1489" s="153">
        <v>0</v>
      </c>
      <c r="AV1489" s="135"/>
      <c r="AW1489" s="135"/>
      <c r="AX1489" s="135"/>
      <c r="AY1489" s="135"/>
      <c r="AZ1489" s="135"/>
      <c r="BA1489" s="135"/>
      <c r="BB1489" s="135"/>
      <c r="BC1489" s="135"/>
      <c r="BD1489" s="135"/>
      <c r="BE1489" s="135"/>
      <c r="BF1489" s="135"/>
      <c r="BG1489" s="135"/>
      <c r="BH1489" s="135"/>
      <c r="BI1489" s="2"/>
      <c r="BJ1489" s="136"/>
      <c r="BK1489" s="2"/>
      <c r="BL1489" s="136"/>
      <c r="BM1489" s="136"/>
      <c r="BN1489" s="2"/>
      <c r="BO1489" s="2"/>
      <c r="BP1489" s="136"/>
      <c r="BQ1489" s="137"/>
    </row>
    <row r="1490" spans="1:69" ht="12.75" customHeight="1" x14ac:dyDescent="0.2">
      <c r="A1490" s="2">
        <v>2979</v>
      </c>
      <c r="B1490" s="2"/>
      <c r="C1490" s="131"/>
      <c r="D1490" s="131"/>
      <c r="E1490" s="2"/>
      <c r="F1490" s="132">
        <v>0</v>
      </c>
      <c r="G1490" s="132"/>
      <c r="H1490" s="132">
        <f t="shared" si="171"/>
        <v>0</v>
      </c>
      <c r="I1490" s="132"/>
      <c r="J1490" s="132">
        <f t="shared" si="169"/>
        <v>0</v>
      </c>
      <c r="K1490" s="132">
        <f t="shared" si="172"/>
        <v>0</v>
      </c>
      <c r="L1490" s="132">
        <f t="shared" si="173"/>
        <v>0</v>
      </c>
      <c r="M1490" s="133"/>
      <c r="N1490" s="133">
        <f t="shared" si="170"/>
        <v>0</v>
      </c>
      <c r="O1490" s="134"/>
      <c r="P1490" s="133"/>
      <c r="Q1490" s="2"/>
      <c r="R1490" s="156">
        <f t="shared" si="174"/>
        <v>0</v>
      </c>
      <c r="S1490" s="156">
        <f t="shared" si="175"/>
        <v>0</v>
      </c>
      <c r="T1490" s="133"/>
      <c r="U1490" s="133"/>
      <c r="V1490" s="133"/>
      <c r="W1490" s="133"/>
      <c r="X1490" s="133"/>
      <c r="Y1490" s="133"/>
      <c r="Z1490" s="133"/>
      <c r="AA1490" s="133"/>
      <c r="AB1490" s="133"/>
      <c r="AC1490" s="133"/>
      <c r="AD1490" s="133"/>
      <c r="AE1490" s="133"/>
      <c r="AF1490" s="133"/>
      <c r="AG1490" s="133"/>
      <c r="AH1490" s="133"/>
      <c r="AI1490" s="133"/>
      <c r="AJ1490" s="133"/>
      <c r="AK1490" s="133"/>
      <c r="AL1490" s="133"/>
      <c r="AM1490" s="133"/>
      <c r="AN1490" s="133"/>
      <c r="AO1490" s="133"/>
      <c r="AP1490" s="133"/>
      <c r="AQ1490" s="133"/>
      <c r="AR1490" s="133"/>
      <c r="AS1490" s="153">
        <v>0</v>
      </c>
      <c r="AT1490" s="153">
        <v>0</v>
      </c>
      <c r="AU1490" s="153">
        <v>0</v>
      </c>
      <c r="AV1490" s="135"/>
      <c r="AW1490" s="135"/>
      <c r="AX1490" s="135"/>
      <c r="AY1490" s="135"/>
      <c r="AZ1490" s="135"/>
      <c r="BA1490" s="135"/>
      <c r="BB1490" s="135"/>
      <c r="BC1490" s="135"/>
      <c r="BD1490" s="135"/>
      <c r="BE1490" s="135"/>
      <c r="BF1490" s="135"/>
      <c r="BG1490" s="135"/>
      <c r="BH1490" s="135"/>
      <c r="BI1490" s="2"/>
      <c r="BJ1490" s="136"/>
      <c r="BK1490" s="2"/>
      <c r="BL1490" s="136"/>
      <c r="BM1490" s="136"/>
      <c r="BN1490" s="2"/>
      <c r="BO1490" s="2"/>
      <c r="BP1490" s="136"/>
      <c r="BQ1490" s="137"/>
    </row>
    <row r="1491" spans="1:69" ht="12.75" customHeight="1" x14ac:dyDescent="0.2">
      <c r="A1491" s="2">
        <v>2980</v>
      </c>
      <c r="B1491" s="2"/>
      <c r="C1491" s="131"/>
      <c r="D1491" s="131"/>
      <c r="E1491" s="2"/>
      <c r="F1491" s="132">
        <v>0</v>
      </c>
      <c r="G1491" s="132"/>
      <c r="H1491" s="132">
        <f t="shared" si="171"/>
        <v>0</v>
      </c>
      <c r="I1491" s="132"/>
      <c r="J1491" s="132">
        <f t="shared" si="169"/>
        <v>0</v>
      </c>
      <c r="K1491" s="132">
        <f t="shared" si="172"/>
        <v>0</v>
      </c>
      <c r="L1491" s="132">
        <f t="shared" si="173"/>
        <v>0</v>
      </c>
      <c r="M1491" s="133"/>
      <c r="N1491" s="133">
        <f t="shared" si="170"/>
        <v>0</v>
      </c>
      <c r="O1491" s="134"/>
      <c r="P1491" s="133"/>
      <c r="Q1491" s="2"/>
      <c r="R1491" s="156">
        <f t="shared" si="174"/>
        <v>0</v>
      </c>
      <c r="S1491" s="156">
        <f t="shared" si="175"/>
        <v>0</v>
      </c>
      <c r="T1491" s="133"/>
      <c r="U1491" s="133"/>
      <c r="V1491" s="133"/>
      <c r="W1491" s="133"/>
      <c r="X1491" s="133"/>
      <c r="Y1491" s="133"/>
      <c r="Z1491" s="133"/>
      <c r="AA1491" s="133"/>
      <c r="AB1491" s="133"/>
      <c r="AC1491" s="133"/>
      <c r="AD1491" s="133"/>
      <c r="AE1491" s="133"/>
      <c r="AF1491" s="133"/>
      <c r="AG1491" s="133"/>
      <c r="AH1491" s="133"/>
      <c r="AI1491" s="133"/>
      <c r="AJ1491" s="133"/>
      <c r="AK1491" s="133"/>
      <c r="AL1491" s="133"/>
      <c r="AM1491" s="133"/>
      <c r="AN1491" s="133"/>
      <c r="AO1491" s="133"/>
      <c r="AP1491" s="133"/>
      <c r="AQ1491" s="133"/>
      <c r="AR1491" s="133"/>
      <c r="AS1491" s="153">
        <v>0</v>
      </c>
      <c r="AT1491" s="153">
        <v>0</v>
      </c>
      <c r="AU1491" s="153">
        <v>0</v>
      </c>
      <c r="AV1491" s="135"/>
      <c r="AW1491" s="135"/>
      <c r="AX1491" s="135"/>
      <c r="AY1491" s="135"/>
      <c r="AZ1491" s="135"/>
      <c r="BA1491" s="135"/>
      <c r="BB1491" s="135"/>
      <c r="BC1491" s="135"/>
      <c r="BD1491" s="135"/>
      <c r="BE1491" s="135"/>
      <c r="BF1491" s="135"/>
      <c r="BG1491" s="135"/>
      <c r="BH1491" s="135"/>
      <c r="BI1491" s="2"/>
      <c r="BJ1491" s="136"/>
      <c r="BK1491" s="2"/>
      <c r="BL1491" s="136"/>
      <c r="BM1491" s="136"/>
      <c r="BN1491" s="2"/>
      <c r="BO1491" s="2"/>
      <c r="BP1491" s="136"/>
      <c r="BQ1491" s="137"/>
    </row>
    <row r="1492" spans="1:69" ht="12.75" customHeight="1" x14ac:dyDescent="0.2">
      <c r="A1492" s="2">
        <v>2981</v>
      </c>
      <c r="B1492" s="2"/>
      <c r="C1492" s="131"/>
      <c r="D1492" s="131"/>
      <c r="E1492" s="2"/>
      <c r="F1492" s="132">
        <v>0</v>
      </c>
      <c r="G1492" s="132"/>
      <c r="H1492" s="132">
        <f t="shared" si="171"/>
        <v>0</v>
      </c>
      <c r="I1492" s="132"/>
      <c r="J1492" s="132">
        <f t="shared" si="169"/>
        <v>0</v>
      </c>
      <c r="K1492" s="132">
        <f t="shared" si="172"/>
        <v>0</v>
      </c>
      <c r="L1492" s="132">
        <f t="shared" si="173"/>
        <v>0</v>
      </c>
      <c r="M1492" s="133"/>
      <c r="N1492" s="133">
        <f t="shared" si="170"/>
        <v>0</v>
      </c>
      <c r="O1492" s="134"/>
      <c r="P1492" s="133"/>
      <c r="Q1492" s="2"/>
      <c r="R1492" s="156">
        <f t="shared" si="174"/>
        <v>0</v>
      </c>
      <c r="S1492" s="156">
        <f t="shared" si="175"/>
        <v>0</v>
      </c>
      <c r="T1492" s="133"/>
      <c r="U1492" s="133"/>
      <c r="V1492" s="133"/>
      <c r="W1492" s="133"/>
      <c r="X1492" s="133"/>
      <c r="Y1492" s="133"/>
      <c r="Z1492" s="133"/>
      <c r="AA1492" s="133"/>
      <c r="AB1492" s="133"/>
      <c r="AC1492" s="133"/>
      <c r="AD1492" s="133"/>
      <c r="AE1492" s="133"/>
      <c r="AF1492" s="133"/>
      <c r="AG1492" s="133"/>
      <c r="AH1492" s="133"/>
      <c r="AI1492" s="133"/>
      <c r="AJ1492" s="133"/>
      <c r="AK1492" s="133"/>
      <c r="AL1492" s="133"/>
      <c r="AM1492" s="133"/>
      <c r="AN1492" s="133"/>
      <c r="AO1492" s="133"/>
      <c r="AP1492" s="133"/>
      <c r="AQ1492" s="133"/>
      <c r="AR1492" s="133"/>
      <c r="AS1492" s="153">
        <v>0</v>
      </c>
      <c r="AT1492" s="153">
        <v>0</v>
      </c>
      <c r="AU1492" s="153">
        <v>0</v>
      </c>
      <c r="AV1492" s="135"/>
      <c r="AW1492" s="135"/>
      <c r="AX1492" s="135"/>
      <c r="AY1492" s="135"/>
      <c r="AZ1492" s="135"/>
      <c r="BA1492" s="135"/>
      <c r="BB1492" s="135"/>
      <c r="BC1492" s="135"/>
      <c r="BD1492" s="135"/>
      <c r="BE1492" s="135"/>
      <c r="BF1492" s="135"/>
      <c r="BG1492" s="135"/>
      <c r="BH1492" s="135"/>
      <c r="BI1492" s="2"/>
      <c r="BJ1492" s="136"/>
      <c r="BK1492" s="2"/>
      <c r="BL1492" s="136"/>
      <c r="BM1492" s="136"/>
      <c r="BN1492" s="2"/>
      <c r="BO1492" s="2"/>
      <c r="BP1492" s="136"/>
      <c r="BQ1492" s="137"/>
    </row>
    <row r="1493" spans="1:69" ht="12.75" customHeight="1" x14ac:dyDescent="0.2">
      <c r="A1493" s="2">
        <v>2982</v>
      </c>
      <c r="B1493" s="2"/>
      <c r="C1493" s="131"/>
      <c r="D1493" s="131"/>
      <c r="E1493" s="2"/>
      <c r="F1493" s="132">
        <v>0</v>
      </c>
      <c r="G1493" s="132"/>
      <c r="H1493" s="132">
        <f t="shared" si="171"/>
        <v>0</v>
      </c>
      <c r="I1493" s="132"/>
      <c r="J1493" s="132">
        <f t="shared" si="169"/>
        <v>0</v>
      </c>
      <c r="K1493" s="132">
        <f t="shared" si="172"/>
        <v>0</v>
      </c>
      <c r="L1493" s="132">
        <f t="shared" si="173"/>
        <v>0</v>
      </c>
      <c r="M1493" s="133"/>
      <c r="N1493" s="133">
        <f t="shared" si="170"/>
        <v>0</v>
      </c>
      <c r="O1493" s="134"/>
      <c r="P1493" s="133"/>
      <c r="Q1493" s="2"/>
      <c r="R1493" s="156">
        <f t="shared" si="174"/>
        <v>0</v>
      </c>
      <c r="S1493" s="156">
        <f t="shared" si="175"/>
        <v>0</v>
      </c>
      <c r="T1493" s="133"/>
      <c r="U1493" s="133"/>
      <c r="V1493" s="133"/>
      <c r="W1493" s="133"/>
      <c r="X1493" s="133"/>
      <c r="Y1493" s="133"/>
      <c r="Z1493" s="133"/>
      <c r="AA1493" s="133"/>
      <c r="AB1493" s="133"/>
      <c r="AC1493" s="133"/>
      <c r="AD1493" s="133"/>
      <c r="AE1493" s="133"/>
      <c r="AF1493" s="133"/>
      <c r="AG1493" s="133"/>
      <c r="AH1493" s="133"/>
      <c r="AI1493" s="133"/>
      <c r="AJ1493" s="133"/>
      <c r="AK1493" s="133"/>
      <c r="AL1493" s="133"/>
      <c r="AM1493" s="133"/>
      <c r="AN1493" s="133"/>
      <c r="AO1493" s="133"/>
      <c r="AP1493" s="133"/>
      <c r="AQ1493" s="133"/>
      <c r="AR1493" s="133"/>
      <c r="AS1493" s="153">
        <v>0</v>
      </c>
      <c r="AT1493" s="153">
        <v>0</v>
      </c>
      <c r="AU1493" s="153">
        <v>0</v>
      </c>
      <c r="AV1493" s="135"/>
      <c r="AW1493" s="135"/>
      <c r="AX1493" s="135"/>
      <c r="AY1493" s="135"/>
      <c r="AZ1493" s="135"/>
      <c r="BA1493" s="135"/>
      <c r="BB1493" s="135"/>
      <c r="BC1493" s="135"/>
      <c r="BD1493" s="135"/>
      <c r="BE1493" s="135"/>
      <c r="BF1493" s="135"/>
      <c r="BG1493" s="135"/>
      <c r="BH1493" s="135"/>
      <c r="BI1493" s="2"/>
      <c r="BJ1493" s="136"/>
      <c r="BK1493" s="2"/>
      <c r="BL1493" s="136"/>
      <c r="BM1493" s="136"/>
      <c r="BN1493" s="2"/>
      <c r="BO1493" s="2"/>
      <c r="BP1493" s="136"/>
      <c r="BQ1493" s="137"/>
    </row>
    <row r="1494" spans="1:69" ht="12.75" customHeight="1" x14ac:dyDescent="0.2">
      <c r="A1494" s="2">
        <v>2983</v>
      </c>
      <c r="B1494" s="2"/>
      <c r="C1494" s="131"/>
      <c r="D1494" s="131"/>
      <c r="E1494" s="2"/>
      <c r="F1494" s="132">
        <v>0</v>
      </c>
      <c r="G1494" s="132"/>
      <c r="H1494" s="132">
        <f t="shared" si="171"/>
        <v>0</v>
      </c>
      <c r="I1494" s="132"/>
      <c r="J1494" s="132">
        <f t="shared" si="169"/>
        <v>0</v>
      </c>
      <c r="K1494" s="132">
        <f t="shared" si="172"/>
        <v>0</v>
      </c>
      <c r="L1494" s="132">
        <f t="shared" si="173"/>
        <v>0</v>
      </c>
      <c r="M1494" s="133"/>
      <c r="N1494" s="133">
        <f t="shared" si="170"/>
        <v>0</v>
      </c>
      <c r="O1494" s="134"/>
      <c r="P1494" s="133"/>
      <c r="Q1494" s="2"/>
      <c r="R1494" s="156">
        <f t="shared" si="174"/>
        <v>0</v>
      </c>
      <c r="S1494" s="156">
        <f t="shared" si="175"/>
        <v>0</v>
      </c>
      <c r="T1494" s="133"/>
      <c r="U1494" s="133"/>
      <c r="V1494" s="133"/>
      <c r="W1494" s="133"/>
      <c r="X1494" s="133"/>
      <c r="Y1494" s="133"/>
      <c r="Z1494" s="133"/>
      <c r="AA1494" s="133"/>
      <c r="AB1494" s="133"/>
      <c r="AC1494" s="133"/>
      <c r="AD1494" s="133"/>
      <c r="AE1494" s="133"/>
      <c r="AF1494" s="133"/>
      <c r="AG1494" s="133"/>
      <c r="AH1494" s="133"/>
      <c r="AI1494" s="133"/>
      <c r="AJ1494" s="133"/>
      <c r="AK1494" s="133"/>
      <c r="AL1494" s="133"/>
      <c r="AM1494" s="133"/>
      <c r="AN1494" s="133"/>
      <c r="AO1494" s="133"/>
      <c r="AP1494" s="133"/>
      <c r="AQ1494" s="133"/>
      <c r="AR1494" s="133"/>
      <c r="AS1494" s="153">
        <v>0</v>
      </c>
      <c r="AT1494" s="153">
        <v>0</v>
      </c>
      <c r="AU1494" s="153">
        <v>0</v>
      </c>
      <c r="AV1494" s="135"/>
      <c r="AW1494" s="135"/>
      <c r="AX1494" s="135"/>
      <c r="AY1494" s="135"/>
      <c r="AZ1494" s="135"/>
      <c r="BA1494" s="135"/>
      <c r="BB1494" s="135"/>
      <c r="BC1494" s="135"/>
      <c r="BD1494" s="135"/>
      <c r="BE1494" s="135"/>
      <c r="BF1494" s="135"/>
      <c r="BG1494" s="135"/>
      <c r="BH1494" s="135"/>
      <c r="BI1494" s="2"/>
      <c r="BJ1494" s="136"/>
      <c r="BK1494" s="2"/>
      <c r="BL1494" s="136"/>
      <c r="BM1494" s="136"/>
      <c r="BN1494" s="2"/>
      <c r="BO1494" s="2"/>
      <c r="BP1494" s="136"/>
      <c r="BQ1494" s="137"/>
    </row>
    <row r="1495" spans="1:69" ht="12.75" customHeight="1" x14ac:dyDescent="0.2">
      <c r="A1495" s="2">
        <v>2984</v>
      </c>
      <c r="B1495" s="2"/>
      <c r="C1495" s="131"/>
      <c r="D1495" s="131"/>
      <c r="E1495" s="2"/>
      <c r="F1495" s="132">
        <v>0</v>
      </c>
      <c r="G1495" s="132"/>
      <c r="H1495" s="132">
        <f t="shared" si="171"/>
        <v>0</v>
      </c>
      <c r="I1495" s="132"/>
      <c r="J1495" s="132">
        <f t="shared" si="169"/>
        <v>0</v>
      </c>
      <c r="K1495" s="132">
        <f t="shared" si="172"/>
        <v>0</v>
      </c>
      <c r="L1495" s="132">
        <f t="shared" si="173"/>
        <v>0</v>
      </c>
      <c r="M1495" s="133"/>
      <c r="N1495" s="133">
        <f t="shared" si="170"/>
        <v>0</v>
      </c>
      <c r="O1495" s="134"/>
      <c r="P1495" s="133"/>
      <c r="Q1495" s="2"/>
      <c r="R1495" s="156">
        <f t="shared" si="174"/>
        <v>0</v>
      </c>
      <c r="S1495" s="156">
        <f t="shared" si="175"/>
        <v>0</v>
      </c>
      <c r="T1495" s="133"/>
      <c r="U1495" s="133"/>
      <c r="V1495" s="133"/>
      <c r="W1495" s="133"/>
      <c r="X1495" s="133"/>
      <c r="Y1495" s="133"/>
      <c r="Z1495" s="133"/>
      <c r="AA1495" s="133"/>
      <c r="AB1495" s="133"/>
      <c r="AC1495" s="133"/>
      <c r="AD1495" s="133"/>
      <c r="AE1495" s="133"/>
      <c r="AF1495" s="133"/>
      <c r="AG1495" s="133"/>
      <c r="AH1495" s="133"/>
      <c r="AI1495" s="133"/>
      <c r="AJ1495" s="133"/>
      <c r="AK1495" s="133"/>
      <c r="AL1495" s="133"/>
      <c r="AM1495" s="133"/>
      <c r="AN1495" s="133"/>
      <c r="AO1495" s="133"/>
      <c r="AP1495" s="133"/>
      <c r="AQ1495" s="133"/>
      <c r="AR1495" s="133"/>
      <c r="AS1495" s="153">
        <v>0</v>
      </c>
      <c r="AT1495" s="153">
        <v>0</v>
      </c>
      <c r="AU1495" s="153">
        <v>0</v>
      </c>
      <c r="AV1495" s="135"/>
      <c r="AW1495" s="135"/>
      <c r="AX1495" s="135"/>
      <c r="AY1495" s="135"/>
      <c r="AZ1495" s="135"/>
      <c r="BA1495" s="135"/>
      <c r="BB1495" s="135"/>
      <c r="BC1495" s="135"/>
      <c r="BD1495" s="135"/>
      <c r="BE1495" s="135"/>
      <c r="BF1495" s="135"/>
      <c r="BG1495" s="135"/>
      <c r="BH1495" s="135"/>
      <c r="BI1495" s="2"/>
      <c r="BJ1495" s="136"/>
      <c r="BK1495" s="2"/>
      <c r="BL1495" s="136"/>
      <c r="BM1495" s="136"/>
      <c r="BN1495" s="2"/>
      <c r="BO1495" s="2"/>
      <c r="BP1495" s="136"/>
      <c r="BQ1495" s="137"/>
    </row>
    <row r="1496" spans="1:69" ht="12.75" customHeight="1" x14ac:dyDescent="0.2">
      <c r="A1496" s="2">
        <v>2985</v>
      </c>
      <c r="B1496" s="2"/>
      <c r="C1496" s="131"/>
      <c r="D1496" s="131"/>
      <c r="E1496" s="2"/>
      <c r="F1496" s="132">
        <v>0</v>
      </c>
      <c r="G1496" s="132"/>
      <c r="H1496" s="132">
        <f t="shared" si="171"/>
        <v>0</v>
      </c>
      <c r="I1496" s="132"/>
      <c r="J1496" s="132">
        <f t="shared" si="169"/>
        <v>0</v>
      </c>
      <c r="K1496" s="132">
        <f t="shared" si="172"/>
        <v>0</v>
      </c>
      <c r="L1496" s="132">
        <f t="shared" si="173"/>
        <v>0</v>
      </c>
      <c r="M1496" s="133"/>
      <c r="N1496" s="133">
        <f t="shared" si="170"/>
        <v>0</v>
      </c>
      <c r="O1496" s="134"/>
      <c r="P1496" s="133"/>
      <c r="Q1496" s="2"/>
      <c r="R1496" s="156">
        <f t="shared" si="174"/>
        <v>0</v>
      </c>
      <c r="S1496" s="156">
        <f t="shared" si="175"/>
        <v>0</v>
      </c>
      <c r="T1496" s="133"/>
      <c r="U1496" s="133"/>
      <c r="V1496" s="133"/>
      <c r="W1496" s="133"/>
      <c r="X1496" s="133"/>
      <c r="Y1496" s="133"/>
      <c r="Z1496" s="133"/>
      <c r="AA1496" s="133"/>
      <c r="AB1496" s="133"/>
      <c r="AC1496" s="133"/>
      <c r="AD1496" s="133"/>
      <c r="AE1496" s="133"/>
      <c r="AF1496" s="133"/>
      <c r="AG1496" s="133"/>
      <c r="AH1496" s="133"/>
      <c r="AI1496" s="133"/>
      <c r="AJ1496" s="133"/>
      <c r="AK1496" s="133"/>
      <c r="AL1496" s="133"/>
      <c r="AM1496" s="133"/>
      <c r="AN1496" s="133"/>
      <c r="AO1496" s="133"/>
      <c r="AP1496" s="133"/>
      <c r="AQ1496" s="133"/>
      <c r="AR1496" s="133"/>
      <c r="AS1496" s="153">
        <v>0</v>
      </c>
      <c r="AT1496" s="153">
        <v>0</v>
      </c>
      <c r="AU1496" s="153">
        <v>0</v>
      </c>
      <c r="AV1496" s="135"/>
      <c r="AW1496" s="135"/>
      <c r="AX1496" s="135"/>
      <c r="AY1496" s="135"/>
      <c r="AZ1496" s="135"/>
      <c r="BA1496" s="135"/>
      <c r="BB1496" s="135"/>
      <c r="BC1496" s="135"/>
      <c r="BD1496" s="135"/>
      <c r="BE1496" s="135"/>
      <c r="BF1496" s="135"/>
      <c r="BG1496" s="135"/>
      <c r="BH1496" s="135"/>
      <c r="BI1496" s="2"/>
      <c r="BJ1496" s="136"/>
      <c r="BK1496" s="2"/>
      <c r="BL1496" s="136"/>
      <c r="BM1496" s="136"/>
      <c r="BN1496" s="2"/>
      <c r="BO1496" s="2"/>
      <c r="BP1496" s="136"/>
      <c r="BQ1496" s="137"/>
    </row>
    <row r="1497" spans="1:69" ht="12.75" customHeight="1" x14ac:dyDescent="0.2">
      <c r="A1497" s="2">
        <v>2986</v>
      </c>
      <c r="B1497" s="2"/>
      <c r="C1497" s="131"/>
      <c r="D1497" s="131"/>
      <c r="E1497" s="2"/>
      <c r="F1497" s="132">
        <v>0</v>
      </c>
      <c r="G1497" s="132"/>
      <c r="H1497" s="132">
        <f t="shared" si="171"/>
        <v>0</v>
      </c>
      <c r="I1497" s="132"/>
      <c r="J1497" s="132">
        <f t="shared" si="169"/>
        <v>0</v>
      </c>
      <c r="K1497" s="132">
        <f t="shared" si="172"/>
        <v>0</v>
      </c>
      <c r="L1497" s="132">
        <f t="shared" si="173"/>
        <v>0</v>
      </c>
      <c r="M1497" s="133"/>
      <c r="N1497" s="133">
        <f t="shared" si="170"/>
        <v>0</v>
      </c>
      <c r="O1497" s="134"/>
      <c r="P1497" s="133"/>
      <c r="Q1497" s="2"/>
      <c r="R1497" s="156">
        <f t="shared" si="174"/>
        <v>0</v>
      </c>
      <c r="S1497" s="156">
        <f t="shared" si="175"/>
        <v>0</v>
      </c>
      <c r="T1497" s="133"/>
      <c r="U1497" s="133"/>
      <c r="V1497" s="133"/>
      <c r="W1497" s="133"/>
      <c r="X1497" s="133"/>
      <c r="Y1497" s="133"/>
      <c r="Z1497" s="133"/>
      <c r="AA1497" s="133"/>
      <c r="AB1497" s="133"/>
      <c r="AC1497" s="133"/>
      <c r="AD1497" s="133"/>
      <c r="AE1497" s="133"/>
      <c r="AF1497" s="133"/>
      <c r="AG1497" s="133"/>
      <c r="AH1497" s="133"/>
      <c r="AI1497" s="133"/>
      <c r="AJ1497" s="133"/>
      <c r="AK1497" s="133"/>
      <c r="AL1497" s="133"/>
      <c r="AM1497" s="133"/>
      <c r="AN1497" s="133"/>
      <c r="AO1497" s="133"/>
      <c r="AP1497" s="133"/>
      <c r="AQ1497" s="133"/>
      <c r="AR1497" s="133"/>
      <c r="AS1497" s="153">
        <v>0</v>
      </c>
      <c r="AT1497" s="153">
        <v>0</v>
      </c>
      <c r="AU1497" s="153">
        <v>0</v>
      </c>
      <c r="AV1497" s="135"/>
      <c r="AW1497" s="135"/>
      <c r="AX1497" s="135"/>
      <c r="AY1497" s="135"/>
      <c r="AZ1497" s="135"/>
      <c r="BA1497" s="135"/>
      <c r="BB1497" s="135"/>
      <c r="BC1497" s="135"/>
      <c r="BD1497" s="135"/>
      <c r="BE1497" s="135"/>
      <c r="BF1497" s="135"/>
      <c r="BG1497" s="135"/>
      <c r="BH1497" s="135"/>
      <c r="BI1497" s="2"/>
      <c r="BJ1497" s="136"/>
      <c r="BK1497" s="2"/>
      <c r="BL1497" s="136"/>
      <c r="BM1497" s="136"/>
      <c r="BN1497" s="2"/>
      <c r="BO1497" s="2"/>
      <c r="BP1497" s="136"/>
      <c r="BQ1497" s="137"/>
    </row>
    <row r="1498" spans="1:69" ht="12.75" customHeight="1" x14ac:dyDescent="0.2">
      <c r="A1498" s="2">
        <v>2987</v>
      </c>
      <c r="B1498" s="2"/>
      <c r="C1498" s="131"/>
      <c r="D1498" s="131"/>
      <c r="E1498" s="2"/>
      <c r="F1498" s="132">
        <v>0</v>
      </c>
      <c r="G1498" s="132"/>
      <c r="H1498" s="132">
        <f t="shared" si="171"/>
        <v>0</v>
      </c>
      <c r="I1498" s="132"/>
      <c r="J1498" s="132">
        <f t="shared" si="169"/>
        <v>0</v>
      </c>
      <c r="K1498" s="132">
        <f t="shared" si="172"/>
        <v>0</v>
      </c>
      <c r="L1498" s="132">
        <f t="shared" si="173"/>
        <v>0</v>
      </c>
      <c r="M1498" s="133"/>
      <c r="N1498" s="133">
        <f t="shared" si="170"/>
        <v>0</v>
      </c>
      <c r="O1498" s="134"/>
      <c r="P1498" s="133"/>
      <c r="Q1498" s="2"/>
      <c r="R1498" s="156">
        <f t="shared" si="174"/>
        <v>0</v>
      </c>
      <c r="S1498" s="156">
        <f t="shared" si="175"/>
        <v>0</v>
      </c>
      <c r="T1498" s="133"/>
      <c r="U1498" s="133"/>
      <c r="V1498" s="133"/>
      <c r="W1498" s="133"/>
      <c r="X1498" s="133"/>
      <c r="Y1498" s="133"/>
      <c r="Z1498" s="133"/>
      <c r="AA1498" s="133"/>
      <c r="AB1498" s="133"/>
      <c r="AC1498" s="133"/>
      <c r="AD1498" s="133"/>
      <c r="AE1498" s="133"/>
      <c r="AF1498" s="133"/>
      <c r="AG1498" s="133"/>
      <c r="AH1498" s="133"/>
      <c r="AI1498" s="133"/>
      <c r="AJ1498" s="133"/>
      <c r="AK1498" s="133"/>
      <c r="AL1498" s="133"/>
      <c r="AM1498" s="133"/>
      <c r="AN1498" s="133"/>
      <c r="AO1498" s="133"/>
      <c r="AP1498" s="133"/>
      <c r="AQ1498" s="133"/>
      <c r="AR1498" s="133"/>
      <c r="AS1498" s="153">
        <v>0</v>
      </c>
      <c r="AT1498" s="153">
        <v>0</v>
      </c>
      <c r="AU1498" s="153">
        <v>0</v>
      </c>
      <c r="AV1498" s="135"/>
      <c r="AW1498" s="135"/>
      <c r="AX1498" s="135"/>
      <c r="AY1498" s="135"/>
      <c r="AZ1498" s="135"/>
      <c r="BA1498" s="135"/>
      <c r="BB1498" s="135"/>
      <c r="BC1498" s="135"/>
      <c r="BD1498" s="135"/>
      <c r="BE1498" s="135"/>
      <c r="BF1498" s="135"/>
      <c r="BG1498" s="135"/>
      <c r="BH1498" s="135"/>
      <c r="BI1498" s="2"/>
      <c r="BJ1498" s="136"/>
      <c r="BK1498" s="2"/>
      <c r="BL1498" s="136"/>
      <c r="BM1498" s="136"/>
      <c r="BN1498" s="2"/>
      <c r="BO1498" s="2"/>
      <c r="BP1498" s="136"/>
      <c r="BQ1498" s="137"/>
    </row>
    <row r="1499" spans="1:69" ht="12.75" customHeight="1" x14ac:dyDescent="0.2">
      <c r="A1499" s="2">
        <v>2988</v>
      </c>
      <c r="B1499" s="2"/>
      <c r="C1499" s="131"/>
      <c r="D1499" s="131"/>
      <c r="E1499" s="2"/>
      <c r="F1499" s="132">
        <v>0</v>
      </c>
      <c r="G1499" s="132"/>
      <c r="H1499" s="132">
        <f t="shared" si="171"/>
        <v>0</v>
      </c>
      <c r="I1499" s="132"/>
      <c r="J1499" s="132">
        <f t="shared" si="169"/>
        <v>0</v>
      </c>
      <c r="K1499" s="132">
        <f t="shared" si="172"/>
        <v>0</v>
      </c>
      <c r="L1499" s="132">
        <f t="shared" si="173"/>
        <v>0</v>
      </c>
      <c r="M1499" s="133"/>
      <c r="N1499" s="133">
        <f t="shared" si="170"/>
        <v>0</v>
      </c>
      <c r="O1499" s="134"/>
      <c r="P1499" s="133"/>
      <c r="Q1499" s="2"/>
      <c r="R1499" s="156">
        <f t="shared" si="174"/>
        <v>0</v>
      </c>
      <c r="S1499" s="156">
        <f t="shared" si="175"/>
        <v>0</v>
      </c>
      <c r="T1499" s="133"/>
      <c r="U1499" s="133"/>
      <c r="V1499" s="133"/>
      <c r="W1499" s="133"/>
      <c r="X1499" s="133"/>
      <c r="Y1499" s="133"/>
      <c r="Z1499" s="133"/>
      <c r="AA1499" s="133"/>
      <c r="AB1499" s="133"/>
      <c r="AC1499" s="133"/>
      <c r="AD1499" s="133"/>
      <c r="AE1499" s="133"/>
      <c r="AF1499" s="133"/>
      <c r="AG1499" s="133"/>
      <c r="AH1499" s="133"/>
      <c r="AI1499" s="133"/>
      <c r="AJ1499" s="133"/>
      <c r="AK1499" s="133"/>
      <c r="AL1499" s="133"/>
      <c r="AM1499" s="133"/>
      <c r="AN1499" s="133"/>
      <c r="AO1499" s="133"/>
      <c r="AP1499" s="133"/>
      <c r="AQ1499" s="133"/>
      <c r="AR1499" s="133"/>
      <c r="AS1499" s="153">
        <v>0</v>
      </c>
      <c r="AT1499" s="153">
        <v>0</v>
      </c>
      <c r="AU1499" s="153">
        <v>0</v>
      </c>
      <c r="AV1499" s="135"/>
      <c r="AW1499" s="135"/>
      <c r="AX1499" s="135"/>
      <c r="AY1499" s="135"/>
      <c r="AZ1499" s="135"/>
      <c r="BA1499" s="135"/>
      <c r="BB1499" s="135"/>
      <c r="BC1499" s="135"/>
      <c r="BD1499" s="135"/>
      <c r="BE1499" s="135"/>
      <c r="BF1499" s="135"/>
      <c r="BG1499" s="135"/>
      <c r="BH1499" s="135"/>
      <c r="BI1499" s="2"/>
      <c r="BJ1499" s="136"/>
      <c r="BK1499" s="2"/>
      <c r="BL1499" s="136"/>
      <c r="BM1499" s="136"/>
      <c r="BN1499" s="2"/>
      <c r="BO1499" s="2"/>
      <c r="BP1499" s="136"/>
      <c r="BQ1499" s="137"/>
    </row>
    <row r="1500" spans="1:69" ht="12.75" customHeight="1" x14ac:dyDescent="0.2">
      <c r="A1500" s="2">
        <v>2989</v>
      </c>
      <c r="B1500" s="2"/>
      <c r="C1500" s="131"/>
      <c r="D1500" s="131"/>
      <c r="E1500" s="2"/>
      <c r="F1500" s="132">
        <v>0</v>
      </c>
      <c r="G1500" s="132"/>
      <c r="H1500" s="132">
        <f t="shared" si="171"/>
        <v>0</v>
      </c>
      <c r="I1500" s="132"/>
      <c r="J1500" s="132">
        <f t="shared" si="169"/>
        <v>0</v>
      </c>
      <c r="K1500" s="132">
        <f t="shared" si="172"/>
        <v>0</v>
      </c>
      <c r="L1500" s="132">
        <f t="shared" si="173"/>
        <v>0</v>
      </c>
      <c r="M1500" s="133"/>
      <c r="N1500" s="133">
        <f t="shared" si="170"/>
        <v>0</v>
      </c>
      <c r="O1500" s="134"/>
      <c r="P1500" s="133"/>
      <c r="Q1500" s="2"/>
      <c r="R1500" s="156">
        <f t="shared" si="174"/>
        <v>0</v>
      </c>
      <c r="S1500" s="156">
        <f t="shared" si="175"/>
        <v>0</v>
      </c>
      <c r="T1500" s="133"/>
      <c r="U1500" s="133"/>
      <c r="V1500" s="133"/>
      <c r="W1500" s="133"/>
      <c r="X1500" s="133"/>
      <c r="Y1500" s="133"/>
      <c r="Z1500" s="133"/>
      <c r="AA1500" s="133"/>
      <c r="AB1500" s="133"/>
      <c r="AC1500" s="133"/>
      <c r="AD1500" s="133"/>
      <c r="AE1500" s="133"/>
      <c r="AF1500" s="133"/>
      <c r="AG1500" s="133"/>
      <c r="AH1500" s="133"/>
      <c r="AI1500" s="133"/>
      <c r="AJ1500" s="133"/>
      <c r="AK1500" s="133"/>
      <c r="AL1500" s="133"/>
      <c r="AM1500" s="133"/>
      <c r="AN1500" s="133"/>
      <c r="AO1500" s="133"/>
      <c r="AP1500" s="133"/>
      <c r="AQ1500" s="133"/>
      <c r="AR1500" s="133"/>
      <c r="AS1500" s="153">
        <v>0</v>
      </c>
      <c r="AT1500" s="153">
        <v>0</v>
      </c>
      <c r="AU1500" s="153">
        <v>0</v>
      </c>
      <c r="AV1500" s="135"/>
      <c r="AW1500" s="135"/>
      <c r="AX1500" s="135"/>
      <c r="AY1500" s="135"/>
      <c r="AZ1500" s="135"/>
      <c r="BA1500" s="135"/>
      <c r="BB1500" s="135"/>
      <c r="BC1500" s="135"/>
      <c r="BD1500" s="135"/>
      <c r="BE1500" s="135"/>
      <c r="BF1500" s="135"/>
      <c r="BG1500" s="135"/>
      <c r="BH1500" s="135"/>
      <c r="BI1500" s="2"/>
      <c r="BJ1500" s="136"/>
      <c r="BK1500" s="2"/>
      <c r="BL1500" s="136"/>
      <c r="BM1500" s="136"/>
      <c r="BN1500" s="2"/>
      <c r="BO1500" s="2"/>
      <c r="BP1500" s="136"/>
      <c r="BQ1500" s="137"/>
    </row>
    <row r="1501" spans="1:69" ht="12.75" customHeight="1" x14ac:dyDescent="0.2">
      <c r="A1501" s="2">
        <v>2990</v>
      </c>
      <c r="B1501" s="2"/>
      <c r="C1501" s="2"/>
      <c r="D1501" s="2"/>
      <c r="E1501" s="2"/>
      <c r="F1501" s="132">
        <v>0</v>
      </c>
      <c r="G1501" s="132"/>
      <c r="H1501" s="132">
        <f t="shared" si="171"/>
        <v>0</v>
      </c>
      <c r="I1501" s="132"/>
      <c r="J1501" s="132">
        <f t="shared" si="169"/>
        <v>0</v>
      </c>
      <c r="K1501" s="132">
        <f t="shared" si="172"/>
        <v>0</v>
      </c>
      <c r="L1501" s="132">
        <f t="shared" si="173"/>
        <v>0</v>
      </c>
      <c r="M1501" s="133"/>
      <c r="N1501" s="133">
        <f t="shared" si="170"/>
        <v>0</v>
      </c>
      <c r="O1501" s="134"/>
      <c r="P1501" s="133"/>
      <c r="Q1501" s="2"/>
      <c r="R1501" s="156">
        <f t="shared" si="174"/>
        <v>0</v>
      </c>
      <c r="S1501" s="156">
        <f t="shared" si="175"/>
        <v>0</v>
      </c>
      <c r="T1501" s="133"/>
      <c r="U1501" s="133"/>
      <c r="V1501" s="133"/>
      <c r="W1501" s="133"/>
      <c r="X1501" s="133"/>
      <c r="Y1501" s="133"/>
      <c r="Z1501" s="133"/>
      <c r="AA1501" s="133"/>
      <c r="AB1501" s="133"/>
      <c r="AC1501" s="133"/>
      <c r="AD1501" s="133"/>
      <c r="AE1501" s="133"/>
      <c r="AF1501" s="133"/>
      <c r="AG1501" s="133"/>
      <c r="AH1501" s="133"/>
      <c r="AI1501" s="133"/>
      <c r="AJ1501" s="133"/>
      <c r="AK1501" s="133"/>
      <c r="AL1501" s="133"/>
      <c r="AM1501" s="133"/>
      <c r="AN1501" s="133"/>
      <c r="AO1501" s="133"/>
      <c r="AP1501" s="133"/>
      <c r="AQ1501" s="133"/>
      <c r="AR1501" s="133"/>
      <c r="AS1501" s="153">
        <v>0</v>
      </c>
      <c r="AT1501" s="153">
        <v>0</v>
      </c>
      <c r="AU1501" s="153">
        <v>0</v>
      </c>
      <c r="AV1501" s="135"/>
      <c r="AW1501" s="135"/>
      <c r="AX1501" s="135"/>
      <c r="AY1501" s="135"/>
      <c r="AZ1501" s="135"/>
      <c r="BA1501" s="135"/>
      <c r="BB1501" s="135"/>
      <c r="BC1501" s="135"/>
      <c r="BD1501" s="135"/>
      <c r="BE1501" s="135"/>
      <c r="BF1501" s="135"/>
      <c r="BG1501" s="135"/>
      <c r="BH1501" s="135"/>
      <c r="BI1501" s="2"/>
      <c r="BJ1501" s="136"/>
      <c r="BK1501" s="2"/>
      <c r="BL1501" s="136"/>
      <c r="BM1501" s="136"/>
      <c r="BN1501" s="2"/>
      <c r="BO1501" s="2"/>
      <c r="BP1501" s="136"/>
      <c r="BQ1501" s="137"/>
    </row>
    <row r="1502" spans="1:69" ht="12.75" customHeight="1" x14ac:dyDescent="0.2">
      <c r="A1502" s="2">
        <v>2991</v>
      </c>
      <c r="B1502" s="2"/>
      <c r="C1502" s="2"/>
      <c r="D1502" s="2"/>
      <c r="E1502" s="2"/>
      <c r="F1502" s="132">
        <v>0</v>
      </c>
      <c r="G1502" s="132"/>
      <c r="H1502" s="132">
        <f t="shared" si="171"/>
        <v>0</v>
      </c>
      <c r="I1502" s="132"/>
      <c r="J1502" s="132">
        <f t="shared" si="169"/>
        <v>0</v>
      </c>
      <c r="K1502" s="132">
        <f t="shared" si="172"/>
        <v>0</v>
      </c>
      <c r="L1502" s="132">
        <f t="shared" si="173"/>
        <v>0</v>
      </c>
      <c r="M1502" s="133"/>
      <c r="N1502" s="133">
        <f t="shared" si="170"/>
        <v>0</v>
      </c>
      <c r="O1502" s="134"/>
      <c r="P1502" s="133"/>
      <c r="Q1502" s="2"/>
      <c r="R1502" s="156">
        <f t="shared" si="174"/>
        <v>0</v>
      </c>
      <c r="S1502" s="156">
        <f t="shared" si="175"/>
        <v>0</v>
      </c>
      <c r="T1502" s="133"/>
      <c r="U1502" s="133"/>
      <c r="V1502" s="133"/>
      <c r="W1502" s="133"/>
      <c r="X1502" s="133"/>
      <c r="Y1502" s="133"/>
      <c r="Z1502" s="133"/>
      <c r="AA1502" s="133"/>
      <c r="AB1502" s="133"/>
      <c r="AC1502" s="133"/>
      <c r="AD1502" s="133"/>
      <c r="AE1502" s="133"/>
      <c r="AF1502" s="133"/>
      <c r="AG1502" s="133"/>
      <c r="AH1502" s="133"/>
      <c r="AI1502" s="133"/>
      <c r="AJ1502" s="133"/>
      <c r="AK1502" s="133"/>
      <c r="AL1502" s="133"/>
      <c r="AM1502" s="133"/>
      <c r="AN1502" s="133"/>
      <c r="AO1502" s="133"/>
      <c r="AP1502" s="133"/>
      <c r="AQ1502" s="133"/>
      <c r="AR1502" s="133"/>
      <c r="AS1502" s="153">
        <v>0</v>
      </c>
      <c r="AT1502" s="153">
        <v>0</v>
      </c>
      <c r="AU1502" s="153">
        <v>0</v>
      </c>
      <c r="AV1502" s="135"/>
      <c r="AW1502" s="135"/>
      <c r="AX1502" s="135"/>
      <c r="AY1502" s="135"/>
      <c r="AZ1502" s="135"/>
      <c r="BA1502" s="135"/>
      <c r="BB1502" s="135"/>
      <c r="BC1502" s="135"/>
      <c r="BD1502" s="135"/>
      <c r="BE1502" s="135"/>
      <c r="BF1502" s="135"/>
      <c r="BG1502" s="135"/>
      <c r="BH1502" s="135"/>
      <c r="BI1502" s="2"/>
      <c r="BJ1502" s="136"/>
      <c r="BK1502" s="2"/>
      <c r="BL1502" s="136"/>
      <c r="BM1502" s="136"/>
      <c r="BN1502" s="2"/>
      <c r="BO1502" s="2"/>
      <c r="BP1502" s="136"/>
      <c r="BQ1502" s="137"/>
    </row>
    <row r="1503" spans="1:69" ht="12.75" customHeight="1" x14ac:dyDescent="0.2">
      <c r="A1503" s="2">
        <v>2992</v>
      </c>
      <c r="B1503" s="2"/>
      <c r="C1503" s="2"/>
      <c r="D1503" s="2"/>
      <c r="E1503" s="2"/>
      <c r="F1503" s="132">
        <v>0</v>
      </c>
      <c r="G1503" s="132"/>
      <c r="H1503" s="132">
        <f t="shared" si="171"/>
        <v>0</v>
      </c>
      <c r="I1503" s="132"/>
      <c r="J1503" s="132">
        <f t="shared" si="169"/>
        <v>0</v>
      </c>
      <c r="K1503" s="132">
        <f t="shared" si="172"/>
        <v>0</v>
      </c>
      <c r="L1503" s="132">
        <f t="shared" si="173"/>
        <v>0</v>
      </c>
      <c r="M1503" s="133"/>
      <c r="N1503" s="133">
        <f t="shared" si="170"/>
        <v>0</v>
      </c>
      <c r="O1503" s="134"/>
      <c r="P1503" s="133"/>
      <c r="Q1503" s="2"/>
      <c r="R1503" s="156">
        <f t="shared" si="174"/>
        <v>0</v>
      </c>
      <c r="S1503" s="156">
        <f t="shared" si="175"/>
        <v>0</v>
      </c>
      <c r="T1503" s="133"/>
      <c r="U1503" s="133"/>
      <c r="V1503" s="133"/>
      <c r="W1503" s="133"/>
      <c r="X1503" s="133"/>
      <c r="Y1503" s="133"/>
      <c r="Z1503" s="133"/>
      <c r="AA1503" s="133"/>
      <c r="AB1503" s="133"/>
      <c r="AC1503" s="133"/>
      <c r="AD1503" s="133"/>
      <c r="AE1503" s="133"/>
      <c r="AF1503" s="133"/>
      <c r="AG1503" s="133"/>
      <c r="AH1503" s="133"/>
      <c r="AI1503" s="133"/>
      <c r="AJ1503" s="133"/>
      <c r="AK1503" s="133"/>
      <c r="AL1503" s="133"/>
      <c r="AM1503" s="133"/>
      <c r="AN1503" s="133"/>
      <c r="AO1503" s="133"/>
      <c r="AP1503" s="133"/>
      <c r="AQ1503" s="133"/>
      <c r="AR1503" s="133"/>
      <c r="AS1503" s="153">
        <v>0</v>
      </c>
      <c r="AT1503" s="153">
        <v>0</v>
      </c>
      <c r="AU1503" s="153">
        <v>0</v>
      </c>
      <c r="AV1503" s="135"/>
      <c r="AW1503" s="135"/>
      <c r="AX1503" s="135"/>
      <c r="AY1503" s="135"/>
      <c r="AZ1503" s="135"/>
      <c r="BA1503" s="135"/>
      <c r="BB1503" s="135"/>
      <c r="BC1503" s="135"/>
      <c r="BD1503" s="135"/>
      <c r="BE1503" s="135"/>
      <c r="BF1503" s="135"/>
      <c r="BG1503" s="135"/>
      <c r="BH1503" s="135"/>
      <c r="BI1503" s="2"/>
      <c r="BJ1503" s="136"/>
      <c r="BK1503" s="2"/>
      <c r="BL1503" s="136"/>
      <c r="BM1503" s="136"/>
      <c r="BN1503" s="2"/>
      <c r="BO1503" s="2"/>
      <c r="BP1503" s="136"/>
      <c r="BQ1503" s="137"/>
    </row>
    <row r="1504" spans="1:69" ht="12.75" customHeight="1" x14ac:dyDescent="0.2">
      <c r="A1504" s="2">
        <v>2993</v>
      </c>
      <c r="B1504" s="2"/>
      <c r="C1504" s="2"/>
      <c r="D1504" s="2"/>
      <c r="E1504" s="2"/>
      <c r="F1504" s="132">
        <v>0</v>
      </c>
      <c r="G1504" s="132"/>
      <c r="H1504" s="132">
        <f t="shared" si="171"/>
        <v>0</v>
      </c>
      <c r="I1504" s="132"/>
      <c r="J1504" s="132">
        <f t="shared" si="169"/>
        <v>0</v>
      </c>
      <c r="K1504" s="132">
        <f t="shared" si="172"/>
        <v>0</v>
      </c>
      <c r="L1504" s="132">
        <f t="shared" si="173"/>
        <v>0</v>
      </c>
      <c r="M1504" s="133"/>
      <c r="N1504" s="133">
        <f t="shared" si="170"/>
        <v>0</v>
      </c>
      <c r="O1504" s="134"/>
      <c r="P1504" s="133"/>
      <c r="Q1504" s="2"/>
      <c r="R1504" s="156">
        <f t="shared" si="174"/>
        <v>0</v>
      </c>
      <c r="S1504" s="156">
        <f t="shared" si="175"/>
        <v>0</v>
      </c>
      <c r="T1504" s="133"/>
      <c r="U1504" s="133"/>
      <c r="V1504" s="133"/>
      <c r="W1504" s="133"/>
      <c r="X1504" s="133"/>
      <c r="Y1504" s="133"/>
      <c r="Z1504" s="133"/>
      <c r="AA1504" s="133"/>
      <c r="AB1504" s="133"/>
      <c r="AC1504" s="133"/>
      <c r="AD1504" s="133"/>
      <c r="AE1504" s="133"/>
      <c r="AF1504" s="133"/>
      <c r="AG1504" s="133"/>
      <c r="AH1504" s="133"/>
      <c r="AI1504" s="133"/>
      <c r="AJ1504" s="133"/>
      <c r="AK1504" s="133"/>
      <c r="AL1504" s="133"/>
      <c r="AM1504" s="133"/>
      <c r="AN1504" s="133"/>
      <c r="AO1504" s="133"/>
      <c r="AP1504" s="133"/>
      <c r="AQ1504" s="133"/>
      <c r="AR1504" s="133"/>
      <c r="AS1504" s="153">
        <v>0</v>
      </c>
      <c r="AT1504" s="153">
        <v>0</v>
      </c>
      <c r="AU1504" s="153">
        <v>0</v>
      </c>
      <c r="AV1504" s="135"/>
      <c r="AW1504" s="135"/>
      <c r="AX1504" s="135"/>
      <c r="AY1504" s="135"/>
      <c r="AZ1504" s="135"/>
      <c r="BA1504" s="135"/>
      <c r="BB1504" s="135"/>
      <c r="BC1504" s="135"/>
      <c r="BD1504" s="135"/>
      <c r="BE1504" s="135"/>
      <c r="BF1504" s="135"/>
      <c r="BG1504" s="135"/>
      <c r="BH1504" s="135"/>
      <c r="BI1504" s="2"/>
      <c r="BJ1504" s="136"/>
      <c r="BK1504" s="2"/>
      <c r="BL1504" s="136"/>
      <c r="BM1504" s="136"/>
      <c r="BN1504" s="2"/>
      <c r="BO1504" s="2"/>
      <c r="BP1504" s="136"/>
      <c r="BQ1504" s="137"/>
    </row>
    <row r="1505" spans="1:69" ht="12.75" customHeight="1" x14ac:dyDescent="0.2">
      <c r="A1505" s="2">
        <v>2994</v>
      </c>
      <c r="B1505" s="2"/>
      <c r="C1505" s="2"/>
      <c r="D1505" s="2"/>
      <c r="E1505" s="2"/>
      <c r="F1505" s="132">
        <v>0</v>
      </c>
      <c r="G1505" s="132"/>
      <c r="H1505" s="132">
        <f t="shared" si="171"/>
        <v>0</v>
      </c>
      <c r="I1505" s="132"/>
      <c r="J1505" s="132">
        <f t="shared" si="169"/>
        <v>0</v>
      </c>
      <c r="K1505" s="132">
        <f t="shared" si="172"/>
        <v>0</v>
      </c>
      <c r="L1505" s="132">
        <f t="shared" si="173"/>
        <v>0</v>
      </c>
      <c r="M1505" s="133"/>
      <c r="N1505" s="133">
        <f t="shared" si="170"/>
        <v>0</v>
      </c>
      <c r="O1505" s="134"/>
      <c r="P1505" s="133"/>
      <c r="Q1505" s="2"/>
      <c r="R1505" s="156">
        <f t="shared" si="174"/>
        <v>0</v>
      </c>
      <c r="S1505" s="156">
        <f t="shared" si="175"/>
        <v>0</v>
      </c>
      <c r="T1505" s="133"/>
      <c r="U1505" s="133"/>
      <c r="V1505" s="133"/>
      <c r="W1505" s="133"/>
      <c r="X1505" s="133"/>
      <c r="Y1505" s="133"/>
      <c r="Z1505" s="133"/>
      <c r="AA1505" s="133"/>
      <c r="AB1505" s="133"/>
      <c r="AC1505" s="133"/>
      <c r="AD1505" s="133"/>
      <c r="AE1505" s="133"/>
      <c r="AF1505" s="133"/>
      <c r="AG1505" s="133"/>
      <c r="AH1505" s="133"/>
      <c r="AI1505" s="133"/>
      <c r="AJ1505" s="133"/>
      <c r="AK1505" s="133"/>
      <c r="AL1505" s="133"/>
      <c r="AM1505" s="133"/>
      <c r="AN1505" s="133"/>
      <c r="AO1505" s="133"/>
      <c r="AP1505" s="133"/>
      <c r="AQ1505" s="133"/>
      <c r="AR1505" s="133"/>
      <c r="AS1505" s="153">
        <v>0</v>
      </c>
      <c r="AT1505" s="153">
        <v>0</v>
      </c>
      <c r="AU1505" s="153">
        <v>0</v>
      </c>
      <c r="AV1505" s="135"/>
      <c r="AW1505" s="135"/>
      <c r="AX1505" s="135"/>
      <c r="AY1505" s="135"/>
      <c r="AZ1505" s="135"/>
      <c r="BA1505" s="135"/>
      <c r="BB1505" s="135"/>
      <c r="BC1505" s="135"/>
      <c r="BD1505" s="135"/>
      <c r="BE1505" s="135"/>
      <c r="BF1505" s="135"/>
      <c r="BG1505" s="135"/>
      <c r="BH1505" s="135"/>
      <c r="BI1505" s="2"/>
      <c r="BJ1505" s="136"/>
      <c r="BK1505" s="2"/>
      <c r="BL1505" s="136"/>
      <c r="BM1505" s="136"/>
      <c r="BN1505" s="2"/>
      <c r="BO1505" s="2"/>
      <c r="BP1505" s="136"/>
      <c r="BQ1505" s="137"/>
    </row>
    <row r="1506" spans="1:69" ht="12.75" customHeight="1" x14ac:dyDescent="0.2">
      <c r="A1506" s="2">
        <v>2995</v>
      </c>
      <c r="B1506" s="2"/>
      <c r="C1506" s="2"/>
      <c r="D1506" s="2"/>
      <c r="E1506" s="2"/>
      <c r="F1506" s="132">
        <v>0</v>
      </c>
      <c r="G1506" s="132"/>
      <c r="H1506" s="132">
        <f t="shared" si="171"/>
        <v>0</v>
      </c>
      <c r="I1506" s="132"/>
      <c r="J1506" s="132">
        <f t="shared" si="169"/>
        <v>0</v>
      </c>
      <c r="K1506" s="132">
        <f t="shared" si="172"/>
        <v>0</v>
      </c>
      <c r="L1506" s="132">
        <f t="shared" si="173"/>
        <v>0</v>
      </c>
      <c r="M1506" s="133"/>
      <c r="N1506" s="133">
        <f t="shared" si="170"/>
        <v>0</v>
      </c>
      <c r="O1506" s="134"/>
      <c r="P1506" s="133"/>
      <c r="Q1506" s="2"/>
      <c r="R1506" s="156">
        <f t="shared" si="174"/>
        <v>0</v>
      </c>
      <c r="S1506" s="156">
        <f t="shared" si="175"/>
        <v>0</v>
      </c>
      <c r="T1506" s="133"/>
      <c r="U1506" s="133"/>
      <c r="V1506" s="133"/>
      <c r="W1506" s="133"/>
      <c r="X1506" s="133"/>
      <c r="Y1506" s="133"/>
      <c r="Z1506" s="133"/>
      <c r="AA1506" s="133"/>
      <c r="AB1506" s="133"/>
      <c r="AC1506" s="133"/>
      <c r="AD1506" s="133"/>
      <c r="AE1506" s="133"/>
      <c r="AF1506" s="133"/>
      <c r="AG1506" s="133"/>
      <c r="AH1506" s="133"/>
      <c r="AI1506" s="133"/>
      <c r="AJ1506" s="133"/>
      <c r="AK1506" s="133"/>
      <c r="AL1506" s="133"/>
      <c r="AM1506" s="133"/>
      <c r="AN1506" s="133"/>
      <c r="AO1506" s="133"/>
      <c r="AP1506" s="133"/>
      <c r="AQ1506" s="133"/>
      <c r="AR1506" s="133"/>
      <c r="AS1506" s="153">
        <v>0</v>
      </c>
      <c r="AT1506" s="153">
        <v>0</v>
      </c>
      <c r="AU1506" s="153">
        <v>0</v>
      </c>
      <c r="AV1506" s="135"/>
      <c r="AW1506" s="135"/>
      <c r="AX1506" s="135"/>
      <c r="AY1506" s="135"/>
      <c r="AZ1506" s="135"/>
      <c r="BA1506" s="135"/>
      <c r="BB1506" s="135"/>
      <c r="BC1506" s="135"/>
      <c r="BD1506" s="135"/>
      <c r="BE1506" s="135"/>
      <c r="BF1506" s="135"/>
      <c r="BG1506" s="135"/>
      <c r="BH1506" s="135"/>
      <c r="BI1506" s="2"/>
      <c r="BJ1506" s="136"/>
      <c r="BK1506" s="2"/>
      <c r="BL1506" s="136"/>
      <c r="BM1506" s="136"/>
      <c r="BN1506" s="2"/>
      <c r="BO1506" s="2"/>
      <c r="BP1506" s="136"/>
      <c r="BQ1506" s="137"/>
    </row>
    <row r="1507" spans="1:69" ht="12.75" customHeight="1" x14ac:dyDescent="0.2">
      <c r="A1507" s="2">
        <v>2996</v>
      </c>
      <c r="B1507" s="2"/>
      <c r="C1507" s="2"/>
      <c r="D1507" s="2"/>
      <c r="E1507" s="2"/>
      <c r="F1507" s="132">
        <v>0</v>
      </c>
      <c r="G1507" s="132"/>
      <c r="H1507" s="132">
        <f t="shared" si="171"/>
        <v>0</v>
      </c>
      <c r="I1507" s="132"/>
      <c r="J1507" s="132">
        <f t="shared" si="169"/>
        <v>0</v>
      </c>
      <c r="K1507" s="132">
        <f t="shared" si="172"/>
        <v>0</v>
      </c>
      <c r="L1507" s="132">
        <f t="shared" si="173"/>
        <v>0</v>
      </c>
      <c r="M1507" s="133"/>
      <c r="N1507" s="133">
        <f t="shared" si="170"/>
        <v>0</v>
      </c>
      <c r="O1507" s="134"/>
      <c r="P1507" s="133"/>
      <c r="Q1507" s="2"/>
      <c r="R1507" s="156">
        <f t="shared" si="174"/>
        <v>0</v>
      </c>
      <c r="S1507" s="156">
        <f t="shared" si="175"/>
        <v>0</v>
      </c>
      <c r="T1507" s="133"/>
      <c r="U1507" s="133"/>
      <c r="V1507" s="133"/>
      <c r="W1507" s="133"/>
      <c r="X1507" s="133"/>
      <c r="Y1507" s="133"/>
      <c r="Z1507" s="133"/>
      <c r="AA1507" s="133"/>
      <c r="AB1507" s="133"/>
      <c r="AC1507" s="133"/>
      <c r="AD1507" s="133"/>
      <c r="AE1507" s="133"/>
      <c r="AF1507" s="133"/>
      <c r="AG1507" s="133"/>
      <c r="AH1507" s="133"/>
      <c r="AI1507" s="133"/>
      <c r="AJ1507" s="133"/>
      <c r="AK1507" s="133"/>
      <c r="AL1507" s="133"/>
      <c r="AM1507" s="133"/>
      <c r="AN1507" s="133"/>
      <c r="AO1507" s="133"/>
      <c r="AP1507" s="133"/>
      <c r="AQ1507" s="133"/>
      <c r="AR1507" s="133"/>
      <c r="AS1507" s="153">
        <v>0</v>
      </c>
      <c r="AT1507" s="153">
        <v>0</v>
      </c>
      <c r="AU1507" s="153">
        <v>0</v>
      </c>
      <c r="AV1507" s="135"/>
      <c r="AW1507" s="135"/>
      <c r="AX1507" s="135"/>
      <c r="AY1507" s="135"/>
      <c r="AZ1507" s="135"/>
      <c r="BA1507" s="135"/>
      <c r="BB1507" s="135"/>
      <c r="BC1507" s="135"/>
      <c r="BD1507" s="135"/>
      <c r="BE1507" s="135"/>
      <c r="BF1507" s="135"/>
      <c r="BG1507" s="135"/>
      <c r="BH1507" s="135"/>
      <c r="BI1507" s="2"/>
      <c r="BJ1507" s="136"/>
      <c r="BK1507" s="2"/>
      <c r="BL1507" s="136"/>
      <c r="BM1507" s="136"/>
      <c r="BN1507" s="2"/>
      <c r="BO1507" s="2"/>
      <c r="BP1507" s="136"/>
      <c r="BQ1507" s="137"/>
    </row>
    <row r="1508" spans="1:69" ht="12.75" customHeight="1" x14ac:dyDescent="0.2">
      <c r="A1508" s="2">
        <v>2997</v>
      </c>
      <c r="B1508" s="2"/>
      <c r="C1508" s="2"/>
      <c r="D1508" s="2"/>
      <c r="E1508" s="2"/>
      <c r="F1508" s="132">
        <v>0</v>
      </c>
      <c r="G1508" s="132"/>
      <c r="H1508" s="132">
        <f t="shared" si="171"/>
        <v>0</v>
      </c>
      <c r="I1508" s="132"/>
      <c r="J1508" s="132">
        <f t="shared" ref="J1508:J1571" si="176">S1508</f>
        <v>0</v>
      </c>
      <c r="K1508" s="132">
        <f t="shared" si="172"/>
        <v>0</v>
      </c>
      <c r="L1508" s="132">
        <f t="shared" si="173"/>
        <v>0</v>
      </c>
      <c r="M1508" s="133"/>
      <c r="N1508" s="133">
        <f t="shared" si="170"/>
        <v>0</v>
      </c>
      <c r="O1508" s="134"/>
      <c r="P1508" s="133"/>
      <c r="Q1508" s="2"/>
      <c r="R1508" s="156">
        <f t="shared" si="174"/>
        <v>0</v>
      </c>
      <c r="S1508" s="156">
        <f t="shared" si="175"/>
        <v>0</v>
      </c>
      <c r="T1508" s="133"/>
      <c r="U1508" s="133"/>
      <c r="V1508" s="133"/>
      <c r="W1508" s="133"/>
      <c r="X1508" s="133"/>
      <c r="Y1508" s="133"/>
      <c r="Z1508" s="133"/>
      <c r="AA1508" s="133"/>
      <c r="AB1508" s="133"/>
      <c r="AC1508" s="133"/>
      <c r="AD1508" s="133"/>
      <c r="AE1508" s="133"/>
      <c r="AF1508" s="133"/>
      <c r="AG1508" s="133"/>
      <c r="AH1508" s="133"/>
      <c r="AI1508" s="133"/>
      <c r="AJ1508" s="133"/>
      <c r="AK1508" s="133"/>
      <c r="AL1508" s="133"/>
      <c r="AM1508" s="133"/>
      <c r="AN1508" s="133"/>
      <c r="AO1508" s="133"/>
      <c r="AP1508" s="133"/>
      <c r="AQ1508" s="133"/>
      <c r="AR1508" s="133"/>
      <c r="AS1508" s="153">
        <v>0</v>
      </c>
      <c r="AT1508" s="153">
        <v>0</v>
      </c>
      <c r="AU1508" s="153">
        <v>0</v>
      </c>
      <c r="AV1508" s="135"/>
      <c r="AW1508" s="135"/>
      <c r="AX1508" s="135"/>
      <c r="AY1508" s="135"/>
      <c r="AZ1508" s="135"/>
      <c r="BA1508" s="135"/>
      <c r="BB1508" s="135"/>
      <c r="BC1508" s="135"/>
      <c r="BD1508" s="135"/>
      <c r="BE1508" s="135"/>
      <c r="BF1508" s="135"/>
      <c r="BG1508" s="135"/>
      <c r="BH1508" s="135"/>
      <c r="BI1508" s="2"/>
      <c r="BJ1508" s="136"/>
      <c r="BK1508" s="2"/>
      <c r="BL1508" s="136"/>
      <c r="BM1508" s="136"/>
      <c r="BN1508" s="2"/>
      <c r="BO1508" s="2"/>
      <c r="BP1508" s="136"/>
      <c r="BQ1508" s="137"/>
    </row>
    <row r="1509" spans="1:69" ht="12.75" customHeight="1" x14ac:dyDescent="0.2">
      <c r="A1509" s="2">
        <v>2998</v>
      </c>
      <c r="B1509" s="2"/>
      <c r="C1509" s="2"/>
      <c r="D1509" s="2"/>
      <c r="E1509" s="2"/>
      <c r="F1509" s="132">
        <v>0</v>
      </c>
      <c r="G1509" s="132"/>
      <c r="H1509" s="132">
        <f t="shared" si="171"/>
        <v>0</v>
      </c>
      <c r="I1509" s="132"/>
      <c r="J1509" s="132">
        <f t="shared" si="176"/>
        <v>0</v>
      </c>
      <c r="K1509" s="132">
        <f t="shared" si="172"/>
        <v>0</v>
      </c>
      <c r="L1509" s="132">
        <f t="shared" si="173"/>
        <v>0</v>
      </c>
      <c r="M1509" s="133"/>
      <c r="N1509" s="133">
        <f t="shared" si="170"/>
        <v>0</v>
      </c>
      <c r="O1509" s="134"/>
      <c r="P1509" s="133"/>
      <c r="Q1509" s="2"/>
      <c r="R1509" s="156">
        <f t="shared" si="174"/>
        <v>0</v>
      </c>
      <c r="S1509" s="156">
        <f t="shared" si="175"/>
        <v>0</v>
      </c>
      <c r="T1509" s="133"/>
      <c r="U1509" s="133"/>
      <c r="V1509" s="133"/>
      <c r="W1509" s="133"/>
      <c r="X1509" s="133"/>
      <c r="Y1509" s="133"/>
      <c r="Z1509" s="133"/>
      <c r="AA1509" s="133"/>
      <c r="AB1509" s="133"/>
      <c r="AC1509" s="133"/>
      <c r="AD1509" s="133"/>
      <c r="AE1509" s="133"/>
      <c r="AF1509" s="133"/>
      <c r="AG1509" s="133"/>
      <c r="AH1509" s="133"/>
      <c r="AI1509" s="133"/>
      <c r="AJ1509" s="133"/>
      <c r="AK1509" s="133"/>
      <c r="AL1509" s="133"/>
      <c r="AM1509" s="133"/>
      <c r="AN1509" s="133"/>
      <c r="AO1509" s="133"/>
      <c r="AP1509" s="133"/>
      <c r="AQ1509" s="133"/>
      <c r="AR1509" s="133"/>
      <c r="AS1509" s="153">
        <v>0</v>
      </c>
      <c r="AT1509" s="153">
        <v>0</v>
      </c>
      <c r="AU1509" s="153">
        <v>0</v>
      </c>
      <c r="AV1509" s="135"/>
      <c r="AW1509" s="135"/>
      <c r="AX1509" s="135"/>
      <c r="AY1509" s="135"/>
      <c r="AZ1509" s="135"/>
      <c r="BA1509" s="135"/>
      <c r="BB1509" s="135"/>
      <c r="BC1509" s="135"/>
      <c r="BD1509" s="135"/>
      <c r="BE1509" s="135"/>
      <c r="BF1509" s="135"/>
      <c r="BG1509" s="135"/>
      <c r="BH1509" s="135"/>
      <c r="BI1509" s="2"/>
      <c r="BJ1509" s="136"/>
      <c r="BK1509" s="2"/>
      <c r="BL1509" s="136"/>
      <c r="BM1509" s="136"/>
      <c r="BN1509" s="2"/>
      <c r="BO1509" s="2"/>
      <c r="BP1509" s="136"/>
      <c r="BQ1509" s="137"/>
    </row>
    <row r="1510" spans="1:69" ht="12.75" customHeight="1" x14ac:dyDescent="0.2">
      <c r="A1510" s="2">
        <v>2999</v>
      </c>
      <c r="B1510" s="2"/>
      <c r="C1510" s="2"/>
      <c r="D1510" s="2"/>
      <c r="E1510" s="2"/>
      <c r="F1510" s="132">
        <v>0</v>
      </c>
      <c r="G1510" s="132"/>
      <c r="H1510" s="132">
        <f t="shared" si="171"/>
        <v>0</v>
      </c>
      <c r="I1510" s="132"/>
      <c r="J1510" s="132">
        <f t="shared" si="176"/>
        <v>0</v>
      </c>
      <c r="K1510" s="132">
        <f t="shared" si="172"/>
        <v>0</v>
      </c>
      <c r="L1510" s="132">
        <f t="shared" si="173"/>
        <v>0</v>
      </c>
      <c r="M1510" s="133"/>
      <c r="N1510" s="133">
        <f t="shared" si="170"/>
        <v>0</v>
      </c>
      <c r="O1510" s="134"/>
      <c r="P1510" s="133"/>
      <c r="Q1510" s="2"/>
      <c r="R1510" s="156">
        <f t="shared" si="174"/>
        <v>0</v>
      </c>
      <c r="S1510" s="156">
        <f t="shared" si="175"/>
        <v>0</v>
      </c>
      <c r="T1510" s="133"/>
      <c r="U1510" s="133"/>
      <c r="V1510" s="133"/>
      <c r="W1510" s="133"/>
      <c r="X1510" s="133"/>
      <c r="Y1510" s="133"/>
      <c r="Z1510" s="133"/>
      <c r="AA1510" s="133"/>
      <c r="AB1510" s="133"/>
      <c r="AC1510" s="133"/>
      <c r="AD1510" s="133"/>
      <c r="AE1510" s="133"/>
      <c r="AF1510" s="133"/>
      <c r="AG1510" s="133"/>
      <c r="AH1510" s="133"/>
      <c r="AI1510" s="133"/>
      <c r="AJ1510" s="133"/>
      <c r="AK1510" s="133"/>
      <c r="AL1510" s="133"/>
      <c r="AM1510" s="133"/>
      <c r="AN1510" s="133"/>
      <c r="AO1510" s="133"/>
      <c r="AP1510" s="133"/>
      <c r="AQ1510" s="133"/>
      <c r="AR1510" s="133"/>
      <c r="AS1510" s="153">
        <v>0</v>
      </c>
      <c r="AT1510" s="153">
        <v>0</v>
      </c>
      <c r="AU1510" s="153">
        <v>0</v>
      </c>
      <c r="AV1510" s="135"/>
      <c r="AW1510" s="135"/>
      <c r="AX1510" s="135"/>
      <c r="AY1510" s="135"/>
      <c r="AZ1510" s="135"/>
      <c r="BA1510" s="135"/>
      <c r="BB1510" s="135"/>
      <c r="BC1510" s="135"/>
      <c r="BD1510" s="135"/>
      <c r="BE1510" s="135"/>
      <c r="BF1510" s="135"/>
      <c r="BG1510" s="135"/>
      <c r="BH1510" s="135"/>
      <c r="BI1510" s="2"/>
      <c r="BJ1510" s="136"/>
      <c r="BK1510" s="2"/>
      <c r="BL1510" s="136"/>
      <c r="BM1510" s="136"/>
      <c r="BN1510" s="2"/>
      <c r="BO1510" s="2"/>
      <c r="BP1510" s="136"/>
      <c r="BQ1510" s="137"/>
    </row>
    <row r="1511" spans="1:69" ht="12.75" customHeight="1" x14ac:dyDescent="0.2">
      <c r="A1511" s="2">
        <v>3000</v>
      </c>
      <c r="B1511" s="2"/>
      <c r="C1511" s="2"/>
      <c r="D1511" s="2"/>
      <c r="E1511" s="2"/>
      <c r="F1511" s="132">
        <v>0</v>
      </c>
      <c r="G1511" s="132"/>
      <c r="H1511" s="132">
        <f t="shared" si="171"/>
        <v>0</v>
      </c>
      <c r="I1511" s="132"/>
      <c r="J1511" s="132">
        <f t="shared" si="176"/>
        <v>0</v>
      </c>
      <c r="K1511" s="132">
        <f t="shared" si="172"/>
        <v>0</v>
      </c>
      <c r="L1511" s="132">
        <f t="shared" si="173"/>
        <v>0</v>
      </c>
      <c r="M1511" s="133"/>
      <c r="N1511" s="133">
        <f t="shared" si="170"/>
        <v>0</v>
      </c>
      <c r="O1511" s="134"/>
      <c r="P1511" s="133"/>
      <c r="Q1511" s="2"/>
      <c r="R1511" s="156">
        <f t="shared" si="174"/>
        <v>0</v>
      </c>
      <c r="S1511" s="156">
        <f t="shared" si="175"/>
        <v>0</v>
      </c>
      <c r="T1511" s="133"/>
      <c r="U1511" s="133"/>
      <c r="V1511" s="133"/>
      <c r="W1511" s="133"/>
      <c r="X1511" s="133"/>
      <c r="Y1511" s="133"/>
      <c r="Z1511" s="133"/>
      <c r="AA1511" s="133"/>
      <c r="AB1511" s="133"/>
      <c r="AC1511" s="133"/>
      <c r="AD1511" s="133"/>
      <c r="AE1511" s="133"/>
      <c r="AF1511" s="133"/>
      <c r="AG1511" s="133"/>
      <c r="AH1511" s="133"/>
      <c r="AI1511" s="133"/>
      <c r="AJ1511" s="133"/>
      <c r="AK1511" s="133"/>
      <c r="AL1511" s="133"/>
      <c r="AM1511" s="133"/>
      <c r="AN1511" s="133"/>
      <c r="AO1511" s="133"/>
      <c r="AP1511" s="133"/>
      <c r="AQ1511" s="133"/>
      <c r="AR1511" s="133"/>
      <c r="AS1511" s="153">
        <v>0</v>
      </c>
      <c r="AT1511" s="153">
        <v>0</v>
      </c>
      <c r="AU1511" s="153">
        <v>0</v>
      </c>
      <c r="AV1511" s="135"/>
      <c r="AW1511" s="135"/>
      <c r="AX1511" s="135"/>
      <c r="AY1511" s="135"/>
      <c r="AZ1511" s="135"/>
      <c r="BA1511" s="135"/>
      <c r="BB1511" s="135"/>
      <c r="BC1511" s="135"/>
      <c r="BD1511" s="135"/>
      <c r="BE1511" s="135"/>
      <c r="BF1511" s="135"/>
      <c r="BG1511" s="135"/>
      <c r="BH1511" s="135"/>
      <c r="BI1511" s="2"/>
      <c r="BJ1511" s="136"/>
      <c r="BK1511" s="2"/>
      <c r="BL1511" s="136"/>
      <c r="BM1511" s="136"/>
      <c r="BN1511" s="2"/>
      <c r="BO1511" s="2"/>
      <c r="BP1511" s="136"/>
      <c r="BQ1511" s="137"/>
    </row>
    <row r="1512" spans="1:69" ht="12.75" customHeight="1" x14ac:dyDescent="0.2">
      <c r="A1512" s="2">
        <v>3001</v>
      </c>
      <c r="B1512" s="2"/>
      <c r="C1512" s="2"/>
      <c r="D1512" s="2"/>
      <c r="E1512" s="2"/>
      <c r="F1512" s="132">
        <v>0</v>
      </c>
      <c r="G1512" s="132"/>
      <c r="H1512" s="132">
        <f t="shared" si="171"/>
        <v>0</v>
      </c>
      <c r="I1512" s="132"/>
      <c r="J1512" s="132">
        <f t="shared" si="176"/>
        <v>0</v>
      </c>
      <c r="K1512" s="132">
        <f t="shared" si="172"/>
        <v>0</v>
      </c>
      <c r="L1512" s="132">
        <f t="shared" si="173"/>
        <v>0</v>
      </c>
      <c r="M1512" s="133"/>
      <c r="N1512" s="133">
        <f t="shared" si="170"/>
        <v>0</v>
      </c>
      <c r="O1512" s="134"/>
      <c r="P1512" s="133"/>
      <c r="Q1512" s="2"/>
      <c r="R1512" s="156">
        <f t="shared" si="174"/>
        <v>0</v>
      </c>
      <c r="S1512" s="156">
        <f t="shared" si="175"/>
        <v>0</v>
      </c>
      <c r="T1512" s="133"/>
      <c r="U1512" s="133"/>
      <c r="V1512" s="133"/>
      <c r="W1512" s="133"/>
      <c r="X1512" s="133"/>
      <c r="Y1512" s="133"/>
      <c r="Z1512" s="133"/>
      <c r="AA1512" s="133"/>
      <c r="AB1512" s="133"/>
      <c r="AC1512" s="133"/>
      <c r="AD1512" s="133"/>
      <c r="AE1512" s="133"/>
      <c r="AF1512" s="133"/>
      <c r="AG1512" s="133"/>
      <c r="AH1512" s="133"/>
      <c r="AI1512" s="133"/>
      <c r="AJ1512" s="133"/>
      <c r="AK1512" s="133"/>
      <c r="AL1512" s="133"/>
      <c r="AM1512" s="133"/>
      <c r="AN1512" s="133"/>
      <c r="AO1512" s="133"/>
      <c r="AP1512" s="133"/>
      <c r="AQ1512" s="133"/>
      <c r="AR1512" s="133"/>
      <c r="AS1512" s="153">
        <v>0</v>
      </c>
      <c r="AT1512" s="153">
        <v>0</v>
      </c>
      <c r="AU1512" s="153">
        <v>0</v>
      </c>
      <c r="AV1512" s="135"/>
      <c r="AW1512" s="135"/>
      <c r="AX1512" s="135"/>
      <c r="AY1512" s="135"/>
      <c r="AZ1512" s="135"/>
      <c r="BA1512" s="135"/>
      <c r="BB1512" s="135"/>
      <c r="BC1512" s="135"/>
      <c r="BD1512" s="135"/>
      <c r="BE1512" s="135"/>
      <c r="BF1512" s="135"/>
      <c r="BG1512" s="135"/>
      <c r="BH1512" s="135"/>
      <c r="BI1512" s="2"/>
      <c r="BJ1512" s="136"/>
      <c r="BK1512" s="2"/>
      <c r="BL1512" s="136"/>
      <c r="BM1512" s="136"/>
      <c r="BN1512" s="2"/>
      <c r="BO1512" s="2"/>
      <c r="BP1512" s="136"/>
      <c r="BQ1512" s="137"/>
    </row>
    <row r="1513" spans="1:69" ht="12.75" customHeight="1" x14ac:dyDescent="0.2">
      <c r="A1513" s="2">
        <v>3002</v>
      </c>
      <c r="B1513" s="2"/>
      <c r="C1513" s="2"/>
      <c r="D1513" s="2"/>
      <c r="E1513" s="2"/>
      <c r="F1513" s="132">
        <v>0</v>
      </c>
      <c r="G1513" s="132"/>
      <c r="H1513" s="132">
        <f t="shared" si="171"/>
        <v>0</v>
      </c>
      <c r="I1513" s="132"/>
      <c r="J1513" s="132">
        <f t="shared" si="176"/>
        <v>0</v>
      </c>
      <c r="K1513" s="132">
        <f t="shared" si="172"/>
        <v>0</v>
      </c>
      <c r="L1513" s="132">
        <f t="shared" si="173"/>
        <v>0</v>
      </c>
      <c r="M1513" s="133"/>
      <c r="N1513" s="133">
        <f t="shared" si="170"/>
        <v>0</v>
      </c>
      <c r="O1513" s="134"/>
      <c r="P1513" s="133"/>
      <c r="Q1513" s="2"/>
      <c r="R1513" s="156">
        <f t="shared" si="174"/>
        <v>0</v>
      </c>
      <c r="S1513" s="156">
        <f t="shared" si="175"/>
        <v>0</v>
      </c>
      <c r="T1513" s="133"/>
      <c r="U1513" s="133"/>
      <c r="V1513" s="133"/>
      <c r="W1513" s="133"/>
      <c r="X1513" s="133"/>
      <c r="Y1513" s="133"/>
      <c r="Z1513" s="133"/>
      <c r="AA1513" s="133"/>
      <c r="AB1513" s="133"/>
      <c r="AC1513" s="133"/>
      <c r="AD1513" s="133"/>
      <c r="AE1513" s="133"/>
      <c r="AF1513" s="133"/>
      <c r="AG1513" s="133"/>
      <c r="AH1513" s="133"/>
      <c r="AI1513" s="133"/>
      <c r="AJ1513" s="133"/>
      <c r="AK1513" s="133"/>
      <c r="AL1513" s="133"/>
      <c r="AM1513" s="133"/>
      <c r="AN1513" s="133"/>
      <c r="AO1513" s="133"/>
      <c r="AP1513" s="133"/>
      <c r="AQ1513" s="133"/>
      <c r="AR1513" s="133"/>
      <c r="AS1513" s="153">
        <v>0</v>
      </c>
      <c r="AT1513" s="153">
        <v>0</v>
      </c>
      <c r="AU1513" s="153">
        <v>0</v>
      </c>
      <c r="AV1513" s="135"/>
      <c r="AW1513" s="135"/>
      <c r="AX1513" s="135"/>
      <c r="AY1513" s="135"/>
      <c r="AZ1513" s="135"/>
      <c r="BA1513" s="135"/>
      <c r="BB1513" s="135"/>
      <c r="BC1513" s="135"/>
      <c r="BD1513" s="135"/>
      <c r="BE1513" s="135"/>
      <c r="BF1513" s="135"/>
      <c r="BG1513" s="135"/>
      <c r="BH1513" s="135"/>
      <c r="BI1513" s="2"/>
      <c r="BJ1513" s="136"/>
      <c r="BK1513" s="2"/>
      <c r="BL1513" s="136"/>
      <c r="BM1513" s="136"/>
      <c r="BN1513" s="2"/>
      <c r="BO1513" s="2"/>
      <c r="BP1513" s="136"/>
      <c r="BQ1513" s="137"/>
    </row>
    <row r="1514" spans="1:69" ht="12.75" customHeight="1" x14ac:dyDescent="0.2">
      <c r="A1514" s="2">
        <v>3003</v>
      </c>
      <c r="B1514" s="2"/>
      <c r="C1514" s="2"/>
      <c r="D1514" s="2"/>
      <c r="E1514" s="2"/>
      <c r="F1514" s="132">
        <v>0</v>
      </c>
      <c r="G1514" s="132"/>
      <c r="H1514" s="132">
        <f t="shared" si="171"/>
        <v>0</v>
      </c>
      <c r="I1514" s="132"/>
      <c r="J1514" s="132">
        <f t="shared" si="176"/>
        <v>0</v>
      </c>
      <c r="K1514" s="132">
        <f t="shared" si="172"/>
        <v>0</v>
      </c>
      <c r="L1514" s="132">
        <f t="shared" si="173"/>
        <v>0</v>
      </c>
      <c r="M1514" s="133"/>
      <c r="N1514" s="133">
        <f t="shared" ref="N1514:N1577" si="177">IF(OR(BK1514="принят",BK1514="Завершено",BK1514="ПриПро"),H1514-J1514,F1514-J1514)</f>
        <v>0</v>
      </c>
      <c r="O1514" s="134"/>
      <c r="P1514" s="133"/>
      <c r="Q1514" s="2"/>
      <c r="R1514" s="156">
        <f t="shared" si="174"/>
        <v>0</v>
      </c>
      <c r="S1514" s="156">
        <f t="shared" si="175"/>
        <v>0</v>
      </c>
      <c r="T1514" s="133"/>
      <c r="U1514" s="133"/>
      <c r="V1514" s="133"/>
      <c r="W1514" s="133"/>
      <c r="X1514" s="133"/>
      <c r="Y1514" s="133"/>
      <c r="Z1514" s="133"/>
      <c r="AA1514" s="133"/>
      <c r="AB1514" s="133"/>
      <c r="AC1514" s="133"/>
      <c r="AD1514" s="133"/>
      <c r="AE1514" s="133"/>
      <c r="AF1514" s="133"/>
      <c r="AG1514" s="133"/>
      <c r="AH1514" s="133"/>
      <c r="AI1514" s="133"/>
      <c r="AJ1514" s="133"/>
      <c r="AK1514" s="133"/>
      <c r="AL1514" s="133"/>
      <c r="AM1514" s="133"/>
      <c r="AN1514" s="133"/>
      <c r="AO1514" s="133"/>
      <c r="AP1514" s="133"/>
      <c r="AQ1514" s="133"/>
      <c r="AR1514" s="133"/>
      <c r="AS1514" s="153">
        <v>0</v>
      </c>
      <c r="AT1514" s="153">
        <v>0</v>
      </c>
      <c r="AU1514" s="153">
        <v>0</v>
      </c>
      <c r="AV1514" s="135"/>
      <c r="AW1514" s="135"/>
      <c r="AX1514" s="135"/>
      <c r="AY1514" s="135"/>
      <c r="AZ1514" s="135"/>
      <c r="BA1514" s="135"/>
      <c r="BB1514" s="135"/>
      <c r="BC1514" s="135"/>
      <c r="BD1514" s="135"/>
      <c r="BE1514" s="135"/>
      <c r="BF1514" s="135"/>
      <c r="BG1514" s="135"/>
      <c r="BH1514" s="135"/>
      <c r="BI1514" s="2"/>
      <c r="BJ1514" s="136"/>
      <c r="BK1514" s="2"/>
      <c r="BL1514" s="136"/>
      <c r="BM1514" s="136"/>
      <c r="BN1514" s="2"/>
      <c r="BO1514" s="2"/>
      <c r="BP1514" s="136"/>
      <c r="BQ1514" s="137"/>
    </row>
    <row r="1515" spans="1:69" ht="12.75" customHeight="1" x14ac:dyDescent="0.2">
      <c r="A1515" s="2">
        <v>3004</v>
      </c>
      <c r="B1515" s="2"/>
      <c r="C1515" s="2"/>
      <c r="D1515" s="2"/>
      <c r="E1515" s="2"/>
      <c r="F1515" s="132">
        <v>0</v>
      </c>
      <c r="G1515" s="132"/>
      <c r="H1515" s="132">
        <f t="shared" si="171"/>
        <v>0</v>
      </c>
      <c r="I1515" s="132"/>
      <c r="J1515" s="132">
        <f t="shared" si="176"/>
        <v>0</v>
      </c>
      <c r="K1515" s="132">
        <f t="shared" si="172"/>
        <v>0</v>
      </c>
      <c r="L1515" s="132">
        <f t="shared" si="173"/>
        <v>0</v>
      </c>
      <c r="M1515" s="133"/>
      <c r="N1515" s="133">
        <f t="shared" si="177"/>
        <v>0</v>
      </c>
      <c r="O1515" s="134"/>
      <c r="P1515" s="133"/>
      <c r="Q1515" s="2"/>
      <c r="R1515" s="156">
        <f t="shared" si="174"/>
        <v>0</v>
      </c>
      <c r="S1515" s="156">
        <f t="shared" si="175"/>
        <v>0</v>
      </c>
      <c r="T1515" s="133"/>
      <c r="U1515" s="133"/>
      <c r="V1515" s="133"/>
      <c r="W1515" s="133"/>
      <c r="X1515" s="133"/>
      <c r="Y1515" s="133"/>
      <c r="Z1515" s="133"/>
      <c r="AA1515" s="133"/>
      <c r="AB1515" s="133"/>
      <c r="AC1515" s="133"/>
      <c r="AD1515" s="133"/>
      <c r="AE1515" s="133"/>
      <c r="AF1515" s="133"/>
      <c r="AG1515" s="133"/>
      <c r="AH1515" s="133"/>
      <c r="AI1515" s="133"/>
      <c r="AJ1515" s="133"/>
      <c r="AK1515" s="133"/>
      <c r="AL1515" s="133"/>
      <c r="AM1515" s="133"/>
      <c r="AN1515" s="133"/>
      <c r="AO1515" s="133"/>
      <c r="AP1515" s="133"/>
      <c r="AQ1515" s="133"/>
      <c r="AR1515" s="133"/>
      <c r="AS1515" s="153">
        <v>0</v>
      </c>
      <c r="AT1515" s="153">
        <v>0</v>
      </c>
      <c r="AU1515" s="153">
        <v>0</v>
      </c>
      <c r="AV1515" s="135"/>
      <c r="AW1515" s="135"/>
      <c r="AX1515" s="135"/>
      <c r="AY1515" s="135"/>
      <c r="AZ1515" s="135"/>
      <c r="BA1515" s="135"/>
      <c r="BB1515" s="135"/>
      <c r="BC1515" s="135"/>
      <c r="BD1515" s="135"/>
      <c r="BE1515" s="135"/>
      <c r="BF1515" s="135"/>
      <c r="BG1515" s="135"/>
      <c r="BH1515" s="135"/>
      <c r="BI1515" s="2"/>
      <c r="BJ1515" s="136"/>
      <c r="BK1515" s="2"/>
      <c r="BL1515" s="136"/>
      <c r="BM1515" s="136"/>
      <c r="BN1515" s="2"/>
      <c r="BO1515" s="2"/>
      <c r="BP1515" s="136"/>
      <c r="BQ1515" s="137"/>
    </row>
    <row r="1516" spans="1:69" ht="12.75" customHeight="1" x14ac:dyDescent="0.2">
      <c r="A1516" s="2">
        <v>3005</v>
      </c>
      <c r="B1516" s="2"/>
      <c r="C1516" s="2"/>
      <c r="D1516" s="2"/>
      <c r="E1516" s="2"/>
      <c r="F1516" s="132">
        <v>0</v>
      </c>
      <c r="G1516" s="132"/>
      <c r="H1516" s="132">
        <f t="shared" si="171"/>
        <v>0</v>
      </c>
      <c r="I1516" s="132"/>
      <c r="J1516" s="132">
        <f t="shared" si="176"/>
        <v>0</v>
      </c>
      <c r="K1516" s="132">
        <f t="shared" si="172"/>
        <v>0</v>
      </c>
      <c r="L1516" s="132">
        <f t="shared" si="173"/>
        <v>0</v>
      </c>
      <c r="M1516" s="133"/>
      <c r="N1516" s="133">
        <f t="shared" si="177"/>
        <v>0</v>
      </c>
      <c r="O1516" s="134"/>
      <c r="P1516" s="133"/>
      <c r="Q1516" s="2"/>
      <c r="R1516" s="156">
        <f t="shared" si="174"/>
        <v>0</v>
      </c>
      <c r="S1516" s="156">
        <f t="shared" si="175"/>
        <v>0</v>
      </c>
      <c r="T1516" s="133"/>
      <c r="U1516" s="133"/>
      <c r="V1516" s="133"/>
      <c r="W1516" s="133"/>
      <c r="X1516" s="133"/>
      <c r="Y1516" s="133"/>
      <c r="Z1516" s="133"/>
      <c r="AA1516" s="133"/>
      <c r="AB1516" s="133"/>
      <c r="AC1516" s="133"/>
      <c r="AD1516" s="133"/>
      <c r="AE1516" s="133"/>
      <c r="AF1516" s="133"/>
      <c r="AG1516" s="133"/>
      <c r="AH1516" s="133"/>
      <c r="AI1516" s="133"/>
      <c r="AJ1516" s="133"/>
      <c r="AK1516" s="133"/>
      <c r="AL1516" s="133"/>
      <c r="AM1516" s="133"/>
      <c r="AN1516" s="133"/>
      <c r="AO1516" s="133"/>
      <c r="AP1516" s="133"/>
      <c r="AQ1516" s="133"/>
      <c r="AR1516" s="133"/>
      <c r="AS1516" s="153">
        <v>0</v>
      </c>
      <c r="AT1516" s="153">
        <v>0</v>
      </c>
      <c r="AU1516" s="153">
        <v>0</v>
      </c>
      <c r="AV1516" s="135"/>
      <c r="AW1516" s="135"/>
      <c r="AX1516" s="135"/>
      <c r="AY1516" s="135"/>
      <c r="AZ1516" s="135"/>
      <c r="BA1516" s="135"/>
      <c r="BB1516" s="135"/>
      <c r="BC1516" s="135"/>
      <c r="BD1516" s="135"/>
      <c r="BE1516" s="135"/>
      <c r="BF1516" s="135"/>
      <c r="BG1516" s="135"/>
      <c r="BH1516" s="135"/>
      <c r="BI1516" s="2"/>
      <c r="BJ1516" s="136"/>
      <c r="BK1516" s="2"/>
      <c r="BL1516" s="136"/>
      <c r="BM1516" s="136"/>
      <c r="BN1516" s="2"/>
      <c r="BO1516" s="2"/>
      <c r="BP1516" s="136"/>
      <c r="BQ1516" s="137"/>
    </row>
    <row r="1517" spans="1:69" ht="12.75" customHeight="1" x14ac:dyDescent="0.2">
      <c r="A1517" s="2">
        <v>3006</v>
      </c>
      <c r="B1517" s="2"/>
      <c r="C1517" s="2"/>
      <c r="D1517" s="2"/>
      <c r="E1517" s="2"/>
      <c r="F1517" s="132">
        <v>0</v>
      </c>
      <c r="G1517" s="132"/>
      <c r="H1517" s="132">
        <f t="shared" si="171"/>
        <v>0</v>
      </c>
      <c r="I1517" s="132"/>
      <c r="J1517" s="132">
        <f t="shared" si="176"/>
        <v>0</v>
      </c>
      <c r="K1517" s="132">
        <f t="shared" si="172"/>
        <v>0</v>
      </c>
      <c r="L1517" s="132">
        <f t="shared" si="173"/>
        <v>0</v>
      </c>
      <c r="M1517" s="133"/>
      <c r="N1517" s="133">
        <f t="shared" si="177"/>
        <v>0</v>
      </c>
      <c r="O1517" s="134"/>
      <c r="P1517" s="133"/>
      <c r="Q1517" s="2"/>
      <c r="R1517" s="156">
        <f t="shared" si="174"/>
        <v>0</v>
      </c>
      <c r="S1517" s="156">
        <f t="shared" si="175"/>
        <v>0</v>
      </c>
      <c r="T1517" s="133"/>
      <c r="U1517" s="133"/>
      <c r="V1517" s="133"/>
      <c r="W1517" s="133"/>
      <c r="X1517" s="133"/>
      <c r="Y1517" s="133"/>
      <c r="Z1517" s="133"/>
      <c r="AA1517" s="133"/>
      <c r="AB1517" s="133"/>
      <c r="AC1517" s="133"/>
      <c r="AD1517" s="133"/>
      <c r="AE1517" s="133"/>
      <c r="AF1517" s="133"/>
      <c r="AG1517" s="133"/>
      <c r="AH1517" s="133"/>
      <c r="AI1517" s="133"/>
      <c r="AJ1517" s="133"/>
      <c r="AK1517" s="133"/>
      <c r="AL1517" s="133"/>
      <c r="AM1517" s="133"/>
      <c r="AN1517" s="133"/>
      <c r="AO1517" s="133"/>
      <c r="AP1517" s="133"/>
      <c r="AQ1517" s="133"/>
      <c r="AR1517" s="133"/>
      <c r="AS1517" s="153">
        <v>0</v>
      </c>
      <c r="AT1517" s="153">
        <v>0</v>
      </c>
      <c r="AU1517" s="153">
        <v>0</v>
      </c>
      <c r="AV1517" s="135"/>
      <c r="AW1517" s="135"/>
      <c r="AX1517" s="135"/>
      <c r="AY1517" s="135"/>
      <c r="AZ1517" s="135"/>
      <c r="BA1517" s="135"/>
      <c r="BB1517" s="135"/>
      <c r="BC1517" s="135"/>
      <c r="BD1517" s="135"/>
      <c r="BE1517" s="135"/>
      <c r="BF1517" s="135"/>
      <c r="BG1517" s="135"/>
      <c r="BH1517" s="135"/>
      <c r="BI1517" s="2"/>
      <c r="BJ1517" s="136"/>
      <c r="BK1517" s="2"/>
      <c r="BL1517" s="136"/>
      <c r="BM1517" s="136"/>
      <c r="BN1517" s="2"/>
      <c r="BO1517" s="2"/>
      <c r="BP1517" s="136"/>
      <c r="BQ1517" s="137"/>
    </row>
    <row r="1518" spans="1:69" ht="12.75" customHeight="1" x14ac:dyDescent="0.2">
      <c r="A1518" s="2">
        <v>3007</v>
      </c>
      <c r="B1518" s="2"/>
      <c r="C1518" s="2"/>
      <c r="D1518" s="2"/>
      <c r="E1518" s="2"/>
      <c r="F1518" s="132">
        <v>0</v>
      </c>
      <c r="G1518" s="132"/>
      <c r="H1518" s="132">
        <f t="shared" ref="H1518:H1581" si="178">R1518</f>
        <v>0</v>
      </c>
      <c r="I1518" s="132"/>
      <c r="J1518" s="132">
        <f t="shared" si="176"/>
        <v>0</v>
      </c>
      <c r="K1518" s="132">
        <f t="shared" si="172"/>
        <v>0</v>
      </c>
      <c r="L1518" s="132">
        <f t="shared" si="173"/>
        <v>0</v>
      </c>
      <c r="M1518" s="133"/>
      <c r="N1518" s="133">
        <f t="shared" si="177"/>
        <v>0</v>
      </c>
      <c r="O1518" s="134"/>
      <c r="P1518" s="133"/>
      <c r="Q1518" s="2"/>
      <c r="R1518" s="156">
        <f t="shared" si="174"/>
        <v>0</v>
      </c>
      <c r="S1518" s="156">
        <f t="shared" si="175"/>
        <v>0</v>
      </c>
      <c r="T1518" s="133"/>
      <c r="U1518" s="133"/>
      <c r="V1518" s="133"/>
      <c r="W1518" s="133"/>
      <c r="X1518" s="133"/>
      <c r="Y1518" s="133"/>
      <c r="Z1518" s="133"/>
      <c r="AA1518" s="133"/>
      <c r="AB1518" s="133"/>
      <c r="AC1518" s="133"/>
      <c r="AD1518" s="133"/>
      <c r="AE1518" s="133"/>
      <c r="AF1518" s="133"/>
      <c r="AG1518" s="133"/>
      <c r="AH1518" s="133"/>
      <c r="AI1518" s="133"/>
      <c r="AJ1518" s="133"/>
      <c r="AK1518" s="133"/>
      <c r="AL1518" s="133"/>
      <c r="AM1518" s="133"/>
      <c r="AN1518" s="133"/>
      <c r="AO1518" s="133"/>
      <c r="AP1518" s="133"/>
      <c r="AQ1518" s="133"/>
      <c r="AR1518" s="133"/>
      <c r="AS1518" s="153">
        <v>0</v>
      </c>
      <c r="AT1518" s="153">
        <v>0</v>
      </c>
      <c r="AU1518" s="153">
        <v>0</v>
      </c>
      <c r="AV1518" s="135"/>
      <c r="AW1518" s="135"/>
      <c r="AX1518" s="135"/>
      <c r="AY1518" s="135"/>
      <c r="AZ1518" s="135"/>
      <c r="BA1518" s="135"/>
      <c r="BB1518" s="135"/>
      <c r="BC1518" s="135"/>
      <c r="BD1518" s="135"/>
      <c r="BE1518" s="135"/>
      <c r="BF1518" s="135"/>
      <c r="BG1518" s="135"/>
      <c r="BH1518" s="135"/>
      <c r="BI1518" s="2"/>
      <c r="BJ1518" s="136"/>
      <c r="BK1518" s="2"/>
      <c r="BL1518" s="136"/>
      <c r="BM1518" s="136"/>
      <c r="BN1518" s="2"/>
      <c r="BO1518" s="2"/>
      <c r="BP1518" s="136"/>
      <c r="BQ1518" s="137"/>
    </row>
    <row r="1519" spans="1:69" ht="12.75" customHeight="1" x14ac:dyDescent="0.2">
      <c r="A1519" s="2">
        <v>3008</v>
      </c>
      <c r="B1519" s="2"/>
      <c r="C1519" s="2"/>
      <c r="D1519" s="2"/>
      <c r="E1519" s="2"/>
      <c r="F1519" s="132">
        <v>0</v>
      </c>
      <c r="G1519" s="132"/>
      <c r="H1519" s="132">
        <f t="shared" si="178"/>
        <v>0</v>
      </c>
      <c r="I1519" s="132"/>
      <c r="J1519" s="132">
        <f t="shared" si="176"/>
        <v>0</v>
      </c>
      <c r="K1519" s="132">
        <f t="shared" si="172"/>
        <v>0</v>
      </c>
      <c r="L1519" s="132">
        <f t="shared" si="173"/>
        <v>0</v>
      </c>
      <c r="M1519" s="133"/>
      <c r="N1519" s="133">
        <f t="shared" si="177"/>
        <v>0</v>
      </c>
      <c r="O1519" s="134"/>
      <c r="P1519" s="133"/>
      <c r="Q1519" s="2"/>
      <c r="R1519" s="156">
        <f t="shared" si="174"/>
        <v>0</v>
      </c>
      <c r="S1519" s="156">
        <f t="shared" si="175"/>
        <v>0</v>
      </c>
      <c r="T1519" s="133"/>
      <c r="U1519" s="133"/>
      <c r="V1519" s="133"/>
      <c r="W1519" s="133"/>
      <c r="X1519" s="133"/>
      <c r="Y1519" s="133"/>
      <c r="Z1519" s="133"/>
      <c r="AA1519" s="133"/>
      <c r="AB1519" s="133"/>
      <c r="AC1519" s="133"/>
      <c r="AD1519" s="133"/>
      <c r="AE1519" s="133"/>
      <c r="AF1519" s="133"/>
      <c r="AG1519" s="133"/>
      <c r="AH1519" s="133"/>
      <c r="AI1519" s="133"/>
      <c r="AJ1519" s="133"/>
      <c r="AK1519" s="133"/>
      <c r="AL1519" s="133"/>
      <c r="AM1519" s="133"/>
      <c r="AN1519" s="133"/>
      <c r="AO1519" s="133"/>
      <c r="AP1519" s="133"/>
      <c r="AQ1519" s="133"/>
      <c r="AR1519" s="133"/>
      <c r="AS1519" s="153">
        <v>0</v>
      </c>
      <c r="AT1519" s="153">
        <v>0</v>
      </c>
      <c r="AU1519" s="153">
        <v>0</v>
      </c>
      <c r="AV1519" s="135"/>
      <c r="AW1519" s="135"/>
      <c r="AX1519" s="135"/>
      <c r="AY1519" s="135"/>
      <c r="AZ1519" s="135"/>
      <c r="BA1519" s="135"/>
      <c r="BB1519" s="135"/>
      <c r="BC1519" s="135"/>
      <c r="BD1519" s="135"/>
      <c r="BE1519" s="135"/>
      <c r="BF1519" s="135"/>
      <c r="BG1519" s="135"/>
      <c r="BH1519" s="135"/>
      <c r="BI1519" s="2"/>
      <c r="BJ1519" s="136"/>
      <c r="BK1519" s="2"/>
      <c r="BL1519" s="136"/>
      <c r="BM1519" s="136"/>
      <c r="BN1519" s="2"/>
      <c r="BO1519" s="2"/>
      <c r="BP1519" s="136"/>
      <c r="BQ1519" s="137"/>
    </row>
    <row r="1520" spans="1:69" ht="12.75" customHeight="1" x14ac:dyDescent="0.2">
      <c r="A1520" s="2">
        <v>3009</v>
      </c>
      <c r="B1520" s="2"/>
      <c r="C1520" s="2"/>
      <c r="D1520" s="2"/>
      <c r="E1520" s="2"/>
      <c r="F1520" s="132">
        <v>0</v>
      </c>
      <c r="G1520" s="132"/>
      <c r="H1520" s="132">
        <f t="shared" si="178"/>
        <v>0</v>
      </c>
      <c r="I1520" s="132"/>
      <c r="J1520" s="132">
        <f t="shared" si="176"/>
        <v>0</v>
      </c>
      <c r="K1520" s="132">
        <f t="shared" si="172"/>
        <v>0</v>
      </c>
      <c r="L1520" s="132">
        <f t="shared" si="173"/>
        <v>0</v>
      </c>
      <c r="M1520" s="133"/>
      <c r="N1520" s="133">
        <f t="shared" si="177"/>
        <v>0</v>
      </c>
      <c r="O1520" s="134"/>
      <c r="P1520" s="133"/>
      <c r="Q1520" s="2"/>
      <c r="R1520" s="156">
        <f t="shared" si="174"/>
        <v>0</v>
      </c>
      <c r="S1520" s="156">
        <f t="shared" si="175"/>
        <v>0</v>
      </c>
      <c r="T1520" s="133"/>
      <c r="U1520" s="133"/>
      <c r="V1520" s="133"/>
      <c r="W1520" s="133"/>
      <c r="X1520" s="133"/>
      <c r="Y1520" s="133"/>
      <c r="Z1520" s="133"/>
      <c r="AA1520" s="133"/>
      <c r="AB1520" s="133"/>
      <c r="AC1520" s="133"/>
      <c r="AD1520" s="133"/>
      <c r="AE1520" s="133"/>
      <c r="AF1520" s="133"/>
      <c r="AG1520" s="133"/>
      <c r="AH1520" s="133"/>
      <c r="AI1520" s="133"/>
      <c r="AJ1520" s="133"/>
      <c r="AK1520" s="133"/>
      <c r="AL1520" s="133"/>
      <c r="AM1520" s="133"/>
      <c r="AN1520" s="133"/>
      <c r="AO1520" s="133"/>
      <c r="AP1520" s="133"/>
      <c r="AQ1520" s="133"/>
      <c r="AR1520" s="133"/>
      <c r="AS1520" s="153">
        <v>0</v>
      </c>
      <c r="AT1520" s="153">
        <v>0</v>
      </c>
      <c r="AU1520" s="153">
        <v>0</v>
      </c>
      <c r="AV1520" s="135"/>
      <c r="AW1520" s="135"/>
      <c r="AX1520" s="135"/>
      <c r="AY1520" s="135"/>
      <c r="AZ1520" s="135"/>
      <c r="BA1520" s="135"/>
      <c r="BB1520" s="135"/>
      <c r="BC1520" s="135"/>
      <c r="BD1520" s="135"/>
      <c r="BE1520" s="135"/>
      <c r="BF1520" s="135"/>
      <c r="BG1520" s="135"/>
      <c r="BH1520" s="135"/>
      <c r="BI1520" s="2"/>
      <c r="BJ1520" s="136"/>
      <c r="BK1520" s="2"/>
      <c r="BL1520" s="136"/>
      <c r="BM1520" s="136"/>
      <c r="BN1520" s="2"/>
      <c r="BO1520" s="2"/>
      <c r="BP1520" s="136"/>
      <c r="BQ1520" s="137"/>
    </row>
    <row r="1521" spans="1:69" ht="12.75" customHeight="1" x14ac:dyDescent="0.2">
      <c r="A1521" s="2">
        <v>3010</v>
      </c>
      <c r="B1521" s="2"/>
      <c r="C1521" s="2"/>
      <c r="D1521" s="2"/>
      <c r="E1521" s="2"/>
      <c r="F1521" s="132">
        <v>0</v>
      </c>
      <c r="G1521" s="132"/>
      <c r="H1521" s="132">
        <f t="shared" si="178"/>
        <v>0</v>
      </c>
      <c r="I1521" s="132"/>
      <c r="J1521" s="132">
        <f t="shared" si="176"/>
        <v>0</v>
      </c>
      <c r="K1521" s="132">
        <f t="shared" si="172"/>
        <v>0</v>
      </c>
      <c r="L1521" s="132">
        <f t="shared" si="173"/>
        <v>0</v>
      </c>
      <c r="M1521" s="133"/>
      <c r="N1521" s="133">
        <f t="shared" si="177"/>
        <v>0</v>
      </c>
      <c r="O1521" s="134"/>
      <c r="P1521" s="133"/>
      <c r="Q1521" s="2"/>
      <c r="R1521" s="156">
        <f t="shared" si="174"/>
        <v>0</v>
      </c>
      <c r="S1521" s="156">
        <f t="shared" si="175"/>
        <v>0</v>
      </c>
      <c r="T1521" s="133"/>
      <c r="U1521" s="133"/>
      <c r="V1521" s="133"/>
      <c r="W1521" s="133"/>
      <c r="X1521" s="133"/>
      <c r="Y1521" s="133"/>
      <c r="Z1521" s="133"/>
      <c r="AA1521" s="133"/>
      <c r="AB1521" s="133"/>
      <c r="AC1521" s="133"/>
      <c r="AD1521" s="133"/>
      <c r="AE1521" s="133"/>
      <c r="AF1521" s="133"/>
      <c r="AG1521" s="133"/>
      <c r="AH1521" s="133"/>
      <c r="AI1521" s="133"/>
      <c r="AJ1521" s="133"/>
      <c r="AK1521" s="133"/>
      <c r="AL1521" s="133"/>
      <c r="AM1521" s="133"/>
      <c r="AN1521" s="133"/>
      <c r="AO1521" s="133"/>
      <c r="AP1521" s="133"/>
      <c r="AQ1521" s="133"/>
      <c r="AR1521" s="133"/>
      <c r="AS1521" s="153">
        <v>0</v>
      </c>
      <c r="AT1521" s="153">
        <v>0</v>
      </c>
      <c r="AU1521" s="153">
        <v>0</v>
      </c>
      <c r="AV1521" s="135"/>
      <c r="AW1521" s="135"/>
      <c r="AX1521" s="135"/>
      <c r="AY1521" s="135"/>
      <c r="AZ1521" s="135"/>
      <c r="BA1521" s="135"/>
      <c r="BB1521" s="135"/>
      <c r="BC1521" s="135"/>
      <c r="BD1521" s="135"/>
      <c r="BE1521" s="135"/>
      <c r="BF1521" s="135"/>
      <c r="BG1521" s="135"/>
      <c r="BH1521" s="135"/>
      <c r="BI1521" s="2"/>
      <c r="BJ1521" s="136"/>
      <c r="BK1521" s="2"/>
      <c r="BL1521" s="136"/>
      <c r="BM1521" s="136"/>
      <c r="BN1521" s="2"/>
      <c r="BO1521" s="2"/>
      <c r="BP1521" s="136"/>
      <c r="BQ1521" s="137"/>
    </row>
    <row r="1522" spans="1:69" ht="12.75" customHeight="1" x14ac:dyDescent="0.2">
      <c r="A1522" s="2">
        <v>3011</v>
      </c>
      <c r="B1522" s="2"/>
      <c r="C1522" s="2"/>
      <c r="D1522" s="2"/>
      <c r="E1522" s="2"/>
      <c r="F1522" s="132">
        <v>0</v>
      </c>
      <c r="G1522" s="132"/>
      <c r="H1522" s="132">
        <f t="shared" si="178"/>
        <v>0</v>
      </c>
      <c r="I1522" s="132"/>
      <c r="J1522" s="132">
        <f t="shared" si="176"/>
        <v>0</v>
      </c>
      <c r="K1522" s="132">
        <f t="shared" si="172"/>
        <v>0</v>
      </c>
      <c r="L1522" s="132">
        <f t="shared" si="173"/>
        <v>0</v>
      </c>
      <c r="M1522" s="133"/>
      <c r="N1522" s="133">
        <f t="shared" si="177"/>
        <v>0</v>
      </c>
      <c r="O1522" s="134"/>
      <c r="P1522" s="133"/>
      <c r="Q1522" s="2"/>
      <c r="R1522" s="156">
        <f t="shared" si="174"/>
        <v>0</v>
      </c>
      <c r="S1522" s="156">
        <f t="shared" si="175"/>
        <v>0</v>
      </c>
      <c r="T1522" s="133"/>
      <c r="U1522" s="133"/>
      <c r="V1522" s="133"/>
      <c r="W1522" s="133"/>
      <c r="X1522" s="133"/>
      <c r="Y1522" s="133"/>
      <c r="Z1522" s="133"/>
      <c r="AA1522" s="133"/>
      <c r="AB1522" s="133"/>
      <c r="AC1522" s="133"/>
      <c r="AD1522" s="133"/>
      <c r="AE1522" s="133"/>
      <c r="AF1522" s="133"/>
      <c r="AG1522" s="133"/>
      <c r="AH1522" s="133"/>
      <c r="AI1522" s="133"/>
      <c r="AJ1522" s="133"/>
      <c r="AK1522" s="133"/>
      <c r="AL1522" s="133"/>
      <c r="AM1522" s="133"/>
      <c r="AN1522" s="133"/>
      <c r="AO1522" s="133"/>
      <c r="AP1522" s="133"/>
      <c r="AQ1522" s="133"/>
      <c r="AR1522" s="133"/>
      <c r="AS1522" s="153">
        <v>0</v>
      </c>
      <c r="AT1522" s="153">
        <v>0</v>
      </c>
      <c r="AU1522" s="153">
        <v>0</v>
      </c>
      <c r="AV1522" s="135"/>
      <c r="AW1522" s="135"/>
      <c r="AX1522" s="135"/>
      <c r="AY1522" s="135"/>
      <c r="AZ1522" s="135"/>
      <c r="BA1522" s="135"/>
      <c r="BB1522" s="135"/>
      <c r="BC1522" s="135"/>
      <c r="BD1522" s="135"/>
      <c r="BE1522" s="135"/>
      <c r="BF1522" s="135"/>
      <c r="BG1522" s="135"/>
      <c r="BH1522" s="135"/>
      <c r="BI1522" s="2"/>
      <c r="BJ1522" s="136"/>
      <c r="BK1522" s="2"/>
      <c r="BL1522" s="136"/>
      <c r="BM1522" s="136"/>
      <c r="BN1522" s="2"/>
      <c r="BO1522" s="2"/>
      <c r="BP1522" s="136"/>
      <c r="BQ1522" s="137"/>
    </row>
    <row r="1523" spans="1:69" ht="12.75" customHeight="1" x14ac:dyDescent="0.2">
      <c r="A1523" s="2">
        <v>3012</v>
      </c>
      <c r="B1523" s="2"/>
      <c r="C1523" s="2"/>
      <c r="D1523" s="2"/>
      <c r="E1523" s="2"/>
      <c r="F1523" s="132">
        <v>0</v>
      </c>
      <c r="G1523" s="132"/>
      <c r="H1523" s="132">
        <f t="shared" si="178"/>
        <v>0</v>
      </c>
      <c r="I1523" s="132"/>
      <c r="J1523" s="132">
        <f t="shared" si="176"/>
        <v>0</v>
      </c>
      <c r="K1523" s="132">
        <f t="shared" si="172"/>
        <v>0</v>
      </c>
      <c r="L1523" s="132">
        <f t="shared" si="173"/>
        <v>0</v>
      </c>
      <c r="M1523" s="133"/>
      <c r="N1523" s="133">
        <f t="shared" si="177"/>
        <v>0</v>
      </c>
      <c r="O1523" s="134"/>
      <c r="P1523" s="133"/>
      <c r="Q1523" s="2"/>
      <c r="R1523" s="156">
        <f t="shared" si="174"/>
        <v>0</v>
      </c>
      <c r="S1523" s="156">
        <f t="shared" si="175"/>
        <v>0</v>
      </c>
      <c r="T1523" s="133"/>
      <c r="U1523" s="133"/>
      <c r="V1523" s="133"/>
      <c r="W1523" s="133"/>
      <c r="X1523" s="133"/>
      <c r="Y1523" s="133"/>
      <c r="Z1523" s="133"/>
      <c r="AA1523" s="133"/>
      <c r="AB1523" s="133"/>
      <c r="AC1523" s="133"/>
      <c r="AD1523" s="133"/>
      <c r="AE1523" s="133"/>
      <c r="AF1523" s="133"/>
      <c r="AG1523" s="133"/>
      <c r="AH1523" s="133"/>
      <c r="AI1523" s="133"/>
      <c r="AJ1523" s="133"/>
      <c r="AK1523" s="133"/>
      <c r="AL1523" s="133"/>
      <c r="AM1523" s="133"/>
      <c r="AN1523" s="133"/>
      <c r="AO1523" s="133"/>
      <c r="AP1523" s="133"/>
      <c r="AQ1523" s="133"/>
      <c r="AR1523" s="133"/>
      <c r="AS1523" s="153">
        <v>0</v>
      </c>
      <c r="AT1523" s="153">
        <v>0</v>
      </c>
      <c r="AU1523" s="153">
        <v>0</v>
      </c>
      <c r="AV1523" s="135"/>
      <c r="AW1523" s="135"/>
      <c r="AX1523" s="135"/>
      <c r="AY1523" s="135"/>
      <c r="AZ1523" s="135"/>
      <c r="BA1523" s="135"/>
      <c r="BB1523" s="135"/>
      <c r="BC1523" s="135"/>
      <c r="BD1523" s="135"/>
      <c r="BE1523" s="135"/>
      <c r="BF1523" s="135"/>
      <c r="BG1523" s="135"/>
      <c r="BH1523" s="135"/>
      <c r="BI1523" s="2"/>
      <c r="BJ1523" s="136"/>
      <c r="BK1523" s="2"/>
      <c r="BL1523" s="136"/>
      <c r="BM1523" s="136"/>
      <c r="BN1523" s="2"/>
      <c r="BO1523" s="2"/>
      <c r="BP1523" s="136"/>
      <c r="BQ1523" s="137"/>
    </row>
    <row r="1524" spans="1:69" ht="12.75" customHeight="1" x14ac:dyDescent="0.2">
      <c r="A1524" s="2">
        <v>3013</v>
      </c>
      <c r="B1524" s="2"/>
      <c r="C1524" s="2"/>
      <c r="D1524" s="2"/>
      <c r="E1524" s="2"/>
      <c r="F1524" s="132">
        <v>0</v>
      </c>
      <c r="G1524" s="132"/>
      <c r="H1524" s="132">
        <f t="shared" si="178"/>
        <v>0</v>
      </c>
      <c r="I1524" s="132"/>
      <c r="J1524" s="132">
        <f t="shared" si="176"/>
        <v>0</v>
      </c>
      <c r="K1524" s="132">
        <f t="shared" si="172"/>
        <v>0</v>
      </c>
      <c r="L1524" s="132">
        <f t="shared" si="173"/>
        <v>0</v>
      </c>
      <c r="M1524" s="133"/>
      <c r="N1524" s="133">
        <f t="shared" si="177"/>
        <v>0</v>
      </c>
      <c r="O1524" s="134"/>
      <c r="P1524" s="133"/>
      <c r="Q1524" s="2"/>
      <c r="R1524" s="156">
        <f t="shared" si="174"/>
        <v>0</v>
      </c>
      <c r="S1524" s="156">
        <f t="shared" si="175"/>
        <v>0</v>
      </c>
      <c r="T1524" s="133"/>
      <c r="U1524" s="133"/>
      <c r="V1524" s="133"/>
      <c r="W1524" s="133"/>
      <c r="X1524" s="133"/>
      <c r="Y1524" s="133"/>
      <c r="Z1524" s="133"/>
      <c r="AA1524" s="133"/>
      <c r="AB1524" s="133"/>
      <c r="AC1524" s="133"/>
      <c r="AD1524" s="133"/>
      <c r="AE1524" s="133"/>
      <c r="AF1524" s="133"/>
      <c r="AG1524" s="133"/>
      <c r="AH1524" s="133"/>
      <c r="AI1524" s="133"/>
      <c r="AJ1524" s="133"/>
      <c r="AK1524" s="133"/>
      <c r="AL1524" s="133"/>
      <c r="AM1524" s="133"/>
      <c r="AN1524" s="133"/>
      <c r="AO1524" s="133"/>
      <c r="AP1524" s="133"/>
      <c r="AQ1524" s="133"/>
      <c r="AR1524" s="133"/>
      <c r="AS1524" s="153">
        <v>0</v>
      </c>
      <c r="AT1524" s="153">
        <v>0</v>
      </c>
      <c r="AU1524" s="153">
        <v>0</v>
      </c>
      <c r="AV1524" s="135"/>
      <c r="AW1524" s="135"/>
      <c r="AX1524" s="135"/>
      <c r="AY1524" s="135"/>
      <c r="AZ1524" s="135"/>
      <c r="BA1524" s="135"/>
      <c r="BB1524" s="135"/>
      <c r="BC1524" s="135"/>
      <c r="BD1524" s="135"/>
      <c r="BE1524" s="135"/>
      <c r="BF1524" s="135"/>
      <c r="BG1524" s="135"/>
      <c r="BH1524" s="135"/>
      <c r="BI1524" s="2"/>
      <c r="BJ1524" s="136"/>
      <c r="BK1524" s="2"/>
      <c r="BL1524" s="136"/>
      <c r="BM1524" s="136"/>
      <c r="BN1524" s="2"/>
      <c r="BO1524" s="2"/>
      <c r="BP1524" s="136"/>
      <c r="BQ1524" s="137"/>
    </row>
    <row r="1525" spans="1:69" ht="12.75" customHeight="1" x14ac:dyDescent="0.2">
      <c r="A1525" s="2">
        <v>3014</v>
      </c>
      <c r="B1525" s="2"/>
      <c r="C1525" s="2"/>
      <c r="D1525" s="2"/>
      <c r="E1525" s="2"/>
      <c r="F1525" s="132">
        <v>0</v>
      </c>
      <c r="G1525" s="132"/>
      <c r="H1525" s="132">
        <f t="shared" si="178"/>
        <v>0</v>
      </c>
      <c r="I1525" s="132"/>
      <c r="J1525" s="132">
        <f t="shared" si="176"/>
        <v>0</v>
      </c>
      <c r="K1525" s="132">
        <f t="shared" si="172"/>
        <v>0</v>
      </c>
      <c r="L1525" s="132">
        <f t="shared" si="173"/>
        <v>0</v>
      </c>
      <c r="M1525" s="133"/>
      <c r="N1525" s="133">
        <f t="shared" si="177"/>
        <v>0</v>
      </c>
      <c r="O1525" s="134"/>
      <c r="P1525" s="133"/>
      <c r="Q1525" s="2"/>
      <c r="R1525" s="156">
        <f t="shared" si="174"/>
        <v>0</v>
      </c>
      <c r="S1525" s="156">
        <f t="shared" si="175"/>
        <v>0</v>
      </c>
      <c r="T1525" s="133"/>
      <c r="U1525" s="133"/>
      <c r="V1525" s="133"/>
      <c r="W1525" s="133"/>
      <c r="X1525" s="133"/>
      <c r="Y1525" s="133"/>
      <c r="Z1525" s="133"/>
      <c r="AA1525" s="133"/>
      <c r="AB1525" s="133"/>
      <c r="AC1525" s="133"/>
      <c r="AD1525" s="133"/>
      <c r="AE1525" s="133"/>
      <c r="AF1525" s="133"/>
      <c r="AG1525" s="133"/>
      <c r="AH1525" s="133"/>
      <c r="AI1525" s="133"/>
      <c r="AJ1525" s="133"/>
      <c r="AK1525" s="133"/>
      <c r="AL1525" s="133"/>
      <c r="AM1525" s="133"/>
      <c r="AN1525" s="133"/>
      <c r="AO1525" s="133"/>
      <c r="AP1525" s="133"/>
      <c r="AQ1525" s="133"/>
      <c r="AR1525" s="133"/>
      <c r="AS1525" s="153">
        <v>0</v>
      </c>
      <c r="AT1525" s="153">
        <v>0</v>
      </c>
      <c r="AU1525" s="153">
        <v>0</v>
      </c>
      <c r="AV1525" s="135"/>
      <c r="AW1525" s="135"/>
      <c r="AX1525" s="135"/>
      <c r="AY1525" s="135"/>
      <c r="AZ1525" s="135"/>
      <c r="BA1525" s="135"/>
      <c r="BB1525" s="135"/>
      <c r="BC1525" s="135"/>
      <c r="BD1525" s="135"/>
      <c r="BE1525" s="135"/>
      <c r="BF1525" s="135"/>
      <c r="BG1525" s="135"/>
      <c r="BH1525" s="135"/>
      <c r="BI1525" s="2"/>
      <c r="BJ1525" s="136"/>
      <c r="BK1525" s="2"/>
      <c r="BL1525" s="136"/>
      <c r="BM1525" s="136"/>
      <c r="BN1525" s="2"/>
      <c r="BO1525" s="2"/>
      <c r="BP1525" s="136"/>
      <c r="BQ1525" s="137"/>
    </row>
    <row r="1526" spans="1:69" ht="12.75" customHeight="1" x14ac:dyDescent="0.2">
      <c r="A1526" s="2">
        <v>3015</v>
      </c>
      <c r="B1526" s="2"/>
      <c r="C1526" s="2"/>
      <c r="D1526" s="2"/>
      <c r="E1526" s="2"/>
      <c r="F1526" s="132">
        <v>0</v>
      </c>
      <c r="G1526" s="132"/>
      <c r="H1526" s="132">
        <f t="shared" si="178"/>
        <v>0</v>
      </c>
      <c r="I1526" s="132"/>
      <c r="J1526" s="132">
        <f t="shared" si="176"/>
        <v>0</v>
      </c>
      <c r="K1526" s="132">
        <f t="shared" ref="K1526:K1589" si="179">F1526-J1526</f>
        <v>0</v>
      </c>
      <c r="L1526" s="132">
        <f t="shared" si="173"/>
        <v>0</v>
      </c>
      <c r="M1526" s="133"/>
      <c r="N1526" s="133">
        <f t="shared" si="177"/>
        <v>0</v>
      </c>
      <c r="O1526" s="134"/>
      <c r="P1526" s="133"/>
      <c r="Q1526" s="2"/>
      <c r="R1526" s="156">
        <f t="shared" si="174"/>
        <v>0</v>
      </c>
      <c r="S1526" s="156">
        <f t="shared" si="175"/>
        <v>0</v>
      </c>
      <c r="T1526" s="133"/>
      <c r="U1526" s="133"/>
      <c r="V1526" s="133"/>
      <c r="W1526" s="133"/>
      <c r="X1526" s="133"/>
      <c r="Y1526" s="133"/>
      <c r="Z1526" s="133"/>
      <c r="AA1526" s="133"/>
      <c r="AB1526" s="133"/>
      <c r="AC1526" s="133"/>
      <c r="AD1526" s="133"/>
      <c r="AE1526" s="133"/>
      <c r="AF1526" s="133"/>
      <c r="AG1526" s="133"/>
      <c r="AH1526" s="133"/>
      <c r="AI1526" s="133"/>
      <c r="AJ1526" s="133"/>
      <c r="AK1526" s="133"/>
      <c r="AL1526" s="133"/>
      <c r="AM1526" s="133"/>
      <c r="AN1526" s="133"/>
      <c r="AO1526" s="133"/>
      <c r="AP1526" s="133"/>
      <c r="AQ1526" s="133"/>
      <c r="AR1526" s="133"/>
      <c r="AS1526" s="153">
        <v>0</v>
      </c>
      <c r="AT1526" s="153">
        <v>0</v>
      </c>
      <c r="AU1526" s="153">
        <v>0</v>
      </c>
      <c r="AV1526" s="135"/>
      <c r="AW1526" s="135"/>
      <c r="AX1526" s="135"/>
      <c r="AY1526" s="135"/>
      <c r="AZ1526" s="135"/>
      <c r="BA1526" s="135"/>
      <c r="BB1526" s="135"/>
      <c r="BC1526" s="135"/>
      <c r="BD1526" s="135"/>
      <c r="BE1526" s="135"/>
      <c r="BF1526" s="135"/>
      <c r="BG1526" s="135"/>
      <c r="BH1526" s="135"/>
      <c r="BI1526" s="2"/>
      <c r="BJ1526" s="136"/>
      <c r="BK1526" s="2"/>
      <c r="BL1526" s="136"/>
      <c r="BM1526" s="136"/>
      <c r="BN1526" s="2"/>
      <c r="BO1526" s="2"/>
      <c r="BP1526" s="136"/>
      <c r="BQ1526" s="137"/>
    </row>
    <row r="1527" spans="1:69" ht="12.75" customHeight="1" x14ac:dyDescent="0.2">
      <c r="A1527" s="2">
        <v>3016</v>
      </c>
      <c r="B1527" s="2"/>
      <c r="C1527" s="2"/>
      <c r="D1527" s="2"/>
      <c r="E1527" s="2"/>
      <c r="F1527" s="132">
        <v>0</v>
      </c>
      <c r="G1527" s="132"/>
      <c r="H1527" s="132">
        <f t="shared" si="178"/>
        <v>0</v>
      </c>
      <c r="I1527" s="132"/>
      <c r="J1527" s="132">
        <f t="shared" si="176"/>
        <v>0</v>
      </c>
      <c r="K1527" s="132">
        <f t="shared" si="179"/>
        <v>0</v>
      </c>
      <c r="L1527" s="132">
        <f t="shared" si="173"/>
        <v>0</v>
      </c>
      <c r="M1527" s="133"/>
      <c r="N1527" s="133">
        <f t="shared" si="177"/>
        <v>0</v>
      </c>
      <c r="O1527" s="134"/>
      <c r="P1527" s="133"/>
      <c r="Q1527" s="2"/>
      <c r="R1527" s="156">
        <f t="shared" si="174"/>
        <v>0</v>
      </c>
      <c r="S1527" s="156">
        <f t="shared" si="175"/>
        <v>0</v>
      </c>
      <c r="T1527" s="133"/>
      <c r="U1527" s="133"/>
      <c r="V1527" s="133"/>
      <c r="W1527" s="133"/>
      <c r="X1527" s="133"/>
      <c r="Y1527" s="133"/>
      <c r="Z1527" s="133"/>
      <c r="AA1527" s="133"/>
      <c r="AB1527" s="133"/>
      <c r="AC1527" s="133"/>
      <c r="AD1527" s="133"/>
      <c r="AE1527" s="133"/>
      <c r="AF1527" s="133"/>
      <c r="AG1527" s="133"/>
      <c r="AH1527" s="133"/>
      <c r="AI1527" s="133"/>
      <c r="AJ1527" s="133"/>
      <c r="AK1527" s="133"/>
      <c r="AL1527" s="133"/>
      <c r="AM1527" s="133"/>
      <c r="AN1527" s="133"/>
      <c r="AO1527" s="133"/>
      <c r="AP1527" s="133"/>
      <c r="AQ1527" s="133"/>
      <c r="AR1527" s="133"/>
      <c r="AS1527" s="153">
        <v>0</v>
      </c>
      <c r="AT1527" s="153">
        <v>0</v>
      </c>
      <c r="AU1527" s="153">
        <v>0</v>
      </c>
      <c r="AV1527" s="135"/>
      <c r="AW1527" s="135"/>
      <c r="AX1527" s="135"/>
      <c r="AY1527" s="135"/>
      <c r="AZ1527" s="135"/>
      <c r="BA1527" s="135"/>
      <c r="BB1527" s="135"/>
      <c r="BC1527" s="135"/>
      <c r="BD1527" s="135"/>
      <c r="BE1527" s="135"/>
      <c r="BF1527" s="135"/>
      <c r="BG1527" s="135"/>
      <c r="BH1527" s="135"/>
      <c r="BI1527" s="2"/>
      <c r="BJ1527" s="136"/>
      <c r="BK1527" s="2"/>
      <c r="BL1527" s="136"/>
      <c r="BM1527" s="136"/>
      <c r="BN1527" s="2"/>
      <c r="BO1527" s="2"/>
      <c r="BP1527" s="136"/>
      <c r="BQ1527" s="137"/>
    </row>
    <row r="1528" spans="1:69" ht="12.75" customHeight="1" x14ac:dyDescent="0.2">
      <c r="A1528" s="2">
        <v>3017</v>
      </c>
      <c r="B1528" s="2"/>
      <c r="C1528" s="2"/>
      <c r="D1528" s="2"/>
      <c r="E1528" s="2"/>
      <c r="F1528" s="132">
        <v>0</v>
      </c>
      <c r="G1528" s="132"/>
      <c r="H1528" s="132">
        <f t="shared" si="178"/>
        <v>0</v>
      </c>
      <c r="I1528" s="132"/>
      <c r="J1528" s="132">
        <f t="shared" si="176"/>
        <v>0</v>
      </c>
      <c r="K1528" s="132">
        <f t="shared" si="179"/>
        <v>0</v>
      </c>
      <c r="L1528" s="132">
        <f t="shared" si="173"/>
        <v>0</v>
      </c>
      <c r="M1528" s="133"/>
      <c r="N1528" s="133">
        <f t="shared" si="177"/>
        <v>0</v>
      </c>
      <c r="O1528" s="134"/>
      <c r="P1528" s="133"/>
      <c r="Q1528" s="2"/>
      <c r="R1528" s="156">
        <f t="shared" si="174"/>
        <v>0</v>
      </c>
      <c r="S1528" s="156">
        <f t="shared" si="175"/>
        <v>0</v>
      </c>
      <c r="T1528" s="133"/>
      <c r="U1528" s="133"/>
      <c r="V1528" s="133"/>
      <c r="W1528" s="133"/>
      <c r="X1528" s="133"/>
      <c r="Y1528" s="133"/>
      <c r="Z1528" s="133"/>
      <c r="AA1528" s="133"/>
      <c r="AB1528" s="133"/>
      <c r="AC1528" s="133"/>
      <c r="AD1528" s="133"/>
      <c r="AE1528" s="133"/>
      <c r="AF1528" s="133"/>
      <c r="AG1528" s="133"/>
      <c r="AH1528" s="133"/>
      <c r="AI1528" s="133"/>
      <c r="AJ1528" s="133"/>
      <c r="AK1528" s="133"/>
      <c r="AL1528" s="133"/>
      <c r="AM1528" s="133"/>
      <c r="AN1528" s="133"/>
      <c r="AO1528" s="133"/>
      <c r="AP1528" s="133"/>
      <c r="AQ1528" s="133"/>
      <c r="AR1528" s="133"/>
      <c r="AS1528" s="153">
        <v>0</v>
      </c>
      <c r="AT1528" s="153">
        <v>0</v>
      </c>
      <c r="AU1528" s="153">
        <v>0</v>
      </c>
      <c r="AV1528" s="135"/>
      <c r="AW1528" s="135"/>
      <c r="AX1528" s="135"/>
      <c r="AY1528" s="135"/>
      <c r="AZ1528" s="135"/>
      <c r="BA1528" s="135"/>
      <c r="BB1528" s="135"/>
      <c r="BC1528" s="135"/>
      <c r="BD1528" s="135"/>
      <c r="BE1528" s="135"/>
      <c r="BF1528" s="135"/>
      <c r="BG1528" s="135"/>
      <c r="BH1528" s="135"/>
      <c r="BI1528" s="2"/>
      <c r="BJ1528" s="136"/>
      <c r="BK1528" s="2"/>
      <c r="BL1528" s="136"/>
      <c r="BM1528" s="136"/>
      <c r="BN1528" s="2"/>
      <c r="BO1528" s="2"/>
      <c r="BP1528" s="136"/>
      <c r="BQ1528" s="137"/>
    </row>
    <row r="1529" spans="1:69" ht="12.75" customHeight="1" x14ac:dyDescent="0.2">
      <c r="A1529" s="2">
        <v>3018</v>
      </c>
      <c r="B1529" s="2"/>
      <c r="C1529" s="2"/>
      <c r="D1529" s="2"/>
      <c r="E1529" s="2"/>
      <c r="F1529" s="132">
        <v>0</v>
      </c>
      <c r="G1529" s="132"/>
      <c r="H1529" s="132">
        <f t="shared" si="178"/>
        <v>0</v>
      </c>
      <c r="I1529" s="132"/>
      <c r="J1529" s="132">
        <f t="shared" si="176"/>
        <v>0</v>
      </c>
      <c r="K1529" s="132">
        <f t="shared" si="179"/>
        <v>0</v>
      </c>
      <c r="L1529" s="132">
        <f t="shared" si="173"/>
        <v>0</v>
      </c>
      <c r="M1529" s="133"/>
      <c r="N1529" s="133">
        <f t="shared" si="177"/>
        <v>0</v>
      </c>
      <c r="O1529" s="134"/>
      <c r="P1529" s="133"/>
      <c r="Q1529" s="2"/>
      <c r="R1529" s="156">
        <f t="shared" si="174"/>
        <v>0</v>
      </c>
      <c r="S1529" s="156">
        <f t="shared" si="175"/>
        <v>0</v>
      </c>
      <c r="T1529" s="133"/>
      <c r="U1529" s="133"/>
      <c r="V1529" s="133"/>
      <c r="W1529" s="133"/>
      <c r="X1529" s="133"/>
      <c r="Y1529" s="133"/>
      <c r="Z1529" s="133"/>
      <c r="AA1529" s="133"/>
      <c r="AB1529" s="133"/>
      <c r="AC1529" s="133"/>
      <c r="AD1529" s="133"/>
      <c r="AE1529" s="133"/>
      <c r="AF1529" s="133"/>
      <c r="AG1529" s="133"/>
      <c r="AH1529" s="133"/>
      <c r="AI1529" s="133"/>
      <c r="AJ1529" s="133"/>
      <c r="AK1529" s="133"/>
      <c r="AL1529" s="133"/>
      <c r="AM1529" s="133"/>
      <c r="AN1529" s="133"/>
      <c r="AO1529" s="133"/>
      <c r="AP1529" s="133"/>
      <c r="AQ1529" s="133"/>
      <c r="AR1529" s="133"/>
      <c r="AS1529" s="153">
        <v>0</v>
      </c>
      <c r="AT1529" s="153">
        <v>0</v>
      </c>
      <c r="AU1529" s="153">
        <v>0</v>
      </c>
      <c r="AV1529" s="135"/>
      <c r="AW1529" s="135"/>
      <c r="AX1529" s="135"/>
      <c r="AY1529" s="135"/>
      <c r="AZ1529" s="135"/>
      <c r="BA1529" s="135"/>
      <c r="BB1529" s="135"/>
      <c r="BC1529" s="135"/>
      <c r="BD1529" s="135"/>
      <c r="BE1529" s="135"/>
      <c r="BF1529" s="135"/>
      <c r="BG1529" s="135"/>
      <c r="BH1529" s="135"/>
      <c r="BI1529" s="2"/>
      <c r="BJ1529" s="136"/>
      <c r="BK1529" s="2"/>
      <c r="BL1529" s="136"/>
      <c r="BM1529" s="136"/>
      <c r="BN1529" s="2"/>
      <c r="BO1529" s="2"/>
      <c r="BP1529" s="136"/>
      <c r="BQ1529" s="137"/>
    </row>
    <row r="1530" spans="1:69" ht="12.75" customHeight="1" x14ac:dyDescent="0.2">
      <c r="A1530" s="2">
        <v>3019</v>
      </c>
      <c r="B1530" s="2"/>
      <c r="C1530" s="2"/>
      <c r="D1530" s="2"/>
      <c r="E1530" s="2"/>
      <c r="F1530" s="132">
        <v>0</v>
      </c>
      <c r="G1530" s="132"/>
      <c r="H1530" s="132">
        <f t="shared" si="178"/>
        <v>0</v>
      </c>
      <c r="I1530" s="132"/>
      <c r="J1530" s="132">
        <f t="shared" si="176"/>
        <v>0</v>
      </c>
      <c r="K1530" s="132">
        <f t="shared" si="179"/>
        <v>0</v>
      </c>
      <c r="L1530" s="132">
        <f t="shared" si="173"/>
        <v>0</v>
      </c>
      <c r="M1530" s="133"/>
      <c r="N1530" s="133">
        <f t="shared" si="177"/>
        <v>0</v>
      </c>
      <c r="O1530" s="134"/>
      <c r="P1530" s="133"/>
      <c r="Q1530" s="2"/>
      <c r="R1530" s="156">
        <f t="shared" si="174"/>
        <v>0</v>
      </c>
      <c r="S1530" s="156">
        <f t="shared" si="175"/>
        <v>0</v>
      </c>
      <c r="T1530" s="133"/>
      <c r="U1530" s="133"/>
      <c r="V1530" s="133"/>
      <c r="W1530" s="133"/>
      <c r="X1530" s="133"/>
      <c r="Y1530" s="133"/>
      <c r="Z1530" s="133"/>
      <c r="AA1530" s="133"/>
      <c r="AB1530" s="133"/>
      <c r="AC1530" s="133"/>
      <c r="AD1530" s="133"/>
      <c r="AE1530" s="133"/>
      <c r="AF1530" s="133"/>
      <c r="AG1530" s="133"/>
      <c r="AH1530" s="133"/>
      <c r="AI1530" s="133"/>
      <c r="AJ1530" s="133"/>
      <c r="AK1530" s="133"/>
      <c r="AL1530" s="133"/>
      <c r="AM1530" s="133"/>
      <c r="AN1530" s="133"/>
      <c r="AO1530" s="133"/>
      <c r="AP1530" s="133"/>
      <c r="AQ1530" s="133"/>
      <c r="AR1530" s="133"/>
      <c r="AS1530" s="153">
        <v>0</v>
      </c>
      <c r="AT1530" s="153">
        <v>0</v>
      </c>
      <c r="AU1530" s="153">
        <v>0</v>
      </c>
      <c r="AV1530" s="135"/>
      <c r="AW1530" s="135"/>
      <c r="AX1530" s="135"/>
      <c r="AY1530" s="135"/>
      <c r="AZ1530" s="135"/>
      <c r="BA1530" s="135"/>
      <c r="BB1530" s="135"/>
      <c r="BC1530" s="135"/>
      <c r="BD1530" s="135"/>
      <c r="BE1530" s="135"/>
      <c r="BF1530" s="135"/>
      <c r="BG1530" s="135"/>
      <c r="BH1530" s="135"/>
      <c r="BI1530" s="2"/>
      <c r="BJ1530" s="136"/>
      <c r="BK1530" s="2"/>
      <c r="BL1530" s="136"/>
      <c r="BM1530" s="136"/>
      <c r="BN1530" s="2"/>
      <c r="BO1530" s="2"/>
      <c r="BP1530" s="136"/>
      <c r="BQ1530" s="137"/>
    </row>
    <row r="1531" spans="1:69" ht="12.75" customHeight="1" x14ac:dyDescent="0.2">
      <c r="A1531" s="2">
        <v>3020</v>
      </c>
      <c r="B1531" s="2"/>
      <c r="C1531" s="2"/>
      <c r="D1531" s="2"/>
      <c r="E1531" s="2"/>
      <c r="F1531" s="132">
        <v>0</v>
      </c>
      <c r="G1531" s="132"/>
      <c r="H1531" s="132">
        <f t="shared" si="178"/>
        <v>0</v>
      </c>
      <c r="I1531" s="132"/>
      <c r="J1531" s="132">
        <f t="shared" si="176"/>
        <v>0</v>
      </c>
      <c r="K1531" s="132">
        <f t="shared" si="179"/>
        <v>0</v>
      </c>
      <c r="L1531" s="132">
        <f t="shared" si="173"/>
        <v>0</v>
      </c>
      <c r="M1531" s="133"/>
      <c r="N1531" s="133">
        <f t="shared" si="177"/>
        <v>0</v>
      </c>
      <c r="O1531" s="134"/>
      <c r="P1531" s="133"/>
      <c r="Q1531" s="2"/>
      <c r="R1531" s="156">
        <f t="shared" si="174"/>
        <v>0</v>
      </c>
      <c r="S1531" s="156">
        <f t="shared" si="175"/>
        <v>0</v>
      </c>
      <c r="T1531" s="133"/>
      <c r="U1531" s="133"/>
      <c r="V1531" s="133"/>
      <c r="W1531" s="133"/>
      <c r="X1531" s="133"/>
      <c r="Y1531" s="133"/>
      <c r="Z1531" s="133"/>
      <c r="AA1531" s="133"/>
      <c r="AB1531" s="133"/>
      <c r="AC1531" s="133"/>
      <c r="AD1531" s="133"/>
      <c r="AE1531" s="133"/>
      <c r="AF1531" s="133"/>
      <c r="AG1531" s="133"/>
      <c r="AH1531" s="133"/>
      <c r="AI1531" s="133"/>
      <c r="AJ1531" s="133"/>
      <c r="AK1531" s="133"/>
      <c r="AL1531" s="133"/>
      <c r="AM1531" s="133"/>
      <c r="AN1531" s="133"/>
      <c r="AO1531" s="133"/>
      <c r="AP1531" s="133"/>
      <c r="AQ1531" s="133"/>
      <c r="AR1531" s="133"/>
      <c r="AS1531" s="153">
        <v>0</v>
      </c>
      <c r="AT1531" s="153">
        <v>0</v>
      </c>
      <c r="AU1531" s="153">
        <v>0</v>
      </c>
      <c r="AV1531" s="135"/>
      <c r="AW1531" s="135"/>
      <c r="AX1531" s="135"/>
      <c r="AY1531" s="135"/>
      <c r="AZ1531" s="135"/>
      <c r="BA1531" s="135"/>
      <c r="BB1531" s="135"/>
      <c r="BC1531" s="135"/>
      <c r="BD1531" s="135"/>
      <c r="BE1531" s="135"/>
      <c r="BF1531" s="135"/>
      <c r="BG1531" s="135"/>
      <c r="BH1531" s="135"/>
      <c r="BI1531" s="2"/>
      <c r="BJ1531" s="136"/>
      <c r="BK1531" s="2"/>
      <c r="BL1531" s="136"/>
      <c r="BM1531" s="136"/>
      <c r="BN1531" s="2"/>
      <c r="BO1531" s="2"/>
      <c r="BP1531" s="136"/>
      <c r="BQ1531" s="137"/>
    </row>
    <row r="1532" spans="1:69" ht="12.75" customHeight="1" x14ac:dyDescent="0.2">
      <c r="A1532" s="2">
        <v>3021</v>
      </c>
      <c r="B1532" s="2"/>
      <c r="C1532" s="2"/>
      <c r="D1532" s="2"/>
      <c r="E1532" s="2"/>
      <c r="F1532" s="132">
        <v>0</v>
      </c>
      <c r="G1532" s="132"/>
      <c r="H1532" s="132">
        <f t="shared" si="178"/>
        <v>0</v>
      </c>
      <c r="I1532" s="132"/>
      <c r="J1532" s="132">
        <f t="shared" si="176"/>
        <v>0</v>
      </c>
      <c r="K1532" s="132">
        <f t="shared" si="179"/>
        <v>0</v>
      </c>
      <c r="L1532" s="132">
        <f t="shared" si="173"/>
        <v>0</v>
      </c>
      <c r="M1532" s="133"/>
      <c r="N1532" s="133">
        <f t="shared" si="177"/>
        <v>0</v>
      </c>
      <c r="O1532" s="134"/>
      <c r="P1532" s="133"/>
      <c r="Q1532" s="2"/>
      <c r="R1532" s="156">
        <f t="shared" si="174"/>
        <v>0</v>
      </c>
      <c r="S1532" s="156">
        <f t="shared" si="175"/>
        <v>0</v>
      </c>
      <c r="T1532" s="133"/>
      <c r="U1532" s="133"/>
      <c r="V1532" s="133"/>
      <c r="W1532" s="133"/>
      <c r="X1532" s="133"/>
      <c r="Y1532" s="133"/>
      <c r="Z1532" s="133"/>
      <c r="AA1532" s="133"/>
      <c r="AB1532" s="133"/>
      <c r="AC1532" s="133"/>
      <c r="AD1532" s="133"/>
      <c r="AE1532" s="133"/>
      <c r="AF1532" s="133"/>
      <c r="AG1532" s="133"/>
      <c r="AH1532" s="133"/>
      <c r="AI1532" s="133"/>
      <c r="AJ1532" s="133"/>
      <c r="AK1532" s="133"/>
      <c r="AL1532" s="133"/>
      <c r="AM1532" s="133"/>
      <c r="AN1532" s="133"/>
      <c r="AO1532" s="133"/>
      <c r="AP1532" s="133"/>
      <c r="AQ1532" s="133"/>
      <c r="AR1532" s="133"/>
      <c r="AS1532" s="153">
        <v>0</v>
      </c>
      <c r="AT1532" s="153">
        <v>0</v>
      </c>
      <c r="AU1532" s="153">
        <v>0</v>
      </c>
      <c r="AV1532" s="135"/>
      <c r="AW1532" s="135"/>
      <c r="AX1532" s="135"/>
      <c r="AY1532" s="135"/>
      <c r="AZ1532" s="135"/>
      <c r="BA1532" s="135"/>
      <c r="BB1532" s="135"/>
      <c r="BC1532" s="135"/>
      <c r="BD1532" s="135"/>
      <c r="BE1532" s="135"/>
      <c r="BF1532" s="135"/>
      <c r="BG1532" s="135"/>
      <c r="BH1532" s="135"/>
      <c r="BI1532" s="2"/>
      <c r="BJ1532" s="136"/>
      <c r="BK1532" s="2"/>
      <c r="BL1532" s="136"/>
      <c r="BM1532" s="136"/>
      <c r="BN1532" s="2"/>
      <c r="BO1532" s="2"/>
      <c r="BP1532" s="136"/>
      <c r="BQ1532" s="137"/>
    </row>
    <row r="1533" spans="1:69" ht="12.75" customHeight="1" x14ac:dyDescent="0.2">
      <c r="A1533" s="2">
        <v>3022</v>
      </c>
      <c r="B1533" s="2"/>
      <c r="C1533" s="2"/>
      <c r="D1533" s="2"/>
      <c r="E1533" s="2"/>
      <c r="F1533" s="132">
        <v>0</v>
      </c>
      <c r="G1533" s="132"/>
      <c r="H1533" s="132">
        <f t="shared" si="178"/>
        <v>0</v>
      </c>
      <c r="I1533" s="132"/>
      <c r="J1533" s="132">
        <f t="shared" si="176"/>
        <v>0</v>
      </c>
      <c r="K1533" s="132">
        <f t="shared" si="179"/>
        <v>0</v>
      </c>
      <c r="L1533" s="132">
        <f t="shared" si="173"/>
        <v>0</v>
      </c>
      <c r="M1533" s="133"/>
      <c r="N1533" s="133">
        <f t="shared" si="177"/>
        <v>0</v>
      </c>
      <c r="O1533" s="134"/>
      <c r="P1533" s="133"/>
      <c r="Q1533" s="2"/>
      <c r="R1533" s="156">
        <f t="shared" si="174"/>
        <v>0</v>
      </c>
      <c r="S1533" s="156">
        <f t="shared" si="175"/>
        <v>0</v>
      </c>
      <c r="T1533" s="133"/>
      <c r="U1533" s="133"/>
      <c r="V1533" s="133"/>
      <c r="W1533" s="133"/>
      <c r="X1533" s="133"/>
      <c r="Y1533" s="133"/>
      <c r="Z1533" s="133"/>
      <c r="AA1533" s="133"/>
      <c r="AB1533" s="133"/>
      <c r="AC1533" s="133"/>
      <c r="AD1533" s="133"/>
      <c r="AE1533" s="133"/>
      <c r="AF1533" s="133"/>
      <c r="AG1533" s="133"/>
      <c r="AH1533" s="133"/>
      <c r="AI1533" s="133"/>
      <c r="AJ1533" s="133"/>
      <c r="AK1533" s="133"/>
      <c r="AL1533" s="133"/>
      <c r="AM1533" s="133"/>
      <c r="AN1533" s="133"/>
      <c r="AO1533" s="133"/>
      <c r="AP1533" s="133"/>
      <c r="AQ1533" s="133"/>
      <c r="AR1533" s="133"/>
      <c r="AS1533" s="153">
        <v>0</v>
      </c>
      <c r="AT1533" s="153">
        <v>0</v>
      </c>
      <c r="AU1533" s="153">
        <v>0</v>
      </c>
      <c r="AV1533" s="135"/>
      <c r="AW1533" s="135"/>
      <c r="AX1533" s="135"/>
      <c r="AY1533" s="135"/>
      <c r="AZ1533" s="135"/>
      <c r="BA1533" s="135"/>
      <c r="BB1533" s="135"/>
      <c r="BC1533" s="135"/>
      <c r="BD1533" s="135"/>
      <c r="BE1533" s="135"/>
      <c r="BF1533" s="135"/>
      <c r="BG1533" s="135"/>
      <c r="BH1533" s="135"/>
      <c r="BI1533" s="2"/>
      <c r="BJ1533" s="136"/>
      <c r="BK1533" s="2"/>
      <c r="BL1533" s="136"/>
      <c r="BM1533" s="136"/>
      <c r="BN1533" s="2"/>
      <c r="BO1533" s="2"/>
      <c r="BP1533" s="136"/>
      <c r="BQ1533" s="137"/>
    </row>
    <row r="1534" spans="1:69" ht="12.75" customHeight="1" x14ac:dyDescent="0.2">
      <c r="A1534" s="2">
        <v>3023</v>
      </c>
      <c r="B1534" s="2"/>
      <c r="C1534" s="2"/>
      <c r="D1534" s="2"/>
      <c r="E1534" s="2"/>
      <c r="F1534" s="132">
        <v>0</v>
      </c>
      <c r="G1534" s="132"/>
      <c r="H1534" s="132">
        <f t="shared" si="178"/>
        <v>0</v>
      </c>
      <c r="I1534" s="132"/>
      <c r="J1534" s="132">
        <f t="shared" si="176"/>
        <v>0</v>
      </c>
      <c r="K1534" s="132">
        <f t="shared" si="179"/>
        <v>0</v>
      </c>
      <c r="L1534" s="132">
        <f t="shared" si="173"/>
        <v>0</v>
      </c>
      <c r="M1534" s="133"/>
      <c r="N1534" s="133">
        <f t="shared" si="177"/>
        <v>0</v>
      </c>
      <c r="O1534" s="134"/>
      <c r="P1534" s="133"/>
      <c r="Q1534" s="2"/>
      <c r="R1534" s="156">
        <f t="shared" si="174"/>
        <v>0</v>
      </c>
      <c r="S1534" s="156">
        <f t="shared" si="175"/>
        <v>0</v>
      </c>
      <c r="T1534" s="133"/>
      <c r="U1534" s="133"/>
      <c r="V1534" s="133"/>
      <c r="W1534" s="133"/>
      <c r="X1534" s="133"/>
      <c r="Y1534" s="133"/>
      <c r="Z1534" s="133"/>
      <c r="AA1534" s="133"/>
      <c r="AB1534" s="133"/>
      <c r="AC1534" s="133"/>
      <c r="AD1534" s="133"/>
      <c r="AE1534" s="133"/>
      <c r="AF1534" s="133"/>
      <c r="AG1534" s="133"/>
      <c r="AH1534" s="133"/>
      <c r="AI1534" s="133"/>
      <c r="AJ1534" s="133"/>
      <c r="AK1534" s="133"/>
      <c r="AL1534" s="133"/>
      <c r="AM1534" s="133"/>
      <c r="AN1534" s="133"/>
      <c r="AO1534" s="133"/>
      <c r="AP1534" s="133"/>
      <c r="AQ1534" s="133"/>
      <c r="AR1534" s="133"/>
      <c r="AS1534" s="153">
        <v>0</v>
      </c>
      <c r="AT1534" s="153">
        <v>0</v>
      </c>
      <c r="AU1534" s="153">
        <v>0</v>
      </c>
      <c r="AV1534" s="135"/>
      <c r="AW1534" s="135"/>
      <c r="AX1534" s="135"/>
      <c r="AY1534" s="135"/>
      <c r="AZ1534" s="135"/>
      <c r="BA1534" s="135"/>
      <c r="BB1534" s="135"/>
      <c r="BC1534" s="135"/>
      <c r="BD1534" s="135"/>
      <c r="BE1534" s="135"/>
      <c r="BF1534" s="135"/>
      <c r="BG1534" s="135"/>
      <c r="BH1534" s="135"/>
      <c r="BI1534" s="2"/>
      <c r="BJ1534" s="136"/>
      <c r="BK1534" s="2"/>
      <c r="BL1534" s="136"/>
      <c r="BM1534" s="136"/>
      <c r="BN1534" s="2"/>
      <c r="BO1534" s="2"/>
      <c r="BP1534" s="136"/>
      <c r="BQ1534" s="137"/>
    </row>
    <row r="1535" spans="1:69" ht="12.75" customHeight="1" x14ac:dyDescent="0.2">
      <c r="A1535" s="2">
        <v>3024</v>
      </c>
      <c r="B1535" s="2"/>
      <c r="C1535" s="2"/>
      <c r="D1535" s="2"/>
      <c r="E1535" s="2"/>
      <c r="F1535" s="132">
        <v>0</v>
      </c>
      <c r="G1535" s="132"/>
      <c r="H1535" s="132">
        <f t="shared" si="178"/>
        <v>0</v>
      </c>
      <c r="I1535" s="132"/>
      <c r="J1535" s="132">
        <f t="shared" si="176"/>
        <v>0</v>
      </c>
      <c r="K1535" s="132">
        <f t="shared" si="179"/>
        <v>0</v>
      </c>
      <c r="L1535" s="132">
        <f t="shared" si="173"/>
        <v>0</v>
      </c>
      <c r="M1535" s="133"/>
      <c r="N1535" s="133">
        <f t="shared" si="177"/>
        <v>0</v>
      </c>
      <c r="O1535" s="134"/>
      <c r="P1535" s="133"/>
      <c r="Q1535" s="2"/>
      <c r="R1535" s="156">
        <f t="shared" si="174"/>
        <v>0</v>
      </c>
      <c r="S1535" s="156">
        <f t="shared" si="175"/>
        <v>0</v>
      </c>
      <c r="T1535" s="133"/>
      <c r="U1535" s="133"/>
      <c r="V1535" s="133"/>
      <c r="W1535" s="133"/>
      <c r="X1535" s="133"/>
      <c r="Y1535" s="133"/>
      <c r="Z1535" s="133"/>
      <c r="AA1535" s="133"/>
      <c r="AB1535" s="133"/>
      <c r="AC1535" s="133"/>
      <c r="AD1535" s="133"/>
      <c r="AE1535" s="133"/>
      <c r="AF1535" s="133"/>
      <c r="AG1535" s="133"/>
      <c r="AH1535" s="133"/>
      <c r="AI1535" s="133"/>
      <c r="AJ1535" s="133"/>
      <c r="AK1535" s="133"/>
      <c r="AL1535" s="133"/>
      <c r="AM1535" s="133"/>
      <c r="AN1535" s="133"/>
      <c r="AO1535" s="133"/>
      <c r="AP1535" s="133"/>
      <c r="AQ1535" s="133"/>
      <c r="AR1535" s="133"/>
      <c r="AS1535" s="153">
        <v>0</v>
      </c>
      <c r="AT1535" s="153">
        <v>0</v>
      </c>
      <c r="AU1535" s="153">
        <v>0</v>
      </c>
      <c r="AV1535" s="135"/>
      <c r="AW1535" s="135"/>
      <c r="AX1535" s="135"/>
      <c r="AY1535" s="135"/>
      <c r="AZ1535" s="135"/>
      <c r="BA1535" s="135"/>
      <c r="BB1535" s="135"/>
      <c r="BC1535" s="135"/>
      <c r="BD1535" s="135"/>
      <c r="BE1535" s="135"/>
      <c r="BF1535" s="135"/>
      <c r="BG1535" s="135"/>
      <c r="BH1535" s="135"/>
      <c r="BI1535" s="2"/>
      <c r="BJ1535" s="136"/>
      <c r="BK1535" s="2"/>
      <c r="BL1535" s="136"/>
      <c r="BM1535" s="136"/>
      <c r="BN1535" s="2"/>
      <c r="BO1535" s="2"/>
      <c r="BP1535" s="136"/>
      <c r="BQ1535" s="137"/>
    </row>
    <row r="1536" spans="1:69" ht="12.75" customHeight="1" x14ac:dyDescent="0.2">
      <c r="A1536" s="2">
        <v>3025</v>
      </c>
      <c r="B1536" s="2"/>
      <c r="C1536" s="2"/>
      <c r="D1536" s="2"/>
      <c r="E1536" s="2"/>
      <c r="F1536" s="132">
        <v>0</v>
      </c>
      <c r="G1536" s="132"/>
      <c r="H1536" s="132">
        <f t="shared" si="178"/>
        <v>0</v>
      </c>
      <c r="I1536" s="132"/>
      <c r="J1536" s="132">
        <f t="shared" si="176"/>
        <v>0</v>
      </c>
      <c r="K1536" s="132">
        <f t="shared" si="179"/>
        <v>0</v>
      </c>
      <c r="L1536" s="132">
        <f t="shared" si="173"/>
        <v>0</v>
      </c>
      <c r="M1536" s="133"/>
      <c r="N1536" s="133">
        <f t="shared" si="177"/>
        <v>0</v>
      </c>
      <c r="O1536" s="134"/>
      <c r="P1536" s="133"/>
      <c r="Q1536" s="2"/>
      <c r="R1536" s="156">
        <f t="shared" si="174"/>
        <v>0</v>
      </c>
      <c r="S1536" s="156">
        <f t="shared" si="175"/>
        <v>0</v>
      </c>
      <c r="T1536" s="133"/>
      <c r="U1536" s="133"/>
      <c r="V1536" s="133"/>
      <c r="W1536" s="133"/>
      <c r="X1536" s="133"/>
      <c r="Y1536" s="133"/>
      <c r="Z1536" s="133"/>
      <c r="AA1536" s="133"/>
      <c r="AB1536" s="133"/>
      <c r="AC1536" s="133"/>
      <c r="AD1536" s="133"/>
      <c r="AE1536" s="133"/>
      <c r="AF1536" s="133"/>
      <c r="AG1536" s="133"/>
      <c r="AH1536" s="133"/>
      <c r="AI1536" s="133"/>
      <c r="AJ1536" s="133"/>
      <c r="AK1536" s="133"/>
      <c r="AL1536" s="133"/>
      <c r="AM1536" s="133"/>
      <c r="AN1536" s="133"/>
      <c r="AO1536" s="133"/>
      <c r="AP1536" s="133"/>
      <c r="AQ1536" s="133"/>
      <c r="AR1536" s="133"/>
      <c r="AS1536" s="153">
        <v>0</v>
      </c>
      <c r="AT1536" s="153">
        <v>0</v>
      </c>
      <c r="AU1536" s="153">
        <v>0</v>
      </c>
      <c r="AV1536" s="135"/>
      <c r="AW1536" s="135"/>
      <c r="AX1536" s="135"/>
      <c r="AY1536" s="135"/>
      <c r="AZ1536" s="135"/>
      <c r="BA1536" s="135"/>
      <c r="BB1536" s="135"/>
      <c r="BC1536" s="135"/>
      <c r="BD1536" s="135"/>
      <c r="BE1536" s="135"/>
      <c r="BF1536" s="135"/>
      <c r="BG1536" s="135"/>
      <c r="BH1536" s="135"/>
      <c r="BI1536" s="2"/>
      <c r="BJ1536" s="136"/>
      <c r="BK1536" s="2"/>
      <c r="BL1536" s="136"/>
      <c r="BM1536" s="136"/>
      <c r="BN1536" s="2"/>
      <c r="BO1536" s="2"/>
      <c r="BP1536" s="136"/>
      <c r="BQ1536" s="137"/>
    </row>
    <row r="1537" spans="1:69" ht="12.75" customHeight="1" x14ac:dyDescent="0.2">
      <c r="A1537" s="2">
        <v>3026</v>
      </c>
      <c r="B1537" s="2"/>
      <c r="C1537" s="2"/>
      <c r="D1537" s="2"/>
      <c r="E1537" s="2"/>
      <c r="F1537" s="132">
        <v>0</v>
      </c>
      <c r="G1537" s="132"/>
      <c r="H1537" s="132">
        <f t="shared" si="178"/>
        <v>0</v>
      </c>
      <c r="I1537" s="132"/>
      <c r="J1537" s="132">
        <f t="shared" si="176"/>
        <v>0</v>
      </c>
      <c r="K1537" s="132">
        <f t="shared" si="179"/>
        <v>0</v>
      </c>
      <c r="L1537" s="132">
        <f t="shared" si="173"/>
        <v>0</v>
      </c>
      <c r="M1537" s="133"/>
      <c r="N1537" s="133">
        <f t="shared" si="177"/>
        <v>0</v>
      </c>
      <c r="O1537" s="134"/>
      <c r="P1537" s="133"/>
      <c r="Q1537" s="2"/>
      <c r="R1537" s="156">
        <f t="shared" si="174"/>
        <v>0</v>
      </c>
      <c r="S1537" s="156">
        <f t="shared" si="175"/>
        <v>0</v>
      </c>
      <c r="T1537" s="133"/>
      <c r="U1537" s="133"/>
      <c r="V1537" s="133"/>
      <c r="W1537" s="133"/>
      <c r="X1537" s="133"/>
      <c r="Y1537" s="133"/>
      <c r="Z1537" s="133"/>
      <c r="AA1537" s="133"/>
      <c r="AB1537" s="133"/>
      <c r="AC1537" s="133"/>
      <c r="AD1537" s="133"/>
      <c r="AE1537" s="133"/>
      <c r="AF1537" s="133"/>
      <c r="AG1537" s="133"/>
      <c r="AH1537" s="133"/>
      <c r="AI1537" s="133"/>
      <c r="AJ1537" s="133"/>
      <c r="AK1537" s="133"/>
      <c r="AL1537" s="133"/>
      <c r="AM1537" s="133"/>
      <c r="AN1537" s="133"/>
      <c r="AO1537" s="133"/>
      <c r="AP1537" s="133"/>
      <c r="AQ1537" s="133"/>
      <c r="AR1537" s="133"/>
      <c r="AS1537" s="153">
        <v>0</v>
      </c>
      <c r="AT1537" s="153">
        <v>0</v>
      </c>
      <c r="AU1537" s="153">
        <v>0</v>
      </c>
      <c r="AV1537" s="135"/>
      <c r="AW1537" s="135"/>
      <c r="AX1537" s="135"/>
      <c r="AY1537" s="135"/>
      <c r="AZ1537" s="135"/>
      <c r="BA1537" s="135"/>
      <c r="BB1537" s="135"/>
      <c r="BC1537" s="135"/>
      <c r="BD1537" s="135"/>
      <c r="BE1537" s="135"/>
      <c r="BF1537" s="135"/>
      <c r="BG1537" s="135"/>
      <c r="BH1537" s="135"/>
      <c r="BI1537" s="2"/>
      <c r="BJ1537" s="136"/>
      <c r="BK1537" s="2"/>
      <c r="BL1537" s="136"/>
      <c r="BM1537" s="136"/>
      <c r="BN1537" s="2"/>
      <c r="BO1537" s="2"/>
      <c r="BP1537" s="136"/>
      <c r="BQ1537" s="137"/>
    </row>
    <row r="1538" spans="1:69" ht="12.75" customHeight="1" x14ac:dyDescent="0.2">
      <c r="A1538" s="2">
        <v>3027</v>
      </c>
      <c r="B1538" s="2"/>
      <c r="C1538" s="2"/>
      <c r="D1538" s="2"/>
      <c r="E1538" s="2"/>
      <c r="F1538" s="132">
        <v>0</v>
      </c>
      <c r="G1538" s="132"/>
      <c r="H1538" s="132">
        <f t="shared" si="178"/>
        <v>0</v>
      </c>
      <c r="I1538" s="132"/>
      <c r="J1538" s="132">
        <f t="shared" si="176"/>
        <v>0</v>
      </c>
      <c r="K1538" s="132">
        <f t="shared" si="179"/>
        <v>0</v>
      </c>
      <c r="L1538" s="132">
        <f t="shared" si="173"/>
        <v>0</v>
      </c>
      <c r="M1538" s="133"/>
      <c r="N1538" s="133">
        <f t="shared" si="177"/>
        <v>0</v>
      </c>
      <c r="O1538" s="134"/>
      <c r="P1538" s="133"/>
      <c r="Q1538" s="2"/>
      <c r="R1538" s="156">
        <f t="shared" si="174"/>
        <v>0</v>
      </c>
      <c r="S1538" s="156">
        <f t="shared" si="175"/>
        <v>0</v>
      </c>
      <c r="T1538" s="133"/>
      <c r="U1538" s="133"/>
      <c r="V1538" s="133"/>
      <c r="W1538" s="133"/>
      <c r="X1538" s="133"/>
      <c r="Y1538" s="133"/>
      <c r="Z1538" s="133"/>
      <c r="AA1538" s="133"/>
      <c r="AB1538" s="133"/>
      <c r="AC1538" s="133"/>
      <c r="AD1538" s="133"/>
      <c r="AE1538" s="133"/>
      <c r="AF1538" s="133"/>
      <c r="AG1538" s="133"/>
      <c r="AH1538" s="133"/>
      <c r="AI1538" s="133"/>
      <c r="AJ1538" s="133"/>
      <c r="AK1538" s="133"/>
      <c r="AL1538" s="133"/>
      <c r="AM1538" s="133"/>
      <c r="AN1538" s="133"/>
      <c r="AO1538" s="133"/>
      <c r="AP1538" s="133"/>
      <c r="AQ1538" s="133"/>
      <c r="AR1538" s="133"/>
      <c r="AS1538" s="153">
        <v>0</v>
      </c>
      <c r="AT1538" s="153">
        <v>0</v>
      </c>
      <c r="AU1538" s="153">
        <v>0</v>
      </c>
      <c r="AV1538" s="135"/>
      <c r="AW1538" s="135"/>
      <c r="AX1538" s="135"/>
      <c r="AY1538" s="135"/>
      <c r="AZ1538" s="135"/>
      <c r="BA1538" s="135"/>
      <c r="BB1538" s="135"/>
      <c r="BC1538" s="135"/>
      <c r="BD1538" s="135"/>
      <c r="BE1538" s="135"/>
      <c r="BF1538" s="135"/>
      <c r="BG1538" s="135"/>
      <c r="BH1538" s="135"/>
      <c r="BI1538" s="2"/>
      <c r="BJ1538" s="136"/>
      <c r="BK1538" s="2"/>
      <c r="BL1538" s="136"/>
      <c r="BM1538" s="136"/>
      <c r="BN1538" s="2"/>
      <c r="BO1538" s="2"/>
      <c r="BP1538" s="136"/>
      <c r="BQ1538" s="137"/>
    </row>
    <row r="1539" spans="1:69" ht="12.75" customHeight="1" x14ac:dyDescent="0.2">
      <c r="A1539" s="2">
        <v>3028</v>
      </c>
      <c r="B1539" s="2"/>
      <c r="C1539" s="2"/>
      <c r="D1539" s="2"/>
      <c r="E1539" s="2"/>
      <c r="F1539" s="132">
        <v>0</v>
      </c>
      <c r="G1539" s="132"/>
      <c r="H1539" s="132">
        <f t="shared" si="178"/>
        <v>0</v>
      </c>
      <c r="I1539" s="132"/>
      <c r="J1539" s="132">
        <f t="shared" si="176"/>
        <v>0</v>
      </c>
      <c r="K1539" s="132">
        <f t="shared" si="179"/>
        <v>0</v>
      </c>
      <c r="L1539" s="132">
        <f t="shared" si="173"/>
        <v>0</v>
      </c>
      <c r="M1539" s="133"/>
      <c r="N1539" s="133">
        <f t="shared" si="177"/>
        <v>0</v>
      </c>
      <c r="O1539" s="134"/>
      <c r="P1539" s="133"/>
      <c r="Q1539" s="2"/>
      <c r="R1539" s="156">
        <f t="shared" si="174"/>
        <v>0</v>
      </c>
      <c r="S1539" s="156">
        <f t="shared" si="175"/>
        <v>0</v>
      </c>
      <c r="T1539" s="133"/>
      <c r="U1539" s="133"/>
      <c r="V1539" s="133"/>
      <c r="W1539" s="133"/>
      <c r="X1539" s="133"/>
      <c r="Y1539" s="133"/>
      <c r="Z1539" s="133"/>
      <c r="AA1539" s="133"/>
      <c r="AB1539" s="133"/>
      <c r="AC1539" s="133"/>
      <c r="AD1539" s="133"/>
      <c r="AE1539" s="133"/>
      <c r="AF1539" s="133"/>
      <c r="AG1539" s="133"/>
      <c r="AH1539" s="133"/>
      <c r="AI1539" s="133"/>
      <c r="AJ1539" s="133"/>
      <c r="AK1539" s="133"/>
      <c r="AL1539" s="133"/>
      <c r="AM1539" s="133"/>
      <c r="AN1539" s="133"/>
      <c r="AO1539" s="133"/>
      <c r="AP1539" s="133"/>
      <c r="AQ1539" s="133"/>
      <c r="AR1539" s="133"/>
      <c r="AS1539" s="153">
        <v>0</v>
      </c>
      <c r="AT1539" s="153">
        <v>0</v>
      </c>
      <c r="AU1539" s="153">
        <v>0</v>
      </c>
      <c r="AV1539" s="135"/>
      <c r="AW1539" s="135"/>
      <c r="AX1539" s="135"/>
      <c r="AY1539" s="135"/>
      <c r="AZ1539" s="135"/>
      <c r="BA1539" s="135"/>
      <c r="BB1539" s="135"/>
      <c r="BC1539" s="135"/>
      <c r="BD1539" s="135"/>
      <c r="BE1539" s="135"/>
      <c r="BF1539" s="135"/>
      <c r="BG1539" s="135"/>
      <c r="BH1539" s="135"/>
      <c r="BI1539" s="2"/>
      <c r="BJ1539" s="136"/>
      <c r="BK1539" s="2"/>
      <c r="BL1539" s="136"/>
      <c r="BM1539" s="136"/>
      <c r="BN1539" s="2"/>
      <c r="BO1539" s="2"/>
      <c r="BP1539" s="136"/>
      <c r="BQ1539" s="137"/>
    </row>
    <row r="1540" spans="1:69" ht="12.75" customHeight="1" x14ac:dyDescent="0.2">
      <c r="A1540" s="2">
        <v>3029</v>
      </c>
      <c r="B1540" s="2"/>
      <c r="C1540" s="2"/>
      <c r="D1540" s="2"/>
      <c r="E1540" s="2"/>
      <c r="F1540" s="132">
        <v>0</v>
      </c>
      <c r="G1540" s="132"/>
      <c r="H1540" s="132">
        <f t="shared" si="178"/>
        <v>0</v>
      </c>
      <c r="I1540" s="132"/>
      <c r="J1540" s="132">
        <f t="shared" si="176"/>
        <v>0</v>
      </c>
      <c r="K1540" s="132">
        <f t="shared" si="179"/>
        <v>0</v>
      </c>
      <c r="L1540" s="132">
        <f t="shared" si="173"/>
        <v>0</v>
      </c>
      <c r="M1540" s="133"/>
      <c r="N1540" s="133">
        <f t="shared" si="177"/>
        <v>0</v>
      </c>
      <c r="O1540" s="134"/>
      <c r="P1540" s="133"/>
      <c r="Q1540" s="2"/>
      <c r="R1540" s="156">
        <f t="shared" si="174"/>
        <v>0</v>
      </c>
      <c r="S1540" s="156">
        <f t="shared" si="175"/>
        <v>0</v>
      </c>
      <c r="T1540" s="133"/>
      <c r="U1540" s="133"/>
      <c r="V1540" s="133"/>
      <c r="W1540" s="133"/>
      <c r="X1540" s="133"/>
      <c r="Y1540" s="133"/>
      <c r="Z1540" s="133"/>
      <c r="AA1540" s="133"/>
      <c r="AB1540" s="133"/>
      <c r="AC1540" s="133"/>
      <c r="AD1540" s="133"/>
      <c r="AE1540" s="133"/>
      <c r="AF1540" s="133"/>
      <c r="AG1540" s="133"/>
      <c r="AH1540" s="133"/>
      <c r="AI1540" s="133"/>
      <c r="AJ1540" s="133"/>
      <c r="AK1540" s="133"/>
      <c r="AL1540" s="133"/>
      <c r="AM1540" s="133"/>
      <c r="AN1540" s="133"/>
      <c r="AO1540" s="133"/>
      <c r="AP1540" s="133"/>
      <c r="AQ1540" s="133"/>
      <c r="AR1540" s="133"/>
      <c r="AS1540" s="153">
        <v>0</v>
      </c>
      <c r="AT1540" s="153">
        <v>0</v>
      </c>
      <c r="AU1540" s="153">
        <v>0</v>
      </c>
      <c r="AV1540" s="135"/>
      <c r="AW1540" s="135"/>
      <c r="AX1540" s="135"/>
      <c r="AY1540" s="135"/>
      <c r="AZ1540" s="135"/>
      <c r="BA1540" s="135"/>
      <c r="BB1540" s="135"/>
      <c r="BC1540" s="135"/>
      <c r="BD1540" s="135"/>
      <c r="BE1540" s="135"/>
      <c r="BF1540" s="135"/>
      <c r="BG1540" s="135"/>
      <c r="BH1540" s="135"/>
      <c r="BI1540" s="2"/>
      <c r="BJ1540" s="136"/>
      <c r="BK1540" s="2"/>
      <c r="BL1540" s="136"/>
      <c r="BM1540" s="136"/>
      <c r="BN1540" s="2"/>
      <c r="BO1540" s="2"/>
      <c r="BP1540" s="136"/>
      <c r="BQ1540" s="137"/>
    </row>
    <row r="1541" spans="1:69" ht="12.75" customHeight="1" x14ac:dyDescent="0.2">
      <c r="A1541" s="2">
        <v>3030</v>
      </c>
      <c r="B1541" s="2"/>
      <c r="C1541" s="2"/>
      <c r="D1541" s="2"/>
      <c r="E1541" s="2"/>
      <c r="F1541" s="132">
        <v>0</v>
      </c>
      <c r="G1541" s="132"/>
      <c r="H1541" s="132">
        <f t="shared" si="178"/>
        <v>0</v>
      </c>
      <c r="I1541" s="132"/>
      <c r="J1541" s="132">
        <f t="shared" si="176"/>
        <v>0</v>
      </c>
      <c r="K1541" s="132">
        <f t="shared" si="179"/>
        <v>0</v>
      </c>
      <c r="L1541" s="132">
        <f t="shared" si="173"/>
        <v>0</v>
      </c>
      <c r="M1541" s="133"/>
      <c r="N1541" s="133">
        <f t="shared" si="177"/>
        <v>0</v>
      </c>
      <c r="O1541" s="134"/>
      <c r="P1541" s="133"/>
      <c r="Q1541" s="2"/>
      <c r="R1541" s="156">
        <f t="shared" si="174"/>
        <v>0</v>
      </c>
      <c r="S1541" s="156">
        <f t="shared" si="175"/>
        <v>0</v>
      </c>
      <c r="T1541" s="133"/>
      <c r="U1541" s="133"/>
      <c r="V1541" s="133"/>
      <c r="W1541" s="133"/>
      <c r="X1541" s="133"/>
      <c r="Y1541" s="133"/>
      <c r="Z1541" s="133"/>
      <c r="AA1541" s="133"/>
      <c r="AB1541" s="133"/>
      <c r="AC1541" s="133"/>
      <c r="AD1541" s="133"/>
      <c r="AE1541" s="133"/>
      <c r="AF1541" s="133"/>
      <c r="AG1541" s="133"/>
      <c r="AH1541" s="133"/>
      <c r="AI1541" s="133"/>
      <c r="AJ1541" s="133"/>
      <c r="AK1541" s="133"/>
      <c r="AL1541" s="133"/>
      <c r="AM1541" s="133"/>
      <c r="AN1541" s="133"/>
      <c r="AO1541" s="133"/>
      <c r="AP1541" s="133"/>
      <c r="AQ1541" s="133"/>
      <c r="AR1541" s="133"/>
      <c r="AS1541" s="153">
        <v>0</v>
      </c>
      <c r="AT1541" s="153">
        <v>0</v>
      </c>
      <c r="AU1541" s="153">
        <v>0</v>
      </c>
      <c r="AV1541" s="135"/>
      <c r="AW1541" s="135"/>
      <c r="AX1541" s="135"/>
      <c r="AY1541" s="135"/>
      <c r="AZ1541" s="135"/>
      <c r="BA1541" s="135"/>
      <c r="BB1541" s="135"/>
      <c r="BC1541" s="135"/>
      <c r="BD1541" s="135"/>
      <c r="BE1541" s="135"/>
      <c r="BF1541" s="135"/>
      <c r="BG1541" s="135"/>
      <c r="BH1541" s="135"/>
      <c r="BI1541" s="2"/>
      <c r="BJ1541" s="136"/>
      <c r="BK1541" s="2"/>
      <c r="BL1541" s="136"/>
      <c r="BM1541" s="136"/>
      <c r="BN1541" s="2"/>
      <c r="BO1541" s="2"/>
      <c r="BP1541" s="136"/>
      <c r="BQ1541" s="137"/>
    </row>
    <row r="1542" spans="1:69" ht="12.75" customHeight="1" x14ac:dyDescent="0.2">
      <c r="A1542" s="2">
        <v>3031</v>
      </c>
      <c r="B1542" s="2"/>
      <c r="C1542" s="2"/>
      <c r="D1542" s="2"/>
      <c r="E1542" s="2"/>
      <c r="F1542" s="132">
        <v>0</v>
      </c>
      <c r="G1542" s="132"/>
      <c r="H1542" s="132">
        <f t="shared" si="178"/>
        <v>0</v>
      </c>
      <c r="I1542" s="132"/>
      <c r="J1542" s="132">
        <f t="shared" si="176"/>
        <v>0</v>
      </c>
      <c r="K1542" s="132">
        <f t="shared" si="179"/>
        <v>0</v>
      </c>
      <c r="L1542" s="132">
        <f t="shared" si="173"/>
        <v>0</v>
      </c>
      <c r="M1542" s="133"/>
      <c r="N1542" s="133">
        <f t="shared" si="177"/>
        <v>0</v>
      </c>
      <c r="O1542" s="134"/>
      <c r="P1542" s="133"/>
      <c r="Q1542" s="2"/>
      <c r="R1542" s="156">
        <f t="shared" si="174"/>
        <v>0</v>
      </c>
      <c r="S1542" s="156">
        <f t="shared" si="175"/>
        <v>0</v>
      </c>
      <c r="T1542" s="133"/>
      <c r="U1542" s="133"/>
      <c r="V1542" s="133"/>
      <c r="W1542" s="133"/>
      <c r="X1542" s="133"/>
      <c r="Y1542" s="133"/>
      <c r="Z1542" s="133"/>
      <c r="AA1542" s="133"/>
      <c r="AB1542" s="133"/>
      <c r="AC1542" s="133"/>
      <c r="AD1542" s="133"/>
      <c r="AE1542" s="133"/>
      <c r="AF1542" s="133"/>
      <c r="AG1542" s="133"/>
      <c r="AH1542" s="133"/>
      <c r="AI1542" s="133"/>
      <c r="AJ1542" s="133"/>
      <c r="AK1542" s="133"/>
      <c r="AL1542" s="133"/>
      <c r="AM1542" s="133"/>
      <c r="AN1542" s="133"/>
      <c r="AO1542" s="133"/>
      <c r="AP1542" s="133"/>
      <c r="AQ1542" s="133"/>
      <c r="AR1542" s="133"/>
      <c r="AS1542" s="153">
        <v>0</v>
      </c>
      <c r="AT1542" s="153">
        <v>0</v>
      </c>
      <c r="AU1542" s="153">
        <v>0</v>
      </c>
      <c r="AV1542" s="135"/>
      <c r="AW1542" s="135"/>
      <c r="AX1542" s="135"/>
      <c r="AY1542" s="135"/>
      <c r="AZ1542" s="135"/>
      <c r="BA1542" s="135"/>
      <c r="BB1542" s="135"/>
      <c r="BC1542" s="135"/>
      <c r="BD1542" s="135"/>
      <c r="BE1542" s="135"/>
      <c r="BF1542" s="135"/>
      <c r="BG1542" s="135"/>
      <c r="BH1542" s="135"/>
      <c r="BI1542" s="2"/>
      <c r="BJ1542" s="136"/>
      <c r="BK1542" s="2"/>
      <c r="BL1542" s="136"/>
      <c r="BM1542" s="136"/>
      <c r="BN1542" s="2"/>
      <c r="BO1542" s="2"/>
      <c r="BP1542" s="136"/>
      <c r="BQ1542" s="137"/>
    </row>
    <row r="1543" spans="1:69" ht="12.75" customHeight="1" x14ac:dyDescent="0.2">
      <c r="A1543" s="2">
        <v>3032</v>
      </c>
      <c r="B1543" s="2"/>
      <c r="C1543" s="2"/>
      <c r="D1543" s="2"/>
      <c r="E1543" s="2"/>
      <c r="F1543" s="132">
        <v>0</v>
      </c>
      <c r="G1543" s="132"/>
      <c r="H1543" s="132">
        <f t="shared" si="178"/>
        <v>0</v>
      </c>
      <c r="I1543" s="132"/>
      <c r="J1543" s="132">
        <f t="shared" si="176"/>
        <v>0</v>
      </c>
      <c r="K1543" s="132">
        <f t="shared" si="179"/>
        <v>0</v>
      </c>
      <c r="L1543" s="132">
        <f t="shared" si="173"/>
        <v>0</v>
      </c>
      <c r="M1543" s="133"/>
      <c r="N1543" s="133">
        <f t="shared" si="177"/>
        <v>0</v>
      </c>
      <c r="O1543" s="134"/>
      <c r="P1543" s="133"/>
      <c r="Q1543" s="2"/>
      <c r="R1543" s="156">
        <f t="shared" si="174"/>
        <v>0</v>
      </c>
      <c r="S1543" s="156">
        <f t="shared" si="175"/>
        <v>0</v>
      </c>
      <c r="T1543" s="133"/>
      <c r="U1543" s="133"/>
      <c r="V1543" s="133"/>
      <c r="W1543" s="133"/>
      <c r="X1543" s="133"/>
      <c r="Y1543" s="133"/>
      <c r="Z1543" s="133"/>
      <c r="AA1543" s="133"/>
      <c r="AB1543" s="133"/>
      <c r="AC1543" s="133"/>
      <c r="AD1543" s="133"/>
      <c r="AE1543" s="133"/>
      <c r="AF1543" s="133"/>
      <c r="AG1543" s="133"/>
      <c r="AH1543" s="133"/>
      <c r="AI1543" s="133"/>
      <c r="AJ1543" s="133"/>
      <c r="AK1543" s="133"/>
      <c r="AL1543" s="133"/>
      <c r="AM1543" s="133"/>
      <c r="AN1543" s="133"/>
      <c r="AO1543" s="133"/>
      <c r="AP1543" s="133"/>
      <c r="AQ1543" s="133"/>
      <c r="AR1543" s="133"/>
      <c r="AS1543" s="153">
        <v>0</v>
      </c>
      <c r="AT1543" s="153">
        <v>0</v>
      </c>
      <c r="AU1543" s="153">
        <v>0</v>
      </c>
      <c r="AV1543" s="135"/>
      <c r="AW1543" s="135"/>
      <c r="AX1543" s="135"/>
      <c r="AY1543" s="135"/>
      <c r="AZ1543" s="135"/>
      <c r="BA1543" s="135"/>
      <c r="BB1543" s="135"/>
      <c r="BC1543" s="135"/>
      <c r="BD1543" s="135"/>
      <c r="BE1543" s="135"/>
      <c r="BF1543" s="135"/>
      <c r="BG1543" s="135"/>
      <c r="BH1543" s="135"/>
      <c r="BI1543" s="2"/>
      <c r="BJ1543" s="136"/>
      <c r="BK1543" s="2"/>
      <c r="BL1543" s="136"/>
      <c r="BM1543" s="136"/>
      <c r="BN1543" s="2"/>
      <c r="BO1543" s="2"/>
      <c r="BP1543" s="136"/>
      <c r="BQ1543" s="137"/>
    </row>
    <row r="1544" spans="1:69" ht="12.75" customHeight="1" x14ac:dyDescent="0.2">
      <c r="A1544" s="2">
        <v>3033</v>
      </c>
      <c r="B1544" s="2"/>
      <c r="C1544" s="2"/>
      <c r="D1544" s="2"/>
      <c r="E1544" s="2"/>
      <c r="F1544" s="132">
        <v>0</v>
      </c>
      <c r="G1544" s="132"/>
      <c r="H1544" s="132">
        <f t="shared" si="178"/>
        <v>0</v>
      </c>
      <c r="I1544" s="132"/>
      <c r="J1544" s="132">
        <f t="shared" si="176"/>
        <v>0</v>
      </c>
      <c r="K1544" s="132">
        <f t="shared" si="179"/>
        <v>0</v>
      </c>
      <c r="L1544" s="132">
        <f t="shared" si="173"/>
        <v>0</v>
      </c>
      <c r="M1544" s="133"/>
      <c r="N1544" s="133">
        <f t="shared" si="177"/>
        <v>0</v>
      </c>
      <c r="O1544" s="134"/>
      <c r="P1544" s="133"/>
      <c r="Q1544" s="2"/>
      <c r="R1544" s="156">
        <f t="shared" si="174"/>
        <v>0</v>
      </c>
      <c r="S1544" s="156">
        <f t="shared" si="175"/>
        <v>0</v>
      </c>
      <c r="T1544" s="133"/>
      <c r="U1544" s="133"/>
      <c r="V1544" s="133"/>
      <c r="W1544" s="133"/>
      <c r="X1544" s="133"/>
      <c r="Y1544" s="133"/>
      <c r="Z1544" s="133"/>
      <c r="AA1544" s="133"/>
      <c r="AB1544" s="133"/>
      <c r="AC1544" s="133"/>
      <c r="AD1544" s="133"/>
      <c r="AE1544" s="133"/>
      <c r="AF1544" s="133"/>
      <c r="AG1544" s="133"/>
      <c r="AH1544" s="133"/>
      <c r="AI1544" s="133"/>
      <c r="AJ1544" s="133"/>
      <c r="AK1544" s="133"/>
      <c r="AL1544" s="133"/>
      <c r="AM1544" s="133"/>
      <c r="AN1544" s="133"/>
      <c r="AO1544" s="133"/>
      <c r="AP1544" s="133"/>
      <c r="AQ1544" s="133"/>
      <c r="AR1544" s="133"/>
      <c r="AS1544" s="153">
        <v>0</v>
      </c>
      <c r="AT1544" s="153">
        <v>0</v>
      </c>
      <c r="AU1544" s="153">
        <v>0</v>
      </c>
      <c r="AV1544" s="135"/>
      <c r="AW1544" s="135"/>
      <c r="AX1544" s="135"/>
      <c r="AY1544" s="135"/>
      <c r="AZ1544" s="135"/>
      <c r="BA1544" s="135"/>
      <c r="BB1544" s="135"/>
      <c r="BC1544" s="135"/>
      <c r="BD1544" s="135"/>
      <c r="BE1544" s="135"/>
      <c r="BF1544" s="135"/>
      <c r="BG1544" s="135"/>
      <c r="BH1544" s="135"/>
      <c r="BI1544" s="2"/>
      <c r="BJ1544" s="136"/>
      <c r="BK1544" s="2"/>
      <c r="BL1544" s="136"/>
      <c r="BM1544" s="136"/>
      <c r="BN1544" s="2"/>
      <c r="BO1544" s="2"/>
      <c r="BP1544" s="136"/>
      <c r="BQ1544" s="137"/>
    </row>
    <row r="1545" spans="1:69" ht="12.75" customHeight="1" x14ac:dyDescent="0.2">
      <c r="A1545" s="2">
        <v>3034</v>
      </c>
      <c r="B1545" s="2"/>
      <c r="C1545" s="2"/>
      <c r="D1545" s="2"/>
      <c r="E1545" s="2"/>
      <c r="F1545" s="132">
        <v>0</v>
      </c>
      <c r="G1545" s="132"/>
      <c r="H1545" s="132">
        <f t="shared" si="178"/>
        <v>0</v>
      </c>
      <c r="I1545" s="132"/>
      <c r="J1545" s="132">
        <f t="shared" si="176"/>
        <v>0</v>
      </c>
      <c r="K1545" s="132">
        <f t="shared" si="179"/>
        <v>0</v>
      </c>
      <c r="L1545" s="132">
        <f t="shared" si="173"/>
        <v>0</v>
      </c>
      <c r="M1545" s="133"/>
      <c r="N1545" s="133">
        <f t="shared" si="177"/>
        <v>0</v>
      </c>
      <c r="O1545" s="134"/>
      <c r="P1545" s="133"/>
      <c r="Q1545" s="2"/>
      <c r="R1545" s="156">
        <f t="shared" si="174"/>
        <v>0</v>
      </c>
      <c r="S1545" s="156">
        <f t="shared" si="175"/>
        <v>0</v>
      </c>
      <c r="T1545" s="133"/>
      <c r="U1545" s="133"/>
      <c r="V1545" s="133"/>
      <c r="W1545" s="133"/>
      <c r="X1545" s="133"/>
      <c r="Y1545" s="133"/>
      <c r="Z1545" s="133"/>
      <c r="AA1545" s="133"/>
      <c r="AB1545" s="133"/>
      <c r="AC1545" s="133"/>
      <c r="AD1545" s="133"/>
      <c r="AE1545" s="133"/>
      <c r="AF1545" s="133"/>
      <c r="AG1545" s="133"/>
      <c r="AH1545" s="133"/>
      <c r="AI1545" s="133"/>
      <c r="AJ1545" s="133"/>
      <c r="AK1545" s="133"/>
      <c r="AL1545" s="133"/>
      <c r="AM1545" s="133"/>
      <c r="AN1545" s="133"/>
      <c r="AO1545" s="133"/>
      <c r="AP1545" s="133"/>
      <c r="AQ1545" s="133"/>
      <c r="AR1545" s="133"/>
      <c r="AS1545" s="153">
        <v>0</v>
      </c>
      <c r="AT1545" s="153">
        <v>0</v>
      </c>
      <c r="AU1545" s="153">
        <v>0</v>
      </c>
      <c r="AV1545" s="135"/>
      <c r="AW1545" s="135"/>
      <c r="AX1545" s="135"/>
      <c r="AY1545" s="135"/>
      <c r="AZ1545" s="135"/>
      <c r="BA1545" s="135"/>
      <c r="BB1545" s="135"/>
      <c r="BC1545" s="135"/>
      <c r="BD1545" s="135"/>
      <c r="BE1545" s="135"/>
      <c r="BF1545" s="135"/>
      <c r="BG1545" s="135"/>
      <c r="BH1545" s="135"/>
      <c r="BI1545" s="2"/>
      <c r="BJ1545" s="136"/>
      <c r="BK1545" s="2"/>
      <c r="BL1545" s="136"/>
      <c r="BM1545" s="136"/>
      <c r="BN1545" s="2"/>
      <c r="BO1545" s="2"/>
      <c r="BP1545" s="136"/>
      <c r="BQ1545" s="137"/>
    </row>
    <row r="1546" spans="1:69" ht="12.75" customHeight="1" x14ac:dyDescent="0.2">
      <c r="A1546" s="2">
        <v>3035</v>
      </c>
      <c r="B1546" s="2"/>
      <c r="C1546" s="2"/>
      <c r="D1546" s="2"/>
      <c r="E1546" s="2"/>
      <c r="F1546" s="132">
        <v>0</v>
      </c>
      <c r="G1546" s="132"/>
      <c r="H1546" s="132">
        <f t="shared" si="178"/>
        <v>0</v>
      </c>
      <c r="I1546" s="132"/>
      <c r="J1546" s="132">
        <f t="shared" si="176"/>
        <v>0</v>
      </c>
      <c r="K1546" s="132">
        <f t="shared" si="179"/>
        <v>0</v>
      </c>
      <c r="L1546" s="132">
        <f t="shared" si="173"/>
        <v>0</v>
      </c>
      <c r="M1546" s="133"/>
      <c r="N1546" s="133">
        <f t="shared" si="177"/>
        <v>0</v>
      </c>
      <c r="O1546" s="134"/>
      <c r="P1546" s="133"/>
      <c r="Q1546" s="2"/>
      <c r="R1546" s="156">
        <f t="shared" si="174"/>
        <v>0</v>
      </c>
      <c r="S1546" s="156">
        <f t="shared" si="175"/>
        <v>0</v>
      </c>
      <c r="T1546" s="133"/>
      <c r="U1546" s="133"/>
      <c r="V1546" s="133"/>
      <c r="W1546" s="133"/>
      <c r="X1546" s="133"/>
      <c r="Y1546" s="133"/>
      <c r="Z1546" s="133"/>
      <c r="AA1546" s="133"/>
      <c r="AB1546" s="133"/>
      <c r="AC1546" s="133"/>
      <c r="AD1546" s="133"/>
      <c r="AE1546" s="133"/>
      <c r="AF1546" s="133"/>
      <c r="AG1546" s="133"/>
      <c r="AH1546" s="133"/>
      <c r="AI1546" s="133"/>
      <c r="AJ1546" s="133"/>
      <c r="AK1546" s="133"/>
      <c r="AL1546" s="133"/>
      <c r="AM1546" s="133"/>
      <c r="AN1546" s="133"/>
      <c r="AO1546" s="133"/>
      <c r="AP1546" s="133"/>
      <c r="AQ1546" s="133"/>
      <c r="AR1546" s="133"/>
      <c r="AS1546" s="153">
        <v>0</v>
      </c>
      <c r="AT1546" s="153">
        <v>0</v>
      </c>
      <c r="AU1546" s="153">
        <v>0</v>
      </c>
      <c r="AV1546" s="135"/>
      <c r="AW1546" s="135"/>
      <c r="AX1546" s="135"/>
      <c r="AY1546" s="135"/>
      <c r="AZ1546" s="135"/>
      <c r="BA1546" s="135"/>
      <c r="BB1546" s="135"/>
      <c r="BC1546" s="135"/>
      <c r="BD1546" s="135"/>
      <c r="BE1546" s="135"/>
      <c r="BF1546" s="135"/>
      <c r="BG1546" s="135"/>
      <c r="BH1546" s="135"/>
      <c r="BI1546" s="2"/>
      <c r="BJ1546" s="136"/>
      <c r="BK1546" s="2"/>
      <c r="BL1546" s="136"/>
      <c r="BM1546" s="136"/>
      <c r="BN1546" s="2"/>
      <c r="BO1546" s="2"/>
      <c r="BP1546" s="136"/>
      <c r="BQ1546" s="137"/>
    </row>
    <row r="1547" spans="1:69" ht="12.75" customHeight="1" x14ac:dyDescent="0.2">
      <c r="A1547" s="2">
        <v>3036</v>
      </c>
      <c r="B1547" s="2"/>
      <c r="C1547" s="2"/>
      <c r="D1547" s="2"/>
      <c r="E1547" s="2"/>
      <c r="F1547" s="132">
        <v>0</v>
      </c>
      <c r="G1547" s="132"/>
      <c r="H1547" s="132">
        <f t="shared" si="178"/>
        <v>0</v>
      </c>
      <c r="I1547" s="132"/>
      <c r="J1547" s="132">
        <f t="shared" si="176"/>
        <v>0</v>
      </c>
      <c r="K1547" s="132">
        <f t="shared" si="179"/>
        <v>0</v>
      </c>
      <c r="L1547" s="132">
        <f t="shared" ref="L1547:L1610" si="180">H1547-J1547</f>
        <v>0</v>
      </c>
      <c r="M1547" s="133"/>
      <c r="N1547" s="133">
        <f t="shared" si="177"/>
        <v>0</v>
      </c>
      <c r="O1547" s="134"/>
      <c r="P1547" s="133"/>
      <c r="Q1547" s="2"/>
      <c r="R1547" s="156">
        <f t="shared" ref="R1547:R1610" si="181">T1547+V1547+X1547+Z1547+AB1547+AD1547+AF1547+AH1547+AJ1547+AL1547+AN1547+AP1547</f>
        <v>0</v>
      </c>
      <c r="S1547" s="156">
        <f t="shared" ref="S1547:S1610" si="182">U1547+W1547+Y1547+AA1547+AC1547+AE1547+AG1547+AI1547+AK1547+AM1547+AO1547+AQ1547</f>
        <v>0</v>
      </c>
      <c r="T1547" s="133"/>
      <c r="U1547" s="133"/>
      <c r="V1547" s="133"/>
      <c r="W1547" s="133"/>
      <c r="X1547" s="133"/>
      <c r="Y1547" s="133"/>
      <c r="Z1547" s="133"/>
      <c r="AA1547" s="133"/>
      <c r="AB1547" s="133"/>
      <c r="AC1547" s="133"/>
      <c r="AD1547" s="133"/>
      <c r="AE1547" s="133"/>
      <c r="AF1547" s="133"/>
      <c r="AG1547" s="133"/>
      <c r="AH1547" s="133"/>
      <c r="AI1547" s="133"/>
      <c r="AJ1547" s="133"/>
      <c r="AK1547" s="133"/>
      <c r="AL1547" s="133"/>
      <c r="AM1547" s="133"/>
      <c r="AN1547" s="133"/>
      <c r="AO1547" s="133"/>
      <c r="AP1547" s="133"/>
      <c r="AQ1547" s="133"/>
      <c r="AR1547" s="133"/>
      <c r="AS1547" s="153">
        <v>0</v>
      </c>
      <c r="AT1547" s="153">
        <v>0</v>
      </c>
      <c r="AU1547" s="153">
        <v>0</v>
      </c>
      <c r="AV1547" s="135"/>
      <c r="AW1547" s="135"/>
      <c r="AX1547" s="135"/>
      <c r="AY1547" s="135"/>
      <c r="AZ1547" s="135"/>
      <c r="BA1547" s="135"/>
      <c r="BB1547" s="135"/>
      <c r="BC1547" s="135"/>
      <c r="BD1547" s="135"/>
      <c r="BE1547" s="135"/>
      <c r="BF1547" s="135"/>
      <c r="BG1547" s="135"/>
      <c r="BH1547" s="135"/>
      <c r="BI1547" s="2"/>
      <c r="BJ1547" s="136"/>
      <c r="BK1547" s="2"/>
      <c r="BL1547" s="136"/>
      <c r="BM1547" s="136"/>
      <c r="BN1547" s="2"/>
      <c r="BO1547" s="2"/>
      <c r="BP1547" s="136"/>
      <c r="BQ1547" s="137"/>
    </row>
    <row r="1548" spans="1:69" ht="12.75" customHeight="1" x14ac:dyDescent="0.2">
      <c r="A1548" s="2">
        <v>3037</v>
      </c>
      <c r="B1548" s="2"/>
      <c r="C1548" s="2"/>
      <c r="D1548" s="2"/>
      <c r="E1548" s="2"/>
      <c r="F1548" s="132">
        <v>0</v>
      </c>
      <c r="G1548" s="132"/>
      <c r="H1548" s="132">
        <f t="shared" si="178"/>
        <v>0</v>
      </c>
      <c r="I1548" s="132"/>
      <c r="J1548" s="132">
        <f t="shared" si="176"/>
        <v>0</v>
      </c>
      <c r="K1548" s="132">
        <f t="shared" si="179"/>
        <v>0</v>
      </c>
      <c r="L1548" s="132">
        <f t="shared" si="180"/>
        <v>0</v>
      </c>
      <c r="M1548" s="133"/>
      <c r="N1548" s="133">
        <f t="shared" si="177"/>
        <v>0</v>
      </c>
      <c r="O1548" s="134"/>
      <c r="P1548" s="133"/>
      <c r="Q1548" s="2"/>
      <c r="R1548" s="156">
        <f t="shared" si="181"/>
        <v>0</v>
      </c>
      <c r="S1548" s="156">
        <f t="shared" si="182"/>
        <v>0</v>
      </c>
      <c r="T1548" s="133"/>
      <c r="U1548" s="133"/>
      <c r="V1548" s="133"/>
      <c r="W1548" s="133"/>
      <c r="X1548" s="133"/>
      <c r="Y1548" s="133"/>
      <c r="Z1548" s="133"/>
      <c r="AA1548" s="133"/>
      <c r="AB1548" s="133"/>
      <c r="AC1548" s="133"/>
      <c r="AD1548" s="133"/>
      <c r="AE1548" s="133"/>
      <c r="AF1548" s="133"/>
      <c r="AG1548" s="133"/>
      <c r="AH1548" s="133"/>
      <c r="AI1548" s="133"/>
      <c r="AJ1548" s="133"/>
      <c r="AK1548" s="133"/>
      <c r="AL1548" s="133"/>
      <c r="AM1548" s="133"/>
      <c r="AN1548" s="133"/>
      <c r="AO1548" s="133"/>
      <c r="AP1548" s="133"/>
      <c r="AQ1548" s="133"/>
      <c r="AR1548" s="133"/>
      <c r="AS1548" s="153">
        <v>0</v>
      </c>
      <c r="AT1548" s="153">
        <v>0</v>
      </c>
      <c r="AU1548" s="153">
        <v>0</v>
      </c>
      <c r="AV1548" s="135"/>
      <c r="AW1548" s="135"/>
      <c r="AX1548" s="135"/>
      <c r="AY1548" s="135"/>
      <c r="AZ1548" s="135"/>
      <c r="BA1548" s="135"/>
      <c r="BB1548" s="135"/>
      <c r="BC1548" s="135"/>
      <c r="BD1548" s="135"/>
      <c r="BE1548" s="135"/>
      <c r="BF1548" s="135"/>
      <c r="BG1548" s="135"/>
      <c r="BH1548" s="135"/>
      <c r="BI1548" s="2"/>
      <c r="BJ1548" s="136"/>
      <c r="BK1548" s="2"/>
      <c r="BL1548" s="136"/>
      <c r="BM1548" s="136"/>
      <c r="BN1548" s="2"/>
      <c r="BO1548" s="2"/>
      <c r="BP1548" s="136"/>
      <c r="BQ1548" s="137"/>
    </row>
    <row r="1549" spans="1:69" ht="12.75" customHeight="1" x14ac:dyDescent="0.2">
      <c r="A1549" s="2">
        <v>3038</v>
      </c>
      <c r="B1549" s="2"/>
      <c r="C1549" s="2"/>
      <c r="D1549" s="2"/>
      <c r="E1549" s="2"/>
      <c r="F1549" s="132">
        <v>0</v>
      </c>
      <c r="G1549" s="132"/>
      <c r="H1549" s="132">
        <f t="shared" si="178"/>
        <v>0</v>
      </c>
      <c r="I1549" s="132"/>
      <c r="J1549" s="132">
        <f t="shared" si="176"/>
        <v>0</v>
      </c>
      <c r="K1549" s="132">
        <f t="shared" si="179"/>
        <v>0</v>
      </c>
      <c r="L1549" s="132">
        <f t="shared" si="180"/>
        <v>0</v>
      </c>
      <c r="M1549" s="133"/>
      <c r="N1549" s="133">
        <f t="shared" si="177"/>
        <v>0</v>
      </c>
      <c r="O1549" s="134"/>
      <c r="P1549" s="133"/>
      <c r="Q1549" s="2"/>
      <c r="R1549" s="156">
        <f t="shared" si="181"/>
        <v>0</v>
      </c>
      <c r="S1549" s="156">
        <f t="shared" si="182"/>
        <v>0</v>
      </c>
      <c r="T1549" s="133"/>
      <c r="U1549" s="133"/>
      <c r="V1549" s="133"/>
      <c r="W1549" s="133"/>
      <c r="X1549" s="133"/>
      <c r="Y1549" s="133"/>
      <c r="Z1549" s="133"/>
      <c r="AA1549" s="133"/>
      <c r="AB1549" s="133"/>
      <c r="AC1549" s="133"/>
      <c r="AD1549" s="133"/>
      <c r="AE1549" s="133"/>
      <c r="AF1549" s="133"/>
      <c r="AG1549" s="133"/>
      <c r="AH1549" s="133"/>
      <c r="AI1549" s="133"/>
      <c r="AJ1549" s="133"/>
      <c r="AK1549" s="133"/>
      <c r="AL1549" s="133"/>
      <c r="AM1549" s="133"/>
      <c r="AN1549" s="133"/>
      <c r="AO1549" s="133"/>
      <c r="AP1549" s="133"/>
      <c r="AQ1549" s="133"/>
      <c r="AR1549" s="133"/>
      <c r="AS1549" s="153">
        <v>0</v>
      </c>
      <c r="AT1549" s="153">
        <v>0</v>
      </c>
      <c r="AU1549" s="153">
        <v>0</v>
      </c>
      <c r="AV1549" s="135"/>
      <c r="AW1549" s="135"/>
      <c r="AX1549" s="135"/>
      <c r="AY1549" s="135"/>
      <c r="AZ1549" s="135"/>
      <c r="BA1549" s="135"/>
      <c r="BB1549" s="135"/>
      <c r="BC1549" s="135"/>
      <c r="BD1549" s="135"/>
      <c r="BE1549" s="135"/>
      <c r="BF1549" s="135"/>
      <c r="BG1549" s="135"/>
      <c r="BH1549" s="135"/>
      <c r="BI1549" s="2"/>
      <c r="BJ1549" s="136"/>
      <c r="BK1549" s="2"/>
      <c r="BL1549" s="136"/>
      <c r="BM1549" s="136"/>
      <c r="BN1549" s="2"/>
      <c r="BO1549" s="2"/>
      <c r="BP1549" s="136"/>
      <c r="BQ1549" s="137"/>
    </row>
    <row r="1550" spans="1:69" ht="12.75" customHeight="1" x14ac:dyDescent="0.2">
      <c r="A1550" s="2">
        <v>3039</v>
      </c>
      <c r="B1550" s="2"/>
      <c r="C1550" s="2"/>
      <c r="D1550" s="2"/>
      <c r="E1550" s="2"/>
      <c r="F1550" s="132">
        <v>0</v>
      </c>
      <c r="G1550" s="132"/>
      <c r="H1550" s="132">
        <f t="shared" si="178"/>
        <v>0</v>
      </c>
      <c r="I1550" s="132"/>
      <c r="J1550" s="132">
        <f t="shared" si="176"/>
        <v>0</v>
      </c>
      <c r="K1550" s="132">
        <f t="shared" si="179"/>
        <v>0</v>
      </c>
      <c r="L1550" s="132">
        <f t="shared" si="180"/>
        <v>0</v>
      </c>
      <c r="M1550" s="133"/>
      <c r="N1550" s="133">
        <f t="shared" si="177"/>
        <v>0</v>
      </c>
      <c r="O1550" s="134"/>
      <c r="P1550" s="133"/>
      <c r="Q1550" s="2"/>
      <c r="R1550" s="156">
        <f t="shared" si="181"/>
        <v>0</v>
      </c>
      <c r="S1550" s="156">
        <f t="shared" si="182"/>
        <v>0</v>
      </c>
      <c r="T1550" s="133"/>
      <c r="U1550" s="133"/>
      <c r="V1550" s="133"/>
      <c r="W1550" s="133"/>
      <c r="X1550" s="133"/>
      <c r="Y1550" s="133"/>
      <c r="Z1550" s="133"/>
      <c r="AA1550" s="133"/>
      <c r="AB1550" s="133"/>
      <c r="AC1550" s="133"/>
      <c r="AD1550" s="133"/>
      <c r="AE1550" s="133"/>
      <c r="AF1550" s="133"/>
      <c r="AG1550" s="133"/>
      <c r="AH1550" s="133"/>
      <c r="AI1550" s="133"/>
      <c r="AJ1550" s="133"/>
      <c r="AK1550" s="133"/>
      <c r="AL1550" s="133"/>
      <c r="AM1550" s="133"/>
      <c r="AN1550" s="133"/>
      <c r="AO1550" s="133"/>
      <c r="AP1550" s="133"/>
      <c r="AQ1550" s="133"/>
      <c r="AR1550" s="133"/>
      <c r="AS1550" s="153">
        <v>0</v>
      </c>
      <c r="AT1550" s="153">
        <v>0</v>
      </c>
      <c r="AU1550" s="153">
        <v>0</v>
      </c>
      <c r="AV1550" s="135"/>
      <c r="AW1550" s="135"/>
      <c r="AX1550" s="135"/>
      <c r="AY1550" s="135"/>
      <c r="AZ1550" s="135"/>
      <c r="BA1550" s="135"/>
      <c r="BB1550" s="135"/>
      <c r="BC1550" s="135"/>
      <c r="BD1550" s="135"/>
      <c r="BE1550" s="135"/>
      <c r="BF1550" s="135"/>
      <c r="BG1550" s="135"/>
      <c r="BH1550" s="135"/>
      <c r="BI1550" s="2"/>
      <c r="BJ1550" s="136"/>
      <c r="BK1550" s="2"/>
      <c r="BL1550" s="136"/>
      <c r="BM1550" s="136"/>
      <c r="BN1550" s="2"/>
      <c r="BO1550" s="2"/>
      <c r="BP1550" s="136"/>
      <c r="BQ1550" s="137"/>
    </row>
    <row r="1551" spans="1:69" ht="12.75" customHeight="1" x14ac:dyDescent="0.2">
      <c r="A1551" s="2">
        <v>3040</v>
      </c>
      <c r="B1551" s="2"/>
      <c r="C1551" s="2"/>
      <c r="D1551" s="2"/>
      <c r="E1551" s="2"/>
      <c r="F1551" s="132">
        <v>0</v>
      </c>
      <c r="G1551" s="132"/>
      <c r="H1551" s="132">
        <f t="shared" si="178"/>
        <v>0</v>
      </c>
      <c r="I1551" s="132"/>
      <c r="J1551" s="132">
        <f t="shared" si="176"/>
        <v>0</v>
      </c>
      <c r="K1551" s="132">
        <f t="shared" si="179"/>
        <v>0</v>
      </c>
      <c r="L1551" s="132">
        <f t="shared" si="180"/>
        <v>0</v>
      </c>
      <c r="M1551" s="133"/>
      <c r="N1551" s="133">
        <f t="shared" si="177"/>
        <v>0</v>
      </c>
      <c r="O1551" s="134"/>
      <c r="P1551" s="133"/>
      <c r="Q1551" s="2"/>
      <c r="R1551" s="156">
        <f t="shared" si="181"/>
        <v>0</v>
      </c>
      <c r="S1551" s="156">
        <f t="shared" si="182"/>
        <v>0</v>
      </c>
      <c r="T1551" s="133"/>
      <c r="U1551" s="133"/>
      <c r="V1551" s="133"/>
      <c r="W1551" s="133"/>
      <c r="X1551" s="133"/>
      <c r="Y1551" s="133"/>
      <c r="Z1551" s="133"/>
      <c r="AA1551" s="133"/>
      <c r="AB1551" s="133"/>
      <c r="AC1551" s="133"/>
      <c r="AD1551" s="133"/>
      <c r="AE1551" s="133"/>
      <c r="AF1551" s="133"/>
      <c r="AG1551" s="133"/>
      <c r="AH1551" s="133"/>
      <c r="AI1551" s="133"/>
      <c r="AJ1551" s="133"/>
      <c r="AK1551" s="133"/>
      <c r="AL1551" s="133"/>
      <c r="AM1551" s="133"/>
      <c r="AN1551" s="133"/>
      <c r="AO1551" s="133"/>
      <c r="AP1551" s="133"/>
      <c r="AQ1551" s="133"/>
      <c r="AR1551" s="133"/>
      <c r="AS1551" s="153">
        <v>0</v>
      </c>
      <c r="AT1551" s="153">
        <v>0</v>
      </c>
      <c r="AU1551" s="153">
        <v>0</v>
      </c>
      <c r="AV1551" s="135"/>
      <c r="AW1551" s="135"/>
      <c r="AX1551" s="135"/>
      <c r="AY1551" s="135"/>
      <c r="AZ1551" s="135"/>
      <c r="BA1551" s="135"/>
      <c r="BB1551" s="135"/>
      <c r="BC1551" s="135"/>
      <c r="BD1551" s="135"/>
      <c r="BE1551" s="135"/>
      <c r="BF1551" s="135"/>
      <c r="BG1551" s="135"/>
      <c r="BH1551" s="135"/>
      <c r="BI1551" s="2"/>
      <c r="BJ1551" s="136"/>
      <c r="BK1551" s="2"/>
      <c r="BL1551" s="136"/>
      <c r="BM1551" s="136"/>
      <c r="BN1551" s="2"/>
      <c r="BO1551" s="2"/>
      <c r="BP1551" s="136"/>
      <c r="BQ1551" s="137"/>
    </row>
    <row r="1552" spans="1:69" ht="12.75" customHeight="1" x14ac:dyDescent="0.2">
      <c r="A1552" s="2">
        <v>3041</v>
      </c>
      <c r="B1552" s="2"/>
      <c r="C1552" s="2"/>
      <c r="D1552" s="2"/>
      <c r="E1552" s="2"/>
      <c r="F1552" s="132">
        <v>0</v>
      </c>
      <c r="G1552" s="132"/>
      <c r="H1552" s="132">
        <f t="shared" si="178"/>
        <v>0</v>
      </c>
      <c r="I1552" s="132"/>
      <c r="J1552" s="132">
        <f t="shared" si="176"/>
        <v>0</v>
      </c>
      <c r="K1552" s="132">
        <f t="shared" si="179"/>
        <v>0</v>
      </c>
      <c r="L1552" s="132">
        <f t="shared" si="180"/>
        <v>0</v>
      </c>
      <c r="M1552" s="133"/>
      <c r="N1552" s="133">
        <f t="shared" si="177"/>
        <v>0</v>
      </c>
      <c r="O1552" s="134"/>
      <c r="P1552" s="133"/>
      <c r="Q1552" s="2"/>
      <c r="R1552" s="156">
        <f t="shared" si="181"/>
        <v>0</v>
      </c>
      <c r="S1552" s="156">
        <f t="shared" si="182"/>
        <v>0</v>
      </c>
      <c r="T1552" s="133"/>
      <c r="U1552" s="133"/>
      <c r="V1552" s="133"/>
      <c r="W1552" s="133"/>
      <c r="X1552" s="133"/>
      <c r="Y1552" s="133"/>
      <c r="Z1552" s="133"/>
      <c r="AA1552" s="133"/>
      <c r="AB1552" s="133"/>
      <c r="AC1552" s="133"/>
      <c r="AD1552" s="133"/>
      <c r="AE1552" s="133"/>
      <c r="AF1552" s="133"/>
      <c r="AG1552" s="133"/>
      <c r="AH1552" s="133"/>
      <c r="AI1552" s="133"/>
      <c r="AJ1552" s="133"/>
      <c r="AK1552" s="133"/>
      <c r="AL1552" s="133"/>
      <c r="AM1552" s="133"/>
      <c r="AN1552" s="133"/>
      <c r="AO1552" s="133"/>
      <c r="AP1552" s="133"/>
      <c r="AQ1552" s="133"/>
      <c r="AR1552" s="133"/>
      <c r="AS1552" s="153">
        <v>0</v>
      </c>
      <c r="AT1552" s="153">
        <v>0</v>
      </c>
      <c r="AU1552" s="153">
        <v>0</v>
      </c>
      <c r="AV1552" s="135"/>
      <c r="AW1552" s="135"/>
      <c r="AX1552" s="135"/>
      <c r="AY1552" s="135"/>
      <c r="AZ1552" s="135"/>
      <c r="BA1552" s="135"/>
      <c r="BB1552" s="135"/>
      <c r="BC1552" s="135"/>
      <c r="BD1552" s="135"/>
      <c r="BE1552" s="135"/>
      <c r="BF1552" s="135"/>
      <c r="BG1552" s="135"/>
      <c r="BH1552" s="135"/>
      <c r="BI1552" s="2"/>
      <c r="BJ1552" s="136"/>
      <c r="BK1552" s="2"/>
      <c r="BL1552" s="136"/>
      <c r="BM1552" s="136"/>
      <c r="BN1552" s="2"/>
      <c r="BO1552" s="2"/>
      <c r="BP1552" s="136"/>
      <c r="BQ1552" s="137"/>
    </row>
    <row r="1553" spans="1:69" ht="12.75" customHeight="1" x14ac:dyDescent="0.2">
      <c r="A1553" s="2">
        <v>3042</v>
      </c>
      <c r="B1553" s="2"/>
      <c r="C1553" s="2"/>
      <c r="D1553" s="2"/>
      <c r="E1553" s="2"/>
      <c r="F1553" s="132">
        <v>0</v>
      </c>
      <c r="G1553" s="132"/>
      <c r="H1553" s="132">
        <f t="shared" si="178"/>
        <v>0</v>
      </c>
      <c r="I1553" s="132"/>
      <c r="J1553" s="132">
        <f t="shared" si="176"/>
        <v>0</v>
      </c>
      <c r="K1553" s="132">
        <f t="shared" si="179"/>
        <v>0</v>
      </c>
      <c r="L1553" s="132">
        <f t="shared" si="180"/>
        <v>0</v>
      </c>
      <c r="M1553" s="133"/>
      <c r="N1553" s="133">
        <f t="shared" si="177"/>
        <v>0</v>
      </c>
      <c r="O1553" s="134"/>
      <c r="P1553" s="133"/>
      <c r="Q1553" s="2"/>
      <c r="R1553" s="156">
        <f t="shared" si="181"/>
        <v>0</v>
      </c>
      <c r="S1553" s="156">
        <f t="shared" si="182"/>
        <v>0</v>
      </c>
      <c r="T1553" s="133"/>
      <c r="U1553" s="133"/>
      <c r="V1553" s="133"/>
      <c r="W1553" s="133"/>
      <c r="X1553" s="133"/>
      <c r="Y1553" s="133"/>
      <c r="Z1553" s="133"/>
      <c r="AA1553" s="133"/>
      <c r="AB1553" s="133"/>
      <c r="AC1553" s="133"/>
      <c r="AD1553" s="133"/>
      <c r="AE1553" s="133"/>
      <c r="AF1553" s="133"/>
      <c r="AG1553" s="133"/>
      <c r="AH1553" s="133"/>
      <c r="AI1553" s="133"/>
      <c r="AJ1553" s="133"/>
      <c r="AK1553" s="133"/>
      <c r="AL1553" s="133"/>
      <c r="AM1553" s="133"/>
      <c r="AN1553" s="133"/>
      <c r="AO1553" s="133"/>
      <c r="AP1553" s="133"/>
      <c r="AQ1553" s="133"/>
      <c r="AR1553" s="133"/>
      <c r="AS1553" s="153">
        <v>0</v>
      </c>
      <c r="AT1553" s="153">
        <v>0</v>
      </c>
      <c r="AU1553" s="153">
        <v>0</v>
      </c>
      <c r="AV1553" s="135"/>
      <c r="AW1553" s="135"/>
      <c r="AX1553" s="135"/>
      <c r="AY1553" s="135"/>
      <c r="AZ1553" s="135"/>
      <c r="BA1553" s="135"/>
      <c r="BB1553" s="135"/>
      <c r="BC1553" s="135"/>
      <c r="BD1553" s="135"/>
      <c r="BE1553" s="135"/>
      <c r="BF1553" s="135"/>
      <c r="BG1553" s="135"/>
      <c r="BH1553" s="135"/>
      <c r="BI1553" s="2"/>
      <c r="BJ1553" s="136"/>
      <c r="BK1553" s="2"/>
      <c r="BL1553" s="136"/>
      <c r="BM1553" s="136"/>
      <c r="BN1553" s="2"/>
      <c r="BO1553" s="2"/>
      <c r="BP1553" s="136"/>
      <c r="BQ1553" s="137"/>
    </row>
    <row r="1554" spans="1:69" ht="12.75" customHeight="1" x14ac:dyDescent="0.2">
      <c r="A1554" s="2">
        <v>3043</v>
      </c>
      <c r="B1554" s="2"/>
      <c r="C1554" s="2"/>
      <c r="D1554" s="2"/>
      <c r="E1554" s="2"/>
      <c r="F1554" s="132">
        <v>0</v>
      </c>
      <c r="G1554" s="132"/>
      <c r="H1554" s="132">
        <f t="shared" si="178"/>
        <v>0</v>
      </c>
      <c r="I1554" s="132"/>
      <c r="J1554" s="132">
        <f t="shared" si="176"/>
        <v>0</v>
      </c>
      <c r="K1554" s="132">
        <f t="shared" si="179"/>
        <v>0</v>
      </c>
      <c r="L1554" s="132">
        <f t="shared" si="180"/>
        <v>0</v>
      </c>
      <c r="M1554" s="133"/>
      <c r="N1554" s="133">
        <f t="shared" si="177"/>
        <v>0</v>
      </c>
      <c r="O1554" s="134"/>
      <c r="P1554" s="133"/>
      <c r="Q1554" s="2"/>
      <c r="R1554" s="156">
        <f t="shared" si="181"/>
        <v>0</v>
      </c>
      <c r="S1554" s="156">
        <f t="shared" si="182"/>
        <v>0</v>
      </c>
      <c r="T1554" s="133"/>
      <c r="U1554" s="133"/>
      <c r="V1554" s="133"/>
      <c r="W1554" s="133"/>
      <c r="X1554" s="133"/>
      <c r="Y1554" s="133"/>
      <c r="Z1554" s="133"/>
      <c r="AA1554" s="133"/>
      <c r="AB1554" s="133"/>
      <c r="AC1554" s="133"/>
      <c r="AD1554" s="133"/>
      <c r="AE1554" s="133"/>
      <c r="AF1554" s="133"/>
      <c r="AG1554" s="133"/>
      <c r="AH1554" s="133"/>
      <c r="AI1554" s="133"/>
      <c r="AJ1554" s="133"/>
      <c r="AK1554" s="133"/>
      <c r="AL1554" s="133"/>
      <c r="AM1554" s="133"/>
      <c r="AN1554" s="133"/>
      <c r="AO1554" s="133"/>
      <c r="AP1554" s="133"/>
      <c r="AQ1554" s="133"/>
      <c r="AR1554" s="133"/>
      <c r="AS1554" s="153">
        <v>0</v>
      </c>
      <c r="AT1554" s="153">
        <v>0</v>
      </c>
      <c r="AU1554" s="153">
        <v>0</v>
      </c>
      <c r="AV1554" s="135"/>
      <c r="AW1554" s="135"/>
      <c r="AX1554" s="135"/>
      <c r="AY1554" s="135"/>
      <c r="AZ1554" s="135"/>
      <c r="BA1554" s="135"/>
      <c r="BB1554" s="135"/>
      <c r="BC1554" s="135"/>
      <c r="BD1554" s="135"/>
      <c r="BE1554" s="135"/>
      <c r="BF1554" s="135"/>
      <c r="BG1554" s="135"/>
      <c r="BH1554" s="135"/>
      <c r="BI1554" s="2"/>
      <c r="BJ1554" s="136"/>
      <c r="BK1554" s="2"/>
      <c r="BL1554" s="136"/>
      <c r="BM1554" s="136"/>
      <c r="BN1554" s="2"/>
      <c r="BO1554" s="2"/>
      <c r="BP1554" s="136"/>
      <c r="BQ1554" s="137"/>
    </row>
    <row r="1555" spans="1:69" ht="12.75" customHeight="1" x14ac:dyDescent="0.2">
      <c r="A1555" s="2">
        <v>3044</v>
      </c>
      <c r="B1555" s="2"/>
      <c r="C1555" s="2"/>
      <c r="D1555" s="2"/>
      <c r="E1555" s="2"/>
      <c r="F1555" s="132">
        <v>0</v>
      </c>
      <c r="G1555" s="132"/>
      <c r="H1555" s="132">
        <f t="shared" si="178"/>
        <v>0</v>
      </c>
      <c r="I1555" s="132"/>
      <c r="J1555" s="132">
        <f t="shared" si="176"/>
        <v>0</v>
      </c>
      <c r="K1555" s="132">
        <f t="shared" si="179"/>
        <v>0</v>
      </c>
      <c r="L1555" s="132">
        <f t="shared" si="180"/>
        <v>0</v>
      </c>
      <c r="M1555" s="133"/>
      <c r="N1555" s="133">
        <f t="shared" si="177"/>
        <v>0</v>
      </c>
      <c r="O1555" s="134"/>
      <c r="P1555" s="133"/>
      <c r="Q1555" s="2"/>
      <c r="R1555" s="156">
        <f t="shared" si="181"/>
        <v>0</v>
      </c>
      <c r="S1555" s="156">
        <f t="shared" si="182"/>
        <v>0</v>
      </c>
      <c r="T1555" s="133"/>
      <c r="U1555" s="133"/>
      <c r="V1555" s="133"/>
      <c r="W1555" s="133"/>
      <c r="X1555" s="133"/>
      <c r="Y1555" s="133"/>
      <c r="Z1555" s="133"/>
      <c r="AA1555" s="133"/>
      <c r="AB1555" s="133"/>
      <c r="AC1555" s="133"/>
      <c r="AD1555" s="133"/>
      <c r="AE1555" s="133"/>
      <c r="AF1555" s="133"/>
      <c r="AG1555" s="133"/>
      <c r="AH1555" s="133"/>
      <c r="AI1555" s="133"/>
      <c r="AJ1555" s="133"/>
      <c r="AK1555" s="133"/>
      <c r="AL1555" s="133"/>
      <c r="AM1555" s="133"/>
      <c r="AN1555" s="133"/>
      <c r="AO1555" s="133"/>
      <c r="AP1555" s="133"/>
      <c r="AQ1555" s="133"/>
      <c r="AR1555" s="133"/>
      <c r="AS1555" s="153">
        <v>0</v>
      </c>
      <c r="AT1555" s="153">
        <v>0</v>
      </c>
      <c r="AU1555" s="153">
        <v>0</v>
      </c>
      <c r="AV1555" s="135"/>
      <c r="AW1555" s="135"/>
      <c r="AX1555" s="135"/>
      <c r="AY1555" s="135"/>
      <c r="AZ1555" s="135"/>
      <c r="BA1555" s="135"/>
      <c r="BB1555" s="135"/>
      <c r="BC1555" s="135"/>
      <c r="BD1555" s="135"/>
      <c r="BE1555" s="135"/>
      <c r="BF1555" s="135"/>
      <c r="BG1555" s="135"/>
      <c r="BH1555" s="135"/>
      <c r="BI1555" s="2"/>
      <c r="BJ1555" s="136"/>
      <c r="BK1555" s="2"/>
      <c r="BL1555" s="136"/>
      <c r="BM1555" s="136"/>
      <c r="BN1555" s="2"/>
      <c r="BO1555" s="2"/>
      <c r="BP1555" s="136"/>
      <c r="BQ1555" s="137"/>
    </row>
    <row r="1556" spans="1:69" ht="12.75" customHeight="1" x14ac:dyDescent="0.2">
      <c r="A1556" s="2">
        <v>3045</v>
      </c>
      <c r="B1556" s="2"/>
      <c r="C1556" s="2"/>
      <c r="D1556" s="2"/>
      <c r="E1556" s="2"/>
      <c r="F1556" s="132">
        <v>0</v>
      </c>
      <c r="G1556" s="132"/>
      <c r="H1556" s="132">
        <f t="shared" si="178"/>
        <v>0</v>
      </c>
      <c r="I1556" s="132"/>
      <c r="J1556" s="132">
        <f t="shared" si="176"/>
        <v>0</v>
      </c>
      <c r="K1556" s="132">
        <f t="shared" si="179"/>
        <v>0</v>
      </c>
      <c r="L1556" s="132">
        <f t="shared" si="180"/>
        <v>0</v>
      </c>
      <c r="M1556" s="133"/>
      <c r="N1556" s="133">
        <f t="shared" si="177"/>
        <v>0</v>
      </c>
      <c r="O1556" s="134"/>
      <c r="P1556" s="133"/>
      <c r="Q1556" s="2"/>
      <c r="R1556" s="156">
        <f t="shared" si="181"/>
        <v>0</v>
      </c>
      <c r="S1556" s="156">
        <f t="shared" si="182"/>
        <v>0</v>
      </c>
      <c r="T1556" s="133"/>
      <c r="U1556" s="133"/>
      <c r="V1556" s="133"/>
      <c r="W1556" s="133"/>
      <c r="X1556" s="133"/>
      <c r="Y1556" s="133"/>
      <c r="Z1556" s="133"/>
      <c r="AA1556" s="133"/>
      <c r="AB1556" s="133"/>
      <c r="AC1556" s="133"/>
      <c r="AD1556" s="133"/>
      <c r="AE1556" s="133"/>
      <c r="AF1556" s="133"/>
      <c r="AG1556" s="133"/>
      <c r="AH1556" s="133"/>
      <c r="AI1556" s="133"/>
      <c r="AJ1556" s="133"/>
      <c r="AK1556" s="133"/>
      <c r="AL1556" s="133"/>
      <c r="AM1556" s="133"/>
      <c r="AN1556" s="133"/>
      <c r="AO1556" s="133"/>
      <c r="AP1556" s="133"/>
      <c r="AQ1556" s="133"/>
      <c r="AR1556" s="133"/>
      <c r="AS1556" s="153">
        <v>0</v>
      </c>
      <c r="AT1556" s="153">
        <v>0</v>
      </c>
      <c r="AU1556" s="153">
        <v>0</v>
      </c>
      <c r="AV1556" s="135"/>
      <c r="AW1556" s="135"/>
      <c r="AX1556" s="135"/>
      <c r="AY1556" s="135"/>
      <c r="AZ1556" s="135"/>
      <c r="BA1556" s="135"/>
      <c r="BB1556" s="135"/>
      <c r="BC1556" s="135"/>
      <c r="BD1556" s="135"/>
      <c r="BE1556" s="135"/>
      <c r="BF1556" s="135"/>
      <c r="BG1556" s="135"/>
      <c r="BH1556" s="135"/>
      <c r="BI1556" s="2"/>
      <c r="BJ1556" s="136"/>
      <c r="BK1556" s="2"/>
      <c r="BL1556" s="136"/>
      <c r="BM1556" s="136"/>
      <c r="BN1556" s="2"/>
      <c r="BO1556" s="2"/>
      <c r="BP1556" s="136"/>
      <c r="BQ1556" s="137"/>
    </row>
    <row r="1557" spans="1:69" ht="12.75" customHeight="1" x14ac:dyDescent="0.2">
      <c r="A1557" s="2">
        <v>3046</v>
      </c>
      <c r="B1557" s="2"/>
      <c r="C1557" s="2"/>
      <c r="D1557" s="2"/>
      <c r="E1557" s="2"/>
      <c r="F1557" s="132">
        <v>0</v>
      </c>
      <c r="G1557" s="132"/>
      <c r="H1557" s="132">
        <f t="shared" si="178"/>
        <v>0</v>
      </c>
      <c r="I1557" s="132"/>
      <c r="J1557" s="132">
        <f t="shared" si="176"/>
        <v>0</v>
      </c>
      <c r="K1557" s="132">
        <f t="shared" si="179"/>
        <v>0</v>
      </c>
      <c r="L1557" s="132">
        <f t="shared" si="180"/>
        <v>0</v>
      </c>
      <c r="M1557" s="133"/>
      <c r="N1557" s="133">
        <f t="shared" si="177"/>
        <v>0</v>
      </c>
      <c r="O1557" s="134"/>
      <c r="P1557" s="133"/>
      <c r="Q1557" s="2"/>
      <c r="R1557" s="156">
        <f t="shared" si="181"/>
        <v>0</v>
      </c>
      <c r="S1557" s="156">
        <f t="shared" si="182"/>
        <v>0</v>
      </c>
      <c r="T1557" s="133"/>
      <c r="U1557" s="133"/>
      <c r="V1557" s="133"/>
      <c r="W1557" s="133"/>
      <c r="X1557" s="133"/>
      <c r="Y1557" s="133"/>
      <c r="Z1557" s="133"/>
      <c r="AA1557" s="133"/>
      <c r="AB1557" s="133"/>
      <c r="AC1557" s="133"/>
      <c r="AD1557" s="133"/>
      <c r="AE1557" s="133"/>
      <c r="AF1557" s="133"/>
      <c r="AG1557" s="133"/>
      <c r="AH1557" s="133"/>
      <c r="AI1557" s="133"/>
      <c r="AJ1557" s="133"/>
      <c r="AK1557" s="133"/>
      <c r="AL1557" s="133"/>
      <c r="AM1557" s="133"/>
      <c r="AN1557" s="133"/>
      <c r="AO1557" s="133"/>
      <c r="AP1557" s="133"/>
      <c r="AQ1557" s="133"/>
      <c r="AR1557" s="133"/>
      <c r="AS1557" s="153">
        <v>0</v>
      </c>
      <c r="AT1557" s="153">
        <v>0</v>
      </c>
      <c r="AU1557" s="153">
        <v>0</v>
      </c>
      <c r="AV1557" s="135"/>
      <c r="AW1557" s="135"/>
      <c r="AX1557" s="135"/>
      <c r="AY1557" s="135"/>
      <c r="AZ1557" s="135"/>
      <c r="BA1557" s="135"/>
      <c r="BB1557" s="135"/>
      <c r="BC1557" s="135"/>
      <c r="BD1557" s="135"/>
      <c r="BE1557" s="135"/>
      <c r="BF1557" s="135"/>
      <c r="BG1557" s="135"/>
      <c r="BH1557" s="135"/>
      <c r="BI1557" s="2"/>
      <c r="BJ1557" s="136"/>
      <c r="BK1557" s="2"/>
      <c r="BL1557" s="136"/>
      <c r="BM1557" s="136"/>
      <c r="BN1557" s="2"/>
      <c r="BO1557" s="2"/>
      <c r="BP1557" s="136"/>
      <c r="BQ1557" s="137"/>
    </row>
    <row r="1558" spans="1:69" ht="12.75" customHeight="1" x14ac:dyDescent="0.2">
      <c r="A1558" s="2">
        <v>3047</v>
      </c>
      <c r="B1558" s="2"/>
      <c r="C1558" s="2"/>
      <c r="D1558" s="2"/>
      <c r="E1558" s="2"/>
      <c r="F1558" s="132">
        <v>0</v>
      </c>
      <c r="G1558" s="132"/>
      <c r="H1558" s="132">
        <f t="shared" si="178"/>
        <v>0</v>
      </c>
      <c r="I1558" s="132"/>
      <c r="J1558" s="132">
        <f t="shared" si="176"/>
        <v>0</v>
      </c>
      <c r="K1558" s="132">
        <f t="shared" si="179"/>
        <v>0</v>
      </c>
      <c r="L1558" s="132">
        <f t="shared" si="180"/>
        <v>0</v>
      </c>
      <c r="M1558" s="133"/>
      <c r="N1558" s="133">
        <f t="shared" si="177"/>
        <v>0</v>
      </c>
      <c r="O1558" s="134"/>
      <c r="P1558" s="133"/>
      <c r="Q1558" s="2"/>
      <c r="R1558" s="156">
        <f t="shared" si="181"/>
        <v>0</v>
      </c>
      <c r="S1558" s="156">
        <f t="shared" si="182"/>
        <v>0</v>
      </c>
      <c r="T1558" s="133"/>
      <c r="U1558" s="133"/>
      <c r="V1558" s="133"/>
      <c r="W1558" s="133"/>
      <c r="X1558" s="133"/>
      <c r="Y1558" s="133"/>
      <c r="Z1558" s="133"/>
      <c r="AA1558" s="133"/>
      <c r="AB1558" s="133"/>
      <c r="AC1558" s="133"/>
      <c r="AD1558" s="133"/>
      <c r="AE1558" s="133"/>
      <c r="AF1558" s="133"/>
      <c r="AG1558" s="133"/>
      <c r="AH1558" s="133"/>
      <c r="AI1558" s="133"/>
      <c r="AJ1558" s="133"/>
      <c r="AK1558" s="133"/>
      <c r="AL1558" s="133"/>
      <c r="AM1558" s="133"/>
      <c r="AN1558" s="133"/>
      <c r="AO1558" s="133"/>
      <c r="AP1558" s="133"/>
      <c r="AQ1558" s="133"/>
      <c r="AR1558" s="133"/>
      <c r="AS1558" s="153">
        <v>0</v>
      </c>
      <c r="AT1558" s="153">
        <v>0</v>
      </c>
      <c r="AU1558" s="153">
        <v>0</v>
      </c>
      <c r="AV1558" s="135"/>
      <c r="AW1558" s="135"/>
      <c r="AX1558" s="135"/>
      <c r="AY1558" s="135"/>
      <c r="AZ1558" s="135"/>
      <c r="BA1558" s="135"/>
      <c r="BB1558" s="135"/>
      <c r="BC1558" s="135"/>
      <c r="BD1558" s="135"/>
      <c r="BE1558" s="135"/>
      <c r="BF1558" s="135"/>
      <c r="BG1558" s="135"/>
      <c r="BH1558" s="135"/>
      <c r="BI1558" s="2"/>
      <c r="BJ1558" s="136"/>
      <c r="BK1558" s="2"/>
      <c r="BL1558" s="136"/>
      <c r="BM1558" s="136"/>
      <c r="BN1558" s="2"/>
      <c r="BO1558" s="2"/>
      <c r="BP1558" s="136"/>
      <c r="BQ1558" s="137"/>
    </row>
    <row r="1559" spans="1:69" ht="12.75" customHeight="1" x14ac:dyDescent="0.2">
      <c r="A1559" s="2">
        <v>3048</v>
      </c>
      <c r="B1559" s="2"/>
      <c r="C1559" s="2"/>
      <c r="D1559" s="2"/>
      <c r="E1559" s="2"/>
      <c r="F1559" s="132">
        <v>0</v>
      </c>
      <c r="G1559" s="132"/>
      <c r="H1559" s="132">
        <f t="shared" si="178"/>
        <v>0</v>
      </c>
      <c r="I1559" s="132"/>
      <c r="J1559" s="132">
        <f t="shared" si="176"/>
        <v>0</v>
      </c>
      <c r="K1559" s="132">
        <f t="shared" si="179"/>
        <v>0</v>
      </c>
      <c r="L1559" s="132">
        <f t="shared" si="180"/>
        <v>0</v>
      </c>
      <c r="M1559" s="133"/>
      <c r="N1559" s="133">
        <f t="shared" si="177"/>
        <v>0</v>
      </c>
      <c r="O1559" s="134"/>
      <c r="P1559" s="133"/>
      <c r="Q1559" s="2"/>
      <c r="R1559" s="156">
        <f t="shared" si="181"/>
        <v>0</v>
      </c>
      <c r="S1559" s="156">
        <f t="shared" si="182"/>
        <v>0</v>
      </c>
      <c r="T1559" s="133"/>
      <c r="U1559" s="133"/>
      <c r="V1559" s="133"/>
      <c r="W1559" s="133"/>
      <c r="X1559" s="133"/>
      <c r="Y1559" s="133"/>
      <c r="Z1559" s="133"/>
      <c r="AA1559" s="133"/>
      <c r="AB1559" s="133"/>
      <c r="AC1559" s="133"/>
      <c r="AD1559" s="133"/>
      <c r="AE1559" s="133"/>
      <c r="AF1559" s="133"/>
      <c r="AG1559" s="133"/>
      <c r="AH1559" s="133"/>
      <c r="AI1559" s="133"/>
      <c r="AJ1559" s="133"/>
      <c r="AK1559" s="133"/>
      <c r="AL1559" s="133"/>
      <c r="AM1559" s="133"/>
      <c r="AN1559" s="133"/>
      <c r="AO1559" s="133"/>
      <c r="AP1559" s="133"/>
      <c r="AQ1559" s="133"/>
      <c r="AR1559" s="133"/>
      <c r="AS1559" s="153">
        <v>0</v>
      </c>
      <c r="AT1559" s="153">
        <v>0</v>
      </c>
      <c r="AU1559" s="153">
        <v>0</v>
      </c>
      <c r="AV1559" s="135"/>
      <c r="AW1559" s="135"/>
      <c r="AX1559" s="135"/>
      <c r="AY1559" s="135"/>
      <c r="AZ1559" s="135"/>
      <c r="BA1559" s="135"/>
      <c r="BB1559" s="135"/>
      <c r="BC1559" s="135"/>
      <c r="BD1559" s="135"/>
      <c r="BE1559" s="135"/>
      <c r="BF1559" s="135"/>
      <c r="BG1559" s="135"/>
      <c r="BH1559" s="135"/>
      <c r="BI1559" s="2"/>
      <c r="BJ1559" s="136"/>
      <c r="BK1559" s="2"/>
      <c r="BL1559" s="136"/>
      <c r="BM1559" s="136"/>
      <c r="BN1559" s="2"/>
      <c r="BO1559" s="2"/>
      <c r="BP1559" s="136"/>
      <c r="BQ1559" s="137"/>
    </row>
    <row r="1560" spans="1:69" ht="12.75" customHeight="1" x14ac:dyDescent="0.2">
      <c r="A1560" s="2">
        <v>3049</v>
      </c>
      <c r="B1560" s="2"/>
      <c r="C1560" s="2"/>
      <c r="D1560" s="2"/>
      <c r="E1560" s="2"/>
      <c r="F1560" s="132">
        <v>0</v>
      </c>
      <c r="G1560" s="132"/>
      <c r="H1560" s="132">
        <f t="shared" si="178"/>
        <v>0</v>
      </c>
      <c r="I1560" s="132"/>
      <c r="J1560" s="132">
        <f t="shared" si="176"/>
        <v>0</v>
      </c>
      <c r="K1560" s="132">
        <f t="shared" si="179"/>
        <v>0</v>
      </c>
      <c r="L1560" s="132">
        <f t="shared" si="180"/>
        <v>0</v>
      </c>
      <c r="M1560" s="133"/>
      <c r="N1560" s="133">
        <f t="shared" si="177"/>
        <v>0</v>
      </c>
      <c r="O1560" s="134"/>
      <c r="P1560" s="133"/>
      <c r="Q1560" s="2"/>
      <c r="R1560" s="156">
        <f t="shared" si="181"/>
        <v>0</v>
      </c>
      <c r="S1560" s="156">
        <f t="shared" si="182"/>
        <v>0</v>
      </c>
      <c r="T1560" s="133"/>
      <c r="U1560" s="133"/>
      <c r="V1560" s="133"/>
      <c r="W1560" s="133"/>
      <c r="X1560" s="133"/>
      <c r="Y1560" s="133"/>
      <c r="Z1560" s="133"/>
      <c r="AA1560" s="133"/>
      <c r="AB1560" s="133"/>
      <c r="AC1560" s="133"/>
      <c r="AD1560" s="133"/>
      <c r="AE1560" s="133"/>
      <c r="AF1560" s="133"/>
      <c r="AG1560" s="133"/>
      <c r="AH1560" s="133"/>
      <c r="AI1560" s="133"/>
      <c r="AJ1560" s="133"/>
      <c r="AK1560" s="133"/>
      <c r="AL1560" s="133"/>
      <c r="AM1560" s="133"/>
      <c r="AN1560" s="133"/>
      <c r="AO1560" s="133"/>
      <c r="AP1560" s="133"/>
      <c r="AQ1560" s="133"/>
      <c r="AR1560" s="133"/>
      <c r="AS1560" s="153">
        <v>0</v>
      </c>
      <c r="AT1560" s="153">
        <v>0</v>
      </c>
      <c r="AU1560" s="153">
        <v>0</v>
      </c>
      <c r="AV1560" s="135"/>
      <c r="AW1560" s="135"/>
      <c r="AX1560" s="135"/>
      <c r="AY1560" s="135"/>
      <c r="AZ1560" s="135"/>
      <c r="BA1560" s="135"/>
      <c r="BB1560" s="135"/>
      <c r="BC1560" s="135"/>
      <c r="BD1560" s="135"/>
      <c r="BE1560" s="135"/>
      <c r="BF1560" s="135"/>
      <c r="BG1560" s="135"/>
      <c r="BH1560" s="135"/>
      <c r="BI1560" s="2"/>
      <c r="BJ1560" s="136"/>
      <c r="BK1560" s="2"/>
      <c r="BL1560" s="136"/>
      <c r="BM1560" s="136"/>
      <c r="BN1560" s="2"/>
      <c r="BO1560" s="2"/>
      <c r="BP1560" s="136"/>
      <c r="BQ1560" s="137"/>
    </row>
    <row r="1561" spans="1:69" ht="12.75" customHeight="1" x14ac:dyDescent="0.2">
      <c r="A1561" s="2">
        <v>3050</v>
      </c>
      <c r="B1561" s="2"/>
      <c r="C1561" s="2"/>
      <c r="D1561" s="2"/>
      <c r="E1561" s="2"/>
      <c r="F1561" s="132">
        <v>0</v>
      </c>
      <c r="G1561" s="132"/>
      <c r="H1561" s="132">
        <f t="shared" si="178"/>
        <v>0</v>
      </c>
      <c r="I1561" s="132"/>
      <c r="J1561" s="132">
        <f t="shared" si="176"/>
        <v>0</v>
      </c>
      <c r="K1561" s="132">
        <f t="shared" si="179"/>
        <v>0</v>
      </c>
      <c r="L1561" s="132">
        <f t="shared" si="180"/>
        <v>0</v>
      </c>
      <c r="M1561" s="133"/>
      <c r="N1561" s="133">
        <f t="shared" si="177"/>
        <v>0</v>
      </c>
      <c r="O1561" s="134"/>
      <c r="P1561" s="133"/>
      <c r="Q1561" s="2"/>
      <c r="R1561" s="156">
        <f t="shared" si="181"/>
        <v>0</v>
      </c>
      <c r="S1561" s="156">
        <f t="shared" si="182"/>
        <v>0</v>
      </c>
      <c r="T1561" s="133"/>
      <c r="U1561" s="133"/>
      <c r="V1561" s="133"/>
      <c r="W1561" s="133"/>
      <c r="X1561" s="133"/>
      <c r="Y1561" s="133"/>
      <c r="Z1561" s="133"/>
      <c r="AA1561" s="133"/>
      <c r="AB1561" s="133"/>
      <c r="AC1561" s="133"/>
      <c r="AD1561" s="133"/>
      <c r="AE1561" s="133"/>
      <c r="AF1561" s="133"/>
      <c r="AG1561" s="133"/>
      <c r="AH1561" s="133"/>
      <c r="AI1561" s="133"/>
      <c r="AJ1561" s="133"/>
      <c r="AK1561" s="133"/>
      <c r="AL1561" s="133"/>
      <c r="AM1561" s="133"/>
      <c r="AN1561" s="133"/>
      <c r="AO1561" s="133"/>
      <c r="AP1561" s="133"/>
      <c r="AQ1561" s="133"/>
      <c r="AR1561" s="133"/>
      <c r="AS1561" s="153">
        <v>0</v>
      </c>
      <c r="AT1561" s="153">
        <v>0</v>
      </c>
      <c r="AU1561" s="153">
        <v>0</v>
      </c>
      <c r="AV1561" s="135"/>
      <c r="AW1561" s="135"/>
      <c r="AX1561" s="135"/>
      <c r="AY1561" s="135"/>
      <c r="AZ1561" s="135"/>
      <c r="BA1561" s="135"/>
      <c r="BB1561" s="135"/>
      <c r="BC1561" s="135"/>
      <c r="BD1561" s="135"/>
      <c r="BE1561" s="135"/>
      <c r="BF1561" s="135"/>
      <c r="BG1561" s="135"/>
      <c r="BH1561" s="135"/>
      <c r="BI1561" s="2"/>
      <c r="BJ1561" s="136"/>
      <c r="BK1561" s="2"/>
      <c r="BL1561" s="136"/>
      <c r="BM1561" s="136"/>
      <c r="BN1561" s="2"/>
      <c r="BO1561" s="2"/>
      <c r="BP1561" s="136"/>
      <c r="BQ1561" s="137"/>
    </row>
    <row r="1562" spans="1:69" ht="12.75" customHeight="1" x14ac:dyDescent="0.2">
      <c r="A1562" s="2">
        <v>3051</v>
      </c>
      <c r="B1562" s="2"/>
      <c r="C1562" s="2"/>
      <c r="D1562" s="2"/>
      <c r="E1562" s="2"/>
      <c r="F1562" s="132">
        <v>0</v>
      </c>
      <c r="G1562" s="132"/>
      <c r="H1562" s="132">
        <f t="shared" si="178"/>
        <v>0</v>
      </c>
      <c r="I1562" s="132"/>
      <c r="J1562" s="132">
        <f t="shared" si="176"/>
        <v>0</v>
      </c>
      <c r="K1562" s="132">
        <f t="shared" si="179"/>
        <v>0</v>
      </c>
      <c r="L1562" s="132">
        <f t="shared" si="180"/>
        <v>0</v>
      </c>
      <c r="M1562" s="133"/>
      <c r="N1562" s="133">
        <f t="shared" si="177"/>
        <v>0</v>
      </c>
      <c r="O1562" s="134"/>
      <c r="P1562" s="133"/>
      <c r="Q1562" s="2"/>
      <c r="R1562" s="156">
        <f t="shared" si="181"/>
        <v>0</v>
      </c>
      <c r="S1562" s="156">
        <f t="shared" si="182"/>
        <v>0</v>
      </c>
      <c r="T1562" s="133"/>
      <c r="U1562" s="133"/>
      <c r="V1562" s="133"/>
      <c r="W1562" s="133"/>
      <c r="X1562" s="133"/>
      <c r="Y1562" s="133"/>
      <c r="Z1562" s="133"/>
      <c r="AA1562" s="133"/>
      <c r="AB1562" s="133"/>
      <c r="AC1562" s="133"/>
      <c r="AD1562" s="133"/>
      <c r="AE1562" s="133"/>
      <c r="AF1562" s="133"/>
      <c r="AG1562" s="133"/>
      <c r="AH1562" s="133"/>
      <c r="AI1562" s="133"/>
      <c r="AJ1562" s="133"/>
      <c r="AK1562" s="133"/>
      <c r="AL1562" s="133"/>
      <c r="AM1562" s="133"/>
      <c r="AN1562" s="133"/>
      <c r="AO1562" s="133"/>
      <c r="AP1562" s="133"/>
      <c r="AQ1562" s="133"/>
      <c r="AR1562" s="133"/>
      <c r="AS1562" s="153">
        <v>0</v>
      </c>
      <c r="AT1562" s="153">
        <v>0</v>
      </c>
      <c r="AU1562" s="153">
        <v>0</v>
      </c>
      <c r="AV1562" s="135"/>
      <c r="AW1562" s="135"/>
      <c r="AX1562" s="135"/>
      <c r="AY1562" s="135"/>
      <c r="AZ1562" s="135"/>
      <c r="BA1562" s="135"/>
      <c r="BB1562" s="135"/>
      <c r="BC1562" s="135"/>
      <c r="BD1562" s="135"/>
      <c r="BE1562" s="135"/>
      <c r="BF1562" s="135"/>
      <c r="BG1562" s="135"/>
      <c r="BH1562" s="135"/>
      <c r="BI1562" s="2"/>
      <c r="BJ1562" s="136"/>
      <c r="BK1562" s="2"/>
      <c r="BL1562" s="136"/>
      <c r="BM1562" s="136"/>
      <c r="BN1562" s="2"/>
      <c r="BO1562" s="2"/>
      <c r="BP1562" s="136"/>
      <c r="BQ1562" s="137"/>
    </row>
    <row r="1563" spans="1:69" ht="12.75" customHeight="1" x14ac:dyDescent="0.2">
      <c r="A1563" s="2">
        <v>3052</v>
      </c>
      <c r="B1563" s="2"/>
      <c r="C1563" s="2"/>
      <c r="D1563" s="2"/>
      <c r="E1563" s="2"/>
      <c r="F1563" s="132">
        <v>0</v>
      </c>
      <c r="G1563" s="132"/>
      <c r="H1563" s="132">
        <f t="shared" si="178"/>
        <v>0</v>
      </c>
      <c r="I1563" s="132"/>
      <c r="J1563" s="132">
        <f t="shared" si="176"/>
        <v>0</v>
      </c>
      <c r="K1563" s="132">
        <f t="shared" si="179"/>
        <v>0</v>
      </c>
      <c r="L1563" s="132">
        <f t="shared" si="180"/>
        <v>0</v>
      </c>
      <c r="M1563" s="133"/>
      <c r="N1563" s="133">
        <f t="shared" si="177"/>
        <v>0</v>
      </c>
      <c r="O1563" s="134"/>
      <c r="P1563" s="133"/>
      <c r="Q1563" s="2"/>
      <c r="R1563" s="156">
        <f t="shared" si="181"/>
        <v>0</v>
      </c>
      <c r="S1563" s="156">
        <f t="shared" si="182"/>
        <v>0</v>
      </c>
      <c r="T1563" s="133"/>
      <c r="U1563" s="133"/>
      <c r="V1563" s="133"/>
      <c r="W1563" s="133"/>
      <c r="X1563" s="133"/>
      <c r="Y1563" s="133"/>
      <c r="Z1563" s="133"/>
      <c r="AA1563" s="133"/>
      <c r="AB1563" s="133"/>
      <c r="AC1563" s="133"/>
      <c r="AD1563" s="133"/>
      <c r="AE1563" s="133"/>
      <c r="AF1563" s="133"/>
      <c r="AG1563" s="133"/>
      <c r="AH1563" s="133"/>
      <c r="AI1563" s="133"/>
      <c r="AJ1563" s="133"/>
      <c r="AK1563" s="133"/>
      <c r="AL1563" s="133"/>
      <c r="AM1563" s="133"/>
      <c r="AN1563" s="133"/>
      <c r="AO1563" s="133"/>
      <c r="AP1563" s="133"/>
      <c r="AQ1563" s="133"/>
      <c r="AR1563" s="133"/>
      <c r="AS1563" s="153">
        <v>0</v>
      </c>
      <c r="AT1563" s="153">
        <v>0</v>
      </c>
      <c r="AU1563" s="153">
        <v>0</v>
      </c>
      <c r="AV1563" s="135"/>
      <c r="AW1563" s="135"/>
      <c r="AX1563" s="135"/>
      <c r="AY1563" s="135"/>
      <c r="AZ1563" s="135"/>
      <c r="BA1563" s="135"/>
      <c r="BB1563" s="135"/>
      <c r="BC1563" s="135"/>
      <c r="BD1563" s="135"/>
      <c r="BE1563" s="135"/>
      <c r="BF1563" s="135"/>
      <c r="BG1563" s="135"/>
      <c r="BH1563" s="135"/>
      <c r="BI1563" s="2"/>
      <c r="BJ1563" s="136"/>
      <c r="BK1563" s="2"/>
      <c r="BL1563" s="136"/>
      <c r="BM1563" s="136"/>
      <c r="BN1563" s="2"/>
      <c r="BO1563" s="2"/>
      <c r="BP1563" s="136"/>
      <c r="BQ1563" s="137"/>
    </row>
    <row r="1564" spans="1:69" ht="12.75" customHeight="1" x14ac:dyDescent="0.2">
      <c r="A1564" s="2">
        <v>3053</v>
      </c>
      <c r="B1564" s="2"/>
      <c r="C1564" s="2"/>
      <c r="D1564" s="2"/>
      <c r="E1564" s="2"/>
      <c r="F1564" s="132">
        <v>0</v>
      </c>
      <c r="G1564" s="132"/>
      <c r="H1564" s="132">
        <f t="shared" si="178"/>
        <v>0</v>
      </c>
      <c r="I1564" s="132"/>
      <c r="J1564" s="132">
        <f t="shared" si="176"/>
        <v>0</v>
      </c>
      <c r="K1564" s="132">
        <f t="shared" si="179"/>
        <v>0</v>
      </c>
      <c r="L1564" s="132">
        <f t="shared" si="180"/>
        <v>0</v>
      </c>
      <c r="M1564" s="133"/>
      <c r="N1564" s="133">
        <f t="shared" si="177"/>
        <v>0</v>
      </c>
      <c r="O1564" s="134"/>
      <c r="P1564" s="133"/>
      <c r="Q1564" s="2"/>
      <c r="R1564" s="156">
        <f t="shared" si="181"/>
        <v>0</v>
      </c>
      <c r="S1564" s="156">
        <f t="shared" si="182"/>
        <v>0</v>
      </c>
      <c r="T1564" s="133"/>
      <c r="U1564" s="133"/>
      <c r="V1564" s="133"/>
      <c r="W1564" s="133"/>
      <c r="X1564" s="133"/>
      <c r="Y1564" s="133"/>
      <c r="Z1564" s="133"/>
      <c r="AA1564" s="133"/>
      <c r="AB1564" s="133"/>
      <c r="AC1564" s="133"/>
      <c r="AD1564" s="133"/>
      <c r="AE1564" s="133"/>
      <c r="AF1564" s="133"/>
      <c r="AG1564" s="133"/>
      <c r="AH1564" s="133"/>
      <c r="AI1564" s="133"/>
      <c r="AJ1564" s="133"/>
      <c r="AK1564" s="133"/>
      <c r="AL1564" s="133"/>
      <c r="AM1564" s="133"/>
      <c r="AN1564" s="133"/>
      <c r="AO1564" s="133"/>
      <c r="AP1564" s="133"/>
      <c r="AQ1564" s="133"/>
      <c r="AR1564" s="133"/>
      <c r="AS1564" s="153">
        <v>0</v>
      </c>
      <c r="AT1564" s="153">
        <v>0</v>
      </c>
      <c r="AU1564" s="153">
        <v>0</v>
      </c>
      <c r="AV1564" s="135"/>
      <c r="AW1564" s="135"/>
      <c r="AX1564" s="135"/>
      <c r="AY1564" s="135"/>
      <c r="AZ1564" s="135"/>
      <c r="BA1564" s="135"/>
      <c r="BB1564" s="135"/>
      <c r="BC1564" s="135"/>
      <c r="BD1564" s="135"/>
      <c r="BE1564" s="135"/>
      <c r="BF1564" s="135"/>
      <c r="BG1564" s="135"/>
      <c r="BH1564" s="135"/>
      <c r="BI1564" s="2"/>
      <c r="BJ1564" s="136"/>
      <c r="BK1564" s="2"/>
      <c r="BL1564" s="136"/>
      <c r="BM1564" s="136"/>
      <c r="BN1564" s="2"/>
      <c r="BO1564" s="2"/>
      <c r="BP1564" s="136"/>
      <c r="BQ1564" s="137"/>
    </row>
    <row r="1565" spans="1:69" ht="12.75" customHeight="1" x14ac:dyDescent="0.2">
      <c r="A1565" s="2">
        <v>3054</v>
      </c>
      <c r="B1565" s="2"/>
      <c r="C1565" s="2"/>
      <c r="D1565" s="2"/>
      <c r="E1565" s="2"/>
      <c r="F1565" s="132">
        <v>0</v>
      </c>
      <c r="G1565" s="132"/>
      <c r="H1565" s="132">
        <f t="shared" si="178"/>
        <v>0</v>
      </c>
      <c r="I1565" s="132"/>
      <c r="J1565" s="132">
        <f t="shared" si="176"/>
        <v>0</v>
      </c>
      <c r="K1565" s="132">
        <f t="shared" si="179"/>
        <v>0</v>
      </c>
      <c r="L1565" s="132">
        <f t="shared" si="180"/>
        <v>0</v>
      </c>
      <c r="M1565" s="133"/>
      <c r="N1565" s="133">
        <f t="shared" si="177"/>
        <v>0</v>
      </c>
      <c r="O1565" s="134"/>
      <c r="P1565" s="133"/>
      <c r="Q1565" s="2"/>
      <c r="R1565" s="156">
        <f t="shared" si="181"/>
        <v>0</v>
      </c>
      <c r="S1565" s="156">
        <f t="shared" si="182"/>
        <v>0</v>
      </c>
      <c r="T1565" s="133"/>
      <c r="U1565" s="133"/>
      <c r="V1565" s="133"/>
      <c r="W1565" s="133"/>
      <c r="X1565" s="133"/>
      <c r="Y1565" s="133"/>
      <c r="Z1565" s="133"/>
      <c r="AA1565" s="133"/>
      <c r="AB1565" s="133"/>
      <c r="AC1565" s="133"/>
      <c r="AD1565" s="133"/>
      <c r="AE1565" s="133"/>
      <c r="AF1565" s="133"/>
      <c r="AG1565" s="133"/>
      <c r="AH1565" s="133"/>
      <c r="AI1565" s="133"/>
      <c r="AJ1565" s="133"/>
      <c r="AK1565" s="133"/>
      <c r="AL1565" s="133"/>
      <c r="AM1565" s="133"/>
      <c r="AN1565" s="133"/>
      <c r="AO1565" s="133"/>
      <c r="AP1565" s="133"/>
      <c r="AQ1565" s="133"/>
      <c r="AR1565" s="133"/>
      <c r="AS1565" s="153">
        <v>0</v>
      </c>
      <c r="AT1565" s="153">
        <v>0</v>
      </c>
      <c r="AU1565" s="153">
        <v>0</v>
      </c>
      <c r="AV1565" s="135"/>
      <c r="AW1565" s="135"/>
      <c r="AX1565" s="135"/>
      <c r="AY1565" s="135"/>
      <c r="AZ1565" s="135"/>
      <c r="BA1565" s="135"/>
      <c r="BB1565" s="135"/>
      <c r="BC1565" s="135"/>
      <c r="BD1565" s="135"/>
      <c r="BE1565" s="135"/>
      <c r="BF1565" s="135"/>
      <c r="BG1565" s="135"/>
      <c r="BH1565" s="135"/>
      <c r="BI1565" s="2"/>
      <c r="BJ1565" s="136"/>
      <c r="BK1565" s="2"/>
      <c r="BL1565" s="136"/>
      <c r="BM1565" s="136"/>
      <c r="BN1565" s="2"/>
      <c r="BO1565" s="2"/>
      <c r="BP1565" s="136"/>
      <c r="BQ1565" s="137"/>
    </row>
    <row r="1566" spans="1:69" ht="12.75" customHeight="1" x14ac:dyDescent="0.2">
      <c r="A1566" s="2">
        <v>3055</v>
      </c>
      <c r="B1566" s="2"/>
      <c r="C1566" s="2"/>
      <c r="D1566" s="2"/>
      <c r="E1566" s="2"/>
      <c r="F1566" s="132">
        <v>0</v>
      </c>
      <c r="G1566" s="132"/>
      <c r="H1566" s="132">
        <f t="shared" si="178"/>
        <v>0</v>
      </c>
      <c r="I1566" s="132"/>
      <c r="J1566" s="132">
        <f t="shared" si="176"/>
        <v>0</v>
      </c>
      <c r="K1566" s="132">
        <f t="shared" si="179"/>
        <v>0</v>
      </c>
      <c r="L1566" s="132">
        <f t="shared" si="180"/>
        <v>0</v>
      </c>
      <c r="M1566" s="133"/>
      <c r="N1566" s="133">
        <f t="shared" si="177"/>
        <v>0</v>
      </c>
      <c r="O1566" s="134"/>
      <c r="P1566" s="133"/>
      <c r="Q1566" s="2"/>
      <c r="R1566" s="156">
        <f t="shared" si="181"/>
        <v>0</v>
      </c>
      <c r="S1566" s="156">
        <f t="shared" si="182"/>
        <v>0</v>
      </c>
      <c r="T1566" s="133"/>
      <c r="U1566" s="133"/>
      <c r="V1566" s="133"/>
      <c r="W1566" s="133"/>
      <c r="X1566" s="133"/>
      <c r="Y1566" s="133"/>
      <c r="Z1566" s="133"/>
      <c r="AA1566" s="133"/>
      <c r="AB1566" s="133"/>
      <c r="AC1566" s="133"/>
      <c r="AD1566" s="133"/>
      <c r="AE1566" s="133"/>
      <c r="AF1566" s="133"/>
      <c r="AG1566" s="133"/>
      <c r="AH1566" s="133"/>
      <c r="AI1566" s="133"/>
      <c r="AJ1566" s="133"/>
      <c r="AK1566" s="133"/>
      <c r="AL1566" s="133"/>
      <c r="AM1566" s="133"/>
      <c r="AN1566" s="133"/>
      <c r="AO1566" s="133"/>
      <c r="AP1566" s="133"/>
      <c r="AQ1566" s="133"/>
      <c r="AR1566" s="133"/>
      <c r="AS1566" s="153">
        <v>0</v>
      </c>
      <c r="AT1566" s="153">
        <v>0</v>
      </c>
      <c r="AU1566" s="153">
        <v>0</v>
      </c>
      <c r="AV1566" s="135"/>
      <c r="AW1566" s="135"/>
      <c r="AX1566" s="135"/>
      <c r="AY1566" s="135"/>
      <c r="AZ1566" s="135"/>
      <c r="BA1566" s="135"/>
      <c r="BB1566" s="135"/>
      <c r="BC1566" s="135"/>
      <c r="BD1566" s="135"/>
      <c r="BE1566" s="135"/>
      <c r="BF1566" s="135"/>
      <c r="BG1566" s="135"/>
      <c r="BH1566" s="135"/>
      <c r="BI1566" s="2"/>
      <c r="BJ1566" s="136"/>
      <c r="BK1566" s="2"/>
      <c r="BL1566" s="136"/>
      <c r="BM1566" s="136"/>
      <c r="BN1566" s="2"/>
      <c r="BO1566" s="2"/>
      <c r="BP1566" s="136"/>
      <c r="BQ1566" s="137"/>
    </row>
    <row r="1567" spans="1:69" ht="12.75" customHeight="1" x14ac:dyDescent="0.2">
      <c r="A1567" s="2">
        <v>3056</v>
      </c>
      <c r="B1567" s="2"/>
      <c r="C1567" s="2"/>
      <c r="D1567" s="2"/>
      <c r="E1567" s="2"/>
      <c r="F1567" s="132">
        <v>0</v>
      </c>
      <c r="G1567" s="132"/>
      <c r="H1567" s="132">
        <f t="shared" si="178"/>
        <v>0</v>
      </c>
      <c r="I1567" s="132"/>
      <c r="J1567" s="132">
        <f t="shared" si="176"/>
        <v>0</v>
      </c>
      <c r="K1567" s="132">
        <f t="shared" si="179"/>
        <v>0</v>
      </c>
      <c r="L1567" s="132">
        <f t="shared" si="180"/>
        <v>0</v>
      </c>
      <c r="M1567" s="133"/>
      <c r="N1567" s="133">
        <f t="shared" si="177"/>
        <v>0</v>
      </c>
      <c r="O1567" s="134"/>
      <c r="P1567" s="133"/>
      <c r="Q1567" s="2"/>
      <c r="R1567" s="156">
        <f t="shared" si="181"/>
        <v>0</v>
      </c>
      <c r="S1567" s="156">
        <f t="shared" si="182"/>
        <v>0</v>
      </c>
      <c r="T1567" s="133"/>
      <c r="U1567" s="133"/>
      <c r="V1567" s="133"/>
      <c r="W1567" s="133"/>
      <c r="X1567" s="133"/>
      <c r="Y1567" s="133"/>
      <c r="Z1567" s="133"/>
      <c r="AA1567" s="133"/>
      <c r="AB1567" s="133"/>
      <c r="AC1567" s="133"/>
      <c r="AD1567" s="133"/>
      <c r="AE1567" s="133"/>
      <c r="AF1567" s="133"/>
      <c r="AG1567" s="133"/>
      <c r="AH1567" s="133"/>
      <c r="AI1567" s="133"/>
      <c r="AJ1567" s="133"/>
      <c r="AK1567" s="133"/>
      <c r="AL1567" s="133"/>
      <c r="AM1567" s="133"/>
      <c r="AN1567" s="133"/>
      <c r="AO1567" s="133"/>
      <c r="AP1567" s="133"/>
      <c r="AQ1567" s="133"/>
      <c r="AR1567" s="133"/>
      <c r="AS1567" s="153">
        <v>0</v>
      </c>
      <c r="AT1567" s="153">
        <v>0</v>
      </c>
      <c r="AU1567" s="153">
        <v>0</v>
      </c>
      <c r="AV1567" s="135"/>
      <c r="AW1567" s="135"/>
      <c r="AX1567" s="135"/>
      <c r="AY1567" s="135"/>
      <c r="AZ1567" s="135"/>
      <c r="BA1567" s="135"/>
      <c r="BB1567" s="135"/>
      <c r="BC1567" s="135"/>
      <c r="BD1567" s="135"/>
      <c r="BE1567" s="135"/>
      <c r="BF1567" s="135"/>
      <c r="BG1567" s="135"/>
      <c r="BH1567" s="135"/>
      <c r="BI1567" s="2"/>
      <c r="BJ1567" s="136"/>
      <c r="BK1567" s="2"/>
      <c r="BL1567" s="136"/>
      <c r="BM1567" s="136"/>
      <c r="BN1567" s="2"/>
      <c r="BO1567" s="2"/>
      <c r="BP1567" s="136"/>
      <c r="BQ1567" s="137"/>
    </row>
    <row r="1568" spans="1:69" ht="12.75" customHeight="1" x14ac:dyDescent="0.2">
      <c r="A1568" s="2">
        <v>3057</v>
      </c>
      <c r="B1568" s="2"/>
      <c r="C1568" s="2"/>
      <c r="D1568" s="2"/>
      <c r="E1568" s="2"/>
      <c r="F1568" s="132">
        <v>0</v>
      </c>
      <c r="G1568" s="132"/>
      <c r="H1568" s="132">
        <f t="shared" si="178"/>
        <v>0</v>
      </c>
      <c r="I1568" s="132"/>
      <c r="J1568" s="132">
        <f t="shared" si="176"/>
        <v>0</v>
      </c>
      <c r="K1568" s="132">
        <f t="shared" si="179"/>
        <v>0</v>
      </c>
      <c r="L1568" s="132">
        <f t="shared" si="180"/>
        <v>0</v>
      </c>
      <c r="M1568" s="133"/>
      <c r="N1568" s="133">
        <f t="shared" si="177"/>
        <v>0</v>
      </c>
      <c r="O1568" s="134"/>
      <c r="P1568" s="133"/>
      <c r="Q1568" s="2"/>
      <c r="R1568" s="156">
        <f t="shared" si="181"/>
        <v>0</v>
      </c>
      <c r="S1568" s="156">
        <f t="shared" si="182"/>
        <v>0</v>
      </c>
      <c r="T1568" s="133"/>
      <c r="U1568" s="133"/>
      <c r="V1568" s="133"/>
      <c r="W1568" s="133"/>
      <c r="X1568" s="133"/>
      <c r="Y1568" s="133"/>
      <c r="Z1568" s="133"/>
      <c r="AA1568" s="133"/>
      <c r="AB1568" s="133"/>
      <c r="AC1568" s="133"/>
      <c r="AD1568" s="133"/>
      <c r="AE1568" s="133"/>
      <c r="AF1568" s="133"/>
      <c r="AG1568" s="133"/>
      <c r="AH1568" s="133"/>
      <c r="AI1568" s="133"/>
      <c r="AJ1568" s="133"/>
      <c r="AK1568" s="133"/>
      <c r="AL1568" s="133"/>
      <c r="AM1568" s="133"/>
      <c r="AN1568" s="133"/>
      <c r="AO1568" s="133"/>
      <c r="AP1568" s="133"/>
      <c r="AQ1568" s="133"/>
      <c r="AR1568" s="133"/>
      <c r="AS1568" s="153">
        <v>0</v>
      </c>
      <c r="AT1568" s="153">
        <v>0</v>
      </c>
      <c r="AU1568" s="153">
        <v>0</v>
      </c>
      <c r="AV1568" s="135"/>
      <c r="AW1568" s="135"/>
      <c r="AX1568" s="135"/>
      <c r="AY1568" s="135"/>
      <c r="AZ1568" s="135"/>
      <c r="BA1568" s="135"/>
      <c r="BB1568" s="135"/>
      <c r="BC1568" s="135"/>
      <c r="BD1568" s="135"/>
      <c r="BE1568" s="135"/>
      <c r="BF1568" s="135"/>
      <c r="BG1568" s="135"/>
      <c r="BH1568" s="135"/>
      <c r="BI1568" s="2"/>
      <c r="BJ1568" s="136"/>
      <c r="BK1568" s="2"/>
      <c r="BL1568" s="136"/>
      <c r="BM1568" s="136"/>
      <c r="BN1568" s="2"/>
      <c r="BO1568" s="2"/>
      <c r="BP1568" s="136"/>
      <c r="BQ1568" s="137"/>
    </row>
    <row r="1569" spans="1:69" ht="12.75" customHeight="1" x14ac:dyDescent="0.2">
      <c r="A1569" s="2">
        <v>3058</v>
      </c>
      <c r="B1569" s="2"/>
      <c r="C1569" s="2"/>
      <c r="D1569" s="2"/>
      <c r="E1569" s="2"/>
      <c r="F1569" s="132">
        <v>0</v>
      </c>
      <c r="G1569" s="132"/>
      <c r="H1569" s="132">
        <f t="shared" si="178"/>
        <v>0</v>
      </c>
      <c r="I1569" s="132"/>
      <c r="J1569" s="132">
        <f t="shared" si="176"/>
        <v>0</v>
      </c>
      <c r="K1569" s="132">
        <f t="shared" si="179"/>
        <v>0</v>
      </c>
      <c r="L1569" s="132">
        <f t="shared" si="180"/>
        <v>0</v>
      </c>
      <c r="M1569" s="133"/>
      <c r="N1569" s="133">
        <f t="shared" si="177"/>
        <v>0</v>
      </c>
      <c r="O1569" s="134"/>
      <c r="P1569" s="133"/>
      <c r="Q1569" s="2"/>
      <c r="R1569" s="156">
        <f t="shared" si="181"/>
        <v>0</v>
      </c>
      <c r="S1569" s="156">
        <f t="shared" si="182"/>
        <v>0</v>
      </c>
      <c r="T1569" s="133"/>
      <c r="U1569" s="133"/>
      <c r="V1569" s="133"/>
      <c r="W1569" s="133"/>
      <c r="X1569" s="133"/>
      <c r="Y1569" s="133"/>
      <c r="Z1569" s="133"/>
      <c r="AA1569" s="133"/>
      <c r="AB1569" s="133"/>
      <c r="AC1569" s="133"/>
      <c r="AD1569" s="133"/>
      <c r="AE1569" s="133"/>
      <c r="AF1569" s="133"/>
      <c r="AG1569" s="133"/>
      <c r="AH1569" s="133"/>
      <c r="AI1569" s="133"/>
      <c r="AJ1569" s="133"/>
      <c r="AK1569" s="133"/>
      <c r="AL1569" s="133"/>
      <c r="AM1569" s="133"/>
      <c r="AN1569" s="133"/>
      <c r="AO1569" s="133"/>
      <c r="AP1569" s="133"/>
      <c r="AQ1569" s="133"/>
      <c r="AR1569" s="133"/>
      <c r="AS1569" s="153">
        <v>0</v>
      </c>
      <c r="AT1569" s="153">
        <v>0</v>
      </c>
      <c r="AU1569" s="153">
        <v>0</v>
      </c>
      <c r="AV1569" s="135"/>
      <c r="AW1569" s="135"/>
      <c r="AX1569" s="135"/>
      <c r="AY1569" s="135"/>
      <c r="AZ1569" s="135"/>
      <c r="BA1569" s="135"/>
      <c r="BB1569" s="135"/>
      <c r="BC1569" s="135"/>
      <c r="BD1569" s="135"/>
      <c r="BE1569" s="135"/>
      <c r="BF1569" s="135"/>
      <c r="BG1569" s="135"/>
      <c r="BH1569" s="135"/>
      <c r="BI1569" s="2"/>
      <c r="BJ1569" s="136"/>
      <c r="BK1569" s="2"/>
      <c r="BL1569" s="136"/>
      <c r="BM1569" s="136"/>
      <c r="BN1569" s="2"/>
      <c r="BO1569" s="2"/>
      <c r="BP1569" s="136"/>
      <c r="BQ1569" s="137"/>
    </row>
    <row r="1570" spans="1:69" ht="12.75" customHeight="1" x14ac:dyDescent="0.2">
      <c r="A1570" s="2">
        <v>3059</v>
      </c>
      <c r="B1570" s="2"/>
      <c r="C1570" s="2"/>
      <c r="D1570" s="2"/>
      <c r="E1570" s="2"/>
      <c r="F1570" s="132">
        <v>0</v>
      </c>
      <c r="G1570" s="132"/>
      <c r="H1570" s="132">
        <f t="shared" si="178"/>
        <v>0</v>
      </c>
      <c r="I1570" s="132"/>
      <c r="J1570" s="132">
        <f t="shared" si="176"/>
        <v>0</v>
      </c>
      <c r="K1570" s="132">
        <f t="shared" si="179"/>
        <v>0</v>
      </c>
      <c r="L1570" s="132">
        <f t="shared" si="180"/>
        <v>0</v>
      </c>
      <c r="M1570" s="133"/>
      <c r="N1570" s="133">
        <f t="shared" si="177"/>
        <v>0</v>
      </c>
      <c r="O1570" s="134"/>
      <c r="P1570" s="133"/>
      <c r="Q1570" s="2"/>
      <c r="R1570" s="156">
        <f t="shared" si="181"/>
        <v>0</v>
      </c>
      <c r="S1570" s="156">
        <f t="shared" si="182"/>
        <v>0</v>
      </c>
      <c r="T1570" s="133"/>
      <c r="U1570" s="133"/>
      <c r="V1570" s="133"/>
      <c r="W1570" s="133"/>
      <c r="X1570" s="133"/>
      <c r="Y1570" s="133"/>
      <c r="Z1570" s="133"/>
      <c r="AA1570" s="133"/>
      <c r="AB1570" s="133"/>
      <c r="AC1570" s="133"/>
      <c r="AD1570" s="133"/>
      <c r="AE1570" s="133"/>
      <c r="AF1570" s="133"/>
      <c r="AG1570" s="133"/>
      <c r="AH1570" s="133"/>
      <c r="AI1570" s="133"/>
      <c r="AJ1570" s="133"/>
      <c r="AK1570" s="133"/>
      <c r="AL1570" s="133"/>
      <c r="AM1570" s="133"/>
      <c r="AN1570" s="133"/>
      <c r="AO1570" s="133"/>
      <c r="AP1570" s="133"/>
      <c r="AQ1570" s="133"/>
      <c r="AR1570" s="133"/>
      <c r="AS1570" s="153">
        <v>0</v>
      </c>
      <c r="AT1570" s="153">
        <v>0</v>
      </c>
      <c r="AU1570" s="153">
        <v>0</v>
      </c>
      <c r="AV1570" s="135"/>
      <c r="AW1570" s="135"/>
      <c r="AX1570" s="135"/>
      <c r="AY1570" s="135"/>
      <c r="AZ1570" s="135"/>
      <c r="BA1570" s="135"/>
      <c r="BB1570" s="135"/>
      <c r="BC1570" s="135"/>
      <c r="BD1570" s="135"/>
      <c r="BE1570" s="135"/>
      <c r="BF1570" s="135"/>
      <c r="BG1570" s="135"/>
      <c r="BH1570" s="135"/>
      <c r="BI1570" s="2"/>
      <c r="BJ1570" s="136"/>
      <c r="BK1570" s="2"/>
      <c r="BL1570" s="136"/>
      <c r="BM1570" s="136"/>
      <c r="BN1570" s="2"/>
      <c r="BO1570" s="2"/>
      <c r="BP1570" s="136"/>
      <c r="BQ1570" s="137"/>
    </row>
    <row r="1571" spans="1:69" ht="12.75" customHeight="1" x14ac:dyDescent="0.2">
      <c r="A1571" s="2">
        <v>3060</v>
      </c>
      <c r="B1571" s="2"/>
      <c r="C1571" s="2"/>
      <c r="D1571" s="2"/>
      <c r="E1571" s="2"/>
      <c r="F1571" s="132">
        <v>0</v>
      </c>
      <c r="G1571" s="132"/>
      <c r="H1571" s="132">
        <f t="shared" si="178"/>
        <v>0</v>
      </c>
      <c r="I1571" s="132"/>
      <c r="J1571" s="132">
        <f t="shared" si="176"/>
        <v>0</v>
      </c>
      <c r="K1571" s="132">
        <f t="shared" si="179"/>
        <v>0</v>
      </c>
      <c r="L1571" s="132">
        <f t="shared" si="180"/>
        <v>0</v>
      </c>
      <c r="M1571" s="133"/>
      <c r="N1571" s="133">
        <f t="shared" si="177"/>
        <v>0</v>
      </c>
      <c r="O1571" s="134"/>
      <c r="P1571" s="133"/>
      <c r="Q1571" s="2"/>
      <c r="R1571" s="156">
        <f t="shared" si="181"/>
        <v>0</v>
      </c>
      <c r="S1571" s="156">
        <f t="shared" si="182"/>
        <v>0</v>
      </c>
      <c r="T1571" s="133"/>
      <c r="U1571" s="133"/>
      <c r="V1571" s="133"/>
      <c r="W1571" s="133"/>
      <c r="X1571" s="133"/>
      <c r="Y1571" s="133"/>
      <c r="Z1571" s="133"/>
      <c r="AA1571" s="133"/>
      <c r="AB1571" s="133"/>
      <c r="AC1571" s="133"/>
      <c r="AD1571" s="133"/>
      <c r="AE1571" s="133"/>
      <c r="AF1571" s="133"/>
      <c r="AG1571" s="133"/>
      <c r="AH1571" s="133"/>
      <c r="AI1571" s="133"/>
      <c r="AJ1571" s="133"/>
      <c r="AK1571" s="133"/>
      <c r="AL1571" s="133"/>
      <c r="AM1571" s="133"/>
      <c r="AN1571" s="133"/>
      <c r="AO1571" s="133"/>
      <c r="AP1571" s="133"/>
      <c r="AQ1571" s="133"/>
      <c r="AR1571" s="133"/>
      <c r="AS1571" s="153">
        <v>0</v>
      </c>
      <c r="AT1571" s="153">
        <v>0</v>
      </c>
      <c r="AU1571" s="153">
        <v>0</v>
      </c>
      <c r="AV1571" s="135"/>
      <c r="AW1571" s="135"/>
      <c r="AX1571" s="135"/>
      <c r="AY1571" s="135"/>
      <c r="AZ1571" s="135"/>
      <c r="BA1571" s="135"/>
      <c r="BB1571" s="135"/>
      <c r="BC1571" s="135"/>
      <c r="BD1571" s="135"/>
      <c r="BE1571" s="135"/>
      <c r="BF1571" s="135"/>
      <c r="BG1571" s="135"/>
      <c r="BH1571" s="135"/>
      <c r="BI1571" s="2"/>
      <c r="BJ1571" s="136"/>
      <c r="BK1571" s="2"/>
      <c r="BL1571" s="136"/>
      <c r="BM1571" s="136"/>
      <c r="BN1571" s="2"/>
      <c r="BO1571" s="2"/>
      <c r="BP1571" s="136"/>
      <c r="BQ1571" s="137"/>
    </row>
    <row r="1572" spans="1:69" ht="12.75" customHeight="1" x14ac:dyDescent="0.2">
      <c r="A1572" s="2">
        <v>3061</v>
      </c>
      <c r="B1572" s="2"/>
      <c r="C1572" s="2"/>
      <c r="D1572" s="2"/>
      <c r="E1572" s="2"/>
      <c r="F1572" s="132">
        <v>0</v>
      </c>
      <c r="G1572" s="132"/>
      <c r="H1572" s="132">
        <f t="shared" si="178"/>
        <v>0</v>
      </c>
      <c r="I1572" s="132"/>
      <c r="J1572" s="132">
        <f t="shared" ref="J1572:J1635" si="183">S1572</f>
        <v>0</v>
      </c>
      <c r="K1572" s="132">
        <f t="shared" si="179"/>
        <v>0</v>
      </c>
      <c r="L1572" s="132">
        <f t="shared" si="180"/>
        <v>0</v>
      </c>
      <c r="M1572" s="133"/>
      <c r="N1572" s="133">
        <f t="shared" si="177"/>
        <v>0</v>
      </c>
      <c r="O1572" s="134"/>
      <c r="P1572" s="133"/>
      <c r="Q1572" s="2"/>
      <c r="R1572" s="156">
        <f t="shared" si="181"/>
        <v>0</v>
      </c>
      <c r="S1572" s="156">
        <f t="shared" si="182"/>
        <v>0</v>
      </c>
      <c r="T1572" s="133"/>
      <c r="U1572" s="133"/>
      <c r="V1572" s="133"/>
      <c r="W1572" s="133"/>
      <c r="X1572" s="133"/>
      <c r="Y1572" s="133"/>
      <c r="Z1572" s="133"/>
      <c r="AA1572" s="133"/>
      <c r="AB1572" s="133"/>
      <c r="AC1572" s="133"/>
      <c r="AD1572" s="133"/>
      <c r="AE1572" s="133"/>
      <c r="AF1572" s="133"/>
      <c r="AG1572" s="133"/>
      <c r="AH1572" s="133"/>
      <c r="AI1572" s="133"/>
      <c r="AJ1572" s="133"/>
      <c r="AK1572" s="133"/>
      <c r="AL1572" s="133"/>
      <c r="AM1572" s="133"/>
      <c r="AN1572" s="133"/>
      <c r="AO1572" s="133"/>
      <c r="AP1572" s="133"/>
      <c r="AQ1572" s="133"/>
      <c r="AR1572" s="133"/>
      <c r="AS1572" s="153">
        <v>0</v>
      </c>
      <c r="AT1572" s="153">
        <v>0</v>
      </c>
      <c r="AU1572" s="153">
        <v>0</v>
      </c>
      <c r="AV1572" s="135"/>
      <c r="AW1572" s="135"/>
      <c r="AX1572" s="135"/>
      <c r="AY1572" s="135"/>
      <c r="AZ1572" s="135"/>
      <c r="BA1572" s="135"/>
      <c r="BB1572" s="135"/>
      <c r="BC1572" s="135"/>
      <c r="BD1572" s="135"/>
      <c r="BE1572" s="135"/>
      <c r="BF1572" s="135"/>
      <c r="BG1572" s="135"/>
      <c r="BH1572" s="135"/>
      <c r="BI1572" s="2"/>
      <c r="BJ1572" s="136"/>
      <c r="BK1572" s="2"/>
      <c r="BL1572" s="136"/>
      <c r="BM1572" s="136"/>
      <c r="BN1572" s="2"/>
      <c r="BO1572" s="2"/>
      <c r="BP1572" s="136"/>
      <c r="BQ1572" s="137"/>
    </row>
    <row r="1573" spans="1:69" ht="12.75" customHeight="1" x14ac:dyDescent="0.2">
      <c r="A1573" s="2">
        <v>3062</v>
      </c>
      <c r="B1573" s="2"/>
      <c r="C1573" s="2"/>
      <c r="D1573" s="2"/>
      <c r="E1573" s="2"/>
      <c r="F1573" s="132">
        <v>0</v>
      </c>
      <c r="G1573" s="132"/>
      <c r="H1573" s="132">
        <f t="shared" si="178"/>
        <v>0</v>
      </c>
      <c r="I1573" s="132"/>
      <c r="J1573" s="132">
        <f t="shared" si="183"/>
        <v>0</v>
      </c>
      <c r="K1573" s="132">
        <f t="shared" si="179"/>
        <v>0</v>
      </c>
      <c r="L1573" s="132">
        <f t="shared" si="180"/>
        <v>0</v>
      </c>
      <c r="M1573" s="133"/>
      <c r="N1573" s="133">
        <f t="shared" si="177"/>
        <v>0</v>
      </c>
      <c r="O1573" s="134"/>
      <c r="P1573" s="133"/>
      <c r="Q1573" s="2"/>
      <c r="R1573" s="156">
        <f t="shared" si="181"/>
        <v>0</v>
      </c>
      <c r="S1573" s="156">
        <f t="shared" si="182"/>
        <v>0</v>
      </c>
      <c r="T1573" s="133"/>
      <c r="U1573" s="133"/>
      <c r="V1573" s="133"/>
      <c r="W1573" s="133"/>
      <c r="X1573" s="133"/>
      <c r="Y1573" s="133"/>
      <c r="Z1573" s="133"/>
      <c r="AA1573" s="133"/>
      <c r="AB1573" s="133"/>
      <c r="AC1573" s="133"/>
      <c r="AD1573" s="133"/>
      <c r="AE1573" s="133"/>
      <c r="AF1573" s="133"/>
      <c r="AG1573" s="133"/>
      <c r="AH1573" s="133"/>
      <c r="AI1573" s="133"/>
      <c r="AJ1573" s="133"/>
      <c r="AK1573" s="133"/>
      <c r="AL1573" s="133"/>
      <c r="AM1573" s="133"/>
      <c r="AN1573" s="133"/>
      <c r="AO1573" s="133"/>
      <c r="AP1573" s="133"/>
      <c r="AQ1573" s="133"/>
      <c r="AR1573" s="133"/>
      <c r="AS1573" s="153">
        <v>0</v>
      </c>
      <c r="AT1573" s="153">
        <v>0</v>
      </c>
      <c r="AU1573" s="153">
        <v>0</v>
      </c>
      <c r="AV1573" s="135"/>
      <c r="AW1573" s="135"/>
      <c r="AX1573" s="135"/>
      <c r="AY1573" s="135"/>
      <c r="AZ1573" s="135"/>
      <c r="BA1573" s="135"/>
      <c r="BB1573" s="135"/>
      <c r="BC1573" s="135"/>
      <c r="BD1573" s="135"/>
      <c r="BE1573" s="135"/>
      <c r="BF1573" s="135"/>
      <c r="BG1573" s="135"/>
      <c r="BH1573" s="135"/>
      <c r="BI1573" s="2"/>
      <c r="BJ1573" s="136"/>
      <c r="BK1573" s="2"/>
      <c r="BL1573" s="136"/>
      <c r="BM1573" s="136"/>
      <c r="BN1573" s="2"/>
      <c r="BO1573" s="2"/>
      <c r="BP1573" s="136"/>
      <c r="BQ1573" s="137"/>
    </row>
    <row r="1574" spans="1:69" ht="12.75" customHeight="1" x14ac:dyDescent="0.2">
      <c r="A1574" s="2">
        <v>3063</v>
      </c>
      <c r="B1574" s="2"/>
      <c r="C1574" s="2"/>
      <c r="D1574" s="2"/>
      <c r="E1574" s="2"/>
      <c r="F1574" s="132">
        <v>0</v>
      </c>
      <c r="G1574" s="132"/>
      <c r="H1574" s="132">
        <f t="shared" si="178"/>
        <v>0</v>
      </c>
      <c r="I1574" s="132"/>
      <c r="J1574" s="132">
        <f t="shared" si="183"/>
        <v>0</v>
      </c>
      <c r="K1574" s="132">
        <f t="shared" si="179"/>
        <v>0</v>
      </c>
      <c r="L1574" s="132">
        <f t="shared" si="180"/>
        <v>0</v>
      </c>
      <c r="M1574" s="133"/>
      <c r="N1574" s="133">
        <f t="shared" si="177"/>
        <v>0</v>
      </c>
      <c r="O1574" s="134"/>
      <c r="P1574" s="133"/>
      <c r="Q1574" s="2"/>
      <c r="R1574" s="156">
        <f t="shared" si="181"/>
        <v>0</v>
      </c>
      <c r="S1574" s="156">
        <f t="shared" si="182"/>
        <v>0</v>
      </c>
      <c r="T1574" s="133"/>
      <c r="U1574" s="133"/>
      <c r="V1574" s="133"/>
      <c r="W1574" s="133"/>
      <c r="X1574" s="133"/>
      <c r="Y1574" s="133"/>
      <c r="Z1574" s="133"/>
      <c r="AA1574" s="133"/>
      <c r="AB1574" s="133"/>
      <c r="AC1574" s="133"/>
      <c r="AD1574" s="133"/>
      <c r="AE1574" s="133"/>
      <c r="AF1574" s="133"/>
      <c r="AG1574" s="133"/>
      <c r="AH1574" s="133"/>
      <c r="AI1574" s="133"/>
      <c r="AJ1574" s="133"/>
      <c r="AK1574" s="133"/>
      <c r="AL1574" s="133"/>
      <c r="AM1574" s="133"/>
      <c r="AN1574" s="133"/>
      <c r="AO1574" s="133"/>
      <c r="AP1574" s="133"/>
      <c r="AQ1574" s="133"/>
      <c r="AR1574" s="133"/>
      <c r="AS1574" s="153">
        <v>0</v>
      </c>
      <c r="AT1574" s="153">
        <v>0</v>
      </c>
      <c r="AU1574" s="153">
        <v>0</v>
      </c>
      <c r="AV1574" s="135"/>
      <c r="AW1574" s="135"/>
      <c r="AX1574" s="135"/>
      <c r="AY1574" s="135"/>
      <c r="AZ1574" s="135"/>
      <c r="BA1574" s="135"/>
      <c r="BB1574" s="135"/>
      <c r="BC1574" s="135"/>
      <c r="BD1574" s="135"/>
      <c r="BE1574" s="135"/>
      <c r="BF1574" s="135"/>
      <c r="BG1574" s="135"/>
      <c r="BH1574" s="135"/>
      <c r="BI1574" s="2"/>
      <c r="BJ1574" s="136"/>
      <c r="BK1574" s="2"/>
      <c r="BL1574" s="136"/>
      <c r="BM1574" s="136"/>
      <c r="BN1574" s="2"/>
      <c r="BO1574" s="2"/>
      <c r="BP1574" s="136"/>
      <c r="BQ1574" s="137"/>
    </row>
    <row r="1575" spans="1:69" ht="12.75" customHeight="1" x14ac:dyDescent="0.2">
      <c r="A1575" s="2">
        <v>3064</v>
      </c>
      <c r="B1575" s="2"/>
      <c r="C1575" s="2"/>
      <c r="D1575" s="2"/>
      <c r="E1575" s="2"/>
      <c r="F1575" s="132">
        <v>0</v>
      </c>
      <c r="G1575" s="132"/>
      <c r="H1575" s="132">
        <f t="shared" si="178"/>
        <v>0</v>
      </c>
      <c r="I1575" s="132"/>
      <c r="J1575" s="132">
        <f t="shared" si="183"/>
        <v>0</v>
      </c>
      <c r="K1575" s="132">
        <f t="shared" si="179"/>
        <v>0</v>
      </c>
      <c r="L1575" s="132">
        <f t="shared" si="180"/>
        <v>0</v>
      </c>
      <c r="M1575" s="133"/>
      <c r="N1575" s="133">
        <f t="shared" si="177"/>
        <v>0</v>
      </c>
      <c r="O1575" s="134"/>
      <c r="P1575" s="133"/>
      <c r="Q1575" s="2"/>
      <c r="R1575" s="156">
        <f t="shared" si="181"/>
        <v>0</v>
      </c>
      <c r="S1575" s="156">
        <f t="shared" si="182"/>
        <v>0</v>
      </c>
      <c r="T1575" s="133"/>
      <c r="U1575" s="133"/>
      <c r="V1575" s="133"/>
      <c r="W1575" s="133"/>
      <c r="X1575" s="133"/>
      <c r="Y1575" s="133"/>
      <c r="Z1575" s="133"/>
      <c r="AA1575" s="133"/>
      <c r="AB1575" s="133"/>
      <c r="AC1575" s="133"/>
      <c r="AD1575" s="133"/>
      <c r="AE1575" s="133"/>
      <c r="AF1575" s="133"/>
      <c r="AG1575" s="133"/>
      <c r="AH1575" s="133"/>
      <c r="AI1575" s="133"/>
      <c r="AJ1575" s="133"/>
      <c r="AK1575" s="133"/>
      <c r="AL1575" s="133"/>
      <c r="AM1575" s="133"/>
      <c r="AN1575" s="133"/>
      <c r="AO1575" s="133"/>
      <c r="AP1575" s="133"/>
      <c r="AQ1575" s="133"/>
      <c r="AR1575" s="133"/>
      <c r="AS1575" s="153">
        <v>0</v>
      </c>
      <c r="AT1575" s="153">
        <v>0</v>
      </c>
      <c r="AU1575" s="153">
        <v>0</v>
      </c>
      <c r="AV1575" s="135"/>
      <c r="AW1575" s="135"/>
      <c r="AX1575" s="135"/>
      <c r="AY1575" s="135"/>
      <c r="AZ1575" s="135"/>
      <c r="BA1575" s="135"/>
      <c r="BB1575" s="135"/>
      <c r="BC1575" s="135"/>
      <c r="BD1575" s="135"/>
      <c r="BE1575" s="135"/>
      <c r="BF1575" s="135"/>
      <c r="BG1575" s="135"/>
      <c r="BH1575" s="135"/>
      <c r="BI1575" s="2"/>
      <c r="BJ1575" s="136"/>
      <c r="BK1575" s="2"/>
      <c r="BL1575" s="136"/>
      <c r="BM1575" s="136"/>
      <c r="BN1575" s="2"/>
      <c r="BO1575" s="2"/>
      <c r="BP1575" s="136"/>
      <c r="BQ1575" s="137"/>
    </row>
    <row r="1576" spans="1:69" ht="12.75" customHeight="1" x14ac:dyDescent="0.2">
      <c r="A1576" s="2">
        <v>3065</v>
      </c>
      <c r="B1576" s="2"/>
      <c r="C1576" s="2"/>
      <c r="D1576" s="2"/>
      <c r="E1576" s="2"/>
      <c r="F1576" s="132">
        <v>0</v>
      </c>
      <c r="G1576" s="132"/>
      <c r="H1576" s="132">
        <f t="shared" si="178"/>
        <v>0</v>
      </c>
      <c r="I1576" s="132"/>
      <c r="J1576" s="132">
        <f t="shared" si="183"/>
        <v>0</v>
      </c>
      <c r="K1576" s="132">
        <f t="shared" si="179"/>
        <v>0</v>
      </c>
      <c r="L1576" s="132">
        <f t="shared" si="180"/>
        <v>0</v>
      </c>
      <c r="M1576" s="133"/>
      <c r="N1576" s="133">
        <f t="shared" si="177"/>
        <v>0</v>
      </c>
      <c r="O1576" s="134"/>
      <c r="P1576" s="133"/>
      <c r="Q1576" s="2"/>
      <c r="R1576" s="156">
        <f t="shared" si="181"/>
        <v>0</v>
      </c>
      <c r="S1576" s="156">
        <f t="shared" si="182"/>
        <v>0</v>
      </c>
      <c r="T1576" s="133"/>
      <c r="U1576" s="133"/>
      <c r="V1576" s="133"/>
      <c r="W1576" s="133"/>
      <c r="X1576" s="133"/>
      <c r="Y1576" s="133"/>
      <c r="Z1576" s="133"/>
      <c r="AA1576" s="133"/>
      <c r="AB1576" s="133"/>
      <c r="AC1576" s="133"/>
      <c r="AD1576" s="133"/>
      <c r="AE1576" s="133"/>
      <c r="AF1576" s="133"/>
      <c r="AG1576" s="133"/>
      <c r="AH1576" s="133"/>
      <c r="AI1576" s="133"/>
      <c r="AJ1576" s="133"/>
      <c r="AK1576" s="133"/>
      <c r="AL1576" s="133"/>
      <c r="AM1576" s="133"/>
      <c r="AN1576" s="133"/>
      <c r="AO1576" s="133"/>
      <c r="AP1576" s="133"/>
      <c r="AQ1576" s="133"/>
      <c r="AR1576" s="133"/>
      <c r="AS1576" s="153">
        <v>0</v>
      </c>
      <c r="AT1576" s="153">
        <v>0</v>
      </c>
      <c r="AU1576" s="153">
        <v>0</v>
      </c>
      <c r="AV1576" s="135"/>
      <c r="AW1576" s="135"/>
      <c r="AX1576" s="135"/>
      <c r="AY1576" s="135"/>
      <c r="AZ1576" s="135"/>
      <c r="BA1576" s="135"/>
      <c r="BB1576" s="135"/>
      <c r="BC1576" s="135"/>
      <c r="BD1576" s="135"/>
      <c r="BE1576" s="135"/>
      <c r="BF1576" s="135"/>
      <c r="BG1576" s="135"/>
      <c r="BH1576" s="135"/>
      <c r="BI1576" s="2"/>
      <c r="BJ1576" s="136"/>
      <c r="BK1576" s="2"/>
      <c r="BL1576" s="136"/>
      <c r="BM1576" s="136"/>
      <c r="BN1576" s="2"/>
      <c r="BO1576" s="2"/>
      <c r="BP1576" s="136"/>
      <c r="BQ1576" s="137"/>
    </row>
    <row r="1577" spans="1:69" ht="12.75" customHeight="1" x14ac:dyDescent="0.2">
      <c r="A1577" s="2">
        <v>3066</v>
      </c>
      <c r="B1577" s="2"/>
      <c r="C1577" s="2"/>
      <c r="D1577" s="2"/>
      <c r="E1577" s="2"/>
      <c r="F1577" s="132">
        <v>0</v>
      </c>
      <c r="G1577" s="132"/>
      <c r="H1577" s="132">
        <f t="shared" si="178"/>
        <v>0</v>
      </c>
      <c r="I1577" s="132"/>
      <c r="J1577" s="132">
        <f t="shared" si="183"/>
        <v>0</v>
      </c>
      <c r="K1577" s="132">
        <f t="shared" si="179"/>
        <v>0</v>
      </c>
      <c r="L1577" s="132">
        <f t="shared" si="180"/>
        <v>0</v>
      </c>
      <c r="M1577" s="133"/>
      <c r="N1577" s="133">
        <f t="shared" si="177"/>
        <v>0</v>
      </c>
      <c r="O1577" s="134"/>
      <c r="P1577" s="133"/>
      <c r="Q1577" s="2"/>
      <c r="R1577" s="156">
        <f t="shared" si="181"/>
        <v>0</v>
      </c>
      <c r="S1577" s="156">
        <f t="shared" si="182"/>
        <v>0</v>
      </c>
      <c r="T1577" s="133"/>
      <c r="U1577" s="133"/>
      <c r="V1577" s="133"/>
      <c r="W1577" s="133"/>
      <c r="X1577" s="133"/>
      <c r="Y1577" s="133"/>
      <c r="Z1577" s="133"/>
      <c r="AA1577" s="133"/>
      <c r="AB1577" s="133"/>
      <c r="AC1577" s="133"/>
      <c r="AD1577" s="133"/>
      <c r="AE1577" s="133"/>
      <c r="AF1577" s="133"/>
      <c r="AG1577" s="133"/>
      <c r="AH1577" s="133"/>
      <c r="AI1577" s="133"/>
      <c r="AJ1577" s="133"/>
      <c r="AK1577" s="133"/>
      <c r="AL1577" s="133"/>
      <c r="AM1577" s="133"/>
      <c r="AN1577" s="133"/>
      <c r="AO1577" s="133"/>
      <c r="AP1577" s="133"/>
      <c r="AQ1577" s="133"/>
      <c r="AR1577" s="133"/>
      <c r="AS1577" s="153">
        <v>0</v>
      </c>
      <c r="AT1577" s="153">
        <v>0</v>
      </c>
      <c r="AU1577" s="153">
        <v>0</v>
      </c>
      <c r="AV1577" s="135"/>
      <c r="AW1577" s="135"/>
      <c r="AX1577" s="135"/>
      <c r="AY1577" s="135"/>
      <c r="AZ1577" s="135"/>
      <c r="BA1577" s="135"/>
      <c r="BB1577" s="135"/>
      <c r="BC1577" s="135"/>
      <c r="BD1577" s="135"/>
      <c r="BE1577" s="135"/>
      <c r="BF1577" s="135"/>
      <c r="BG1577" s="135"/>
      <c r="BH1577" s="135"/>
      <c r="BI1577" s="2"/>
      <c r="BJ1577" s="136"/>
      <c r="BK1577" s="2"/>
      <c r="BL1577" s="136"/>
      <c r="BM1577" s="136"/>
      <c r="BN1577" s="2"/>
      <c r="BO1577" s="2"/>
      <c r="BP1577" s="136"/>
      <c r="BQ1577" s="137"/>
    </row>
    <row r="1578" spans="1:69" ht="12.75" customHeight="1" x14ac:dyDescent="0.2">
      <c r="A1578" s="2">
        <v>3067</v>
      </c>
      <c r="B1578" s="2"/>
      <c r="C1578" s="2"/>
      <c r="D1578" s="2"/>
      <c r="E1578" s="2"/>
      <c r="F1578" s="132">
        <v>0</v>
      </c>
      <c r="G1578" s="132"/>
      <c r="H1578" s="132">
        <f t="shared" si="178"/>
        <v>0</v>
      </c>
      <c r="I1578" s="132"/>
      <c r="J1578" s="132">
        <f t="shared" si="183"/>
        <v>0</v>
      </c>
      <c r="K1578" s="132">
        <f t="shared" si="179"/>
        <v>0</v>
      </c>
      <c r="L1578" s="132">
        <f t="shared" si="180"/>
        <v>0</v>
      </c>
      <c r="M1578" s="133"/>
      <c r="N1578" s="133">
        <f t="shared" ref="N1578:N1641" si="184">IF(OR(BK1578="принят",BK1578="Завершено",BK1578="ПриПро"),H1578-J1578,F1578-J1578)</f>
        <v>0</v>
      </c>
      <c r="O1578" s="134"/>
      <c r="P1578" s="133"/>
      <c r="Q1578" s="2"/>
      <c r="R1578" s="156">
        <f t="shared" si="181"/>
        <v>0</v>
      </c>
      <c r="S1578" s="156">
        <f t="shared" si="182"/>
        <v>0</v>
      </c>
      <c r="T1578" s="133"/>
      <c r="U1578" s="133"/>
      <c r="V1578" s="133"/>
      <c r="W1578" s="133"/>
      <c r="X1578" s="133"/>
      <c r="Y1578" s="133"/>
      <c r="Z1578" s="133"/>
      <c r="AA1578" s="133"/>
      <c r="AB1578" s="133"/>
      <c r="AC1578" s="133"/>
      <c r="AD1578" s="133"/>
      <c r="AE1578" s="133"/>
      <c r="AF1578" s="133"/>
      <c r="AG1578" s="133"/>
      <c r="AH1578" s="133"/>
      <c r="AI1578" s="133"/>
      <c r="AJ1578" s="133"/>
      <c r="AK1578" s="133"/>
      <c r="AL1578" s="133"/>
      <c r="AM1578" s="133"/>
      <c r="AN1578" s="133"/>
      <c r="AO1578" s="133"/>
      <c r="AP1578" s="133"/>
      <c r="AQ1578" s="133"/>
      <c r="AR1578" s="133"/>
      <c r="AS1578" s="153">
        <v>0</v>
      </c>
      <c r="AT1578" s="153">
        <v>0</v>
      </c>
      <c r="AU1578" s="153">
        <v>0</v>
      </c>
      <c r="AV1578" s="135"/>
      <c r="AW1578" s="135"/>
      <c r="AX1578" s="135"/>
      <c r="AY1578" s="135"/>
      <c r="AZ1578" s="135"/>
      <c r="BA1578" s="135"/>
      <c r="BB1578" s="135"/>
      <c r="BC1578" s="135"/>
      <c r="BD1578" s="135"/>
      <c r="BE1578" s="135"/>
      <c r="BF1578" s="135"/>
      <c r="BG1578" s="135"/>
      <c r="BH1578" s="135"/>
      <c r="BI1578" s="2"/>
      <c r="BJ1578" s="136"/>
      <c r="BK1578" s="2"/>
      <c r="BL1578" s="136"/>
      <c r="BM1578" s="136"/>
      <c r="BN1578" s="2"/>
      <c r="BO1578" s="2"/>
      <c r="BP1578" s="136"/>
      <c r="BQ1578" s="137"/>
    </row>
    <row r="1579" spans="1:69" ht="12.75" customHeight="1" x14ac:dyDescent="0.2">
      <c r="A1579" s="2">
        <v>3068</v>
      </c>
      <c r="B1579" s="2"/>
      <c r="C1579" s="2"/>
      <c r="D1579" s="2"/>
      <c r="E1579" s="2"/>
      <c r="F1579" s="132">
        <v>0</v>
      </c>
      <c r="G1579" s="132"/>
      <c r="H1579" s="132">
        <f t="shared" si="178"/>
        <v>0</v>
      </c>
      <c r="I1579" s="132"/>
      <c r="J1579" s="132">
        <f t="shared" si="183"/>
        <v>0</v>
      </c>
      <c r="K1579" s="132">
        <f t="shared" si="179"/>
        <v>0</v>
      </c>
      <c r="L1579" s="132">
        <f t="shared" si="180"/>
        <v>0</v>
      </c>
      <c r="M1579" s="133"/>
      <c r="N1579" s="133">
        <f t="shared" si="184"/>
        <v>0</v>
      </c>
      <c r="O1579" s="134"/>
      <c r="P1579" s="133"/>
      <c r="Q1579" s="2"/>
      <c r="R1579" s="156">
        <f t="shared" si="181"/>
        <v>0</v>
      </c>
      <c r="S1579" s="156">
        <f t="shared" si="182"/>
        <v>0</v>
      </c>
      <c r="T1579" s="133"/>
      <c r="U1579" s="133"/>
      <c r="V1579" s="133"/>
      <c r="W1579" s="133"/>
      <c r="X1579" s="133"/>
      <c r="Y1579" s="133"/>
      <c r="Z1579" s="133"/>
      <c r="AA1579" s="133"/>
      <c r="AB1579" s="133"/>
      <c r="AC1579" s="133"/>
      <c r="AD1579" s="133"/>
      <c r="AE1579" s="133"/>
      <c r="AF1579" s="133"/>
      <c r="AG1579" s="133"/>
      <c r="AH1579" s="133"/>
      <c r="AI1579" s="133"/>
      <c r="AJ1579" s="133"/>
      <c r="AK1579" s="133"/>
      <c r="AL1579" s="133"/>
      <c r="AM1579" s="133"/>
      <c r="AN1579" s="133"/>
      <c r="AO1579" s="133"/>
      <c r="AP1579" s="133"/>
      <c r="AQ1579" s="133"/>
      <c r="AR1579" s="133"/>
      <c r="AS1579" s="153">
        <v>0</v>
      </c>
      <c r="AT1579" s="153">
        <v>0</v>
      </c>
      <c r="AU1579" s="153">
        <v>0</v>
      </c>
      <c r="AV1579" s="135"/>
      <c r="AW1579" s="135"/>
      <c r="AX1579" s="135"/>
      <c r="AY1579" s="135"/>
      <c r="AZ1579" s="135"/>
      <c r="BA1579" s="135"/>
      <c r="BB1579" s="135"/>
      <c r="BC1579" s="135"/>
      <c r="BD1579" s="135"/>
      <c r="BE1579" s="135"/>
      <c r="BF1579" s="135"/>
      <c r="BG1579" s="135"/>
      <c r="BH1579" s="135"/>
      <c r="BI1579" s="2"/>
      <c r="BJ1579" s="136"/>
      <c r="BK1579" s="2"/>
      <c r="BL1579" s="136"/>
      <c r="BM1579" s="136"/>
      <c r="BN1579" s="2"/>
      <c r="BO1579" s="2"/>
      <c r="BP1579" s="136"/>
      <c r="BQ1579" s="137"/>
    </row>
    <row r="1580" spans="1:69" ht="12.75" customHeight="1" x14ac:dyDescent="0.2">
      <c r="A1580" s="2">
        <v>3069</v>
      </c>
      <c r="B1580" s="2"/>
      <c r="C1580" s="2"/>
      <c r="D1580" s="2"/>
      <c r="E1580" s="2"/>
      <c r="F1580" s="132">
        <v>0</v>
      </c>
      <c r="G1580" s="132"/>
      <c r="H1580" s="132">
        <f t="shared" si="178"/>
        <v>0</v>
      </c>
      <c r="I1580" s="132"/>
      <c r="J1580" s="132">
        <f t="shared" si="183"/>
        <v>0</v>
      </c>
      <c r="K1580" s="132">
        <f t="shared" si="179"/>
        <v>0</v>
      </c>
      <c r="L1580" s="132">
        <f t="shared" si="180"/>
        <v>0</v>
      </c>
      <c r="M1580" s="133"/>
      <c r="N1580" s="133">
        <f t="shared" si="184"/>
        <v>0</v>
      </c>
      <c r="O1580" s="134"/>
      <c r="P1580" s="133"/>
      <c r="Q1580" s="2"/>
      <c r="R1580" s="156">
        <f t="shared" si="181"/>
        <v>0</v>
      </c>
      <c r="S1580" s="156">
        <f t="shared" si="182"/>
        <v>0</v>
      </c>
      <c r="T1580" s="133"/>
      <c r="U1580" s="133"/>
      <c r="V1580" s="133"/>
      <c r="W1580" s="133"/>
      <c r="X1580" s="133"/>
      <c r="Y1580" s="133"/>
      <c r="Z1580" s="133"/>
      <c r="AA1580" s="133"/>
      <c r="AB1580" s="133"/>
      <c r="AC1580" s="133"/>
      <c r="AD1580" s="133"/>
      <c r="AE1580" s="133"/>
      <c r="AF1580" s="133"/>
      <c r="AG1580" s="133"/>
      <c r="AH1580" s="133"/>
      <c r="AI1580" s="133"/>
      <c r="AJ1580" s="133"/>
      <c r="AK1580" s="133"/>
      <c r="AL1580" s="133"/>
      <c r="AM1580" s="133"/>
      <c r="AN1580" s="133"/>
      <c r="AO1580" s="133"/>
      <c r="AP1580" s="133"/>
      <c r="AQ1580" s="133"/>
      <c r="AR1580" s="133"/>
      <c r="AS1580" s="153">
        <v>0</v>
      </c>
      <c r="AT1580" s="153">
        <v>0</v>
      </c>
      <c r="AU1580" s="153">
        <v>0</v>
      </c>
      <c r="AV1580" s="135"/>
      <c r="AW1580" s="135"/>
      <c r="AX1580" s="135"/>
      <c r="AY1580" s="135"/>
      <c r="AZ1580" s="135"/>
      <c r="BA1580" s="135"/>
      <c r="BB1580" s="135"/>
      <c r="BC1580" s="135"/>
      <c r="BD1580" s="135"/>
      <c r="BE1580" s="135"/>
      <c r="BF1580" s="135"/>
      <c r="BG1580" s="135"/>
      <c r="BH1580" s="135"/>
      <c r="BI1580" s="2"/>
      <c r="BJ1580" s="136"/>
      <c r="BK1580" s="2"/>
      <c r="BL1580" s="136"/>
      <c r="BM1580" s="136"/>
      <c r="BN1580" s="2"/>
      <c r="BO1580" s="2"/>
      <c r="BP1580" s="136"/>
      <c r="BQ1580" s="137"/>
    </row>
    <row r="1581" spans="1:69" ht="12.75" customHeight="1" x14ac:dyDescent="0.2">
      <c r="A1581" s="2">
        <v>3070</v>
      </c>
      <c r="B1581" s="2"/>
      <c r="C1581" s="2"/>
      <c r="D1581" s="2"/>
      <c r="E1581" s="2"/>
      <c r="F1581" s="132">
        <v>0</v>
      </c>
      <c r="G1581" s="132"/>
      <c r="H1581" s="132">
        <f t="shared" si="178"/>
        <v>0</v>
      </c>
      <c r="I1581" s="132"/>
      <c r="J1581" s="132">
        <f t="shared" si="183"/>
        <v>0</v>
      </c>
      <c r="K1581" s="132">
        <f t="shared" si="179"/>
        <v>0</v>
      </c>
      <c r="L1581" s="132">
        <f t="shared" si="180"/>
        <v>0</v>
      </c>
      <c r="M1581" s="133"/>
      <c r="N1581" s="133">
        <f t="shared" si="184"/>
        <v>0</v>
      </c>
      <c r="O1581" s="134"/>
      <c r="P1581" s="133"/>
      <c r="Q1581" s="2"/>
      <c r="R1581" s="156">
        <f t="shared" si="181"/>
        <v>0</v>
      </c>
      <c r="S1581" s="156">
        <f t="shared" si="182"/>
        <v>0</v>
      </c>
      <c r="T1581" s="133"/>
      <c r="U1581" s="133"/>
      <c r="V1581" s="133"/>
      <c r="W1581" s="133"/>
      <c r="X1581" s="133"/>
      <c r="Y1581" s="133"/>
      <c r="Z1581" s="133"/>
      <c r="AA1581" s="133"/>
      <c r="AB1581" s="133"/>
      <c r="AC1581" s="133"/>
      <c r="AD1581" s="133"/>
      <c r="AE1581" s="133"/>
      <c r="AF1581" s="133"/>
      <c r="AG1581" s="133"/>
      <c r="AH1581" s="133"/>
      <c r="AI1581" s="133"/>
      <c r="AJ1581" s="133"/>
      <c r="AK1581" s="133"/>
      <c r="AL1581" s="133"/>
      <c r="AM1581" s="133"/>
      <c r="AN1581" s="133"/>
      <c r="AO1581" s="133"/>
      <c r="AP1581" s="133"/>
      <c r="AQ1581" s="133"/>
      <c r="AR1581" s="133"/>
      <c r="AS1581" s="153">
        <v>0</v>
      </c>
      <c r="AT1581" s="153">
        <v>0</v>
      </c>
      <c r="AU1581" s="153">
        <v>0</v>
      </c>
      <c r="AV1581" s="135"/>
      <c r="AW1581" s="135"/>
      <c r="AX1581" s="135"/>
      <c r="AY1581" s="135"/>
      <c r="AZ1581" s="135"/>
      <c r="BA1581" s="135"/>
      <c r="BB1581" s="135"/>
      <c r="BC1581" s="135"/>
      <c r="BD1581" s="135"/>
      <c r="BE1581" s="135"/>
      <c r="BF1581" s="135"/>
      <c r="BG1581" s="135"/>
      <c r="BH1581" s="135"/>
      <c r="BI1581" s="2"/>
      <c r="BJ1581" s="136"/>
      <c r="BK1581" s="2"/>
      <c r="BL1581" s="136"/>
      <c r="BM1581" s="136"/>
      <c r="BN1581" s="2"/>
      <c r="BO1581" s="2"/>
      <c r="BP1581" s="136"/>
      <c r="BQ1581" s="137"/>
    </row>
    <row r="1582" spans="1:69" ht="12.75" customHeight="1" x14ac:dyDescent="0.2">
      <c r="A1582" s="2">
        <v>3071</v>
      </c>
      <c r="B1582" s="2"/>
      <c r="C1582" s="2"/>
      <c r="D1582" s="2"/>
      <c r="E1582" s="2"/>
      <c r="F1582" s="132">
        <v>0</v>
      </c>
      <c r="G1582" s="132"/>
      <c r="H1582" s="132">
        <f t="shared" ref="H1582:H1645" si="185">R1582</f>
        <v>0</v>
      </c>
      <c r="I1582" s="132"/>
      <c r="J1582" s="132">
        <f t="shared" si="183"/>
        <v>0</v>
      </c>
      <c r="K1582" s="132">
        <f t="shared" si="179"/>
        <v>0</v>
      </c>
      <c r="L1582" s="132">
        <f t="shared" si="180"/>
        <v>0</v>
      </c>
      <c r="M1582" s="133"/>
      <c r="N1582" s="133">
        <f t="shared" si="184"/>
        <v>0</v>
      </c>
      <c r="O1582" s="134"/>
      <c r="P1582" s="133"/>
      <c r="Q1582" s="2"/>
      <c r="R1582" s="156">
        <f t="shared" si="181"/>
        <v>0</v>
      </c>
      <c r="S1582" s="156">
        <f t="shared" si="182"/>
        <v>0</v>
      </c>
      <c r="T1582" s="133"/>
      <c r="U1582" s="133"/>
      <c r="V1582" s="133"/>
      <c r="W1582" s="133"/>
      <c r="X1582" s="133"/>
      <c r="Y1582" s="133"/>
      <c r="Z1582" s="133"/>
      <c r="AA1582" s="133"/>
      <c r="AB1582" s="133"/>
      <c r="AC1582" s="133"/>
      <c r="AD1582" s="133"/>
      <c r="AE1582" s="133"/>
      <c r="AF1582" s="133"/>
      <c r="AG1582" s="133"/>
      <c r="AH1582" s="133"/>
      <c r="AI1582" s="133"/>
      <c r="AJ1582" s="133"/>
      <c r="AK1582" s="133"/>
      <c r="AL1582" s="133"/>
      <c r="AM1582" s="133"/>
      <c r="AN1582" s="133"/>
      <c r="AO1582" s="133"/>
      <c r="AP1582" s="133"/>
      <c r="AQ1582" s="133"/>
      <c r="AR1582" s="133"/>
      <c r="AS1582" s="153">
        <v>0</v>
      </c>
      <c r="AT1582" s="153">
        <v>0</v>
      </c>
      <c r="AU1582" s="153">
        <v>0</v>
      </c>
      <c r="AV1582" s="135"/>
      <c r="AW1582" s="135"/>
      <c r="AX1582" s="135"/>
      <c r="AY1582" s="135"/>
      <c r="AZ1582" s="135"/>
      <c r="BA1582" s="135"/>
      <c r="BB1582" s="135"/>
      <c r="BC1582" s="135"/>
      <c r="BD1582" s="135"/>
      <c r="BE1582" s="135"/>
      <c r="BF1582" s="135"/>
      <c r="BG1582" s="135"/>
      <c r="BH1582" s="135"/>
      <c r="BI1582" s="2"/>
      <c r="BJ1582" s="136"/>
      <c r="BK1582" s="2"/>
      <c r="BL1582" s="136"/>
      <c r="BM1582" s="136"/>
      <c r="BN1582" s="2"/>
      <c r="BO1582" s="2"/>
      <c r="BP1582" s="136"/>
      <c r="BQ1582" s="137"/>
    </row>
    <row r="1583" spans="1:69" ht="12.75" customHeight="1" x14ac:dyDescent="0.2">
      <c r="A1583" s="2">
        <v>3072</v>
      </c>
      <c r="B1583" s="2"/>
      <c r="C1583" s="2"/>
      <c r="D1583" s="2"/>
      <c r="E1583" s="2"/>
      <c r="F1583" s="132">
        <v>0</v>
      </c>
      <c r="G1583" s="132"/>
      <c r="H1583" s="132">
        <f t="shared" si="185"/>
        <v>0</v>
      </c>
      <c r="I1583" s="132"/>
      <c r="J1583" s="132">
        <f t="shared" si="183"/>
        <v>0</v>
      </c>
      <c r="K1583" s="132">
        <f t="shared" si="179"/>
        <v>0</v>
      </c>
      <c r="L1583" s="132">
        <f t="shared" si="180"/>
        <v>0</v>
      </c>
      <c r="M1583" s="133"/>
      <c r="N1583" s="133">
        <f t="shared" si="184"/>
        <v>0</v>
      </c>
      <c r="O1583" s="134"/>
      <c r="P1583" s="133"/>
      <c r="Q1583" s="2"/>
      <c r="R1583" s="156">
        <f t="shared" si="181"/>
        <v>0</v>
      </c>
      <c r="S1583" s="156">
        <f t="shared" si="182"/>
        <v>0</v>
      </c>
      <c r="T1583" s="133"/>
      <c r="U1583" s="133"/>
      <c r="V1583" s="133"/>
      <c r="W1583" s="133"/>
      <c r="X1583" s="133"/>
      <c r="Y1583" s="133"/>
      <c r="Z1583" s="133"/>
      <c r="AA1583" s="133"/>
      <c r="AB1583" s="133"/>
      <c r="AC1583" s="133"/>
      <c r="AD1583" s="133"/>
      <c r="AE1583" s="133"/>
      <c r="AF1583" s="133"/>
      <c r="AG1583" s="133"/>
      <c r="AH1583" s="133"/>
      <c r="AI1583" s="133"/>
      <c r="AJ1583" s="133"/>
      <c r="AK1583" s="133"/>
      <c r="AL1583" s="133"/>
      <c r="AM1583" s="133"/>
      <c r="AN1583" s="133"/>
      <c r="AO1583" s="133"/>
      <c r="AP1583" s="133"/>
      <c r="AQ1583" s="133"/>
      <c r="AR1583" s="133"/>
      <c r="AS1583" s="153">
        <v>0</v>
      </c>
      <c r="AT1583" s="153">
        <v>0</v>
      </c>
      <c r="AU1583" s="153">
        <v>0</v>
      </c>
      <c r="AV1583" s="135"/>
      <c r="AW1583" s="135"/>
      <c r="AX1583" s="135"/>
      <c r="AY1583" s="135"/>
      <c r="AZ1583" s="135"/>
      <c r="BA1583" s="135"/>
      <c r="BB1583" s="135"/>
      <c r="BC1583" s="135"/>
      <c r="BD1583" s="135"/>
      <c r="BE1583" s="135"/>
      <c r="BF1583" s="135"/>
      <c r="BG1583" s="135"/>
      <c r="BH1583" s="135"/>
      <c r="BI1583" s="2"/>
      <c r="BJ1583" s="136"/>
      <c r="BK1583" s="2"/>
      <c r="BL1583" s="136"/>
      <c r="BM1583" s="136"/>
      <c r="BN1583" s="2"/>
      <c r="BO1583" s="2"/>
      <c r="BP1583" s="136"/>
      <c r="BQ1583" s="137"/>
    </row>
    <row r="1584" spans="1:69" ht="12.75" customHeight="1" x14ac:dyDescent="0.2">
      <c r="A1584" s="2">
        <v>3073</v>
      </c>
      <c r="B1584" s="2"/>
      <c r="C1584" s="2"/>
      <c r="D1584" s="2"/>
      <c r="E1584" s="2"/>
      <c r="F1584" s="132">
        <v>0</v>
      </c>
      <c r="G1584" s="132"/>
      <c r="H1584" s="132">
        <f t="shared" si="185"/>
        <v>0</v>
      </c>
      <c r="I1584" s="132"/>
      <c r="J1584" s="132">
        <f t="shared" si="183"/>
        <v>0</v>
      </c>
      <c r="K1584" s="132">
        <f t="shared" si="179"/>
        <v>0</v>
      </c>
      <c r="L1584" s="132">
        <f t="shared" si="180"/>
        <v>0</v>
      </c>
      <c r="M1584" s="133"/>
      <c r="N1584" s="133">
        <f t="shared" si="184"/>
        <v>0</v>
      </c>
      <c r="O1584" s="134"/>
      <c r="P1584" s="133"/>
      <c r="Q1584" s="2"/>
      <c r="R1584" s="156">
        <f t="shared" si="181"/>
        <v>0</v>
      </c>
      <c r="S1584" s="156">
        <f t="shared" si="182"/>
        <v>0</v>
      </c>
      <c r="T1584" s="133"/>
      <c r="U1584" s="133"/>
      <c r="V1584" s="133"/>
      <c r="W1584" s="133"/>
      <c r="X1584" s="133"/>
      <c r="Y1584" s="133"/>
      <c r="Z1584" s="133"/>
      <c r="AA1584" s="133"/>
      <c r="AB1584" s="133"/>
      <c r="AC1584" s="133"/>
      <c r="AD1584" s="133"/>
      <c r="AE1584" s="133"/>
      <c r="AF1584" s="133"/>
      <c r="AG1584" s="133"/>
      <c r="AH1584" s="133"/>
      <c r="AI1584" s="133"/>
      <c r="AJ1584" s="133"/>
      <c r="AK1584" s="133"/>
      <c r="AL1584" s="133"/>
      <c r="AM1584" s="133"/>
      <c r="AN1584" s="133"/>
      <c r="AO1584" s="133"/>
      <c r="AP1584" s="133"/>
      <c r="AQ1584" s="133"/>
      <c r="AR1584" s="133"/>
      <c r="AS1584" s="153">
        <v>0</v>
      </c>
      <c r="AT1584" s="153">
        <v>0</v>
      </c>
      <c r="AU1584" s="153">
        <v>0</v>
      </c>
      <c r="AV1584" s="135"/>
      <c r="AW1584" s="135"/>
      <c r="AX1584" s="135"/>
      <c r="AY1584" s="135"/>
      <c r="AZ1584" s="135"/>
      <c r="BA1584" s="135"/>
      <c r="BB1584" s="135"/>
      <c r="BC1584" s="135"/>
      <c r="BD1584" s="135"/>
      <c r="BE1584" s="135"/>
      <c r="BF1584" s="135"/>
      <c r="BG1584" s="135"/>
      <c r="BH1584" s="135"/>
      <c r="BI1584" s="2"/>
      <c r="BJ1584" s="136"/>
      <c r="BK1584" s="2"/>
      <c r="BL1584" s="136"/>
      <c r="BM1584" s="136"/>
      <c r="BN1584" s="2"/>
      <c r="BO1584" s="2"/>
      <c r="BP1584" s="136"/>
      <c r="BQ1584" s="137"/>
    </row>
    <row r="1585" spans="1:69" ht="12.75" customHeight="1" x14ac:dyDescent="0.2">
      <c r="A1585" s="2">
        <v>3074</v>
      </c>
      <c r="B1585" s="2"/>
      <c r="C1585" s="2"/>
      <c r="D1585" s="2"/>
      <c r="E1585" s="2"/>
      <c r="F1585" s="132">
        <v>0</v>
      </c>
      <c r="G1585" s="132"/>
      <c r="H1585" s="132">
        <f t="shared" si="185"/>
        <v>0</v>
      </c>
      <c r="I1585" s="132"/>
      <c r="J1585" s="132">
        <f t="shared" si="183"/>
        <v>0</v>
      </c>
      <c r="K1585" s="132">
        <f t="shared" si="179"/>
        <v>0</v>
      </c>
      <c r="L1585" s="132">
        <f t="shared" si="180"/>
        <v>0</v>
      </c>
      <c r="M1585" s="133"/>
      <c r="N1585" s="133">
        <f t="shared" si="184"/>
        <v>0</v>
      </c>
      <c r="O1585" s="134"/>
      <c r="P1585" s="133"/>
      <c r="Q1585" s="2"/>
      <c r="R1585" s="156">
        <f t="shared" si="181"/>
        <v>0</v>
      </c>
      <c r="S1585" s="156">
        <f t="shared" si="182"/>
        <v>0</v>
      </c>
      <c r="T1585" s="133"/>
      <c r="U1585" s="133"/>
      <c r="V1585" s="133"/>
      <c r="W1585" s="133"/>
      <c r="X1585" s="133"/>
      <c r="Y1585" s="133"/>
      <c r="Z1585" s="133"/>
      <c r="AA1585" s="133"/>
      <c r="AB1585" s="133"/>
      <c r="AC1585" s="133"/>
      <c r="AD1585" s="133"/>
      <c r="AE1585" s="133"/>
      <c r="AF1585" s="133"/>
      <c r="AG1585" s="133"/>
      <c r="AH1585" s="133"/>
      <c r="AI1585" s="133"/>
      <c r="AJ1585" s="133"/>
      <c r="AK1585" s="133"/>
      <c r="AL1585" s="133"/>
      <c r="AM1585" s="133"/>
      <c r="AN1585" s="133"/>
      <c r="AO1585" s="133"/>
      <c r="AP1585" s="133"/>
      <c r="AQ1585" s="133"/>
      <c r="AR1585" s="133"/>
      <c r="AS1585" s="153">
        <v>0</v>
      </c>
      <c r="AT1585" s="153">
        <v>0</v>
      </c>
      <c r="AU1585" s="153">
        <v>0</v>
      </c>
      <c r="AV1585" s="135"/>
      <c r="AW1585" s="135"/>
      <c r="AX1585" s="135"/>
      <c r="AY1585" s="135"/>
      <c r="AZ1585" s="135"/>
      <c r="BA1585" s="135"/>
      <c r="BB1585" s="135"/>
      <c r="BC1585" s="135"/>
      <c r="BD1585" s="135"/>
      <c r="BE1585" s="135"/>
      <c r="BF1585" s="135"/>
      <c r="BG1585" s="135"/>
      <c r="BH1585" s="135"/>
      <c r="BI1585" s="2"/>
      <c r="BJ1585" s="136"/>
      <c r="BK1585" s="2"/>
      <c r="BL1585" s="136"/>
      <c r="BM1585" s="136"/>
      <c r="BN1585" s="2"/>
      <c r="BO1585" s="2"/>
      <c r="BP1585" s="136"/>
      <c r="BQ1585" s="137"/>
    </row>
    <row r="1586" spans="1:69" ht="12.75" customHeight="1" x14ac:dyDescent="0.2">
      <c r="A1586" s="2">
        <v>3075</v>
      </c>
      <c r="B1586" s="2"/>
      <c r="C1586" s="2"/>
      <c r="D1586" s="2"/>
      <c r="E1586" s="2"/>
      <c r="F1586" s="132">
        <v>0</v>
      </c>
      <c r="G1586" s="132"/>
      <c r="H1586" s="132">
        <f t="shared" si="185"/>
        <v>0</v>
      </c>
      <c r="I1586" s="132"/>
      <c r="J1586" s="132">
        <f t="shared" si="183"/>
        <v>0</v>
      </c>
      <c r="K1586" s="132">
        <f t="shared" si="179"/>
        <v>0</v>
      </c>
      <c r="L1586" s="132">
        <f t="shared" si="180"/>
        <v>0</v>
      </c>
      <c r="M1586" s="133"/>
      <c r="N1586" s="133">
        <f t="shared" si="184"/>
        <v>0</v>
      </c>
      <c r="O1586" s="134"/>
      <c r="P1586" s="133"/>
      <c r="Q1586" s="2"/>
      <c r="R1586" s="156">
        <f t="shared" si="181"/>
        <v>0</v>
      </c>
      <c r="S1586" s="156">
        <f t="shared" si="182"/>
        <v>0</v>
      </c>
      <c r="T1586" s="133"/>
      <c r="U1586" s="133"/>
      <c r="V1586" s="133"/>
      <c r="W1586" s="133"/>
      <c r="X1586" s="133"/>
      <c r="Y1586" s="133"/>
      <c r="Z1586" s="133"/>
      <c r="AA1586" s="133"/>
      <c r="AB1586" s="133"/>
      <c r="AC1586" s="133"/>
      <c r="AD1586" s="133"/>
      <c r="AE1586" s="133"/>
      <c r="AF1586" s="133"/>
      <c r="AG1586" s="133"/>
      <c r="AH1586" s="133"/>
      <c r="AI1586" s="133"/>
      <c r="AJ1586" s="133"/>
      <c r="AK1586" s="133"/>
      <c r="AL1586" s="133"/>
      <c r="AM1586" s="133"/>
      <c r="AN1586" s="133"/>
      <c r="AO1586" s="133"/>
      <c r="AP1586" s="133"/>
      <c r="AQ1586" s="133"/>
      <c r="AR1586" s="133"/>
      <c r="AS1586" s="153">
        <v>0</v>
      </c>
      <c r="AT1586" s="153">
        <v>0</v>
      </c>
      <c r="AU1586" s="153">
        <v>0</v>
      </c>
      <c r="AV1586" s="135"/>
      <c r="AW1586" s="135"/>
      <c r="AX1586" s="135"/>
      <c r="AY1586" s="135"/>
      <c r="AZ1586" s="135"/>
      <c r="BA1586" s="135"/>
      <c r="BB1586" s="135"/>
      <c r="BC1586" s="135"/>
      <c r="BD1586" s="135"/>
      <c r="BE1586" s="135"/>
      <c r="BF1586" s="135"/>
      <c r="BG1586" s="135"/>
      <c r="BH1586" s="135"/>
      <c r="BI1586" s="2"/>
      <c r="BJ1586" s="136"/>
      <c r="BK1586" s="2"/>
      <c r="BL1586" s="136"/>
      <c r="BM1586" s="136"/>
      <c r="BN1586" s="2"/>
      <c r="BO1586" s="2"/>
      <c r="BP1586" s="136"/>
      <c r="BQ1586" s="137"/>
    </row>
    <row r="1587" spans="1:69" ht="12.75" customHeight="1" x14ac:dyDescent="0.2">
      <c r="A1587" s="2">
        <v>3076</v>
      </c>
      <c r="B1587" s="2"/>
      <c r="C1587" s="2"/>
      <c r="D1587" s="2"/>
      <c r="E1587" s="2"/>
      <c r="F1587" s="132">
        <v>0</v>
      </c>
      <c r="G1587" s="132"/>
      <c r="H1587" s="132">
        <f t="shared" si="185"/>
        <v>0</v>
      </c>
      <c r="I1587" s="132"/>
      <c r="J1587" s="132">
        <f t="shared" si="183"/>
        <v>0</v>
      </c>
      <c r="K1587" s="132">
        <f t="shared" si="179"/>
        <v>0</v>
      </c>
      <c r="L1587" s="132">
        <f t="shared" si="180"/>
        <v>0</v>
      </c>
      <c r="M1587" s="133"/>
      <c r="N1587" s="133">
        <f t="shared" si="184"/>
        <v>0</v>
      </c>
      <c r="O1587" s="134"/>
      <c r="P1587" s="133"/>
      <c r="Q1587" s="2"/>
      <c r="R1587" s="156">
        <f t="shared" si="181"/>
        <v>0</v>
      </c>
      <c r="S1587" s="156">
        <f t="shared" si="182"/>
        <v>0</v>
      </c>
      <c r="T1587" s="133"/>
      <c r="U1587" s="133"/>
      <c r="V1587" s="133"/>
      <c r="W1587" s="133"/>
      <c r="X1587" s="133"/>
      <c r="Y1587" s="133"/>
      <c r="Z1587" s="133"/>
      <c r="AA1587" s="133"/>
      <c r="AB1587" s="133"/>
      <c r="AC1587" s="133"/>
      <c r="AD1587" s="133"/>
      <c r="AE1587" s="133"/>
      <c r="AF1587" s="133"/>
      <c r="AG1587" s="133"/>
      <c r="AH1587" s="133"/>
      <c r="AI1587" s="133"/>
      <c r="AJ1587" s="133"/>
      <c r="AK1587" s="133"/>
      <c r="AL1587" s="133"/>
      <c r="AM1587" s="133"/>
      <c r="AN1587" s="133"/>
      <c r="AO1587" s="133"/>
      <c r="AP1587" s="133"/>
      <c r="AQ1587" s="133"/>
      <c r="AR1587" s="133"/>
      <c r="AS1587" s="153">
        <v>0</v>
      </c>
      <c r="AT1587" s="153">
        <v>0</v>
      </c>
      <c r="AU1587" s="153">
        <v>0</v>
      </c>
      <c r="AV1587" s="135"/>
      <c r="AW1587" s="135"/>
      <c r="AX1587" s="135"/>
      <c r="AY1587" s="135"/>
      <c r="AZ1587" s="135"/>
      <c r="BA1587" s="135"/>
      <c r="BB1587" s="135"/>
      <c r="BC1587" s="135"/>
      <c r="BD1587" s="135"/>
      <c r="BE1587" s="135"/>
      <c r="BF1587" s="135"/>
      <c r="BG1587" s="135"/>
      <c r="BH1587" s="135"/>
      <c r="BI1587" s="2"/>
      <c r="BJ1587" s="136"/>
      <c r="BK1587" s="2"/>
      <c r="BL1587" s="136"/>
      <c r="BM1587" s="136"/>
      <c r="BN1587" s="2"/>
      <c r="BO1587" s="2"/>
      <c r="BP1587" s="136"/>
      <c r="BQ1587" s="137"/>
    </row>
    <row r="1588" spans="1:69" ht="12.75" customHeight="1" x14ac:dyDescent="0.2">
      <c r="A1588" s="2">
        <v>3077</v>
      </c>
      <c r="B1588" s="2"/>
      <c r="C1588" s="2"/>
      <c r="D1588" s="2"/>
      <c r="E1588" s="2"/>
      <c r="F1588" s="132">
        <v>0</v>
      </c>
      <c r="G1588" s="132"/>
      <c r="H1588" s="132">
        <f t="shared" si="185"/>
        <v>0</v>
      </c>
      <c r="I1588" s="132"/>
      <c r="J1588" s="132">
        <f t="shared" si="183"/>
        <v>0</v>
      </c>
      <c r="K1588" s="132">
        <f t="shared" si="179"/>
        <v>0</v>
      </c>
      <c r="L1588" s="132">
        <f t="shared" si="180"/>
        <v>0</v>
      </c>
      <c r="M1588" s="133"/>
      <c r="N1588" s="133">
        <f t="shared" si="184"/>
        <v>0</v>
      </c>
      <c r="O1588" s="134"/>
      <c r="P1588" s="133"/>
      <c r="Q1588" s="2"/>
      <c r="R1588" s="156">
        <f t="shared" si="181"/>
        <v>0</v>
      </c>
      <c r="S1588" s="156">
        <f t="shared" si="182"/>
        <v>0</v>
      </c>
      <c r="T1588" s="133"/>
      <c r="U1588" s="133"/>
      <c r="V1588" s="133"/>
      <c r="W1588" s="133"/>
      <c r="X1588" s="133"/>
      <c r="Y1588" s="133"/>
      <c r="Z1588" s="133"/>
      <c r="AA1588" s="133"/>
      <c r="AB1588" s="133"/>
      <c r="AC1588" s="133"/>
      <c r="AD1588" s="133"/>
      <c r="AE1588" s="133"/>
      <c r="AF1588" s="133"/>
      <c r="AG1588" s="133"/>
      <c r="AH1588" s="133"/>
      <c r="AI1588" s="133"/>
      <c r="AJ1588" s="133"/>
      <c r="AK1588" s="133"/>
      <c r="AL1588" s="133"/>
      <c r="AM1588" s="133"/>
      <c r="AN1588" s="133"/>
      <c r="AO1588" s="133"/>
      <c r="AP1588" s="133"/>
      <c r="AQ1588" s="133"/>
      <c r="AR1588" s="133"/>
      <c r="AS1588" s="153">
        <v>0</v>
      </c>
      <c r="AT1588" s="153">
        <v>0</v>
      </c>
      <c r="AU1588" s="153">
        <v>0</v>
      </c>
      <c r="AV1588" s="135"/>
      <c r="AW1588" s="135"/>
      <c r="AX1588" s="135"/>
      <c r="AY1588" s="135"/>
      <c r="AZ1588" s="135"/>
      <c r="BA1588" s="135"/>
      <c r="BB1588" s="135"/>
      <c r="BC1588" s="135"/>
      <c r="BD1588" s="135"/>
      <c r="BE1588" s="135"/>
      <c r="BF1588" s="135"/>
      <c r="BG1588" s="135"/>
      <c r="BH1588" s="135"/>
      <c r="BI1588" s="2"/>
      <c r="BJ1588" s="136"/>
      <c r="BK1588" s="2"/>
      <c r="BL1588" s="136"/>
      <c r="BM1588" s="136"/>
      <c r="BN1588" s="2"/>
      <c r="BO1588" s="2"/>
      <c r="BP1588" s="136"/>
      <c r="BQ1588" s="137"/>
    </row>
    <row r="1589" spans="1:69" ht="12.75" customHeight="1" x14ac:dyDescent="0.2">
      <c r="A1589" s="2">
        <v>3078</v>
      </c>
      <c r="B1589" s="2"/>
      <c r="C1589" s="2"/>
      <c r="D1589" s="2"/>
      <c r="E1589" s="2"/>
      <c r="F1589" s="132">
        <v>0</v>
      </c>
      <c r="G1589" s="132"/>
      <c r="H1589" s="132">
        <f t="shared" si="185"/>
        <v>0</v>
      </c>
      <c r="I1589" s="132"/>
      <c r="J1589" s="132">
        <f t="shared" si="183"/>
        <v>0</v>
      </c>
      <c r="K1589" s="132">
        <f t="shared" si="179"/>
        <v>0</v>
      </c>
      <c r="L1589" s="132">
        <f t="shared" si="180"/>
        <v>0</v>
      </c>
      <c r="M1589" s="133"/>
      <c r="N1589" s="133">
        <f t="shared" si="184"/>
        <v>0</v>
      </c>
      <c r="O1589" s="134"/>
      <c r="P1589" s="133"/>
      <c r="Q1589" s="2"/>
      <c r="R1589" s="156">
        <f t="shared" si="181"/>
        <v>0</v>
      </c>
      <c r="S1589" s="156">
        <f t="shared" si="182"/>
        <v>0</v>
      </c>
      <c r="T1589" s="133"/>
      <c r="U1589" s="133"/>
      <c r="V1589" s="133"/>
      <c r="W1589" s="133"/>
      <c r="X1589" s="133"/>
      <c r="Y1589" s="133"/>
      <c r="Z1589" s="133"/>
      <c r="AA1589" s="133"/>
      <c r="AB1589" s="133"/>
      <c r="AC1589" s="133"/>
      <c r="AD1589" s="133"/>
      <c r="AE1589" s="133"/>
      <c r="AF1589" s="133"/>
      <c r="AG1589" s="133"/>
      <c r="AH1589" s="133"/>
      <c r="AI1589" s="133"/>
      <c r="AJ1589" s="133"/>
      <c r="AK1589" s="133"/>
      <c r="AL1589" s="133"/>
      <c r="AM1589" s="133"/>
      <c r="AN1589" s="133"/>
      <c r="AO1589" s="133"/>
      <c r="AP1589" s="133"/>
      <c r="AQ1589" s="133"/>
      <c r="AR1589" s="133"/>
      <c r="AS1589" s="153">
        <v>0</v>
      </c>
      <c r="AT1589" s="153">
        <v>0</v>
      </c>
      <c r="AU1589" s="153">
        <v>0</v>
      </c>
      <c r="AV1589" s="135"/>
      <c r="AW1589" s="135"/>
      <c r="AX1589" s="135"/>
      <c r="AY1589" s="135"/>
      <c r="AZ1589" s="135"/>
      <c r="BA1589" s="135"/>
      <c r="BB1589" s="135"/>
      <c r="BC1589" s="135"/>
      <c r="BD1589" s="135"/>
      <c r="BE1589" s="135"/>
      <c r="BF1589" s="135"/>
      <c r="BG1589" s="135"/>
      <c r="BH1589" s="135"/>
      <c r="BI1589" s="2"/>
      <c r="BJ1589" s="136"/>
      <c r="BK1589" s="2"/>
      <c r="BL1589" s="136"/>
      <c r="BM1589" s="136"/>
      <c r="BN1589" s="2"/>
      <c r="BO1589" s="2"/>
      <c r="BP1589" s="136"/>
      <c r="BQ1589" s="137"/>
    </row>
    <row r="1590" spans="1:69" ht="12.75" customHeight="1" x14ac:dyDescent="0.2">
      <c r="A1590" s="2">
        <v>3079</v>
      </c>
      <c r="B1590" s="2"/>
      <c r="C1590" s="2"/>
      <c r="D1590" s="2"/>
      <c r="E1590" s="2"/>
      <c r="F1590" s="132">
        <v>0</v>
      </c>
      <c r="G1590" s="132"/>
      <c r="H1590" s="132">
        <f t="shared" si="185"/>
        <v>0</v>
      </c>
      <c r="I1590" s="132"/>
      <c r="J1590" s="132">
        <f t="shared" si="183"/>
        <v>0</v>
      </c>
      <c r="K1590" s="132">
        <f t="shared" ref="K1590:K1653" si="186">F1590-J1590</f>
        <v>0</v>
      </c>
      <c r="L1590" s="132">
        <f t="shared" si="180"/>
        <v>0</v>
      </c>
      <c r="M1590" s="133"/>
      <c r="N1590" s="133">
        <f t="shared" si="184"/>
        <v>0</v>
      </c>
      <c r="O1590" s="134"/>
      <c r="P1590" s="133"/>
      <c r="Q1590" s="2"/>
      <c r="R1590" s="156">
        <f t="shared" si="181"/>
        <v>0</v>
      </c>
      <c r="S1590" s="156">
        <f t="shared" si="182"/>
        <v>0</v>
      </c>
      <c r="T1590" s="133"/>
      <c r="U1590" s="133"/>
      <c r="V1590" s="133"/>
      <c r="W1590" s="133"/>
      <c r="X1590" s="133"/>
      <c r="Y1590" s="133"/>
      <c r="Z1590" s="133"/>
      <c r="AA1590" s="133"/>
      <c r="AB1590" s="133"/>
      <c r="AC1590" s="133"/>
      <c r="AD1590" s="133"/>
      <c r="AE1590" s="133"/>
      <c r="AF1590" s="133"/>
      <c r="AG1590" s="133"/>
      <c r="AH1590" s="133"/>
      <c r="AI1590" s="133"/>
      <c r="AJ1590" s="133"/>
      <c r="AK1590" s="133"/>
      <c r="AL1590" s="133"/>
      <c r="AM1590" s="133"/>
      <c r="AN1590" s="133"/>
      <c r="AO1590" s="133"/>
      <c r="AP1590" s="133"/>
      <c r="AQ1590" s="133"/>
      <c r="AR1590" s="133"/>
      <c r="AS1590" s="153">
        <v>0</v>
      </c>
      <c r="AT1590" s="153">
        <v>0</v>
      </c>
      <c r="AU1590" s="153">
        <v>0</v>
      </c>
      <c r="AV1590" s="135"/>
      <c r="AW1590" s="135"/>
      <c r="AX1590" s="135"/>
      <c r="AY1590" s="135"/>
      <c r="AZ1590" s="135"/>
      <c r="BA1590" s="135"/>
      <c r="BB1590" s="135"/>
      <c r="BC1590" s="135"/>
      <c r="BD1590" s="135"/>
      <c r="BE1590" s="135"/>
      <c r="BF1590" s="135"/>
      <c r="BG1590" s="135"/>
      <c r="BH1590" s="135"/>
      <c r="BI1590" s="2"/>
      <c r="BJ1590" s="136"/>
      <c r="BK1590" s="2"/>
      <c r="BL1590" s="136"/>
      <c r="BM1590" s="136"/>
      <c r="BN1590" s="2"/>
      <c r="BO1590" s="2"/>
      <c r="BP1590" s="136"/>
      <c r="BQ1590" s="137"/>
    </row>
    <row r="1591" spans="1:69" ht="12.75" customHeight="1" x14ac:dyDescent="0.2">
      <c r="A1591" s="2">
        <v>3080</v>
      </c>
      <c r="B1591" s="2"/>
      <c r="C1591" s="2"/>
      <c r="D1591" s="2"/>
      <c r="E1591" s="2"/>
      <c r="F1591" s="132">
        <v>0</v>
      </c>
      <c r="G1591" s="132"/>
      <c r="H1591" s="132">
        <f t="shared" si="185"/>
        <v>0</v>
      </c>
      <c r="I1591" s="132"/>
      <c r="J1591" s="132">
        <f t="shared" si="183"/>
        <v>0</v>
      </c>
      <c r="K1591" s="132">
        <f t="shared" si="186"/>
        <v>0</v>
      </c>
      <c r="L1591" s="132">
        <f t="shared" si="180"/>
        <v>0</v>
      </c>
      <c r="M1591" s="133"/>
      <c r="N1591" s="133">
        <f t="shared" si="184"/>
        <v>0</v>
      </c>
      <c r="O1591" s="134"/>
      <c r="P1591" s="133"/>
      <c r="Q1591" s="2"/>
      <c r="R1591" s="156">
        <f t="shared" si="181"/>
        <v>0</v>
      </c>
      <c r="S1591" s="156">
        <f t="shared" si="182"/>
        <v>0</v>
      </c>
      <c r="T1591" s="133"/>
      <c r="U1591" s="133"/>
      <c r="V1591" s="133"/>
      <c r="W1591" s="133"/>
      <c r="X1591" s="133"/>
      <c r="Y1591" s="133"/>
      <c r="Z1591" s="133"/>
      <c r="AA1591" s="133"/>
      <c r="AB1591" s="133"/>
      <c r="AC1591" s="133"/>
      <c r="AD1591" s="133"/>
      <c r="AE1591" s="133"/>
      <c r="AF1591" s="133"/>
      <c r="AG1591" s="133"/>
      <c r="AH1591" s="133"/>
      <c r="AI1591" s="133"/>
      <c r="AJ1591" s="133"/>
      <c r="AK1591" s="133"/>
      <c r="AL1591" s="133"/>
      <c r="AM1591" s="133"/>
      <c r="AN1591" s="133"/>
      <c r="AO1591" s="133"/>
      <c r="AP1591" s="133"/>
      <c r="AQ1591" s="133"/>
      <c r="AR1591" s="133"/>
      <c r="AS1591" s="153">
        <v>0</v>
      </c>
      <c r="AT1591" s="153">
        <v>0</v>
      </c>
      <c r="AU1591" s="153">
        <v>0</v>
      </c>
      <c r="AV1591" s="135"/>
      <c r="AW1591" s="135"/>
      <c r="AX1591" s="135"/>
      <c r="AY1591" s="135"/>
      <c r="AZ1591" s="135"/>
      <c r="BA1591" s="135"/>
      <c r="BB1591" s="135"/>
      <c r="BC1591" s="135"/>
      <c r="BD1591" s="135"/>
      <c r="BE1591" s="135"/>
      <c r="BF1591" s="135"/>
      <c r="BG1591" s="135"/>
      <c r="BH1591" s="135"/>
      <c r="BI1591" s="2"/>
      <c r="BJ1591" s="136"/>
      <c r="BK1591" s="2"/>
      <c r="BL1591" s="136"/>
      <c r="BM1591" s="136"/>
      <c r="BN1591" s="2"/>
      <c r="BO1591" s="2"/>
      <c r="BP1591" s="136"/>
      <c r="BQ1591" s="137"/>
    </row>
    <row r="1592" spans="1:69" ht="12.75" customHeight="1" x14ac:dyDescent="0.2">
      <c r="A1592" s="2">
        <v>3081</v>
      </c>
      <c r="B1592" s="2"/>
      <c r="C1592" s="2"/>
      <c r="D1592" s="2"/>
      <c r="E1592" s="2"/>
      <c r="F1592" s="132">
        <v>0</v>
      </c>
      <c r="G1592" s="132"/>
      <c r="H1592" s="132">
        <f t="shared" si="185"/>
        <v>0</v>
      </c>
      <c r="I1592" s="132"/>
      <c r="J1592" s="132">
        <f t="shared" si="183"/>
        <v>0</v>
      </c>
      <c r="K1592" s="132">
        <f t="shared" si="186"/>
        <v>0</v>
      </c>
      <c r="L1592" s="132">
        <f t="shared" si="180"/>
        <v>0</v>
      </c>
      <c r="M1592" s="133"/>
      <c r="N1592" s="133">
        <f t="shared" si="184"/>
        <v>0</v>
      </c>
      <c r="O1592" s="134"/>
      <c r="P1592" s="133"/>
      <c r="Q1592" s="2"/>
      <c r="R1592" s="156">
        <f t="shared" si="181"/>
        <v>0</v>
      </c>
      <c r="S1592" s="156">
        <f t="shared" si="182"/>
        <v>0</v>
      </c>
      <c r="T1592" s="133"/>
      <c r="U1592" s="133"/>
      <c r="V1592" s="133"/>
      <c r="W1592" s="133"/>
      <c r="X1592" s="133"/>
      <c r="Y1592" s="133"/>
      <c r="Z1592" s="133"/>
      <c r="AA1592" s="133"/>
      <c r="AB1592" s="133"/>
      <c r="AC1592" s="133"/>
      <c r="AD1592" s="133"/>
      <c r="AE1592" s="133"/>
      <c r="AF1592" s="133"/>
      <c r="AG1592" s="133"/>
      <c r="AH1592" s="133"/>
      <c r="AI1592" s="133"/>
      <c r="AJ1592" s="133"/>
      <c r="AK1592" s="133"/>
      <c r="AL1592" s="133"/>
      <c r="AM1592" s="133"/>
      <c r="AN1592" s="133"/>
      <c r="AO1592" s="133"/>
      <c r="AP1592" s="133"/>
      <c r="AQ1592" s="133"/>
      <c r="AR1592" s="133"/>
      <c r="AS1592" s="153">
        <v>0</v>
      </c>
      <c r="AT1592" s="153">
        <v>0</v>
      </c>
      <c r="AU1592" s="153">
        <v>0</v>
      </c>
      <c r="AV1592" s="135"/>
      <c r="AW1592" s="135"/>
      <c r="AX1592" s="135"/>
      <c r="AY1592" s="135"/>
      <c r="AZ1592" s="135"/>
      <c r="BA1592" s="135"/>
      <c r="BB1592" s="135"/>
      <c r="BC1592" s="135"/>
      <c r="BD1592" s="135"/>
      <c r="BE1592" s="135"/>
      <c r="BF1592" s="135"/>
      <c r="BG1592" s="135"/>
      <c r="BH1592" s="135"/>
      <c r="BI1592" s="2"/>
      <c r="BJ1592" s="136"/>
      <c r="BK1592" s="2"/>
      <c r="BL1592" s="136"/>
      <c r="BM1592" s="136"/>
      <c r="BN1592" s="2"/>
      <c r="BO1592" s="2"/>
      <c r="BP1592" s="136"/>
      <c r="BQ1592" s="137"/>
    </row>
    <row r="1593" spans="1:69" ht="12.75" customHeight="1" x14ac:dyDescent="0.2">
      <c r="A1593" s="2">
        <v>3082</v>
      </c>
      <c r="B1593" s="2"/>
      <c r="C1593" s="2"/>
      <c r="D1593" s="2"/>
      <c r="E1593" s="2"/>
      <c r="F1593" s="132">
        <v>0</v>
      </c>
      <c r="G1593" s="132"/>
      <c r="H1593" s="132">
        <f t="shared" si="185"/>
        <v>0</v>
      </c>
      <c r="I1593" s="132"/>
      <c r="J1593" s="132">
        <f t="shared" si="183"/>
        <v>0</v>
      </c>
      <c r="K1593" s="132">
        <f t="shared" si="186"/>
        <v>0</v>
      </c>
      <c r="L1593" s="132">
        <f t="shared" si="180"/>
        <v>0</v>
      </c>
      <c r="M1593" s="133"/>
      <c r="N1593" s="133">
        <f t="shared" si="184"/>
        <v>0</v>
      </c>
      <c r="O1593" s="134"/>
      <c r="P1593" s="133"/>
      <c r="Q1593" s="2"/>
      <c r="R1593" s="156">
        <f t="shared" si="181"/>
        <v>0</v>
      </c>
      <c r="S1593" s="156">
        <f t="shared" si="182"/>
        <v>0</v>
      </c>
      <c r="T1593" s="133"/>
      <c r="U1593" s="133"/>
      <c r="V1593" s="133"/>
      <c r="W1593" s="133"/>
      <c r="X1593" s="133"/>
      <c r="Y1593" s="133"/>
      <c r="Z1593" s="133"/>
      <c r="AA1593" s="133"/>
      <c r="AB1593" s="133"/>
      <c r="AC1593" s="133"/>
      <c r="AD1593" s="133"/>
      <c r="AE1593" s="133"/>
      <c r="AF1593" s="133"/>
      <c r="AG1593" s="133"/>
      <c r="AH1593" s="133"/>
      <c r="AI1593" s="133"/>
      <c r="AJ1593" s="133"/>
      <c r="AK1593" s="133"/>
      <c r="AL1593" s="133"/>
      <c r="AM1593" s="133"/>
      <c r="AN1593" s="133"/>
      <c r="AO1593" s="133"/>
      <c r="AP1593" s="133"/>
      <c r="AQ1593" s="133"/>
      <c r="AR1593" s="133"/>
      <c r="AS1593" s="153">
        <v>0</v>
      </c>
      <c r="AT1593" s="153">
        <v>0</v>
      </c>
      <c r="AU1593" s="153">
        <v>0</v>
      </c>
      <c r="AV1593" s="135"/>
      <c r="AW1593" s="135"/>
      <c r="AX1593" s="135"/>
      <c r="AY1593" s="135"/>
      <c r="AZ1593" s="135"/>
      <c r="BA1593" s="135"/>
      <c r="BB1593" s="135"/>
      <c r="BC1593" s="135"/>
      <c r="BD1593" s="135"/>
      <c r="BE1593" s="135"/>
      <c r="BF1593" s="135"/>
      <c r="BG1593" s="135"/>
      <c r="BH1593" s="135"/>
      <c r="BI1593" s="2"/>
      <c r="BJ1593" s="136"/>
      <c r="BK1593" s="2"/>
      <c r="BL1593" s="136"/>
      <c r="BM1593" s="136"/>
      <c r="BN1593" s="2"/>
      <c r="BO1593" s="2"/>
      <c r="BP1593" s="136"/>
      <c r="BQ1593" s="137"/>
    </row>
    <row r="1594" spans="1:69" ht="12.75" customHeight="1" x14ac:dyDescent="0.2">
      <c r="A1594" s="2">
        <v>3083</v>
      </c>
      <c r="B1594" s="2"/>
      <c r="C1594" s="2"/>
      <c r="D1594" s="2"/>
      <c r="E1594" s="2"/>
      <c r="F1594" s="132">
        <v>0</v>
      </c>
      <c r="G1594" s="132"/>
      <c r="H1594" s="132">
        <f t="shared" si="185"/>
        <v>0</v>
      </c>
      <c r="I1594" s="132"/>
      <c r="J1594" s="132">
        <f t="shared" si="183"/>
        <v>0</v>
      </c>
      <c r="K1594" s="132">
        <f t="shared" si="186"/>
        <v>0</v>
      </c>
      <c r="L1594" s="132">
        <f t="shared" si="180"/>
        <v>0</v>
      </c>
      <c r="M1594" s="133"/>
      <c r="N1594" s="133">
        <f t="shared" si="184"/>
        <v>0</v>
      </c>
      <c r="O1594" s="134"/>
      <c r="P1594" s="133"/>
      <c r="Q1594" s="2"/>
      <c r="R1594" s="156">
        <f t="shared" si="181"/>
        <v>0</v>
      </c>
      <c r="S1594" s="156">
        <f t="shared" si="182"/>
        <v>0</v>
      </c>
      <c r="T1594" s="133"/>
      <c r="U1594" s="133"/>
      <c r="V1594" s="133"/>
      <c r="W1594" s="133"/>
      <c r="X1594" s="133"/>
      <c r="Y1594" s="133"/>
      <c r="Z1594" s="133"/>
      <c r="AA1594" s="133"/>
      <c r="AB1594" s="133"/>
      <c r="AC1594" s="133"/>
      <c r="AD1594" s="133"/>
      <c r="AE1594" s="133"/>
      <c r="AF1594" s="133"/>
      <c r="AG1594" s="133"/>
      <c r="AH1594" s="133"/>
      <c r="AI1594" s="133"/>
      <c r="AJ1594" s="133"/>
      <c r="AK1594" s="133"/>
      <c r="AL1594" s="133"/>
      <c r="AM1594" s="133"/>
      <c r="AN1594" s="133"/>
      <c r="AO1594" s="133"/>
      <c r="AP1594" s="133"/>
      <c r="AQ1594" s="133"/>
      <c r="AR1594" s="133"/>
      <c r="AS1594" s="153">
        <v>0</v>
      </c>
      <c r="AT1594" s="153">
        <v>0</v>
      </c>
      <c r="AU1594" s="153">
        <v>0</v>
      </c>
      <c r="AV1594" s="135"/>
      <c r="AW1594" s="135"/>
      <c r="AX1594" s="135"/>
      <c r="AY1594" s="135"/>
      <c r="AZ1594" s="135"/>
      <c r="BA1594" s="135"/>
      <c r="BB1594" s="135"/>
      <c r="BC1594" s="135"/>
      <c r="BD1594" s="135"/>
      <c r="BE1594" s="135"/>
      <c r="BF1594" s="135"/>
      <c r="BG1594" s="135"/>
      <c r="BH1594" s="135"/>
      <c r="BI1594" s="2"/>
      <c r="BJ1594" s="136"/>
      <c r="BK1594" s="2"/>
      <c r="BL1594" s="136"/>
      <c r="BM1594" s="136"/>
      <c r="BN1594" s="2"/>
      <c r="BO1594" s="2"/>
      <c r="BP1594" s="136"/>
      <c r="BQ1594" s="137"/>
    </row>
    <row r="1595" spans="1:69" ht="12.75" customHeight="1" x14ac:dyDescent="0.2">
      <c r="A1595" s="2">
        <v>3084</v>
      </c>
      <c r="B1595" s="2"/>
      <c r="C1595" s="2"/>
      <c r="D1595" s="2"/>
      <c r="E1595" s="2"/>
      <c r="F1595" s="132">
        <v>0</v>
      </c>
      <c r="G1595" s="132"/>
      <c r="H1595" s="132">
        <f t="shared" si="185"/>
        <v>0</v>
      </c>
      <c r="I1595" s="132"/>
      <c r="J1595" s="132">
        <f t="shared" si="183"/>
        <v>0</v>
      </c>
      <c r="K1595" s="132">
        <f t="shared" si="186"/>
        <v>0</v>
      </c>
      <c r="L1595" s="132">
        <f t="shared" si="180"/>
        <v>0</v>
      </c>
      <c r="M1595" s="133"/>
      <c r="N1595" s="133">
        <f t="shared" si="184"/>
        <v>0</v>
      </c>
      <c r="O1595" s="134"/>
      <c r="P1595" s="133"/>
      <c r="Q1595" s="2"/>
      <c r="R1595" s="156">
        <f t="shared" si="181"/>
        <v>0</v>
      </c>
      <c r="S1595" s="156">
        <f t="shared" si="182"/>
        <v>0</v>
      </c>
      <c r="T1595" s="133"/>
      <c r="U1595" s="133"/>
      <c r="V1595" s="133"/>
      <c r="W1595" s="133"/>
      <c r="X1595" s="133"/>
      <c r="Y1595" s="133"/>
      <c r="Z1595" s="133"/>
      <c r="AA1595" s="133"/>
      <c r="AB1595" s="133"/>
      <c r="AC1595" s="133"/>
      <c r="AD1595" s="133"/>
      <c r="AE1595" s="133"/>
      <c r="AF1595" s="133"/>
      <c r="AG1595" s="133"/>
      <c r="AH1595" s="133"/>
      <c r="AI1595" s="133"/>
      <c r="AJ1595" s="133"/>
      <c r="AK1595" s="133"/>
      <c r="AL1595" s="133"/>
      <c r="AM1595" s="133"/>
      <c r="AN1595" s="133"/>
      <c r="AO1595" s="133"/>
      <c r="AP1595" s="133"/>
      <c r="AQ1595" s="133"/>
      <c r="AR1595" s="133"/>
      <c r="AS1595" s="153">
        <v>0</v>
      </c>
      <c r="AT1595" s="153">
        <v>0</v>
      </c>
      <c r="AU1595" s="153">
        <v>0</v>
      </c>
      <c r="AV1595" s="135"/>
      <c r="AW1595" s="135"/>
      <c r="AX1595" s="135"/>
      <c r="AY1595" s="135"/>
      <c r="AZ1595" s="135"/>
      <c r="BA1595" s="135"/>
      <c r="BB1595" s="135"/>
      <c r="BC1595" s="135"/>
      <c r="BD1595" s="135"/>
      <c r="BE1595" s="135"/>
      <c r="BF1595" s="135"/>
      <c r="BG1595" s="135"/>
      <c r="BH1595" s="135"/>
      <c r="BI1595" s="2"/>
      <c r="BJ1595" s="136"/>
      <c r="BK1595" s="2"/>
      <c r="BL1595" s="136"/>
      <c r="BM1595" s="136"/>
      <c r="BN1595" s="2"/>
      <c r="BO1595" s="2"/>
      <c r="BP1595" s="136"/>
      <c r="BQ1595" s="137"/>
    </row>
    <row r="1596" spans="1:69" ht="12.75" customHeight="1" x14ac:dyDescent="0.2">
      <c r="A1596" s="2">
        <v>3085</v>
      </c>
      <c r="B1596" s="2"/>
      <c r="C1596" s="2"/>
      <c r="D1596" s="2"/>
      <c r="E1596" s="2"/>
      <c r="F1596" s="132">
        <v>0</v>
      </c>
      <c r="G1596" s="132"/>
      <c r="H1596" s="132">
        <f t="shared" si="185"/>
        <v>0</v>
      </c>
      <c r="I1596" s="132"/>
      <c r="J1596" s="132">
        <f t="shared" si="183"/>
        <v>0</v>
      </c>
      <c r="K1596" s="132">
        <f t="shared" si="186"/>
        <v>0</v>
      </c>
      <c r="L1596" s="132">
        <f t="shared" si="180"/>
        <v>0</v>
      </c>
      <c r="M1596" s="133"/>
      <c r="N1596" s="133">
        <f t="shared" si="184"/>
        <v>0</v>
      </c>
      <c r="O1596" s="134"/>
      <c r="P1596" s="133"/>
      <c r="Q1596" s="2"/>
      <c r="R1596" s="156">
        <f t="shared" si="181"/>
        <v>0</v>
      </c>
      <c r="S1596" s="156">
        <f t="shared" si="182"/>
        <v>0</v>
      </c>
      <c r="T1596" s="133"/>
      <c r="U1596" s="133"/>
      <c r="V1596" s="133"/>
      <c r="W1596" s="133"/>
      <c r="X1596" s="133"/>
      <c r="Y1596" s="133"/>
      <c r="Z1596" s="133"/>
      <c r="AA1596" s="133"/>
      <c r="AB1596" s="133"/>
      <c r="AC1596" s="133"/>
      <c r="AD1596" s="133"/>
      <c r="AE1596" s="133"/>
      <c r="AF1596" s="133"/>
      <c r="AG1596" s="133"/>
      <c r="AH1596" s="133"/>
      <c r="AI1596" s="133"/>
      <c r="AJ1596" s="133"/>
      <c r="AK1596" s="133"/>
      <c r="AL1596" s="133"/>
      <c r="AM1596" s="133"/>
      <c r="AN1596" s="133"/>
      <c r="AO1596" s="133"/>
      <c r="AP1596" s="133"/>
      <c r="AQ1596" s="133"/>
      <c r="AR1596" s="133"/>
      <c r="AS1596" s="153">
        <v>0</v>
      </c>
      <c r="AT1596" s="153">
        <v>0</v>
      </c>
      <c r="AU1596" s="153">
        <v>0</v>
      </c>
      <c r="AV1596" s="135"/>
      <c r="AW1596" s="135"/>
      <c r="AX1596" s="135"/>
      <c r="AY1596" s="135"/>
      <c r="AZ1596" s="135"/>
      <c r="BA1596" s="135"/>
      <c r="BB1596" s="135"/>
      <c r="BC1596" s="135"/>
      <c r="BD1596" s="135"/>
      <c r="BE1596" s="135"/>
      <c r="BF1596" s="135"/>
      <c r="BG1596" s="135"/>
      <c r="BH1596" s="135"/>
      <c r="BI1596" s="2"/>
      <c r="BJ1596" s="136"/>
      <c r="BK1596" s="2"/>
      <c r="BL1596" s="136"/>
      <c r="BM1596" s="136"/>
      <c r="BN1596" s="2"/>
      <c r="BO1596" s="2"/>
      <c r="BP1596" s="136"/>
      <c r="BQ1596" s="137"/>
    </row>
    <row r="1597" spans="1:69" ht="12.75" customHeight="1" x14ac:dyDescent="0.2">
      <c r="A1597" s="2">
        <v>3086</v>
      </c>
      <c r="B1597" s="2"/>
      <c r="C1597" s="2"/>
      <c r="D1597" s="2"/>
      <c r="E1597" s="2"/>
      <c r="F1597" s="132">
        <v>0</v>
      </c>
      <c r="G1597" s="132"/>
      <c r="H1597" s="132">
        <f t="shared" si="185"/>
        <v>0</v>
      </c>
      <c r="I1597" s="132"/>
      <c r="J1597" s="132">
        <f t="shared" si="183"/>
        <v>0</v>
      </c>
      <c r="K1597" s="132">
        <f t="shared" si="186"/>
        <v>0</v>
      </c>
      <c r="L1597" s="132">
        <f t="shared" si="180"/>
        <v>0</v>
      </c>
      <c r="M1597" s="133"/>
      <c r="N1597" s="133">
        <f t="shared" si="184"/>
        <v>0</v>
      </c>
      <c r="O1597" s="134"/>
      <c r="P1597" s="133"/>
      <c r="Q1597" s="2"/>
      <c r="R1597" s="156">
        <f t="shared" si="181"/>
        <v>0</v>
      </c>
      <c r="S1597" s="156">
        <f t="shared" si="182"/>
        <v>0</v>
      </c>
      <c r="T1597" s="133"/>
      <c r="U1597" s="133"/>
      <c r="V1597" s="133"/>
      <c r="W1597" s="133"/>
      <c r="X1597" s="133"/>
      <c r="Y1597" s="133"/>
      <c r="Z1597" s="133"/>
      <c r="AA1597" s="133"/>
      <c r="AB1597" s="133"/>
      <c r="AC1597" s="133"/>
      <c r="AD1597" s="133"/>
      <c r="AE1597" s="133"/>
      <c r="AF1597" s="133"/>
      <c r="AG1597" s="133"/>
      <c r="AH1597" s="133"/>
      <c r="AI1597" s="133"/>
      <c r="AJ1597" s="133"/>
      <c r="AK1597" s="133"/>
      <c r="AL1597" s="133"/>
      <c r="AM1597" s="133"/>
      <c r="AN1597" s="133"/>
      <c r="AO1597" s="133"/>
      <c r="AP1597" s="133"/>
      <c r="AQ1597" s="133"/>
      <c r="AR1597" s="133"/>
      <c r="AS1597" s="153">
        <v>0</v>
      </c>
      <c r="AT1597" s="153">
        <v>0</v>
      </c>
      <c r="AU1597" s="153">
        <v>0</v>
      </c>
      <c r="AV1597" s="135"/>
      <c r="AW1597" s="135"/>
      <c r="AX1597" s="135"/>
      <c r="AY1597" s="135"/>
      <c r="AZ1597" s="135"/>
      <c r="BA1597" s="135"/>
      <c r="BB1597" s="135"/>
      <c r="BC1597" s="135"/>
      <c r="BD1597" s="135"/>
      <c r="BE1597" s="135"/>
      <c r="BF1597" s="135"/>
      <c r="BG1597" s="135"/>
      <c r="BH1597" s="135"/>
      <c r="BI1597" s="2"/>
      <c r="BJ1597" s="136"/>
      <c r="BK1597" s="2"/>
      <c r="BL1597" s="136"/>
      <c r="BM1597" s="136"/>
      <c r="BN1597" s="2"/>
      <c r="BO1597" s="2"/>
      <c r="BP1597" s="136"/>
      <c r="BQ1597" s="137"/>
    </row>
    <row r="1598" spans="1:69" ht="12.75" customHeight="1" x14ac:dyDescent="0.2">
      <c r="A1598" s="2">
        <v>3087</v>
      </c>
      <c r="B1598" s="2"/>
      <c r="C1598" s="2"/>
      <c r="D1598" s="2"/>
      <c r="E1598" s="2"/>
      <c r="F1598" s="132">
        <v>0</v>
      </c>
      <c r="G1598" s="132"/>
      <c r="H1598" s="132">
        <f t="shared" si="185"/>
        <v>0</v>
      </c>
      <c r="I1598" s="132"/>
      <c r="J1598" s="132">
        <f t="shared" si="183"/>
        <v>0</v>
      </c>
      <c r="K1598" s="132">
        <f t="shared" si="186"/>
        <v>0</v>
      </c>
      <c r="L1598" s="132">
        <f t="shared" si="180"/>
        <v>0</v>
      </c>
      <c r="M1598" s="133"/>
      <c r="N1598" s="133">
        <f t="shared" si="184"/>
        <v>0</v>
      </c>
      <c r="O1598" s="134"/>
      <c r="P1598" s="133"/>
      <c r="Q1598" s="2"/>
      <c r="R1598" s="156">
        <f t="shared" si="181"/>
        <v>0</v>
      </c>
      <c r="S1598" s="156">
        <f t="shared" si="182"/>
        <v>0</v>
      </c>
      <c r="T1598" s="133"/>
      <c r="U1598" s="133"/>
      <c r="V1598" s="133"/>
      <c r="W1598" s="133"/>
      <c r="X1598" s="133"/>
      <c r="Y1598" s="133"/>
      <c r="Z1598" s="133"/>
      <c r="AA1598" s="133"/>
      <c r="AB1598" s="133"/>
      <c r="AC1598" s="133"/>
      <c r="AD1598" s="133"/>
      <c r="AE1598" s="133"/>
      <c r="AF1598" s="133"/>
      <c r="AG1598" s="133"/>
      <c r="AH1598" s="133"/>
      <c r="AI1598" s="133"/>
      <c r="AJ1598" s="133"/>
      <c r="AK1598" s="133"/>
      <c r="AL1598" s="133"/>
      <c r="AM1598" s="133"/>
      <c r="AN1598" s="133"/>
      <c r="AO1598" s="133"/>
      <c r="AP1598" s="133"/>
      <c r="AQ1598" s="133"/>
      <c r="AR1598" s="133"/>
      <c r="AS1598" s="153">
        <v>0</v>
      </c>
      <c r="AT1598" s="153">
        <v>0</v>
      </c>
      <c r="AU1598" s="153">
        <v>0</v>
      </c>
      <c r="AV1598" s="135"/>
      <c r="AW1598" s="135"/>
      <c r="AX1598" s="135"/>
      <c r="AY1598" s="135"/>
      <c r="AZ1598" s="135"/>
      <c r="BA1598" s="135"/>
      <c r="BB1598" s="135"/>
      <c r="BC1598" s="135"/>
      <c r="BD1598" s="135"/>
      <c r="BE1598" s="135"/>
      <c r="BF1598" s="135"/>
      <c r="BG1598" s="135"/>
      <c r="BH1598" s="135"/>
      <c r="BI1598" s="2"/>
      <c r="BJ1598" s="136"/>
      <c r="BK1598" s="2"/>
      <c r="BL1598" s="136"/>
      <c r="BM1598" s="136"/>
      <c r="BN1598" s="2"/>
      <c r="BO1598" s="2"/>
      <c r="BP1598" s="136"/>
      <c r="BQ1598" s="137"/>
    </row>
    <row r="1599" spans="1:69" ht="12.75" customHeight="1" x14ac:dyDescent="0.2">
      <c r="A1599" s="2">
        <v>3088</v>
      </c>
      <c r="B1599" s="2"/>
      <c r="C1599" s="2"/>
      <c r="D1599" s="2"/>
      <c r="E1599" s="2"/>
      <c r="F1599" s="132">
        <v>0</v>
      </c>
      <c r="G1599" s="132"/>
      <c r="H1599" s="132">
        <f t="shared" si="185"/>
        <v>0</v>
      </c>
      <c r="I1599" s="132"/>
      <c r="J1599" s="132">
        <f t="shared" si="183"/>
        <v>0</v>
      </c>
      <c r="K1599" s="132">
        <f t="shared" si="186"/>
        <v>0</v>
      </c>
      <c r="L1599" s="132">
        <f t="shared" si="180"/>
        <v>0</v>
      </c>
      <c r="M1599" s="133"/>
      <c r="N1599" s="133">
        <f t="shared" si="184"/>
        <v>0</v>
      </c>
      <c r="O1599" s="134"/>
      <c r="P1599" s="133"/>
      <c r="Q1599" s="2"/>
      <c r="R1599" s="156">
        <f t="shared" si="181"/>
        <v>0</v>
      </c>
      <c r="S1599" s="156">
        <f t="shared" si="182"/>
        <v>0</v>
      </c>
      <c r="T1599" s="133"/>
      <c r="U1599" s="133"/>
      <c r="V1599" s="133"/>
      <c r="W1599" s="133"/>
      <c r="X1599" s="133"/>
      <c r="Y1599" s="133"/>
      <c r="Z1599" s="133"/>
      <c r="AA1599" s="133"/>
      <c r="AB1599" s="133"/>
      <c r="AC1599" s="133"/>
      <c r="AD1599" s="133"/>
      <c r="AE1599" s="133"/>
      <c r="AF1599" s="133"/>
      <c r="AG1599" s="133"/>
      <c r="AH1599" s="133"/>
      <c r="AI1599" s="133"/>
      <c r="AJ1599" s="133"/>
      <c r="AK1599" s="133"/>
      <c r="AL1599" s="133"/>
      <c r="AM1599" s="133"/>
      <c r="AN1599" s="133"/>
      <c r="AO1599" s="133"/>
      <c r="AP1599" s="133"/>
      <c r="AQ1599" s="133"/>
      <c r="AR1599" s="133"/>
      <c r="AS1599" s="153">
        <v>0</v>
      </c>
      <c r="AT1599" s="153">
        <v>0</v>
      </c>
      <c r="AU1599" s="153">
        <v>0</v>
      </c>
      <c r="AV1599" s="135"/>
      <c r="AW1599" s="135"/>
      <c r="AX1599" s="135"/>
      <c r="AY1599" s="135"/>
      <c r="AZ1599" s="135"/>
      <c r="BA1599" s="135"/>
      <c r="BB1599" s="135"/>
      <c r="BC1599" s="135"/>
      <c r="BD1599" s="135"/>
      <c r="BE1599" s="135"/>
      <c r="BF1599" s="135"/>
      <c r="BG1599" s="135"/>
      <c r="BH1599" s="135"/>
      <c r="BI1599" s="2"/>
      <c r="BJ1599" s="136"/>
      <c r="BK1599" s="2"/>
      <c r="BL1599" s="136"/>
      <c r="BM1599" s="136"/>
      <c r="BN1599" s="2"/>
      <c r="BO1599" s="2"/>
      <c r="BP1599" s="136"/>
      <c r="BQ1599" s="137"/>
    </row>
    <row r="1600" spans="1:69" ht="12.75" customHeight="1" x14ac:dyDescent="0.2">
      <c r="A1600" s="2">
        <v>3089</v>
      </c>
      <c r="B1600" s="2"/>
      <c r="C1600" s="2"/>
      <c r="D1600" s="2"/>
      <c r="E1600" s="2"/>
      <c r="F1600" s="132">
        <v>0</v>
      </c>
      <c r="G1600" s="132"/>
      <c r="H1600" s="132">
        <f t="shared" si="185"/>
        <v>0</v>
      </c>
      <c r="I1600" s="132"/>
      <c r="J1600" s="132">
        <f t="shared" si="183"/>
        <v>0</v>
      </c>
      <c r="K1600" s="132">
        <f t="shared" si="186"/>
        <v>0</v>
      </c>
      <c r="L1600" s="132">
        <f t="shared" si="180"/>
        <v>0</v>
      </c>
      <c r="M1600" s="133"/>
      <c r="N1600" s="133">
        <f t="shared" si="184"/>
        <v>0</v>
      </c>
      <c r="O1600" s="134"/>
      <c r="P1600" s="133"/>
      <c r="Q1600" s="2"/>
      <c r="R1600" s="156">
        <f t="shared" si="181"/>
        <v>0</v>
      </c>
      <c r="S1600" s="156">
        <f t="shared" si="182"/>
        <v>0</v>
      </c>
      <c r="T1600" s="133"/>
      <c r="U1600" s="133"/>
      <c r="V1600" s="133"/>
      <c r="W1600" s="133"/>
      <c r="X1600" s="133"/>
      <c r="Y1600" s="133"/>
      <c r="Z1600" s="133"/>
      <c r="AA1600" s="133"/>
      <c r="AB1600" s="133"/>
      <c r="AC1600" s="133"/>
      <c r="AD1600" s="133"/>
      <c r="AE1600" s="133"/>
      <c r="AF1600" s="133"/>
      <c r="AG1600" s="133"/>
      <c r="AH1600" s="133"/>
      <c r="AI1600" s="133"/>
      <c r="AJ1600" s="133"/>
      <c r="AK1600" s="133"/>
      <c r="AL1600" s="133"/>
      <c r="AM1600" s="133"/>
      <c r="AN1600" s="133"/>
      <c r="AO1600" s="133"/>
      <c r="AP1600" s="133"/>
      <c r="AQ1600" s="133"/>
      <c r="AR1600" s="133"/>
      <c r="AS1600" s="153">
        <v>0</v>
      </c>
      <c r="AT1600" s="153">
        <v>0</v>
      </c>
      <c r="AU1600" s="153">
        <v>0</v>
      </c>
      <c r="AV1600" s="135"/>
      <c r="AW1600" s="135"/>
      <c r="AX1600" s="135"/>
      <c r="AY1600" s="135"/>
      <c r="AZ1600" s="135"/>
      <c r="BA1600" s="135"/>
      <c r="BB1600" s="135"/>
      <c r="BC1600" s="135"/>
      <c r="BD1600" s="135"/>
      <c r="BE1600" s="135"/>
      <c r="BF1600" s="135"/>
      <c r="BG1600" s="135"/>
      <c r="BH1600" s="135"/>
      <c r="BI1600" s="2"/>
      <c r="BJ1600" s="136"/>
      <c r="BK1600" s="2"/>
      <c r="BL1600" s="136"/>
      <c r="BM1600" s="136"/>
      <c r="BN1600" s="2"/>
      <c r="BO1600" s="2"/>
      <c r="BP1600" s="136"/>
      <c r="BQ1600" s="137"/>
    </row>
    <row r="1601" spans="1:69" ht="12.75" customHeight="1" x14ac:dyDescent="0.2">
      <c r="A1601" s="2">
        <v>3090</v>
      </c>
      <c r="B1601" s="2"/>
      <c r="C1601" s="2"/>
      <c r="D1601" s="2"/>
      <c r="E1601" s="2"/>
      <c r="F1601" s="132">
        <v>0</v>
      </c>
      <c r="G1601" s="132"/>
      <c r="H1601" s="132">
        <f t="shared" si="185"/>
        <v>0</v>
      </c>
      <c r="I1601" s="132"/>
      <c r="J1601" s="132">
        <f t="shared" si="183"/>
        <v>0</v>
      </c>
      <c r="K1601" s="132">
        <f t="shared" si="186"/>
        <v>0</v>
      </c>
      <c r="L1601" s="132">
        <f t="shared" si="180"/>
        <v>0</v>
      </c>
      <c r="M1601" s="133"/>
      <c r="N1601" s="133">
        <f t="shared" si="184"/>
        <v>0</v>
      </c>
      <c r="O1601" s="134"/>
      <c r="P1601" s="133"/>
      <c r="Q1601" s="2"/>
      <c r="R1601" s="156">
        <f t="shared" si="181"/>
        <v>0</v>
      </c>
      <c r="S1601" s="156">
        <f t="shared" si="182"/>
        <v>0</v>
      </c>
      <c r="T1601" s="133"/>
      <c r="U1601" s="133"/>
      <c r="V1601" s="133"/>
      <c r="W1601" s="133"/>
      <c r="X1601" s="133"/>
      <c r="Y1601" s="133"/>
      <c r="Z1601" s="133"/>
      <c r="AA1601" s="133"/>
      <c r="AB1601" s="133"/>
      <c r="AC1601" s="133"/>
      <c r="AD1601" s="133"/>
      <c r="AE1601" s="133"/>
      <c r="AF1601" s="133"/>
      <c r="AG1601" s="133"/>
      <c r="AH1601" s="133"/>
      <c r="AI1601" s="133"/>
      <c r="AJ1601" s="133"/>
      <c r="AK1601" s="133"/>
      <c r="AL1601" s="133"/>
      <c r="AM1601" s="133"/>
      <c r="AN1601" s="133"/>
      <c r="AO1601" s="133"/>
      <c r="AP1601" s="133"/>
      <c r="AQ1601" s="133"/>
      <c r="AR1601" s="133"/>
      <c r="AS1601" s="153">
        <v>0</v>
      </c>
      <c r="AT1601" s="153">
        <v>0</v>
      </c>
      <c r="AU1601" s="153">
        <v>0</v>
      </c>
      <c r="AV1601" s="135"/>
      <c r="AW1601" s="135"/>
      <c r="AX1601" s="135"/>
      <c r="AY1601" s="135"/>
      <c r="AZ1601" s="135"/>
      <c r="BA1601" s="135"/>
      <c r="BB1601" s="135"/>
      <c r="BC1601" s="135"/>
      <c r="BD1601" s="135"/>
      <c r="BE1601" s="135"/>
      <c r="BF1601" s="135"/>
      <c r="BG1601" s="135"/>
      <c r="BH1601" s="135"/>
      <c r="BI1601" s="2"/>
      <c r="BJ1601" s="136"/>
      <c r="BK1601" s="2"/>
      <c r="BL1601" s="136"/>
      <c r="BM1601" s="136"/>
      <c r="BN1601" s="2"/>
      <c r="BO1601" s="2"/>
      <c r="BP1601" s="136"/>
      <c r="BQ1601" s="137"/>
    </row>
    <row r="1602" spans="1:69" ht="12.75" customHeight="1" x14ac:dyDescent="0.2">
      <c r="A1602" s="2">
        <v>3091</v>
      </c>
      <c r="B1602" s="2"/>
      <c r="C1602" s="2"/>
      <c r="D1602" s="2"/>
      <c r="E1602" s="2"/>
      <c r="F1602" s="132">
        <v>0</v>
      </c>
      <c r="G1602" s="132"/>
      <c r="H1602" s="132">
        <f t="shared" si="185"/>
        <v>0</v>
      </c>
      <c r="I1602" s="132"/>
      <c r="J1602" s="132">
        <f t="shared" si="183"/>
        <v>0</v>
      </c>
      <c r="K1602" s="132">
        <f t="shared" si="186"/>
        <v>0</v>
      </c>
      <c r="L1602" s="132">
        <f t="shared" si="180"/>
        <v>0</v>
      </c>
      <c r="M1602" s="133"/>
      <c r="N1602" s="133">
        <f t="shared" si="184"/>
        <v>0</v>
      </c>
      <c r="O1602" s="134"/>
      <c r="P1602" s="133"/>
      <c r="Q1602" s="2"/>
      <c r="R1602" s="156">
        <f t="shared" si="181"/>
        <v>0</v>
      </c>
      <c r="S1602" s="156">
        <f t="shared" si="182"/>
        <v>0</v>
      </c>
      <c r="T1602" s="133"/>
      <c r="U1602" s="133"/>
      <c r="V1602" s="133"/>
      <c r="W1602" s="133"/>
      <c r="X1602" s="133"/>
      <c r="Y1602" s="133"/>
      <c r="Z1602" s="133"/>
      <c r="AA1602" s="133"/>
      <c r="AB1602" s="133"/>
      <c r="AC1602" s="133"/>
      <c r="AD1602" s="133"/>
      <c r="AE1602" s="133"/>
      <c r="AF1602" s="133"/>
      <c r="AG1602" s="133"/>
      <c r="AH1602" s="133"/>
      <c r="AI1602" s="133"/>
      <c r="AJ1602" s="133"/>
      <c r="AK1602" s="133"/>
      <c r="AL1602" s="133"/>
      <c r="AM1602" s="133"/>
      <c r="AN1602" s="133"/>
      <c r="AO1602" s="133"/>
      <c r="AP1602" s="133"/>
      <c r="AQ1602" s="133"/>
      <c r="AR1602" s="133"/>
      <c r="AS1602" s="153">
        <v>0</v>
      </c>
      <c r="AT1602" s="153">
        <v>0</v>
      </c>
      <c r="AU1602" s="153">
        <v>0</v>
      </c>
      <c r="AV1602" s="135"/>
      <c r="AW1602" s="135"/>
      <c r="AX1602" s="135"/>
      <c r="AY1602" s="135"/>
      <c r="AZ1602" s="135"/>
      <c r="BA1602" s="135"/>
      <c r="BB1602" s="135"/>
      <c r="BC1602" s="135"/>
      <c r="BD1602" s="135"/>
      <c r="BE1602" s="135"/>
      <c r="BF1602" s="135"/>
      <c r="BG1602" s="135"/>
      <c r="BH1602" s="135"/>
      <c r="BI1602" s="2"/>
      <c r="BJ1602" s="136"/>
      <c r="BK1602" s="2"/>
      <c r="BL1602" s="136"/>
      <c r="BM1602" s="136"/>
      <c r="BN1602" s="2"/>
      <c r="BO1602" s="2"/>
      <c r="BP1602" s="136"/>
      <c r="BQ1602" s="137"/>
    </row>
    <row r="1603" spans="1:69" ht="12.75" customHeight="1" x14ac:dyDescent="0.2">
      <c r="A1603" s="2">
        <v>3092</v>
      </c>
      <c r="B1603" s="2"/>
      <c r="C1603" s="2"/>
      <c r="D1603" s="2"/>
      <c r="E1603" s="2"/>
      <c r="F1603" s="132">
        <v>0</v>
      </c>
      <c r="G1603" s="132"/>
      <c r="H1603" s="132">
        <f t="shared" si="185"/>
        <v>0</v>
      </c>
      <c r="I1603" s="132"/>
      <c r="J1603" s="132">
        <f t="shared" si="183"/>
        <v>0</v>
      </c>
      <c r="K1603" s="132">
        <f t="shared" si="186"/>
        <v>0</v>
      </c>
      <c r="L1603" s="132">
        <f t="shared" si="180"/>
        <v>0</v>
      </c>
      <c r="M1603" s="133"/>
      <c r="N1603" s="133">
        <f t="shared" si="184"/>
        <v>0</v>
      </c>
      <c r="O1603" s="134"/>
      <c r="P1603" s="133"/>
      <c r="Q1603" s="2"/>
      <c r="R1603" s="156">
        <f t="shared" si="181"/>
        <v>0</v>
      </c>
      <c r="S1603" s="156">
        <f t="shared" si="182"/>
        <v>0</v>
      </c>
      <c r="T1603" s="133"/>
      <c r="U1603" s="133"/>
      <c r="V1603" s="133"/>
      <c r="W1603" s="133"/>
      <c r="X1603" s="133"/>
      <c r="Y1603" s="133"/>
      <c r="Z1603" s="133"/>
      <c r="AA1603" s="133"/>
      <c r="AB1603" s="133"/>
      <c r="AC1603" s="133"/>
      <c r="AD1603" s="133"/>
      <c r="AE1603" s="133"/>
      <c r="AF1603" s="133"/>
      <c r="AG1603" s="133"/>
      <c r="AH1603" s="133"/>
      <c r="AI1603" s="133"/>
      <c r="AJ1603" s="133"/>
      <c r="AK1603" s="133"/>
      <c r="AL1603" s="133"/>
      <c r="AM1603" s="133"/>
      <c r="AN1603" s="133"/>
      <c r="AO1603" s="133"/>
      <c r="AP1603" s="133"/>
      <c r="AQ1603" s="133"/>
      <c r="AR1603" s="133"/>
      <c r="AS1603" s="153">
        <v>0</v>
      </c>
      <c r="AT1603" s="153">
        <v>0</v>
      </c>
      <c r="AU1603" s="153">
        <v>0</v>
      </c>
      <c r="AV1603" s="135"/>
      <c r="AW1603" s="135"/>
      <c r="AX1603" s="135"/>
      <c r="AY1603" s="135"/>
      <c r="AZ1603" s="135"/>
      <c r="BA1603" s="135"/>
      <c r="BB1603" s="135"/>
      <c r="BC1603" s="135"/>
      <c r="BD1603" s="135"/>
      <c r="BE1603" s="135"/>
      <c r="BF1603" s="135"/>
      <c r="BG1603" s="135"/>
      <c r="BH1603" s="135"/>
      <c r="BI1603" s="2"/>
      <c r="BJ1603" s="136"/>
      <c r="BK1603" s="2"/>
      <c r="BL1603" s="136"/>
      <c r="BM1603" s="136"/>
      <c r="BN1603" s="2"/>
      <c r="BO1603" s="2"/>
      <c r="BP1603" s="136"/>
      <c r="BQ1603" s="137"/>
    </row>
    <row r="1604" spans="1:69" ht="12.75" customHeight="1" x14ac:dyDescent="0.2">
      <c r="A1604" s="2">
        <v>3093</v>
      </c>
      <c r="B1604" s="2"/>
      <c r="C1604" s="2"/>
      <c r="D1604" s="2"/>
      <c r="E1604" s="2"/>
      <c r="F1604" s="132">
        <v>0</v>
      </c>
      <c r="G1604" s="132"/>
      <c r="H1604" s="132">
        <f t="shared" si="185"/>
        <v>0</v>
      </c>
      <c r="I1604" s="132"/>
      <c r="J1604" s="132">
        <f t="shared" si="183"/>
        <v>0</v>
      </c>
      <c r="K1604" s="132">
        <f t="shared" si="186"/>
        <v>0</v>
      </c>
      <c r="L1604" s="132">
        <f t="shared" si="180"/>
        <v>0</v>
      </c>
      <c r="M1604" s="133"/>
      <c r="N1604" s="133">
        <f t="shared" si="184"/>
        <v>0</v>
      </c>
      <c r="O1604" s="134"/>
      <c r="P1604" s="133"/>
      <c r="Q1604" s="2"/>
      <c r="R1604" s="156">
        <f t="shared" si="181"/>
        <v>0</v>
      </c>
      <c r="S1604" s="156">
        <f t="shared" si="182"/>
        <v>0</v>
      </c>
      <c r="T1604" s="133"/>
      <c r="U1604" s="133"/>
      <c r="V1604" s="133"/>
      <c r="W1604" s="133"/>
      <c r="X1604" s="133"/>
      <c r="Y1604" s="133"/>
      <c r="Z1604" s="133"/>
      <c r="AA1604" s="133"/>
      <c r="AB1604" s="133"/>
      <c r="AC1604" s="133"/>
      <c r="AD1604" s="133"/>
      <c r="AE1604" s="133"/>
      <c r="AF1604" s="133"/>
      <c r="AG1604" s="133"/>
      <c r="AH1604" s="133"/>
      <c r="AI1604" s="133"/>
      <c r="AJ1604" s="133"/>
      <c r="AK1604" s="133"/>
      <c r="AL1604" s="133"/>
      <c r="AM1604" s="133"/>
      <c r="AN1604" s="133"/>
      <c r="AO1604" s="133"/>
      <c r="AP1604" s="133"/>
      <c r="AQ1604" s="133"/>
      <c r="AR1604" s="133"/>
      <c r="AS1604" s="153">
        <v>0</v>
      </c>
      <c r="AT1604" s="153">
        <v>0</v>
      </c>
      <c r="AU1604" s="153">
        <v>0</v>
      </c>
      <c r="AV1604" s="135"/>
      <c r="AW1604" s="135"/>
      <c r="AX1604" s="135"/>
      <c r="AY1604" s="135"/>
      <c r="AZ1604" s="135"/>
      <c r="BA1604" s="135"/>
      <c r="BB1604" s="135"/>
      <c r="BC1604" s="135"/>
      <c r="BD1604" s="135"/>
      <c r="BE1604" s="135"/>
      <c r="BF1604" s="135"/>
      <c r="BG1604" s="135"/>
      <c r="BH1604" s="135"/>
      <c r="BI1604" s="2"/>
      <c r="BJ1604" s="136"/>
      <c r="BK1604" s="2"/>
      <c r="BL1604" s="136"/>
      <c r="BM1604" s="136"/>
      <c r="BN1604" s="2"/>
      <c r="BO1604" s="2"/>
      <c r="BP1604" s="136"/>
      <c r="BQ1604" s="137"/>
    </row>
    <row r="1605" spans="1:69" ht="12.75" customHeight="1" x14ac:dyDescent="0.2">
      <c r="A1605" s="2">
        <v>3094</v>
      </c>
      <c r="B1605" s="2"/>
      <c r="C1605" s="2"/>
      <c r="D1605" s="2"/>
      <c r="E1605" s="2"/>
      <c r="F1605" s="132">
        <v>0</v>
      </c>
      <c r="G1605" s="132"/>
      <c r="H1605" s="132">
        <f t="shared" si="185"/>
        <v>0</v>
      </c>
      <c r="I1605" s="132"/>
      <c r="J1605" s="132">
        <f t="shared" si="183"/>
        <v>0</v>
      </c>
      <c r="K1605" s="132">
        <f t="shared" si="186"/>
        <v>0</v>
      </c>
      <c r="L1605" s="132">
        <f t="shared" si="180"/>
        <v>0</v>
      </c>
      <c r="M1605" s="133"/>
      <c r="N1605" s="133">
        <f t="shared" si="184"/>
        <v>0</v>
      </c>
      <c r="O1605" s="134"/>
      <c r="P1605" s="133"/>
      <c r="Q1605" s="2"/>
      <c r="R1605" s="156">
        <f t="shared" si="181"/>
        <v>0</v>
      </c>
      <c r="S1605" s="156">
        <f t="shared" si="182"/>
        <v>0</v>
      </c>
      <c r="T1605" s="133"/>
      <c r="U1605" s="133"/>
      <c r="V1605" s="133"/>
      <c r="W1605" s="133"/>
      <c r="X1605" s="133"/>
      <c r="Y1605" s="133"/>
      <c r="Z1605" s="133"/>
      <c r="AA1605" s="133"/>
      <c r="AB1605" s="133"/>
      <c r="AC1605" s="133"/>
      <c r="AD1605" s="133"/>
      <c r="AE1605" s="133"/>
      <c r="AF1605" s="133"/>
      <c r="AG1605" s="133"/>
      <c r="AH1605" s="133"/>
      <c r="AI1605" s="133"/>
      <c r="AJ1605" s="133"/>
      <c r="AK1605" s="133"/>
      <c r="AL1605" s="133"/>
      <c r="AM1605" s="133"/>
      <c r="AN1605" s="133"/>
      <c r="AO1605" s="133"/>
      <c r="AP1605" s="133"/>
      <c r="AQ1605" s="133"/>
      <c r="AR1605" s="133"/>
      <c r="AS1605" s="153">
        <v>0</v>
      </c>
      <c r="AT1605" s="153">
        <v>0</v>
      </c>
      <c r="AU1605" s="153">
        <v>0</v>
      </c>
      <c r="AV1605" s="135"/>
      <c r="AW1605" s="135"/>
      <c r="AX1605" s="135"/>
      <c r="AY1605" s="135"/>
      <c r="AZ1605" s="135"/>
      <c r="BA1605" s="135"/>
      <c r="BB1605" s="135"/>
      <c r="BC1605" s="135"/>
      <c r="BD1605" s="135"/>
      <c r="BE1605" s="135"/>
      <c r="BF1605" s="135"/>
      <c r="BG1605" s="135"/>
      <c r="BH1605" s="135"/>
      <c r="BI1605" s="2"/>
      <c r="BJ1605" s="136"/>
      <c r="BK1605" s="2"/>
      <c r="BL1605" s="136"/>
      <c r="BM1605" s="136"/>
      <c r="BN1605" s="2"/>
      <c r="BO1605" s="2"/>
      <c r="BP1605" s="136"/>
      <c r="BQ1605" s="137"/>
    </row>
    <row r="1606" spans="1:69" ht="12.75" customHeight="1" x14ac:dyDescent="0.2">
      <c r="A1606" s="2">
        <v>3095</v>
      </c>
      <c r="B1606" s="2"/>
      <c r="C1606" s="2"/>
      <c r="D1606" s="2"/>
      <c r="E1606" s="2"/>
      <c r="F1606" s="132">
        <v>0</v>
      </c>
      <c r="G1606" s="132"/>
      <c r="H1606" s="132">
        <f t="shared" si="185"/>
        <v>0</v>
      </c>
      <c r="I1606" s="132"/>
      <c r="J1606" s="132">
        <f t="shared" si="183"/>
        <v>0</v>
      </c>
      <c r="K1606" s="132">
        <f t="shared" si="186"/>
        <v>0</v>
      </c>
      <c r="L1606" s="132">
        <f t="shared" si="180"/>
        <v>0</v>
      </c>
      <c r="M1606" s="133"/>
      <c r="N1606" s="133">
        <f t="shared" si="184"/>
        <v>0</v>
      </c>
      <c r="O1606" s="134"/>
      <c r="P1606" s="133"/>
      <c r="Q1606" s="2"/>
      <c r="R1606" s="156">
        <f t="shared" si="181"/>
        <v>0</v>
      </c>
      <c r="S1606" s="156">
        <f t="shared" si="182"/>
        <v>0</v>
      </c>
      <c r="T1606" s="133"/>
      <c r="U1606" s="133"/>
      <c r="V1606" s="133"/>
      <c r="W1606" s="133"/>
      <c r="X1606" s="133"/>
      <c r="Y1606" s="133"/>
      <c r="Z1606" s="133"/>
      <c r="AA1606" s="133"/>
      <c r="AB1606" s="133"/>
      <c r="AC1606" s="133"/>
      <c r="AD1606" s="133"/>
      <c r="AE1606" s="133"/>
      <c r="AF1606" s="133"/>
      <c r="AG1606" s="133"/>
      <c r="AH1606" s="133"/>
      <c r="AI1606" s="133"/>
      <c r="AJ1606" s="133"/>
      <c r="AK1606" s="133"/>
      <c r="AL1606" s="133"/>
      <c r="AM1606" s="133"/>
      <c r="AN1606" s="133"/>
      <c r="AO1606" s="133"/>
      <c r="AP1606" s="133"/>
      <c r="AQ1606" s="133"/>
      <c r="AR1606" s="133"/>
      <c r="AS1606" s="153">
        <v>0</v>
      </c>
      <c r="AT1606" s="153">
        <v>0</v>
      </c>
      <c r="AU1606" s="153">
        <v>0</v>
      </c>
      <c r="AV1606" s="135"/>
      <c r="AW1606" s="135"/>
      <c r="AX1606" s="135"/>
      <c r="AY1606" s="135"/>
      <c r="AZ1606" s="135"/>
      <c r="BA1606" s="135"/>
      <c r="BB1606" s="135"/>
      <c r="BC1606" s="135"/>
      <c r="BD1606" s="135"/>
      <c r="BE1606" s="135"/>
      <c r="BF1606" s="135"/>
      <c r="BG1606" s="135"/>
      <c r="BH1606" s="135"/>
      <c r="BI1606" s="2"/>
      <c r="BJ1606" s="136"/>
      <c r="BK1606" s="2"/>
      <c r="BL1606" s="136"/>
      <c r="BM1606" s="136"/>
      <c r="BN1606" s="2"/>
      <c r="BO1606" s="2"/>
      <c r="BP1606" s="136"/>
      <c r="BQ1606" s="137"/>
    </row>
    <row r="1607" spans="1:69" ht="12.75" customHeight="1" x14ac:dyDescent="0.2">
      <c r="A1607" s="2">
        <v>3096</v>
      </c>
      <c r="B1607" s="2"/>
      <c r="C1607" s="2"/>
      <c r="D1607" s="2"/>
      <c r="E1607" s="2"/>
      <c r="F1607" s="132">
        <v>0</v>
      </c>
      <c r="G1607" s="132"/>
      <c r="H1607" s="132">
        <f t="shared" si="185"/>
        <v>0</v>
      </c>
      <c r="I1607" s="132"/>
      <c r="J1607" s="132">
        <f t="shared" si="183"/>
        <v>0</v>
      </c>
      <c r="K1607" s="132">
        <f t="shared" si="186"/>
        <v>0</v>
      </c>
      <c r="L1607" s="132">
        <f t="shared" si="180"/>
        <v>0</v>
      </c>
      <c r="M1607" s="133"/>
      <c r="N1607" s="133">
        <f t="shared" si="184"/>
        <v>0</v>
      </c>
      <c r="O1607" s="134"/>
      <c r="P1607" s="133"/>
      <c r="Q1607" s="2"/>
      <c r="R1607" s="156">
        <f t="shared" si="181"/>
        <v>0</v>
      </c>
      <c r="S1607" s="156">
        <f t="shared" si="182"/>
        <v>0</v>
      </c>
      <c r="T1607" s="133"/>
      <c r="U1607" s="133"/>
      <c r="V1607" s="133"/>
      <c r="W1607" s="133"/>
      <c r="X1607" s="133"/>
      <c r="Y1607" s="133"/>
      <c r="Z1607" s="133"/>
      <c r="AA1607" s="133"/>
      <c r="AB1607" s="133"/>
      <c r="AC1607" s="133"/>
      <c r="AD1607" s="133"/>
      <c r="AE1607" s="133"/>
      <c r="AF1607" s="133"/>
      <c r="AG1607" s="133"/>
      <c r="AH1607" s="133"/>
      <c r="AI1607" s="133"/>
      <c r="AJ1607" s="133"/>
      <c r="AK1607" s="133"/>
      <c r="AL1607" s="133"/>
      <c r="AM1607" s="133"/>
      <c r="AN1607" s="133"/>
      <c r="AO1607" s="133"/>
      <c r="AP1607" s="133"/>
      <c r="AQ1607" s="133"/>
      <c r="AR1607" s="133"/>
      <c r="AS1607" s="153">
        <v>0</v>
      </c>
      <c r="AT1607" s="153">
        <v>0</v>
      </c>
      <c r="AU1607" s="153">
        <v>0</v>
      </c>
      <c r="AV1607" s="135"/>
      <c r="AW1607" s="135"/>
      <c r="AX1607" s="135"/>
      <c r="AY1607" s="135"/>
      <c r="AZ1607" s="135"/>
      <c r="BA1607" s="135"/>
      <c r="BB1607" s="135"/>
      <c r="BC1607" s="135"/>
      <c r="BD1607" s="135"/>
      <c r="BE1607" s="135"/>
      <c r="BF1607" s="135"/>
      <c r="BG1607" s="135"/>
      <c r="BH1607" s="135"/>
      <c r="BI1607" s="2"/>
      <c r="BJ1607" s="136"/>
      <c r="BK1607" s="2"/>
      <c r="BL1607" s="136"/>
      <c r="BM1607" s="136"/>
      <c r="BN1607" s="2"/>
      <c r="BO1607" s="2"/>
      <c r="BP1607" s="136"/>
      <c r="BQ1607" s="137"/>
    </row>
    <row r="1608" spans="1:69" ht="12.75" customHeight="1" x14ac:dyDescent="0.2">
      <c r="A1608" s="2">
        <v>3097</v>
      </c>
      <c r="B1608" s="2"/>
      <c r="C1608" s="2"/>
      <c r="D1608" s="2"/>
      <c r="E1608" s="2"/>
      <c r="F1608" s="132">
        <v>0</v>
      </c>
      <c r="G1608" s="132"/>
      <c r="H1608" s="132">
        <f t="shared" si="185"/>
        <v>0</v>
      </c>
      <c r="I1608" s="132"/>
      <c r="J1608" s="132">
        <f t="shared" si="183"/>
        <v>0</v>
      </c>
      <c r="K1608" s="132">
        <f t="shared" si="186"/>
        <v>0</v>
      </c>
      <c r="L1608" s="132">
        <f t="shared" si="180"/>
        <v>0</v>
      </c>
      <c r="M1608" s="133"/>
      <c r="N1608" s="133">
        <f t="shared" si="184"/>
        <v>0</v>
      </c>
      <c r="O1608" s="134"/>
      <c r="P1608" s="133"/>
      <c r="Q1608" s="2"/>
      <c r="R1608" s="156">
        <f t="shared" si="181"/>
        <v>0</v>
      </c>
      <c r="S1608" s="156">
        <f t="shared" si="182"/>
        <v>0</v>
      </c>
      <c r="T1608" s="133"/>
      <c r="U1608" s="133"/>
      <c r="V1608" s="133"/>
      <c r="W1608" s="133"/>
      <c r="X1608" s="133"/>
      <c r="Y1608" s="133"/>
      <c r="Z1608" s="133"/>
      <c r="AA1608" s="133"/>
      <c r="AB1608" s="133"/>
      <c r="AC1608" s="133"/>
      <c r="AD1608" s="133"/>
      <c r="AE1608" s="133"/>
      <c r="AF1608" s="133"/>
      <c r="AG1608" s="133"/>
      <c r="AH1608" s="133"/>
      <c r="AI1608" s="133"/>
      <c r="AJ1608" s="133"/>
      <c r="AK1608" s="133"/>
      <c r="AL1608" s="133"/>
      <c r="AM1608" s="133"/>
      <c r="AN1608" s="133"/>
      <c r="AO1608" s="133"/>
      <c r="AP1608" s="133"/>
      <c r="AQ1608" s="133"/>
      <c r="AR1608" s="133"/>
      <c r="AS1608" s="153">
        <v>0</v>
      </c>
      <c r="AT1608" s="153">
        <v>0</v>
      </c>
      <c r="AU1608" s="153">
        <v>0</v>
      </c>
      <c r="AV1608" s="135"/>
      <c r="AW1608" s="135"/>
      <c r="AX1608" s="135"/>
      <c r="AY1608" s="135"/>
      <c r="AZ1608" s="135"/>
      <c r="BA1608" s="135"/>
      <c r="BB1608" s="135"/>
      <c r="BC1608" s="135"/>
      <c r="BD1608" s="135"/>
      <c r="BE1608" s="135"/>
      <c r="BF1608" s="135"/>
      <c r="BG1608" s="135"/>
      <c r="BH1608" s="135"/>
      <c r="BI1608" s="2"/>
      <c r="BJ1608" s="136"/>
      <c r="BK1608" s="2"/>
      <c r="BL1608" s="136"/>
      <c r="BM1608" s="136"/>
      <c r="BN1608" s="2"/>
      <c r="BO1608" s="2"/>
      <c r="BP1608" s="136"/>
      <c r="BQ1608" s="137"/>
    </row>
    <row r="1609" spans="1:69" ht="12.75" customHeight="1" x14ac:dyDescent="0.2">
      <c r="A1609" s="2">
        <v>3098</v>
      </c>
      <c r="B1609" s="2"/>
      <c r="C1609" s="2"/>
      <c r="D1609" s="2"/>
      <c r="E1609" s="2"/>
      <c r="F1609" s="132">
        <v>0</v>
      </c>
      <c r="G1609" s="132"/>
      <c r="H1609" s="132">
        <f t="shared" si="185"/>
        <v>0</v>
      </c>
      <c r="I1609" s="132"/>
      <c r="J1609" s="132">
        <f t="shared" si="183"/>
        <v>0</v>
      </c>
      <c r="K1609" s="132">
        <f t="shared" si="186"/>
        <v>0</v>
      </c>
      <c r="L1609" s="132">
        <f t="shared" si="180"/>
        <v>0</v>
      </c>
      <c r="M1609" s="133"/>
      <c r="N1609" s="133">
        <f t="shared" si="184"/>
        <v>0</v>
      </c>
      <c r="O1609" s="134"/>
      <c r="P1609" s="133"/>
      <c r="Q1609" s="2"/>
      <c r="R1609" s="156">
        <f t="shared" si="181"/>
        <v>0</v>
      </c>
      <c r="S1609" s="156">
        <f t="shared" si="182"/>
        <v>0</v>
      </c>
      <c r="T1609" s="133"/>
      <c r="U1609" s="133"/>
      <c r="V1609" s="133"/>
      <c r="W1609" s="133"/>
      <c r="X1609" s="133"/>
      <c r="Y1609" s="133"/>
      <c r="Z1609" s="133"/>
      <c r="AA1609" s="133"/>
      <c r="AB1609" s="133"/>
      <c r="AC1609" s="133"/>
      <c r="AD1609" s="133"/>
      <c r="AE1609" s="133"/>
      <c r="AF1609" s="133"/>
      <c r="AG1609" s="133"/>
      <c r="AH1609" s="133"/>
      <c r="AI1609" s="133"/>
      <c r="AJ1609" s="133"/>
      <c r="AK1609" s="133"/>
      <c r="AL1609" s="133"/>
      <c r="AM1609" s="133"/>
      <c r="AN1609" s="133"/>
      <c r="AO1609" s="133"/>
      <c r="AP1609" s="133"/>
      <c r="AQ1609" s="133"/>
      <c r="AR1609" s="133"/>
      <c r="AS1609" s="153">
        <v>0</v>
      </c>
      <c r="AT1609" s="153">
        <v>0</v>
      </c>
      <c r="AU1609" s="153">
        <v>0</v>
      </c>
      <c r="AV1609" s="135"/>
      <c r="AW1609" s="135"/>
      <c r="AX1609" s="135"/>
      <c r="AY1609" s="135"/>
      <c r="AZ1609" s="135"/>
      <c r="BA1609" s="135"/>
      <c r="BB1609" s="135"/>
      <c r="BC1609" s="135"/>
      <c r="BD1609" s="135"/>
      <c r="BE1609" s="135"/>
      <c r="BF1609" s="135"/>
      <c r="BG1609" s="135"/>
      <c r="BH1609" s="135"/>
      <c r="BI1609" s="2"/>
      <c r="BJ1609" s="136"/>
      <c r="BK1609" s="2"/>
      <c r="BL1609" s="136"/>
      <c r="BM1609" s="136"/>
      <c r="BN1609" s="2"/>
      <c r="BO1609" s="2"/>
      <c r="BP1609" s="136"/>
      <c r="BQ1609" s="137"/>
    </row>
    <row r="1610" spans="1:69" ht="12.75" customHeight="1" x14ac:dyDescent="0.2">
      <c r="A1610" s="2">
        <v>3099</v>
      </c>
      <c r="B1610" s="2"/>
      <c r="C1610" s="2"/>
      <c r="D1610" s="2"/>
      <c r="E1610" s="2"/>
      <c r="F1610" s="132">
        <v>0</v>
      </c>
      <c r="G1610" s="132"/>
      <c r="H1610" s="132">
        <f t="shared" si="185"/>
        <v>0</v>
      </c>
      <c r="I1610" s="132"/>
      <c r="J1610" s="132">
        <f t="shared" si="183"/>
        <v>0</v>
      </c>
      <c r="K1610" s="132">
        <f t="shared" si="186"/>
        <v>0</v>
      </c>
      <c r="L1610" s="132">
        <f t="shared" si="180"/>
        <v>0</v>
      </c>
      <c r="M1610" s="133"/>
      <c r="N1610" s="133">
        <f t="shared" si="184"/>
        <v>0</v>
      </c>
      <c r="O1610" s="134"/>
      <c r="P1610" s="133"/>
      <c r="Q1610" s="2"/>
      <c r="R1610" s="156">
        <f t="shared" si="181"/>
        <v>0</v>
      </c>
      <c r="S1610" s="156">
        <f t="shared" si="182"/>
        <v>0</v>
      </c>
      <c r="T1610" s="133"/>
      <c r="U1610" s="133"/>
      <c r="V1610" s="133"/>
      <c r="W1610" s="133"/>
      <c r="X1610" s="133"/>
      <c r="Y1610" s="133"/>
      <c r="Z1610" s="133"/>
      <c r="AA1610" s="133"/>
      <c r="AB1610" s="133"/>
      <c r="AC1610" s="133"/>
      <c r="AD1610" s="133"/>
      <c r="AE1610" s="133"/>
      <c r="AF1610" s="133"/>
      <c r="AG1610" s="133"/>
      <c r="AH1610" s="133"/>
      <c r="AI1610" s="133"/>
      <c r="AJ1610" s="133"/>
      <c r="AK1610" s="133"/>
      <c r="AL1610" s="133"/>
      <c r="AM1610" s="133"/>
      <c r="AN1610" s="133"/>
      <c r="AO1610" s="133"/>
      <c r="AP1610" s="133"/>
      <c r="AQ1610" s="133"/>
      <c r="AR1610" s="133"/>
      <c r="AS1610" s="153">
        <v>0</v>
      </c>
      <c r="AT1610" s="153">
        <v>0</v>
      </c>
      <c r="AU1610" s="153">
        <v>0</v>
      </c>
      <c r="AV1610" s="135"/>
      <c r="AW1610" s="135"/>
      <c r="AX1610" s="135"/>
      <c r="AY1610" s="135"/>
      <c r="AZ1610" s="135"/>
      <c r="BA1610" s="135"/>
      <c r="BB1610" s="135"/>
      <c r="BC1610" s="135"/>
      <c r="BD1610" s="135"/>
      <c r="BE1610" s="135"/>
      <c r="BF1610" s="135"/>
      <c r="BG1610" s="135"/>
      <c r="BH1610" s="135"/>
      <c r="BI1610" s="2"/>
      <c r="BJ1610" s="136"/>
      <c r="BK1610" s="2"/>
      <c r="BL1610" s="136"/>
      <c r="BM1610" s="136"/>
      <c r="BN1610" s="2"/>
      <c r="BO1610" s="2"/>
      <c r="BP1610" s="136"/>
      <c r="BQ1610" s="137"/>
    </row>
    <row r="1611" spans="1:69" ht="12.75" customHeight="1" x14ac:dyDescent="0.2">
      <c r="A1611" s="2">
        <v>3100</v>
      </c>
      <c r="B1611" s="2"/>
      <c r="C1611" s="2"/>
      <c r="D1611" s="2"/>
      <c r="E1611" s="2"/>
      <c r="F1611" s="132">
        <v>0</v>
      </c>
      <c r="G1611" s="132"/>
      <c r="H1611" s="132">
        <f t="shared" si="185"/>
        <v>0</v>
      </c>
      <c r="I1611" s="132"/>
      <c r="J1611" s="132">
        <f t="shared" si="183"/>
        <v>0</v>
      </c>
      <c r="K1611" s="132">
        <f t="shared" si="186"/>
        <v>0</v>
      </c>
      <c r="L1611" s="132">
        <f t="shared" ref="L1611:L1674" si="187">H1611-J1611</f>
        <v>0</v>
      </c>
      <c r="M1611" s="133"/>
      <c r="N1611" s="133">
        <f t="shared" si="184"/>
        <v>0</v>
      </c>
      <c r="O1611" s="134"/>
      <c r="P1611" s="133"/>
      <c r="Q1611" s="2"/>
      <c r="R1611" s="156">
        <f t="shared" ref="R1611:R1674" si="188">T1611+V1611+X1611+Z1611+AB1611+AD1611+AF1611+AH1611+AJ1611+AL1611+AN1611+AP1611</f>
        <v>0</v>
      </c>
      <c r="S1611" s="156">
        <f t="shared" ref="S1611:S1674" si="189">U1611+W1611+Y1611+AA1611+AC1611+AE1611+AG1611+AI1611+AK1611+AM1611+AO1611+AQ1611</f>
        <v>0</v>
      </c>
      <c r="T1611" s="133"/>
      <c r="U1611" s="133"/>
      <c r="V1611" s="133"/>
      <c r="W1611" s="133"/>
      <c r="X1611" s="133"/>
      <c r="Y1611" s="133"/>
      <c r="Z1611" s="133"/>
      <c r="AA1611" s="133"/>
      <c r="AB1611" s="133"/>
      <c r="AC1611" s="133"/>
      <c r="AD1611" s="133"/>
      <c r="AE1611" s="133"/>
      <c r="AF1611" s="133"/>
      <c r="AG1611" s="133"/>
      <c r="AH1611" s="133"/>
      <c r="AI1611" s="133"/>
      <c r="AJ1611" s="133"/>
      <c r="AK1611" s="133"/>
      <c r="AL1611" s="133"/>
      <c r="AM1611" s="133"/>
      <c r="AN1611" s="133"/>
      <c r="AO1611" s="133"/>
      <c r="AP1611" s="133"/>
      <c r="AQ1611" s="133"/>
      <c r="AR1611" s="133"/>
      <c r="AS1611" s="153">
        <v>0</v>
      </c>
      <c r="AT1611" s="153">
        <v>0</v>
      </c>
      <c r="AU1611" s="153">
        <v>0</v>
      </c>
      <c r="AV1611" s="135"/>
      <c r="AW1611" s="135"/>
      <c r="AX1611" s="135"/>
      <c r="AY1611" s="135"/>
      <c r="AZ1611" s="135"/>
      <c r="BA1611" s="135"/>
      <c r="BB1611" s="135"/>
      <c r="BC1611" s="135"/>
      <c r="BD1611" s="135"/>
      <c r="BE1611" s="135"/>
      <c r="BF1611" s="135"/>
      <c r="BG1611" s="135"/>
      <c r="BH1611" s="135"/>
      <c r="BI1611" s="2"/>
      <c r="BJ1611" s="136"/>
      <c r="BK1611" s="2"/>
      <c r="BL1611" s="136"/>
      <c r="BM1611" s="136"/>
      <c r="BN1611" s="2"/>
      <c r="BO1611" s="2"/>
      <c r="BP1611" s="136"/>
      <c r="BQ1611" s="137"/>
    </row>
    <row r="1612" spans="1:69" ht="12.75" customHeight="1" x14ac:dyDescent="0.2">
      <c r="A1612" s="2">
        <v>3101</v>
      </c>
      <c r="B1612" s="2"/>
      <c r="C1612" s="2"/>
      <c r="D1612" s="2"/>
      <c r="E1612" s="2"/>
      <c r="F1612" s="132">
        <v>0</v>
      </c>
      <c r="G1612" s="132"/>
      <c r="H1612" s="132">
        <f t="shared" si="185"/>
        <v>0</v>
      </c>
      <c r="I1612" s="132"/>
      <c r="J1612" s="132">
        <f t="shared" si="183"/>
        <v>0</v>
      </c>
      <c r="K1612" s="132">
        <f t="shared" si="186"/>
        <v>0</v>
      </c>
      <c r="L1612" s="132">
        <f t="shared" si="187"/>
        <v>0</v>
      </c>
      <c r="M1612" s="133"/>
      <c r="N1612" s="133">
        <f t="shared" si="184"/>
        <v>0</v>
      </c>
      <c r="O1612" s="134"/>
      <c r="P1612" s="133"/>
      <c r="Q1612" s="2"/>
      <c r="R1612" s="156">
        <f t="shared" si="188"/>
        <v>0</v>
      </c>
      <c r="S1612" s="156">
        <f t="shared" si="189"/>
        <v>0</v>
      </c>
      <c r="T1612" s="133"/>
      <c r="U1612" s="133"/>
      <c r="V1612" s="133"/>
      <c r="W1612" s="133"/>
      <c r="X1612" s="133"/>
      <c r="Y1612" s="133"/>
      <c r="Z1612" s="133"/>
      <c r="AA1612" s="133"/>
      <c r="AB1612" s="133"/>
      <c r="AC1612" s="133"/>
      <c r="AD1612" s="133"/>
      <c r="AE1612" s="133"/>
      <c r="AF1612" s="133"/>
      <c r="AG1612" s="133"/>
      <c r="AH1612" s="133"/>
      <c r="AI1612" s="133"/>
      <c r="AJ1612" s="133"/>
      <c r="AK1612" s="133"/>
      <c r="AL1612" s="133"/>
      <c r="AM1612" s="133"/>
      <c r="AN1612" s="133"/>
      <c r="AO1612" s="133"/>
      <c r="AP1612" s="133"/>
      <c r="AQ1612" s="133"/>
      <c r="AR1612" s="133"/>
      <c r="AS1612" s="153">
        <v>0</v>
      </c>
      <c r="AT1612" s="153">
        <v>0</v>
      </c>
      <c r="AU1612" s="153">
        <v>0</v>
      </c>
      <c r="AV1612" s="135"/>
      <c r="AW1612" s="135"/>
      <c r="AX1612" s="135"/>
      <c r="AY1612" s="135"/>
      <c r="AZ1612" s="135"/>
      <c r="BA1612" s="135"/>
      <c r="BB1612" s="135"/>
      <c r="BC1612" s="135"/>
      <c r="BD1612" s="135"/>
      <c r="BE1612" s="135"/>
      <c r="BF1612" s="135"/>
      <c r="BG1612" s="135"/>
      <c r="BH1612" s="135"/>
      <c r="BI1612" s="2"/>
      <c r="BJ1612" s="136"/>
      <c r="BK1612" s="2"/>
      <c r="BL1612" s="136"/>
      <c r="BM1612" s="136"/>
      <c r="BN1612" s="2"/>
      <c r="BO1612" s="2"/>
      <c r="BP1612" s="136"/>
      <c r="BQ1612" s="137"/>
    </row>
    <row r="1613" spans="1:69" ht="12.75" customHeight="1" x14ac:dyDescent="0.2">
      <c r="A1613" s="2">
        <v>3102</v>
      </c>
      <c r="B1613" s="2"/>
      <c r="C1613" s="2"/>
      <c r="D1613" s="2"/>
      <c r="E1613" s="2"/>
      <c r="F1613" s="132">
        <v>0</v>
      </c>
      <c r="G1613" s="132"/>
      <c r="H1613" s="132">
        <f t="shared" si="185"/>
        <v>0</v>
      </c>
      <c r="I1613" s="132"/>
      <c r="J1613" s="132">
        <f t="shared" si="183"/>
        <v>0</v>
      </c>
      <c r="K1613" s="132">
        <f t="shared" si="186"/>
        <v>0</v>
      </c>
      <c r="L1613" s="132">
        <f t="shared" si="187"/>
        <v>0</v>
      </c>
      <c r="M1613" s="133"/>
      <c r="N1613" s="133">
        <f t="shared" si="184"/>
        <v>0</v>
      </c>
      <c r="O1613" s="134"/>
      <c r="P1613" s="133"/>
      <c r="Q1613" s="2"/>
      <c r="R1613" s="156">
        <f t="shared" si="188"/>
        <v>0</v>
      </c>
      <c r="S1613" s="156">
        <f t="shared" si="189"/>
        <v>0</v>
      </c>
      <c r="T1613" s="133"/>
      <c r="U1613" s="133"/>
      <c r="V1613" s="133"/>
      <c r="W1613" s="133"/>
      <c r="X1613" s="133"/>
      <c r="Y1613" s="133"/>
      <c r="Z1613" s="133"/>
      <c r="AA1613" s="133"/>
      <c r="AB1613" s="133"/>
      <c r="AC1613" s="133"/>
      <c r="AD1613" s="133"/>
      <c r="AE1613" s="133"/>
      <c r="AF1613" s="133"/>
      <c r="AG1613" s="133"/>
      <c r="AH1613" s="133"/>
      <c r="AI1613" s="133"/>
      <c r="AJ1613" s="133"/>
      <c r="AK1613" s="133"/>
      <c r="AL1613" s="133"/>
      <c r="AM1613" s="133"/>
      <c r="AN1613" s="133"/>
      <c r="AO1613" s="133"/>
      <c r="AP1613" s="133"/>
      <c r="AQ1613" s="133"/>
      <c r="AR1613" s="133"/>
      <c r="AS1613" s="153">
        <v>0</v>
      </c>
      <c r="AT1613" s="153">
        <v>0</v>
      </c>
      <c r="AU1613" s="153">
        <v>0</v>
      </c>
      <c r="AV1613" s="135"/>
      <c r="AW1613" s="135"/>
      <c r="AX1613" s="135"/>
      <c r="AY1613" s="135"/>
      <c r="AZ1613" s="135"/>
      <c r="BA1613" s="135"/>
      <c r="BB1613" s="135"/>
      <c r="BC1613" s="135"/>
      <c r="BD1613" s="135"/>
      <c r="BE1613" s="135"/>
      <c r="BF1613" s="135"/>
      <c r="BG1613" s="135"/>
      <c r="BH1613" s="135"/>
      <c r="BI1613" s="2"/>
      <c r="BJ1613" s="136"/>
      <c r="BK1613" s="2"/>
      <c r="BL1613" s="136"/>
      <c r="BM1613" s="136"/>
      <c r="BN1613" s="2"/>
      <c r="BO1613" s="2"/>
      <c r="BP1613" s="136"/>
      <c r="BQ1613" s="137"/>
    </row>
    <row r="1614" spans="1:69" ht="12.75" customHeight="1" x14ac:dyDescent="0.2">
      <c r="A1614" s="2">
        <v>3103</v>
      </c>
      <c r="B1614" s="2"/>
      <c r="C1614" s="2"/>
      <c r="D1614" s="2"/>
      <c r="E1614" s="2"/>
      <c r="F1614" s="132">
        <v>0</v>
      </c>
      <c r="G1614" s="132"/>
      <c r="H1614" s="132">
        <f t="shared" si="185"/>
        <v>0</v>
      </c>
      <c r="I1614" s="132"/>
      <c r="J1614" s="132">
        <f t="shared" si="183"/>
        <v>0</v>
      </c>
      <c r="K1614" s="132">
        <f t="shared" si="186"/>
        <v>0</v>
      </c>
      <c r="L1614" s="132">
        <f t="shared" si="187"/>
        <v>0</v>
      </c>
      <c r="M1614" s="133"/>
      <c r="N1614" s="133">
        <f t="shared" si="184"/>
        <v>0</v>
      </c>
      <c r="O1614" s="134"/>
      <c r="P1614" s="133"/>
      <c r="Q1614" s="2"/>
      <c r="R1614" s="156">
        <f t="shared" si="188"/>
        <v>0</v>
      </c>
      <c r="S1614" s="156">
        <f t="shared" si="189"/>
        <v>0</v>
      </c>
      <c r="T1614" s="133"/>
      <c r="U1614" s="133"/>
      <c r="V1614" s="133"/>
      <c r="W1614" s="133"/>
      <c r="X1614" s="133"/>
      <c r="Y1614" s="133"/>
      <c r="Z1614" s="133"/>
      <c r="AA1614" s="133"/>
      <c r="AB1614" s="133"/>
      <c r="AC1614" s="133"/>
      <c r="AD1614" s="133"/>
      <c r="AE1614" s="133"/>
      <c r="AF1614" s="133"/>
      <c r="AG1614" s="133"/>
      <c r="AH1614" s="133"/>
      <c r="AI1614" s="133"/>
      <c r="AJ1614" s="133"/>
      <c r="AK1614" s="133"/>
      <c r="AL1614" s="133"/>
      <c r="AM1614" s="133"/>
      <c r="AN1614" s="133"/>
      <c r="AO1614" s="133"/>
      <c r="AP1614" s="133"/>
      <c r="AQ1614" s="133"/>
      <c r="AR1614" s="133"/>
      <c r="AS1614" s="153">
        <v>0</v>
      </c>
      <c r="AT1614" s="153">
        <v>0</v>
      </c>
      <c r="AU1614" s="153">
        <v>0</v>
      </c>
      <c r="AV1614" s="135"/>
      <c r="AW1614" s="135"/>
      <c r="AX1614" s="135"/>
      <c r="AY1614" s="135"/>
      <c r="AZ1614" s="135"/>
      <c r="BA1614" s="135"/>
      <c r="BB1614" s="135"/>
      <c r="BC1614" s="135"/>
      <c r="BD1614" s="135"/>
      <c r="BE1614" s="135"/>
      <c r="BF1614" s="135"/>
      <c r="BG1614" s="135"/>
      <c r="BH1614" s="135"/>
      <c r="BI1614" s="2"/>
      <c r="BJ1614" s="136"/>
      <c r="BK1614" s="2"/>
      <c r="BL1614" s="136"/>
      <c r="BM1614" s="136"/>
      <c r="BN1614" s="2"/>
      <c r="BO1614" s="2"/>
      <c r="BP1614" s="136"/>
      <c r="BQ1614" s="137"/>
    </row>
    <row r="1615" spans="1:69" ht="12.75" customHeight="1" x14ac:dyDescent="0.2">
      <c r="A1615" s="2">
        <v>3104</v>
      </c>
      <c r="B1615" s="2"/>
      <c r="C1615" s="2"/>
      <c r="D1615" s="2"/>
      <c r="E1615" s="2"/>
      <c r="F1615" s="132">
        <v>0</v>
      </c>
      <c r="G1615" s="132"/>
      <c r="H1615" s="132">
        <f t="shared" si="185"/>
        <v>0</v>
      </c>
      <c r="I1615" s="132"/>
      <c r="J1615" s="132">
        <f t="shared" si="183"/>
        <v>0</v>
      </c>
      <c r="K1615" s="132">
        <f t="shared" si="186"/>
        <v>0</v>
      </c>
      <c r="L1615" s="132">
        <f t="shared" si="187"/>
        <v>0</v>
      </c>
      <c r="M1615" s="133"/>
      <c r="N1615" s="133">
        <f t="shared" si="184"/>
        <v>0</v>
      </c>
      <c r="O1615" s="134"/>
      <c r="P1615" s="133"/>
      <c r="Q1615" s="2"/>
      <c r="R1615" s="156">
        <f t="shared" si="188"/>
        <v>0</v>
      </c>
      <c r="S1615" s="156">
        <f t="shared" si="189"/>
        <v>0</v>
      </c>
      <c r="T1615" s="133"/>
      <c r="U1615" s="133"/>
      <c r="V1615" s="133"/>
      <c r="W1615" s="133"/>
      <c r="X1615" s="133"/>
      <c r="Y1615" s="133"/>
      <c r="Z1615" s="133"/>
      <c r="AA1615" s="133"/>
      <c r="AB1615" s="133"/>
      <c r="AC1615" s="133"/>
      <c r="AD1615" s="133"/>
      <c r="AE1615" s="133"/>
      <c r="AF1615" s="133"/>
      <c r="AG1615" s="133"/>
      <c r="AH1615" s="133"/>
      <c r="AI1615" s="133"/>
      <c r="AJ1615" s="133"/>
      <c r="AK1615" s="133"/>
      <c r="AL1615" s="133"/>
      <c r="AM1615" s="133"/>
      <c r="AN1615" s="133"/>
      <c r="AO1615" s="133"/>
      <c r="AP1615" s="133"/>
      <c r="AQ1615" s="133"/>
      <c r="AR1615" s="133"/>
      <c r="AS1615" s="153">
        <v>0</v>
      </c>
      <c r="AT1615" s="153">
        <v>0</v>
      </c>
      <c r="AU1615" s="153">
        <v>0</v>
      </c>
      <c r="AV1615" s="135"/>
      <c r="AW1615" s="135"/>
      <c r="AX1615" s="135"/>
      <c r="AY1615" s="135"/>
      <c r="AZ1615" s="135"/>
      <c r="BA1615" s="135"/>
      <c r="BB1615" s="135"/>
      <c r="BC1615" s="135"/>
      <c r="BD1615" s="135"/>
      <c r="BE1615" s="135"/>
      <c r="BF1615" s="135"/>
      <c r="BG1615" s="135"/>
      <c r="BH1615" s="135"/>
      <c r="BI1615" s="2"/>
      <c r="BJ1615" s="136"/>
      <c r="BK1615" s="2"/>
      <c r="BL1615" s="136"/>
      <c r="BM1615" s="136"/>
      <c r="BN1615" s="2"/>
      <c r="BO1615" s="2"/>
      <c r="BP1615" s="136"/>
      <c r="BQ1615" s="137"/>
    </row>
    <row r="1616" spans="1:69" ht="12.75" customHeight="1" x14ac:dyDescent="0.2">
      <c r="A1616" s="2">
        <v>3105</v>
      </c>
      <c r="B1616" s="2"/>
      <c r="C1616" s="2"/>
      <c r="D1616" s="2"/>
      <c r="E1616" s="2"/>
      <c r="F1616" s="132">
        <v>0</v>
      </c>
      <c r="G1616" s="132"/>
      <c r="H1616" s="132">
        <f t="shared" si="185"/>
        <v>0</v>
      </c>
      <c r="I1616" s="132"/>
      <c r="J1616" s="132">
        <f t="shared" si="183"/>
        <v>0</v>
      </c>
      <c r="K1616" s="132">
        <f t="shared" si="186"/>
        <v>0</v>
      </c>
      <c r="L1616" s="132">
        <f t="shared" si="187"/>
        <v>0</v>
      </c>
      <c r="M1616" s="133"/>
      <c r="N1616" s="133">
        <f t="shared" si="184"/>
        <v>0</v>
      </c>
      <c r="O1616" s="134"/>
      <c r="P1616" s="133"/>
      <c r="Q1616" s="2"/>
      <c r="R1616" s="156">
        <f t="shared" si="188"/>
        <v>0</v>
      </c>
      <c r="S1616" s="156">
        <f t="shared" si="189"/>
        <v>0</v>
      </c>
      <c r="T1616" s="133"/>
      <c r="U1616" s="133"/>
      <c r="V1616" s="133"/>
      <c r="W1616" s="133"/>
      <c r="X1616" s="133"/>
      <c r="Y1616" s="133"/>
      <c r="Z1616" s="133"/>
      <c r="AA1616" s="133"/>
      <c r="AB1616" s="133"/>
      <c r="AC1616" s="133"/>
      <c r="AD1616" s="133"/>
      <c r="AE1616" s="133"/>
      <c r="AF1616" s="133"/>
      <c r="AG1616" s="133"/>
      <c r="AH1616" s="133"/>
      <c r="AI1616" s="133"/>
      <c r="AJ1616" s="133"/>
      <c r="AK1616" s="133"/>
      <c r="AL1616" s="133"/>
      <c r="AM1616" s="133"/>
      <c r="AN1616" s="133"/>
      <c r="AO1616" s="133"/>
      <c r="AP1616" s="133"/>
      <c r="AQ1616" s="133"/>
      <c r="AR1616" s="133"/>
      <c r="AS1616" s="153">
        <v>0</v>
      </c>
      <c r="AT1616" s="153">
        <v>0</v>
      </c>
      <c r="AU1616" s="153">
        <v>0</v>
      </c>
      <c r="AV1616" s="135"/>
      <c r="AW1616" s="135"/>
      <c r="AX1616" s="135"/>
      <c r="AY1616" s="135"/>
      <c r="AZ1616" s="135"/>
      <c r="BA1616" s="135"/>
      <c r="BB1616" s="135"/>
      <c r="BC1616" s="135"/>
      <c r="BD1616" s="135"/>
      <c r="BE1616" s="135"/>
      <c r="BF1616" s="135"/>
      <c r="BG1616" s="135"/>
      <c r="BH1616" s="135"/>
      <c r="BI1616" s="2"/>
      <c r="BJ1616" s="136"/>
      <c r="BK1616" s="2"/>
      <c r="BL1616" s="136"/>
      <c r="BM1616" s="136"/>
      <c r="BN1616" s="2"/>
      <c r="BO1616" s="2"/>
      <c r="BP1616" s="136"/>
      <c r="BQ1616" s="137"/>
    </row>
    <row r="1617" spans="1:69" ht="12.75" customHeight="1" x14ac:dyDescent="0.2">
      <c r="A1617" s="2">
        <v>3106</v>
      </c>
      <c r="B1617" s="2"/>
      <c r="C1617" s="2"/>
      <c r="D1617" s="2"/>
      <c r="E1617" s="2"/>
      <c r="F1617" s="132">
        <v>0</v>
      </c>
      <c r="G1617" s="132"/>
      <c r="H1617" s="132">
        <f t="shared" si="185"/>
        <v>0</v>
      </c>
      <c r="I1617" s="132"/>
      <c r="J1617" s="132">
        <f t="shared" si="183"/>
        <v>0</v>
      </c>
      <c r="K1617" s="132">
        <f t="shared" si="186"/>
        <v>0</v>
      </c>
      <c r="L1617" s="132">
        <f t="shared" si="187"/>
        <v>0</v>
      </c>
      <c r="M1617" s="133"/>
      <c r="N1617" s="133">
        <f t="shared" si="184"/>
        <v>0</v>
      </c>
      <c r="O1617" s="134"/>
      <c r="P1617" s="133"/>
      <c r="Q1617" s="2"/>
      <c r="R1617" s="156">
        <f t="shared" si="188"/>
        <v>0</v>
      </c>
      <c r="S1617" s="156">
        <f t="shared" si="189"/>
        <v>0</v>
      </c>
      <c r="T1617" s="133"/>
      <c r="U1617" s="133"/>
      <c r="V1617" s="133"/>
      <c r="W1617" s="133"/>
      <c r="X1617" s="133"/>
      <c r="Y1617" s="133"/>
      <c r="Z1617" s="133"/>
      <c r="AA1617" s="133"/>
      <c r="AB1617" s="133"/>
      <c r="AC1617" s="133"/>
      <c r="AD1617" s="133"/>
      <c r="AE1617" s="133"/>
      <c r="AF1617" s="133"/>
      <c r="AG1617" s="133"/>
      <c r="AH1617" s="133"/>
      <c r="AI1617" s="133"/>
      <c r="AJ1617" s="133"/>
      <c r="AK1617" s="133"/>
      <c r="AL1617" s="133"/>
      <c r="AM1617" s="133"/>
      <c r="AN1617" s="133"/>
      <c r="AO1617" s="133"/>
      <c r="AP1617" s="133"/>
      <c r="AQ1617" s="133"/>
      <c r="AR1617" s="133"/>
      <c r="AS1617" s="153">
        <v>0</v>
      </c>
      <c r="AT1617" s="153">
        <v>0</v>
      </c>
      <c r="AU1617" s="153">
        <v>0</v>
      </c>
      <c r="AV1617" s="135"/>
      <c r="AW1617" s="135"/>
      <c r="AX1617" s="135"/>
      <c r="AY1617" s="135"/>
      <c r="AZ1617" s="135"/>
      <c r="BA1617" s="135"/>
      <c r="BB1617" s="135"/>
      <c r="BC1617" s="135"/>
      <c r="BD1617" s="135"/>
      <c r="BE1617" s="135"/>
      <c r="BF1617" s="135"/>
      <c r="BG1617" s="135"/>
      <c r="BH1617" s="135"/>
      <c r="BI1617" s="2"/>
      <c r="BJ1617" s="136"/>
      <c r="BK1617" s="2"/>
      <c r="BL1617" s="136"/>
      <c r="BM1617" s="136"/>
      <c r="BN1617" s="2"/>
      <c r="BO1617" s="2"/>
      <c r="BP1617" s="136"/>
      <c r="BQ1617" s="137"/>
    </row>
    <row r="1618" spans="1:69" ht="12.75" customHeight="1" x14ac:dyDescent="0.2">
      <c r="A1618" s="2">
        <v>3107</v>
      </c>
      <c r="B1618" s="2"/>
      <c r="C1618" s="2"/>
      <c r="D1618" s="2"/>
      <c r="E1618" s="2"/>
      <c r="F1618" s="132">
        <v>0</v>
      </c>
      <c r="G1618" s="132"/>
      <c r="H1618" s="132">
        <f t="shared" si="185"/>
        <v>0</v>
      </c>
      <c r="I1618" s="132"/>
      <c r="J1618" s="132">
        <f t="shared" si="183"/>
        <v>0</v>
      </c>
      <c r="K1618" s="132">
        <f t="shared" si="186"/>
        <v>0</v>
      </c>
      <c r="L1618" s="132">
        <f t="shared" si="187"/>
        <v>0</v>
      </c>
      <c r="M1618" s="133"/>
      <c r="N1618" s="133">
        <f t="shared" si="184"/>
        <v>0</v>
      </c>
      <c r="O1618" s="134"/>
      <c r="P1618" s="133"/>
      <c r="Q1618" s="2"/>
      <c r="R1618" s="156">
        <f t="shared" si="188"/>
        <v>0</v>
      </c>
      <c r="S1618" s="156">
        <f t="shared" si="189"/>
        <v>0</v>
      </c>
      <c r="T1618" s="133"/>
      <c r="U1618" s="133"/>
      <c r="V1618" s="133"/>
      <c r="W1618" s="133"/>
      <c r="X1618" s="133"/>
      <c r="Y1618" s="133"/>
      <c r="Z1618" s="133"/>
      <c r="AA1618" s="133"/>
      <c r="AB1618" s="133"/>
      <c r="AC1618" s="133"/>
      <c r="AD1618" s="133"/>
      <c r="AE1618" s="133"/>
      <c r="AF1618" s="133"/>
      <c r="AG1618" s="133"/>
      <c r="AH1618" s="133"/>
      <c r="AI1618" s="133"/>
      <c r="AJ1618" s="133"/>
      <c r="AK1618" s="133"/>
      <c r="AL1618" s="133"/>
      <c r="AM1618" s="133"/>
      <c r="AN1618" s="133"/>
      <c r="AO1618" s="133"/>
      <c r="AP1618" s="133"/>
      <c r="AQ1618" s="133"/>
      <c r="AR1618" s="133"/>
      <c r="AS1618" s="153">
        <v>0</v>
      </c>
      <c r="AT1618" s="153">
        <v>0</v>
      </c>
      <c r="AU1618" s="153">
        <v>0</v>
      </c>
      <c r="AV1618" s="135"/>
      <c r="AW1618" s="135"/>
      <c r="AX1618" s="135"/>
      <c r="AY1618" s="135"/>
      <c r="AZ1618" s="135"/>
      <c r="BA1618" s="135"/>
      <c r="BB1618" s="135"/>
      <c r="BC1618" s="135"/>
      <c r="BD1618" s="135"/>
      <c r="BE1618" s="135"/>
      <c r="BF1618" s="135"/>
      <c r="BG1618" s="135"/>
      <c r="BH1618" s="135"/>
      <c r="BI1618" s="2"/>
      <c r="BJ1618" s="136"/>
      <c r="BK1618" s="2"/>
      <c r="BL1618" s="136"/>
      <c r="BM1618" s="136"/>
      <c r="BN1618" s="2"/>
      <c r="BO1618" s="2"/>
      <c r="BP1618" s="136"/>
      <c r="BQ1618" s="137"/>
    </row>
    <row r="1619" spans="1:69" ht="12.75" customHeight="1" x14ac:dyDescent="0.2">
      <c r="A1619" s="2">
        <v>3108</v>
      </c>
      <c r="B1619" s="2"/>
      <c r="C1619" s="2"/>
      <c r="D1619" s="2"/>
      <c r="E1619" s="2"/>
      <c r="F1619" s="132">
        <v>0</v>
      </c>
      <c r="G1619" s="132"/>
      <c r="H1619" s="132">
        <f t="shared" si="185"/>
        <v>0</v>
      </c>
      <c r="I1619" s="132"/>
      <c r="J1619" s="132">
        <f t="shared" si="183"/>
        <v>0</v>
      </c>
      <c r="K1619" s="132">
        <f t="shared" si="186"/>
        <v>0</v>
      </c>
      <c r="L1619" s="132">
        <f t="shared" si="187"/>
        <v>0</v>
      </c>
      <c r="M1619" s="133"/>
      <c r="N1619" s="133">
        <f t="shared" si="184"/>
        <v>0</v>
      </c>
      <c r="O1619" s="134"/>
      <c r="P1619" s="133"/>
      <c r="Q1619" s="2"/>
      <c r="R1619" s="156">
        <f t="shared" si="188"/>
        <v>0</v>
      </c>
      <c r="S1619" s="156">
        <f t="shared" si="189"/>
        <v>0</v>
      </c>
      <c r="T1619" s="133"/>
      <c r="U1619" s="133"/>
      <c r="V1619" s="133"/>
      <c r="W1619" s="133"/>
      <c r="X1619" s="133"/>
      <c r="Y1619" s="133"/>
      <c r="Z1619" s="133"/>
      <c r="AA1619" s="133"/>
      <c r="AB1619" s="133"/>
      <c r="AC1619" s="133"/>
      <c r="AD1619" s="133"/>
      <c r="AE1619" s="133"/>
      <c r="AF1619" s="133"/>
      <c r="AG1619" s="133"/>
      <c r="AH1619" s="133"/>
      <c r="AI1619" s="133"/>
      <c r="AJ1619" s="133"/>
      <c r="AK1619" s="133"/>
      <c r="AL1619" s="133"/>
      <c r="AM1619" s="133"/>
      <c r="AN1619" s="133"/>
      <c r="AO1619" s="133"/>
      <c r="AP1619" s="133"/>
      <c r="AQ1619" s="133"/>
      <c r="AR1619" s="133"/>
      <c r="AS1619" s="153">
        <v>0</v>
      </c>
      <c r="AT1619" s="153">
        <v>0</v>
      </c>
      <c r="AU1619" s="153">
        <v>0</v>
      </c>
      <c r="AV1619" s="135"/>
      <c r="AW1619" s="135"/>
      <c r="AX1619" s="135"/>
      <c r="AY1619" s="135"/>
      <c r="AZ1619" s="135"/>
      <c r="BA1619" s="135"/>
      <c r="BB1619" s="135"/>
      <c r="BC1619" s="135"/>
      <c r="BD1619" s="135"/>
      <c r="BE1619" s="135"/>
      <c r="BF1619" s="135"/>
      <c r="BG1619" s="135"/>
      <c r="BH1619" s="135"/>
      <c r="BI1619" s="2"/>
      <c r="BJ1619" s="136"/>
      <c r="BK1619" s="2"/>
      <c r="BL1619" s="136"/>
      <c r="BM1619" s="136"/>
      <c r="BN1619" s="2"/>
      <c r="BO1619" s="2"/>
      <c r="BP1619" s="136"/>
      <c r="BQ1619" s="137"/>
    </row>
    <row r="1620" spans="1:69" ht="12.75" customHeight="1" x14ac:dyDescent="0.2">
      <c r="A1620" s="2">
        <v>3109</v>
      </c>
      <c r="B1620" s="2"/>
      <c r="C1620" s="2"/>
      <c r="D1620" s="2"/>
      <c r="E1620" s="2"/>
      <c r="F1620" s="132">
        <v>0</v>
      </c>
      <c r="G1620" s="132"/>
      <c r="H1620" s="132">
        <f t="shared" si="185"/>
        <v>0</v>
      </c>
      <c r="I1620" s="132"/>
      <c r="J1620" s="132">
        <f t="shared" si="183"/>
        <v>0</v>
      </c>
      <c r="K1620" s="132">
        <f t="shared" si="186"/>
        <v>0</v>
      </c>
      <c r="L1620" s="132">
        <f t="shared" si="187"/>
        <v>0</v>
      </c>
      <c r="M1620" s="133"/>
      <c r="N1620" s="133">
        <f t="shared" si="184"/>
        <v>0</v>
      </c>
      <c r="O1620" s="134"/>
      <c r="P1620" s="133"/>
      <c r="Q1620" s="2"/>
      <c r="R1620" s="156">
        <f t="shared" si="188"/>
        <v>0</v>
      </c>
      <c r="S1620" s="156">
        <f t="shared" si="189"/>
        <v>0</v>
      </c>
      <c r="T1620" s="133"/>
      <c r="U1620" s="133"/>
      <c r="V1620" s="133"/>
      <c r="W1620" s="133"/>
      <c r="X1620" s="133"/>
      <c r="Y1620" s="133"/>
      <c r="Z1620" s="133"/>
      <c r="AA1620" s="133"/>
      <c r="AB1620" s="133"/>
      <c r="AC1620" s="133"/>
      <c r="AD1620" s="133"/>
      <c r="AE1620" s="133"/>
      <c r="AF1620" s="133"/>
      <c r="AG1620" s="133"/>
      <c r="AH1620" s="133"/>
      <c r="AI1620" s="133"/>
      <c r="AJ1620" s="133"/>
      <c r="AK1620" s="133"/>
      <c r="AL1620" s="133"/>
      <c r="AM1620" s="133"/>
      <c r="AN1620" s="133"/>
      <c r="AO1620" s="133"/>
      <c r="AP1620" s="133"/>
      <c r="AQ1620" s="133"/>
      <c r="AR1620" s="133"/>
      <c r="AS1620" s="153">
        <v>0</v>
      </c>
      <c r="AT1620" s="153">
        <v>0</v>
      </c>
      <c r="AU1620" s="153">
        <v>0</v>
      </c>
      <c r="AV1620" s="135"/>
      <c r="AW1620" s="135"/>
      <c r="AX1620" s="135"/>
      <c r="AY1620" s="135"/>
      <c r="AZ1620" s="135"/>
      <c r="BA1620" s="135"/>
      <c r="BB1620" s="135"/>
      <c r="BC1620" s="135"/>
      <c r="BD1620" s="135"/>
      <c r="BE1620" s="135"/>
      <c r="BF1620" s="135"/>
      <c r="BG1620" s="135"/>
      <c r="BH1620" s="135"/>
      <c r="BI1620" s="2"/>
      <c r="BJ1620" s="136"/>
      <c r="BK1620" s="2"/>
      <c r="BL1620" s="136"/>
      <c r="BM1620" s="136"/>
      <c r="BN1620" s="2"/>
      <c r="BO1620" s="2"/>
      <c r="BP1620" s="136"/>
      <c r="BQ1620" s="137"/>
    </row>
    <row r="1621" spans="1:69" ht="12.75" customHeight="1" x14ac:dyDescent="0.2">
      <c r="A1621" s="2">
        <v>3110</v>
      </c>
      <c r="B1621" s="2"/>
      <c r="C1621" s="2"/>
      <c r="D1621" s="2"/>
      <c r="E1621" s="2"/>
      <c r="F1621" s="132">
        <v>0</v>
      </c>
      <c r="G1621" s="132"/>
      <c r="H1621" s="132">
        <f t="shared" si="185"/>
        <v>0</v>
      </c>
      <c r="I1621" s="132"/>
      <c r="J1621" s="132">
        <f t="shared" si="183"/>
        <v>0</v>
      </c>
      <c r="K1621" s="132">
        <f t="shared" si="186"/>
        <v>0</v>
      </c>
      <c r="L1621" s="132">
        <f t="shared" si="187"/>
        <v>0</v>
      </c>
      <c r="M1621" s="133"/>
      <c r="N1621" s="133">
        <f t="shared" si="184"/>
        <v>0</v>
      </c>
      <c r="O1621" s="134"/>
      <c r="P1621" s="133"/>
      <c r="Q1621" s="2"/>
      <c r="R1621" s="156">
        <f t="shared" si="188"/>
        <v>0</v>
      </c>
      <c r="S1621" s="156">
        <f t="shared" si="189"/>
        <v>0</v>
      </c>
      <c r="T1621" s="133"/>
      <c r="U1621" s="133"/>
      <c r="V1621" s="133"/>
      <c r="W1621" s="133"/>
      <c r="X1621" s="133"/>
      <c r="Y1621" s="133"/>
      <c r="Z1621" s="133"/>
      <c r="AA1621" s="133"/>
      <c r="AB1621" s="133"/>
      <c r="AC1621" s="133"/>
      <c r="AD1621" s="133"/>
      <c r="AE1621" s="133"/>
      <c r="AF1621" s="133"/>
      <c r="AG1621" s="133"/>
      <c r="AH1621" s="133"/>
      <c r="AI1621" s="133"/>
      <c r="AJ1621" s="133"/>
      <c r="AK1621" s="133"/>
      <c r="AL1621" s="133"/>
      <c r="AM1621" s="133"/>
      <c r="AN1621" s="133"/>
      <c r="AO1621" s="133"/>
      <c r="AP1621" s="133"/>
      <c r="AQ1621" s="133"/>
      <c r="AR1621" s="133"/>
      <c r="AS1621" s="153">
        <v>0</v>
      </c>
      <c r="AT1621" s="153">
        <v>0</v>
      </c>
      <c r="AU1621" s="153">
        <v>0</v>
      </c>
      <c r="AV1621" s="135"/>
      <c r="AW1621" s="135"/>
      <c r="AX1621" s="135"/>
      <c r="AY1621" s="135"/>
      <c r="AZ1621" s="135"/>
      <c r="BA1621" s="135"/>
      <c r="BB1621" s="135"/>
      <c r="BC1621" s="135"/>
      <c r="BD1621" s="135"/>
      <c r="BE1621" s="135"/>
      <c r="BF1621" s="135"/>
      <c r="BG1621" s="135"/>
      <c r="BH1621" s="135"/>
      <c r="BI1621" s="2"/>
      <c r="BJ1621" s="136"/>
      <c r="BK1621" s="2"/>
      <c r="BL1621" s="136"/>
      <c r="BM1621" s="136"/>
      <c r="BN1621" s="2"/>
      <c r="BO1621" s="2"/>
      <c r="BP1621" s="136"/>
      <c r="BQ1621" s="137"/>
    </row>
    <row r="1622" spans="1:69" ht="12.75" customHeight="1" x14ac:dyDescent="0.2">
      <c r="A1622" s="2">
        <v>3111</v>
      </c>
      <c r="B1622" s="2"/>
      <c r="C1622" s="2"/>
      <c r="D1622" s="2"/>
      <c r="E1622" s="2"/>
      <c r="F1622" s="132">
        <v>0</v>
      </c>
      <c r="G1622" s="132"/>
      <c r="H1622" s="132">
        <f t="shared" si="185"/>
        <v>0</v>
      </c>
      <c r="I1622" s="132"/>
      <c r="J1622" s="132">
        <f t="shared" si="183"/>
        <v>0</v>
      </c>
      <c r="K1622" s="132">
        <f t="shared" si="186"/>
        <v>0</v>
      </c>
      <c r="L1622" s="132">
        <f t="shared" si="187"/>
        <v>0</v>
      </c>
      <c r="M1622" s="133"/>
      <c r="N1622" s="133">
        <f t="shared" si="184"/>
        <v>0</v>
      </c>
      <c r="O1622" s="134"/>
      <c r="P1622" s="133"/>
      <c r="Q1622" s="2"/>
      <c r="R1622" s="156">
        <f t="shared" si="188"/>
        <v>0</v>
      </c>
      <c r="S1622" s="156">
        <f t="shared" si="189"/>
        <v>0</v>
      </c>
      <c r="T1622" s="133"/>
      <c r="U1622" s="133"/>
      <c r="V1622" s="133"/>
      <c r="W1622" s="133"/>
      <c r="X1622" s="133"/>
      <c r="Y1622" s="133"/>
      <c r="Z1622" s="133"/>
      <c r="AA1622" s="133"/>
      <c r="AB1622" s="133"/>
      <c r="AC1622" s="133"/>
      <c r="AD1622" s="133"/>
      <c r="AE1622" s="133"/>
      <c r="AF1622" s="133"/>
      <c r="AG1622" s="133"/>
      <c r="AH1622" s="133"/>
      <c r="AI1622" s="133"/>
      <c r="AJ1622" s="133"/>
      <c r="AK1622" s="133"/>
      <c r="AL1622" s="133"/>
      <c r="AM1622" s="133"/>
      <c r="AN1622" s="133"/>
      <c r="AO1622" s="133"/>
      <c r="AP1622" s="133"/>
      <c r="AQ1622" s="133"/>
      <c r="AR1622" s="133"/>
      <c r="AS1622" s="153">
        <v>0</v>
      </c>
      <c r="AT1622" s="153">
        <v>0</v>
      </c>
      <c r="AU1622" s="153">
        <v>0</v>
      </c>
      <c r="AV1622" s="135"/>
      <c r="AW1622" s="135"/>
      <c r="AX1622" s="135"/>
      <c r="AY1622" s="135"/>
      <c r="AZ1622" s="135"/>
      <c r="BA1622" s="135"/>
      <c r="BB1622" s="135"/>
      <c r="BC1622" s="135"/>
      <c r="BD1622" s="135"/>
      <c r="BE1622" s="135"/>
      <c r="BF1622" s="135"/>
      <c r="BG1622" s="135"/>
      <c r="BH1622" s="135"/>
      <c r="BI1622" s="2"/>
      <c r="BJ1622" s="136"/>
      <c r="BK1622" s="2"/>
      <c r="BL1622" s="136"/>
      <c r="BM1622" s="136"/>
      <c r="BN1622" s="2"/>
      <c r="BO1622" s="2"/>
      <c r="BP1622" s="136"/>
      <c r="BQ1622" s="137"/>
    </row>
    <row r="1623" spans="1:69" ht="12.75" customHeight="1" x14ac:dyDescent="0.2">
      <c r="A1623" s="2">
        <v>3112</v>
      </c>
      <c r="B1623" s="2"/>
      <c r="C1623" s="2"/>
      <c r="D1623" s="2"/>
      <c r="E1623" s="2"/>
      <c r="F1623" s="132">
        <v>0</v>
      </c>
      <c r="G1623" s="132"/>
      <c r="H1623" s="132">
        <f t="shared" si="185"/>
        <v>0</v>
      </c>
      <c r="I1623" s="132"/>
      <c r="J1623" s="132">
        <f t="shared" si="183"/>
        <v>0</v>
      </c>
      <c r="K1623" s="132">
        <f t="shared" si="186"/>
        <v>0</v>
      </c>
      <c r="L1623" s="132">
        <f t="shared" si="187"/>
        <v>0</v>
      </c>
      <c r="M1623" s="133"/>
      <c r="N1623" s="133">
        <f t="shared" si="184"/>
        <v>0</v>
      </c>
      <c r="O1623" s="134"/>
      <c r="P1623" s="133"/>
      <c r="Q1623" s="2"/>
      <c r="R1623" s="156">
        <f t="shared" si="188"/>
        <v>0</v>
      </c>
      <c r="S1623" s="156">
        <f t="shared" si="189"/>
        <v>0</v>
      </c>
      <c r="T1623" s="133"/>
      <c r="U1623" s="133"/>
      <c r="V1623" s="133"/>
      <c r="W1623" s="133"/>
      <c r="X1623" s="133"/>
      <c r="Y1623" s="133"/>
      <c r="Z1623" s="133"/>
      <c r="AA1623" s="133"/>
      <c r="AB1623" s="133"/>
      <c r="AC1623" s="133"/>
      <c r="AD1623" s="133"/>
      <c r="AE1623" s="133"/>
      <c r="AF1623" s="133"/>
      <c r="AG1623" s="133"/>
      <c r="AH1623" s="133"/>
      <c r="AI1623" s="133"/>
      <c r="AJ1623" s="133"/>
      <c r="AK1623" s="133"/>
      <c r="AL1623" s="133"/>
      <c r="AM1623" s="133"/>
      <c r="AN1623" s="133"/>
      <c r="AO1623" s="133"/>
      <c r="AP1623" s="133"/>
      <c r="AQ1623" s="133"/>
      <c r="AR1623" s="133"/>
      <c r="AS1623" s="153">
        <v>0</v>
      </c>
      <c r="AT1623" s="153">
        <v>0</v>
      </c>
      <c r="AU1623" s="153">
        <v>0</v>
      </c>
      <c r="AV1623" s="135"/>
      <c r="AW1623" s="135"/>
      <c r="AX1623" s="135"/>
      <c r="AY1623" s="135"/>
      <c r="AZ1623" s="135"/>
      <c r="BA1623" s="135"/>
      <c r="BB1623" s="135"/>
      <c r="BC1623" s="135"/>
      <c r="BD1623" s="135"/>
      <c r="BE1623" s="135"/>
      <c r="BF1623" s="135"/>
      <c r="BG1623" s="135"/>
      <c r="BH1623" s="135"/>
      <c r="BI1623" s="2"/>
      <c r="BJ1623" s="136"/>
      <c r="BK1623" s="2"/>
      <c r="BL1623" s="136"/>
      <c r="BM1623" s="136"/>
      <c r="BN1623" s="2"/>
      <c r="BO1623" s="2"/>
      <c r="BP1623" s="136"/>
      <c r="BQ1623" s="137"/>
    </row>
    <row r="1624" spans="1:69" ht="12.75" customHeight="1" x14ac:dyDescent="0.2">
      <c r="A1624" s="2">
        <v>3113</v>
      </c>
      <c r="B1624" s="2"/>
      <c r="C1624" s="2"/>
      <c r="D1624" s="2"/>
      <c r="E1624" s="2"/>
      <c r="F1624" s="132">
        <v>0</v>
      </c>
      <c r="G1624" s="132"/>
      <c r="H1624" s="132">
        <f t="shared" si="185"/>
        <v>0</v>
      </c>
      <c r="I1624" s="132"/>
      <c r="J1624" s="132">
        <f t="shared" si="183"/>
        <v>0</v>
      </c>
      <c r="K1624" s="132">
        <f t="shared" si="186"/>
        <v>0</v>
      </c>
      <c r="L1624" s="132">
        <f t="shared" si="187"/>
        <v>0</v>
      </c>
      <c r="M1624" s="133"/>
      <c r="N1624" s="133">
        <f t="shared" si="184"/>
        <v>0</v>
      </c>
      <c r="O1624" s="134"/>
      <c r="P1624" s="133"/>
      <c r="Q1624" s="2"/>
      <c r="R1624" s="156">
        <f t="shared" si="188"/>
        <v>0</v>
      </c>
      <c r="S1624" s="156">
        <f t="shared" si="189"/>
        <v>0</v>
      </c>
      <c r="T1624" s="133"/>
      <c r="U1624" s="133"/>
      <c r="V1624" s="133"/>
      <c r="W1624" s="133"/>
      <c r="X1624" s="133"/>
      <c r="Y1624" s="133"/>
      <c r="Z1624" s="133"/>
      <c r="AA1624" s="133"/>
      <c r="AB1624" s="133"/>
      <c r="AC1624" s="133"/>
      <c r="AD1624" s="133"/>
      <c r="AE1624" s="133"/>
      <c r="AF1624" s="133"/>
      <c r="AG1624" s="133"/>
      <c r="AH1624" s="133"/>
      <c r="AI1624" s="133"/>
      <c r="AJ1624" s="133"/>
      <c r="AK1624" s="133"/>
      <c r="AL1624" s="133"/>
      <c r="AM1624" s="133"/>
      <c r="AN1624" s="133"/>
      <c r="AO1624" s="133"/>
      <c r="AP1624" s="133"/>
      <c r="AQ1624" s="133"/>
      <c r="AR1624" s="133"/>
      <c r="AS1624" s="153">
        <v>0</v>
      </c>
      <c r="AT1624" s="153">
        <v>0</v>
      </c>
      <c r="AU1624" s="153">
        <v>0</v>
      </c>
      <c r="AV1624" s="135"/>
      <c r="AW1624" s="135"/>
      <c r="AX1624" s="135"/>
      <c r="AY1624" s="135"/>
      <c r="AZ1624" s="135"/>
      <c r="BA1624" s="135"/>
      <c r="BB1624" s="135"/>
      <c r="BC1624" s="135"/>
      <c r="BD1624" s="135"/>
      <c r="BE1624" s="135"/>
      <c r="BF1624" s="135"/>
      <c r="BG1624" s="135"/>
      <c r="BH1624" s="135"/>
      <c r="BI1624" s="2"/>
      <c r="BJ1624" s="136"/>
      <c r="BK1624" s="2"/>
      <c r="BL1624" s="136"/>
      <c r="BM1624" s="136"/>
      <c r="BN1624" s="2"/>
      <c r="BO1624" s="2"/>
      <c r="BP1624" s="136"/>
      <c r="BQ1624" s="137"/>
    </row>
    <row r="1625" spans="1:69" ht="12.75" customHeight="1" x14ac:dyDescent="0.2">
      <c r="A1625" s="2">
        <v>3114</v>
      </c>
      <c r="B1625" s="2"/>
      <c r="C1625" s="2"/>
      <c r="D1625" s="2"/>
      <c r="E1625" s="2"/>
      <c r="F1625" s="132">
        <v>0</v>
      </c>
      <c r="G1625" s="132"/>
      <c r="H1625" s="132">
        <f t="shared" si="185"/>
        <v>0</v>
      </c>
      <c r="I1625" s="132"/>
      <c r="J1625" s="132">
        <f t="shared" si="183"/>
        <v>0</v>
      </c>
      <c r="K1625" s="132">
        <f t="shared" si="186"/>
        <v>0</v>
      </c>
      <c r="L1625" s="132">
        <f t="shared" si="187"/>
        <v>0</v>
      </c>
      <c r="M1625" s="133"/>
      <c r="N1625" s="133">
        <f t="shared" si="184"/>
        <v>0</v>
      </c>
      <c r="O1625" s="134"/>
      <c r="P1625" s="133"/>
      <c r="Q1625" s="2"/>
      <c r="R1625" s="156">
        <f t="shared" si="188"/>
        <v>0</v>
      </c>
      <c r="S1625" s="156">
        <f t="shared" si="189"/>
        <v>0</v>
      </c>
      <c r="T1625" s="133"/>
      <c r="U1625" s="133"/>
      <c r="V1625" s="133"/>
      <c r="W1625" s="133"/>
      <c r="X1625" s="133"/>
      <c r="Y1625" s="133"/>
      <c r="Z1625" s="133"/>
      <c r="AA1625" s="133"/>
      <c r="AB1625" s="133"/>
      <c r="AC1625" s="133"/>
      <c r="AD1625" s="133"/>
      <c r="AE1625" s="133"/>
      <c r="AF1625" s="133"/>
      <c r="AG1625" s="133"/>
      <c r="AH1625" s="133"/>
      <c r="AI1625" s="133"/>
      <c r="AJ1625" s="133"/>
      <c r="AK1625" s="133"/>
      <c r="AL1625" s="133"/>
      <c r="AM1625" s="133"/>
      <c r="AN1625" s="133"/>
      <c r="AO1625" s="133"/>
      <c r="AP1625" s="133"/>
      <c r="AQ1625" s="133"/>
      <c r="AR1625" s="133"/>
      <c r="AS1625" s="153">
        <v>0</v>
      </c>
      <c r="AT1625" s="153">
        <v>0</v>
      </c>
      <c r="AU1625" s="153">
        <v>0</v>
      </c>
      <c r="AV1625" s="135"/>
      <c r="AW1625" s="135"/>
      <c r="AX1625" s="135"/>
      <c r="AY1625" s="135"/>
      <c r="AZ1625" s="135"/>
      <c r="BA1625" s="135"/>
      <c r="BB1625" s="135"/>
      <c r="BC1625" s="135"/>
      <c r="BD1625" s="135"/>
      <c r="BE1625" s="135"/>
      <c r="BF1625" s="135"/>
      <c r="BG1625" s="135"/>
      <c r="BH1625" s="135"/>
      <c r="BI1625" s="2"/>
      <c r="BJ1625" s="136"/>
      <c r="BK1625" s="2"/>
      <c r="BL1625" s="136"/>
      <c r="BM1625" s="136"/>
      <c r="BN1625" s="2"/>
      <c r="BO1625" s="2"/>
      <c r="BP1625" s="136"/>
      <c r="BQ1625" s="137"/>
    </row>
    <row r="1626" spans="1:69" ht="12.75" customHeight="1" x14ac:dyDescent="0.2">
      <c r="A1626" s="2">
        <v>3115</v>
      </c>
      <c r="B1626" s="2"/>
      <c r="C1626" s="2"/>
      <c r="D1626" s="2"/>
      <c r="E1626" s="2"/>
      <c r="F1626" s="132">
        <v>0</v>
      </c>
      <c r="G1626" s="132"/>
      <c r="H1626" s="132">
        <f t="shared" si="185"/>
        <v>0</v>
      </c>
      <c r="I1626" s="132"/>
      <c r="J1626" s="132">
        <f t="shared" si="183"/>
        <v>0</v>
      </c>
      <c r="K1626" s="132">
        <f t="shared" si="186"/>
        <v>0</v>
      </c>
      <c r="L1626" s="132">
        <f t="shared" si="187"/>
        <v>0</v>
      </c>
      <c r="M1626" s="133"/>
      <c r="N1626" s="133">
        <f t="shared" si="184"/>
        <v>0</v>
      </c>
      <c r="O1626" s="134"/>
      <c r="P1626" s="133"/>
      <c r="Q1626" s="2"/>
      <c r="R1626" s="156">
        <f t="shared" si="188"/>
        <v>0</v>
      </c>
      <c r="S1626" s="156">
        <f t="shared" si="189"/>
        <v>0</v>
      </c>
      <c r="T1626" s="133"/>
      <c r="U1626" s="133"/>
      <c r="V1626" s="133"/>
      <c r="W1626" s="133"/>
      <c r="X1626" s="133"/>
      <c r="Y1626" s="133"/>
      <c r="Z1626" s="133"/>
      <c r="AA1626" s="133"/>
      <c r="AB1626" s="133"/>
      <c r="AC1626" s="133"/>
      <c r="AD1626" s="133"/>
      <c r="AE1626" s="133"/>
      <c r="AF1626" s="133"/>
      <c r="AG1626" s="133"/>
      <c r="AH1626" s="133"/>
      <c r="AI1626" s="133"/>
      <c r="AJ1626" s="133"/>
      <c r="AK1626" s="133"/>
      <c r="AL1626" s="133"/>
      <c r="AM1626" s="133"/>
      <c r="AN1626" s="133"/>
      <c r="AO1626" s="133"/>
      <c r="AP1626" s="133"/>
      <c r="AQ1626" s="133"/>
      <c r="AR1626" s="133"/>
      <c r="AS1626" s="153">
        <v>0</v>
      </c>
      <c r="AT1626" s="153">
        <v>0</v>
      </c>
      <c r="AU1626" s="153">
        <v>0</v>
      </c>
      <c r="AV1626" s="135"/>
      <c r="AW1626" s="135"/>
      <c r="AX1626" s="135"/>
      <c r="AY1626" s="135"/>
      <c r="AZ1626" s="135"/>
      <c r="BA1626" s="135"/>
      <c r="BB1626" s="135"/>
      <c r="BC1626" s="135"/>
      <c r="BD1626" s="135"/>
      <c r="BE1626" s="135"/>
      <c r="BF1626" s="135"/>
      <c r="BG1626" s="135"/>
      <c r="BH1626" s="135"/>
      <c r="BI1626" s="2"/>
      <c r="BJ1626" s="136"/>
      <c r="BK1626" s="2"/>
      <c r="BL1626" s="136"/>
      <c r="BM1626" s="136"/>
      <c r="BN1626" s="2"/>
      <c r="BO1626" s="2"/>
      <c r="BP1626" s="136"/>
      <c r="BQ1626" s="137"/>
    </row>
    <row r="1627" spans="1:69" ht="12.75" customHeight="1" x14ac:dyDescent="0.2">
      <c r="A1627" s="2">
        <v>3116</v>
      </c>
      <c r="B1627" s="2"/>
      <c r="C1627" s="2"/>
      <c r="D1627" s="2"/>
      <c r="E1627" s="2"/>
      <c r="F1627" s="132">
        <v>0</v>
      </c>
      <c r="G1627" s="132"/>
      <c r="H1627" s="132">
        <f t="shared" si="185"/>
        <v>0</v>
      </c>
      <c r="I1627" s="132"/>
      <c r="J1627" s="132">
        <f t="shared" si="183"/>
        <v>0</v>
      </c>
      <c r="K1627" s="132">
        <f t="shared" si="186"/>
        <v>0</v>
      </c>
      <c r="L1627" s="132">
        <f t="shared" si="187"/>
        <v>0</v>
      </c>
      <c r="M1627" s="133"/>
      <c r="N1627" s="133">
        <f t="shared" si="184"/>
        <v>0</v>
      </c>
      <c r="O1627" s="134"/>
      <c r="P1627" s="133"/>
      <c r="Q1627" s="2"/>
      <c r="R1627" s="156">
        <f t="shared" si="188"/>
        <v>0</v>
      </c>
      <c r="S1627" s="156">
        <f t="shared" si="189"/>
        <v>0</v>
      </c>
      <c r="T1627" s="133"/>
      <c r="U1627" s="133"/>
      <c r="V1627" s="133"/>
      <c r="W1627" s="133"/>
      <c r="X1627" s="133"/>
      <c r="Y1627" s="133"/>
      <c r="Z1627" s="133"/>
      <c r="AA1627" s="133"/>
      <c r="AB1627" s="133"/>
      <c r="AC1627" s="133"/>
      <c r="AD1627" s="133"/>
      <c r="AE1627" s="133"/>
      <c r="AF1627" s="133"/>
      <c r="AG1627" s="133"/>
      <c r="AH1627" s="133"/>
      <c r="AI1627" s="133"/>
      <c r="AJ1627" s="133"/>
      <c r="AK1627" s="133"/>
      <c r="AL1627" s="133"/>
      <c r="AM1627" s="133"/>
      <c r="AN1627" s="133"/>
      <c r="AO1627" s="133"/>
      <c r="AP1627" s="133"/>
      <c r="AQ1627" s="133"/>
      <c r="AR1627" s="133"/>
      <c r="AS1627" s="153">
        <v>0</v>
      </c>
      <c r="AT1627" s="153">
        <v>0</v>
      </c>
      <c r="AU1627" s="153">
        <v>0</v>
      </c>
      <c r="AV1627" s="135"/>
      <c r="AW1627" s="135"/>
      <c r="AX1627" s="135"/>
      <c r="AY1627" s="135"/>
      <c r="AZ1627" s="135"/>
      <c r="BA1627" s="135"/>
      <c r="BB1627" s="135"/>
      <c r="BC1627" s="135"/>
      <c r="BD1627" s="135"/>
      <c r="BE1627" s="135"/>
      <c r="BF1627" s="135"/>
      <c r="BG1627" s="135"/>
      <c r="BH1627" s="135"/>
      <c r="BI1627" s="2"/>
      <c r="BJ1627" s="136"/>
      <c r="BK1627" s="2"/>
      <c r="BL1627" s="136"/>
      <c r="BM1627" s="136"/>
      <c r="BN1627" s="2"/>
      <c r="BO1627" s="2"/>
      <c r="BP1627" s="136"/>
      <c r="BQ1627" s="137"/>
    </row>
    <row r="1628" spans="1:69" ht="12.75" customHeight="1" x14ac:dyDescent="0.2">
      <c r="A1628" s="2">
        <v>3117</v>
      </c>
      <c r="B1628" s="2"/>
      <c r="C1628" s="2"/>
      <c r="D1628" s="2"/>
      <c r="E1628" s="2"/>
      <c r="F1628" s="132">
        <v>0</v>
      </c>
      <c r="G1628" s="132"/>
      <c r="H1628" s="132">
        <f t="shared" si="185"/>
        <v>0</v>
      </c>
      <c r="I1628" s="132"/>
      <c r="J1628" s="132">
        <f t="shared" si="183"/>
        <v>0</v>
      </c>
      <c r="K1628" s="132">
        <f t="shared" si="186"/>
        <v>0</v>
      </c>
      <c r="L1628" s="132">
        <f t="shared" si="187"/>
        <v>0</v>
      </c>
      <c r="M1628" s="133"/>
      <c r="N1628" s="133">
        <f t="shared" si="184"/>
        <v>0</v>
      </c>
      <c r="O1628" s="134"/>
      <c r="P1628" s="133"/>
      <c r="Q1628" s="2"/>
      <c r="R1628" s="156">
        <f t="shared" si="188"/>
        <v>0</v>
      </c>
      <c r="S1628" s="156">
        <f t="shared" si="189"/>
        <v>0</v>
      </c>
      <c r="T1628" s="133"/>
      <c r="U1628" s="133"/>
      <c r="V1628" s="133"/>
      <c r="W1628" s="133"/>
      <c r="X1628" s="133"/>
      <c r="Y1628" s="133"/>
      <c r="Z1628" s="133"/>
      <c r="AA1628" s="133"/>
      <c r="AB1628" s="133"/>
      <c r="AC1628" s="133"/>
      <c r="AD1628" s="133"/>
      <c r="AE1628" s="133"/>
      <c r="AF1628" s="133"/>
      <c r="AG1628" s="133"/>
      <c r="AH1628" s="133"/>
      <c r="AI1628" s="133"/>
      <c r="AJ1628" s="133"/>
      <c r="AK1628" s="133"/>
      <c r="AL1628" s="133"/>
      <c r="AM1628" s="133"/>
      <c r="AN1628" s="133"/>
      <c r="AO1628" s="133"/>
      <c r="AP1628" s="133"/>
      <c r="AQ1628" s="133"/>
      <c r="AR1628" s="133"/>
      <c r="AS1628" s="153">
        <v>0</v>
      </c>
      <c r="AT1628" s="153">
        <v>0</v>
      </c>
      <c r="AU1628" s="153">
        <v>0</v>
      </c>
      <c r="AV1628" s="135"/>
      <c r="AW1628" s="135"/>
      <c r="AX1628" s="135"/>
      <c r="AY1628" s="135"/>
      <c r="AZ1628" s="135"/>
      <c r="BA1628" s="135"/>
      <c r="BB1628" s="135"/>
      <c r="BC1628" s="135"/>
      <c r="BD1628" s="135"/>
      <c r="BE1628" s="135"/>
      <c r="BF1628" s="135"/>
      <c r="BG1628" s="135"/>
      <c r="BH1628" s="135"/>
      <c r="BI1628" s="2"/>
      <c r="BJ1628" s="136"/>
      <c r="BK1628" s="2"/>
      <c r="BL1628" s="136"/>
      <c r="BM1628" s="136"/>
      <c r="BN1628" s="2"/>
      <c r="BO1628" s="2"/>
      <c r="BP1628" s="136"/>
      <c r="BQ1628" s="137"/>
    </row>
    <row r="1629" spans="1:69" ht="12.75" customHeight="1" x14ac:dyDescent="0.2">
      <c r="A1629" s="2">
        <v>3118</v>
      </c>
      <c r="B1629" s="2"/>
      <c r="C1629" s="2"/>
      <c r="D1629" s="2"/>
      <c r="E1629" s="2"/>
      <c r="F1629" s="132">
        <v>0</v>
      </c>
      <c r="G1629" s="132"/>
      <c r="H1629" s="132">
        <f t="shared" si="185"/>
        <v>0</v>
      </c>
      <c r="I1629" s="132"/>
      <c r="J1629" s="132">
        <f t="shared" si="183"/>
        <v>0</v>
      </c>
      <c r="K1629" s="132">
        <f t="shared" si="186"/>
        <v>0</v>
      </c>
      <c r="L1629" s="132">
        <f t="shared" si="187"/>
        <v>0</v>
      </c>
      <c r="M1629" s="133"/>
      <c r="N1629" s="133">
        <f t="shared" si="184"/>
        <v>0</v>
      </c>
      <c r="O1629" s="134"/>
      <c r="P1629" s="133"/>
      <c r="Q1629" s="2"/>
      <c r="R1629" s="156">
        <f t="shared" si="188"/>
        <v>0</v>
      </c>
      <c r="S1629" s="156">
        <f t="shared" si="189"/>
        <v>0</v>
      </c>
      <c r="T1629" s="133"/>
      <c r="U1629" s="133"/>
      <c r="V1629" s="133"/>
      <c r="W1629" s="133"/>
      <c r="X1629" s="133"/>
      <c r="Y1629" s="133"/>
      <c r="Z1629" s="133"/>
      <c r="AA1629" s="133"/>
      <c r="AB1629" s="133"/>
      <c r="AC1629" s="133"/>
      <c r="AD1629" s="133"/>
      <c r="AE1629" s="133"/>
      <c r="AF1629" s="133"/>
      <c r="AG1629" s="133"/>
      <c r="AH1629" s="133"/>
      <c r="AI1629" s="133"/>
      <c r="AJ1629" s="133"/>
      <c r="AK1629" s="133"/>
      <c r="AL1629" s="133"/>
      <c r="AM1629" s="133"/>
      <c r="AN1629" s="133"/>
      <c r="AO1629" s="133"/>
      <c r="AP1629" s="133"/>
      <c r="AQ1629" s="133"/>
      <c r="AR1629" s="133"/>
      <c r="AS1629" s="153">
        <v>0</v>
      </c>
      <c r="AT1629" s="153">
        <v>0</v>
      </c>
      <c r="AU1629" s="153">
        <v>0</v>
      </c>
      <c r="AV1629" s="135"/>
      <c r="AW1629" s="135"/>
      <c r="AX1629" s="135"/>
      <c r="AY1629" s="135"/>
      <c r="AZ1629" s="135"/>
      <c r="BA1629" s="135"/>
      <c r="BB1629" s="135"/>
      <c r="BC1629" s="135"/>
      <c r="BD1629" s="135"/>
      <c r="BE1629" s="135"/>
      <c r="BF1629" s="135"/>
      <c r="BG1629" s="135"/>
      <c r="BH1629" s="135"/>
      <c r="BI1629" s="2"/>
      <c r="BJ1629" s="136"/>
      <c r="BK1629" s="2"/>
      <c r="BL1629" s="136"/>
      <c r="BM1629" s="136"/>
      <c r="BN1629" s="2"/>
      <c r="BO1629" s="2"/>
      <c r="BP1629" s="136"/>
      <c r="BQ1629" s="137"/>
    </row>
    <row r="1630" spans="1:69" ht="12.75" customHeight="1" x14ac:dyDescent="0.2">
      <c r="A1630" s="2">
        <v>3119</v>
      </c>
      <c r="B1630" s="2"/>
      <c r="C1630" s="2"/>
      <c r="D1630" s="2"/>
      <c r="E1630" s="2"/>
      <c r="F1630" s="132">
        <v>0</v>
      </c>
      <c r="G1630" s="132"/>
      <c r="H1630" s="132">
        <f t="shared" si="185"/>
        <v>0</v>
      </c>
      <c r="I1630" s="132"/>
      <c r="J1630" s="132">
        <f t="shared" si="183"/>
        <v>0</v>
      </c>
      <c r="K1630" s="132">
        <f t="shared" si="186"/>
        <v>0</v>
      </c>
      <c r="L1630" s="132">
        <f t="shared" si="187"/>
        <v>0</v>
      </c>
      <c r="M1630" s="133"/>
      <c r="N1630" s="133">
        <f t="shared" si="184"/>
        <v>0</v>
      </c>
      <c r="O1630" s="134"/>
      <c r="P1630" s="133"/>
      <c r="Q1630" s="2"/>
      <c r="R1630" s="156">
        <f t="shared" si="188"/>
        <v>0</v>
      </c>
      <c r="S1630" s="156">
        <f t="shared" si="189"/>
        <v>0</v>
      </c>
      <c r="T1630" s="133"/>
      <c r="U1630" s="133"/>
      <c r="V1630" s="133"/>
      <c r="W1630" s="133"/>
      <c r="X1630" s="133"/>
      <c r="Y1630" s="133"/>
      <c r="Z1630" s="133"/>
      <c r="AA1630" s="133"/>
      <c r="AB1630" s="133"/>
      <c r="AC1630" s="133"/>
      <c r="AD1630" s="133"/>
      <c r="AE1630" s="133"/>
      <c r="AF1630" s="133"/>
      <c r="AG1630" s="133"/>
      <c r="AH1630" s="133"/>
      <c r="AI1630" s="133"/>
      <c r="AJ1630" s="133"/>
      <c r="AK1630" s="133"/>
      <c r="AL1630" s="133"/>
      <c r="AM1630" s="133"/>
      <c r="AN1630" s="133"/>
      <c r="AO1630" s="133"/>
      <c r="AP1630" s="133"/>
      <c r="AQ1630" s="133"/>
      <c r="AR1630" s="133"/>
      <c r="AS1630" s="153">
        <v>0</v>
      </c>
      <c r="AT1630" s="153">
        <v>0</v>
      </c>
      <c r="AU1630" s="153">
        <v>0</v>
      </c>
      <c r="AV1630" s="135"/>
      <c r="AW1630" s="135"/>
      <c r="AX1630" s="135"/>
      <c r="AY1630" s="135"/>
      <c r="AZ1630" s="135"/>
      <c r="BA1630" s="135"/>
      <c r="BB1630" s="135"/>
      <c r="BC1630" s="135"/>
      <c r="BD1630" s="135"/>
      <c r="BE1630" s="135"/>
      <c r="BF1630" s="135"/>
      <c r="BG1630" s="135"/>
      <c r="BH1630" s="135"/>
      <c r="BI1630" s="2"/>
      <c r="BJ1630" s="136"/>
      <c r="BK1630" s="2"/>
      <c r="BL1630" s="136"/>
      <c r="BM1630" s="136"/>
      <c r="BN1630" s="2"/>
      <c r="BO1630" s="2"/>
      <c r="BP1630" s="136"/>
      <c r="BQ1630" s="137"/>
    </row>
    <row r="1631" spans="1:69" ht="12.75" customHeight="1" x14ac:dyDescent="0.2">
      <c r="A1631" s="2">
        <v>3120</v>
      </c>
      <c r="B1631" s="2"/>
      <c r="C1631" s="2"/>
      <c r="D1631" s="2"/>
      <c r="E1631" s="2"/>
      <c r="F1631" s="132">
        <v>0</v>
      </c>
      <c r="G1631" s="132"/>
      <c r="H1631" s="132">
        <f t="shared" si="185"/>
        <v>0</v>
      </c>
      <c r="I1631" s="132"/>
      <c r="J1631" s="132">
        <f t="shared" si="183"/>
        <v>0</v>
      </c>
      <c r="K1631" s="132">
        <f t="shared" si="186"/>
        <v>0</v>
      </c>
      <c r="L1631" s="132">
        <f t="shared" si="187"/>
        <v>0</v>
      </c>
      <c r="M1631" s="133"/>
      <c r="N1631" s="133">
        <f t="shared" si="184"/>
        <v>0</v>
      </c>
      <c r="O1631" s="134"/>
      <c r="P1631" s="133"/>
      <c r="Q1631" s="2"/>
      <c r="R1631" s="156">
        <f t="shared" si="188"/>
        <v>0</v>
      </c>
      <c r="S1631" s="156">
        <f t="shared" si="189"/>
        <v>0</v>
      </c>
      <c r="T1631" s="133"/>
      <c r="U1631" s="133"/>
      <c r="V1631" s="133"/>
      <c r="W1631" s="133"/>
      <c r="X1631" s="133"/>
      <c r="Y1631" s="133"/>
      <c r="Z1631" s="133"/>
      <c r="AA1631" s="133"/>
      <c r="AB1631" s="133"/>
      <c r="AC1631" s="133"/>
      <c r="AD1631" s="133"/>
      <c r="AE1631" s="133"/>
      <c r="AF1631" s="133"/>
      <c r="AG1631" s="133"/>
      <c r="AH1631" s="133"/>
      <c r="AI1631" s="133"/>
      <c r="AJ1631" s="133"/>
      <c r="AK1631" s="133"/>
      <c r="AL1631" s="133"/>
      <c r="AM1631" s="133"/>
      <c r="AN1631" s="133"/>
      <c r="AO1631" s="133"/>
      <c r="AP1631" s="133"/>
      <c r="AQ1631" s="133"/>
      <c r="AR1631" s="133"/>
      <c r="AS1631" s="153">
        <v>0</v>
      </c>
      <c r="AT1631" s="153">
        <v>0</v>
      </c>
      <c r="AU1631" s="153">
        <v>0</v>
      </c>
      <c r="AV1631" s="135"/>
      <c r="AW1631" s="135"/>
      <c r="AX1631" s="135"/>
      <c r="AY1631" s="135"/>
      <c r="AZ1631" s="135"/>
      <c r="BA1631" s="135"/>
      <c r="BB1631" s="135"/>
      <c r="BC1631" s="135"/>
      <c r="BD1631" s="135"/>
      <c r="BE1631" s="135"/>
      <c r="BF1631" s="135"/>
      <c r="BG1631" s="135"/>
      <c r="BH1631" s="135"/>
      <c r="BI1631" s="2"/>
      <c r="BJ1631" s="136"/>
      <c r="BK1631" s="2"/>
      <c r="BL1631" s="136"/>
      <c r="BM1631" s="136"/>
      <c r="BN1631" s="2"/>
      <c r="BO1631" s="2"/>
      <c r="BP1631" s="136"/>
      <c r="BQ1631" s="137"/>
    </row>
    <row r="1632" spans="1:69" ht="12.75" customHeight="1" x14ac:dyDescent="0.2">
      <c r="A1632" s="2">
        <v>3121</v>
      </c>
      <c r="B1632" s="2"/>
      <c r="C1632" s="2"/>
      <c r="D1632" s="2"/>
      <c r="E1632" s="2"/>
      <c r="F1632" s="132">
        <v>0</v>
      </c>
      <c r="G1632" s="132"/>
      <c r="H1632" s="132">
        <f t="shared" si="185"/>
        <v>0</v>
      </c>
      <c r="I1632" s="132"/>
      <c r="J1632" s="132">
        <f t="shared" si="183"/>
        <v>0</v>
      </c>
      <c r="K1632" s="132">
        <f t="shared" si="186"/>
        <v>0</v>
      </c>
      <c r="L1632" s="132">
        <f t="shared" si="187"/>
        <v>0</v>
      </c>
      <c r="M1632" s="133"/>
      <c r="N1632" s="133">
        <f t="shared" si="184"/>
        <v>0</v>
      </c>
      <c r="O1632" s="134"/>
      <c r="P1632" s="133"/>
      <c r="Q1632" s="2"/>
      <c r="R1632" s="156">
        <f t="shared" si="188"/>
        <v>0</v>
      </c>
      <c r="S1632" s="156">
        <f t="shared" si="189"/>
        <v>0</v>
      </c>
      <c r="T1632" s="133"/>
      <c r="U1632" s="133"/>
      <c r="V1632" s="133"/>
      <c r="W1632" s="133"/>
      <c r="X1632" s="133"/>
      <c r="Y1632" s="133"/>
      <c r="Z1632" s="133"/>
      <c r="AA1632" s="133"/>
      <c r="AB1632" s="133"/>
      <c r="AC1632" s="133"/>
      <c r="AD1632" s="133"/>
      <c r="AE1632" s="133"/>
      <c r="AF1632" s="133"/>
      <c r="AG1632" s="133"/>
      <c r="AH1632" s="133"/>
      <c r="AI1632" s="133"/>
      <c r="AJ1632" s="133"/>
      <c r="AK1632" s="133"/>
      <c r="AL1632" s="133"/>
      <c r="AM1632" s="133"/>
      <c r="AN1632" s="133"/>
      <c r="AO1632" s="133"/>
      <c r="AP1632" s="133"/>
      <c r="AQ1632" s="133"/>
      <c r="AR1632" s="133"/>
      <c r="AS1632" s="153">
        <v>0</v>
      </c>
      <c r="AT1632" s="153">
        <v>0</v>
      </c>
      <c r="AU1632" s="153">
        <v>0</v>
      </c>
      <c r="AV1632" s="135"/>
      <c r="AW1632" s="135"/>
      <c r="AX1632" s="135"/>
      <c r="AY1632" s="135"/>
      <c r="AZ1632" s="135"/>
      <c r="BA1632" s="135"/>
      <c r="BB1632" s="135"/>
      <c r="BC1632" s="135"/>
      <c r="BD1632" s="135"/>
      <c r="BE1632" s="135"/>
      <c r="BF1632" s="135"/>
      <c r="BG1632" s="135"/>
      <c r="BH1632" s="135"/>
      <c r="BI1632" s="2"/>
      <c r="BJ1632" s="136"/>
      <c r="BK1632" s="2"/>
      <c r="BL1632" s="136"/>
      <c r="BM1632" s="136"/>
      <c r="BN1632" s="2"/>
      <c r="BO1632" s="2"/>
      <c r="BP1632" s="136"/>
      <c r="BQ1632" s="137"/>
    </row>
    <row r="1633" spans="1:69" ht="12.75" customHeight="1" x14ac:dyDescent="0.2">
      <c r="A1633" s="2">
        <v>3122</v>
      </c>
      <c r="B1633" s="2"/>
      <c r="C1633" s="2"/>
      <c r="D1633" s="2"/>
      <c r="E1633" s="2"/>
      <c r="F1633" s="132">
        <v>0</v>
      </c>
      <c r="G1633" s="132"/>
      <c r="H1633" s="132">
        <f t="shared" si="185"/>
        <v>0</v>
      </c>
      <c r="I1633" s="132"/>
      <c r="J1633" s="132">
        <f t="shared" si="183"/>
        <v>0</v>
      </c>
      <c r="K1633" s="132">
        <f t="shared" si="186"/>
        <v>0</v>
      </c>
      <c r="L1633" s="132">
        <f t="shared" si="187"/>
        <v>0</v>
      </c>
      <c r="M1633" s="133"/>
      <c r="N1633" s="133">
        <f t="shared" si="184"/>
        <v>0</v>
      </c>
      <c r="O1633" s="134"/>
      <c r="P1633" s="133"/>
      <c r="Q1633" s="2"/>
      <c r="R1633" s="156">
        <f t="shared" si="188"/>
        <v>0</v>
      </c>
      <c r="S1633" s="156">
        <f t="shared" si="189"/>
        <v>0</v>
      </c>
      <c r="T1633" s="133"/>
      <c r="U1633" s="133"/>
      <c r="V1633" s="133"/>
      <c r="W1633" s="133"/>
      <c r="X1633" s="133"/>
      <c r="Y1633" s="133"/>
      <c r="Z1633" s="133"/>
      <c r="AA1633" s="133"/>
      <c r="AB1633" s="133"/>
      <c r="AC1633" s="133"/>
      <c r="AD1633" s="133"/>
      <c r="AE1633" s="133"/>
      <c r="AF1633" s="133"/>
      <c r="AG1633" s="133"/>
      <c r="AH1633" s="133"/>
      <c r="AI1633" s="133"/>
      <c r="AJ1633" s="133"/>
      <c r="AK1633" s="133"/>
      <c r="AL1633" s="133"/>
      <c r="AM1633" s="133"/>
      <c r="AN1633" s="133"/>
      <c r="AO1633" s="133"/>
      <c r="AP1633" s="133"/>
      <c r="AQ1633" s="133"/>
      <c r="AR1633" s="133"/>
      <c r="AS1633" s="153">
        <v>0</v>
      </c>
      <c r="AT1633" s="153">
        <v>0</v>
      </c>
      <c r="AU1633" s="153">
        <v>0</v>
      </c>
      <c r="AV1633" s="135"/>
      <c r="AW1633" s="135"/>
      <c r="AX1633" s="135"/>
      <c r="AY1633" s="135"/>
      <c r="AZ1633" s="135"/>
      <c r="BA1633" s="135"/>
      <c r="BB1633" s="135"/>
      <c r="BC1633" s="135"/>
      <c r="BD1633" s="135"/>
      <c r="BE1633" s="135"/>
      <c r="BF1633" s="135"/>
      <c r="BG1633" s="135"/>
      <c r="BH1633" s="135"/>
      <c r="BI1633" s="2"/>
      <c r="BJ1633" s="136"/>
      <c r="BK1633" s="2"/>
      <c r="BL1633" s="136"/>
      <c r="BM1633" s="136"/>
      <c r="BN1633" s="2"/>
      <c r="BO1633" s="2"/>
      <c r="BP1633" s="136"/>
      <c r="BQ1633" s="137"/>
    </row>
    <row r="1634" spans="1:69" ht="12.75" customHeight="1" x14ac:dyDescent="0.2">
      <c r="A1634" s="2">
        <v>3123</v>
      </c>
      <c r="B1634" s="2"/>
      <c r="C1634" s="2"/>
      <c r="D1634" s="2"/>
      <c r="E1634" s="2"/>
      <c r="F1634" s="132">
        <v>0</v>
      </c>
      <c r="G1634" s="132"/>
      <c r="H1634" s="132">
        <f t="shared" si="185"/>
        <v>0</v>
      </c>
      <c r="I1634" s="132"/>
      <c r="J1634" s="132">
        <f t="shared" si="183"/>
        <v>0</v>
      </c>
      <c r="K1634" s="132">
        <f t="shared" si="186"/>
        <v>0</v>
      </c>
      <c r="L1634" s="132">
        <f t="shared" si="187"/>
        <v>0</v>
      </c>
      <c r="M1634" s="133"/>
      <c r="N1634" s="133">
        <f t="shared" si="184"/>
        <v>0</v>
      </c>
      <c r="O1634" s="134"/>
      <c r="P1634" s="133"/>
      <c r="Q1634" s="2"/>
      <c r="R1634" s="156">
        <f t="shared" si="188"/>
        <v>0</v>
      </c>
      <c r="S1634" s="156">
        <f t="shared" si="189"/>
        <v>0</v>
      </c>
      <c r="T1634" s="133"/>
      <c r="U1634" s="133"/>
      <c r="V1634" s="133"/>
      <c r="W1634" s="133"/>
      <c r="X1634" s="133"/>
      <c r="Y1634" s="133"/>
      <c r="Z1634" s="133"/>
      <c r="AA1634" s="133"/>
      <c r="AB1634" s="133"/>
      <c r="AC1634" s="133"/>
      <c r="AD1634" s="133"/>
      <c r="AE1634" s="133"/>
      <c r="AF1634" s="133"/>
      <c r="AG1634" s="133"/>
      <c r="AH1634" s="133"/>
      <c r="AI1634" s="133"/>
      <c r="AJ1634" s="133"/>
      <c r="AK1634" s="133"/>
      <c r="AL1634" s="133"/>
      <c r="AM1634" s="133"/>
      <c r="AN1634" s="133"/>
      <c r="AO1634" s="133"/>
      <c r="AP1634" s="133"/>
      <c r="AQ1634" s="133"/>
      <c r="AR1634" s="133"/>
      <c r="AS1634" s="153">
        <v>0</v>
      </c>
      <c r="AT1634" s="153">
        <v>0</v>
      </c>
      <c r="AU1634" s="153">
        <v>0</v>
      </c>
      <c r="AV1634" s="135"/>
      <c r="AW1634" s="135"/>
      <c r="AX1634" s="135"/>
      <c r="AY1634" s="135"/>
      <c r="AZ1634" s="135"/>
      <c r="BA1634" s="135"/>
      <c r="BB1634" s="135"/>
      <c r="BC1634" s="135"/>
      <c r="BD1634" s="135"/>
      <c r="BE1634" s="135"/>
      <c r="BF1634" s="135"/>
      <c r="BG1634" s="135"/>
      <c r="BH1634" s="135"/>
      <c r="BI1634" s="2"/>
      <c r="BJ1634" s="136"/>
      <c r="BK1634" s="2"/>
      <c r="BL1634" s="136"/>
      <c r="BM1634" s="136"/>
      <c r="BN1634" s="2"/>
      <c r="BO1634" s="2"/>
      <c r="BP1634" s="136"/>
      <c r="BQ1634" s="137"/>
    </row>
    <row r="1635" spans="1:69" ht="12.75" customHeight="1" x14ac:dyDescent="0.2">
      <c r="A1635" s="2">
        <v>3124</v>
      </c>
      <c r="B1635" s="2"/>
      <c r="C1635" s="2"/>
      <c r="D1635" s="2"/>
      <c r="E1635" s="2"/>
      <c r="F1635" s="132">
        <v>0</v>
      </c>
      <c r="G1635" s="132"/>
      <c r="H1635" s="132">
        <f t="shared" si="185"/>
        <v>0</v>
      </c>
      <c r="I1635" s="132"/>
      <c r="J1635" s="132">
        <f t="shared" si="183"/>
        <v>0</v>
      </c>
      <c r="K1635" s="132">
        <f t="shared" si="186"/>
        <v>0</v>
      </c>
      <c r="L1635" s="132">
        <f t="shared" si="187"/>
        <v>0</v>
      </c>
      <c r="M1635" s="133"/>
      <c r="N1635" s="133">
        <f t="shared" si="184"/>
        <v>0</v>
      </c>
      <c r="O1635" s="134"/>
      <c r="P1635" s="133"/>
      <c r="Q1635" s="2"/>
      <c r="R1635" s="156">
        <f t="shared" si="188"/>
        <v>0</v>
      </c>
      <c r="S1635" s="156">
        <f t="shared" si="189"/>
        <v>0</v>
      </c>
      <c r="T1635" s="133"/>
      <c r="U1635" s="133"/>
      <c r="V1635" s="133"/>
      <c r="W1635" s="133"/>
      <c r="X1635" s="133"/>
      <c r="Y1635" s="133"/>
      <c r="Z1635" s="133"/>
      <c r="AA1635" s="133"/>
      <c r="AB1635" s="133"/>
      <c r="AC1635" s="133"/>
      <c r="AD1635" s="133"/>
      <c r="AE1635" s="133"/>
      <c r="AF1635" s="133"/>
      <c r="AG1635" s="133"/>
      <c r="AH1635" s="133"/>
      <c r="AI1635" s="133"/>
      <c r="AJ1635" s="133"/>
      <c r="AK1635" s="133"/>
      <c r="AL1635" s="133"/>
      <c r="AM1635" s="133"/>
      <c r="AN1635" s="133"/>
      <c r="AO1635" s="133"/>
      <c r="AP1635" s="133"/>
      <c r="AQ1635" s="133"/>
      <c r="AR1635" s="133"/>
      <c r="AS1635" s="153">
        <v>0</v>
      </c>
      <c r="AT1635" s="153">
        <v>0</v>
      </c>
      <c r="AU1635" s="153">
        <v>0</v>
      </c>
      <c r="AV1635" s="135"/>
      <c r="AW1635" s="135"/>
      <c r="AX1635" s="135"/>
      <c r="AY1635" s="135"/>
      <c r="AZ1635" s="135"/>
      <c r="BA1635" s="135"/>
      <c r="BB1635" s="135"/>
      <c r="BC1635" s="135"/>
      <c r="BD1635" s="135"/>
      <c r="BE1635" s="135"/>
      <c r="BF1635" s="135"/>
      <c r="BG1635" s="135"/>
      <c r="BH1635" s="135"/>
      <c r="BI1635" s="2"/>
      <c r="BJ1635" s="136"/>
      <c r="BK1635" s="2"/>
      <c r="BL1635" s="136"/>
      <c r="BM1635" s="136"/>
      <c r="BN1635" s="2"/>
      <c r="BO1635" s="2"/>
      <c r="BP1635" s="136"/>
      <c r="BQ1635" s="137"/>
    </row>
    <row r="1636" spans="1:69" ht="12.75" customHeight="1" x14ac:dyDescent="0.2">
      <c r="A1636" s="2">
        <v>3125</v>
      </c>
      <c r="B1636" s="2"/>
      <c r="C1636" s="2"/>
      <c r="D1636" s="2"/>
      <c r="E1636" s="2"/>
      <c r="F1636" s="132">
        <v>0</v>
      </c>
      <c r="G1636" s="132"/>
      <c r="H1636" s="132">
        <f t="shared" si="185"/>
        <v>0</v>
      </c>
      <c r="I1636" s="132"/>
      <c r="J1636" s="132">
        <f t="shared" ref="J1636:J1699" si="190">S1636</f>
        <v>0</v>
      </c>
      <c r="K1636" s="132">
        <f t="shared" si="186"/>
        <v>0</v>
      </c>
      <c r="L1636" s="132">
        <f t="shared" si="187"/>
        <v>0</v>
      </c>
      <c r="M1636" s="133"/>
      <c r="N1636" s="133">
        <f t="shared" si="184"/>
        <v>0</v>
      </c>
      <c r="O1636" s="134"/>
      <c r="P1636" s="133"/>
      <c r="Q1636" s="2"/>
      <c r="R1636" s="156">
        <f t="shared" si="188"/>
        <v>0</v>
      </c>
      <c r="S1636" s="156">
        <f t="shared" si="189"/>
        <v>0</v>
      </c>
      <c r="T1636" s="133"/>
      <c r="U1636" s="133"/>
      <c r="V1636" s="133"/>
      <c r="W1636" s="133"/>
      <c r="X1636" s="133"/>
      <c r="Y1636" s="133"/>
      <c r="Z1636" s="133"/>
      <c r="AA1636" s="133"/>
      <c r="AB1636" s="133"/>
      <c r="AC1636" s="133"/>
      <c r="AD1636" s="133"/>
      <c r="AE1636" s="133"/>
      <c r="AF1636" s="133"/>
      <c r="AG1636" s="133"/>
      <c r="AH1636" s="133"/>
      <c r="AI1636" s="133"/>
      <c r="AJ1636" s="133"/>
      <c r="AK1636" s="133"/>
      <c r="AL1636" s="133"/>
      <c r="AM1636" s="133"/>
      <c r="AN1636" s="133"/>
      <c r="AO1636" s="133"/>
      <c r="AP1636" s="133"/>
      <c r="AQ1636" s="133"/>
      <c r="AR1636" s="133"/>
      <c r="AS1636" s="153">
        <v>0</v>
      </c>
      <c r="AT1636" s="153">
        <v>0</v>
      </c>
      <c r="AU1636" s="153">
        <v>0</v>
      </c>
      <c r="AV1636" s="135"/>
      <c r="AW1636" s="135"/>
      <c r="AX1636" s="135"/>
      <c r="AY1636" s="135"/>
      <c r="AZ1636" s="135"/>
      <c r="BA1636" s="135"/>
      <c r="BB1636" s="135"/>
      <c r="BC1636" s="135"/>
      <c r="BD1636" s="135"/>
      <c r="BE1636" s="135"/>
      <c r="BF1636" s="135"/>
      <c r="BG1636" s="135"/>
      <c r="BH1636" s="135"/>
      <c r="BI1636" s="2"/>
      <c r="BJ1636" s="136"/>
      <c r="BK1636" s="2"/>
      <c r="BL1636" s="136"/>
      <c r="BM1636" s="136"/>
      <c r="BN1636" s="2"/>
      <c r="BO1636" s="2"/>
      <c r="BP1636" s="136"/>
      <c r="BQ1636" s="137"/>
    </row>
    <row r="1637" spans="1:69" ht="12.75" customHeight="1" x14ac:dyDescent="0.2">
      <c r="A1637" s="2">
        <v>3126</v>
      </c>
      <c r="B1637" s="2"/>
      <c r="C1637" s="2"/>
      <c r="D1637" s="2"/>
      <c r="E1637" s="2"/>
      <c r="F1637" s="132">
        <v>0</v>
      </c>
      <c r="G1637" s="132"/>
      <c r="H1637" s="132">
        <f t="shared" si="185"/>
        <v>0</v>
      </c>
      <c r="I1637" s="132"/>
      <c r="J1637" s="132">
        <f t="shared" si="190"/>
        <v>0</v>
      </c>
      <c r="K1637" s="132">
        <f t="shared" si="186"/>
        <v>0</v>
      </c>
      <c r="L1637" s="132">
        <f t="shared" si="187"/>
        <v>0</v>
      </c>
      <c r="M1637" s="133"/>
      <c r="N1637" s="133">
        <f t="shared" si="184"/>
        <v>0</v>
      </c>
      <c r="O1637" s="134"/>
      <c r="P1637" s="133"/>
      <c r="Q1637" s="2"/>
      <c r="R1637" s="156">
        <f t="shared" si="188"/>
        <v>0</v>
      </c>
      <c r="S1637" s="156">
        <f t="shared" si="189"/>
        <v>0</v>
      </c>
      <c r="T1637" s="133"/>
      <c r="U1637" s="133"/>
      <c r="V1637" s="133"/>
      <c r="W1637" s="133"/>
      <c r="X1637" s="133"/>
      <c r="Y1637" s="133"/>
      <c r="Z1637" s="133"/>
      <c r="AA1637" s="133"/>
      <c r="AB1637" s="133"/>
      <c r="AC1637" s="133"/>
      <c r="AD1637" s="133"/>
      <c r="AE1637" s="133"/>
      <c r="AF1637" s="133"/>
      <c r="AG1637" s="133"/>
      <c r="AH1637" s="133"/>
      <c r="AI1637" s="133"/>
      <c r="AJ1637" s="133"/>
      <c r="AK1637" s="133"/>
      <c r="AL1637" s="133"/>
      <c r="AM1637" s="133"/>
      <c r="AN1637" s="133"/>
      <c r="AO1637" s="133"/>
      <c r="AP1637" s="133"/>
      <c r="AQ1637" s="133"/>
      <c r="AR1637" s="133"/>
      <c r="AS1637" s="153">
        <v>0</v>
      </c>
      <c r="AT1637" s="153">
        <v>0</v>
      </c>
      <c r="AU1637" s="153">
        <v>0</v>
      </c>
      <c r="AV1637" s="135"/>
      <c r="AW1637" s="135"/>
      <c r="AX1637" s="135"/>
      <c r="AY1637" s="135"/>
      <c r="AZ1637" s="135"/>
      <c r="BA1637" s="135"/>
      <c r="BB1637" s="135"/>
      <c r="BC1637" s="135"/>
      <c r="BD1637" s="135"/>
      <c r="BE1637" s="135"/>
      <c r="BF1637" s="135"/>
      <c r="BG1637" s="135"/>
      <c r="BH1637" s="135"/>
      <c r="BI1637" s="2"/>
      <c r="BJ1637" s="136"/>
      <c r="BK1637" s="2"/>
      <c r="BL1637" s="136"/>
      <c r="BM1637" s="136"/>
      <c r="BN1637" s="2"/>
      <c r="BO1637" s="2"/>
      <c r="BP1637" s="136"/>
      <c r="BQ1637" s="137"/>
    </row>
    <row r="1638" spans="1:69" ht="12.75" customHeight="1" x14ac:dyDescent="0.2">
      <c r="A1638" s="2">
        <v>3127</v>
      </c>
      <c r="B1638" s="2"/>
      <c r="C1638" s="2"/>
      <c r="D1638" s="2"/>
      <c r="E1638" s="2"/>
      <c r="F1638" s="132">
        <v>0</v>
      </c>
      <c r="G1638" s="132"/>
      <c r="H1638" s="132">
        <f t="shared" si="185"/>
        <v>0</v>
      </c>
      <c r="I1638" s="132"/>
      <c r="J1638" s="132">
        <f t="shared" si="190"/>
        <v>0</v>
      </c>
      <c r="K1638" s="132">
        <f t="shared" si="186"/>
        <v>0</v>
      </c>
      <c r="L1638" s="132">
        <f t="shared" si="187"/>
        <v>0</v>
      </c>
      <c r="M1638" s="133"/>
      <c r="N1638" s="133">
        <f t="shared" si="184"/>
        <v>0</v>
      </c>
      <c r="O1638" s="134"/>
      <c r="P1638" s="133"/>
      <c r="Q1638" s="2"/>
      <c r="R1638" s="156">
        <f t="shared" si="188"/>
        <v>0</v>
      </c>
      <c r="S1638" s="156">
        <f t="shared" si="189"/>
        <v>0</v>
      </c>
      <c r="T1638" s="133"/>
      <c r="U1638" s="133"/>
      <c r="V1638" s="133"/>
      <c r="W1638" s="133"/>
      <c r="X1638" s="133"/>
      <c r="Y1638" s="133"/>
      <c r="Z1638" s="133"/>
      <c r="AA1638" s="133"/>
      <c r="AB1638" s="133"/>
      <c r="AC1638" s="133"/>
      <c r="AD1638" s="133"/>
      <c r="AE1638" s="133"/>
      <c r="AF1638" s="133"/>
      <c r="AG1638" s="133"/>
      <c r="AH1638" s="133"/>
      <c r="AI1638" s="133"/>
      <c r="AJ1638" s="133"/>
      <c r="AK1638" s="133"/>
      <c r="AL1638" s="133"/>
      <c r="AM1638" s="133"/>
      <c r="AN1638" s="133"/>
      <c r="AO1638" s="133"/>
      <c r="AP1638" s="133"/>
      <c r="AQ1638" s="133"/>
      <c r="AR1638" s="133"/>
      <c r="AS1638" s="153">
        <v>0</v>
      </c>
      <c r="AT1638" s="153">
        <v>0</v>
      </c>
      <c r="AU1638" s="153">
        <v>0</v>
      </c>
      <c r="AV1638" s="135"/>
      <c r="AW1638" s="135"/>
      <c r="AX1638" s="135"/>
      <c r="AY1638" s="135"/>
      <c r="AZ1638" s="135"/>
      <c r="BA1638" s="135"/>
      <c r="BB1638" s="135"/>
      <c r="BC1638" s="135"/>
      <c r="BD1638" s="135"/>
      <c r="BE1638" s="135"/>
      <c r="BF1638" s="135"/>
      <c r="BG1638" s="135"/>
      <c r="BH1638" s="135"/>
      <c r="BI1638" s="2"/>
      <c r="BJ1638" s="136"/>
      <c r="BK1638" s="2"/>
      <c r="BL1638" s="136"/>
      <c r="BM1638" s="136"/>
      <c r="BN1638" s="2"/>
      <c r="BO1638" s="2"/>
      <c r="BP1638" s="136"/>
      <c r="BQ1638" s="137"/>
    </row>
    <row r="1639" spans="1:69" ht="12.75" customHeight="1" x14ac:dyDescent="0.2">
      <c r="A1639" s="2">
        <v>3128</v>
      </c>
      <c r="B1639" s="2"/>
      <c r="C1639" s="2"/>
      <c r="D1639" s="2"/>
      <c r="E1639" s="2"/>
      <c r="F1639" s="132">
        <v>0</v>
      </c>
      <c r="G1639" s="132"/>
      <c r="H1639" s="132">
        <f t="shared" si="185"/>
        <v>0</v>
      </c>
      <c r="I1639" s="132"/>
      <c r="J1639" s="132">
        <f t="shared" si="190"/>
        <v>0</v>
      </c>
      <c r="K1639" s="132">
        <f t="shared" si="186"/>
        <v>0</v>
      </c>
      <c r="L1639" s="132">
        <f t="shared" si="187"/>
        <v>0</v>
      </c>
      <c r="M1639" s="133"/>
      <c r="N1639" s="133">
        <f t="shared" si="184"/>
        <v>0</v>
      </c>
      <c r="O1639" s="134"/>
      <c r="P1639" s="133"/>
      <c r="Q1639" s="2"/>
      <c r="R1639" s="156">
        <f t="shared" si="188"/>
        <v>0</v>
      </c>
      <c r="S1639" s="156">
        <f t="shared" si="189"/>
        <v>0</v>
      </c>
      <c r="T1639" s="133"/>
      <c r="U1639" s="133"/>
      <c r="V1639" s="133"/>
      <c r="W1639" s="133"/>
      <c r="X1639" s="133"/>
      <c r="Y1639" s="133"/>
      <c r="Z1639" s="133"/>
      <c r="AA1639" s="133"/>
      <c r="AB1639" s="133"/>
      <c r="AC1639" s="133"/>
      <c r="AD1639" s="133"/>
      <c r="AE1639" s="133"/>
      <c r="AF1639" s="133"/>
      <c r="AG1639" s="133"/>
      <c r="AH1639" s="133"/>
      <c r="AI1639" s="133"/>
      <c r="AJ1639" s="133"/>
      <c r="AK1639" s="133"/>
      <c r="AL1639" s="133"/>
      <c r="AM1639" s="133"/>
      <c r="AN1639" s="133"/>
      <c r="AO1639" s="133"/>
      <c r="AP1639" s="133"/>
      <c r="AQ1639" s="133"/>
      <c r="AR1639" s="133"/>
      <c r="AS1639" s="153">
        <v>0</v>
      </c>
      <c r="AT1639" s="153">
        <v>0</v>
      </c>
      <c r="AU1639" s="153">
        <v>0</v>
      </c>
      <c r="AV1639" s="135"/>
      <c r="AW1639" s="135"/>
      <c r="AX1639" s="135"/>
      <c r="AY1639" s="135"/>
      <c r="AZ1639" s="135"/>
      <c r="BA1639" s="135"/>
      <c r="BB1639" s="135"/>
      <c r="BC1639" s="135"/>
      <c r="BD1639" s="135"/>
      <c r="BE1639" s="135"/>
      <c r="BF1639" s="135"/>
      <c r="BG1639" s="135"/>
      <c r="BH1639" s="135"/>
      <c r="BI1639" s="2"/>
      <c r="BJ1639" s="136"/>
      <c r="BK1639" s="2"/>
      <c r="BL1639" s="136"/>
      <c r="BM1639" s="136"/>
      <c r="BN1639" s="2"/>
      <c r="BO1639" s="2"/>
      <c r="BP1639" s="136"/>
      <c r="BQ1639" s="137"/>
    </row>
    <row r="1640" spans="1:69" ht="12.75" customHeight="1" x14ac:dyDescent="0.2">
      <c r="A1640" s="2">
        <v>3129</v>
      </c>
      <c r="B1640" s="2"/>
      <c r="C1640" s="2"/>
      <c r="D1640" s="2"/>
      <c r="E1640" s="2"/>
      <c r="F1640" s="132">
        <v>0</v>
      </c>
      <c r="G1640" s="132"/>
      <c r="H1640" s="132">
        <f t="shared" si="185"/>
        <v>0</v>
      </c>
      <c r="I1640" s="132"/>
      <c r="J1640" s="132">
        <f t="shared" si="190"/>
        <v>0</v>
      </c>
      <c r="K1640" s="132">
        <f t="shared" si="186"/>
        <v>0</v>
      </c>
      <c r="L1640" s="132">
        <f t="shared" si="187"/>
        <v>0</v>
      </c>
      <c r="M1640" s="133"/>
      <c r="N1640" s="133">
        <f t="shared" si="184"/>
        <v>0</v>
      </c>
      <c r="O1640" s="134"/>
      <c r="P1640" s="133"/>
      <c r="Q1640" s="2"/>
      <c r="R1640" s="156">
        <f t="shared" si="188"/>
        <v>0</v>
      </c>
      <c r="S1640" s="156">
        <f t="shared" si="189"/>
        <v>0</v>
      </c>
      <c r="T1640" s="133"/>
      <c r="U1640" s="133"/>
      <c r="V1640" s="133"/>
      <c r="W1640" s="133"/>
      <c r="X1640" s="133"/>
      <c r="Y1640" s="133"/>
      <c r="Z1640" s="133"/>
      <c r="AA1640" s="133"/>
      <c r="AB1640" s="133"/>
      <c r="AC1640" s="133"/>
      <c r="AD1640" s="133"/>
      <c r="AE1640" s="133"/>
      <c r="AF1640" s="133"/>
      <c r="AG1640" s="133"/>
      <c r="AH1640" s="133"/>
      <c r="AI1640" s="133"/>
      <c r="AJ1640" s="133"/>
      <c r="AK1640" s="133"/>
      <c r="AL1640" s="133"/>
      <c r="AM1640" s="133"/>
      <c r="AN1640" s="133"/>
      <c r="AO1640" s="133"/>
      <c r="AP1640" s="133"/>
      <c r="AQ1640" s="133"/>
      <c r="AR1640" s="133"/>
      <c r="AS1640" s="153">
        <v>0</v>
      </c>
      <c r="AT1640" s="153">
        <v>0</v>
      </c>
      <c r="AU1640" s="153">
        <v>0</v>
      </c>
      <c r="AV1640" s="135"/>
      <c r="AW1640" s="135"/>
      <c r="AX1640" s="135"/>
      <c r="AY1640" s="135"/>
      <c r="AZ1640" s="135"/>
      <c r="BA1640" s="135"/>
      <c r="BB1640" s="135"/>
      <c r="BC1640" s="135"/>
      <c r="BD1640" s="135"/>
      <c r="BE1640" s="135"/>
      <c r="BF1640" s="135"/>
      <c r="BG1640" s="135"/>
      <c r="BH1640" s="135"/>
      <c r="BI1640" s="2"/>
      <c r="BJ1640" s="136"/>
      <c r="BK1640" s="2"/>
      <c r="BL1640" s="136"/>
      <c r="BM1640" s="136"/>
      <c r="BN1640" s="2"/>
      <c r="BO1640" s="2"/>
      <c r="BP1640" s="136"/>
      <c r="BQ1640" s="137"/>
    </row>
    <row r="1641" spans="1:69" ht="12.75" customHeight="1" x14ac:dyDescent="0.2">
      <c r="A1641" s="2">
        <v>3130</v>
      </c>
      <c r="B1641" s="2"/>
      <c r="C1641" s="2"/>
      <c r="D1641" s="2"/>
      <c r="E1641" s="2"/>
      <c r="F1641" s="132">
        <v>0</v>
      </c>
      <c r="G1641" s="132"/>
      <c r="H1641" s="132">
        <f t="shared" si="185"/>
        <v>0</v>
      </c>
      <c r="I1641" s="132"/>
      <c r="J1641" s="132">
        <f t="shared" si="190"/>
        <v>0</v>
      </c>
      <c r="K1641" s="132">
        <f t="shared" si="186"/>
        <v>0</v>
      </c>
      <c r="L1641" s="132">
        <f t="shared" si="187"/>
        <v>0</v>
      </c>
      <c r="M1641" s="133"/>
      <c r="N1641" s="133">
        <f t="shared" si="184"/>
        <v>0</v>
      </c>
      <c r="O1641" s="134"/>
      <c r="P1641" s="133"/>
      <c r="Q1641" s="2"/>
      <c r="R1641" s="156">
        <f t="shared" si="188"/>
        <v>0</v>
      </c>
      <c r="S1641" s="156">
        <f t="shared" si="189"/>
        <v>0</v>
      </c>
      <c r="T1641" s="133"/>
      <c r="U1641" s="133"/>
      <c r="V1641" s="133"/>
      <c r="W1641" s="133"/>
      <c r="X1641" s="133"/>
      <c r="Y1641" s="133"/>
      <c r="Z1641" s="133"/>
      <c r="AA1641" s="133"/>
      <c r="AB1641" s="133"/>
      <c r="AC1641" s="133"/>
      <c r="AD1641" s="133"/>
      <c r="AE1641" s="133"/>
      <c r="AF1641" s="133"/>
      <c r="AG1641" s="133"/>
      <c r="AH1641" s="133"/>
      <c r="AI1641" s="133"/>
      <c r="AJ1641" s="133"/>
      <c r="AK1641" s="133"/>
      <c r="AL1641" s="133"/>
      <c r="AM1641" s="133"/>
      <c r="AN1641" s="133"/>
      <c r="AO1641" s="133"/>
      <c r="AP1641" s="133"/>
      <c r="AQ1641" s="133"/>
      <c r="AR1641" s="133"/>
      <c r="AS1641" s="153">
        <v>0</v>
      </c>
      <c r="AT1641" s="153">
        <v>0</v>
      </c>
      <c r="AU1641" s="153">
        <v>0</v>
      </c>
      <c r="AV1641" s="135"/>
      <c r="AW1641" s="135"/>
      <c r="AX1641" s="135"/>
      <c r="AY1641" s="135"/>
      <c r="AZ1641" s="135"/>
      <c r="BA1641" s="135"/>
      <c r="BB1641" s="135"/>
      <c r="BC1641" s="135"/>
      <c r="BD1641" s="135"/>
      <c r="BE1641" s="135"/>
      <c r="BF1641" s="135"/>
      <c r="BG1641" s="135"/>
      <c r="BH1641" s="135"/>
      <c r="BI1641" s="2"/>
      <c r="BJ1641" s="136"/>
      <c r="BK1641" s="2"/>
      <c r="BL1641" s="136"/>
      <c r="BM1641" s="136"/>
      <c r="BN1641" s="2"/>
      <c r="BO1641" s="2"/>
      <c r="BP1641" s="136"/>
      <c r="BQ1641" s="137"/>
    </row>
    <row r="1642" spans="1:69" ht="12.75" customHeight="1" x14ac:dyDescent="0.2">
      <c r="A1642" s="2">
        <v>3131</v>
      </c>
      <c r="B1642" s="2"/>
      <c r="C1642" s="2"/>
      <c r="D1642" s="2"/>
      <c r="E1642" s="2"/>
      <c r="F1642" s="132">
        <v>0</v>
      </c>
      <c r="G1642" s="132"/>
      <c r="H1642" s="132">
        <f t="shared" si="185"/>
        <v>0</v>
      </c>
      <c r="I1642" s="132"/>
      <c r="J1642" s="132">
        <f t="shared" si="190"/>
        <v>0</v>
      </c>
      <c r="K1642" s="132">
        <f t="shared" si="186"/>
        <v>0</v>
      </c>
      <c r="L1642" s="132">
        <f t="shared" si="187"/>
        <v>0</v>
      </c>
      <c r="M1642" s="133"/>
      <c r="N1642" s="133">
        <f t="shared" ref="N1642:N1705" si="191">IF(OR(BK1642="принят",BK1642="Завершено",BK1642="ПриПро"),H1642-J1642,F1642-J1642)</f>
        <v>0</v>
      </c>
      <c r="O1642" s="134"/>
      <c r="P1642" s="133"/>
      <c r="Q1642" s="2"/>
      <c r="R1642" s="156">
        <f t="shared" si="188"/>
        <v>0</v>
      </c>
      <c r="S1642" s="156">
        <f t="shared" si="189"/>
        <v>0</v>
      </c>
      <c r="T1642" s="133"/>
      <c r="U1642" s="133"/>
      <c r="V1642" s="133"/>
      <c r="W1642" s="133"/>
      <c r="X1642" s="133"/>
      <c r="Y1642" s="133"/>
      <c r="Z1642" s="133"/>
      <c r="AA1642" s="133"/>
      <c r="AB1642" s="133"/>
      <c r="AC1642" s="133"/>
      <c r="AD1642" s="133"/>
      <c r="AE1642" s="133"/>
      <c r="AF1642" s="133"/>
      <c r="AG1642" s="133"/>
      <c r="AH1642" s="133"/>
      <c r="AI1642" s="133"/>
      <c r="AJ1642" s="133"/>
      <c r="AK1642" s="133"/>
      <c r="AL1642" s="133"/>
      <c r="AM1642" s="133"/>
      <c r="AN1642" s="133"/>
      <c r="AO1642" s="133"/>
      <c r="AP1642" s="133"/>
      <c r="AQ1642" s="133"/>
      <c r="AR1642" s="133"/>
      <c r="AS1642" s="153">
        <v>0</v>
      </c>
      <c r="AT1642" s="153">
        <v>0</v>
      </c>
      <c r="AU1642" s="153">
        <v>0</v>
      </c>
      <c r="AV1642" s="135"/>
      <c r="AW1642" s="135"/>
      <c r="AX1642" s="135"/>
      <c r="AY1642" s="135"/>
      <c r="AZ1642" s="135"/>
      <c r="BA1642" s="135"/>
      <c r="BB1642" s="135"/>
      <c r="BC1642" s="135"/>
      <c r="BD1642" s="135"/>
      <c r="BE1642" s="135"/>
      <c r="BF1642" s="135"/>
      <c r="BG1642" s="135"/>
      <c r="BH1642" s="135"/>
      <c r="BI1642" s="2"/>
      <c r="BJ1642" s="136"/>
      <c r="BK1642" s="2"/>
      <c r="BL1642" s="136"/>
      <c r="BM1642" s="136"/>
      <c r="BN1642" s="2"/>
      <c r="BO1642" s="2"/>
      <c r="BP1642" s="136"/>
      <c r="BQ1642" s="137"/>
    </row>
    <row r="1643" spans="1:69" ht="12.75" customHeight="1" x14ac:dyDescent="0.2">
      <c r="A1643" s="2">
        <v>3132</v>
      </c>
      <c r="B1643" s="2"/>
      <c r="C1643" s="2"/>
      <c r="D1643" s="2"/>
      <c r="E1643" s="2"/>
      <c r="F1643" s="132">
        <v>0</v>
      </c>
      <c r="G1643" s="132"/>
      <c r="H1643" s="132">
        <f t="shared" si="185"/>
        <v>0</v>
      </c>
      <c r="I1643" s="132"/>
      <c r="J1643" s="132">
        <f t="shared" si="190"/>
        <v>0</v>
      </c>
      <c r="K1643" s="132">
        <f t="shared" si="186"/>
        <v>0</v>
      </c>
      <c r="L1643" s="132">
        <f t="shared" si="187"/>
        <v>0</v>
      </c>
      <c r="M1643" s="133"/>
      <c r="N1643" s="133">
        <f t="shared" si="191"/>
        <v>0</v>
      </c>
      <c r="O1643" s="134"/>
      <c r="P1643" s="133"/>
      <c r="Q1643" s="2"/>
      <c r="R1643" s="156">
        <f t="shared" si="188"/>
        <v>0</v>
      </c>
      <c r="S1643" s="156">
        <f t="shared" si="189"/>
        <v>0</v>
      </c>
      <c r="T1643" s="133"/>
      <c r="U1643" s="133"/>
      <c r="V1643" s="133"/>
      <c r="W1643" s="133"/>
      <c r="X1643" s="133"/>
      <c r="Y1643" s="133"/>
      <c r="Z1643" s="133"/>
      <c r="AA1643" s="133"/>
      <c r="AB1643" s="133"/>
      <c r="AC1643" s="133"/>
      <c r="AD1643" s="133"/>
      <c r="AE1643" s="133"/>
      <c r="AF1643" s="133"/>
      <c r="AG1643" s="133"/>
      <c r="AH1643" s="133"/>
      <c r="AI1643" s="133"/>
      <c r="AJ1643" s="133"/>
      <c r="AK1643" s="133"/>
      <c r="AL1643" s="133"/>
      <c r="AM1643" s="133"/>
      <c r="AN1643" s="133"/>
      <c r="AO1643" s="133"/>
      <c r="AP1643" s="133"/>
      <c r="AQ1643" s="133"/>
      <c r="AR1643" s="133"/>
      <c r="AS1643" s="153">
        <v>0</v>
      </c>
      <c r="AT1643" s="153">
        <v>0</v>
      </c>
      <c r="AU1643" s="153">
        <v>0</v>
      </c>
      <c r="AV1643" s="135"/>
      <c r="AW1643" s="135"/>
      <c r="AX1643" s="135"/>
      <c r="AY1643" s="135"/>
      <c r="AZ1643" s="135"/>
      <c r="BA1643" s="135"/>
      <c r="BB1643" s="135"/>
      <c r="BC1643" s="135"/>
      <c r="BD1643" s="135"/>
      <c r="BE1643" s="135"/>
      <c r="BF1643" s="135"/>
      <c r="BG1643" s="135"/>
      <c r="BH1643" s="135"/>
      <c r="BI1643" s="2"/>
      <c r="BJ1643" s="136"/>
      <c r="BK1643" s="2"/>
      <c r="BL1643" s="136"/>
      <c r="BM1643" s="136"/>
      <c r="BN1643" s="2"/>
      <c r="BO1643" s="2"/>
      <c r="BP1643" s="136"/>
      <c r="BQ1643" s="137"/>
    </row>
    <row r="1644" spans="1:69" ht="12.75" customHeight="1" x14ac:dyDescent="0.2">
      <c r="A1644" s="2">
        <v>3133</v>
      </c>
      <c r="B1644" s="2"/>
      <c r="C1644" s="2"/>
      <c r="D1644" s="2"/>
      <c r="E1644" s="2"/>
      <c r="F1644" s="132">
        <v>0</v>
      </c>
      <c r="G1644" s="132"/>
      <c r="H1644" s="132">
        <f t="shared" si="185"/>
        <v>0</v>
      </c>
      <c r="I1644" s="132"/>
      <c r="J1644" s="132">
        <f t="shared" si="190"/>
        <v>0</v>
      </c>
      <c r="K1644" s="132">
        <f t="shared" si="186"/>
        <v>0</v>
      </c>
      <c r="L1644" s="132">
        <f t="shared" si="187"/>
        <v>0</v>
      </c>
      <c r="M1644" s="133"/>
      <c r="N1644" s="133">
        <f t="shared" si="191"/>
        <v>0</v>
      </c>
      <c r="O1644" s="134"/>
      <c r="P1644" s="133"/>
      <c r="Q1644" s="2"/>
      <c r="R1644" s="156">
        <f t="shared" si="188"/>
        <v>0</v>
      </c>
      <c r="S1644" s="156">
        <f t="shared" si="189"/>
        <v>0</v>
      </c>
      <c r="T1644" s="133"/>
      <c r="U1644" s="133"/>
      <c r="V1644" s="133"/>
      <c r="W1644" s="133"/>
      <c r="X1644" s="133"/>
      <c r="Y1644" s="133"/>
      <c r="Z1644" s="133"/>
      <c r="AA1644" s="133"/>
      <c r="AB1644" s="133"/>
      <c r="AC1644" s="133"/>
      <c r="AD1644" s="133"/>
      <c r="AE1644" s="133"/>
      <c r="AF1644" s="133"/>
      <c r="AG1644" s="133"/>
      <c r="AH1644" s="133"/>
      <c r="AI1644" s="133"/>
      <c r="AJ1644" s="133"/>
      <c r="AK1644" s="133"/>
      <c r="AL1644" s="133"/>
      <c r="AM1644" s="133"/>
      <c r="AN1644" s="133"/>
      <c r="AO1644" s="133"/>
      <c r="AP1644" s="133"/>
      <c r="AQ1644" s="133"/>
      <c r="AR1644" s="133"/>
      <c r="AS1644" s="153">
        <v>0</v>
      </c>
      <c r="AT1644" s="153">
        <v>0</v>
      </c>
      <c r="AU1644" s="153">
        <v>0</v>
      </c>
      <c r="AV1644" s="135"/>
      <c r="AW1644" s="135"/>
      <c r="AX1644" s="135"/>
      <c r="AY1644" s="135"/>
      <c r="AZ1644" s="135"/>
      <c r="BA1644" s="135"/>
      <c r="BB1644" s="135"/>
      <c r="BC1644" s="135"/>
      <c r="BD1644" s="135"/>
      <c r="BE1644" s="135"/>
      <c r="BF1644" s="135"/>
      <c r="BG1644" s="135"/>
      <c r="BH1644" s="135"/>
      <c r="BI1644" s="2"/>
      <c r="BJ1644" s="136"/>
      <c r="BK1644" s="2"/>
      <c r="BL1644" s="136"/>
      <c r="BM1644" s="136"/>
      <c r="BN1644" s="2"/>
      <c r="BO1644" s="2"/>
      <c r="BP1644" s="136"/>
      <c r="BQ1644" s="137"/>
    </row>
    <row r="1645" spans="1:69" ht="12.75" customHeight="1" x14ac:dyDescent="0.2">
      <c r="A1645" s="2">
        <v>3134</v>
      </c>
      <c r="B1645" s="2"/>
      <c r="C1645" s="2"/>
      <c r="D1645" s="2"/>
      <c r="E1645" s="2"/>
      <c r="F1645" s="132">
        <v>0</v>
      </c>
      <c r="G1645" s="132"/>
      <c r="H1645" s="132">
        <f t="shared" si="185"/>
        <v>0</v>
      </c>
      <c r="I1645" s="132"/>
      <c r="J1645" s="132">
        <f t="shared" si="190"/>
        <v>0</v>
      </c>
      <c r="K1645" s="132">
        <f t="shared" si="186"/>
        <v>0</v>
      </c>
      <c r="L1645" s="132">
        <f t="shared" si="187"/>
        <v>0</v>
      </c>
      <c r="M1645" s="133"/>
      <c r="N1645" s="133">
        <f t="shared" si="191"/>
        <v>0</v>
      </c>
      <c r="O1645" s="134"/>
      <c r="P1645" s="133"/>
      <c r="Q1645" s="2"/>
      <c r="R1645" s="156">
        <f t="shared" si="188"/>
        <v>0</v>
      </c>
      <c r="S1645" s="156">
        <f t="shared" si="189"/>
        <v>0</v>
      </c>
      <c r="T1645" s="133"/>
      <c r="U1645" s="133"/>
      <c r="V1645" s="133"/>
      <c r="W1645" s="133"/>
      <c r="X1645" s="133"/>
      <c r="Y1645" s="133"/>
      <c r="Z1645" s="133"/>
      <c r="AA1645" s="133"/>
      <c r="AB1645" s="133"/>
      <c r="AC1645" s="133"/>
      <c r="AD1645" s="133"/>
      <c r="AE1645" s="133"/>
      <c r="AF1645" s="133"/>
      <c r="AG1645" s="133"/>
      <c r="AH1645" s="133"/>
      <c r="AI1645" s="133"/>
      <c r="AJ1645" s="133"/>
      <c r="AK1645" s="133"/>
      <c r="AL1645" s="133"/>
      <c r="AM1645" s="133"/>
      <c r="AN1645" s="133"/>
      <c r="AO1645" s="133"/>
      <c r="AP1645" s="133"/>
      <c r="AQ1645" s="133"/>
      <c r="AR1645" s="133"/>
      <c r="AS1645" s="153">
        <v>0</v>
      </c>
      <c r="AT1645" s="153">
        <v>0</v>
      </c>
      <c r="AU1645" s="153">
        <v>0</v>
      </c>
      <c r="AV1645" s="135"/>
      <c r="AW1645" s="135"/>
      <c r="AX1645" s="135"/>
      <c r="AY1645" s="135"/>
      <c r="AZ1645" s="135"/>
      <c r="BA1645" s="135"/>
      <c r="BB1645" s="135"/>
      <c r="BC1645" s="135"/>
      <c r="BD1645" s="135"/>
      <c r="BE1645" s="135"/>
      <c r="BF1645" s="135"/>
      <c r="BG1645" s="135"/>
      <c r="BH1645" s="135"/>
      <c r="BI1645" s="2"/>
      <c r="BJ1645" s="136"/>
      <c r="BK1645" s="2"/>
      <c r="BL1645" s="136"/>
      <c r="BM1645" s="136"/>
      <c r="BN1645" s="2"/>
      <c r="BO1645" s="2"/>
      <c r="BP1645" s="136"/>
      <c r="BQ1645" s="137"/>
    </row>
    <row r="1646" spans="1:69" ht="12.75" customHeight="1" x14ac:dyDescent="0.2">
      <c r="A1646" s="2">
        <v>3135</v>
      </c>
      <c r="B1646" s="2"/>
      <c r="C1646" s="2"/>
      <c r="D1646" s="2"/>
      <c r="E1646" s="2"/>
      <c r="F1646" s="132">
        <v>0</v>
      </c>
      <c r="G1646" s="132"/>
      <c r="H1646" s="132">
        <f t="shared" ref="H1646:H1709" si="192">R1646</f>
        <v>0</v>
      </c>
      <c r="I1646" s="132"/>
      <c r="J1646" s="132">
        <f t="shared" si="190"/>
        <v>0</v>
      </c>
      <c r="K1646" s="132">
        <f t="shared" si="186"/>
        <v>0</v>
      </c>
      <c r="L1646" s="132">
        <f t="shared" si="187"/>
        <v>0</v>
      </c>
      <c r="M1646" s="133"/>
      <c r="N1646" s="133">
        <f t="shared" si="191"/>
        <v>0</v>
      </c>
      <c r="O1646" s="134"/>
      <c r="P1646" s="133"/>
      <c r="Q1646" s="2"/>
      <c r="R1646" s="156">
        <f t="shared" si="188"/>
        <v>0</v>
      </c>
      <c r="S1646" s="156">
        <f t="shared" si="189"/>
        <v>0</v>
      </c>
      <c r="T1646" s="133"/>
      <c r="U1646" s="133"/>
      <c r="V1646" s="133"/>
      <c r="W1646" s="133"/>
      <c r="X1646" s="133"/>
      <c r="Y1646" s="133"/>
      <c r="Z1646" s="133"/>
      <c r="AA1646" s="133"/>
      <c r="AB1646" s="133"/>
      <c r="AC1646" s="133"/>
      <c r="AD1646" s="133"/>
      <c r="AE1646" s="133"/>
      <c r="AF1646" s="133"/>
      <c r="AG1646" s="133"/>
      <c r="AH1646" s="133"/>
      <c r="AI1646" s="133"/>
      <c r="AJ1646" s="133"/>
      <c r="AK1646" s="133"/>
      <c r="AL1646" s="133"/>
      <c r="AM1646" s="133"/>
      <c r="AN1646" s="133"/>
      <c r="AO1646" s="133"/>
      <c r="AP1646" s="133"/>
      <c r="AQ1646" s="133"/>
      <c r="AR1646" s="133"/>
      <c r="AS1646" s="153">
        <v>0</v>
      </c>
      <c r="AT1646" s="153">
        <v>0</v>
      </c>
      <c r="AU1646" s="153">
        <v>0</v>
      </c>
      <c r="AV1646" s="135"/>
      <c r="AW1646" s="135"/>
      <c r="AX1646" s="135"/>
      <c r="AY1646" s="135"/>
      <c r="AZ1646" s="135"/>
      <c r="BA1646" s="135"/>
      <c r="BB1646" s="135"/>
      <c r="BC1646" s="135"/>
      <c r="BD1646" s="135"/>
      <c r="BE1646" s="135"/>
      <c r="BF1646" s="135"/>
      <c r="BG1646" s="135"/>
      <c r="BH1646" s="135"/>
      <c r="BI1646" s="2"/>
      <c r="BJ1646" s="136"/>
      <c r="BK1646" s="2"/>
      <c r="BL1646" s="136"/>
      <c r="BM1646" s="136"/>
      <c r="BN1646" s="2"/>
      <c r="BO1646" s="2"/>
      <c r="BP1646" s="136"/>
      <c r="BQ1646" s="137"/>
    </row>
    <row r="1647" spans="1:69" ht="12.75" customHeight="1" x14ac:dyDescent="0.2">
      <c r="A1647" s="2">
        <v>3136</v>
      </c>
      <c r="B1647" s="2"/>
      <c r="C1647" s="2"/>
      <c r="D1647" s="2"/>
      <c r="E1647" s="2"/>
      <c r="F1647" s="132">
        <v>0</v>
      </c>
      <c r="G1647" s="132"/>
      <c r="H1647" s="132">
        <f t="shared" si="192"/>
        <v>0</v>
      </c>
      <c r="I1647" s="132"/>
      <c r="J1647" s="132">
        <f t="shared" si="190"/>
        <v>0</v>
      </c>
      <c r="K1647" s="132">
        <f t="shared" si="186"/>
        <v>0</v>
      </c>
      <c r="L1647" s="132">
        <f t="shared" si="187"/>
        <v>0</v>
      </c>
      <c r="M1647" s="133"/>
      <c r="N1647" s="133">
        <f t="shared" si="191"/>
        <v>0</v>
      </c>
      <c r="O1647" s="134"/>
      <c r="P1647" s="133"/>
      <c r="Q1647" s="2"/>
      <c r="R1647" s="156">
        <f t="shared" si="188"/>
        <v>0</v>
      </c>
      <c r="S1647" s="156">
        <f t="shared" si="189"/>
        <v>0</v>
      </c>
      <c r="T1647" s="133"/>
      <c r="U1647" s="133"/>
      <c r="V1647" s="133"/>
      <c r="W1647" s="133"/>
      <c r="X1647" s="133"/>
      <c r="Y1647" s="133"/>
      <c r="Z1647" s="133"/>
      <c r="AA1647" s="133"/>
      <c r="AB1647" s="133"/>
      <c r="AC1647" s="133"/>
      <c r="AD1647" s="133"/>
      <c r="AE1647" s="133"/>
      <c r="AF1647" s="133"/>
      <c r="AG1647" s="133"/>
      <c r="AH1647" s="133"/>
      <c r="AI1647" s="133"/>
      <c r="AJ1647" s="133"/>
      <c r="AK1647" s="133"/>
      <c r="AL1647" s="133"/>
      <c r="AM1647" s="133"/>
      <c r="AN1647" s="133"/>
      <c r="AO1647" s="133"/>
      <c r="AP1647" s="133"/>
      <c r="AQ1647" s="133"/>
      <c r="AR1647" s="133"/>
      <c r="AS1647" s="153">
        <v>0</v>
      </c>
      <c r="AT1647" s="153">
        <v>0</v>
      </c>
      <c r="AU1647" s="153">
        <v>0</v>
      </c>
      <c r="AV1647" s="135"/>
      <c r="AW1647" s="135"/>
      <c r="AX1647" s="135"/>
      <c r="AY1647" s="135"/>
      <c r="AZ1647" s="135"/>
      <c r="BA1647" s="135"/>
      <c r="BB1647" s="135"/>
      <c r="BC1647" s="135"/>
      <c r="BD1647" s="135"/>
      <c r="BE1647" s="135"/>
      <c r="BF1647" s="135"/>
      <c r="BG1647" s="135"/>
      <c r="BH1647" s="135"/>
      <c r="BI1647" s="2"/>
      <c r="BJ1647" s="136"/>
      <c r="BK1647" s="2"/>
      <c r="BL1647" s="136"/>
      <c r="BM1647" s="136"/>
      <c r="BN1647" s="2"/>
      <c r="BO1647" s="2"/>
      <c r="BP1647" s="136"/>
      <c r="BQ1647" s="137"/>
    </row>
    <row r="1648" spans="1:69" ht="12.75" customHeight="1" x14ac:dyDescent="0.2">
      <c r="A1648" s="2">
        <v>3137</v>
      </c>
      <c r="B1648" s="2"/>
      <c r="C1648" s="2"/>
      <c r="D1648" s="2"/>
      <c r="E1648" s="2"/>
      <c r="F1648" s="132">
        <v>0</v>
      </c>
      <c r="G1648" s="132"/>
      <c r="H1648" s="132">
        <f t="shared" si="192"/>
        <v>0</v>
      </c>
      <c r="I1648" s="132"/>
      <c r="J1648" s="132">
        <f t="shared" si="190"/>
        <v>0</v>
      </c>
      <c r="K1648" s="132">
        <f t="shared" si="186"/>
        <v>0</v>
      </c>
      <c r="L1648" s="132">
        <f t="shared" si="187"/>
        <v>0</v>
      </c>
      <c r="M1648" s="133"/>
      <c r="N1648" s="133">
        <f t="shared" si="191"/>
        <v>0</v>
      </c>
      <c r="O1648" s="134"/>
      <c r="P1648" s="133"/>
      <c r="Q1648" s="2"/>
      <c r="R1648" s="156">
        <f t="shared" si="188"/>
        <v>0</v>
      </c>
      <c r="S1648" s="156">
        <f t="shared" si="189"/>
        <v>0</v>
      </c>
      <c r="T1648" s="133"/>
      <c r="U1648" s="133"/>
      <c r="V1648" s="133"/>
      <c r="W1648" s="133"/>
      <c r="X1648" s="133"/>
      <c r="Y1648" s="133"/>
      <c r="Z1648" s="133"/>
      <c r="AA1648" s="133"/>
      <c r="AB1648" s="133"/>
      <c r="AC1648" s="133"/>
      <c r="AD1648" s="133"/>
      <c r="AE1648" s="133"/>
      <c r="AF1648" s="133"/>
      <c r="AG1648" s="133"/>
      <c r="AH1648" s="133"/>
      <c r="AI1648" s="133"/>
      <c r="AJ1648" s="133"/>
      <c r="AK1648" s="133"/>
      <c r="AL1648" s="133"/>
      <c r="AM1648" s="133"/>
      <c r="AN1648" s="133"/>
      <c r="AO1648" s="133"/>
      <c r="AP1648" s="133"/>
      <c r="AQ1648" s="133"/>
      <c r="AR1648" s="133"/>
      <c r="AS1648" s="153">
        <v>0</v>
      </c>
      <c r="AT1648" s="153">
        <v>0</v>
      </c>
      <c r="AU1648" s="153">
        <v>0</v>
      </c>
      <c r="AV1648" s="135"/>
      <c r="AW1648" s="135"/>
      <c r="AX1648" s="135"/>
      <c r="AY1648" s="135"/>
      <c r="AZ1648" s="135"/>
      <c r="BA1648" s="135"/>
      <c r="BB1648" s="135"/>
      <c r="BC1648" s="135"/>
      <c r="BD1648" s="135"/>
      <c r="BE1648" s="135"/>
      <c r="BF1648" s="135"/>
      <c r="BG1648" s="135"/>
      <c r="BH1648" s="135"/>
      <c r="BI1648" s="2"/>
      <c r="BJ1648" s="136"/>
      <c r="BK1648" s="2"/>
      <c r="BL1648" s="136"/>
      <c r="BM1648" s="136"/>
      <c r="BN1648" s="2"/>
      <c r="BO1648" s="2"/>
      <c r="BP1648" s="136"/>
      <c r="BQ1648" s="137"/>
    </row>
    <row r="1649" spans="1:69" ht="12.75" customHeight="1" x14ac:dyDescent="0.2">
      <c r="A1649" s="2">
        <v>3138</v>
      </c>
      <c r="B1649" s="2"/>
      <c r="C1649" s="2"/>
      <c r="D1649" s="2"/>
      <c r="E1649" s="2"/>
      <c r="F1649" s="132">
        <v>0</v>
      </c>
      <c r="G1649" s="132"/>
      <c r="H1649" s="132">
        <f t="shared" si="192"/>
        <v>0</v>
      </c>
      <c r="I1649" s="132"/>
      <c r="J1649" s="132">
        <f t="shared" si="190"/>
        <v>0</v>
      </c>
      <c r="K1649" s="132">
        <f t="shared" si="186"/>
        <v>0</v>
      </c>
      <c r="L1649" s="132">
        <f t="shared" si="187"/>
        <v>0</v>
      </c>
      <c r="M1649" s="133"/>
      <c r="N1649" s="133">
        <f t="shared" si="191"/>
        <v>0</v>
      </c>
      <c r="O1649" s="134"/>
      <c r="P1649" s="133"/>
      <c r="Q1649" s="2"/>
      <c r="R1649" s="156">
        <f t="shared" si="188"/>
        <v>0</v>
      </c>
      <c r="S1649" s="156">
        <f t="shared" si="189"/>
        <v>0</v>
      </c>
      <c r="T1649" s="133"/>
      <c r="U1649" s="133"/>
      <c r="V1649" s="133"/>
      <c r="W1649" s="133"/>
      <c r="X1649" s="133"/>
      <c r="Y1649" s="133"/>
      <c r="Z1649" s="133"/>
      <c r="AA1649" s="133"/>
      <c r="AB1649" s="133"/>
      <c r="AC1649" s="133"/>
      <c r="AD1649" s="133"/>
      <c r="AE1649" s="133"/>
      <c r="AF1649" s="133"/>
      <c r="AG1649" s="133"/>
      <c r="AH1649" s="133"/>
      <c r="AI1649" s="133"/>
      <c r="AJ1649" s="133"/>
      <c r="AK1649" s="133"/>
      <c r="AL1649" s="133"/>
      <c r="AM1649" s="133"/>
      <c r="AN1649" s="133"/>
      <c r="AO1649" s="133"/>
      <c r="AP1649" s="133"/>
      <c r="AQ1649" s="133"/>
      <c r="AR1649" s="133"/>
      <c r="AS1649" s="153">
        <v>0</v>
      </c>
      <c r="AT1649" s="153">
        <v>0</v>
      </c>
      <c r="AU1649" s="153">
        <v>0</v>
      </c>
      <c r="AV1649" s="135"/>
      <c r="AW1649" s="135"/>
      <c r="AX1649" s="135"/>
      <c r="AY1649" s="135"/>
      <c r="AZ1649" s="135"/>
      <c r="BA1649" s="135"/>
      <c r="BB1649" s="135"/>
      <c r="BC1649" s="135"/>
      <c r="BD1649" s="135"/>
      <c r="BE1649" s="135"/>
      <c r="BF1649" s="135"/>
      <c r="BG1649" s="135"/>
      <c r="BH1649" s="135"/>
      <c r="BI1649" s="2"/>
      <c r="BJ1649" s="136"/>
      <c r="BK1649" s="2"/>
      <c r="BL1649" s="136"/>
      <c r="BM1649" s="136"/>
      <c r="BN1649" s="2"/>
      <c r="BO1649" s="2"/>
      <c r="BP1649" s="136"/>
      <c r="BQ1649" s="137"/>
    </row>
    <row r="1650" spans="1:69" ht="12.75" customHeight="1" x14ac:dyDescent="0.2">
      <c r="A1650" s="2">
        <v>3139</v>
      </c>
      <c r="B1650" s="2"/>
      <c r="C1650" s="2"/>
      <c r="D1650" s="2"/>
      <c r="E1650" s="2"/>
      <c r="F1650" s="132">
        <v>0</v>
      </c>
      <c r="G1650" s="132"/>
      <c r="H1650" s="132">
        <f t="shared" si="192"/>
        <v>0</v>
      </c>
      <c r="I1650" s="132"/>
      <c r="J1650" s="132">
        <f t="shared" si="190"/>
        <v>0</v>
      </c>
      <c r="K1650" s="132">
        <f t="shared" si="186"/>
        <v>0</v>
      </c>
      <c r="L1650" s="132">
        <f t="shared" si="187"/>
        <v>0</v>
      </c>
      <c r="M1650" s="133"/>
      <c r="N1650" s="133">
        <f t="shared" si="191"/>
        <v>0</v>
      </c>
      <c r="O1650" s="134"/>
      <c r="P1650" s="133"/>
      <c r="Q1650" s="2"/>
      <c r="R1650" s="156">
        <f t="shared" si="188"/>
        <v>0</v>
      </c>
      <c r="S1650" s="156">
        <f t="shared" si="189"/>
        <v>0</v>
      </c>
      <c r="T1650" s="133"/>
      <c r="U1650" s="133"/>
      <c r="V1650" s="133"/>
      <c r="W1650" s="133"/>
      <c r="X1650" s="133"/>
      <c r="Y1650" s="133"/>
      <c r="Z1650" s="133"/>
      <c r="AA1650" s="133"/>
      <c r="AB1650" s="133"/>
      <c r="AC1650" s="133"/>
      <c r="AD1650" s="133"/>
      <c r="AE1650" s="133"/>
      <c r="AF1650" s="133"/>
      <c r="AG1650" s="133"/>
      <c r="AH1650" s="133"/>
      <c r="AI1650" s="133"/>
      <c r="AJ1650" s="133"/>
      <c r="AK1650" s="133"/>
      <c r="AL1650" s="133"/>
      <c r="AM1650" s="133"/>
      <c r="AN1650" s="133"/>
      <c r="AO1650" s="133"/>
      <c r="AP1650" s="133"/>
      <c r="AQ1650" s="133"/>
      <c r="AR1650" s="133"/>
      <c r="AS1650" s="153">
        <v>0</v>
      </c>
      <c r="AT1650" s="153">
        <v>0</v>
      </c>
      <c r="AU1650" s="153">
        <v>0</v>
      </c>
      <c r="AV1650" s="135"/>
      <c r="AW1650" s="135"/>
      <c r="AX1650" s="135"/>
      <c r="AY1650" s="135"/>
      <c r="AZ1650" s="135"/>
      <c r="BA1650" s="135"/>
      <c r="BB1650" s="135"/>
      <c r="BC1650" s="135"/>
      <c r="BD1650" s="135"/>
      <c r="BE1650" s="135"/>
      <c r="BF1650" s="135"/>
      <c r="BG1650" s="135"/>
      <c r="BH1650" s="135"/>
      <c r="BI1650" s="2"/>
      <c r="BJ1650" s="136"/>
      <c r="BK1650" s="2"/>
      <c r="BL1650" s="136"/>
      <c r="BM1650" s="136"/>
      <c r="BN1650" s="2"/>
      <c r="BO1650" s="2"/>
      <c r="BP1650" s="136"/>
      <c r="BQ1650" s="137"/>
    </row>
    <row r="1651" spans="1:69" ht="12.75" customHeight="1" x14ac:dyDescent="0.2">
      <c r="A1651" s="2">
        <v>3140</v>
      </c>
      <c r="B1651" s="2"/>
      <c r="C1651" s="2"/>
      <c r="D1651" s="2"/>
      <c r="E1651" s="2"/>
      <c r="F1651" s="132">
        <v>0</v>
      </c>
      <c r="G1651" s="132"/>
      <c r="H1651" s="132">
        <f t="shared" si="192"/>
        <v>0</v>
      </c>
      <c r="I1651" s="132"/>
      <c r="J1651" s="132">
        <f t="shared" si="190"/>
        <v>0</v>
      </c>
      <c r="K1651" s="132">
        <f t="shared" si="186"/>
        <v>0</v>
      </c>
      <c r="L1651" s="132">
        <f t="shared" si="187"/>
        <v>0</v>
      </c>
      <c r="M1651" s="133"/>
      <c r="N1651" s="133">
        <f t="shared" si="191"/>
        <v>0</v>
      </c>
      <c r="O1651" s="134"/>
      <c r="P1651" s="133"/>
      <c r="Q1651" s="2"/>
      <c r="R1651" s="156">
        <f t="shared" si="188"/>
        <v>0</v>
      </c>
      <c r="S1651" s="156">
        <f t="shared" si="189"/>
        <v>0</v>
      </c>
      <c r="T1651" s="133"/>
      <c r="U1651" s="133"/>
      <c r="V1651" s="133"/>
      <c r="W1651" s="133"/>
      <c r="X1651" s="133"/>
      <c r="Y1651" s="133"/>
      <c r="Z1651" s="133"/>
      <c r="AA1651" s="133"/>
      <c r="AB1651" s="133"/>
      <c r="AC1651" s="133"/>
      <c r="AD1651" s="133"/>
      <c r="AE1651" s="133"/>
      <c r="AF1651" s="133"/>
      <c r="AG1651" s="133"/>
      <c r="AH1651" s="133"/>
      <c r="AI1651" s="133"/>
      <c r="AJ1651" s="133"/>
      <c r="AK1651" s="133"/>
      <c r="AL1651" s="133"/>
      <c r="AM1651" s="133"/>
      <c r="AN1651" s="133"/>
      <c r="AO1651" s="133"/>
      <c r="AP1651" s="133"/>
      <c r="AQ1651" s="133"/>
      <c r="AR1651" s="133"/>
      <c r="AS1651" s="153">
        <v>0</v>
      </c>
      <c r="AT1651" s="153">
        <v>0</v>
      </c>
      <c r="AU1651" s="153">
        <v>0</v>
      </c>
      <c r="AV1651" s="135"/>
      <c r="AW1651" s="135"/>
      <c r="AX1651" s="135"/>
      <c r="AY1651" s="135"/>
      <c r="AZ1651" s="135"/>
      <c r="BA1651" s="135"/>
      <c r="BB1651" s="135"/>
      <c r="BC1651" s="135"/>
      <c r="BD1651" s="135"/>
      <c r="BE1651" s="135"/>
      <c r="BF1651" s="135"/>
      <c r="BG1651" s="135"/>
      <c r="BH1651" s="135"/>
      <c r="BI1651" s="2"/>
      <c r="BJ1651" s="136"/>
      <c r="BK1651" s="2"/>
      <c r="BL1651" s="136"/>
      <c r="BM1651" s="136"/>
      <c r="BN1651" s="2"/>
      <c r="BO1651" s="2"/>
      <c r="BP1651" s="136"/>
      <c r="BQ1651" s="137"/>
    </row>
    <row r="1652" spans="1:69" ht="12.75" customHeight="1" x14ac:dyDescent="0.2">
      <c r="A1652" s="2">
        <v>3141</v>
      </c>
      <c r="B1652" s="2"/>
      <c r="C1652" s="2"/>
      <c r="D1652" s="2"/>
      <c r="E1652" s="2"/>
      <c r="F1652" s="132">
        <v>0</v>
      </c>
      <c r="G1652" s="132"/>
      <c r="H1652" s="132">
        <f t="shared" si="192"/>
        <v>0</v>
      </c>
      <c r="I1652" s="132"/>
      <c r="J1652" s="132">
        <f t="shared" si="190"/>
        <v>0</v>
      </c>
      <c r="K1652" s="132">
        <f t="shared" si="186"/>
        <v>0</v>
      </c>
      <c r="L1652" s="132">
        <f t="shared" si="187"/>
        <v>0</v>
      </c>
      <c r="M1652" s="133"/>
      <c r="N1652" s="133">
        <f t="shared" si="191"/>
        <v>0</v>
      </c>
      <c r="O1652" s="134"/>
      <c r="P1652" s="133"/>
      <c r="Q1652" s="2"/>
      <c r="R1652" s="156">
        <f t="shared" si="188"/>
        <v>0</v>
      </c>
      <c r="S1652" s="156">
        <f t="shared" si="189"/>
        <v>0</v>
      </c>
      <c r="T1652" s="133"/>
      <c r="U1652" s="133"/>
      <c r="V1652" s="133"/>
      <c r="W1652" s="133"/>
      <c r="X1652" s="133"/>
      <c r="Y1652" s="133"/>
      <c r="Z1652" s="133"/>
      <c r="AA1652" s="133"/>
      <c r="AB1652" s="133"/>
      <c r="AC1652" s="133"/>
      <c r="AD1652" s="133"/>
      <c r="AE1652" s="133"/>
      <c r="AF1652" s="133"/>
      <c r="AG1652" s="133"/>
      <c r="AH1652" s="133"/>
      <c r="AI1652" s="133"/>
      <c r="AJ1652" s="133"/>
      <c r="AK1652" s="133"/>
      <c r="AL1652" s="133"/>
      <c r="AM1652" s="133"/>
      <c r="AN1652" s="133"/>
      <c r="AO1652" s="133"/>
      <c r="AP1652" s="133"/>
      <c r="AQ1652" s="133"/>
      <c r="AR1652" s="133"/>
      <c r="AS1652" s="153">
        <v>0</v>
      </c>
      <c r="AT1652" s="153">
        <v>0</v>
      </c>
      <c r="AU1652" s="153">
        <v>0</v>
      </c>
      <c r="AV1652" s="135"/>
      <c r="AW1652" s="135"/>
      <c r="AX1652" s="135"/>
      <c r="AY1652" s="135"/>
      <c r="AZ1652" s="135"/>
      <c r="BA1652" s="135"/>
      <c r="BB1652" s="135"/>
      <c r="BC1652" s="135"/>
      <c r="BD1652" s="135"/>
      <c r="BE1652" s="135"/>
      <c r="BF1652" s="135"/>
      <c r="BG1652" s="135"/>
      <c r="BH1652" s="135"/>
      <c r="BI1652" s="2"/>
      <c r="BJ1652" s="136"/>
      <c r="BK1652" s="2"/>
      <c r="BL1652" s="136"/>
      <c r="BM1652" s="136"/>
      <c r="BN1652" s="2"/>
      <c r="BO1652" s="2"/>
      <c r="BP1652" s="136"/>
      <c r="BQ1652" s="137"/>
    </row>
    <row r="1653" spans="1:69" ht="12.75" customHeight="1" x14ac:dyDescent="0.2">
      <c r="A1653" s="2">
        <v>3142</v>
      </c>
      <c r="B1653" s="2"/>
      <c r="C1653" s="2"/>
      <c r="D1653" s="2"/>
      <c r="E1653" s="2"/>
      <c r="F1653" s="132">
        <v>0</v>
      </c>
      <c r="G1653" s="132"/>
      <c r="H1653" s="132">
        <f t="shared" si="192"/>
        <v>0</v>
      </c>
      <c r="I1653" s="132"/>
      <c r="J1653" s="132">
        <f t="shared" si="190"/>
        <v>0</v>
      </c>
      <c r="K1653" s="132">
        <f t="shared" si="186"/>
        <v>0</v>
      </c>
      <c r="L1653" s="132">
        <f t="shared" si="187"/>
        <v>0</v>
      </c>
      <c r="M1653" s="133"/>
      <c r="N1653" s="133">
        <f t="shared" si="191"/>
        <v>0</v>
      </c>
      <c r="O1653" s="134"/>
      <c r="P1653" s="133"/>
      <c r="Q1653" s="2"/>
      <c r="R1653" s="156">
        <f t="shared" si="188"/>
        <v>0</v>
      </c>
      <c r="S1653" s="156">
        <f t="shared" si="189"/>
        <v>0</v>
      </c>
      <c r="T1653" s="133"/>
      <c r="U1653" s="133"/>
      <c r="V1653" s="133"/>
      <c r="W1653" s="133"/>
      <c r="X1653" s="133"/>
      <c r="Y1653" s="133"/>
      <c r="Z1653" s="133"/>
      <c r="AA1653" s="133"/>
      <c r="AB1653" s="133"/>
      <c r="AC1653" s="133"/>
      <c r="AD1653" s="133"/>
      <c r="AE1653" s="133"/>
      <c r="AF1653" s="133"/>
      <c r="AG1653" s="133"/>
      <c r="AH1653" s="133"/>
      <c r="AI1653" s="133"/>
      <c r="AJ1653" s="133"/>
      <c r="AK1653" s="133"/>
      <c r="AL1653" s="133"/>
      <c r="AM1653" s="133"/>
      <c r="AN1653" s="133"/>
      <c r="AO1653" s="133"/>
      <c r="AP1653" s="133"/>
      <c r="AQ1653" s="133"/>
      <c r="AR1653" s="133"/>
      <c r="AS1653" s="153">
        <v>0</v>
      </c>
      <c r="AT1653" s="153">
        <v>0</v>
      </c>
      <c r="AU1653" s="153">
        <v>0</v>
      </c>
      <c r="AV1653" s="135"/>
      <c r="AW1653" s="135"/>
      <c r="AX1653" s="135"/>
      <c r="AY1653" s="135"/>
      <c r="AZ1653" s="135"/>
      <c r="BA1653" s="135"/>
      <c r="BB1653" s="135"/>
      <c r="BC1653" s="135"/>
      <c r="BD1653" s="135"/>
      <c r="BE1653" s="135"/>
      <c r="BF1653" s="135"/>
      <c r="BG1653" s="135"/>
      <c r="BH1653" s="135"/>
      <c r="BI1653" s="2"/>
      <c r="BJ1653" s="136"/>
      <c r="BK1653" s="2"/>
      <c r="BL1653" s="136"/>
      <c r="BM1653" s="136"/>
      <c r="BN1653" s="2"/>
      <c r="BO1653" s="2"/>
      <c r="BP1653" s="136"/>
      <c r="BQ1653" s="137"/>
    </row>
    <row r="1654" spans="1:69" ht="12.75" customHeight="1" x14ac:dyDescent="0.2">
      <c r="A1654" s="2">
        <v>3143</v>
      </c>
      <c r="B1654" s="2"/>
      <c r="C1654" s="2"/>
      <c r="D1654" s="2"/>
      <c r="E1654" s="2"/>
      <c r="F1654" s="132">
        <v>0</v>
      </c>
      <c r="G1654" s="132"/>
      <c r="H1654" s="132">
        <f t="shared" si="192"/>
        <v>0</v>
      </c>
      <c r="I1654" s="132"/>
      <c r="J1654" s="132">
        <f t="shared" si="190"/>
        <v>0</v>
      </c>
      <c r="K1654" s="132">
        <f t="shared" ref="K1654:K1717" si="193">F1654-J1654</f>
        <v>0</v>
      </c>
      <c r="L1654" s="132">
        <f t="shared" si="187"/>
        <v>0</v>
      </c>
      <c r="M1654" s="133"/>
      <c r="N1654" s="133">
        <f t="shared" si="191"/>
        <v>0</v>
      </c>
      <c r="O1654" s="134"/>
      <c r="P1654" s="133"/>
      <c r="Q1654" s="2"/>
      <c r="R1654" s="156">
        <f t="shared" si="188"/>
        <v>0</v>
      </c>
      <c r="S1654" s="156">
        <f t="shared" si="189"/>
        <v>0</v>
      </c>
      <c r="T1654" s="133"/>
      <c r="U1654" s="133"/>
      <c r="V1654" s="133"/>
      <c r="W1654" s="133"/>
      <c r="X1654" s="133"/>
      <c r="Y1654" s="133"/>
      <c r="Z1654" s="133"/>
      <c r="AA1654" s="133"/>
      <c r="AB1654" s="133"/>
      <c r="AC1654" s="133"/>
      <c r="AD1654" s="133"/>
      <c r="AE1654" s="133"/>
      <c r="AF1654" s="133"/>
      <c r="AG1654" s="133"/>
      <c r="AH1654" s="133"/>
      <c r="AI1654" s="133"/>
      <c r="AJ1654" s="133"/>
      <c r="AK1654" s="133"/>
      <c r="AL1654" s="133"/>
      <c r="AM1654" s="133"/>
      <c r="AN1654" s="133"/>
      <c r="AO1654" s="133"/>
      <c r="AP1654" s="133"/>
      <c r="AQ1654" s="133"/>
      <c r="AR1654" s="133"/>
      <c r="AS1654" s="153">
        <v>0</v>
      </c>
      <c r="AT1654" s="153">
        <v>0</v>
      </c>
      <c r="AU1654" s="153">
        <v>0</v>
      </c>
      <c r="AV1654" s="135"/>
      <c r="AW1654" s="135"/>
      <c r="AX1654" s="135"/>
      <c r="AY1654" s="135"/>
      <c r="AZ1654" s="135"/>
      <c r="BA1654" s="135"/>
      <c r="BB1654" s="135"/>
      <c r="BC1654" s="135"/>
      <c r="BD1654" s="135"/>
      <c r="BE1654" s="135"/>
      <c r="BF1654" s="135"/>
      <c r="BG1654" s="135"/>
      <c r="BH1654" s="135"/>
      <c r="BI1654" s="2"/>
      <c r="BJ1654" s="136"/>
      <c r="BK1654" s="2"/>
      <c r="BL1654" s="136"/>
      <c r="BM1654" s="136"/>
      <c r="BN1654" s="2"/>
      <c r="BO1654" s="2"/>
      <c r="BP1654" s="136"/>
      <c r="BQ1654" s="137"/>
    </row>
    <row r="1655" spans="1:69" ht="12.75" customHeight="1" x14ac:dyDescent="0.2">
      <c r="A1655" s="2">
        <v>3144</v>
      </c>
      <c r="B1655" s="2"/>
      <c r="C1655" s="2"/>
      <c r="D1655" s="2"/>
      <c r="E1655" s="2"/>
      <c r="F1655" s="132">
        <v>0</v>
      </c>
      <c r="G1655" s="132"/>
      <c r="H1655" s="132">
        <f t="shared" si="192"/>
        <v>0</v>
      </c>
      <c r="I1655" s="132"/>
      <c r="J1655" s="132">
        <f t="shared" si="190"/>
        <v>0</v>
      </c>
      <c r="K1655" s="132">
        <f t="shared" si="193"/>
        <v>0</v>
      </c>
      <c r="L1655" s="132">
        <f t="shared" si="187"/>
        <v>0</v>
      </c>
      <c r="M1655" s="133"/>
      <c r="N1655" s="133">
        <f t="shared" si="191"/>
        <v>0</v>
      </c>
      <c r="O1655" s="134"/>
      <c r="P1655" s="133"/>
      <c r="Q1655" s="2"/>
      <c r="R1655" s="156">
        <f t="shared" si="188"/>
        <v>0</v>
      </c>
      <c r="S1655" s="156">
        <f t="shared" si="189"/>
        <v>0</v>
      </c>
      <c r="T1655" s="133"/>
      <c r="U1655" s="133"/>
      <c r="V1655" s="133"/>
      <c r="W1655" s="133"/>
      <c r="X1655" s="133"/>
      <c r="Y1655" s="133"/>
      <c r="Z1655" s="133"/>
      <c r="AA1655" s="133"/>
      <c r="AB1655" s="133"/>
      <c r="AC1655" s="133"/>
      <c r="AD1655" s="133"/>
      <c r="AE1655" s="133"/>
      <c r="AF1655" s="133"/>
      <c r="AG1655" s="133"/>
      <c r="AH1655" s="133"/>
      <c r="AI1655" s="133"/>
      <c r="AJ1655" s="133"/>
      <c r="AK1655" s="133"/>
      <c r="AL1655" s="133"/>
      <c r="AM1655" s="133"/>
      <c r="AN1655" s="133"/>
      <c r="AO1655" s="133"/>
      <c r="AP1655" s="133"/>
      <c r="AQ1655" s="133"/>
      <c r="AR1655" s="133"/>
      <c r="AS1655" s="153">
        <v>0</v>
      </c>
      <c r="AT1655" s="153">
        <v>0</v>
      </c>
      <c r="AU1655" s="153">
        <v>0</v>
      </c>
      <c r="AV1655" s="135"/>
      <c r="AW1655" s="135"/>
      <c r="AX1655" s="135"/>
      <c r="AY1655" s="135"/>
      <c r="AZ1655" s="135"/>
      <c r="BA1655" s="135"/>
      <c r="BB1655" s="135"/>
      <c r="BC1655" s="135"/>
      <c r="BD1655" s="135"/>
      <c r="BE1655" s="135"/>
      <c r="BF1655" s="135"/>
      <c r="BG1655" s="135"/>
      <c r="BH1655" s="135"/>
      <c r="BI1655" s="2"/>
      <c r="BJ1655" s="136"/>
      <c r="BK1655" s="2"/>
      <c r="BL1655" s="136"/>
      <c r="BM1655" s="136"/>
      <c r="BN1655" s="2"/>
      <c r="BO1655" s="2"/>
      <c r="BP1655" s="136"/>
      <c r="BQ1655" s="137"/>
    </row>
    <row r="1656" spans="1:69" ht="12.75" customHeight="1" x14ac:dyDescent="0.2">
      <c r="A1656" s="2">
        <v>3145</v>
      </c>
      <c r="B1656" s="2"/>
      <c r="C1656" s="2"/>
      <c r="D1656" s="2"/>
      <c r="E1656" s="2"/>
      <c r="F1656" s="132">
        <v>0</v>
      </c>
      <c r="G1656" s="132"/>
      <c r="H1656" s="132">
        <f t="shared" si="192"/>
        <v>0</v>
      </c>
      <c r="I1656" s="132"/>
      <c r="J1656" s="132">
        <f t="shared" si="190"/>
        <v>0</v>
      </c>
      <c r="K1656" s="132">
        <f t="shared" si="193"/>
        <v>0</v>
      </c>
      <c r="L1656" s="132">
        <f t="shared" si="187"/>
        <v>0</v>
      </c>
      <c r="M1656" s="133"/>
      <c r="N1656" s="133">
        <f t="shared" si="191"/>
        <v>0</v>
      </c>
      <c r="O1656" s="134"/>
      <c r="P1656" s="133"/>
      <c r="Q1656" s="2"/>
      <c r="R1656" s="156">
        <f t="shared" si="188"/>
        <v>0</v>
      </c>
      <c r="S1656" s="156">
        <f t="shared" si="189"/>
        <v>0</v>
      </c>
      <c r="T1656" s="133"/>
      <c r="U1656" s="133"/>
      <c r="V1656" s="133"/>
      <c r="W1656" s="133"/>
      <c r="X1656" s="133"/>
      <c r="Y1656" s="133"/>
      <c r="Z1656" s="133"/>
      <c r="AA1656" s="133"/>
      <c r="AB1656" s="133"/>
      <c r="AC1656" s="133"/>
      <c r="AD1656" s="133"/>
      <c r="AE1656" s="133"/>
      <c r="AF1656" s="133"/>
      <c r="AG1656" s="133"/>
      <c r="AH1656" s="133"/>
      <c r="AI1656" s="133"/>
      <c r="AJ1656" s="133"/>
      <c r="AK1656" s="133"/>
      <c r="AL1656" s="133"/>
      <c r="AM1656" s="133"/>
      <c r="AN1656" s="133"/>
      <c r="AO1656" s="133"/>
      <c r="AP1656" s="133"/>
      <c r="AQ1656" s="133"/>
      <c r="AR1656" s="133"/>
      <c r="AS1656" s="153">
        <v>0</v>
      </c>
      <c r="AT1656" s="153">
        <v>0</v>
      </c>
      <c r="AU1656" s="153">
        <v>0</v>
      </c>
      <c r="AV1656" s="135"/>
      <c r="AW1656" s="135"/>
      <c r="AX1656" s="135"/>
      <c r="AY1656" s="135"/>
      <c r="AZ1656" s="135"/>
      <c r="BA1656" s="135"/>
      <c r="BB1656" s="135"/>
      <c r="BC1656" s="135"/>
      <c r="BD1656" s="135"/>
      <c r="BE1656" s="135"/>
      <c r="BF1656" s="135"/>
      <c r="BG1656" s="135"/>
      <c r="BH1656" s="135"/>
      <c r="BI1656" s="2"/>
      <c r="BJ1656" s="136"/>
      <c r="BK1656" s="2"/>
      <c r="BL1656" s="136"/>
      <c r="BM1656" s="136"/>
      <c r="BN1656" s="2"/>
      <c r="BO1656" s="2"/>
      <c r="BP1656" s="136"/>
      <c r="BQ1656" s="137"/>
    </row>
    <row r="1657" spans="1:69" ht="12.75" customHeight="1" x14ac:dyDescent="0.2">
      <c r="A1657" s="2">
        <v>3146</v>
      </c>
      <c r="B1657" s="2"/>
      <c r="C1657" s="2"/>
      <c r="D1657" s="2"/>
      <c r="E1657" s="2"/>
      <c r="F1657" s="132">
        <v>0</v>
      </c>
      <c r="G1657" s="132"/>
      <c r="H1657" s="132">
        <f t="shared" si="192"/>
        <v>0</v>
      </c>
      <c r="I1657" s="132"/>
      <c r="J1657" s="132">
        <f t="shared" si="190"/>
        <v>0</v>
      </c>
      <c r="K1657" s="132">
        <f t="shared" si="193"/>
        <v>0</v>
      </c>
      <c r="L1657" s="132">
        <f t="shared" si="187"/>
        <v>0</v>
      </c>
      <c r="M1657" s="133"/>
      <c r="N1657" s="133">
        <f t="shared" si="191"/>
        <v>0</v>
      </c>
      <c r="O1657" s="134"/>
      <c r="P1657" s="133"/>
      <c r="Q1657" s="2"/>
      <c r="R1657" s="156">
        <f t="shared" si="188"/>
        <v>0</v>
      </c>
      <c r="S1657" s="156">
        <f t="shared" si="189"/>
        <v>0</v>
      </c>
      <c r="T1657" s="133"/>
      <c r="U1657" s="133"/>
      <c r="V1657" s="133"/>
      <c r="W1657" s="133"/>
      <c r="X1657" s="133"/>
      <c r="Y1657" s="133"/>
      <c r="Z1657" s="133"/>
      <c r="AA1657" s="133"/>
      <c r="AB1657" s="133"/>
      <c r="AC1657" s="133"/>
      <c r="AD1657" s="133"/>
      <c r="AE1657" s="133"/>
      <c r="AF1657" s="133"/>
      <c r="AG1657" s="133"/>
      <c r="AH1657" s="133"/>
      <c r="AI1657" s="133"/>
      <c r="AJ1657" s="133"/>
      <c r="AK1657" s="133"/>
      <c r="AL1657" s="133"/>
      <c r="AM1657" s="133"/>
      <c r="AN1657" s="133"/>
      <c r="AO1657" s="133"/>
      <c r="AP1657" s="133"/>
      <c r="AQ1657" s="133"/>
      <c r="AR1657" s="133"/>
      <c r="AS1657" s="153">
        <v>0</v>
      </c>
      <c r="AT1657" s="153">
        <v>0</v>
      </c>
      <c r="AU1657" s="153">
        <v>0</v>
      </c>
      <c r="AV1657" s="135"/>
      <c r="AW1657" s="135"/>
      <c r="AX1657" s="135"/>
      <c r="AY1657" s="135"/>
      <c r="AZ1657" s="135"/>
      <c r="BA1657" s="135"/>
      <c r="BB1657" s="135"/>
      <c r="BC1657" s="135"/>
      <c r="BD1657" s="135"/>
      <c r="BE1657" s="135"/>
      <c r="BF1657" s="135"/>
      <c r="BG1657" s="135"/>
      <c r="BH1657" s="135"/>
      <c r="BI1657" s="2"/>
      <c r="BJ1657" s="136"/>
      <c r="BK1657" s="2"/>
      <c r="BL1657" s="136"/>
      <c r="BM1657" s="136"/>
      <c r="BN1657" s="2"/>
      <c r="BO1657" s="2"/>
      <c r="BP1657" s="136"/>
      <c r="BQ1657" s="137"/>
    </row>
    <row r="1658" spans="1:69" ht="12.75" customHeight="1" x14ac:dyDescent="0.2">
      <c r="A1658" s="2">
        <v>3147</v>
      </c>
      <c r="B1658" s="2"/>
      <c r="C1658" s="2"/>
      <c r="D1658" s="2"/>
      <c r="E1658" s="2"/>
      <c r="F1658" s="132">
        <v>0</v>
      </c>
      <c r="G1658" s="132"/>
      <c r="H1658" s="132">
        <f t="shared" si="192"/>
        <v>0</v>
      </c>
      <c r="I1658" s="132"/>
      <c r="J1658" s="132">
        <f t="shared" si="190"/>
        <v>0</v>
      </c>
      <c r="K1658" s="132">
        <f t="shared" si="193"/>
        <v>0</v>
      </c>
      <c r="L1658" s="132">
        <f t="shared" si="187"/>
        <v>0</v>
      </c>
      <c r="M1658" s="133"/>
      <c r="N1658" s="133">
        <f t="shared" si="191"/>
        <v>0</v>
      </c>
      <c r="O1658" s="134"/>
      <c r="P1658" s="133"/>
      <c r="Q1658" s="2"/>
      <c r="R1658" s="156">
        <f t="shared" si="188"/>
        <v>0</v>
      </c>
      <c r="S1658" s="156">
        <f t="shared" si="189"/>
        <v>0</v>
      </c>
      <c r="T1658" s="133"/>
      <c r="U1658" s="133"/>
      <c r="V1658" s="133"/>
      <c r="W1658" s="133"/>
      <c r="X1658" s="133"/>
      <c r="Y1658" s="133"/>
      <c r="Z1658" s="133"/>
      <c r="AA1658" s="133"/>
      <c r="AB1658" s="133"/>
      <c r="AC1658" s="133"/>
      <c r="AD1658" s="133"/>
      <c r="AE1658" s="133"/>
      <c r="AF1658" s="133"/>
      <c r="AG1658" s="133"/>
      <c r="AH1658" s="133"/>
      <c r="AI1658" s="133"/>
      <c r="AJ1658" s="133"/>
      <c r="AK1658" s="133"/>
      <c r="AL1658" s="133"/>
      <c r="AM1658" s="133"/>
      <c r="AN1658" s="133"/>
      <c r="AO1658" s="133"/>
      <c r="AP1658" s="133"/>
      <c r="AQ1658" s="133"/>
      <c r="AR1658" s="133"/>
      <c r="AS1658" s="153">
        <v>0</v>
      </c>
      <c r="AT1658" s="153">
        <v>0</v>
      </c>
      <c r="AU1658" s="153">
        <v>0</v>
      </c>
      <c r="AV1658" s="135"/>
      <c r="AW1658" s="135"/>
      <c r="AX1658" s="135"/>
      <c r="AY1658" s="135"/>
      <c r="AZ1658" s="135"/>
      <c r="BA1658" s="135"/>
      <c r="BB1658" s="135"/>
      <c r="BC1658" s="135"/>
      <c r="BD1658" s="135"/>
      <c r="BE1658" s="135"/>
      <c r="BF1658" s="135"/>
      <c r="BG1658" s="135"/>
      <c r="BH1658" s="135"/>
      <c r="BI1658" s="2"/>
      <c r="BJ1658" s="136"/>
      <c r="BK1658" s="2"/>
      <c r="BL1658" s="136"/>
      <c r="BM1658" s="136"/>
      <c r="BN1658" s="2"/>
      <c r="BO1658" s="2"/>
      <c r="BP1658" s="136"/>
      <c r="BQ1658" s="137"/>
    </row>
    <row r="1659" spans="1:69" ht="12.75" customHeight="1" x14ac:dyDescent="0.2">
      <c r="A1659" s="2">
        <v>3148</v>
      </c>
      <c r="B1659" s="2"/>
      <c r="C1659" s="2"/>
      <c r="D1659" s="2"/>
      <c r="E1659" s="2"/>
      <c r="F1659" s="132">
        <v>0</v>
      </c>
      <c r="G1659" s="132"/>
      <c r="H1659" s="132">
        <f t="shared" si="192"/>
        <v>0</v>
      </c>
      <c r="I1659" s="132"/>
      <c r="J1659" s="132">
        <f t="shared" si="190"/>
        <v>0</v>
      </c>
      <c r="K1659" s="132">
        <f t="shared" si="193"/>
        <v>0</v>
      </c>
      <c r="L1659" s="132">
        <f t="shared" si="187"/>
        <v>0</v>
      </c>
      <c r="M1659" s="133"/>
      <c r="N1659" s="133">
        <f t="shared" si="191"/>
        <v>0</v>
      </c>
      <c r="O1659" s="134"/>
      <c r="P1659" s="133"/>
      <c r="Q1659" s="2"/>
      <c r="R1659" s="156">
        <f t="shared" si="188"/>
        <v>0</v>
      </c>
      <c r="S1659" s="156">
        <f t="shared" si="189"/>
        <v>0</v>
      </c>
      <c r="T1659" s="133"/>
      <c r="U1659" s="133"/>
      <c r="V1659" s="133"/>
      <c r="W1659" s="133"/>
      <c r="X1659" s="133"/>
      <c r="Y1659" s="133"/>
      <c r="Z1659" s="133"/>
      <c r="AA1659" s="133"/>
      <c r="AB1659" s="133"/>
      <c r="AC1659" s="133"/>
      <c r="AD1659" s="133"/>
      <c r="AE1659" s="133"/>
      <c r="AF1659" s="133"/>
      <c r="AG1659" s="133"/>
      <c r="AH1659" s="133"/>
      <c r="AI1659" s="133"/>
      <c r="AJ1659" s="133"/>
      <c r="AK1659" s="133"/>
      <c r="AL1659" s="133"/>
      <c r="AM1659" s="133"/>
      <c r="AN1659" s="133"/>
      <c r="AO1659" s="133"/>
      <c r="AP1659" s="133"/>
      <c r="AQ1659" s="133"/>
      <c r="AR1659" s="133"/>
      <c r="AS1659" s="153">
        <v>0</v>
      </c>
      <c r="AT1659" s="153">
        <v>0</v>
      </c>
      <c r="AU1659" s="153">
        <v>0</v>
      </c>
      <c r="AV1659" s="135"/>
      <c r="AW1659" s="135"/>
      <c r="AX1659" s="135"/>
      <c r="AY1659" s="135"/>
      <c r="AZ1659" s="135"/>
      <c r="BA1659" s="135"/>
      <c r="BB1659" s="135"/>
      <c r="BC1659" s="135"/>
      <c r="BD1659" s="135"/>
      <c r="BE1659" s="135"/>
      <c r="BF1659" s="135"/>
      <c r="BG1659" s="135"/>
      <c r="BH1659" s="135"/>
      <c r="BI1659" s="2"/>
      <c r="BJ1659" s="136"/>
      <c r="BK1659" s="2"/>
      <c r="BL1659" s="136"/>
      <c r="BM1659" s="136"/>
      <c r="BN1659" s="2"/>
      <c r="BO1659" s="2"/>
      <c r="BP1659" s="136"/>
      <c r="BQ1659" s="137"/>
    </row>
    <row r="1660" spans="1:69" ht="12.75" customHeight="1" x14ac:dyDescent="0.2">
      <c r="A1660" s="2">
        <v>3149</v>
      </c>
      <c r="B1660" s="2"/>
      <c r="C1660" s="2"/>
      <c r="D1660" s="2"/>
      <c r="E1660" s="2"/>
      <c r="F1660" s="132">
        <v>0</v>
      </c>
      <c r="G1660" s="132"/>
      <c r="H1660" s="132">
        <f t="shared" si="192"/>
        <v>0</v>
      </c>
      <c r="I1660" s="132"/>
      <c r="J1660" s="132">
        <f t="shared" si="190"/>
        <v>0</v>
      </c>
      <c r="K1660" s="132">
        <f t="shared" si="193"/>
        <v>0</v>
      </c>
      <c r="L1660" s="132">
        <f t="shared" si="187"/>
        <v>0</v>
      </c>
      <c r="M1660" s="133"/>
      <c r="N1660" s="133">
        <f t="shared" si="191"/>
        <v>0</v>
      </c>
      <c r="O1660" s="134"/>
      <c r="P1660" s="133"/>
      <c r="Q1660" s="2"/>
      <c r="R1660" s="156">
        <f t="shared" si="188"/>
        <v>0</v>
      </c>
      <c r="S1660" s="156">
        <f t="shared" si="189"/>
        <v>0</v>
      </c>
      <c r="T1660" s="133"/>
      <c r="U1660" s="133"/>
      <c r="V1660" s="133"/>
      <c r="W1660" s="133"/>
      <c r="X1660" s="133"/>
      <c r="Y1660" s="133"/>
      <c r="Z1660" s="133"/>
      <c r="AA1660" s="133"/>
      <c r="AB1660" s="133"/>
      <c r="AC1660" s="133"/>
      <c r="AD1660" s="133"/>
      <c r="AE1660" s="133"/>
      <c r="AF1660" s="133"/>
      <c r="AG1660" s="133"/>
      <c r="AH1660" s="133"/>
      <c r="AI1660" s="133"/>
      <c r="AJ1660" s="133"/>
      <c r="AK1660" s="133"/>
      <c r="AL1660" s="133"/>
      <c r="AM1660" s="133"/>
      <c r="AN1660" s="133"/>
      <c r="AO1660" s="133"/>
      <c r="AP1660" s="133"/>
      <c r="AQ1660" s="133"/>
      <c r="AR1660" s="133"/>
      <c r="AS1660" s="153">
        <v>0</v>
      </c>
      <c r="AT1660" s="153">
        <v>0</v>
      </c>
      <c r="AU1660" s="153">
        <v>0</v>
      </c>
      <c r="AV1660" s="135"/>
      <c r="AW1660" s="135"/>
      <c r="AX1660" s="135"/>
      <c r="AY1660" s="135"/>
      <c r="AZ1660" s="135"/>
      <c r="BA1660" s="135"/>
      <c r="BB1660" s="135"/>
      <c r="BC1660" s="135"/>
      <c r="BD1660" s="135"/>
      <c r="BE1660" s="135"/>
      <c r="BF1660" s="135"/>
      <c r="BG1660" s="135"/>
      <c r="BH1660" s="135"/>
      <c r="BI1660" s="2"/>
      <c r="BJ1660" s="136"/>
      <c r="BK1660" s="2"/>
      <c r="BL1660" s="136"/>
      <c r="BM1660" s="136"/>
      <c r="BN1660" s="2"/>
      <c r="BO1660" s="2"/>
      <c r="BP1660" s="136"/>
      <c r="BQ1660" s="137"/>
    </row>
    <row r="1661" spans="1:69" ht="12.75" customHeight="1" x14ac:dyDescent="0.2">
      <c r="A1661" s="2">
        <v>3150</v>
      </c>
      <c r="B1661" s="2"/>
      <c r="C1661" s="2"/>
      <c r="D1661" s="2"/>
      <c r="E1661" s="2"/>
      <c r="F1661" s="132">
        <v>0</v>
      </c>
      <c r="G1661" s="132"/>
      <c r="H1661" s="132">
        <f t="shared" si="192"/>
        <v>0</v>
      </c>
      <c r="I1661" s="132"/>
      <c r="J1661" s="132">
        <f t="shared" si="190"/>
        <v>0</v>
      </c>
      <c r="K1661" s="132">
        <f t="shared" si="193"/>
        <v>0</v>
      </c>
      <c r="L1661" s="132">
        <f t="shared" si="187"/>
        <v>0</v>
      </c>
      <c r="M1661" s="133"/>
      <c r="N1661" s="133">
        <f t="shared" si="191"/>
        <v>0</v>
      </c>
      <c r="O1661" s="134"/>
      <c r="P1661" s="133"/>
      <c r="Q1661" s="2"/>
      <c r="R1661" s="156">
        <f t="shared" si="188"/>
        <v>0</v>
      </c>
      <c r="S1661" s="156">
        <f t="shared" si="189"/>
        <v>0</v>
      </c>
      <c r="T1661" s="133"/>
      <c r="U1661" s="133"/>
      <c r="V1661" s="133"/>
      <c r="W1661" s="133"/>
      <c r="X1661" s="133"/>
      <c r="Y1661" s="133"/>
      <c r="Z1661" s="133"/>
      <c r="AA1661" s="133"/>
      <c r="AB1661" s="133"/>
      <c r="AC1661" s="133"/>
      <c r="AD1661" s="133"/>
      <c r="AE1661" s="133"/>
      <c r="AF1661" s="133"/>
      <c r="AG1661" s="133"/>
      <c r="AH1661" s="133"/>
      <c r="AI1661" s="133"/>
      <c r="AJ1661" s="133"/>
      <c r="AK1661" s="133"/>
      <c r="AL1661" s="133"/>
      <c r="AM1661" s="133"/>
      <c r="AN1661" s="133"/>
      <c r="AO1661" s="133"/>
      <c r="AP1661" s="133"/>
      <c r="AQ1661" s="133"/>
      <c r="AR1661" s="133"/>
      <c r="AS1661" s="153">
        <v>0</v>
      </c>
      <c r="AT1661" s="153">
        <v>0</v>
      </c>
      <c r="AU1661" s="153">
        <v>0</v>
      </c>
      <c r="AV1661" s="135"/>
      <c r="AW1661" s="135"/>
      <c r="AX1661" s="135"/>
      <c r="AY1661" s="135"/>
      <c r="AZ1661" s="135"/>
      <c r="BA1661" s="135"/>
      <c r="BB1661" s="135"/>
      <c r="BC1661" s="135"/>
      <c r="BD1661" s="135"/>
      <c r="BE1661" s="135"/>
      <c r="BF1661" s="135"/>
      <c r="BG1661" s="135"/>
      <c r="BH1661" s="135"/>
      <c r="BI1661" s="2"/>
      <c r="BJ1661" s="136"/>
      <c r="BK1661" s="2"/>
      <c r="BL1661" s="136"/>
      <c r="BM1661" s="136"/>
      <c r="BN1661" s="2"/>
      <c r="BO1661" s="2"/>
      <c r="BP1661" s="136"/>
      <c r="BQ1661" s="137"/>
    </row>
    <row r="1662" spans="1:69" ht="12.75" customHeight="1" x14ac:dyDescent="0.2">
      <c r="A1662" s="2">
        <v>3151</v>
      </c>
      <c r="B1662" s="2"/>
      <c r="C1662" s="2"/>
      <c r="D1662" s="2"/>
      <c r="E1662" s="2"/>
      <c r="F1662" s="132">
        <v>0</v>
      </c>
      <c r="G1662" s="132"/>
      <c r="H1662" s="132">
        <f t="shared" si="192"/>
        <v>0</v>
      </c>
      <c r="I1662" s="132"/>
      <c r="J1662" s="132">
        <f t="shared" si="190"/>
        <v>0</v>
      </c>
      <c r="K1662" s="132">
        <f t="shared" si="193"/>
        <v>0</v>
      </c>
      <c r="L1662" s="132">
        <f t="shared" si="187"/>
        <v>0</v>
      </c>
      <c r="M1662" s="133"/>
      <c r="N1662" s="133">
        <f t="shared" si="191"/>
        <v>0</v>
      </c>
      <c r="O1662" s="134"/>
      <c r="P1662" s="133"/>
      <c r="Q1662" s="2"/>
      <c r="R1662" s="156">
        <f t="shared" si="188"/>
        <v>0</v>
      </c>
      <c r="S1662" s="156">
        <f t="shared" si="189"/>
        <v>0</v>
      </c>
      <c r="T1662" s="133"/>
      <c r="U1662" s="133"/>
      <c r="V1662" s="133"/>
      <c r="W1662" s="133"/>
      <c r="X1662" s="133"/>
      <c r="Y1662" s="133"/>
      <c r="Z1662" s="133"/>
      <c r="AA1662" s="133"/>
      <c r="AB1662" s="133"/>
      <c r="AC1662" s="133"/>
      <c r="AD1662" s="133"/>
      <c r="AE1662" s="133"/>
      <c r="AF1662" s="133"/>
      <c r="AG1662" s="133"/>
      <c r="AH1662" s="133"/>
      <c r="AI1662" s="133"/>
      <c r="AJ1662" s="133"/>
      <c r="AK1662" s="133"/>
      <c r="AL1662" s="133"/>
      <c r="AM1662" s="133"/>
      <c r="AN1662" s="133"/>
      <c r="AO1662" s="133"/>
      <c r="AP1662" s="133"/>
      <c r="AQ1662" s="133"/>
      <c r="AR1662" s="133"/>
      <c r="AS1662" s="153">
        <v>0</v>
      </c>
      <c r="AT1662" s="153">
        <v>0</v>
      </c>
      <c r="AU1662" s="153">
        <v>0</v>
      </c>
      <c r="AV1662" s="135"/>
      <c r="AW1662" s="135"/>
      <c r="AX1662" s="135"/>
      <c r="AY1662" s="135"/>
      <c r="AZ1662" s="135"/>
      <c r="BA1662" s="135"/>
      <c r="BB1662" s="135"/>
      <c r="BC1662" s="135"/>
      <c r="BD1662" s="135"/>
      <c r="BE1662" s="135"/>
      <c r="BF1662" s="135"/>
      <c r="BG1662" s="135"/>
      <c r="BH1662" s="135"/>
      <c r="BI1662" s="2"/>
      <c r="BJ1662" s="136"/>
      <c r="BK1662" s="2"/>
      <c r="BL1662" s="136"/>
      <c r="BM1662" s="136"/>
      <c r="BN1662" s="2"/>
      <c r="BO1662" s="2"/>
      <c r="BP1662" s="136"/>
      <c r="BQ1662" s="137"/>
    </row>
    <row r="1663" spans="1:69" ht="12.75" customHeight="1" x14ac:dyDescent="0.2">
      <c r="A1663" s="2">
        <v>3152</v>
      </c>
      <c r="B1663" s="2"/>
      <c r="C1663" s="2"/>
      <c r="D1663" s="2"/>
      <c r="E1663" s="2"/>
      <c r="F1663" s="132">
        <v>0</v>
      </c>
      <c r="G1663" s="132"/>
      <c r="H1663" s="132">
        <f t="shared" si="192"/>
        <v>0</v>
      </c>
      <c r="I1663" s="132"/>
      <c r="J1663" s="132">
        <f t="shared" si="190"/>
        <v>0</v>
      </c>
      <c r="K1663" s="132">
        <f t="shared" si="193"/>
        <v>0</v>
      </c>
      <c r="L1663" s="132">
        <f t="shared" si="187"/>
        <v>0</v>
      </c>
      <c r="M1663" s="133"/>
      <c r="N1663" s="133">
        <f t="shared" si="191"/>
        <v>0</v>
      </c>
      <c r="O1663" s="134"/>
      <c r="P1663" s="133"/>
      <c r="Q1663" s="2"/>
      <c r="R1663" s="156">
        <f t="shared" si="188"/>
        <v>0</v>
      </c>
      <c r="S1663" s="156">
        <f t="shared" si="189"/>
        <v>0</v>
      </c>
      <c r="T1663" s="133"/>
      <c r="U1663" s="133"/>
      <c r="V1663" s="133"/>
      <c r="W1663" s="133"/>
      <c r="X1663" s="133"/>
      <c r="Y1663" s="133"/>
      <c r="Z1663" s="133"/>
      <c r="AA1663" s="133"/>
      <c r="AB1663" s="133"/>
      <c r="AC1663" s="133"/>
      <c r="AD1663" s="133"/>
      <c r="AE1663" s="133"/>
      <c r="AF1663" s="133"/>
      <c r="AG1663" s="133"/>
      <c r="AH1663" s="133"/>
      <c r="AI1663" s="133"/>
      <c r="AJ1663" s="133"/>
      <c r="AK1663" s="133"/>
      <c r="AL1663" s="133"/>
      <c r="AM1663" s="133"/>
      <c r="AN1663" s="133"/>
      <c r="AO1663" s="133"/>
      <c r="AP1663" s="133"/>
      <c r="AQ1663" s="133"/>
      <c r="AR1663" s="133"/>
      <c r="AS1663" s="153">
        <v>0</v>
      </c>
      <c r="AT1663" s="153">
        <v>0</v>
      </c>
      <c r="AU1663" s="153">
        <v>0</v>
      </c>
      <c r="AV1663" s="135"/>
      <c r="AW1663" s="135"/>
      <c r="AX1663" s="135"/>
      <c r="AY1663" s="135"/>
      <c r="AZ1663" s="135"/>
      <c r="BA1663" s="135"/>
      <c r="BB1663" s="135"/>
      <c r="BC1663" s="135"/>
      <c r="BD1663" s="135"/>
      <c r="BE1663" s="135"/>
      <c r="BF1663" s="135"/>
      <c r="BG1663" s="135"/>
      <c r="BH1663" s="135"/>
      <c r="BI1663" s="2"/>
      <c r="BJ1663" s="136"/>
      <c r="BK1663" s="2"/>
      <c r="BL1663" s="136"/>
      <c r="BM1663" s="136"/>
      <c r="BN1663" s="2"/>
      <c r="BO1663" s="2"/>
      <c r="BP1663" s="136"/>
      <c r="BQ1663" s="137"/>
    </row>
    <row r="1664" spans="1:69" ht="12.75" customHeight="1" x14ac:dyDescent="0.2">
      <c r="A1664" s="2">
        <v>3153</v>
      </c>
      <c r="B1664" s="2"/>
      <c r="C1664" s="2"/>
      <c r="D1664" s="2"/>
      <c r="E1664" s="2"/>
      <c r="F1664" s="132">
        <v>0</v>
      </c>
      <c r="G1664" s="132"/>
      <c r="H1664" s="132">
        <f t="shared" si="192"/>
        <v>0</v>
      </c>
      <c r="I1664" s="132"/>
      <c r="J1664" s="132">
        <f t="shared" si="190"/>
        <v>0</v>
      </c>
      <c r="K1664" s="132">
        <f t="shared" si="193"/>
        <v>0</v>
      </c>
      <c r="L1664" s="132">
        <f t="shared" si="187"/>
        <v>0</v>
      </c>
      <c r="M1664" s="133"/>
      <c r="N1664" s="133">
        <f t="shared" si="191"/>
        <v>0</v>
      </c>
      <c r="O1664" s="134"/>
      <c r="P1664" s="133"/>
      <c r="Q1664" s="2"/>
      <c r="R1664" s="156">
        <f t="shared" si="188"/>
        <v>0</v>
      </c>
      <c r="S1664" s="156">
        <f t="shared" si="189"/>
        <v>0</v>
      </c>
      <c r="T1664" s="133"/>
      <c r="U1664" s="133"/>
      <c r="V1664" s="133"/>
      <c r="W1664" s="133"/>
      <c r="X1664" s="133"/>
      <c r="Y1664" s="133"/>
      <c r="Z1664" s="133"/>
      <c r="AA1664" s="133"/>
      <c r="AB1664" s="133"/>
      <c r="AC1664" s="133"/>
      <c r="AD1664" s="133"/>
      <c r="AE1664" s="133"/>
      <c r="AF1664" s="133"/>
      <c r="AG1664" s="133"/>
      <c r="AH1664" s="133"/>
      <c r="AI1664" s="133"/>
      <c r="AJ1664" s="133"/>
      <c r="AK1664" s="133"/>
      <c r="AL1664" s="133"/>
      <c r="AM1664" s="133"/>
      <c r="AN1664" s="133"/>
      <c r="AO1664" s="133"/>
      <c r="AP1664" s="133"/>
      <c r="AQ1664" s="133"/>
      <c r="AR1664" s="133"/>
      <c r="AS1664" s="153">
        <v>0</v>
      </c>
      <c r="AT1664" s="153">
        <v>0</v>
      </c>
      <c r="AU1664" s="153">
        <v>0</v>
      </c>
      <c r="AV1664" s="135"/>
      <c r="AW1664" s="135"/>
      <c r="AX1664" s="135"/>
      <c r="AY1664" s="135"/>
      <c r="AZ1664" s="135"/>
      <c r="BA1664" s="135"/>
      <c r="BB1664" s="135"/>
      <c r="BC1664" s="135"/>
      <c r="BD1664" s="135"/>
      <c r="BE1664" s="135"/>
      <c r="BF1664" s="135"/>
      <c r="BG1664" s="135"/>
      <c r="BH1664" s="135"/>
      <c r="BI1664" s="2"/>
      <c r="BJ1664" s="136"/>
      <c r="BK1664" s="2"/>
      <c r="BL1664" s="136"/>
      <c r="BM1664" s="136"/>
      <c r="BN1664" s="2"/>
      <c r="BO1664" s="2"/>
      <c r="BP1664" s="136"/>
      <c r="BQ1664" s="137"/>
    </row>
    <row r="1665" spans="1:69" ht="12.75" customHeight="1" x14ac:dyDescent="0.2">
      <c r="A1665" s="2">
        <v>3154</v>
      </c>
      <c r="B1665" s="2"/>
      <c r="C1665" s="2"/>
      <c r="D1665" s="2"/>
      <c r="E1665" s="2"/>
      <c r="F1665" s="132">
        <v>0</v>
      </c>
      <c r="G1665" s="132"/>
      <c r="H1665" s="132">
        <f t="shared" si="192"/>
        <v>0</v>
      </c>
      <c r="I1665" s="132"/>
      <c r="J1665" s="132">
        <f t="shared" si="190"/>
        <v>0</v>
      </c>
      <c r="K1665" s="132">
        <f t="shared" si="193"/>
        <v>0</v>
      </c>
      <c r="L1665" s="132">
        <f t="shared" si="187"/>
        <v>0</v>
      </c>
      <c r="M1665" s="133"/>
      <c r="N1665" s="133">
        <f t="shared" si="191"/>
        <v>0</v>
      </c>
      <c r="O1665" s="134"/>
      <c r="P1665" s="133"/>
      <c r="Q1665" s="2"/>
      <c r="R1665" s="156">
        <f t="shared" si="188"/>
        <v>0</v>
      </c>
      <c r="S1665" s="156">
        <f t="shared" si="189"/>
        <v>0</v>
      </c>
      <c r="T1665" s="133"/>
      <c r="U1665" s="133"/>
      <c r="V1665" s="133"/>
      <c r="W1665" s="133"/>
      <c r="X1665" s="133"/>
      <c r="Y1665" s="133"/>
      <c r="Z1665" s="133"/>
      <c r="AA1665" s="133"/>
      <c r="AB1665" s="133"/>
      <c r="AC1665" s="133"/>
      <c r="AD1665" s="133"/>
      <c r="AE1665" s="133"/>
      <c r="AF1665" s="133"/>
      <c r="AG1665" s="133"/>
      <c r="AH1665" s="133"/>
      <c r="AI1665" s="133"/>
      <c r="AJ1665" s="133"/>
      <c r="AK1665" s="133"/>
      <c r="AL1665" s="133"/>
      <c r="AM1665" s="133"/>
      <c r="AN1665" s="133"/>
      <c r="AO1665" s="133"/>
      <c r="AP1665" s="133"/>
      <c r="AQ1665" s="133"/>
      <c r="AR1665" s="133"/>
      <c r="AS1665" s="153">
        <v>0</v>
      </c>
      <c r="AT1665" s="153">
        <v>0</v>
      </c>
      <c r="AU1665" s="153">
        <v>0</v>
      </c>
      <c r="AV1665" s="135"/>
      <c r="AW1665" s="135"/>
      <c r="AX1665" s="135"/>
      <c r="AY1665" s="135"/>
      <c r="AZ1665" s="135"/>
      <c r="BA1665" s="135"/>
      <c r="BB1665" s="135"/>
      <c r="BC1665" s="135"/>
      <c r="BD1665" s="135"/>
      <c r="BE1665" s="135"/>
      <c r="BF1665" s="135"/>
      <c r="BG1665" s="135"/>
      <c r="BH1665" s="135"/>
      <c r="BI1665" s="2"/>
      <c r="BJ1665" s="136"/>
      <c r="BK1665" s="2"/>
      <c r="BL1665" s="136"/>
      <c r="BM1665" s="136"/>
      <c r="BN1665" s="2"/>
      <c r="BO1665" s="2"/>
      <c r="BP1665" s="136"/>
      <c r="BQ1665" s="137"/>
    </row>
    <row r="1666" spans="1:69" ht="12.75" customHeight="1" x14ac:dyDescent="0.2">
      <c r="A1666" s="2">
        <v>3155</v>
      </c>
      <c r="B1666" s="2"/>
      <c r="C1666" s="2"/>
      <c r="D1666" s="2"/>
      <c r="E1666" s="2"/>
      <c r="F1666" s="132">
        <v>0</v>
      </c>
      <c r="G1666" s="132"/>
      <c r="H1666" s="132">
        <f t="shared" si="192"/>
        <v>0</v>
      </c>
      <c r="I1666" s="132"/>
      <c r="J1666" s="132">
        <f t="shared" si="190"/>
        <v>0</v>
      </c>
      <c r="K1666" s="132">
        <f t="shared" si="193"/>
        <v>0</v>
      </c>
      <c r="L1666" s="132">
        <f t="shared" si="187"/>
        <v>0</v>
      </c>
      <c r="M1666" s="133"/>
      <c r="N1666" s="133">
        <f t="shared" si="191"/>
        <v>0</v>
      </c>
      <c r="O1666" s="134"/>
      <c r="P1666" s="133"/>
      <c r="Q1666" s="2"/>
      <c r="R1666" s="156">
        <f t="shared" si="188"/>
        <v>0</v>
      </c>
      <c r="S1666" s="156">
        <f t="shared" si="189"/>
        <v>0</v>
      </c>
      <c r="T1666" s="133"/>
      <c r="U1666" s="133"/>
      <c r="V1666" s="133"/>
      <c r="W1666" s="133"/>
      <c r="X1666" s="133"/>
      <c r="Y1666" s="133"/>
      <c r="Z1666" s="133"/>
      <c r="AA1666" s="133"/>
      <c r="AB1666" s="133"/>
      <c r="AC1666" s="133"/>
      <c r="AD1666" s="133"/>
      <c r="AE1666" s="133"/>
      <c r="AF1666" s="133"/>
      <c r="AG1666" s="133"/>
      <c r="AH1666" s="133"/>
      <c r="AI1666" s="133"/>
      <c r="AJ1666" s="133"/>
      <c r="AK1666" s="133"/>
      <c r="AL1666" s="133"/>
      <c r="AM1666" s="133"/>
      <c r="AN1666" s="133"/>
      <c r="AO1666" s="133"/>
      <c r="AP1666" s="133"/>
      <c r="AQ1666" s="133"/>
      <c r="AR1666" s="133"/>
      <c r="AS1666" s="153">
        <v>0</v>
      </c>
      <c r="AT1666" s="153">
        <v>0</v>
      </c>
      <c r="AU1666" s="153">
        <v>0</v>
      </c>
      <c r="AV1666" s="135"/>
      <c r="AW1666" s="135"/>
      <c r="AX1666" s="135"/>
      <c r="AY1666" s="135"/>
      <c r="AZ1666" s="135"/>
      <c r="BA1666" s="135"/>
      <c r="BB1666" s="135"/>
      <c r="BC1666" s="135"/>
      <c r="BD1666" s="135"/>
      <c r="BE1666" s="135"/>
      <c r="BF1666" s="135"/>
      <c r="BG1666" s="135"/>
      <c r="BH1666" s="135"/>
      <c r="BI1666" s="2"/>
      <c r="BJ1666" s="136"/>
      <c r="BK1666" s="2"/>
      <c r="BL1666" s="136"/>
      <c r="BM1666" s="136"/>
      <c r="BN1666" s="2"/>
      <c r="BO1666" s="2"/>
      <c r="BP1666" s="136"/>
      <c r="BQ1666" s="137"/>
    </row>
    <row r="1667" spans="1:69" ht="12.75" customHeight="1" x14ac:dyDescent="0.2">
      <c r="A1667" s="2">
        <v>3156</v>
      </c>
      <c r="B1667" s="2"/>
      <c r="C1667" s="2"/>
      <c r="D1667" s="2"/>
      <c r="E1667" s="2"/>
      <c r="F1667" s="132">
        <v>0</v>
      </c>
      <c r="G1667" s="132"/>
      <c r="H1667" s="132">
        <f t="shared" si="192"/>
        <v>0</v>
      </c>
      <c r="I1667" s="132"/>
      <c r="J1667" s="132">
        <f t="shared" si="190"/>
        <v>0</v>
      </c>
      <c r="K1667" s="132">
        <f t="shared" si="193"/>
        <v>0</v>
      </c>
      <c r="L1667" s="132">
        <f t="shared" si="187"/>
        <v>0</v>
      </c>
      <c r="M1667" s="133"/>
      <c r="N1667" s="133">
        <f t="shared" si="191"/>
        <v>0</v>
      </c>
      <c r="O1667" s="134"/>
      <c r="P1667" s="133"/>
      <c r="Q1667" s="2"/>
      <c r="R1667" s="156">
        <f t="shared" si="188"/>
        <v>0</v>
      </c>
      <c r="S1667" s="156">
        <f t="shared" si="189"/>
        <v>0</v>
      </c>
      <c r="T1667" s="133"/>
      <c r="U1667" s="133"/>
      <c r="V1667" s="133"/>
      <c r="W1667" s="133"/>
      <c r="X1667" s="133"/>
      <c r="Y1667" s="133"/>
      <c r="Z1667" s="133"/>
      <c r="AA1667" s="133"/>
      <c r="AB1667" s="133"/>
      <c r="AC1667" s="133"/>
      <c r="AD1667" s="133"/>
      <c r="AE1667" s="133"/>
      <c r="AF1667" s="133"/>
      <c r="AG1667" s="133"/>
      <c r="AH1667" s="133"/>
      <c r="AI1667" s="133"/>
      <c r="AJ1667" s="133"/>
      <c r="AK1667" s="133"/>
      <c r="AL1667" s="133"/>
      <c r="AM1667" s="133"/>
      <c r="AN1667" s="133"/>
      <c r="AO1667" s="133"/>
      <c r="AP1667" s="133"/>
      <c r="AQ1667" s="133"/>
      <c r="AR1667" s="133"/>
      <c r="AS1667" s="153">
        <v>0</v>
      </c>
      <c r="AT1667" s="153">
        <v>0</v>
      </c>
      <c r="AU1667" s="153">
        <v>0</v>
      </c>
      <c r="AV1667" s="135"/>
      <c r="AW1667" s="135"/>
      <c r="AX1667" s="135"/>
      <c r="AY1667" s="135"/>
      <c r="AZ1667" s="135"/>
      <c r="BA1667" s="135"/>
      <c r="BB1667" s="135"/>
      <c r="BC1667" s="135"/>
      <c r="BD1667" s="135"/>
      <c r="BE1667" s="135"/>
      <c r="BF1667" s="135"/>
      <c r="BG1667" s="135"/>
      <c r="BH1667" s="135"/>
      <c r="BI1667" s="2"/>
      <c r="BJ1667" s="136"/>
      <c r="BK1667" s="2"/>
      <c r="BL1667" s="136"/>
      <c r="BM1667" s="136"/>
      <c r="BN1667" s="2"/>
      <c r="BO1667" s="2"/>
      <c r="BP1667" s="136"/>
      <c r="BQ1667" s="137"/>
    </row>
    <row r="1668" spans="1:69" ht="12.75" customHeight="1" x14ac:dyDescent="0.2">
      <c r="A1668" s="2">
        <v>3157</v>
      </c>
      <c r="B1668" s="2"/>
      <c r="C1668" s="2"/>
      <c r="D1668" s="2"/>
      <c r="E1668" s="2"/>
      <c r="F1668" s="132">
        <v>0</v>
      </c>
      <c r="G1668" s="132"/>
      <c r="H1668" s="132">
        <f t="shared" si="192"/>
        <v>0</v>
      </c>
      <c r="I1668" s="132"/>
      <c r="J1668" s="132">
        <f t="shared" si="190"/>
        <v>0</v>
      </c>
      <c r="K1668" s="132">
        <f t="shared" si="193"/>
        <v>0</v>
      </c>
      <c r="L1668" s="132">
        <f t="shared" si="187"/>
        <v>0</v>
      </c>
      <c r="M1668" s="133"/>
      <c r="N1668" s="133">
        <f t="shared" si="191"/>
        <v>0</v>
      </c>
      <c r="O1668" s="134"/>
      <c r="P1668" s="133"/>
      <c r="Q1668" s="2"/>
      <c r="R1668" s="156">
        <f t="shared" si="188"/>
        <v>0</v>
      </c>
      <c r="S1668" s="156">
        <f t="shared" si="189"/>
        <v>0</v>
      </c>
      <c r="T1668" s="133"/>
      <c r="U1668" s="133"/>
      <c r="V1668" s="133"/>
      <c r="W1668" s="133"/>
      <c r="X1668" s="133"/>
      <c r="Y1668" s="133"/>
      <c r="Z1668" s="133"/>
      <c r="AA1668" s="133"/>
      <c r="AB1668" s="133"/>
      <c r="AC1668" s="133"/>
      <c r="AD1668" s="133"/>
      <c r="AE1668" s="133"/>
      <c r="AF1668" s="133"/>
      <c r="AG1668" s="133"/>
      <c r="AH1668" s="133"/>
      <c r="AI1668" s="133"/>
      <c r="AJ1668" s="133"/>
      <c r="AK1668" s="133"/>
      <c r="AL1668" s="133"/>
      <c r="AM1668" s="133"/>
      <c r="AN1668" s="133"/>
      <c r="AO1668" s="133"/>
      <c r="AP1668" s="133"/>
      <c r="AQ1668" s="133"/>
      <c r="AR1668" s="133"/>
      <c r="AS1668" s="153">
        <v>0</v>
      </c>
      <c r="AT1668" s="153">
        <v>0</v>
      </c>
      <c r="AU1668" s="153">
        <v>0</v>
      </c>
      <c r="AV1668" s="135"/>
      <c r="AW1668" s="135"/>
      <c r="AX1668" s="135"/>
      <c r="AY1668" s="135"/>
      <c r="AZ1668" s="135"/>
      <c r="BA1668" s="135"/>
      <c r="BB1668" s="135"/>
      <c r="BC1668" s="135"/>
      <c r="BD1668" s="135"/>
      <c r="BE1668" s="135"/>
      <c r="BF1668" s="135"/>
      <c r="BG1668" s="135"/>
      <c r="BH1668" s="135"/>
      <c r="BI1668" s="2"/>
      <c r="BJ1668" s="136"/>
      <c r="BK1668" s="2"/>
      <c r="BL1668" s="136"/>
      <c r="BM1668" s="136"/>
      <c r="BN1668" s="2"/>
      <c r="BO1668" s="2"/>
      <c r="BP1668" s="136"/>
      <c r="BQ1668" s="137"/>
    </row>
    <row r="1669" spans="1:69" ht="12.75" customHeight="1" x14ac:dyDescent="0.2">
      <c r="A1669" s="2">
        <v>3158</v>
      </c>
      <c r="B1669" s="2"/>
      <c r="C1669" s="2"/>
      <c r="D1669" s="2"/>
      <c r="E1669" s="2"/>
      <c r="F1669" s="132">
        <v>0</v>
      </c>
      <c r="G1669" s="132"/>
      <c r="H1669" s="132">
        <f t="shared" si="192"/>
        <v>0</v>
      </c>
      <c r="I1669" s="132"/>
      <c r="J1669" s="132">
        <f t="shared" si="190"/>
        <v>0</v>
      </c>
      <c r="K1669" s="132">
        <f t="shared" si="193"/>
        <v>0</v>
      </c>
      <c r="L1669" s="132">
        <f t="shared" si="187"/>
        <v>0</v>
      </c>
      <c r="M1669" s="133"/>
      <c r="N1669" s="133">
        <f t="shared" si="191"/>
        <v>0</v>
      </c>
      <c r="O1669" s="134"/>
      <c r="P1669" s="133"/>
      <c r="Q1669" s="2"/>
      <c r="R1669" s="156">
        <f t="shared" si="188"/>
        <v>0</v>
      </c>
      <c r="S1669" s="156">
        <f t="shared" si="189"/>
        <v>0</v>
      </c>
      <c r="T1669" s="133"/>
      <c r="U1669" s="133"/>
      <c r="V1669" s="133"/>
      <c r="W1669" s="133"/>
      <c r="X1669" s="133"/>
      <c r="Y1669" s="133"/>
      <c r="Z1669" s="133"/>
      <c r="AA1669" s="133"/>
      <c r="AB1669" s="133"/>
      <c r="AC1669" s="133"/>
      <c r="AD1669" s="133"/>
      <c r="AE1669" s="133"/>
      <c r="AF1669" s="133"/>
      <c r="AG1669" s="133"/>
      <c r="AH1669" s="133"/>
      <c r="AI1669" s="133"/>
      <c r="AJ1669" s="133"/>
      <c r="AK1669" s="133"/>
      <c r="AL1669" s="133"/>
      <c r="AM1669" s="133"/>
      <c r="AN1669" s="133"/>
      <c r="AO1669" s="133"/>
      <c r="AP1669" s="133"/>
      <c r="AQ1669" s="133"/>
      <c r="AR1669" s="133"/>
      <c r="AS1669" s="153">
        <v>0</v>
      </c>
      <c r="AT1669" s="153">
        <v>0</v>
      </c>
      <c r="AU1669" s="153">
        <v>0</v>
      </c>
      <c r="AV1669" s="135"/>
      <c r="AW1669" s="135"/>
      <c r="AX1669" s="135"/>
      <c r="AY1669" s="135"/>
      <c r="AZ1669" s="135"/>
      <c r="BA1669" s="135"/>
      <c r="BB1669" s="135"/>
      <c r="BC1669" s="135"/>
      <c r="BD1669" s="135"/>
      <c r="BE1669" s="135"/>
      <c r="BF1669" s="135"/>
      <c r="BG1669" s="135"/>
      <c r="BH1669" s="135"/>
      <c r="BI1669" s="2"/>
      <c r="BJ1669" s="136"/>
      <c r="BK1669" s="2"/>
      <c r="BL1669" s="136"/>
      <c r="BM1669" s="136"/>
      <c r="BN1669" s="2"/>
      <c r="BO1669" s="2"/>
      <c r="BP1669" s="136"/>
      <c r="BQ1669" s="137"/>
    </row>
    <row r="1670" spans="1:69" ht="12.75" customHeight="1" x14ac:dyDescent="0.2">
      <c r="A1670" s="2">
        <v>3159</v>
      </c>
      <c r="B1670" s="2"/>
      <c r="C1670" s="2"/>
      <c r="D1670" s="2"/>
      <c r="E1670" s="2"/>
      <c r="F1670" s="132">
        <v>0</v>
      </c>
      <c r="G1670" s="132"/>
      <c r="H1670" s="132">
        <f t="shared" si="192"/>
        <v>0</v>
      </c>
      <c r="I1670" s="132"/>
      <c r="J1670" s="132">
        <f t="shared" si="190"/>
        <v>0</v>
      </c>
      <c r="K1670" s="132">
        <f t="shared" si="193"/>
        <v>0</v>
      </c>
      <c r="L1670" s="132">
        <f t="shared" si="187"/>
        <v>0</v>
      </c>
      <c r="M1670" s="133"/>
      <c r="N1670" s="133">
        <f t="shared" si="191"/>
        <v>0</v>
      </c>
      <c r="O1670" s="134"/>
      <c r="P1670" s="133"/>
      <c r="Q1670" s="2"/>
      <c r="R1670" s="156">
        <f t="shared" si="188"/>
        <v>0</v>
      </c>
      <c r="S1670" s="156">
        <f t="shared" si="189"/>
        <v>0</v>
      </c>
      <c r="T1670" s="133"/>
      <c r="U1670" s="133"/>
      <c r="V1670" s="133"/>
      <c r="W1670" s="133"/>
      <c r="X1670" s="133"/>
      <c r="Y1670" s="133"/>
      <c r="Z1670" s="133"/>
      <c r="AA1670" s="133"/>
      <c r="AB1670" s="133"/>
      <c r="AC1670" s="133"/>
      <c r="AD1670" s="133"/>
      <c r="AE1670" s="133"/>
      <c r="AF1670" s="133"/>
      <c r="AG1670" s="133"/>
      <c r="AH1670" s="133"/>
      <c r="AI1670" s="133"/>
      <c r="AJ1670" s="133"/>
      <c r="AK1670" s="133"/>
      <c r="AL1670" s="133"/>
      <c r="AM1670" s="133"/>
      <c r="AN1670" s="133"/>
      <c r="AO1670" s="133"/>
      <c r="AP1670" s="133"/>
      <c r="AQ1670" s="133"/>
      <c r="AR1670" s="133"/>
      <c r="AS1670" s="153">
        <v>0</v>
      </c>
      <c r="AT1670" s="153">
        <v>0</v>
      </c>
      <c r="AU1670" s="153">
        <v>0</v>
      </c>
      <c r="AV1670" s="135"/>
      <c r="AW1670" s="135"/>
      <c r="AX1670" s="135"/>
      <c r="AY1670" s="135"/>
      <c r="AZ1670" s="135"/>
      <c r="BA1670" s="135"/>
      <c r="BB1670" s="135"/>
      <c r="BC1670" s="135"/>
      <c r="BD1670" s="135"/>
      <c r="BE1670" s="135"/>
      <c r="BF1670" s="135"/>
      <c r="BG1670" s="135"/>
      <c r="BH1670" s="135"/>
      <c r="BI1670" s="2"/>
      <c r="BJ1670" s="136"/>
      <c r="BK1670" s="2"/>
      <c r="BL1670" s="136"/>
      <c r="BM1670" s="136"/>
      <c r="BN1670" s="2"/>
      <c r="BO1670" s="2"/>
      <c r="BP1670" s="136"/>
      <c r="BQ1670" s="137"/>
    </row>
    <row r="1671" spans="1:69" ht="12.75" customHeight="1" x14ac:dyDescent="0.2">
      <c r="A1671" s="2">
        <v>3160</v>
      </c>
      <c r="B1671" s="2"/>
      <c r="C1671" s="2"/>
      <c r="D1671" s="2"/>
      <c r="E1671" s="2"/>
      <c r="F1671" s="132">
        <v>0</v>
      </c>
      <c r="G1671" s="132"/>
      <c r="H1671" s="132">
        <f t="shared" si="192"/>
        <v>0</v>
      </c>
      <c r="I1671" s="132"/>
      <c r="J1671" s="132">
        <f t="shared" si="190"/>
        <v>0</v>
      </c>
      <c r="K1671" s="132">
        <f t="shared" si="193"/>
        <v>0</v>
      </c>
      <c r="L1671" s="132">
        <f t="shared" si="187"/>
        <v>0</v>
      </c>
      <c r="M1671" s="133"/>
      <c r="N1671" s="133">
        <f t="shared" si="191"/>
        <v>0</v>
      </c>
      <c r="O1671" s="134"/>
      <c r="P1671" s="133"/>
      <c r="Q1671" s="2"/>
      <c r="R1671" s="156">
        <f t="shared" si="188"/>
        <v>0</v>
      </c>
      <c r="S1671" s="156">
        <f t="shared" si="189"/>
        <v>0</v>
      </c>
      <c r="T1671" s="133"/>
      <c r="U1671" s="133"/>
      <c r="V1671" s="133"/>
      <c r="W1671" s="133"/>
      <c r="X1671" s="133"/>
      <c r="Y1671" s="133"/>
      <c r="Z1671" s="133"/>
      <c r="AA1671" s="133"/>
      <c r="AB1671" s="133"/>
      <c r="AC1671" s="133"/>
      <c r="AD1671" s="133"/>
      <c r="AE1671" s="133"/>
      <c r="AF1671" s="133"/>
      <c r="AG1671" s="133"/>
      <c r="AH1671" s="133"/>
      <c r="AI1671" s="133"/>
      <c r="AJ1671" s="133"/>
      <c r="AK1671" s="133"/>
      <c r="AL1671" s="133"/>
      <c r="AM1671" s="133"/>
      <c r="AN1671" s="133"/>
      <c r="AO1671" s="133"/>
      <c r="AP1671" s="133"/>
      <c r="AQ1671" s="133"/>
      <c r="AR1671" s="133"/>
      <c r="AS1671" s="153">
        <v>0</v>
      </c>
      <c r="AT1671" s="153">
        <v>0</v>
      </c>
      <c r="AU1671" s="153">
        <v>0</v>
      </c>
      <c r="AV1671" s="135"/>
      <c r="AW1671" s="135"/>
      <c r="AX1671" s="135"/>
      <c r="AY1671" s="135"/>
      <c r="AZ1671" s="135"/>
      <c r="BA1671" s="135"/>
      <c r="BB1671" s="135"/>
      <c r="BC1671" s="135"/>
      <c r="BD1671" s="135"/>
      <c r="BE1671" s="135"/>
      <c r="BF1671" s="135"/>
      <c r="BG1671" s="135"/>
      <c r="BH1671" s="135"/>
      <c r="BI1671" s="2"/>
      <c r="BJ1671" s="136"/>
      <c r="BK1671" s="2"/>
      <c r="BL1671" s="136"/>
      <c r="BM1671" s="136"/>
      <c r="BN1671" s="2"/>
      <c r="BO1671" s="2"/>
      <c r="BP1671" s="136"/>
      <c r="BQ1671" s="137"/>
    </row>
    <row r="1672" spans="1:69" ht="12.75" customHeight="1" x14ac:dyDescent="0.2">
      <c r="A1672" s="2">
        <v>3161</v>
      </c>
      <c r="B1672" s="2"/>
      <c r="C1672" s="2"/>
      <c r="D1672" s="2"/>
      <c r="E1672" s="2"/>
      <c r="F1672" s="132">
        <v>0</v>
      </c>
      <c r="G1672" s="132"/>
      <c r="H1672" s="132">
        <f t="shared" si="192"/>
        <v>0</v>
      </c>
      <c r="I1672" s="132"/>
      <c r="J1672" s="132">
        <f t="shared" si="190"/>
        <v>0</v>
      </c>
      <c r="K1672" s="132">
        <f t="shared" si="193"/>
        <v>0</v>
      </c>
      <c r="L1672" s="132">
        <f t="shared" si="187"/>
        <v>0</v>
      </c>
      <c r="M1672" s="133"/>
      <c r="N1672" s="133">
        <f t="shared" si="191"/>
        <v>0</v>
      </c>
      <c r="O1672" s="134"/>
      <c r="P1672" s="133"/>
      <c r="Q1672" s="2"/>
      <c r="R1672" s="156">
        <f t="shared" si="188"/>
        <v>0</v>
      </c>
      <c r="S1672" s="156">
        <f t="shared" si="189"/>
        <v>0</v>
      </c>
      <c r="T1672" s="133"/>
      <c r="U1672" s="133"/>
      <c r="V1672" s="133"/>
      <c r="W1672" s="133"/>
      <c r="X1672" s="133"/>
      <c r="Y1672" s="133"/>
      <c r="Z1672" s="133"/>
      <c r="AA1672" s="133"/>
      <c r="AB1672" s="133"/>
      <c r="AC1672" s="133"/>
      <c r="AD1672" s="133"/>
      <c r="AE1672" s="133"/>
      <c r="AF1672" s="133"/>
      <c r="AG1672" s="133"/>
      <c r="AH1672" s="133"/>
      <c r="AI1672" s="133"/>
      <c r="AJ1672" s="133"/>
      <c r="AK1672" s="133"/>
      <c r="AL1672" s="133"/>
      <c r="AM1672" s="133"/>
      <c r="AN1672" s="133"/>
      <c r="AO1672" s="133"/>
      <c r="AP1672" s="133"/>
      <c r="AQ1672" s="133"/>
      <c r="AR1672" s="133"/>
      <c r="AS1672" s="153">
        <v>0</v>
      </c>
      <c r="AT1672" s="153">
        <v>0</v>
      </c>
      <c r="AU1672" s="153">
        <v>0</v>
      </c>
      <c r="AV1672" s="135"/>
      <c r="AW1672" s="135"/>
      <c r="AX1672" s="135"/>
      <c r="AY1672" s="135"/>
      <c r="AZ1672" s="135"/>
      <c r="BA1672" s="135"/>
      <c r="BB1672" s="135"/>
      <c r="BC1672" s="135"/>
      <c r="BD1672" s="135"/>
      <c r="BE1672" s="135"/>
      <c r="BF1672" s="135"/>
      <c r="BG1672" s="135"/>
      <c r="BH1672" s="135"/>
      <c r="BI1672" s="2"/>
      <c r="BJ1672" s="136"/>
      <c r="BK1672" s="2"/>
      <c r="BL1672" s="136"/>
      <c r="BM1672" s="136"/>
      <c r="BN1672" s="2"/>
      <c r="BO1672" s="2"/>
      <c r="BP1672" s="136"/>
      <c r="BQ1672" s="137"/>
    </row>
    <row r="1673" spans="1:69" ht="12.75" customHeight="1" x14ac:dyDescent="0.2">
      <c r="A1673" s="2">
        <v>3162</v>
      </c>
      <c r="B1673" s="2"/>
      <c r="C1673" s="2"/>
      <c r="D1673" s="2"/>
      <c r="E1673" s="2"/>
      <c r="F1673" s="132">
        <v>0</v>
      </c>
      <c r="G1673" s="132"/>
      <c r="H1673" s="132">
        <f t="shared" si="192"/>
        <v>0</v>
      </c>
      <c r="I1673" s="132"/>
      <c r="J1673" s="132">
        <f t="shared" si="190"/>
        <v>0</v>
      </c>
      <c r="K1673" s="132">
        <f t="shared" si="193"/>
        <v>0</v>
      </c>
      <c r="L1673" s="132">
        <f t="shared" si="187"/>
        <v>0</v>
      </c>
      <c r="M1673" s="133"/>
      <c r="N1673" s="133">
        <f t="shared" si="191"/>
        <v>0</v>
      </c>
      <c r="O1673" s="134"/>
      <c r="P1673" s="133"/>
      <c r="Q1673" s="2"/>
      <c r="R1673" s="156">
        <f t="shared" si="188"/>
        <v>0</v>
      </c>
      <c r="S1673" s="156">
        <f t="shared" si="189"/>
        <v>0</v>
      </c>
      <c r="T1673" s="133"/>
      <c r="U1673" s="133"/>
      <c r="V1673" s="133"/>
      <c r="W1673" s="133"/>
      <c r="X1673" s="133"/>
      <c r="Y1673" s="133"/>
      <c r="Z1673" s="133"/>
      <c r="AA1673" s="133"/>
      <c r="AB1673" s="133"/>
      <c r="AC1673" s="133"/>
      <c r="AD1673" s="133"/>
      <c r="AE1673" s="133"/>
      <c r="AF1673" s="133"/>
      <c r="AG1673" s="133"/>
      <c r="AH1673" s="133"/>
      <c r="AI1673" s="133"/>
      <c r="AJ1673" s="133"/>
      <c r="AK1673" s="133"/>
      <c r="AL1673" s="133"/>
      <c r="AM1673" s="133"/>
      <c r="AN1673" s="133"/>
      <c r="AO1673" s="133"/>
      <c r="AP1673" s="133"/>
      <c r="AQ1673" s="133"/>
      <c r="AR1673" s="133"/>
      <c r="AS1673" s="153">
        <v>0</v>
      </c>
      <c r="AT1673" s="153">
        <v>0</v>
      </c>
      <c r="AU1673" s="153">
        <v>0</v>
      </c>
      <c r="AV1673" s="135"/>
      <c r="AW1673" s="135"/>
      <c r="AX1673" s="135"/>
      <c r="AY1673" s="135"/>
      <c r="AZ1673" s="135"/>
      <c r="BA1673" s="135"/>
      <c r="BB1673" s="135"/>
      <c r="BC1673" s="135"/>
      <c r="BD1673" s="135"/>
      <c r="BE1673" s="135"/>
      <c r="BF1673" s="135"/>
      <c r="BG1673" s="135"/>
      <c r="BH1673" s="135"/>
      <c r="BI1673" s="2"/>
      <c r="BJ1673" s="136"/>
      <c r="BK1673" s="2"/>
      <c r="BL1673" s="136"/>
      <c r="BM1673" s="136"/>
      <c r="BN1673" s="2"/>
      <c r="BO1673" s="2"/>
      <c r="BP1673" s="136"/>
      <c r="BQ1673" s="137"/>
    </row>
    <row r="1674" spans="1:69" ht="12.75" customHeight="1" x14ac:dyDescent="0.2">
      <c r="A1674" s="2">
        <v>3163</v>
      </c>
      <c r="B1674" s="2"/>
      <c r="C1674" s="2"/>
      <c r="D1674" s="2"/>
      <c r="E1674" s="2"/>
      <c r="F1674" s="132">
        <v>0</v>
      </c>
      <c r="G1674" s="132"/>
      <c r="H1674" s="132">
        <f t="shared" si="192"/>
        <v>0</v>
      </c>
      <c r="I1674" s="132"/>
      <c r="J1674" s="132">
        <f t="shared" si="190"/>
        <v>0</v>
      </c>
      <c r="K1674" s="132">
        <f t="shared" si="193"/>
        <v>0</v>
      </c>
      <c r="L1674" s="132">
        <f t="shared" si="187"/>
        <v>0</v>
      </c>
      <c r="M1674" s="133"/>
      <c r="N1674" s="133">
        <f t="shared" si="191"/>
        <v>0</v>
      </c>
      <c r="O1674" s="134"/>
      <c r="P1674" s="133"/>
      <c r="Q1674" s="2"/>
      <c r="R1674" s="156">
        <f t="shared" si="188"/>
        <v>0</v>
      </c>
      <c r="S1674" s="156">
        <f t="shared" si="189"/>
        <v>0</v>
      </c>
      <c r="T1674" s="133"/>
      <c r="U1674" s="133"/>
      <c r="V1674" s="133"/>
      <c r="W1674" s="133"/>
      <c r="X1674" s="133"/>
      <c r="Y1674" s="133"/>
      <c r="Z1674" s="133"/>
      <c r="AA1674" s="133"/>
      <c r="AB1674" s="133"/>
      <c r="AC1674" s="133"/>
      <c r="AD1674" s="133"/>
      <c r="AE1674" s="133"/>
      <c r="AF1674" s="133"/>
      <c r="AG1674" s="133"/>
      <c r="AH1674" s="133"/>
      <c r="AI1674" s="133"/>
      <c r="AJ1674" s="133"/>
      <c r="AK1674" s="133"/>
      <c r="AL1674" s="133"/>
      <c r="AM1674" s="133"/>
      <c r="AN1674" s="133"/>
      <c r="AO1674" s="133"/>
      <c r="AP1674" s="133"/>
      <c r="AQ1674" s="133"/>
      <c r="AR1674" s="133"/>
      <c r="AS1674" s="153">
        <v>0</v>
      </c>
      <c r="AT1674" s="153">
        <v>0</v>
      </c>
      <c r="AU1674" s="153">
        <v>0</v>
      </c>
      <c r="AV1674" s="135"/>
      <c r="AW1674" s="135"/>
      <c r="AX1674" s="135"/>
      <c r="AY1674" s="135"/>
      <c r="AZ1674" s="135"/>
      <c r="BA1674" s="135"/>
      <c r="BB1674" s="135"/>
      <c r="BC1674" s="135"/>
      <c r="BD1674" s="135"/>
      <c r="BE1674" s="135"/>
      <c r="BF1674" s="135"/>
      <c r="BG1674" s="135"/>
      <c r="BH1674" s="135"/>
      <c r="BI1674" s="2"/>
      <c r="BJ1674" s="136"/>
      <c r="BK1674" s="2"/>
      <c r="BL1674" s="136"/>
      <c r="BM1674" s="136"/>
      <c r="BN1674" s="2"/>
      <c r="BO1674" s="2"/>
      <c r="BP1674" s="136"/>
      <c r="BQ1674" s="137"/>
    </row>
    <row r="1675" spans="1:69" ht="12.75" customHeight="1" x14ac:dyDescent="0.2">
      <c r="A1675" s="2">
        <v>3164</v>
      </c>
      <c r="B1675" s="2"/>
      <c r="C1675" s="2"/>
      <c r="D1675" s="2"/>
      <c r="E1675" s="2"/>
      <c r="F1675" s="132">
        <v>0</v>
      </c>
      <c r="G1675" s="132"/>
      <c r="H1675" s="132">
        <f t="shared" si="192"/>
        <v>0</v>
      </c>
      <c r="I1675" s="132"/>
      <c r="J1675" s="132">
        <f t="shared" si="190"/>
        <v>0</v>
      </c>
      <c r="K1675" s="132">
        <f t="shared" si="193"/>
        <v>0</v>
      </c>
      <c r="L1675" s="132">
        <f t="shared" ref="L1675:L1738" si="194">H1675-J1675</f>
        <v>0</v>
      </c>
      <c r="M1675" s="133"/>
      <c r="N1675" s="133">
        <f t="shared" si="191"/>
        <v>0</v>
      </c>
      <c r="O1675" s="134"/>
      <c r="P1675" s="133"/>
      <c r="Q1675" s="2"/>
      <c r="R1675" s="156">
        <f t="shared" ref="R1675:R1738" si="195">T1675+V1675+X1675+Z1675+AB1675+AD1675+AF1675+AH1675+AJ1675+AL1675+AN1675+AP1675</f>
        <v>0</v>
      </c>
      <c r="S1675" s="156">
        <f t="shared" ref="S1675:S1738" si="196">U1675+W1675+Y1675+AA1675+AC1675+AE1675+AG1675+AI1675+AK1675+AM1675+AO1675+AQ1675</f>
        <v>0</v>
      </c>
      <c r="T1675" s="133"/>
      <c r="U1675" s="133"/>
      <c r="V1675" s="133"/>
      <c r="W1675" s="133"/>
      <c r="X1675" s="133"/>
      <c r="Y1675" s="133"/>
      <c r="Z1675" s="133"/>
      <c r="AA1675" s="133"/>
      <c r="AB1675" s="133"/>
      <c r="AC1675" s="133"/>
      <c r="AD1675" s="133"/>
      <c r="AE1675" s="133"/>
      <c r="AF1675" s="133"/>
      <c r="AG1675" s="133"/>
      <c r="AH1675" s="133"/>
      <c r="AI1675" s="133"/>
      <c r="AJ1675" s="133"/>
      <c r="AK1675" s="133"/>
      <c r="AL1675" s="133"/>
      <c r="AM1675" s="133"/>
      <c r="AN1675" s="133"/>
      <c r="AO1675" s="133"/>
      <c r="AP1675" s="133"/>
      <c r="AQ1675" s="133"/>
      <c r="AR1675" s="133"/>
      <c r="AS1675" s="153">
        <v>0</v>
      </c>
      <c r="AT1675" s="153">
        <v>0</v>
      </c>
      <c r="AU1675" s="153">
        <v>0</v>
      </c>
      <c r="AV1675" s="135"/>
      <c r="AW1675" s="135"/>
      <c r="AX1675" s="135"/>
      <c r="AY1675" s="135"/>
      <c r="AZ1675" s="135"/>
      <c r="BA1675" s="135"/>
      <c r="BB1675" s="135"/>
      <c r="BC1675" s="135"/>
      <c r="BD1675" s="135"/>
      <c r="BE1675" s="135"/>
      <c r="BF1675" s="135"/>
      <c r="BG1675" s="135"/>
      <c r="BH1675" s="135"/>
      <c r="BI1675" s="2"/>
      <c r="BJ1675" s="136"/>
      <c r="BK1675" s="2"/>
      <c r="BL1675" s="136"/>
      <c r="BM1675" s="136"/>
      <c r="BN1675" s="2"/>
      <c r="BO1675" s="2"/>
      <c r="BP1675" s="136"/>
      <c r="BQ1675" s="137"/>
    </row>
    <row r="1676" spans="1:69" ht="12.75" customHeight="1" x14ac:dyDescent="0.2">
      <c r="A1676" s="2">
        <v>3165</v>
      </c>
      <c r="B1676" s="2"/>
      <c r="C1676" s="2"/>
      <c r="D1676" s="2"/>
      <c r="E1676" s="2"/>
      <c r="F1676" s="132">
        <v>0</v>
      </c>
      <c r="G1676" s="132"/>
      <c r="H1676" s="132">
        <f t="shared" si="192"/>
        <v>0</v>
      </c>
      <c r="I1676" s="132"/>
      <c r="J1676" s="132">
        <f t="shared" si="190"/>
        <v>0</v>
      </c>
      <c r="K1676" s="132">
        <f t="shared" si="193"/>
        <v>0</v>
      </c>
      <c r="L1676" s="132">
        <f t="shared" si="194"/>
        <v>0</v>
      </c>
      <c r="M1676" s="133"/>
      <c r="N1676" s="133">
        <f t="shared" si="191"/>
        <v>0</v>
      </c>
      <c r="O1676" s="134"/>
      <c r="P1676" s="133"/>
      <c r="Q1676" s="2"/>
      <c r="R1676" s="156">
        <f t="shared" si="195"/>
        <v>0</v>
      </c>
      <c r="S1676" s="156">
        <f t="shared" si="196"/>
        <v>0</v>
      </c>
      <c r="T1676" s="133"/>
      <c r="U1676" s="133"/>
      <c r="V1676" s="133"/>
      <c r="W1676" s="133"/>
      <c r="X1676" s="133"/>
      <c r="Y1676" s="133"/>
      <c r="Z1676" s="133"/>
      <c r="AA1676" s="133"/>
      <c r="AB1676" s="133"/>
      <c r="AC1676" s="133"/>
      <c r="AD1676" s="133"/>
      <c r="AE1676" s="133"/>
      <c r="AF1676" s="133"/>
      <c r="AG1676" s="133"/>
      <c r="AH1676" s="133"/>
      <c r="AI1676" s="133"/>
      <c r="AJ1676" s="133"/>
      <c r="AK1676" s="133"/>
      <c r="AL1676" s="133"/>
      <c r="AM1676" s="133"/>
      <c r="AN1676" s="133"/>
      <c r="AO1676" s="133"/>
      <c r="AP1676" s="133"/>
      <c r="AQ1676" s="133"/>
      <c r="AR1676" s="133"/>
      <c r="AS1676" s="153">
        <v>0</v>
      </c>
      <c r="AT1676" s="153">
        <v>0</v>
      </c>
      <c r="AU1676" s="153">
        <v>0</v>
      </c>
      <c r="AV1676" s="135"/>
      <c r="AW1676" s="135"/>
      <c r="AX1676" s="135"/>
      <c r="AY1676" s="135"/>
      <c r="AZ1676" s="135"/>
      <c r="BA1676" s="135"/>
      <c r="BB1676" s="135"/>
      <c r="BC1676" s="135"/>
      <c r="BD1676" s="135"/>
      <c r="BE1676" s="135"/>
      <c r="BF1676" s="135"/>
      <c r="BG1676" s="135"/>
      <c r="BH1676" s="135"/>
      <c r="BI1676" s="2"/>
      <c r="BJ1676" s="136"/>
      <c r="BK1676" s="2"/>
      <c r="BL1676" s="136"/>
      <c r="BM1676" s="136"/>
      <c r="BN1676" s="2"/>
      <c r="BO1676" s="2"/>
      <c r="BP1676" s="136"/>
      <c r="BQ1676" s="137"/>
    </row>
    <row r="1677" spans="1:69" ht="12.75" customHeight="1" x14ac:dyDescent="0.2">
      <c r="A1677" s="2">
        <v>3166</v>
      </c>
      <c r="B1677" s="2"/>
      <c r="C1677" s="2"/>
      <c r="D1677" s="2"/>
      <c r="E1677" s="2"/>
      <c r="F1677" s="132">
        <v>0</v>
      </c>
      <c r="G1677" s="132"/>
      <c r="H1677" s="132">
        <f t="shared" si="192"/>
        <v>0</v>
      </c>
      <c r="I1677" s="132"/>
      <c r="J1677" s="132">
        <f t="shared" si="190"/>
        <v>0</v>
      </c>
      <c r="K1677" s="132">
        <f t="shared" si="193"/>
        <v>0</v>
      </c>
      <c r="L1677" s="132">
        <f t="shared" si="194"/>
        <v>0</v>
      </c>
      <c r="M1677" s="133"/>
      <c r="N1677" s="133">
        <f t="shared" si="191"/>
        <v>0</v>
      </c>
      <c r="O1677" s="134"/>
      <c r="P1677" s="133"/>
      <c r="Q1677" s="2"/>
      <c r="R1677" s="156">
        <f t="shared" si="195"/>
        <v>0</v>
      </c>
      <c r="S1677" s="156">
        <f t="shared" si="196"/>
        <v>0</v>
      </c>
      <c r="T1677" s="133"/>
      <c r="U1677" s="133"/>
      <c r="V1677" s="133"/>
      <c r="W1677" s="133"/>
      <c r="X1677" s="133"/>
      <c r="Y1677" s="133"/>
      <c r="Z1677" s="133"/>
      <c r="AA1677" s="133"/>
      <c r="AB1677" s="133"/>
      <c r="AC1677" s="133"/>
      <c r="AD1677" s="133"/>
      <c r="AE1677" s="133"/>
      <c r="AF1677" s="133"/>
      <c r="AG1677" s="133"/>
      <c r="AH1677" s="133"/>
      <c r="AI1677" s="133"/>
      <c r="AJ1677" s="133"/>
      <c r="AK1677" s="133"/>
      <c r="AL1677" s="133"/>
      <c r="AM1677" s="133"/>
      <c r="AN1677" s="133"/>
      <c r="AO1677" s="133"/>
      <c r="AP1677" s="133"/>
      <c r="AQ1677" s="133"/>
      <c r="AR1677" s="133"/>
      <c r="AS1677" s="153">
        <v>0</v>
      </c>
      <c r="AT1677" s="153">
        <v>0</v>
      </c>
      <c r="AU1677" s="153">
        <v>0</v>
      </c>
      <c r="AV1677" s="135"/>
      <c r="AW1677" s="135"/>
      <c r="AX1677" s="135"/>
      <c r="AY1677" s="135"/>
      <c r="AZ1677" s="135"/>
      <c r="BA1677" s="135"/>
      <c r="BB1677" s="135"/>
      <c r="BC1677" s="135"/>
      <c r="BD1677" s="135"/>
      <c r="BE1677" s="135"/>
      <c r="BF1677" s="135"/>
      <c r="BG1677" s="135"/>
      <c r="BH1677" s="135"/>
      <c r="BI1677" s="2"/>
      <c r="BJ1677" s="136"/>
      <c r="BK1677" s="2"/>
      <c r="BL1677" s="136"/>
      <c r="BM1677" s="136"/>
      <c r="BN1677" s="2"/>
      <c r="BO1677" s="2"/>
      <c r="BP1677" s="136"/>
      <c r="BQ1677" s="137"/>
    </row>
    <row r="1678" spans="1:69" ht="12.75" customHeight="1" x14ac:dyDescent="0.2">
      <c r="A1678" s="2">
        <v>3167</v>
      </c>
      <c r="B1678" s="2"/>
      <c r="C1678" s="2"/>
      <c r="D1678" s="2"/>
      <c r="E1678" s="2"/>
      <c r="F1678" s="132">
        <v>0</v>
      </c>
      <c r="G1678" s="132"/>
      <c r="H1678" s="132">
        <f t="shared" si="192"/>
        <v>0</v>
      </c>
      <c r="I1678" s="132"/>
      <c r="J1678" s="132">
        <f t="shared" si="190"/>
        <v>0</v>
      </c>
      <c r="K1678" s="132">
        <f t="shared" si="193"/>
        <v>0</v>
      </c>
      <c r="L1678" s="132">
        <f t="shared" si="194"/>
        <v>0</v>
      </c>
      <c r="M1678" s="133"/>
      <c r="N1678" s="133">
        <f t="shared" si="191"/>
        <v>0</v>
      </c>
      <c r="O1678" s="134"/>
      <c r="P1678" s="133"/>
      <c r="Q1678" s="2"/>
      <c r="R1678" s="156">
        <f t="shared" si="195"/>
        <v>0</v>
      </c>
      <c r="S1678" s="156">
        <f t="shared" si="196"/>
        <v>0</v>
      </c>
      <c r="T1678" s="133"/>
      <c r="U1678" s="133"/>
      <c r="V1678" s="133"/>
      <c r="W1678" s="133"/>
      <c r="X1678" s="133"/>
      <c r="Y1678" s="133"/>
      <c r="Z1678" s="133"/>
      <c r="AA1678" s="133"/>
      <c r="AB1678" s="133"/>
      <c r="AC1678" s="133"/>
      <c r="AD1678" s="133"/>
      <c r="AE1678" s="133"/>
      <c r="AF1678" s="133"/>
      <c r="AG1678" s="133"/>
      <c r="AH1678" s="133"/>
      <c r="AI1678" s="133"/>
      <c r="AJ1678" s="133"/>
      <c r="AK1678" s="133"/>
      <c r="AL1678" s="133"/>
      <c r="AM1678" s="133"/>
      <c r="AN1678" s="133"/>
      <c r="AO1678" s="133"/>
      <c r="AP1678" s="133"/>
      <c r="AQ1678" s="133"/>
      <c r="AR1678" s="133"/>
      <c r="AS1678" s="153">
        <v>0</v>
      </c>
      <c r="AT1678" s="153">
        <v>0</v>
      </c>
      <c r="AU1678" s="153">
        <v>0</v>
      </c>
      <c r="AV1678" s="135"/>
      <c r="AW1678" s="135"/>
      <c r="AX1678" s="135"/>
      <c r="AY1678" s="135"/>
      <c r="AZ1678" s="135"/>
      <c r="BA1678" s="135"/>
      <c r="BB1678" s="135"/>
      <c r="BC1678" s="135"/>
      <c r="BD1678" s="135"/>
      <c r="BE1678" s="135"/>
      <c r="BF1678" s="135"/>
      <c r="BG1678" s="135"/>
      <c r="BH1678" s="135"/>
      <c r="BI1678" s="2"/>
      <c r="BJ1678" s="136"/>
      <c r="BK1678" s="2"/>
      <c r="BL1678" s="136"/>
      <c r="BM1678" s="136"/>
      <c r="BN1678" s="2"/>
      <c r="BO1678" s="2"/>
      <c r="BP1678" s="136"/>
      <c r="BQ1678" s="137"/>
    </row>
    <row r="1679" spans="1:69" ht="12.75" customHeight="1" x14ac:dyDescent="0.2">
      <c r="A1679" s="2">
        <v>3168</v>
      </c>
      <c r="B1679" s="2"/>
      <c r="C1679" s="2"/>
      <c r="D1679" s="2"/>
      <c r="E1679" s="2"/>
      <c r="F1679" s="132">
        <v>0</v>
      </c>
      <c r="G1679" s="132"/>
      <c r="H1679" s="132">
        <f t="shared" si="192"/>
        <v>0</v>
      </c>
      <c r="I1679" s="132"/>
      <c r="J1679" s="132">
        <f t="shared" si="190"/>
        <v>0</v>
      </c>
      <c r="K1679" s="132">
        <f t="shared" si="193"/>
        <v>0</v>
      </c>
      <c r="L1679" s="132">
        <f t="shared" si="194"/>
        <v>0</v>
      </c>
      <c r="M1679" s="133"/>
      <c r="N1679" s="133">
        <f t="shared" si="191"/>
        <v>0</v>
      </c>
      <c r="O1679" s="134"/>
      <c r="P1679" s="133"/>
      <c r="Q1679" s="2"/>
      <c r="R1679" s="156">
        <f t="shared" si="195"/>
        <v>0</v>
      </c>
      <c r="S1679" s="156">
        <f t="shared" si="196"/>
        <v>0</v>
      </c>
      <c r="T1679" s="133"/>
      <c r="U1679" s="133"/>
      <c r="V1679" s="133"/>
      <c r="W1679" s="133"/>
      <c r="X1679" s="133"/>
      <c r="Y1679" s="133"/>
      <c r="Z1679" s="133"/>
      <c r="AA1679" s="133"/>
      <c r="AB1679" s="133"/>
      <c r="AC1679" s="133"/>
      <c r="AD1679" s="133"/>
      <c r="AE1679" s="133"/>
      <c r="AF1679" s="133"/>
      <c r="AG1679" s="133"/>
      <c r="AH1679" s="133"/>
      <c r="AI1679" s="133"/>
      <c r="AJ1679" s="133"/>
      <c r="AK1679" s="133"/>
      <c r="AL1679" s="133"/>
      <c r="AM1679" s="133"/>
      <c r="AN1679" s="133"/>
      <c r="AO1679" s="133"/>
      <c r="AP1679" s="133"/>
      <c r="AQ1679" s="133"/>
      <c r="AR1679" s="133"/>
      <c r="AS1679" s="153">
        <v>0</v>
      </c>
      <c r="AT1679" s="153">
        <v>0</v>
      </c>
      <c r="AU1679" s="153">
        <v>0</v>
      </c>
      <c r="AV1679" s="135"/>
      <c r="AW1679" s="135"/>
      <c r="AX1679" s="135"/>
      <c r="AY1679" s="135"/>
      <c r="AZ1679" s="135"/>
      <c r="BA1679" s="135"/>
      <c r="BB1679" s="135"/>
      <c r="BC1679" s="135"/>
      <c r="BD1679" s="135"/>
      <c r="BE1679" s="135"/>
      <c r="BF1679" s="135"/>
      <c r="BG1679" s="135"/>
      <c r="BH1679" s="135"/>
      <c r="BI1679" s="2"/>
      <c r="BJ1679" s="136"/>
      <c r="BK1679" s="2"/>
      <c r="BL1679" s="136"/>
      <c r="BM1679" s="136"/>
      <c r="BN1679" s="2"/>
      <c r="BO1679" s="2"/>
      <c r="BP1679" s="136"/>
      <c r="BQ1679" s="137"/>
    </row>
    <row r="1680" spans="1:69" ht="12.75" customHeight="1" x14ac:dyDescent="0.2">
      <c r="A1680" s="2">
        <v>3169</v>
      </c>
      <c r="B1680" s="2"/>
      <c r="C1680" s="2"/>
      <c r="D1680" s="2"/>
      <c r="E1680" s="2"/>
      <c r="F1680" s="132">
        <v>0</v>
      </c>
      <c r="G1680" s="132"/>
      <c r="H1680" s="132">
        <f t="shared" si="192"/>
        <v>0</v>
      </c>
      <c r="I1680" s="132"/>
      <c r="J1680" s="132">
        <f t="shared" si="190"/>
        <v>0</v>
      </c>
      <c r="K1680" s="132">
        <f t="shared" si="193"/>
        <v>0</v>
      </c>
      <c r="L1680" s="132">
        <f t="shared" si="194"/>
        <v>0</v>
      </c>
      <c r="M1680" s="133"/>
      <c r="N1680" s="133">
        <f t="shared" si="191"/>
        <v>0</v>
      </c>
      <c r="O1680" s="134"/>
      <c r="P1680" s="133"/>
      <c r="Q1680" s="2"/>
      <c r="R1680" s="156">
        <f t="shared" si="195"/>
        <v>0</v>
      </c>
      <c r="S1680" s="156">
        <f t="shared" si="196"/>
        <v>0</v>
      </c>
      <c r="T1680" s="133"/>
      <c r="U1680" s="133"/>
      <c r="V1680" s="133"/>
      <c r="W1680" s="133"/>
      <c r="X1680" s="133"/>
      <c r="Y1680" s="133"/>
      <c r="Z1680" s="133"/>
      <c r="AA1680" s="133"/>
      <c r="AB1680" s="133"/>
      <c r="AC1680" s="133"/>
      <c r="AD1680" s="133"/>
      <c r="AE1680" s="133"/>
      <c r="AF1680" s="133"/>
      <c r="AG1680" s="133"/>
      <c r="AH1680" s="133"/>
      <c r="AI1680" s="133"/>
      <c r="AJ1680" s="133"/>
      <c r="AK1680" s="133"/>
      <c r="AL1680" s="133"/>
      <c r="AM1680" s="133"/>
      <c r="AN1680" s="133"/>
      <c r="AO1680" s="133"/>
      <c r="AP1680" s="133"/>
      <c r="AQ1680" s="133"/>
      <c r="AR1680" s="133"/>
      <c r="AS1680" s="153">
        <v>0</v>
      </c>
      <c r="AT1680" s="153">
        <v>0</v>
      </c>
      <c r="AU1680" s="153">
        <v>0</v>
      </c>
      <c r="AV1680" s="135"/>
      <c r="AW1680" s="135"/>
      <c r="AX1680" s="135"/>
      <c r="AY1680" s="135"/>
      <c r="AZ1680" s="135"/>
      <c r="BA1680" s="135"/>
      <c r="BB1680" s="135"/>
      <c r="BC1680" s="135"/>
      <c r="BD1680" s="135"/>
      <c r="BE1680" s="135"/>
      <c r="BF1680" s="135"/>
      <c r="BG1680" s="135"/>
      <c r="BH1680" s="135"/>
      <c r="BI1680" s="2"/>
      <c r="BJ1680" s="136"/>
      <c r="BK1680" s="2"/>
      <c r="BL1680" s="136"/>
      <c r="BM1680" s="136"/>
      <c r="BN1680" s="2"/>
      <c r="BO1680" s="2"/>
      <c r="BP1680" s="136"/>
      <c r="BQ1680" s="137"/>
    </row>
    <row r="1681" spans="1:69" ht="12.75" customHeight="1" x14ac:dyDescent="0.2">
      <c r="A1681" s="2">
        <v>3170</v>
      </c>
      <c r="B1681" s="2"/>
      <c r="C1681" s="2"/>
      <c r="D1681" s="2"/>
      <c r="E1681" s="2"/>
      <c r="F1681" s="132">
        <v>0</v>
      </c>
      <c r="G1681" s="132"/>
      <c r="H1681" s="132">
        <f t="shared" si="192"/>
        <v>0</v>
      </c>
      <c r="I1681" s="132"/>
      <c r="J1681" s="132">
        <f t="shared" si="190"/>
        <v>0</v>
      </c>
      <c r="K1681" s="132">
        <f t="shared" si="193"/>
        <v>0</v>
      </c>
      <c r="L1681" s="132">
        <f t="shared" si="194"/>
        <v>0</v>
      </c>
      <c r="M1681" s="133"/>
      <c r="N1681" s="133">
        <f t="shared" si="191"/>
        <v>0</v>
      </c>
      <c r="O1681" s="134"/>
      <c r="P1681" s="133"/>
      <c r="Q1681" s="2"/>
      <c r="R1681" s="156">
        <f t="shared" si="195"/>
        <v>0</v>
      </c>
      <c r="S1681" s="156">
        <f t="shared" si="196"/>
        <v>0</v>
      </c>
      <c r="T1681" s="133"/>
      <c r="U1681" s="133"/>
      <c r="V1681" s="133"/>
      <c r="W1681" s="133"/>
      <c r="X1681" s="133"/>
      <c r="Y1681" s="133"/>
      <c r="Z1681" s="133"/>
      <c r="AA1681" s="133"/>
      <c r="AB1681" s="133"/>
      <c r="AC1681" s="133"/>
      <c r="AD1681" s="133"/>
      <c r="AE1681" s="133"/>
      <c r="AF1681" s="133"/>
      <c r="AG1681" s="133"/>
      <c r="AH1681" s="133"/>
      <c r="AI1681" s="133"/>
      <c r="AJ1681" s="133"/>
      <c r="AK1681" s="133"/>
      <c r="AL1681" s="133"/>
      <c r="AM1681" s="133"/>
      <c r="AN1681" s="133"/>
      <c r="AO1681" s="133"/>
      <c r="AP1681" s="133"/>
      <c r="AQ1681" s="133"/>
      <c r="AR1681" s="133"/>
      <c r="AS1681" s="153">
        <v>0</v>
      </c>
      <c r="AT1681" s="153">
        <v>0</v>
      </c>
      <c r="AU1681" s="153">
        <v>0</v>
      </c>
      <c r="AV1681" s="135"/>
      <c r="AW1681" s="135"/>
      <c r="AX1681" s="135"/>
      <c r="AY1681" s="135"/>
      <c r="AZ1681" s="135"/>
      <c r="BA1681" s="135"/>
      <c r="BB1681" s="135"/>
      <c r="BC1681" s="135"/>
      <c r="BD1681" s="135"/>
      <c r="BE1681" s="135"/>
      <c r="BF1681" s="135"/>
      <c r="BG1681" s="135"/>
      <c r="BH1681" s="135"/>
      <c r="BI1681" s="2"/>
      <c r="BJ1681" s="136"/>
      <c r="BK1681" s="2"/>
      <c r="BL1681" s="136"/>
      <c r="BM1681" s="136"/>
      <c r="BN1681" s="2"/>
      <c r="BO1681" s="2"/>
      <c r="BP1681" s="136"/>
      <c r="BQ1681" s="137"/>
    </row>
    <row r="1682" spans="1:69" ht="12.75" customHeight="1" x14ac:dyDescent="0.2">
      <c r="A1682" s="2">
        <v>3171</v>
      </c>
      <c r="B1682" s="2"/>
      <c r="C1682" s="2"/>
      <c r="D1682" s="2"/>
      <c r="E1682" s="2"/>
      <c r="F1682" s="132">
        <v>0</v>
      </c>
      <c r="G1682" s="132"/>
      <c r="H1682" s="132">
        <f t="shared" si="192"/>
        <v>0</v>
      </c>
      <c r="I1682" s="132"/>
      <c r="J1682" s="132">
        <f t="shared" si="190"/>
        <v>0</v>
      </c>
      <c r="K1682" s="132">
        <f t="shared" si="193"/>
        <v>0</v>
      </c>
      <c r="L1682" s="132">
        <f t="shared" si="194"/>
        <v>0</v>
      </c>
      <c r="M1682" s="133"/>
      <c r="N1682" s="133">
        <f t="shared" si="191"/>
        <v>0</v>
      </c>
      <c r="O1682" s="134"/>
      <c r="P1682" s="133"/>
      <c r="Q1682" s="2"/>
      <c r="R1682" s="156">
        <f t="shared" si="195"/>
        <v>0</v>
      </c>
      <c r="S1682" s="156">
        <f t="shared" si="196"/>
        <v>0</v>
      </c>
      <c r="T1682" s="133"/>
      <c r="U1682" s="133"/>
      <c r="V1682" s="133"/>
      <c r="W1682" s="133"/>
      <c r="X1682" s="133"/>
      <c r="Y1682" s="133"/>
      <c r="Z1682" s="133"/>
      <c r="AA1682" s="133"/>
      <c r="AB1682" s="133"/>
      <c r="AC1682" s="133"/>
      <c r="AD1682" s="133"/>
      <c r="AE1682" s="133"/>
      <c r="AF1682" s="133"/>
      <c r="AG1682" s="133"/>
      <c r="AH1682" s="133"/>
      <c r="AI1682" s="133"/>
      <c r="AJ1682" s="133"/>
      <c r="AK1682" s="133"/>
      <c r="AL1682" s="133"/>
      <c r="AM1682" s="133"/>
      <c r="AN1682" s="133"/>
      <c r="AO1682" s="133"/>
      <c r="AP1682" s="133"/>
      <c r="AQ1682" s="133"/>
      <c r="AR1682" s="133"/>
      <c r="AS1682" s="153">
        <v>0</v>
      </c>
      <c r="AT1682" s="153">
        <v>0</v>
      </c>
      <c r="AU1682" s="153">
        <v>0</v>
      </c>
      <c r="AV1682" s="135"/>
      <c r="AW1682" s="135"/>
      <c r="AX1682" s="135"/>
      <c r="AY1682" s="135"/>
      <c r="AZ1682" s="135"/>
      <c r="BA1682" s="135"/>
      <c r="BB1682" s="135"/>
      <c r="BC1682" s="135"/>
      <c r="BD1682" s="135"/>
      <c r="BE1682" s="135"/>
      <c r="BF1682" s="135"/>
      <c r="BG1682" s="135"/>
      <c r="BH1682" s="135"/>
      <c r="BI1682" s="2"/>
      <c r="BJ1682" s="136"/>
      <c r="BK1682" s="2"/>
      <c r="BL1682" s="136"/>
      <c r="BM1682" s="136"/>
      <c r="BN1682" s="2"/>
      <c r="BO1682" s="2"/>
      <c r="BP1682" s="136"/>
      <c r="BQ1682" s="137"/>
    </row>
    <row r="1683" spans="1:69" ht="12.75" customHeight="1" x14ac:dyDescent="0.2">
      <c r="A1683" s="2">
        <v>3172</v>
      </c>
      <c r="B1683" s="2"/>
      <c r="C1683" s="2"/>
      <c r="D1683" s="2"/>
      <c r="E1683" s="2"/>
      <c r="F1683" s="132">
        <v>0</v>
      </c>
      <c r="G1683" s="132"/>
      <c r="H1683" s="132">
        <f t="shared" si="192"/>
        <v>0</v>
      </c>
      <c r="I1683" s="132"/>
      <c r="J1683" s="132">
        <f t="shared" si="190"/>
        <v>0</v>
      </c>
      <c r="K1683" s="132">
        <f t="shared" si="193"/>
        <v>0</v>
      </c>
      <c r="L1683" s="132">
        <f t="shared" si="194"/>
        <v>0</v>
      </c>
      <c r="M1683" s="133"/>
      <c r="N1683" s="133">
        <f t="shared" si="191"/>
        <v>0</v>
      </c>
      <c r="O1683" s="134"/>
      <c r="P1683" s="133"/>
      <c r="Q1683" s="2"/>
      <c r="R1683" s="156">
        <f t="shared" si="195"/>
        <v>0</v>
      </c>
      <c r="S1683" s="156">
        <f t="shared" si="196"/>
        <v>0</v>
      </c>
      <c r="T1683" s="133"/>
      <c r="U1683" s="133"/>
      <c r="V1683" s="133"/>
      <c r="W1683" s="133"/>
      <c r="X1683" s="133"/>
      <c r="Y1683" s="133"/>
      <c r="Z1683" s="133"/>
      <c r="AA1683" s="133"/>
      <c r="AB1683" s="133"/>
      <c r="AC1683" s="133"/>
      <c r="AD1683" s="133"/>
      <c r="AE1683" s="133"/>
      <c r="AF1683" s="133"/>
      <c r="AG1683" s="133"/>
      <c r="AH1683" s="133"/>
      <c r="AI1683" s="133"/>
      <c r="AJ1683" s="133"/>
      <c r="AK1683" s="133"/>
      <c r="AL1683" s="133"/>
      <c r="AM1683" s="133"/>
      <c r="AN1683" s="133"/>
      <c r="AO1683" s="133"/>
      <c r="AP1683" s="133"/>
      <c r="AQ1683" s="133"/>
      <c r="AR1683" s="133"/>
      <c r="AS1683" s="153">
        <v>0</v>
      </c>
      <c r="AT1683" s="153">
        <v>0</v>
      </c>
      <c r="AU1683" s="153">
        <v>0</v>
      </c>
      <c r="AV1683" s="135"/>
      <c r="AW1683" s="135"/>
      <c r="AX1683" s="135"/>
      <c r="AY1683" s="135"/>
      <c r="AZ1683" s="135"/>
      <c r="BA1683" s="135"/>
      <c r="BB1683" s="135"/>
      <c r="BC1683" s="135"/>
      <c r="BD1683" s="135"/>
      <c r="BE1683" s="135"/>
      <c r="BF1683" s="135"/>
      <c r="BG1683" s="135"/>
      <c r="BH1683" s="135"/>
      <c r="BI1683" s="2"/>
      <c r="BJ1683" s="136"/>
      <c r="BK1683" s="2"/>
      <c r="BL1683" s="136"/>
      <c r="BM1683" s="136"/>
      <c r="BN1683" s="2"/>
      <c r="BO1683" s="2"/>
      <c r="BP1683" s="136"/>
      <c r="BQ1683" s="137"/>
    </row>
    <row r="1684" spans="1:69" ht="12.75" customHeight="1" x14ac:dyDescent="0.2">
      <c r="A1684" s="2">
        <v>3173</v>
      </c>
      <c r="B1684" s="2"/>
      <c r="C1684" s="2"/>
      <c r="D1684" s="2"/>
      <c r="E1684" s="2"/>
      <c r="F1684" s="132">
        <v>0</v>
      </c>
      <c r="G1684" s="132"/>
      <c r="H1684" s="132">
        <f t="shared" si="192"/>
        <v>0</v>
      </c>
      <c r="I1684" s="132"/>
      <c r="J1684" s="132">
        <f t="shared" si="190"/>
        <v>0</v>
      </c>
      <c r="K1684" s="132">
        <f t="shared" si="193"/>
        <v>0</v>
      </c>
      <c r="L1684" s="132">
        <f t="shared" si="194"/>
        <v>0</v>
      </c>
      <c r="M1684" s="133"/>
      <c r="N1684" s="133">
        <f t="shared" si="191"/>
        <v>0</v>
      </c>
      <c r="O1684" s="134"/>
      <c r="P1684" s="133"/>
      <c r="Q1684" s="2"/>
      <c r="R1684" s="156">
        <f t="shared" si="195"/>
        <v>0</v>
      </c>
      <c r="S1684" s="156">
        <f t="shared" si="196"/>
        <v>0</v>
      </c>
      <c r="T1684" s="133"/>
      <c r="U1684" s="133"/>
      <c r="V1684" s="133"/>
      <c r="W1684" s="133"/>
      <c r="X1684" s="133"/>
      <c r="Y1684" s="133"/>
      <c r="Z1684" s="133"/>
      <c r="AA1684" s="133"/>
      <c r="AB1684" s="133"/>
      <c r="AC1684" s="133"/>
      <c r="AD1684" s="133"/>
      <c r="AE1684" s="133"/>
      <c r="AF1684" s="133"/>
      <c r="AG1684" s="133"/>
      <c r="AH1684" s="133"/>
      <c r="AI1684" s="133"/>
      <c r="AJ1684" s="133"/>
      <c r="AK1684" s="133"/>
      <c r="AL1684" s="133"/>
      <c r="AM1684" s="133"/>
      <c r="AN1684" s="133"/>
      <c r="AO1684" s="133"/>
      <c r="AP1684" s="133"/>
      <c r="AQ1684" s="133"/>
      <c r="AR1684" s="133"/>
      <c r="AS1684" s="153">
        <v>0</v>
      </c>
      <c r="AT1684" s="153">
        <v>0</v>
      </c>
      <c r="AU1684" s="153">
        <v>0</v>
      </c>
      <c r="AV1684" s="135"/>
      <c r="AW1684" s="135"/>
      <c r="AX1684" s="135"/>
      <c r="AY1684" s="135"/>
      <c r="AZ1684" s="135"/>
      <c r="BA1684" s="135"/>
      <c r="BB1684" s="135"/>
      <c r="BC1684" s="135"/>
      <c r="BD1684" s="135"/>
      <c r="BE1684" s="135"/>
      <c r="BF1684" s="135"/>
      <c r="BG1684" s="135"/>
      <c r="BH1684" s="135"/>
      <c r="BI1684" s="2"/>
      <c r="BJ1684" s="136"/>
      <c r="BK1684" s="2"/>
      <c r="BL1684" s="136"/>
      <c r="BM1684" s="136"/>
      <c r="BN1684" s="2"/>
      <c r="BO1684" s="2"/>
      <c r="BP1684" s="136"/>
      <c r="BQ1684" s="137"/>
    </row>
    <row r="1685" spans="1:69" ht="12.75" customHeight="1" x14ac:dyDescent="0.2">
      <c r="A1685" s="2">
        <v>3174</v>
      </c>
      <c r="B1685" s="2"/>
      <c r="C1685" s="2"/>
      <c r="D1685" s="2"/>
      <c r="E1685" s="2"/>
      <c r="F1685" s="132">
        <v>0</v>
      </c>
      <c r="G1685" s="132"/>
      <c r="H1685" s="132">
        <f t="shared" si="192"/>
        <v>0</v>
      </c>
      <c r="I1685" s="132"/>
      <c r="J1685" s="132">
        <f t="shared" si="190"/>
        <v>0</v>
      </c>
      <c r="K1685" s="132">
        <f t="shared" si="193"/>
        <v>0</v>
      </c>
      <c r="L1685" s="132">
        <f t="shared" si="194"/>
        <v>0</v>
      </c>
      <c r="M1685" s="133"/>
      <c r="N1685" s="133">
        <f t="shared" si="191"/>
        <v>0</v>
      </c>
      <c r="O1685" s="134"/>
      <c r="P1685" s="133"/>
      <c r="Q1685" s="2"/>
      <c r="R1685" s="156">
        <f t="shared" si="195"/>
        <v>0</v>
      </c>
      <c r="S1685" s="156">
        <f t="shared" si="196"/>
        <v>0</v>
      </c>
      <c r="T1685" s="133"/>
      <c r="U1685" s="133"/>
      <c r="V1685" s="133"/>
      <c r="W1685" s="133"/>
      <c r="X1685" s="133"/>
      <c r="Y1685" s="133"/>
      <c r="Z1685" s="133"/>
      <c r="AA1685" s="133"/>
      <c r="AB1685" s="133"/>
      <c r="AC1685" s="133"/>
      <c r="AD1685" s="133"/>
      <c r="AE1685" s="133"/>
      <c r="AF1685" s="133"/>
      <c r="AG1685" s="133"/>
      <c r="AH1685" s="133"/>
      <c r="AI1685" s="133"/>
      <c r="AJ1685" s="133"/>
      <c r="AK1685" s="133"/>
      <c r="AL1685" s="133"/>
      <c r="AM1685" s="133"/>
      <c r="AN1685" s="133"/>
      <c r="AO1685" s="133"/>
      <c r="AP1685" s="133"/>
      <c r="AQ1685" s="133"/>
      <c r="AR1685" s="133"/>
      <c r="AS1685" s="153">
        <v>0</v>
      </c>
      <c r="AT1685" s="153">
        <v>0</v>
      </c>
      <c r="AU1685" s="153">
        <v>0</v>
      </c>
      <c r="AV1685" s="135"/>
      <c r="AW1685" s="135"/>
      <c r="AX1685" s="135"/>
      <c r="AY1685" s="135"/>
      <c r="AZ1685" s="135"/>
      <c r="BA1685" s="135"/>
      <c r="BB1685" s="135"/>
      <c r="BC1685" s="135"/>
      <c r="BD1685" s="135"/>
      <c r="BE1685" s="135"/>
      <c r="BF1685" s="135"/>
      <c r="BG1685" s="135"/>
      <c r="BH1685" s="135"/>
      <c r="BI1685" s="2"/>
      <c r="BJ1685" s="136"/>
      <c r="BK1685" s="2"/>
      <c r="BL1685" s="136"/>
      <c r="BM1685" s="136"/>
      <c r="BN1685" s="2"/>
      <c r="BO1685" s="2"/>
      <c r="BP1685" s="136"/>
      <c r="BQ1685" s="137"/>
    </row>
    <row r="1686" spans="1:69" ht="12.75" customHeight="1" x14ac:dyDescent="0.2">
      <c r="A1686" s="2">
        <v>3175</v>
      </c>
      <c r="B1686" s="2"/>
      <c r="C1686" s="2"/>
      <c r="D1686" s="2"/>
      <c r="E1686" s="2"/>
      <c r="F1686" s="132">
        <v>0</v>
      </c>
      <c r="G1686" s="132"/>
      <c r="H1686" s="132">
        <f t="shared" si="192"/>
        <v>0</v>
      </c>
      <c r="I1686" s="132"/>
      <c r="J1686" s="132">
        <f t="shared" si="190"/>
        <v>0</v>
      </c>
      <c r="K1686" s="132">
        <f t="shared" si="193"/>
        <v>0</v>
      </c>
      <c r="L1686" s="132">
        <f t="shared" si="194"/>
        <v>0</v>
      </c>
      <c r="M1686" s="133"/>
      <c r="N1686" s="133">
        <f t="shared" si="191"/>
        <v>0</v>
      </c>
      <c r="O1686" s="134"/>
      <c r="P1686" s="133"/>
      <c r="Q1686" s="2"/>
      <c r="R1686" s="156">
        <f t="shared" si="195"/>
        <v>0</v>
      </c>
      <c r="S1686" s="156">
        <f t="shared" si="196"/>
        <v>0</v>
      </c>
      <c r="T1686" s="133"/>
      <c r="U1686" s="133"/>
      <c r="V1686" s="133"/>
      <c r="W1686" s="133"/>
      <c r="X1686" s="133"/>
      <c r="Y1686" s="133"/>
      <c r="Z1686" s="133"/>
      <c r="AA1686" s="133"/>
      <c r="AB1686" s="133"/>
      <c r="AC1686" s="133"/>
      <c r="AD1686" s="133"/>
      <c r="AE1686" s="133"/>
      <c r="AF1686" s="133"/>
      <c r="AG1686" s="133"/>
      <c r="AH1686" s="133"/>
      <c r="AI1686" s="133"/>
      <c r="AJ1686" s="133"/>
      <c r="AK1686" s="133"/>
      <c r="AL1686" s="133"/>
      <c r="AM1686" s="133"/>
      <c r="AN1686" s="133"/>
      <c r="AO1686" s="133"/>
      <c r="AP1686" s="133"/>
      <c r="AQ1686" s="133"/>
      <c r="AR1686" s="133"/>
      <c r="AS1686" s="153">
        <v>0</v>
      </c>
      <c r="AT1686" s="153">
        <v>0</v>
      </c>
      <c r="AU1686" s="153">
        <v>0</v>
      </c>
      <c r="AV1686" s="135"/>
      <c r="AW1686" s="135"/>
      <c r="AX1686" s="135"/>
      <c r="AY1686" s="135"/>
      <c r="AZ1686" s="135"/>
      <c r="BA1686" s="135"/>
      <c r="BB1686" s="135"/>
      <c r="BC1686" s="135"/>
      <c r="BD1686" s="135"/>
      <c r="BE1686" s="135"/>
      <c r="BF1686" s="135"/>
      <c r="BG1686" s="135"/>
      <c r="BH1686" s="135"/>
      <c r="BI1686" s="2"/>
      <c r="BJ1686" s="136"/>
      <c r="BK1686" s="2"/>
      <c r="BL1686" s="136"/>
      <c r="BM1686" s="136"/>
      <c r="BN1686" s="2"/>
      <c r="BO1686" s="2"/>
      <c r="BP1686" s="136"/>
      <c r="BQ1686" s="137"/>
    </row>
    <row r="1687" spans="1:69" ht="12.75" customHeight="1" x14ac:dyDescent="0.2">
      <c r="A1687" s="2">
        <v>3176</v>
      </c>
      <c r="B1687" s="2"/>
      <c r="C1687" s="2"/>
      <c r="D1687" s="2"/>
      <c r="E1687" s="2"/>
      <c r="F1687" s="132">
        <v>0</v>
      </c>
      <c r="G1687" s="132"/>
      <c r="H1687" s="132">
        <f t="shared" si="192"/>
        <v>0</v>
      </c>
      <c r="I1687" s="132"/>
      <c r="J1687" s="132">
        <f t="shared" si="190"/>
        <v>0</v>
      </c>
      <c r="K1687" s="132">
        <f t="shared" si="193"/>
        <v>0</v>
      </c>
      <c r="L1687" s="132">
        <f t="shared" si="194"/>
        <v>0</v>
      </c>
      <c r="M1687" s="133"/>
      <c r="N1687" s="133">
        <f t="shared" si="191"/>
        <v>0</v>
      </c>
      <c r="O1687" s="134"/>
      <c r="P1687" s="133"/>
      <c r="Q1687" s="2"/>
      <c r="R1687" s="156">
        <f t="shared" si="195"/>
        <v>0</v>
      </c>
      <c r="S1687" s="156">
        <f t="shared" si="196"/>
        <v>0</v>
      </c>
      <c r="T1687" s="133"/>
      <c r="U1687" s="133"/>
      <c r="V1687" s="133"/>
      <c r="W1687" s="133"/>
      <c r="X1687" s="133"/>
      <c r="Y1687" s="133"/>
      <c r="Z1687" s="133"/>
      <c r="AA1687" s="133"/>
      <c r="AB1687" s="133"/>
      <c r="AC1687" s="133"/>
      <c r="AD1687" s="133"/>
      <c r="AE1687" s="133"/>
      <c r="AF1687" s="133"/>
      <c r="AG1687" s="133"/>
      <c r="AH1687" s="133"/>
      <c r="AI1687" s="133"/>
      <c r="AJ1687" s="133"/>
      <c r="AK1687" s="133"/>
      <c r="AL1687" s="133"/>
      <c r="AM1687" s="133"/>
      <c r="AN1687" s="133"/>
      <c r="AO1687" s="133"/>
      <c r="AP1687" s="133"/>
      <c r="AQ1687" s="133"/>
      <c r="AR1687" s="133"/>
      <c r="AS1687" s="153">
        <v>0</v>
      </c>
      <c r="AT1687" s="153">
        <v>0</v>
      </c>
      <c r="AU1687" s="153">
        <v>0</v>
      </c>
      <c r="AV1687" s="135"/>
      <c r="AW1687" s="135"/>
      <c r="AX1687" s="135"/>
      <c r="AY1687" s="135"/>
      <c r="AZ1687" s="135"/>
      <c r="BA1687" s="135"/>
      <c r="BB1687" s="135"/>
      <c r="BC1687" s="135"/>
      <c r="BD1687" s="135"/>
      <c r="BE1687" s="135"/>
      <c r="BF1687" s="135"/>
      <c r="BG1687" s="135"/>
      <c r="BH1687" s="135"/>
      <c r="BI1687" s="2"/>
      <c r="BJ1687" s="136"/>
      <c r="BK1687" s="2"/>
      <c r="BL1687" s="136"/>
      <c r="BM1687" s="136"/>
      <c r="BN1687" s="2"/>
      <c r="BO1687" s="2"/>
      <c r="BP1687" s="136"/>
      <c r="BQ1687" s="137"/>
    </row>
    <row r="1688" spans="1:69" ht="12.75" customHeight="1" x14ac:dyDescent="0.2">
      <c r="A1688" s="2">
        <v>3177</v>
      </c>
      <c r="B1688" s="2"/>
      <c r="C1688" s="2"/>
      <c r="D1688" s="2"/>
      <c r="E1688" s="2"/>
      <c r="F1688" s="132">
        <v>0</v>
      </c>
      <c r="G1688" s="132"/>
      <c r="H1688" s="132">
        <f t="shared" si="192"/>
        <v>0</v>
      </c>
      <c r="I1688" s="132"/>
      <c r="J1688" s="132">
        <f t="shared" si="190"/>
        <v>0</v>
      </c>
      <c r="K1688" s="132">
        <f t="shared" si="193"/>
        <v>0</v>
      </c>
      <c r="L1688" s="132">
        <f t="shared" si="194"/>
        <v>0</v>
      </c>
      <c r="M1688" s="133"/>
      <c r="N1688" s="133">
        <f t="shared" si="191"/>
        <v>0</v>
      </c>
      <c r="O1688" s="134"/>
      <c r="P1688" s="133"/>
      <c r="Q1688" s="2"/>
      <c r="R1688" s="156">
        <f t="shared" si="195"/>
        <v>0</v>
      </c>
      <c r="S1688" s="156">
        <f t="shared" si="196"/>
        <v>0</v>
      </c>
      <c r="T1688" s="133"/>
      <c r="U1688" s="133"/>
      <c r="V1688" s="133"/>
      <c r="W1688" s="133"/>
      <c r="X1688" s="133"/>
      <c r="Y1688" s="133"/>
      <c r="Z1688" s="133"/>
      <c r="AA1688" s="133"/>
      <c r="AB1688" s="133"/>
      <c r="AC1688" s="133"/>
      <c r="AD1688" s="133"/>
      <c r="AE1688" s="133"/>
      <c r="AF1688" s="133"/>
      <c r="AG1688" s="133"/>
      <c r="AH1688" s="133"/>
      <c r="AI1688" s="133"/>
      <c r="AJ1688" s="133"/>
      <c r="AK1688" s="133"/>
      <c r="AL1688" s="133"/>
      <c r="AM1688" s="133"/>
      <c r="AN1688" s="133"/>
      <c r="AO1688" s="133"/>
      <c r="AP1688" s="133"/>
      <c r="AQ1688" s="133"/>
      <c r="AR1688" s="133"/>
      <c r="AS1688" s="153">
        <v>0</v>
      </c>
      <c r="AT1688" s="153">
        <v>0</v>
      </c>
      <c r="AU1688" s="153">
        <v>0</v>
      </c>
      <c r="AV1688" s="135"/>
      <c r="AW1688" s="135"/>
      <c r="AX1688" s="135"/>
      <c r="AY1688" s="135"/>
      <c r="AZ1688" s="135"/>
      <c r="BA1688" s="135"/>
      <c r="BB1688" s="135"/>
      <c r="BC1688" s="135"/>
      <c r="BD1688" s="135"/>
      <c r="BE1688" s="135"/>
      <c r="BF1688" s="135"/>
      <c r="BG1688" s="135"/>
      <c r="BH1688" s="135"/>
      <c r="BI1688" s="2"/>
      <c r="BJ1688" s="136"/>
      <c r="BK1688" s="2"/>
      <c r="BL1688" s="136"/>
      <c r="BM1688" s="136"/>
      <c r="BN1688" s="2"/>
      <c r="BO1688" s="2"/>
      <c r="BP1688" s="136"/>
      <c r="BQ1688" s="137"/>
    </row>
    <row r="1689" spans="1:69" ht="12.75" customHeight="1" x14ac:dyDescent="0.2">
      <c r="A1689" s="2">
        <v>3178</v>
      </c>
      <c r="B1689" s="2"/>
      <c r="C1689" s="2"/>
      <c r="D1689" s="2"/>
      <c r="E1689" s="2"/>
      <c r="F1689" s="132">
        <v>0</v>
      </c>
      <c r="G1689" s="132"/>
      <c r="H1689" s="132">
        <f t="shared" si="192"/>
        <v>0</v>
      </c>
      <c r="I1689" s="132"/>
      <c r="J1689" s="132">
        <f t="shared" si="190"/>
        <v>0</v>
      </c>
      <c r="K1689" s="132">
        <f t="shared" si="193"/>
        <v>0</v>
      </c>
      <c r="L1689" s="132">
        <f t="shared" si="194"/>
        <v>0</v>
      </c>
      <c r="M1689" s="133"/>
      <c r="N1689" s="133">
        <f t="shared" si="191"/>
        <v>0</v>
      </c>
      <c r="O1689" s="134"/>
      <c r="P1689" s="133"/>
      <c r="Q1689" s="2"/>
      <c r="R1689" s="156">
        <f t="shared" si="195"/>
        <v>0</v>
      </c>
      <c r="S1689" s="156">
        <f t="shared" si="196"/>
        <v>0</v>
      </c>
      <c r="T1689" s="133"/>
      <c r="U1689" s="133"/>
      <c r="V1689" s="133"/>
      <c r="W1689" s="133"/>
      <c r="X1689" s="133"/>
      <c r="Y1689" s="133"/>
      <c r="Z1689" s="133"/>
      <c r="AA1689" s="133"/>
      <c r="AB1689" s="133"/>
      <c r="AC1689" s="133"/>
      <c r="AD1689" s="133"/>
      <c r="AE1689" s="133"/>
      <c r="AF1689" s="133"/>
      <c r="AG1689" s="133"/>
      <c r="AH1689" s="133"/>
      <c r="AI1689" s="133"/>
      <c r="AJ1689" s="133"/>
      <c r="AK1689" s="133"/>
      <c r="AL1689" s="133"/>
      <c r="AM1689" s="133"/>
      <c r="AN1689" s="133"/>
      <c r="AO1689" s="133"/>
      <c r="AP1689" s="133"/>
      <c r="AQ1689" s="133"/>
      <c r="AR1689" s="133"/>
      <c r="AS1689" s="153">
        <v>0</v>
      </c>
      <c r="AT1689" s="153">
        <v>0</v>
      </c>
      <c r="AU1689" s="153">
        <v>0</v>
      </c>
      <c r="AV1689" s="135"/>
      <c r="AW1689" s="135"/>
      <c r="AX1689" s="135"/>
      <c r="AY1689" s="135"/>
      <c r="AZ1689" s="135"/>
      <c r="BA1689" s="135"/>
      <c r="BB1689" s="135"/>
      <c r="BC1689" s="135"/>
      <c r="BD1689" s="135"/>
      <c r="BE1689" s="135"/>
      <c r="BF1689" s="135"/>
      <c r="BG1689" s="135"/>
      <c r="BH1689" s="135"/>
      <c r="BI1689" s="2"/>
      <c r="BJ1689" s="136"/>
      <c r="BK1689" s="2"/>
      <c r="BL1689" s="136"/>
      <c r="BM1689" s="136"/>
      <c r="BN1689" s="2"/>
      <c r="BO1689" s="2"/>
      <c r="BP1689" s="136"/>
      <c r="BQ1689" s="137"/>
    </row>
    <row r="1690" spans="1:69" ht="12.75" customHeight="1" x14ac:dyDescent="0.2">
      <c r="A1690" s="2">
        <v>3179</v>
      </c>
      <c r="B1690" s="2"/>
      <c r="C1690" s="2"/>
      <c r="D1690" s="2"/>
      <c r="E1690" s="2"/>
      <c r="F1690" s="132">
        <v>0</v>
      </c>
      <c r="G1690" s="132"/>
      <c r="H1690" s="132">
        <f t="shared" si="192"/>
        <v>0</v>
      </c>
      <c r="I1690" s="132"/>
      <c r="J1690" s="132">
        <f t="shared" si="190"/>
        <v>0</v>
      </c>
      <c r="K1690" s="132">
        <f t="shared" si="193"/>
        <v>0</v>
      </c>
      <c r="L1690" s="132">
        <f t="shared" si="194"/>
        <v>0</v>
      </c>
      <c r="M1690" s="133"/>
      <c r="N1690" s="133">
        <f t="shared" si="191"/>
        <v>0</v>
      </c>
      <c r="O1690" s="134"/>
      <c r="P1690" s="133"/>
      <c r="Q1690" s="2"/>
      <c r="R1690" s="156">
        <f t="shared" si="195"/>
        <v>0</v>
      </c>
      <c r="S1690" s="156">
        <f t="shared" si="196"/>
        <v>0</v>
      </c>
      <c r="T1690" s="133"/>
      <c r="U1690" s="133"/>
      <c r="V1690" s="133"/>
      <c r="W1690" s="133"/>
      <c r="X1690" s="133"/>
      <c r="Y1690" s="133"/>
      <c r="Z1690" s="133"/>
      <c r="AA1690" s="133"/>
      <c r="AB1690" s="133"/>
      <c r="AC1690" s="133"/>
      <c r="AD1690" s="133"/>
      <c r="AE1690" s="133"/>
      <c r="AF1690" s="133"/>
      <c r="AG1690" s="133"/>
      <c r="AH1690" s="133"/>
      <c r="AI1690" s="133"/>
      <c r="AJ1690" s="133"/>
      <c r="AK1690" s="133"/>
      <c r="AL1690" s="133"/>
      <c r="AM1690" s="133"/>
      <c r="AN1690" s="133"/>
      <c r="AO1690" s="133"/>
      <c r="AP1690" s="133"/>
      <c r="AQ1690" s="133"/>
      <c r="AR1690" s="133"/>
      <c r="AS1690" s="153">
        <v>0</v>
      </c>
      <c r="AT1690" s="153">
        <v>0</v>
      </c>
      <c r="AU1690" s="153">
        <v>0</v>
      </c>
      <c r="AV1690" s="135"/>
      <c r="AW1690" s="135"/>
      <c r="AX1690" s="135"/>
      <c r="AY1690" s="135"/>
      <c r="AZ1690" s="135"/>
      <c r="BA1690" s="135"/>
      <c r="BB1690" s="135"/>
      <c r="BC1690" s="135"/>
      <c r="BD1690" s="135"/>
      <c r="BE1690" s="135"/>
      <c r="BF1690" s="135"/>
      <c r="BG1690" s="135"/>
      <c r="BH1690" s="135"/>
      <c r="BI1690" s="2"/>
      <c r="BJ1690" s="136"/>
      <c r="BK1690" s="2"/>
      <c r="BL1690" s="136"/>
      <c r="BM1690" s="136"/>
      <c r="BN1690" s="2"/>
      <c r="BO1690" s="2"/>
      <c r="BP1690" s="136"/>
      <c r="BQ1690" s="137"/>
    </row>
    <row r="1691" spans="1:69" ht="12.75" customHeight="1" x14ac:dyDescent="0.2">
      <c r="A1691" s="2">
        <v>3180</v>
      </c>
      <c r="B1691" s="2"/>
      <c r="C1691" s="2"/>
      <c r="D1691" s="2"/>
      <c r="E1691" s="2"/>
      <c r="F1691" s="132">
        <v>0</v>
      </c>
      <c r="G1691" s="132"/>
      <c r="H1691" s="132">
        <f t="shared" si="192"/>
        <v>0</v>
      </c>
      <c r="I1691" s="132"/>
      <c r="J1691" s="132">
        <f t="shared" si="190"/>
        <v>0</v>
      </c>
      <c r="K1691" s="132">
        <f t="shared" si="193"/>
        <v>0</v>
      </c>
      <c r="L1691" s="132">
        <f t="shared" si="194"/>
        <v>0</v>
      </c>
      <c r="M1691" s="133"/>
      <c r="N1691" s="133">
        <f t="shared" si="191"/>
        <v>0</v>
      </c>
      <c r="O1691" s="134"/>
      <c r="P1691" s="133"/>
      <c r="Q1691" s="2"/>
      <c r="R1691" s="156">
        <f t="shared" si="195"/>
        <v>0</v>
      </c>
      <c r="S1691" s="156">
        <f t="shared" si="196"/>
        <v>0</v>
      </c>
      <c r="T1691" s="133"/>
      <c r="U1691" s="133"/>
      <c r="V1691" s="133"/>
      <c r="W1691" s="133"/>
      <c r="X1691" s="133"/>
      <c r="Y1691" s="133"/>
      <c r="Z1691" s="133"/>
      <c r="AA1691" s="133"/>
      <c r="AB1691" s="133"/>
      <c r="AC1691" s="133"/>
      <c r="AD1691" s="133"/>
      <c r="AE1691" s="133"/>
      <c r="AF1691" s="133"/>
      <c r="AG1691" s="133"/>
      <c r="AH1691" s="133"/>
      <c r="AI1691" s="133"/>
      <c r="AJ1691" s="133"/>
      <c r="AK1691" s="133"/>
      <c r="AL1691" s="133"/>
      <c r="AM1691" s="133"/>
      <c r="AN1691" s="133"/>
      <c r="AO1691" s="133"/>
      <c r="AP1691" s="133"/>
      <c r="AQ1691" s="133"/>
      <c r="AR1691" s="133"/>
      <c r="AS1691" s="153">
        <v>0</v>
      </c>
      <c r="AT1691" s="153">
        <v>0</v>
      </c>
      <c r="AU1691" s="153">
        <v>0</v>
      </c>
      <c r="AV1691" s="135"/>
      <c r="AW1691" s="135"/>
      <c r="AX1691" s="135"/>
      <c r="AY1691" s="135"/>
      <c r="AZ1691" s="135"/>
      <c r="BA1691" s="135"/>
      <c r="BB1691" s="135"/>
      <c r="BC1691" s="135"/>
      <c r="BD1691" s="135"/>
      <c r="BE1691" s="135"/>
      <c r="BF1691" s="135"/>
      <c r="BG1691" s="135"/>
      <c r="BH1691" s="135"/>
      <c r="BI1691" s="2"/>
      <c r="BJ1691" s="136"/>
      <c r="BK1691" s="2"/>
      <c r="BL1691" s="136"/>
      <c r="BM1691" s="136"/>
      <c r="BN1691" s="2"/>
      <c r="BO1691" s="2"/>
      <c r="BP1691" s="136"/>
      <c r="BQ1691" s="137"/>
    </row>
    <row r="1692" spans="1:69" ht="12.75" customHeight="1" x14ac:dyDescent="0.2">
      <c r="A1692" s="2">
        <v>3181</v>
      </c>
      <c r="B1692" s="2"/>
      <c r="C1692" s="2"/>
      <c r="D1692" s="2"/>
      <c r="E1692" s="2"/>
      <c r="F1692" s="132">
        <v>0</v>
      </c>
      <c r="G1692" s="132"/>
      <c r="H1692" s="132">
        <f t="shared" si="192"/>
        <v>0</v>
      </c>
      <c r="I1692" s="132"/>
      <c r="J1692" s="132">
        <f t="shared" si="190"/>
        <v>0</v>
      </c>
      <c r="K1692" s="132">
        <f t="shared" si="193"/>
        <v>0</v>
      </c>
      <c r="L1692" s="132">
        <f t="shared" si="194"/>
        <v>0</v>
      </c>
      <c r="M1692" s="133"/>
      <c r="N1692" s="133">
        <f t="shared" si="191"/>
        <v>0</v>
      </c>
      <c r="O1692" s="134"/>
      <c r="P1692" s="133"/>
      <c r="Q1692" s="2"/>
      <c r="R1692" s="156">
        <f t="shared" si="195"/>
        <v>0</v>
      </c>
      <c r="S1692" s="156">
        <f t="shared" si="196"/>
        <v>0</v>
      </c>
      <c r="T1692" s="133"/>
      <c r="U1692" s="133"/>
      <c r="V1692" s="133"/>
      <c r="W1692" s="133"/>
      <c r="X1692" s="133"/>
      <c r="Y1692" s="133"/>
      <c r="Z1692" s="133"/>
      <c r="AA1692" s="133"/>
      <c r="AB1692" s="133"/>
      <c r="AC1692" s="133"/>
      <c r="AD1692" s="133"/>
      <c r="AE1692" s="133"/>
      <c r="AF1692" s="133"/>
      <c r="AG1692" s="133"/>
      <c r="AH1692" s="133"/>
      <c r="AI1692" s="133"/>
      <c r="AJ1692" s="133"/>
      <c r="AK1692" s="133"/>
      <c r="AL1692" s="133"/>
      <c r="AM1692" s="133"/>
      <c r="AN1692" s="133"/>
      <c r="AO1692" s="133"/>
      <c r="AP1692" s="133"/>
      <c r="AQ1692" s="133"/>
      <c r="AR1692" s="133"/>
      <c r="AS1692" s="153">
        <v>0</v>
      </c>
      <c r="AT1692" s="153">
        <v>0</v>
      </c>
      <c r="AU1692" s="153">
        <v>0</v>
      </c>
      <c r="AV1692" s="135"/>
      <c r="AW1692" s="135"/>
      <c r="AX1692" s="135"/>
      <c r="AY1692" s="135"/>
      <c r="AZ1692" s="135"/>
      <c r="BA1692" s="135"/>
      <c r="BB1692" s="135"/>
      <c r="BC1692" s="135"/>
      <c r="BD1692" s="135"/>
      <c r="BE1692" s="135"/>
      <c r="BF1692" s="135"/>
      <c r="BG1692" s="135"/>
      <c r="BH1692" s="135"/>
      <c r="BI1692" s="2"/>
      <c r="BJ1692" s="136"/>
      <c r="BK1692" s="2"/>
      <c r="BL1692" s="136"/>
      <c r="BM1692" s="136"/>
      <c r="BN1692" s="2"/>
      <c r="BO1692" s="2"/>
      <c r="BP1692" s="136"/>
      <c r="BQ1692" s="137"/>
    </row>
    <row r="1693" spans="1:69" ht="12.75" customHeight="1" x14ac:dyDescent="0.2">
      <c r="A1693" s="2">
        <v>3182</v>
      </c>
      <c r="B1693" s="2"/>
      <c r="C1693" s="2"/>
      <c r="D1693" s="2"/>
      <c r="E1693" s="2"/>
      <c r="F1693" s="132">
        <v>0</v>
      </c>
      <c r="G1693" s="132"/>
      <c r="H1693" s="132">
        <f t="shared" si="192"/>
        <v>0</v>
      </c>
      <c r="I1693" s="132"/>
      <c r="J1693" s="132">
        <f t="shared" si="190"/>
        <v>0</v>
      </c>
      <c r="K1693" s="132">
        <f t="shared" si="193"/>
        <v>0</v>
      </c>
      <c r="L1693" s="132">
        <f t="shared" si="194"/>
        <v>0</v>
      </c>
      <c r="M1693" s="133"/>
      <c r="N1693" s="133">
        <f t="shared" si="191"/>
        <v>0</v>
      </c>
      <c r="O1693" s="134"/>
      <c r="P1693" s="133"/>
      <c r="Q1693" s="2"/>
      <c r="R1693" s="156">
        <f t="shared" si="195"/>
        <v>0</v>
      </c>
      <c r="S1693" s="156">
        <f t="shared" si="196"/>
        <v>0</v>
      </c>
      <c r="T1693" s="133"/>
      <c r="U1693" s="133"/>
      <c r="V1693" s="133"/>
      <c r="W1693" s="133"/>
      <c r="X1693" s="133"/>
      <c r="Y1693" s="133"/>
      <c r="Z1693" s="133"/>
      <c r="AA1693" s="133"/>
      <c r="AB1693" s="133"/>
      <c r="AC1693" s="133"/>
      <c r="AD1693" s="133"/>
      <c r="AE1693" s="133"/>
      <c r="AF1693" s="133"/>
      <c r="AG1693" s="133"/>
      <c r="AH1693" s="133"/>
      <c r="AI1693" s="133"/>
      <c r="AJ1693" s="133"/>
      <c r="AK1693" s="133"/>
      <c r="AL1693" s="133"/>
      <c r="AM1693" s="133"/>
      <c r="AN1693" s="133"/>
      <c r="AO1693" s="133"/>
      <c r="AP1693" s="133"/>
      <c r="AQ1693" s="133"/>
      <c r="AR1693" s="133"/>
      <c r="AS1693" s="153">
        <v>0</v>
      </c>
      <c r="AT1693" s="153">
        <v>0</v>
      </c>
      <c r="AU1693" s="153">
        <v>0</v>
      </c>
      <c r="AV1693" s="135"/>
      <c r="AW1693" s="135"/>
      <c r="AX1693" s="135"/>
      <c r="AY1693" s="135"/>
      <c r="AZ1693" s="135"/>
      <c r="BA1693" s="135"/>
      <c r="BB1693" s="135"/>
      <c r="BC1693" s="135"/>
      <c r="BD1693" s="135"/>
      <c r="BE1693" s="135"/>
      <c r="BF1693" s="135"/>
      <c r="BG1693" s="135"/>
      <c r="BH1693" s="135"/>
      <c r="BI1693" s="2"/>
      <c r="BJ1693" s="136"/>
      <c r="BK1693" s="2"/>
      <c r="BL1693" s="136"/>
      <c r="BM1693" s="136"/>
      <c r="BN1693" s="2"/>
      <c r="BO1693" s="2"/>
      <c r="BP1693" s="136"/>
      <c r="BQ1693" s="137"/>
    </row>
    <row r="1694" spans="1:69" ht="12.75" customHeight="1" x14ac:dyDescent="0.2">
      <c r="A1694" s="2">
        <v>3183</v>
      </c>
      <c r="B1694" s="2"/>
      <c r="C1694" s="2"/>
      <c r="D1694" s="2"/>
      <c r="E1694" s="2"/>
      <c r="F1694" s="132">
        <v>0</v>
      </c>
      <c r="G1694" s="132"/>
      <c r="H1694" s="132">
        <f t="shared" si="192"/>
        <v>0</v>
      </c>
      <c r="I1694" s="132"/>
      <c r="J1694" s="132">
        <f t="shared" si="190"/>
        <v>0</v>
      </c>
      <c r="K1694" s="132">
        <f t="shared" si="193"/>
        <v>0</v>
      </c>
      <c r="L1694" s="132">
        <f t="shared" si="194"/>
        <v>0</v>
      </c>
      <c r="M1694" s="133"/>
      <c r="N1694" s="133">
        <f t="shared" si="191"/>
        <v>0</v>
      </c>
      <c r="O1694" s="134"/>
      <c r="P1694" s="133"/>
      <c r="Q1694" s="2"/>
      <c r="R1694" s="156">
        <f t="shared" si="195"/>
        <v>0</v>
      </c>
      <c r="S1694" s="156">
        <f t="shared" si="196"/>
        <v>0</v>
      </c>
      <c r="T1694" s="133"/>
      <c r="U1694" s="133"/>
      <c r="V1694" s="133"/>
      <c r="W1694" s="133"/>
      <c r="X1694" s="133"/>
      <c r="Y1694" s="133"/>
      <c r="Z1694" s="133"/>
      <c r="AA1694" s="133"/>
      <c r="AB1694" s="133"/>
      <c r="AC1694" s="133"/>
      <c r="AD1694" s="133"/>
      <c r="AE1694" s="133"/>
      <c r="AF1694" s="133"/>
      <c r="AG1694" s="133"/>
      <c r="AH1694" s="133"/>
      <c r="AI1694" s="133"/>
      <c r="AJ1694" s="133"/>
      <c r="AK1694" s="133"/>
      <c r="AL1694" s="133"/>
      <c r="AM1694" s="133"/>
      <c r="AN1694" s="133"/>
      <c r="AO1694" s="133"/>
      <c r="AP1694" s="133"/>
      <c r="AQ1694" s="133"/>
      <c r="AR1694" s="133"/>
      <c r="AS1694" s="153">
        <v>0</v>
      </c>
      <c r="AT1694" s="153">
        <v>0</v>
      </c>
      <c r="AU1694" s="153">
        <v>0</v>
      </c>
      <c r="AV1694" s="135"/>
      <c r="AW1694" s="135"/>
      <c r="AX1694" s="135"/>
      <c r="AY1694" s="135"/>
      <c r="AZ1694" s="135"/>
      <c r="BA1694" s="135"/>
      <c r="BB1694" s="135"/>
      <c r="BC1694" s="135"/>
      <c r="BD1694" s="135"/>
      <c r="BE1694" s="135"/>
      <c r="BF1694" s="135"/>
      <c r="BG1694" s="135"/>
      <c r="BH1694" s="135"/>
      <c r="BI1694" s="2"/>
      <c r="BJ1694" s="136"/>
      <c r="BK1694" s="2"/>
      <c r="BL1694" s="136"/>
      <c r="BM1694" s="136"/>
      <c r="BN1694" s="2"/>
      <c r="BO1694" s="2"/>
      <c r="BP1694" s="136"/>
      <c r="BQ1694" s="137"/>
    </row>
    <row r="1695" spans="1:69" ht="12.75" customHeight="1" x14ac:dyDescent="0.2">
      <c r="A1695" s="2">
        <v>3184</v>
      </c>
      <c r="B1695" s="2"/>
      <c r="C1695" s="2"/>
      <c r="D1695" s="2"/>
      <c r="E1695" s="2"/>
      <c r="F1695" s="132">
        <v>0</v>
      </c>
      <c r="G1695" s="132"/>
      <c r="H1695" s="132">
        <f t="shared" si="192"/>
        <v>0</v>
      </c>
      <c r="I1695" s="132"/>
      <c r="J1695" s="132">
        <f t="shared" si="190"/>
        <v>0</v>
      </c>
      <c r="K1695" s="132">
        <f t="shared" si="193"/>
        <v>0</v>
      </c>
      <c r="L1695" s="132">
        <f t="shared" si="194"/>
        <v>0</v>
      </c>
      <c r="M1695" s="133"/>
      <c r="N1695" s="133">
        <f t="shared" si="191"/>
        <v>0</v>
      </c>
      <c r="O1695" s="134"/>
      <c r="P1695" s="133"/>
      <c r="Q1695" s="2"/>
      <c r="R1695" s="156">
        <f t="shared" si="195"/>
        <v>0</v>
      </c>
      <c r="S1695" s="156">
        <f t="shared" si="196"/>
        <v>0</v>
      </c>
      <c r="T1695" s="133"/>
      <c r="U1695" s="133"/>
      <c r="V1695" s="133"/>
      <c r="W1695" s="133"/>
      <c r="X1695" s="133"/>
      <c r="Y1695" s="133"/>
      <c r="Z1695" s="133"/>
      <c r="AA1695" s="133"/>
      <c r="AB1695" s="133"/>
      <c r="AC1695" s="133"/>
      <c r="AD1695" s="133"/>
      <c r="AE1695" s="133"/>
      <c r="AF1695" s="133"/>
      <c r="AG1695" s="133"/>
      <c r="AH1695" s="133"/>
      <c r="AI1695" s="133"/>
      <c r="AJ1695" s="133"/>
      <c r="AK1695" s="133"/>
      <c r="AL1695" s="133"/>
      <c r="AM1695" s="133"/>
      <c r="AN1695" s="133"/>
      <c r="AO1695" s="133"/>
      <c r="AP1695" s="133"/>
      <c r="AQ1695" s="133"/>
      <c r="AR1695" s="133"/>
      <c r="AS1695" s="153">
        <v>0</v>
      </c>
      <c r="AT1695" s="153">
        <v>0</v>
      </c>
      <c r="AU1695" s="153">
        <v>0</v>
      </c>
      <c r="AV1695" s="135"/>
      <c r="AW1695" s="135"/>
      <c r="AX1695" s="135"/>
      <c r="AY1695" s="135"/>
      <c r="AZ1695" s="135"/>
      <c r="BA1695" s="135"/>
      <c r="BB1695" s="135"/>
      <c r="BC1695" s="135"/>
      <c r="BD1695" s="135"/>
      <c r="BE1695" s="135"/>
      <c r="BF1695" s="135"/>
      <c r="BG1695" s="135"/>
      <c r="BH1695" s="135"/>
      <c r="BI1695" s="2"/>
      <c r="BJ1695" s="136"/>
      <c r="BK1695" s="2"/>
      <c r="BL1695" s="136"/>
      <c r="BM1695" s="136"/>
      <c r="BN1695" s="2"/>
      <c r="BO1695" s="2"/>
      <c r="BP1695" s="136"/>
      <c r="BQ1695" s="137"/>
    </row>
    <row r="1696" spans="1:69" ht="12.75" customHeight="1" x14ac:dyDescent="0.2">
      <c r="A1696" s="2">
        <v>3185</v>
      </c>
      <c r="B1696" s="2"/>
      <c r="C1696" s="2"/>
      <c r="D1696" s="2"/>
      <c r="E1696" s="2"/>
      <c r="F1696" s="132">
        <v>0</v>
      </c>
      <c r="G1696" s="132"/>
      <c r="H1696" s="132">
        <f t="shared" si="192"/>
        <v>0</v>
      </c>
      <c r="I1696" s="132"/>
      <c r="J1696" s="132">
        <f t="shared" si="190"/>
        <v>0</v>
      </c>
      <c r="K1696" s="132">
        <f t="shared" si="193"/>
        <v>0</v>
      </c>
      <c r="L1696" s="132">
        <f t="shared" si="194"/>
        <v>0</v>
      </c>
      <c r="M1696" s="133"/>
      <c r="N1696" s="133">
        <f t="shared" si="191"/>
        <v>0</v>
      </c>
      <c r="O1696" s="134"/>
      <c r="P1696" s="133"/>
      <c r="Q1696" s="2"/>
      <c r="R1696" s="156">
        <f t="shared" si="195"/>
        <v>0</v>
      </c>
      <c r="S1696" s="156">
        <f t="shared" si="196"/>
        <v>0</v>
      </c>
      <c r="T1696" s="133"/>
      <c r="U1696" s="133"/>
      <c r="V1696" s="133"/>
      <c r="W1696" s="133"/>
      <c r="X1696" s="133"/>
      <c r="Y1696" s="133"/>
      <c r="Z1696" s="133"/>
      <c r="AA1696" s="133"/>
      <c r="AB1696" s="133"/>
      <c r="AC1696" s="133"/>
      <c r="AD1696" s="133"/>
      <c r="AE1696" s="133"/>
      <c r="AF1696" s="133"/>
      <c r="AG1696" s="133"/>
      <c r="AH1696" s="133"/>
      <c r="AI1696" s="133"/>
      <c r="AJ1696" s="133"/>
      <c r="AK1696" s="133"/>
      <c r="AL1696" s="133"/>
      <c r="AM1696" s="133"/>
      <c r="AN1696" s="133"/>
      <c r="AO1696" s="133"/>
      <c r="AP1696" s="133"/>
      <c r="AQ1696" s="133"/>
      <c r="AR1696" s="133"/>
      <c r="AS1696" s="153">
        <v>0</v>
      </c>
      <c r="AT1696" s="153">
        <v>0</v>
      </c>
      <c r="AU1696" s="153">
        <v>0</v>
      </c>
      <c r="AV1696" s="135"/>
      <c r="AW1696" s="135"/>
      <c r="AX1696" s="135"/>
      <c r="AY1696" s="135"/>
      <c r="AZ1696" s="135"/>
      <c r="BA1696" s="135"/>
      <c r="BB1696" s="135"/>
      <c r="BC1696" s="135"/>
      <c r="BD1696" s="135"/>
      <c r="BE1696" s="135"/>
      <c r="BF1696" s="135"/>
      <c r="BG1696" s="135"/>
      <c r="BH1696" s="135"/>
      <c r="BI1696" s="2"/>
      <c r="BJ1696" s="136"/>
      <c r="BK1696" s="2"/>
      <c r="BL1696" s="136"/>
      <c r="BM1696" s="136"/>
      <c r="BN1696" s="2"/>
      <c r="BO1696" s="2"/>
      <c r="BP1696" s="136"/>
      <c r="BQ1696" s="137"/>
    </row>
    <row r="1697" spans="1:69" ht="12.75" customHeight="1" x14ac:dyDescent="0.2">
      <c r="A1697" s="2">
        <v>3186</v>
      </c>
      <c r="B1697" s="2"/>
      <c r="C1697" s="2"/>
      <c r="D1697" s="2"/>
      <c r="E1697" s="2"/>
      <c r="F1697" s="132">
        <v>0</v>
      </c>
      <c r="G1697" s="132"/>
      <c r="H1697" s="132">
        <f t="shared" si="192"/>
        <v>0</v>
      </c>
      <c r="I1697" s="132"/>
      <c r="J1697" s="132">
        <f t="shared" si="190"/>
        <v>0</v>
      </c>
      <c r="K1697" s="132">
        <f t="shared" si="193"/>
        <v>0</v>
      </c>
      <c r="L1697" s="132">
        <f t="shared" si="194"/>
        <v>0</v>
      </c>
      <c r="M1697" s="133"/>
      <c r="N1697" s="133">
        <f t="shared" si="191"/>
        <v>0</v>
      </c>
      <c r="O1697" s="134"/>
      <c r="P1697" s="133"/>
      <c r="Q1697" s="2"/>
      <c r="R1697" s="156">
        <f t="shared" si="195"/>
        <v>0</v>
      </c>
      <c r="S1697" s="156">
        <f t="shared" si="196"/>
        <v>0</v>
      </c>
      <c r="T1697" s="133"/>
      <c r="U1697" s="133"/>
      <c r="V1697" s="133"/>
      <c r="W1697" s="133"/>
      <c r="X1697" s="133"/>
      <c r="Y1697" s="133"/>
      <c r="Z1697" s="133"/>
      <c r="AA1697" s="133"/>
      <c r="AB1697" s="133"/>
      <c r="AC1697" s="133"/>
      <c r="AD1697" s="133"/>
      <c r="AE1697" s="133"/>
      <c r="AF1697" s="133"/>
      <c r="AG1697" s="133"/>
      <c r="AH1697" s="133"/>
      <c r="AI1697" s="133"/>
      <c r="AJ1697" s="133"/>
      <c r="AK1697" s="133"/>
      <c r="AL1697" s="133"/>
      <c r="AM1697" s="133"/>
      <c r="AN1697" s="133"/>
      <c r="AO1697" s="133"/>
      <c r="AP1697" s="133"/>
      <c r="AQ1697" s="133"/>
      <c r="AR1697" s="133"/>
      <c r="AS1697" s="153">
        <v>0</v>
      </c>
      <c r="AT1697" s="153">
        <v>0</v>
      </c>
      <c r="AU1697" s="153">
        <v>0</v>
      </c>
      <c r="AV1697" s="135"/>
      <c r="AW1697" s="135"/>
      <c r="AX1697" s="135"/>
      <c r="AY1697" s="135"/>
      <c r="AZ1697" s="135"/>
      <c r="BA1697" s="135"/>
      <c r="BB1697" s="135"/>
      <c r="BC1697" s="135"/>
      <c r="BD1697" s="135"/>
      <c r="BE1697" s="135"/>
      <c r="BF1697" s="135"/>
      <c r="BG1697" s="135"/>
      <c r="BH1697" s="135"/>
      <c r="BI1697" s="2"/>
      <c r="BJ1697" s="136"/>
      <c r="BK1697" s="2"/>
      <c r="BL1697" s="136"/>
      <c r="BM1697" s="136"/>
      <c r="BN1697" s="2"/>
      <c r="BO1697" s="2"/>
      <c r="BP1697" s="136"/>
      <c r="BQ1697" s="137"/>
    </row>
    <row r="1698" spans="1:69" ht="12.75" customHeight="1" x14ac:dyDescent="0.2">
      <c r="A1698" s="2">
        <v>3187</v>
      </c>
      <c r="B1698" s="2"/>
      <c r="C1698" s="2"/>
      <c r="D1698" s="2"/>
      <c r="E1698" s="2"/>
      <c r="F1698" s="132">
        <v>0</v>
      </c>
      <c r="G1698" s="132"/>
      <c r="H1698" s="132">
        <f t="shared" si="192"/>
        <v>0</v>
      </c>
      <c r="I1698" s="132"/>
      <c r="J1698" s="132">
        <f t="shared" si="190"/>
        <v>0</v>
      </c>
      <c r="K1698" s="132">
        <f t="shared" si="193"/>
        <v>0</v>
      </c>
      <c r="L1698" s="132">
        <f t="shared" si="194"/>
        <v>0</v>
      </c>
      <c r="M1698" s="133"/>
      <c r="N1698" s="133">
        <f t="shared" si="191"/>
        <v>0</v>
      </c>
      <c r="O1698" s="134"/>
      <c r="P1698" s="133"/>
      <c r="Q1698" s="2"/>
      <c r="R1698" s="156">
        <f t="shared" si="195"/>
        <v>0</v>
      </c>
      <c r="S1698" s="156">
        <f t="shared" si="196"/>
        <v>0</v>
      </c>
      <c r="T1698" s="133"/>
      <c r="U1698" s="133"/>
      <c r="V1698" s="133"/>
      <c r="W1698" s="133"/>
      <c r="X1698" s="133"/>
      <c r="Y1698" s="133"/>
      <c r="Z1698" s="133"/>
      <c r="AA1698" s="133"/>
      <c r="AB1698" s="133"/>
      <c r="AC1698" s="133"/>
      <c r="AD1698" s="133"/>
      <c r="AE1698" s="133"/>
      <c r="AF1698" s="133"/>
      <c r="AG1698" s="133"/>
      <c r="AH1698" s="133"/>
      <c r="AI1698" s="133"/>
      <c r="AJ1698" s="133"/>
      <c r="AK1698" s="133"/>
      <c r="AL1698" s="133"/>
      <c r="AM1698" s="133"/>
      <c r="AN1698" s="133"/>
      <c r="AO1698" s="133"/>
      <c r="AP1698" s="133"/>
      <c r="AQ1698" s="133"/>
      <c r="AR1698" s="133"/>
      <c r="AS1698" s="153">
        <v>0</v>
      </c>
      <c r="AT1698" s="153">
        <v>0</v>
      </c>
      <c r="AU1698" s="153">
        <v>0</v>
      </c>
      <c r="AV1698" s="135"/>
      <c r="AW1698" s="135"/>
      <c r="AX1698" s="135"/>
      <c r="AY1698" s="135"/>
      <c r="AZ1698" s="135"/>
      <c r="BA1698" s="135"/>
      <c r="BB1698" s="135"/>
      <c r="BC1698" s="135"/>
      <c r="BD1698" s="135"/>
      <c r="BE1698" s="135"/>
      <c r="BF1698" s="135"/>
      <c r="BG1698" s="135"/>
      <c r="BH1698" s="135"/>
      <c r="BI1698" s="2"/>
      <c r="BJ1698" s="136"/>
      <c r="BK1698" s="2"/>
      <c r="BL1698" s="136"/>
      <c r="BM1698" s="136"/>
      <c r="BN1698" s="2"/>
      <c r="BO1698" s="2"/>
      <c r="BP1698" s="136"/>
      <c r="BQ1698" s="137"/>
    </row>
    <row r="1699" spans="1:69" ht="12.75" customHeight="1" x14ac:dyDescent="0.2">
      <c r="A1699" s="2">
        <v>3188</v>
      </c>
      <c r="B1699" s="2"/>
      <c r="C1699" s="2"/>
      <c r="D1699" s="2"/>
      <c r="E1699" s="2"/>
      <c r="F1699" s="132">
        <v>0</v>
      </c>
      <c r="G1699" s="132"/>
      <c r="H1699" s="132">
        <f t="shared" si="192"/>
        <v>0</v>
      </c>
      <c r="I1699" s="132"/>
      <c r="J1699" s="132">
        <f t="shared" si="190"/>
        <v>0</v>
      </c>
      <c r="K1699" s="132">
        <f t="shared" si="193"/>
        <v>0</v>
      </c>
      <c r="L1699" s="132">
        <f t="shared" si="194"/>
        <v>0</v>
      </c>
      <c r="M1699" s="133"/>
      <c r="N1699" s="133">
        <f t="shared" si="191"/>
        <v>0</v>
      </c>
      <c r="O1699" s="134"/>
      <c r="P1699" s="133"/>
      <c r="Q1699" s="2"/>
      <c r="R1699" s="156">
        <f t="shared" si="195"/>
        <v>0</v>
      </c>
      <c r="S1699" s="156">
        <f t="shared" si="196"/>
        <v>0</v>
      </c>
      <c r="T1699" s="133"/>
      <c r="U1699" s="133"/>
      <c r="V1699" s="133"/>
      <c r="W1699" s="133"/>
      <c r="X1699" s="133"/>
      <c r="Y1699" s="133"/>
      <c r="Z1699" s="133"/>
      <c r="AA1699" s="133"/>
      <c r="AB1699" s="133"/>
      <c r="AC1699" s="133"/>
      <c r="AD1699" s="133"/>
      <c r="AE1699" s="133"/>
      <c r="AF1699" s="133"/>
      <c r="AG1699" s="133"/>
      <c r="AH1699" s="133"/>
      <c r="AI1699" s="133"/>
      <c r="AJ1699" s="133"/>
      <c r="AK1699" s="133"/>
      <c r="AL1699" s="133"/>
      <c r="AM1699" s="133"/>
      <c r="AN1699" s="133"/>
      <c r="AO1699" s="133"/>
      <c r="AP1699" s="133"/>
      <c r="AQ1699" s="133"/>
      <c r="AR1699" s="133"/>
      <c r="AS1699" s="153">
        <v>0</v>
      </c>
      <c r="AT1699" s="153">
        <v>0</v>
      </c>
      <c r="AU1699" s="153">
        <v>0</v>
      </c>
      <c r="AV1699" s="135"/>
      <c r="AW1699" s="135"/>
      <c r="AX1699" s="135"/>
      <c r="AY1699" s="135"/>
      <c r="AZ1699" s="135"/>
      <c r="BA1699" s="135"/>
      <c r="BB1699" s="135"/>
      <c r="BC1699" s="135"/>
      <c r="BD1699" s="135"/>
      <c r="BE1699" s="135"/>
      <c r="BF1699" s="135"/>
      <c r="BG1699" s="135"/>
      <c r="BH1699" s="135"/>
      <c r="BI1699" s="2"/>
      <c r="BJ1699" s="136"/>
      <c r="BK1699" s="2"/>
      <c r="BL1699" s="136"/>
      <c r="BM1699" s="136"/>
      <c r="BN1699" s="2"/>
      <c r="BO1699" s="2"/>
      <c r="BP1699" s="136"/>
      <c r="BQ1699" s="137"/>
    </row>
    <row r="1700" spans="1:69" ht="12.75" customHeight="1" x14ac:dyDescent="0.2">
      <c r="A1700" s="2">
        <v>3189</v>
      </c>
      <c r="B1700" s="2"/>
      <c r="C1700" s="2"/>
      <c r="D1700" s="2"/>
      <c r="E1700" s="2"/>
      <c r="F1700" s="132">
        <v>0</v>
      </c>
      <c r="G1700" s="132"/>
      <c r="H1700" s="132">
        <f t="shared" si="192"/>
        <v>0</v>
      </c>
      <c r="I1700" s="132"/>
      <c r="J1700" s="132">
        <f t="shared" ref="J1700:J1763" si="197">S1700</f>
        <v>0</v>
      </c>
      <c r="K1700" s="132">
        <f t="shared" si="193"/>
        <v>0</v>
      </c>
      <c r="L1700" s="132">
        <f t="shared" si="194"/>
        <v>0</v>
      </c>
      <c r="M1700" s="133"/>
      <c r="N1700" s="133">
        <f t="shared" si="191"/>
        <v>0</v>
      </c>
      <c r="O1700" s="134"/>
      <c r="P1700" s="133"/>
      <c r="Q1700" s="2"/>
      <c r="R1700" s="156">
        <f t="shared" si="195"/>
        <v>0</v>
      </c>
      <c r="S1700" s="156">
        <f t="shared" si="196"/>
        <v>0</v>
      </c>
      <c r="T1700" s="133"/>
      <c r="U1700" s="133"/>
      <c r="V1700" s="133"/>
      <c r="W1700" s="133"/>
      <c r="X1700" s="133"/>
      <c r="Y1700" s="133"/>
      <c r="Z1700" s="133"/>
      <c r="AA1700" s="133"/>
      <c r="AB1700" s="133"/>
      <c r="AC1700" s="133"/>
      <c r="AD1700" s="133"/>
      <c r="AE1700" s="133"/>
      <c r="AF1700" s="133"/>
      <c r="AG1700" s="133"/>
      <c r="AH1700" s="133"/>
      <c r="AI1700" s="133"/>
      <c r="AJ1700" s="133"/>
      <c r="AK1700" s="133"/>
      <c r="AL1700" s="133"/>
      <c r="AM1700" s="133"/>
      <c r="AN1700" s="133"/>
      <c r="AO1700" s="133"/>
      <c r="AP1700" s="133"/>
      <c r="AQ1700" s="133"/>
      <c r="AR1700" s="133"/>
      <c r="AS1700" s="153">
        <v>0</v>
      </c>
      <c r="AT1700" s="153">
        <v>0</v>
      </c>
      <c r="AU1700" s="153">
        <v>0</v>
      </c>
      <c r="AV1700" s="135"/>
      <c r="AW1700" s="135"/>
      <c r="AX1700" s="135"/>
      <c r="AY1700" s="135"/>
      <c r="AZ1700" s="135"/>
      <c r="BA1700" s="135"/>
      <c r="BB1700" s="135"/>
      <c r="BC1700" s="135"/>
      <c r="BD1700" s="135"/>
      <c r="BE1700" s="135"/>
      <c r="BF1700" s="135"/>
      <c r="BG1700" s="135"/>
      <c r="BH1700" s="135"/>
      <c r="BI1700" s="2"/>
      <c r="BJ1700" s="136"/>
      <c r="BK1700" s="2"/>
      <c r="BL1700" s="136"/>
      <c r="BM1700" s="136"/>
      <c r="BN1700" s="2"/>
      <c r="BO1700" s="2"/>
      <c r="BP1700" s="136"/>
      <c r="BQ1700" s="137"/>
    </row>
    <row r="1701" spans="1:69" ht="12.75" customHeight="1" x14ac:dyDescent="0.2">
      <c r="A1701" s="2">
        <v>3190</v>
      </c>
      <c r="B1701" s="2"/>
      <c r="C1701" s="2"/>
      <c r="D1701" s="2"/>
      <c r="E1701" s="2"/>
      <c r="F1701" s="132">
        <v>0</v>
      </c>
      <c r="G1701" s="132"/>
      <c r="H1701" s="132">
        <f t="shared" si="192"/>
        <v>0</v>
      </c>
      <c r="I1701" s="132"/>
      <c r="J1701" s="132">
        <f t="shared" si="197"/>
        <v>0</v>
      </c>
      <c r="K1701" s="132">
        <f t="shared" si="193"/>
        <v>0</v>
      </c>
      <c r="L1701" s="132">
        <f t="shared" si="194"/>
        <v>0</v>
      </c>
      <c r="M1701" s="133"/>
      <c r="N1701" s="133">
        <f t="shared" si="191"/>
        <v>0</v>
      </c>
      <c r="O1701" s="134"/>
      <c r="P1701" s="133"/>
      <c r="Q1701" s="2"/>
      <c r="R1701" s="156">
        <f t="shared" si="195"/>
        <v>0</v>
      </c>
      <c r="S1701" s="156">
        <f t="shared" si="196"/>
        <v>0</v>
      </c>
      <c r="T1701" s="133"/>
      <c r="U1701" s="133"/>
      <c r="V1701" s="133"/>
      <c r="W1701" s="133"/>
      <c r="X1701" s="133"/>
      <c r="Y1701" s="133"/>
      <c r="Z1701" s="133"/>
      <c r="AA1701" s="133"/>
      <c r="AB1701" s="133"/>
      <c r="AC1701" s="133"/>
      <c r="AD1701" s="133"/>
      <c r="AE1701" s="133"/>
      <c r="AF1701" s="133"/>
      <c r="AG1701" s="133"/>
      <c r="AH1701" s="133"/>
      <c r="AI1701" s="133"/>
      <c r="AJ1701" s="133"/>
      <c r="AK1701" s="133"/>
      <c r="AL1701" s="133"/>
      <c r="AM1701" s="133"/>
      <c r="AN1701" s="133"/>
      <c r="AO1701" s="133"/>
      <c r="AP1701" s="133"/>
      <c r="AQ1701" s="133"/>
      <c r="AR1701" s="133"/>
      <c r="AS1701" s="153">
        <v>0</v>
      </c>
      <c r="AT1701" s="153">
        <v>0</v>
      </c>
      <c r="AU1701" s="153">
        <v>0</v>
      </c>
      <c r="AV1701" s="135"/>
      <c r="AW1701" s="135"/>
      <c r="AX1701" s="135"/>
      <c r="AY1701" s="135"/>
      <c r="AZ1701" s="135"/>
      <c r="BA1701" s="135"/>
      <c r="BB1701" s="135"/>
      <c r="BC1701" s="135"/>
      <c r="BD1701" s="135"/>
      <c r="BE1701" s="135"/>
      <c r="BF1701" s="135"/>
      <c r="BG1701" s="135"/>
      <c r="BH1701" s="135"/>
      <c r="BI1701" s="2"/>
      <c r="BJ1701" s="136"/>
      <c r="BK1701" s="2"/>
      <c r="BL1701" s="136"/>
      <c r="BM1701" s="136"/>
      <c r="BN1701" s="2"/>
      <c r="BO1701" s="2"/>
      <c r="BP1701" s="136"/>
      <c r="BQ1701" s="137"/>
    </row>
    <row r="1702" spans="1:69" ht="12.75" customHeight="1" x14ac:dyDescent="0.2">
      <c r="A1702" s="2">
        <v>3191</v>
      </c>
      <c r="B1702" s="2"/>
      <c r="C1702" s="2"/>
      <c r="D1702" s="2"/>
      <c r="E1702" s="2"/>
      <c r="F1702" s="132">
        <v>0</v>
      </c>
      <c r="G1702" s="132"/>
      <c r="H1702" s="132">
        <f t="shared" si="192"/>
        <v>0</v>
      </c>
      <c r="I1702" s="132"/>
      <c r="J1702" s="132">
        <f t="shared" si="197"/>
        <v>0</v>
      </c>
      <c r="K1702" s="132">
        <f t="shared" si="193"/>
        <v>0</v>
      </c>
      <c r="L1702" s="132">
        <f t="shared" si="194"/>
        <v>0</v>
      </c>
      <c r="M1702" s="133"/>
      <c r="N1702" s="133">
        <f t="shared" si="191"/>
        <v>0</v>
      </c>
      <c r="O1702" s="134"/>
      <c r="P1702" s="133"/>
      <c r="Q1702" s="2"/>
      <c r="R1702" s="156">
        <f t="shared" si="195"/>
        <v>0</v>
      </c>
      <c r="S1702" s="156">
        <f t="shared" si="196"/>
        <v>0</v>
      </c>
      <c r="T1702" s="133"/>
      <c r="U1702" s="133"/>
      <c r="V1702" s="133"/>
      <c r="W1702" s="133"/>
      <c r="X1702" s="133"/>
      <c r="Y1702" s="133"/>
      <c r="Z1702" s="133"/>
      <c r="AA1702" s="133"/>
      <c r="AB1702" s="133"/>
      <c r="AC1702" s="133"/>
      <c r="AD1702" s="133"/>
      <c r="AE1702" s="133"/>
      <c r="AF1702" s="133"/>
      <c r="AG1702" s="133"/>
      <c r="AH1702" s="133"/>
      <c r="AI1702" s="133"/>
      <c r="AJ1702" s="133"/>
      <c r="AK1702" s="133"/>
      <c r="AL1702" s="133"/>
      <c r="AM1702" s="133"/>
      <c r="AN1702" s="133"/>
      <c r="AO1702" s="133"/>
      <c r="AP1702" s="133"/>
      <c r="AQ1702" s="133"/>
      <c r="AR1702" s="133"/>
      <c r="AS1702" s="153">
        <v>0</v>
      </c>
      <c r="AT1702" s="153">
        <v>0</v>
      </c>
      <c r="AU1702" s="153">
        <v>0</v>
      </c>
      <c r="AV1702" s="135"/>
      <c r="AW1702" s="135"/>
      <c r="AX1702" s="135"/>
      <c r="AY1702" s="135"/>
      <c r="AZ1702" s="135"/>
      <c r="BA1702" s="135"/>
      <c r="BB1702" s="135"/>
      <c r="BC1702" s="135"/>
      <c r="BD1702" s="135"/>
      <c r="BE1702" s="135"/>
      <c r="BF1702" s="135"/>
      <c r="BG1702" s="135"/>
      <c r="BH1702" s="135"/>
      <c r="BI1702" s="2"/>
      <c r="BJ1702" s="136"/>
      <c r="BK1702" s="2"/>
      <c r="BL1702" s="136"/>
      <c r="BM1702" s="136"/>
      <c r="BN1702" s="2"/>
      <c r="BO1702" s="2"/>
      <c r="BP1702" s="136"/>
      <c r="BQ1702" s="137"/>
    </row>
    <row r="1703" spans="1:69" ht="12.75" customHeight="1" x14ac:dyDescent="0.2">
      <c r="A1703" s="2">
        <v>3192</v>
      </c>
      <c r="B1703" s="2"/>
      <c r="C1703" s="2"/>
      <c r="D1703" s="2"/>
      <c r="E1703" s="2"/>
      <c r="F1703" s="132">
        <v>0</v>
      </c>
      <c r="G1703" s="132"/>
      <c r="H1703" s="132">
        <f t="shared" si="192"/>
        <v>0</v>
      </c>
      <c r="I1703" s="132"/>
      <c r="J1703" s="132">
        <f t="shared" si="197"/>
        <v>0</v>
      </c>
      <c r="K1703" s="132">
        <f t="shared" si="193"/>
        <v>0</v>
      </c>
      <c r="L1703" s="132">
        <f t="shared" si="194"/>
        <v>0</v>
      </c>
      <c r="M1703" s="133"/>
      <c r="N1703" s="133">
        <f t="shared" si="191"/>
        <v>0</v>
      </c>
      <c r="O1703" s="134"/>
      <c r="P1703" s="133"/>
      <c r="Q1703" s="2"/>
      <c r="R1703" s="156">
        <f t="shared" si="195"/>
        <v>0</v>
      </c>
      <c r="S1703" s="156">
        <f t="shared" si="196"/>
        <v>0</v>
      </c>
      <c r="T1703" s="133"/>
      <c r="U1703" s="133"/>
      <c r="V1703" s="133"/>
      <c r="W1703" s="133"/>
      <c r="X1703" s="133"/>
      <c r="Y1703" s="133"/>
      <c r="Z1703" s="133"/>
      <c r="AA1703" s="133"/>
      <c r="AB1703" s="133"/>
      <c r="AC1703" s="133"/>
      <c r="AD1703" s="133"/>
      <c r="AE1703" s="133"/>
      <c r="AF1703" s="133"/>
      <c r="AG1703" s="133"/>
      <c r="AH1703" s="133"/>
      <c r="AI1703" s="133"/>
      <c r="AJ1703" s="133"/>
      <c r="AK1703" s="133"/>
      <c r="AL1703" s="133"/>
      <c r="AM1703" s="133"/>
      <c r="AN1703" s="133"/>
      <c r="AO1703" s="133"/>
      <c r="AP1703" s="133"/>
      <c r="AQ1703" s="133"/>
      <c r="AR1703" s="133"/>
      <c r="AS1703" s="153">
        <v>0</v>
      </c>
      <c r="AT1703" s="153">
        <v>0</v>
      </c>
      <c r="AU1703" s="153">
        <v>0</v>
      </c>
      <c r="AV1703" s="135"/>
      <c r="AW1703" s="135"/>
      <c r="AX1703" s="135"/>
      <c r="AY1703" s="135"/>
      <c r="AZ1703" s="135"/>
      <c r="BA1703" s="135"/>
      <c r="BB1703" s="135"/>
      <c r="BC1703" s="135"/>
      <c r="BD1703" s="135"/>
      <c r="BE1703" s="135"/>
      <c r="BF1703" s="135"/>
      <c r="BG1703" s="135"/>
      <c r="BH1703" s="135"/>
      <c r="BI1703" s="2"/>
      <c r="BJ1703" s="136"/>
      <c r="BK1703" s="2"/>
      <c r="BL1703" s="136"/>
      <c r="BM1703" s="136"/>
      <c r="BN1703" s="2"/>
      <c r="BO1703" s="2"/>
      <c r="BP1703" s="136"/>
      <c r="BQ1703" s="137"/>
    </row>
    <row r="1704" spans="1:69" ht="12.75" customHeight="1" x14ac:dyDescent="0.2">
      <c r="A1704" s="2">
        <v>3193</v>
      </c>
      <c r="B1704" s="2"/>
      <c r="C1704" s="2"/>
      <c r="D1704" s="2"/>
      <c r="E1704" s="2"/>
      <c r="F1704" s="132">
        <v>0</v>
      </c>
      <c r="G1704" s="132"/>
      <c r="H1704" s="132">
        <f t="shared" si="192"/>
        <v>0</v>
      </c>
      <c r="I1704" s="132"/>
      <c r="J1704" s="132">
        <f t="shared" si="197"/>
        <v>0</v>
      </c>
      <c r="K1704" s="132">
        <f t="shared" si="193"/>
        <v>0</v>
      </c>
      <c r="L1704" s="132">
        <f t="shared" si="194"/>
        <v>0</v>
      </c>
      <c r="M1704" s="133"/>
      <c r="N1704" s="133">
        <f t="shared" si="191"/>
        <v>0</v>
      </c>
      <c r="O1704" s="134"/>
      <c r="P1704" s="133"/>
      <c r="Q1704" s="2"/>
      <c r="R1704" s="156">
        <f t="shared" si="195"/>
        <v>0</v>
      </c>
      <c r="S1704" s="156">
        <f t="shared" si="196"/>
        <v>0</v>
      </c>
      <c r="T1704" s="133"/>
      <c r="U1704" s="133"/>
      <c r="V1704" s="133"/>
      <c r="W1704" s="133"/>
      <c r="X1704" s="133"/>
      <c r="Y1704" s="133"/>
      <c r="Z1704" s="133"/>
      <c r="AA1704" s="133"/>
      <c r="AB1704" s="133"/>
      <c r="AC1704" s="133"/>
      <c r="AD1704" s="133"/>
      <c r="AE1704" s="133"/>
      <c r="AF1704" s="133"/>
      <c r="AG1704" s="133"/>
      <c r="AH1704" s="133"/>
      <c r="AI1704" s="133"/>
      <c r="AJ1704" s="133"/>
      <c r="AK1704" s="133"/>
      <c r="AL1704" s="133"/>
      <c r="AM1704" s="133"/>
      <c r="AN1704" s="133"/>
      <c r="AO1704" s="133"/>
      <c r="AP1704" s="133"/>
      <c r="AQ1704" s="133"/>
      <c r="AR1704" s="133"/>
      <c r="AS1704" s="153">
        <v>0</v>
      </c>
      <c r="AT1704" s="153">
        <v>0</v>
      </c>
      <c r="AU1704" s="153">
        <v>0</v>
      </c>
      <c r="AV1704" s="135"/>
      <c r="AW1704" s="135"/>
      <c r="AX1704" s="135"/>
      <c r="AY1704" s="135"/>
      <c r="AZ1704" s="135"/>
      <c r="BA1704" s="135"/>
      <c r="BB1704" s="135"/>
      <c r="BC1704" s="135"/>
      <c r="BD1704" s="135"/>
      <c r="BE1704" s="135"/>
      <c r="BF1704" s="135"/>
      <c r="BG1704" s="135"/>
      <c r="BH1704" s="135"/>
      <c r="BI1704" s="2"/>
      <c r="BJ1704" s="136"/>
      <c r="BK1704" s="2"/>
      <c r="BL1704" s="136"/>
      <c r="BM1704" s="136"/>
      <c r="BN1704" s="2"/>
      <c r="BO1704" s="2"/>
      <c r="BP1704" s="136"/>
      <c r="BQ1704" s="137"/>
    </row>
    <row r="1705" spans="1:69" ht="12.75" customHeight="1" x14ac:dyDescent="0.2">
      <c r="A1705" s="2">
        <v>3194</v>
      </c>
      <c r="B1705" s="2"/>
      <c r="C1705" s="2"/>
      <c r="D1705" s="2"/>
      <c r="E1705" s="2"/>
      <c r="F1705" s="132">
        <v>0</v>
      </c>
      <c r="G1705" s="132"/>
      <c r="H1705" s="132">
        <f t="shared" si="192"/>
        <v>0</v>
      </c>
      <c r="I1705" s="132"/>
      <c r="J1705" s="132">
        <f t="shared" si="197"/>
        <v>0</v>
      </c>
      <c r="K1705" s="132">
        <f t="shared" si="193"/>
        <v>0</v>
      </c>
      <c r="L1705" s="132">
        <f t="shared" si="194"/>
        <v>0</v>
      </c>
      <c r="M1705" s="133"/>
      <c r="N1705" s="133">
        <f t="shared" si="191"/>
        <v>0</v>
      </c>
      <c r="O1705" s="134"/>
      <c r="P1705" s="133"/>
      <c r="Q1705" s="2"/>
      <c r="R1705" s="156">
        <f t="shared" si="195"/>
        <v>0</v>
      </c>
      <c r="S1705" s="156">
        <f t="shared" si="196"/>
        <v>0</v>
      </c>
      <c r="T1705" s="133"/>
      <c r="U1705" s="133"/>
      <c r="V1705" s="133"/>
      <c r="W1705" s="133"/>
      <c r="X1705" s="133"/>
      <c r="Y1705" s="133"/>
      <c r="Z1705" s="133"/>
      <c r="AA1705" s="133"/>
      <c r="AB1705" s="133"/>
      <c r="AC1705" s="133"/>
      <c r="AD1705" s="133"/>
      <c r="AE1705" s="133"/>
      <c r="AF1705" s="133"/>
      <c r="AG1705" s="133"/>
      <c r="AH1705" s="133"/>
      <c r="AI1705" s="133"/>
      <c r="AJ1705" s="133"/>
      <c r="AK1705" s="133"/>
      <c r="AL1705" s="133"/>
      <c r="AM1705" s="133"/>
      <c r="AN1705" s="133"/>
      <c r="AO1705" s="133"/>
      <c r="AP1705" s="133"/>
      <c r="AQ1705" s="133"/>
      <c r="AR1705" s="133"/>
      <c r="AS1705" s="153">
        <v>0</v>
      </c>
      <c r="AT1705" s="153">
        <v>0</v>
      </c>
      <c r="AU1705" s="153">
        <v>0</v>
      </c>
      <c r="AV1705" s="135"/>
      <c r="AW1705" s="135"/>
      <c r="AX1705" s="135"/>
      <c r="AY1705" s="135"/>
      <c r="AZ1705" s="135"/>
      <c r="BA1705" s="135"/>
      <c r="BB1705" s="135"/>
      <c r="BC1705" s="135"/>
      <c r="BD1705" s="135"/>
      <c r="BE1705" s="135"/>
      <c r="BF1705" s="135"/>
      <c r="BG1705" s="135"/>
      <c r="BH1705" s="135"/>
      <c r="BI1705" s="2"/>
      <c r="BJ1705" s="136"/>
      <c r="BK1705" s="2"/>
      <c r="BL1705" s="136"/>
      <c r="BM1705" s="136"/>
      <c r="BN1705" s="2"/>
      <c r="BO1705" s="2"/>
      <c r="BP1705" s="136"/>
      <c r="BQ1705" s="137"/>
    </row>
    <row r="1706" spans="1:69" ht="12.75" customHeight="1" x14ac:dyDescent="0.2">
      <c r="A1706" s="2">
        <v>3195</v>
      </c>
      <c r="B1706" s="2"/>
      <c r="C1706" s="2"/>
      <c r="D1706" s="2"/>
      <c r="E1706" s="2"/>
      <c r="F1706" s="132">
        <v>0</v>
      </c>
      <c r="G1706" s="132"/>
      <c r="H1706" s="132">
        <f t="shared" si="192"/>
        <v>0</v>
      </c>
      <c r="I1706" s="132"/>
      <c r="J1706" s="132">
        <f t="shared" si="197"/>
        <v>0</v>
      </c>
      <c r="K1706" s="132">
        <f t="shared" si="193"/>
        <v>0</v>
      </c>
      <c r="L1706" s="132">
        <f t="shared" si="194"/>
        <v>0</v>
      </c>
      <c r="M1706" s="133"/>
      <c r="N1706" s="133">
        <f t="shared" ref="N1706:N1769" si="198">IF(OR(BK1706="принят",BK1706="Завершено",BK1706="ПриПро"),H1706-J1706,F1706-J1706)</f>
        <v>0</v>
      </c>
      <c r="O1706" s="134"/>
      <c r="P1706" s="133"/>
      <c r="Q1706" s="2"/>
      <c r="R1706" s="156">
        <f t="shared" si="195"/>
        <v>0</v>
      </c>
      <c r="S1706" s="156">
        <f t="shared" si="196"/>
        <v>0</v>
      </c>
      <c r="T1706" s="133"/>
      <c r="U1706" s="133"/>
      <c r="V1706" s="133"/>
      <c r="W1706" s="133"/>
      <c r="X1706" s="133"/>
      <c r="Y1706" s="133"/>
      <c r="Z1706" s="133"/>
      <c r="AA1706" s="133"/>
      <c r="AB1706" s="133"/>
      <c r="AC1706" s="133"/>
      <c r="AD1706" s="133"/>
      <c r="AE1706" s="133"/>
      <c r="AF1706" s="133"/>
      <c r="AG1706" s="133"/>
      <c r="AH1706" s="133"/>
      <c r="AI1706" s="133"/>
      <c r="AJ1706" s="133"/>
      <c r="AK1706" s="133"/>
      <c r="AL1706" s="133"/>
      <c r="AM1706" s="133"/>
      <c r="AN1706" s="133"/>
      <c r="AO1706" s="133"/>
      <c r="AP1706" s="133"/>
      <c r="AQ1706" s="133"/>
      <c r="AR1706" s="133"/>
      <c r="AS1706" s="153">
        <v>0</v>
      </c>
      <c r="AT1706" s="153">
        <v>0</v>
      </c>
      <c r="AU1706" s="153">
        <v>0</v>
      </c>
      <c r="AV1706" s="135"/>
      <c r="AW1706" s="135"/>
      <c r="AX1706" s="135"/>
      <c r="AY1706" s="135"/>
      <c r="AZ1706" s="135"/>
      <c r="BA1706" s="135"/>
      <c r="BB1706" s="135"/>
      <c r="BC1706" s="135"/>
      <c r="BD1706" s="135"/>
      <c r="BE1706" s="135"/>
      <c r="BF1706" s="135"/>
      <c r="BG1706" s="135"/>
      <c r="BH1706" s="135"/>
      <c r="BI1706" s="2"/>
      <c r="BJ1706" s="136"/>
      <c r="BK1706" s="2"/>
      <c r="BL1706" s="136"/>
      <c r="BM1706" s="136"/>
      <c r="BN1706" s="2"/>
      <c r="BO1706" s="2"/>
      <c r="BP1706" s="136"/>
      <c r="BQ1706" s="137"/>
    </row>
    <row r="1707" spans="1:69" ht="12.75" customHeight="1" x14ac:dyDescent="0.2">
      <c r="A1707" s="2">
        <v>3196</v>
      </c>
      <c r="B1707" s="2"/>
      <c r="C1707" s="2"/>
      <c r="D1707" s="2"/>
      <c r="E1707" s="2"/>
      <c r="F1707" s="132">
        <v>0</v>
      </c>
      <c r="G1707" s="132"/>
      <c r="H1707" s="132">
        <f t="shared" si="192"/>
        <v>0</v>
      </c>
      <c r="I1707" s="132"/>
      <c r="J1707" s="132">
        <f t="shared" si="197"/>
        <v>0</v>
      </c>
      <c r="K1707" s="132">
        <f t="shared" si="193"/>
        <v>0</v>
      </c>
      <c r="L1707" s="132">
        <f t="shared" si="194"/>
        <v>0</v>
      </c>
      <c r="M1707" s="133"/>
      <c r="N1707" s="133">
        <f t="shared" si="198"/>
        <v>0</v>
      </c>
      <c r="O1707" s="134"/>
      <c r="P1707" s="133"/>
      <c r="Q1707" s="2"/>
      <c r="R1707" s="156">
        <f t="shared" si="195"/>
        <v>0</v>
      </c>
      <c r="S1707" s="156">
        <f t="shared" si="196"/>
        <v>0</v>
      </c>
      <c r="T1707" s="133"/>
      <c r="U1707" s="133"/>
      <c r="V1707" s="133"/>
      <c r="W1707" s="133"/>
      <c r="X1707" s="133"/>
      <c r="Y1707" s="133"/>
      <c r="Z1707" s="133"/>
      <c r="AA1707" s="133"/>
      <c r="AB1707" s="133"/>
      <c r="AC1707" s="133"/>
      <c r="AD1707" s="133"/>
      <c r="AE1707" s="133"/>
      <c r="AF1707" s="133"/>
      <c r="AG1707" s="133"/>
      <c r="AH1707" s="133"/>
      <c r="AI1707" s="133"/>
      <c r="AJ1707" s="133"/>
      <c r="AK1707" s="133"/>
      <c r="AL1707" s="133"/>
      <c r="AM1707" s="133"/>
      <c r="AN1707" s="133"/>
      <c r="AO1707" s="133"/>
      <c r="AP1707" s="133"/>
      <c r="AQ1707" s="133"/>
      <c r="AR1707" s="133"/>
      <c r="AS1707" s="153">
        <v>0</v>
      </c>
      <c r="AT1707" s="153">
        <v>0</v>
      </c>
      <c r="AU1707" s="153">
        <v>0</v>
      </c>
      <c r="AV1707" s="135"/>
      <c r="AW1707" s="135"/>
      <c r="AX1707" s="135"/>
      <c r="AY1707" s="135"/>
      <c r="AZ1707" s="135"/>
      <c r="BA1707" s="135"/>
      <c r="BB1707" s="135"/>
      <c r="BC1707" s="135"/>
      <c r="BD1707" s="135"/>
      <c r="BE1707" s="135"/>
      <c r="BF1707" s="135"/>
      <c r="BG1707" s="135"/>
      <c r="BH1707" s="135"/>
      <c r="BI1707" s="2"/>
      <c r="BJ1707" s="136"/>
      <c r="BK1707" s="2"/>
      <c r="BL1707" s="136"/>
      <c r="BM1707" s="136"/>
      <c r="BN1707" s="2"/>
      <c r="BO1707" s="2"/>
      <c r="BP1707" s="136"/>
      <c r="BQ1707" s="137"/>
    </row>
    <row r="1708" spans="1:69" ht="12.75" customHeight="1" x14ac:dyDescent="0.2">
      <c r="A1708" s="2">
        <v>3197</v>
      </c>
      <c r="B1708" s="2"/>
      <c r="C1708" s="2"/>
      <c r="D1708" s="2"/>
      <c r="E1708" s="2"/>
      <c r="F1708" s="132">
        <v>0</v>
      </c>
      <c r="G1708" s="132"/>
      <c r="H1708" s="132">
        <f t="shared" si="192"/>
        <v>0</v>
      </c>
      <c r="I1708" s="132"/>
      <c r="J1708" s="132">
        <f t="shared" si="197"/>
        <v>0</v>
      </c>
      <c r="K1708" s="132">
        <f t="shared" si="193"/>
        <v>0</v>
      </c>
      <c r="L1708" s="132">
        <f t="shared" si="194"/>
        <v>0</v>
      </c>
      <c r="M1708" s="133"/>
      <c r="N1708" s="133">
        <f t="shared" si="198"/>
        <v>0</v>
      </c>
      <c r="O1708" s="134"/>
      <c r="P1708" s="133"/>
      <c r="Q1708" s="2"/>
      <c r="R1708" s="156">
        <f t="shared" si="195"/>
        <v>0</v>
      </c>
      <c r="S1708" s="156">
        <f t="shared" si="196"/>
        <v>0</v>
      </c>
      <c r="T1708" s="133"/>
      <c r="U1708" s="133"/>
      <c r="V1708" s="133"/>
      <c r="W1708" s="133"/>
      <c r="X1708" s="133"/>
      <c r="Y1708" s="133"/>
      <c r="Z1708" s="133"/>
      <c r="AA1708" s="133"/>
      <c r="AB1708" s="133"/>
      <c r="AC1708" s="133"/>
      <c r="AD1708" s="133"/>
      <c r="AE1708" s="133"/>
      <c r="AF1708" s="133"/>
      <c r="AG1708" s="133"/>
      <c r="AH1708" s="133"/>
      <c r="AI1708" s="133"/>
      <c r="AJ1708" s="133"/>
      <c r="AK1708" s="133"/>
      <c r="AL1708" s="133"/>
      <c r="AM1708" s="133"/>
      <c r="AN1708" s="133"/>
      <c r="AO1708" s="133"/>
      <c r="AP1708" s="133"/>
      <c r="AQ1708" s="133"/>
      <c r="AR1708" s="133"/>
      <c r="AS1708" s="153">
        <v>0</v>
      </c>
      <c r="AT1708" s="153">
        <v>0</v>
      </c>
      <c r="AU1708" s="153">
        <v>0</v>
      </c>
      <c r="AV1708" s="135"/>
      <c r="AW1708" s="135"/>
      <c r="AX1708" s="135"/>
      <c r="AY1708" s="135"/>
      <c r="AZ1708" s="135"/>
      <c r="BA1708" s="135"/>
      <c r="BB1708" s="135"/>
      <c r="BC1708" s="135"/>
      <c r="BD1708" s="135"/>
      <c r="BE1708" s="135"/>
      <c r="BF1708" s="135"/>
      <c r="BG1708" s="135"/>
      <c r="BH1708" s="135"/>
      <c r="BI1708" s="2"/>
      <c r="BJ1708" s="136"/>
      <c r="BK1708" s="2"/>
      <c r="BL1708" s="136"/>
      <c r="BM1708" s="136"/>
      <c r="BN1708" s="2"/>
      <c r="BO1708" s="2"/>
      <c r="BP1708" s="136"/>
      <c r="BQ1708" s="137"/>
    </row>
    <row r="1709" spans="1:69" ht="12.75" customHeight="1" x14ac:dyDescent="0.2">
      <c r="A1709" s="2">
        <v>3198</v>
      </c>
      <c r="B1709" s="2"/>
      <c r="C1709" s="2"/>
      <c r="D1709" s="2"/>
      <c r="E1709" s="2"/>
      <c r="F1709" s="132">
        <v>0</v>
      </c>
      <c r="G1709" s="132"/>
      <c r="H1709" s="132">
        <f t="shared" si="192"/>
        <v>0</v>
      </c>
      <c r="I1709" s="132"/>
      <c r="J1709" s="132">
        <f t="shared" si="197"/>
        <v>0</v>
      </c>
      <c r="K1709" s="132">
        <f t="shared" si="193"/>
        <v>0</v>
      </c>
      <c r="L1709" s="132">
        <f t="shared" si="194"/>
        <v>0</v>
      </c>
      <c r="M1709" s="133"/>
      <c r="N1709" s="133">
        <f t="shared" si="198"/>
        <v>0</v>
      </c>
      <c r="O1709" s="134"/>
      <c r="P1709" s="133"/>
      <c r="Q1709" s="2"/>
      <c r="R1709" s="156">
        <f t="shared" si="195"/>
        <v>0</v>
      </c>
      <c r="S1709" s="156">
        <f t="shared" si="196"/>
        <v>0</v>
      </c>
      <c r="T1709" s="133"/>
      <c r="U1709" s="133"/>
      <c r="V1709" s="133"/>
      <c r="W1709" s="133"/>
      <c r="X1709" s="133"/>
      <c r="Y1709" s="133"/>
      <c r="Z1709" s="133"/>
      <c r="AA1709" s="133"/>
      <c r="AB1709" s="133"/>
      <c r="AC1709" s="133"/>
      <c r="AD1709" s="133"/>
      <c r="AE1709" s="133"/>
      <c r="AF1709" s="133"/>
      <c r="AG1709" s="133"/>
      <c r="AH1709" s="133"/>
      <c r="AI1709" s="133"/>
      <c r="AJ1709" s="133"/>
      <c r="AK1709" s="133"/>
      <c r="AL1709" s="133"/>
      <c r="AM1709" s="133"/>
      <c r="AN1709" s="133"/>
      <c r="AO1709" s="133"/>
      <c r="AP1709" s="133"/>
      <c r="AQ1709" s="133"/>
      <c r="AR1709" s="133"/>
      <c r="AS1709" s="153">
        <v>0</v>
      </c>
      <c r="AT1709" s="153">
        <v>0</v>
      </c>
      <c r="AU1709" s="153">
        <v>0</v>
      </c>
      <c r="AV1709" s="135"/>
      <c r="AW1709" s="135"/>
      <c r="AX1709" s="135"/>
      <c r="AY1709" s="135"/>
      <c r="AZ1709" s="135"/>
      <c r="BA1709" s="135"/>
      <c r="BB1709" s="135"/>
      <c r="BC1709" s="135"/>
      <c r="BD1709" s="135"/>
      <c r="BE1709" s="135"/>
      <c r="BF1709" s="135"/>
      <c r="BG1709" s="135"/>
      <c r="BH1709" s="135"/>
      <c r="BI1709" s="2"/>
      <c r="BJ1709" s="136"/>
      <c r="BK1709" s="2"/>
      <c r="BL1709" s="136"/>
      <c r="BM1709" s="136"/>
      <c r="BN1709" s="2"/>
      <c r="BO1709" s="2"/>
      <c r="BP1709" s="136"/>
      <c r="BQ1709" s="137"/>
    </row>
    <row r="1710" spans="1:69" ht="12.75" customHeight="1" x14ac:dyDescent="0.2">
      <c r="A1710" s="2">
        <v>3199</v>
      </c>
      <c r="B1710" s="2"/>
      <c r="C1710" s="2"/>
      <c r="D1710" s="2"/>
      <c r="E1710" s="2"/>
      <c r="F1710" s="132">
        <v>0</v>
      </c>
      <c r="G1710" s="132"/>
      <c r="H1710" s="132">
        <f t="shared" ref="H1710:H1773" si="199">R1710</f>
        <v>0</v>
      </c>
      <c r="I1710" s="132"/>
      <c r="J1710" s="132">
        <f t="shared" si="197"/>
        <v>0</v>
      </c>
      <c r="K1710" s="132">
        <f t="shared" si="193"/>
        <v>0</v>
      </c>
      <c r="L1710" s="132">
        <f t="shared" si="194"/>
        <v>0</v>
      </c>
      <c r="M1710" s="133"/>
      <c r="N1710" s="133">
        <f t="shared" si="198"/>
        <v>0</v>
      </c>
      <c r="O1710" s="134"/>
      <c r="P1710" s="133"/>
      <c r="Q1710" s="2"/>
      <c r="R1710" s="156">
        <f t="shared" si="195"/>
        <v>0</v>
      </c>
      <c r="S1710" s="156">
        <f t="shared" si="196"/>
        <v>0</v>
      </c>
      <c r="T1710" s="133"/>
      <c r="U1710" s="133"/>
      <c r="V1710" s="133"/>
      <c r="W1710" s="133"/>
      <c r="X1710" s="133"/>
      <c r="Y1710" s="133"/>
      <c r="Z1710" s="133"/>
      <c r="AA1710" s="133"/>
      <c r="AB1710" s="133"/>
      <c r="AC1710" s="133"/>
      <c r="AD1710" s="133"/>
      <c r="AE1710" s="133"/>
      <c r="AF1710" s="133"/>
      <c r="AG1710" s="133"/>
      <c r="AH1710" s="133"/>
      <c r="AI1710" s="133"/>
      <c r="AJ1710" s="133"/>
      <c r="AK1710" s="133"/>
      <c r="AL1710" s="133"/>
      <c r="AM1710" s="133"/>
      <c r="AN1710" s="133"/>
      <c r="AO1710" s="133"/>
      <c r="AP1710" s="133"/>
      <c r="AQ1710" s="133"/>
      <c r="AR1710" s="133"/>
      <c r="AS1710" s="153">
        <v>0</v>
      </c>
      <c r="AT1710" s="153">
        <v>0</v>
      </c>
      <c r="AU1710" s="153">
        <v>0</v>
      </c>
      <c r="AV1710" s="135"/>
      <c r="AW1710" s="135"/>
      <c r="AX1710" s="135"/>
      <c r="AY1710" s="135"/>
      <c r="AZ1710" s="135"/>
      <c r="BA1710" s="135"/>
      <c r="BB1710" s="135"/>
      <c r="BC1710" s="135"/>
      <c r="BD1710" s="135"/>
      <c r="BE1710" s="135"/>
      <c r="BF1710" s="135"/>
      <c r="BG1710" s="135"/>
      <c r="BH1710" s="135"/>
      <c r="BI1710" s="2"/>
      <c r="BJ1710" s="136"/>
      <c r="BK1710" s="2"/>
      <c r="BL1710" s="136"/>
      <c r="BM1710" s="136"/>
      <c r="BN1710" s="2"/>
      <c r="BO1710" s="2"/>
      <c r="BP1710" s="136"/>
      <c r="BQ1710" s="137"/>
    </row>
    <row r="1711" spans="1:69" ht="12.75" customHeight="1" x14ac:dyDescent="0.2">
      <c r="A1711" s="2">
        <v>3200</v>
      </c>
      <c r="B1711" s="2"/>
      <c r="C1711" s="2"/>
      <c r="D1711" s="2"/>
      <c r="E1711" s="2"/>
      <c r="F1711" s="132">
        <v>0</v>
      </c>
      <c r="G1711" s="132"/>
      <c r="H1711" s="132">
        <f t="shared" si="199"/>
        <v>0</v>
      </c>
      <c r="I1711" s="132"/>
      <c r="J1711" s="132">
        <f t="shared" si="197"/>
        <v>0</v>
      </c>
      <c r="K1711" s="132">
        <f t="shared" si="193"/>
        <v>0</v>
      </c>
      <c r="L1711" s="132">
        <f t="shared" si="194"/>
        <v>0</v>
      </c>
      <c r="M1711" s="133"/>
      <c r="N1711" s="133">
        <f t="shared" si="198"/>
        <v>0</v>
      </c>
      <c r="O1711" s="134"/>
      <c r="P1711" s="133"/>
      <c r="Q1711" s="2"/>
      <c r="R1711" s="156">
        <f t="shared" si="195"/>
        <v>0</v>
      </c>
      <c r="S1711" s="156">
        <f t="shared" si="196"/>
        <v>0</v>
      </c>
      <c r="T1711" s="133"/>
      <c r="U1711" s="133"/>
      <c r="V1711" s="133"/>
      <c r="W1711" s="133"/>
      <c r="X1711" s="133"/>
      <c r="Y1711" s="133"/>
      <c r="Z1711" s="133"/>
      <c r="AA1711" s="133"/>
      <c r="AB1711" s="133"/>
      <c r="AC1711" s="133"/>
      <c r="AD1711" s="133"/>
      <c r="AE1711" s="133"/>
      <c r="AF1711" s="133"/>
      <c r="AG1711" s="133"/>
      <c r="AH1711" s="133"/>
      <c r="AI1711" s="133"/>
      <c r="AJ1711" s="133"/>
      <c r="AK1711" s="133"/>
      <c r="AL1711" s="133"/>
      <c r="AM1711" s="133"/>
      <c r="AN1711" s="133"/>
      <c r="AO1711" s="133"/>
      <c r="AP1711" s="133"/>
      <c r="AQ1711" s="133"/>
      <c r="AR1711" s="133"/>
      <c r="AS1711" s="153">
        <v>0</v>
      </c>
      <c r="AT1711" s="153">
        <v>0</v>
      </c>
      <c r="AU1711" s="153">
        <v>0</v>
      </c>
      <c r="AV1711" s="135"/>
      <c r="AW1711" s="135"/>
      <c r="AX1711" s="135"/>
      <c r="AY1711" s="135"/>
      <c r="AZ1711" s="135"/>
      <c r="BA1711" s="135"/>
      <c r="BB1711" s="135"/>
      <c r="BC1711" s="135"/>
      <c r="BD1711" s="135"/>
      <c r="BE1711" s="135"/>
      <c r="BF1711" s="135"/>
      <c r="BG1711" s="135"/>
      <c r="BH1711" s="135"/>
      <c r="BI1711" s="2"/>
      <c r="BJ1711" s="136"/>
      <c r="BK1711" s="2"/>
      <c r="BL1711" s="136"/>
      <c r="BM1711" s="136"/>
      <c r="BN1711" s="2"/>
      <c r="BO1711" s="2"/>
      <c r="BP1711" s="136"/>
      <c r="BQ1711" s="137"/>
    </row>
    <row r="1712" spans="1:69" ht="12.75" customHeight="1" x14ac:dyDescent="0.2">
      <c r="A1712" s="2">
        <v>3201</v>
      </c>
      <c r="B1712" s="2"/>
      <c r="C1712" s="2"/>
      <c r="D1712" s="2"/>
      <c r="E1712" s="2"/>
      <c r="F1712" s="132">
        <v>0</v>
      </c>
      <c r="G1712" s="132"/>
      <c r="H1712" s="132">
        <f t="shared" si="199"/>
        <v>0</v>
      </c>
      <c r="I1712" s="132"/>
      <c r="J1712" s="132">
        <f t="shared" si="197"/>
        <v>0</v>
      </c>
      <c r="K1712" s="132">
        <f t="shared" si="193"/>
        <v>0</v>
      </c>
      <c r="L1712" s="132">
        <f t="shared" si="194"/>
        <v>0</v>
      </c>
      <c r="M1712" s="133"/>
      <c r="N1712" s="133">
        <f t="shared" si="198"/>
        <v>0</v>
      </c>
      <c r="O1712" s="134"/>
      <c r="P1712" s="133"/>
      <c r="Q1712" s="2"/>
      <c r="R1712" s="156">
        <f t="shared" si="195"/>
        <v>0</v>
      </c>
      <c r="S1712" s="156">
        <f t="shared" si="196"/>
        <v>0</v>
      </c>
      <c r="T1712" s="133"/>
      <c r="U1712" s="133"/>
      <c r="V1712" s="133"/>
      <c r="W1712" s="133"/>
      <c r="X1712" s="133"/>
      <c r="Y1712" s="133"/>
      <c r="Z1712" s="133"/>
      <c r="AA1712" s="133"/>
      <c r="AB1712" s="133"/>
      <c r="AC1712" s="133"/>
      <c r="AD1712" s="133"/>
      <c r="AE1712" s="133"/>
      <c r="AF1712" s="133"/>
      <c r="AG1712" s="133"/>
      <c r="AH1712" s="133"/>
      <c r="AI1712" s="133"/>
      <c r="AJ1712" s="133"/>
      <c r="AK1712" s="133"/>
      <c r="AL1712" s="133"/>
      <c r="AM1712" s="133"/>
      <c r="AN1712" s="133"/>
      <c r="AO1712" s="133"/>
      <c r="AP1712" s="133"/>
      <c r="AQ1712" s="133"/>
      <c r="AR1712" s="133"/>
      <c r="AS1712" s="153">
        <v>0</v>
      </c>
      <c r="AT1712" s="153">
        <v>0</v>
      </c>
      <c r="AU1712" s="153">
        <v>0</v>
      </c>
      <c r="AV1712" s="135"/>
      <c r="AW1712" s="135"/>
      <c r="AX1712" s="135"/>
      <c r="AY1712" s="135"/>
      <c r="AZ1712" s="135"/>
      <c r="BA1712" s="135"/>
      <c r="BB1712" s="135"/>
      <c r="BC1712" s="135"/>
      <c r="BD1712" s="135"/>
      <c r="BE1712" s="135"/>
      <c r="BF1712" s="135"/>
      <c r="BG1712" s="135"/>
      <c r="BH1712" s="135"/>
      <c r="BI1712" s="2"/>
      <c r="BJ1712" s="136"/>
      <c r="BK1712" s="2"/>
      <c r="BL1712" s="136"/>
      <c r="BM1712" s="136"/>
      <c r="BN1712" s="2"/>
      <c r="BO1712" s="2"/>
      <c r="BP1712" s="136"/>
      <c r="BQ1712" s="137"/>
    </row>
    <row r="1713" spans="1:69" ht="12.75" customHeight="1" x14ac:dyDescent="0.2">
      <c r="A1713" s="2">
        <v>3202</v>
      </c>
      <c r="B1713" s="2"/>
      <c r="C1713" s="2"/>
      <c r="D1713" s="2"/>
      <c r="E1713" s="2"/>
      <c r="F1713" s="132">
        <v>0</v>
      </c>
      <c r="G1713" s="132"/>
      <c r="H1713" s="132">
        <f t="shared" si="199"/>
        <v>0</v>
      </c>
      <c r="I1713" s="132"/>
      <c r="J1713" s="132">
        <f t="shared" si="197"/>
        <v>0</v>
      </c>
      <c r="K1713" s="132">
        <f t="shared" si="193"/>
        <v>0</v>
      </c>
      <c r="L1713" s="132">
        <f t="shared" si="194"/>
        <v>0</v>
      </c>
      <c r="M1713" s="133"/>
      <c r="N1713" s="133">
        <f t="shared" si="198"/>
        <v>0</v>
      </c>
      <c r="O1713" s="134"/>
      <c r="P1713" s="133"/>
      <c r="Q1713" s="2"/>
      <c r="R1713" s="156">
        <f t="shared" si="195"/>
        <v>0</v>
      </c>
      <c r="S1713" s="156">
        <f t="shared" si="196"/>
        <v>0</v>
      </c>
      <c r="T1713" s="133"/>
      <c r="U1713" s="133"/>
      <c r="V1713" s="133"/>
      <c r="W1713" s="133"/>
      <c r="X1713" s="133"/>
      <c r="Y1713" s="133"/>
      <c r="Z1713" s="133"/>
      <c r="AA1713" s="133"/>
      <c r="AB1713" s="133"/>
      <c r="AC1713" s="133"/>
      <c r="AD1713" s="133"/>
      <c r="AE1713" s="133"/>
      <c r="AF1713" s="133"/>
      <c r="AG1713" s="133"/>
      <c r="AH1713" s="133"/>
      <c r="AI1713" s="133"/>
      <c r="AJ1713" s="133"/>
      <c r="AK1713" s="133"/>
      <c r="AL1713" s="133"/>
      <c r="AM1713" s="133"/>
      <c r="AN1713" s="133"/>
      <c r="AO1713" s="133"/>
      <c r="AP1713" s="133"/>
      <c r="AQ1713" s="133"/>
      <c r="AR1713" s="133"/>
      <c r="AS1713" s="153">
        <v>0</v>
      </c>
      <c r="AT1713" s="153">
        <v>0</v>
      </c>
      <c r="AU1713" s="153">
        <v>0</v>
      </c>
      <c r="AV1713" s="135"/>
      <c r="AW1713" s="135"/>
      <c r="AX1713" s="135"/>
      <c r="AY1713" s="135"/>
      <c r="AZ1713" s="135"/>
      <c r="BA1713" s="135"/>
      <c r="BB1713" s="135"/>
      <c r="BC1713" s="135"/>
      <c r="BD1713" s="135"/>
      <c r="BE1713" s="135"/>
      <c r="BF1713" s="135"/>
      <c r="BG1713" s="135"/>
      <c r="BH1713" s="135"/>
      <c r="BI1713" s="2"/>
      <c r="BJ1713" s="136"/>
      <c r="BK1713" s="2"/>
      <c r="BL1713" s="136"/>
      <c r="BM1713" s="136"/>
      <c r="BN1713" s="2"/>
      <c r="BO1713" s="2"/>
      <c r="BP1713" s="136"/>
      <c r="BQ1713" s="137"/>
    </row>
    <row r="1714" spans="1:69" ht="12.75" customHeight="1" x14ac:dyDescent="0.2">
      <c r="A1714" s="2">
        <v>3203</v>
      </c>
      <c r="B1714" s="2"/>
      <c r="C1714" s="2"/>
      <c r="D1714" s="2"/>
      <c r="E1714" s="2"/>
      <c r="F1714" s="132">
        <v>0</v>
      </c>
      <c r="G1714" s="132"/>
      <c r="H1714" s="132">
        <f t="shared" si="199"/>
        <v>0</v>
      </c>
      <c r="I1714" s="132"/>
      <c r="J1714" s="132">
        <f t="shared" si="197"/>
        <v>0</v>
      </c>
      <c r="K1714" s="132">
        <f t="shared" si="193"/>
        <v>0</v>
      </c>
      <c r="L1714" s="132">
        <f t="shared" si="194"/>
        <v>0</v>
      </c>
      <c r="M1714" s="133"/>
      <c r="N1714" s="133">
        <f t="shared" si="198"/>
        <v>0</v>
      </c>
      <c r="O1714" s="134"/>
      <c r="P1714" s="133"/>
      <c r="Q1714" s="2"/>
      <c r="R1714" s="156">
        <f t="shared" si="195"/>
        <v>0</v>
      </c>
      <c r="S1714" s="156">
        <f t="shared" si="196"/>
        <v>0</v>
      </c>
      <c r="T1714" s="133"/>
      <c r="U1714" s="133"/>
      <c r="V1714" s="133"/>
      <c r="W1714" s="133"/>
      <c r="X1714" s="133"/>
      <c r="Y1714" s="133"/>
      <c r="Z1714" s="133"/>
      <c r="AA1714" s="133"/>
      <c r="AB1714" s="133"/>
      <c r="AC1714" s="133"/>
      <c r="AD1714" s="133"/>
      <c r="AE1714" s="133"/>
      <c r="AF1714" s="133"/>
      <c r="AG1714" s="133"/>
      <c r="AH1714" s="133"/>
      <c r="AI1714" s="133"/>
      <c r="AJ1714" s="133"/>
      <c r="AK1714" s="133"/>
      <c r="AL1714" s="133"/>
      <c r="AM1714" s="133"/>
      <c r="AN1714" s="133"/>
      <c r="AO1714" s="133"/>
      <c r="AP1714" s="133"/>
      <c r="AQ1714" s="133"/>
      <c r="AR1714" s="133"/>
      <c r="AS1714" s="153">
        <v>0</v>
      </c>
      <c r="AT1714" s="153">
        <v>0</v>
      </c>
      <c r="AU1714" s="153">
        <v>0</v>
      </c>
      <c r="AV1714" s="135"/>
      <c r="AW1714" s="135"/>
      <c r="AX1714" s="135"/>
      <c r="AY1714" s="135"/>
      <c r="AZ1714" s="135"/>
      <c r="BA1714" s="135"/>
      <c r="BB1714" s="135"/>
      <c r="BC1714" s="135"/>
      <c r="BD1714" s="135"/>
      <c r="BE1714" s="135"/>
      <c r="BF1714" s="135"/>
      <c r="BG1714" s="135"/>
      <c r="BH1714" s="135"/>
      <c r="BI1714" s="2"/>
      <c r="BJ1714" s="136"/>
      <c r="BK1714" s="2"/>
      <c r="BL1714" s="136"/>
      <c r="BM1714" s="136"/>
      <c r="BN1714" s="2"/>
      <c r="BO1714" s="2"/>
      <c r="BP1714" s="136"/>
      <c r="BQ1714" s="137"/>
    </row>
    <row r="1715" spans="1:69" ht="12.75" customHeight="1" x14ac:dyDescent="0.2">
      <c r="A1715" s="2">
        <v>3204</v>
      </c>
      <c r="B1715" s="2"/>
      <c r="C1715" s="2"/>
      <c r="D1715" s="2"/>
      <c r="E1715" s="2"/>
      <c r="F1715" s="132">
        <v>0</v>
      </c>
      <c r="G1715" s="132"/>
      <c r="H1715" s="132">
        <f t="shared" si="199"/>
        <v>0</v>
      </c>
      <c r="I1715" s="132"/>
      <c r="J1715" s="132">
        <f t="shared" si="197"/>
        <v>0</v>
      </c>
      <c r="K1715" s="132">
        <f t="shared" si="193"/>
        <v>0</v>
      </c>
      <c r="L1715" s="132">
        <f t="shared" si="194"/>
        <v>0</v>
      </c>
      <c r="M1715" s="133"/>
      <c r="N1715" s="133">
        <f t="shared" si="198"/>
        <v>0</v>
      </c>
      <c r="O1715" s="134"/>
      <c r="P1715" s="133"/>
      <c r="Q1715" s="2"/>
      <c r="R1715" s="156">
        <f t="shared" si="195"/>
        <v>0</v>
      </c>
      <c r="S1715" s="156">
        <f t="shared" si="196"/>
        <v>0</v>
      </c>
      <c r="T1715" s="133"/>
      <c r="U1715" s="133"/>
      <c r="V1715" s="133"/>
      <c r="W1715" s="133"/>
      <c r="X1715" s="133"/>
      <c r="Y1715" s="133"/>
      <c r="Z1715" s="133"/>
      <c r="AA1715" s="133"/>
      <c r="AB1715" s="133"/>
      <c r="AC1715" s="133"/>
      <c r="AD1715" s="133"/>
      <c r="AE1715" s="133"/>
      <c r="AF1715" s="133"/>
      <c r="AG1715" s="133"/>
      <c r="AH1715" s="133"/>
      <c r="AI1715" s="133"/>
      <c r="AJ1715" s="133"/>
      <c r="AK1715" s="133"/>
      <c r="AL1715" s="133"/>
      <c r="AM1715" s="133"/>
      <c r="AN1715" s="133"/>
      <c r="AO1715" s="133"/>
      <c r="AP1715" s="133"/>
      <c r="AQ1715" s="133"/>
      <c r="AR1715" s="133"/>
      <c r="AS1715" s="153">
        <v>0</v>
      </c>
      <c r="AT1715" s="153">
        <v>0</v>
      </c>
      <c r="AU1715" s="153">
        <v>0</v>
      </c>
      <c r="AV1715" s="135"/>
      <c r="AW1715" s="135"/>
      <c r="AX1715" s="135"/>
      <c r="AY1715" s="135"/>
      <c r="AZ1715" s="135"/>
      <c r="BA1715" s="135"/>
      <c r="BB1715" s="135"/>
      <c r="BC1715" s="135"/>
      <c r="BD1715" s="135"/>
      <c r="BE1715" s="135"/>
      <c r="BF1715" s="135"/>
      <c r="BG1715" s="135"/>
      <c r="BH1715" s="135"/>
      <c r="BI1715" s="2"/>
      <c r="BJ1715" s="136"/>
      <c r="BK1715" s="2"/>
      <c r="BL1715" s="136"/>
      <c r="BM1715" s="136"/>
      <c r="BN1715" s="2"/>
      <c r="BO1715" s="2"/>
      <c r="BP1715" s="136"/>
      <c r="BQ1715" s="137"/>
    </row>
    <row r="1716" spans="1:69" ht="12.75" customHeight="1" x14ac:dyDescent="0.2">
      <c r="A1716" s="2">
        <v>3205</v>
      </c>
      <c r="B1716" s="2"/>
      <c r="C1716" s="2"/>
      <c r="D1716" s="2"/>
      <c r="E1716" s="2"/>
      <c r="F1716" s="132">
        <v>0</v>
      </c>
      <c r="G1716" s="132"/>
      <c r="H1716" s="132">
        <f t="shared" si="199"/>
        <v>0</v>
      </c>
      <c r="I1716" s="132"/>
      <c r="J1716" s="132">
        <f t="shared" si="197"/>
        <v>0</v>
      </c>
      <c r="K1716" s="132">
        <f t="shared" si="193"/>
        <v>0</v>
      </c>
      <c r="L1716" s="132">
        <f t="shared" si="194"/>
        <v>0</v>
      </c>
      <c r="M1716" s="133"/>
      <c r="N1716" s="133">
        <f t="shared" si="198"/>
        <v>0</v>
      </c>
      <c r="O1716" s="134"/>
      <c r="P1716" s="133"/>
      <c r="Q1716" s="2"/>
      <c r="R1716" s="156">
        <f t="shared" si="195"/>
        <v>0</v>
      </c>
      <c r="S1716" s="156">
        <f t="shared" si="196"/>
        <v>0</v>
      </c>
      <c r="T1716" s="133"/>
      <c r="U1716" s="133"/>
      <c r="V1716" s="133"/>
      <c r="W1716" s="133"/>
      <c r="X1716" s="133"/>
      <c r="Y1716" s="133"/>
      <c r="Z1716" s="133"/>
      <c r="AA1716" s="133"/>
      <c r="AB1716" s="133"/>
      <c r="AC1716" s="133"/>
      <c r="AD1716" s="133"/>
      <c r="AE1716" s="133"/>
      <c r="AF1716" s="133"/>
      <c r="AG1716" s="133"/>
      <c r="AH1716" s="133"/>
      <c r="AI1716" s="133"/>
      <c r="AJ1716" s="133"/>
      <c r="AK1716" s="133"/>
      <c r="AL1716" s="133"/>
      <c r="AM1716" s="133"/>
      <c r="AN1716" s="133"/>
      <c r="AO1716" s="133"/>
      <c r="AP1716" s="133"/>
      <c r="AQ1716" s="133"/>
      <c r="AR1716" s="133"/>
      <c r="AS1716" s="153">
        <v>0</v>
      </c>
      <c r="AT1716" s="153">
        <v>0</v>
      </c>
      <c r="AU1716" s="153">
        <v>0</v>
      </c>
      <c r="AV1716" s="135"/>
      <c r="AW1716" s="135"/>
      <c r="AX1716" s="135"/>
      <c r="AY1716" s="135"/>
      <c r="AZ1716" s="135"/>
      <c r="BA1716" s="135"/>
      <c r="BB1716" s="135"/>
      <c r="BC1716" s="135"/>
      <c r="BD1716" s="135"/>
      <c r="BE1716" s="135"/>
      <c r="BF1716" s="135"/>
      <c r="BG1716" s="135"/>
      <c r="BH1716" s="135"/>
      <c r="BI1716" s="2"/>
      <c r="BJ1716" s="136"/>
      <c r="BK1716" s="2"/>
      <c r="BL1716" s="136"/>
      <c r="BM1716" s="136"/>
      <c r="BN1716" s="2"/>
      <c r="BO1716" s="2"/>
      <c r="BP1716" s="136"/>
      <c r="BQ1716" s="137"/>
    </row>
    <row r="1717" spans="1:69" ht="12.75" customHeight="1" x14ac:dyDescent="0.2">
      <c r="A1717" s="2">
        <v>3206</v>
      </c>
      <c r="B1717" s="2"/>
      <c r="C1717" s="2"/>
      <c r="D1717" s="2"/>
      <c r="E1717" s="2"/>
      <c r="F1717" s="132">
        <v>0</v>
      </c>
      <c r="G1717" s="132"/>
      <c r="H1717" s="132">
        <f t="shared" si="199"/>
        <v>0</v>
      </c>
      <c r="I1717" s="132"/>
      <c r="J1717" s="132">
        <f t="shared" si="197"/>
        <v>0</v>
      </c>
      <c r="K1717" s="132">
        <f t="shared" si="193"/>
        <v>0</v>
      </c>
      <c r="L1717" s="132">
        <f t="shared" si="194"/>
        <v>0</v>
      </c>
      <c r="M1717" s="133"/>
      <c r="N1717" s="133">
        <f t="shared" si="198"/>
        <v>0</v>
      </c>
      <c r="O1717" s="134"/>
      <c r="P1717" s="133"/>
      <c r="Q1717" s="2"/>
      <c r="R1717" s="156">
        <f t="shared" si="195"/>
        <v>0</v>
      </c>
      <c r="S1717" s="156">
        <f t="shared" si="196"/>
        <v>0</v>
      </c>
      <c r="T1717" s="133"/>
      <c r="U1717" s="133"/>
      <c r="V1717" s="133"/>
      <c r="W1717" s="133"/>
      <c r="X1717" s="133"/>
      <c r="Y1717" s="133"/>
      <c r="Z1717" s="133"/>
      <c r="AA1717" s="133"/>
      <c r="AB1717" s="133"/>
      <c r="AC1717" s="133"/>
      <c r="AD1717" s="133"/>
      <c r="AE1717" s="133"/>
      <c r="AF1717" s="133"/>
      <c r="AG1717" s="133"/>
      <c r="AH1717" s="133"/>
      <c r="AI1717" s="133"/>
      <c r="AJ1717" s="133"/>
      <c r="AK1717" s="133"/>
      <c r="AL1717" s="133"/>
      <c r="AM1717" s="133"/>
      <c r="AN1717" s="133"/>
      <c r="AO1717" s="133"/>
      <c r="AP1717" s="133"/>
      <c r="AQ1717" s="133"/>
      <c r="AR1717" s="133"/>
      <c r="AS1717" s="153">
        <v>0</v>
      </c>
      <c r="AT1717" s="153">
        <v>0</v>
      </c>
      <c r="AU1717" s="153">
        <v>0</v>
      </c>
      <c r="AV1717" s="135"/>
      <c r="AW1717" s="135"/>
      <c r="AX1717" s="135"/>
      <c r="AY1717" s="135"/>
      <c r="AZ1717" s="135"/>
      <c r="BA1717" s="135"/>
      <c r="BB1717" s="135"/>
      <c r="BC1717" s="135"/>
      <c r="BD1717" s="135"/>
      <c r="BE1717" s="135"/>
      <c r="BF1717" s="135"/>
      <c r="BG1717" s="135"/>
      <c r="BH1717" s="135"/>
      <c r="BI1717" s="2"/>
      <c r="BJ1717" s="136"/>
      <c r="BK1717" s="2"/>
      <c r="BL1717" s="136"/>
      <c r="BM1717" s="136"/>
      <c r="BN1717" s="2"/>
      <c r="BO1717" s="2"/>
      <c r="BP1717" s="136"/>
      <c r="BQ1717" s="137"/>
    </row>
    <row r="1718" spans="1:69" ht="12.75" customHeight="1" x14ac:dyDescent="0.2">
      <c r="A1718" s="2">
        <v>3207</v>
      </c>
      <c r="B1718" s="2"/>
      <c r="C1718" s="2"/>
      <c r="D1718" s="2"/>
      <c r="E1718" s="2"/>
      <c r="F1718" s="132">
        <v>0</v>
      </c>
      <c r="G1718" s="132"/>
      <c r="H1718" s="132">
        <f t="shared" si="199"/>
        <v>0</v>
      </c>
      <c r="I1718" s="132"/>
      <c r="J1718" s="132">
        <f t="shared" si="197"/>
        <v>0</v>
      </c>
      <c r="K1718" s="132">
        <f t="shared" ref="K1718:K1781" si="200">F1718-J1718</f>
        <v>0</v>
      </c>
      <c r="L1718" s="132">
        <f t="shared" si="194"/>
        <v>0</v>
      </c>
      <c r="M1718" s="133"/>
      <c r="N1718" s="133">
        <f t="shared" si="198"/>
        <v>0</v>
      </c>
      <c r="O1718" s="134"/>
      <c r="P1718" s="133"/>
      <c r="Q1718" s="2"/>
      <c r="R1718" s="156">
        <f t="shared" si="195"/>
        <v>0</v>
      </c>
      <c r="S1718" s="156">
        <f t="shared" si="196"/>
        <v>0</v>
      </c>
      <c r="T1718" s="133"/>
      <c r="U1718" s="133"/>
      <c r="V1718" s="133"/>
      <c r="W1718" s="133"/>
      <c r="X1718" s="133"/>
      <c r="Y1718" s="133"/>
      <c r="Z1718" s="133"/>
      <c r="AA1718" s="133"/>
      <c r="AB1718" s="133"/>
      <c r="AC1718" s="133"/>
      <c r="AD1718" s="133"/>
      <c r="AE1718" s="133"/>
      <c r="AF1718" s="133"/>
      <c r="AG1718" s="133"/>
      <c r="AH1718" s="133"/>
      <c r="AI1718" s="133"/>
      <c r="AJ1718" s="133"/>
      <c r="AK1718" s="133"/>
      <c r="AL1718" s="133"/>
      <c r="AM1718" s="133"/>
      <c r="AN1718" s="133"/>
      <c r="AO1718" s="133"/>
      <c r="AP1718" s="133"/>
      <c r="AQ1718" s="133"/>
      <c r="AR1718" s="133"/>
      <c r="AS1718" s="153">
        <v>0</v>
      </c>
      <c r="AT1718" s="153">
        <v>0</v>
      </c>
      <c r="AU1718" s="153">
        <v>0</v>
      </c>
      <c r="AV1718" s="135"/>
      <c r="AW1718" s="135"/>
      <c r="AX1718" s="135"/>
      <c r="AY1718" s="135"/>
      <c r="AZ1718" s="135"/>
      <c r="BA1718" s="135"/>
      <c r="BB1718" s="135"/>
      <c r="BC1718" s="135"/>
      <c r="BD1718" s="135"/>
      <c r="BE1718" s="135"/>
      <c r="BF1718" s="135"/>
      <c r="BG1718" s="135"/>
      <c r="BH1718" s="135"/>
      <c r="BI1718" s="2"/>
      <c r="BJ1718" s="136"/>
      <c r="BK1718" s="2"/>
      <c r="BL1718" s="136"/>
      <c r="BM1718" s="136"/>
      <c r="BN1718" s="2"/>
      <c r="BO1718" s="2"/>
      <c r="BP1718" s="136"/>
      <c r="BQ1718" s="137"/>
    </row>
    <row r="1719" spans="1:69" ht="12.75" customHeight="1" x14ac:dyDescent="0.2">
      <c r="A1719" s="2">
        <v>3208</v>
      </c>
      <c r="B1719" s="2"/>
      <c r="C1719" s="2"/>
      <c r="D1719" s="2"/>
      <c r="E1719" s="2"/>
      <c r="F1719" s="132">
        <v>0</v>
      </c>
      <c r="G1719" s="132"/>
      <c r="H1719" s="132">
        <f t="shared" si="199"/>
        <v>0</v>
      </c>
      <c r="I1719" s="132"/>
      <c r="J1719" s="132">
        <f t="shared" si="197"/>
        <v>0</v>
      </c>
      <c r="K1719" s="132">
        <f t="shared" si="200"/>
        <v>0</v>
      </c>
      <c r="L1719" s="132">
        <f t="shared" si="194"/>
        <v>0</v>
      </c>
      <c r="M1719" s="133"/>
      <c r="N1719" s="133">
        <f t="shared" si="198"/>
        <v>0</v>
      </c>
      <c r="O1719" s="134"/>
      <c r="P1719" s="133"/>
      <c r="Q1719" s="2"/>
      <c r="R1719" s="156">
        <f t="shared" si="195"/>
        <v>0</v>
      </c>
      <c r="S1719" s="156">
        <f t="shared" si="196"/>
        <v>0</v>
      </c>
      <c r="T1719" s="133"/>
      <c r="U1719" s="133"/>
      <c r="V1719" s="133"/>
      <c r="W1719" s="133"/>
      <c r="X1719" s="133"/>
      <c r="Y1719" s="133"/>
      <c r="Z1719" s="133"/>
      <c r="AA1719" s="133"/>
      <c r="AB1719" s="133"/>
      <c r="AC1719" s="133"/>
      <c r="AD1719" s="133"/>
      <c r="AE1719" s="133"/>
      <c r="AF1719" s="133"/>
      <c r="AG1719" s="133"/>
      <c r="AH1719" s="133"/>
      <c r="AI1719" s="133"/>
      <c r="AJ1719" s="133"/>
      <c r="AK1719" s="133"/>
      <c r="AL1719" s="133"/>
      <c r="AM1719" s="133"/>
      <c r="AN1719" s="133"/>
      <c r="AO1719" s="133"/>
      <c r="AP1719" s="133"/>
      <c r="AQ1719" s="133"/>
      <c r="AR1719" s="133"/>
      <c r="AS1719" s="153">
        <v>0</v>
      </c>
      <c r="AT1719" s="153">
        <v>0</v>
      </c>
      <c r="AU1719" s="153">
        <v>0</v>
      </c>
      <c r="AV1719" s="135"/>
      <c r="AW1719" s="135"/>
      <c r="AX1719" s="135"/>
      <c r="AY1719" s="135"/>
      <c r="AZ1719" s="135"/>
      <c r="BA1719" s="135"/>
      <c r="BB1719" s="135"/>
      <c r="BC1719" s="135"/>
      <c r="BD1719" s="135"/>
      <c r="BE1719" s="135"/>
      <c r="BF1719" s="135"/>
      <c r="BG1719" s="135"/>
      <c r="BH1719" s="135"/>
      <c r="BI1719" s="2"/>
      <c r="BJ1719" s="136"/>
      <c r="BK1719" s="2"/>
      <c r="BL1719" s="136"/>
      <c r="BM1719" s="136"/>
      <c r="BN1719" s="2"/>
      <c r="BO1719" s="2"/>
      <c r="BP1719" s="136"/>
      <c r="BQ1719" s="137"/>
    </row>
    <row r="1720" spans="1:69" ht="12.75" customHeight="1" x14ac:dyDescent="0.2">
      <c r="A1720" s="2">
        <v>3209</v>
      </c>
      <c r="B1720" s="2"/>
      <c r="C1720" s="2"/>
      <c r="D1720" s="2"/>
      <c r="E1720" s="2"/>
      <c r="F1720" s="132">
        <v>0</v>
      </c>
      <c r="G1720" s="132"/>
      <c r="H1720" s="132">
        <f t="shared" si="199"/>
        <v>0</v>
      </c>
      <c r="I1720" s="132"/>
      <c r="J1720" s="132">
        <f t="shared" si="197"/>
        <v>0</v>
      </c>
      <c r="K1720" s="132">
        <f t="shared" si="200"/>
        <v>0</v>
      </c>
      <c r="L1720" s="132">
        <f t="shared" si="194"/>
        <v>0</v>
      </c>
      <c r="M1720" s="133"/>
      <c r="N1720" s="133">
        <f t="shared" si="198"/>
        <v>0</v>
      </c>
      <c r="O1720" s="134"/>
      <c r="P1720" s="133"/>
      <c r="Q1720" s="2"/>
      <c r="R1720" s="156">
        <f t="shared" si="195"/>
        <v>0</v>
      </c>
      <c r="S1720" s="156">
        <f t="shared" si="196"/>
        <v>0</v>
      </c>
      <c r="T1720" s="133"/>
      <c r="U1720" s="133"/>
      <c r="V1720" s="133"/>
      <c r="W1720" s="133"/>
      <c r="X1720" s="133"/>
      <c r="Y1720" s="133"/>
      <c r="Z1720" s="133"/>
      <c r="AA1720" s="133"/>
      <c r="AB1720" s="133"/>
      <c r="AC1720" s="133"/>
      <c r="AD1720" s="133"/>
      <c r="AE1720" s="133"/>
      <c r="AF1720" s="133"/>
      <c r="AG1720" s="133"/>
      <c r="AH1720" s="133"/>
      <c r="AI1720" s="133"/>
      <c r="AJ1720" s="133"/>
      <c r="AK1720" s="133"/>
      <c r="AL1720" s="133"/>
      <c r="AM1720" s="133"/>
      <c r="AN1720" s="133"/>
      <c r="AO1720" s="133"/>
      <c r="AP1720" s="133"/>
      <c r="AQ1720" s="133"/>
      <c r="AR1720" s="133"/>
      <c r="AS1720" s="153">
        <v>0</v>
      </c>
      <c r="AT1720" s="153">
        <v>0</v>
      </c>
      <c r="AU1720" s="153">
        <v>0</v>
      </c>
      <c r="AV1720" s="135"/>
      <c r="AW1720" s="135"/>
      <c r="AX1720" s="135"/>
      <c r="AY1720" s="135"/>
      <c r="AZ1720" s="135"/>
      <c r="BA1720" s="135"/>
      <c r="BB1720" s="135"/>
      <c r="BC1720" s="135"/>
      <c r="BD1720" s="135"/>
      <c r="BE1720" s="135"/>
      <c r="BF1720" s="135"/>
      <c r="BG1720" s="135"/>
      <c r="BH1720" s="135"/>
      <c r="BI1720" s="2"/>
      <c r="BJ1720" s="136"/>
      <c r="BK1720" s="2"/>
      <c r="BL1720" s="136"/>
      <c r="BM1720" s="136"/>
      <c r="BN1720" s="2"/>
      <c r="BO1720" s="2"/>
      <c r="BP1720" s="136"/>
      <c r="BQ1720" s="137"/>
    </row>
    <row r="1721" spans="1:69" ht="12.75" customHeight="1" x14ac:dyDescent="0.2">
      <c r="A1721" s="2">
        <v>3210</v>
      </c>
      <c r="B1721" s="2"/>
      <c r="C1721" s="2"/>
      <c r="D1721" s="2"/>
      <c r="E1721" s="2"/>
      <c r="F1721" s="132">
        <v>0</v>
      </c>
      <c r="G1721" s="132"/>
      <c r="H1721" s="132">
        <f t="shared" si="199"/>
        <v>0</v>
      </c>
      <c r="I1721" s="132"/>
      <c r="J1721" s="132">
        <f t="shared" si="197"/>
        <v>0</v>
      </c>
      <c r="K1721" s="132">
        <f t="shared" si="200"/>
        <v>0</v>
      </c>
      <c r="L1721" s="132">
        <f t="shared" si="194"/>
        <v>0</v>
      </c>
      <c r="M1721" s="133"/>
      <c r="N1721" s="133">
        <f t="shared" si="198"/>
        <v>0</v>
      </c>
      <c r="O1721" s="134"/>
      <c r="P1721" s="133"/>
      <c r="Q1721" s="2"/>
      <c r="R1721" s="156">
        <f t="shared" si="195"/>
        <v>0</v>
      </c>
      <c r="S1721" s="156">
        <f t="shared" si="196"/>
        <v>0</v>
      </c>
      <c r="T1721" s="133"/>
      <c r="U1721" s="133"/>
      <c r="V1721" s="133"/>
      <c r="W1721" s="133"/>
      <c r="X1721" s="133"/>
      <c r="Y1721" s="133"/>
      <c r="Z1721" s="133"/>
      <c r="AA1721" s="133"/>
      <c r="AB1721" s="133"/>
      <c r="AC1721" s="133"/>
      <c r="AD1721" s="133"/>
      <c r="AE1721" s="133"/>
      <c r="AF1721" s="133"/>
      <c r="AG1721" s="133"/>
      <c r="AH1721" s="133"/>
      <c r="AI1721" s="133"/>
      <c r="AJ1721" s="133"/>
      <c r="AK1721" s="133"/>
      <c r="AL1721" s="133"/>
      <c r="AM1721" s="133"/>
      <c r="AN1721" s="133"/>
      <c r="AO1721" s="133"/>
      <c r="AP1721" s="133"/>
      <c r="AQ1721" s="133"/>
      <c r="AR1721" s="133"/>
      <c r="AS1721" s="153">
        <v>0</v>
      </c>
      <c r="AT1721" s="153">
        <v>0</v>
      </c>
      <c r="AU1721" s="153">
        <v>0</v>
      </c>
      <c r="AV1721" s="135"/>
      <c r="AW1721" s="135"/>
      <c r="AX1721" s="135"/>
      <c r="AY1721" s="135"/>
      <c r="AZ1721" s="135"/>
      <c r="BA1721" s="135"/>
      <c r="BB1721" s="135"/>
      <c r="BC1721" s="135"/>
      <c r="BD1721" s="135"/>
      <c r="BE1721" s="135"/>
      <c r="BF1721" s="135"/>
      <c r="BG1721" s="135"/>
      <c r="BH1721" s="135"/>
      <c r="BI1721" s="2"/>
      <c r="BJ1721" s="136"/>
      <c r="BK1721" s="2"/>
      <c r="BL1721" s="136"/>
      <c r="BM1721" s="136"/>
      <c r="BN1721" s="2"/>
      <c r="BO1721" s="2"/>
      <c r="BP1721" s="136"/>
      <c r="BQ1721" s="137"/>
    </row>
    <row r="1722" spans="1:69" ht="12.75" customHeight="1" x14ac:dyDescent="0.2">
      <c r="A1722" s="2">
        <v>3211</v>
      </c>
      <c r="B1722" s="2"/>
      <c r="C1722" s="2"/>
      <c r="D1722" s="2"/>
      <c r="E1722" s="2"/>
      <c r="F1722" s="132">
        <v>0</v>
      </c>
      <c r="G1722" s="132"/>
      <c r="H1722" s="132">
        <f t="shared" si="199"/>
        <v>0</v>
      </c>
      <c r="I1722" s="132"/>
      <c r="J1722" s="132">
        <f t="shared" si="197"/>
        <v>0</v>
      </c>
      <c r="K1722" s="132">
        <f t="shared" si="200"/>
        <v>0</v>
      </c>
      <c r="L1722" s="132">
        <f t="shared" si="194"/>
        <v>0</v>
      </c>
      <c r="M1722" s="133"/>
      <c r="N1722" s="133">
        <f t="shared" si="198"/>
        <v>0</v>
      </c>
      <c r="O1722" s="134"/>
      <c r="P1722" s="133"/>
      <c r="Q1722" s="2"/>
      <c r="R1722" s="156">
        <f t="shared" si="195"/>
        <v>0</v>
      </c>
      <c r="S1722" s="156">
        <f t="shared" si="196"/>
        <v>0</v>
      </c>
      <c r="T1722" s="133"/>
      <c r="U1722" s="133"/>
      <c r="V1722" s="133"/>
      <c r="W1722" s="133"/>
      <c r="X1722" s="133"/>
      <c r="Y1722" s="133"/>
      <c r="Z1722" s="133"/>
      <c r="AA1722" s="133"/>
      <c r="AB1722" s="133"/>
      <c r="AC1722" s="133"/>
      <c r="AD1722" s="133"/>
      <c r="AE1722" s="133"/>
      <c r="AF1722" s="133"/>
      <c r="AG1722" s="133"/>
      <c r="AH1722" s="133"/>
      <c r="AI1722" s="133"/>
      <c r="AJ1722" s="133"/>
      <c r="AK1722" s="133"/>
      <c r="AL1722" s="133"/>
      <c r="AM1722" s="133"/>
      <c r="AN1722" s="133"/>
      <c r="AO1722" s="133"/>
      <c r="AP1722" s="133"/>
      <c r="AQ1722" s="133"/>
      <c r="AR1722" s="133"/>
      <c r="AS1722" s="153">
        <v>0</v>
      </c>
      <c r="AT1722" s="153">
        <v>0</v>
      </c>
      <c r="AU1722" s="153">
        <v>0</v>
      </c>
      <c r="AV1722" s="135"/>
      <c r="AW1722" s="135"/>
      <c r="AX1722" s="135"/>
      <c r="AY1722" s="135"/>
      <c r="AZ1722" s="135"/>
      <c r="BA1722" s="135"/>
      <c r="BB1722" s="135"/>
      <c r="BC1722" s="135"/>
      <c r="BD1722" s="135"/>
      <c r="BE1722" s="135"/>
      <c r="BF1722" s="135"/>
      <c r="BG1722" s="135"/>
      <c r="BH1722" s="135"/>
      <c r="BI1722" s="2"/>
      <c r="BJ1722" s="136"/>
      <c r="BK1722" s="2"/>
      <c r="BL1722" s="136"/>
      <c r="BM1722" s="136"/>
      <c r="BN1722" s="2"/>
      <c r="BO1722" s="2"/>
      <c r="BP1722" s="136"/>
      <c r="BQ1722" s="137"/>
    </row>
    <row r="1723" spans="1:69" ht="12.75" customHeight="1" x14ac:dyDescent="0.2">
      <c r="A1723" s="2">
        <v>3212</v>
      </c>
      <c r="B1723" s="2"/>
      <c r="C1723" s="2"/>
      <c r="D1723" s="2"/>
      <c r="E1723" s="2"/>
      <c r="F1723" s="132">
        <v>0</v>
      </c>
      <c r="G1723" s="132"/>
      <c r="H1723" s="132">
        <f t="shared" si="199"/>
        <v>0</v>
      </c>
      <c r="I1723" s="132"/>
      <c r="J1723" s="132">
        <f t="shared" si="197"/>
        <v>0</v>
      </c>
      <c r="K1723" s="132">
        <f t="shared" si="200"/>
        <v>0</v>
      </c>
      <c r="L1723" s="132">
        <f t="shared" si="194"/>
        <v>0</v>
      </c>
      <c r="M1723" s="133"/>
      <c r="N1723" s="133">
        <f t="shared" si="198"/>
        <v>0</v>
      </c>
      <c r="O1723" s="134"/>
      <c r="P1723" s="133"/>
      <c r="Q1723" s="2"/>
      <c r="R1723" s="156">
        <f t="shared" si="195"/>
        <v>0</v>
      </c>
      <c r="S1723" s="156">
        <f t="shared" si="196"/>
        <v>0</v>
      </c>
      <c r="T1723" s="133"/>
      <c r="U1723" s="133"/>
      <c r="V1723" s="133"/>
      <c r="W1723" s="133"/>
      <c r="X1723" s="133"/>
      <c r="Y1723" s="133"/>
      <c r="Z1723" s="133"/>
      <c r="AA1723" s="133"/>
      <c r="AB1723" s="133"/>
      <c r="AC1723" s="133"/>
      <c r="AD1723" s="133"/>
      <c r="AE1723" s="133"/>
      <c r="AF1723" s="133"/>
      <c r="AG1723" s="133"/>
      <c r="AH1723" s="133"/>
      <c r="AI1723" s="133"/>
      <c r="AJ1723" s="133"/>
      <c r="AK1723" s="133"/>
      <c r="AL1723" s="133"/>
      <c r="AM1723" s="133"/>
      <c r="AN1723" s="133"/>
      <c r="AO1723" s="133"/>
      <c r="AP1723" s="133"/>
      <c r="AQ1723" s="133"/>
      <c r="AR1723" s="133"/>
      <c r="AS1723" s="153">
        <v>0</v>
      </c>
      <c r="AT1723" s="153">
        <v>0</v>
      </c>
      <c r="AU1723" s="153">
        <v>0</v>
      </c>
      <c r="AV1723" s="135"/>
      <c r="AW1723" s="135"/>
      <c r="AX1723" s="135"/>
      <c r="AY1723" s="135"/>
      <c r="AZ1723" s="135"/>
      <c r="BA1723" s="135"/>
      <c r="BB1723" s="135"/>
      <c r="BC1723" s="135"/>
      <c r="BD1723" s="135"/>
      <c r="BE1723" s="135"/>
      <c r="BF1723" s="135"/>
      <c r="BG1723" s="135"/>
      <c r="BH1723" s="135"/>
      <c r="BI1723" s="2"/>
      <c r="BJ1723" s="136"/>
      <c r="BK1723" s="2"/>
      <c r="BL1723" s="136"/>
      <c r="BM1723" s="136"/>
      <c r="BN1723" s="2"/>
      <c r="BO1723" s="2"/>
      <c r="BP1723" s="136"/>
      <c r="BQ1723" s="137"/>
    </row>
    <row r="1724" spans="1:69" ht="12.75" customHeight="1" x14ac:dyDescent="0.2">
      <c r="A1724" s="2">
        <v>3213</v>
      </c>
      <c r="B1724" s="2"/>
      <c r="C1724" s="2"/>
      <c r="D1724" s="2"/>
      <c r="E1724" s="2"/>
      <c r="F1724" s="132">
        <v>0</v>
      </c>
      <c r="G1724" s="132"/>
      <c r="H1724" s="132">
        <f t="shared" si="199"/>
        <v>0</v>
      </c>
      <c r="I1724" s="132"/>
      <c r="J1724" s="132">
        <f t="shared" si="197"/>
        <v>0</v>
      </c>
      <c r="K1724" s="132">
        <f t="shared" si="200"/>
        <v>0</v>
      </c>
      <c r="L1724" s="132">
        <f t="shared" si="194"/>
        <v>0</v>
      </c>
      <c r="M1724" s="133"/>
      <c r="N1724" s="133">
        <f t="shared" si="198"/>
        <v>0</v>
      </c>
      <c r="O1724" s="134"/>
      <c r="P1724" s="133"/>
      <c r="Q1724" s="2"/>
      <c r="R1724" s="156">
        <f t="shared" si="195"/>
        <v>0</v>
      </c>
      <c r="S1724" s="156">
        <f t="shared" si="196"/>
        <v>0</v>
      </c>
      <c r="T1724" s="133"/>
      <c r="U1724" s="133"/>
      <c r="V1724" s="133"/>
      <c r="W1724" s="133"/>
      <c r="X1724" s="133"/>
      <c r="Y1724" s="133"/>
      <c r="Z1724" s="133"/>
      <c r="AA1724" s="133"/>
      <c r="AB1724" s="133"/>
      <c r="AC1724" s="133"/>
      <c r="AD1724" s="133"/>
      <c r="AE1724" s="133"/>
      <c r="AF1724" s="133"/>
      <c r="AG1724" s="133"/>
      <c r="AH1724" s="133"/>
      <c r="AI1724" s="133"/>
      <c r="AJ1724" s="133"/>
      <c r="AK1724" s="133"/>
      <c r="AL1724" s="133"/>
      <c r="AM1724" s="133"/>
      <c r="AN1724" s="133"/>
      <c r="AO1724" s="133"/>
      <c r="AP1724" s="133"/>
      <c r="AQ1724" s="133"/>
      <c r="AR1724" s="133"/>
      <c r="AS1724" s="153">
        <v>0</v>
      </c>
      <c r="AT1724" s="153">
        <v>0</v>
      </c>
      <c r="AU1724" s="153">
        <v>0</v>
      </c>
      <c r="AV1724" s="135"/>
      <c r="AW1724" s="135"/>
      <c r="AX1724" s="135"/>
      <c r="AY1724" s="135"/>
      <c r="AZ1724" s="135"/>
      <c r="BA1724" s="135"/>
      <c r="BB1724" s="135"/>
      <c r="BC1724" s="135"/>
      <c r="BD1724" s="135"/>
      <c r="BE1724" s="135"/>
      <c r="BF1724" s="135"/>
      <c r="BG1724" s="135"/>
      <c r="BH1724" s="135"/>
      <c r="BI1724" s="2"/>
      <c r="BJ1724" s="136"/>
      <c r="BK1724" s="2"/>
      <c r="BL1724" s="136"/>
      <c r="BM1724" s="136"/>
      <c r="BN1724" s="2"/>
      <c r="BO1724" s="2"/>
      <c r="BP1724" s="136"/>
      <c r="BQ1724" s="137"/>
    </row>
    <row r="1725" spans="1:69" ht="12.75" customHeight="1" x14ac:dyDescent="0.2">
      <c r="A1725" s="2">
        <v>3214</v>
      </c>
      <c r="B1725" s="2"/>
      <c r="C1725" s="2"/>
      <c r="D1725" s="2"/>
      <c r="E1725" s="2"/>
      <c r="F1725" s="132">
        <v>0</v>
      </c>
      <c r="G1725" s="132"/>
      <c r="H1725" s="132">
        <f t="shared" si="199"/>
        <v>0</v>
      </c>
      <c r="I1725" s="132"/>
      <c r="J1725" s="132">
        <f t="shared" si="197"/>
        <v>0</v>
      </c>
      <c r="K1725" s="132">
        <f t="shared" si="200"/>
        <v>0</v>
      </c>
      <c r="L1725" s="132">
        <f t="shared" si="194"/>
        <v>0</v>
      </c>
      <c r="M1725" s="133"/>
      <c r="N1725" s="133">
        <f t="shared" si="198"/>
        <v>0</v>
      </c>
      <c r="O1725" s="134"/>
      <c r="P1725" s="133"/>
      <c r="Q1725" s="2"/>
      <c r="R1725" s="156">
        <f t="shared" si="195"/>
        <v>0</v>
      </c>
      <c r="S1725" s="156">
        <f t="shared" si="196"/>
        <v>0</v>
      </c>
      <c r="T1725" s="133"/>
      <c r="U1725" s="133"/>
      <c r="V1725" s="133"/>
      <c r="W1725" s="133"/>
      <c r="X1725" s="133"/>
      <c r="Y1725" s="133"/>
      <c r="Z1725" s="133"/>
      <c r="AA1725" s="133"/>
      <c r="AB1725" s="133"/>
      <c r="AC1725" s="133"/>
      <c r="AD1725" s="133"/>
      <c r="AE1725" s="133"/>
      <c r="AF1725" s="133"/>
      <c r="AG1725" s="133"/>
      <c r="AH1725" s="133"/>
      <c r="AI1725" s="133"/>
      <c r="AJ1725" s="133"/>
      <c r="AK1725" s="133"/>
      <c r="AL1725" s="133"/>
      <c r="AM1725" s="133"/>
      <c r="AN1725" s="133"/>
      <c r="AO1725" s="133"/>
      <c r="AP1725" s="133"/>
      <c r="AQ1725" s="133"/>
      <c r="AR1725" s="133"/>
      <c r="AS1725" s="153">
        <v>0</v>
      </c>
      <c r="AT1725" s="153">
        <v>0</v>
      </c>
      <c r="AU1725" s="153">
        <v>0</v>
      </c>
      <c r="AV1725" s="135"/>
      <c r="AW1725" s="135"/>
      <c r="AX1725" s="135"/>
      <c r="AY1725" s="135"/>
      <c r="AZ1725" s="135"/>
      <c r="BA1725" s="135"/>
      <c r="BB1725" s="135"/>
      <c r="BC1725" s="135"/>
      <c r="BD1725" s="135"/>
      <c r="BE1725" s="135"/>
      <c r="BF1725" s="135"/>
      <c r="BG1725" s="135"/>
      <c r="BH1725" s="135"/>
      <c r="BI1725" s="2"/>
      <c r="BJ1725" s="136"/>
      <c r="BK1725" s="2"/>
      <c r="BL1725" s="136"/>
      <c r="BM1725" s="136"/>
      <c r="BN1725" s="2"/>
      <c r="BO1725" s="2"/>
      <c r="BP1725" s="136"/>
      <c r="BQ1725" s="137"/>
    </row>
    <row r="1726" spans="1:69" ht="12.75" customHeight="1" x14ac:dyDescent="0.2">
      <c r="A1726" s="2">
        <v>3215</v>
      </c>
      <c r="B1726" s="2"/>
      <c r="C1726" s="2"/>
      <c r="D1726" s="2"/>
      <c r="E1726" s="2"/>
      <c r="F1726" s="132">
        <v>0</v>
      </c>
      <c r="G1726" s="132"/>
      <c r="H1726" s="132">
        <f t="shared" si="199"/>
        <v>0</v>
      </c>
      <c r="I1726" s="132"/>
      <c r="J1726" s="132">
        <f t="shared" si="197"/>
        <v>0</v>
      </c>
      <c r="K1726" s="132">
        <f t="shared" si="200"/>
        <v>0</v>
      </c>
      <c r="L1726" s="132">
        <f t="shared" si="194"/>
        <v>0</v>
      </c>
      <c r="M1726" s="133"/>
      <c r="N1726" s="133">
        <f t="shared" si="198"/>
        <v>0</v>
      </c>
      <c r="O1726" s="134"/>
      <c r="P1726" s="133"/>
      <c r="Q1726" s="2"/>
      <c r="R1726" s="156">
        <f t="shared" si="195"/>
        <v>0</v>
      </c>
      <c r="S1726" s="156">
        <f t="shared" si="196"/>
        <v>0</v>
      </c>
      <c r="T1726" s="133"/>
      <c r="U1726" s="133"/>
      <c r="V1726" s="133"/>
      <c r="W1726" s="133"/>
      <c r="X1726" s="133"/>
      <c r="Y1726" s="133"/>
      <c r="Z1726" s="133"/>
      <c r="AA1726" s="133"/>
      <c r="AB1726" s="133"/>
      <c r="AC1726" s="133"/>
      <c r="AD1726" s="133"/>
      <c r="AE1726" s="133"/>
      <c r="AF1726" s="133"/>
      <c r="AG1726" s="133"/>
      <c r="AH1726" s="133"/>
      <c r="AI1726" s="133"/>
      <c r="AJ1726" s="133"/>
      <c r="AK1726" s="133"/>
      <c r="AL1726" s="133"/>
      <c r="AM1726" s="133"/>
      <c r="AN1726" s="133"/>
      <c r="AO1726" s="133"/>
      <c r="AP1726" s="133"/>
      <c r="AQ1726" s="133"/>
      <c r="AR1726" s="133"/>
      <c r="AS1726" s="153">
        <v>0</v>
      </c>
      <c r="AT1726" s="153">
        <v>0</v>
      </c>
      <c r="AU1726" s="153">
        <v>0</v>
      </c>
      <c r="AV1726" s="135"/>
      <c r="AW1726" s="135"/>
      <c r="AX1726" s="135"/>
      <c r="AY1726" s="135"/>
      <c r="AZ1726" s="135"/>
      <c r="BA1726" s="135"/>
      <c r="BB1726" s="135"/>
      <c r="BC1726" s="135"/>
      <c r="BD1726" s="135"/>
      <c r="BE1726" s="135"/>
      <c r="BF1726" s="135"/>
      <c r="BG1726" s="135"/>
      <c r="BH1726" s="135"/>
      <c r="BI1726" s="2"/>
      <c r="BJ1726" s="136"/>
      <c r="BK1726" s="2"/>
      <c r="BL1726" s="136"/>
      <c r="BM1726" s="136"/>
      <c r="BN1726" s="2"/>
      <c r="BO1726" s="2"/>
      <c r="BP1726" s="136"/>
      <c r="BQ1726" s="137"/>
    </row>
    <row r="1727" spans="1:69" ht="12.75" customHeight="1" x14ac:dyDescent="0.2">
      <c r="A1727" s="2">
        <v>3216</v>
      </c>
      <c r="B1727" s="2"/>
      <c r="C1727" s="2"/>
      <c r="D1727" s="2"/>
      <c r="E1727" s="2"/>
      <c r="F1727" s="132">
        <v>0</v>
      </c>
      <c r="G1727" s="132"/>
      <c r="H1727" s="132">
        <f t="shared" si="199"/>
        <v>0</v>
      </c>
      <c r="I1727" s="132"/>
      <c r="J1727" s="132">
        <f t="shared" si="197"/>
        <v>0</v>
      </c>
      <c r="K1727" s="132">
        <f t="shared" si="200"/>
        <v>0</v>
      </c>
      <c r="L1727" s="132">
        <f t="shared" si="194"/>
        <v>0</v>
      </c>
      <c r="M1727" s="133"/>
      <c r="N1727" s="133">
        <f t="shared" si="198"/>
        <v>0</v>
      </c>
      <c r="O1727" s="134"/>
      <c r="P1727" s="133"/>
      <c r="Q1727" s="2"/>
      <c r="R1727" s="156">
        <f t="shared" si="195"/>
        <v>0</v>
      </c>
      <c r="S1727" s="156">
        <f t="shared" si="196"/>
        <v>0</v>
      </c>
      <c r="T1727" s="133"/>
      <c r="U1727" s="133"/>
      <c r="V1727" s="133"/>
      <c r="W1727" s="133"/>
      <c r="X1727" s="133"/>
      <c r="Y1727" s="133"/>
      <c r="Z1727" s="133"/>
      <c r="AA1727" s="133"/>
      <c r="AB1727" s="133"/>
      <c r="AC1727" s="133"/>
      <c r="AD1727" s="133"/>
      <c r="AE1727" s="133"/>
      <c r="AF1727" s="133"/>
      <c r="AG1727" s="133"/>
      <c r="AH1727" s="133"/>
      <c r="AI1727" s="133"/>
      <c r="AJ1727" s="133"/>
      <c r="AK1727" s="133"/>
      <c r="AL1727" s="133"/>
      <c r="AM1727" s="133"/>
      <c r="AN1727" s="133"/>
      <c r="AO1727" s="133"/>
      <c r="AP1727" s="133"/>
      <c r="AQ1727" s="133"/>
      <c r="AR1727" s="133"/>
      <c r="AS1727" s="153">
        <v>0</v>
      </c>
      <c r="AT1727" s="153">
        <v>0</v>
      </c>
      <c r="AU1727" s="153">
        <v>0</v>
      </c>
      <c r="AV1727" s="135"/>
      <c r="AW1727" s="135"/>
      <c r="AX1727" s="135"/>
      <c r="AY1727" s="135"/>
      <c r="AZ1727" s="135"/>
      <c r="BA1727" s="135"/>
      <c r="BB1727" s="135"/>
      <c r="BC1727" s="135"/>
      <c r="BD1727" s="135"/>
      <c r="BE1727" s="135"/>
      <c r="BF1727" s="135"/>
      <c r="BG1727" s="135"/>
      <c r="BH1727" s="135"/>
      <c r="BI1727" s="2"/>
      <c r="BJ1727" s="136"/>
      <c r="BK1727" s="2"/>
      <c r="BL1727" s="136"/>
      <c r="BM1727" s="136"/>
      <c r="BN1727" s="2"/>
      <c r="BO1727" s="2"/>
      <c r="BP1727" s="136"/>
      <c r="BQ1727" s="137"/>
    </row>
    <row r="1728" spans="1:69" ht="12.75" customHeight="1" x14ac:dyDescent="0.2">
      <c r="A1728" s="2">
        <v>3217</v>
      </c>
      <c r="B1728" s="2"/>
      <c r="C1728" s="2"/>
      <c r="D1728" s="2"/>
      <c r="E1728" s="2"/>
      <c r="F1728" s="132">
        <v>0</v>
      </c>
      <c r="G1728" s="132"/>
      <c r="H1728" s="132">
        <f t="shared" si="199"/>
        <v>0</v>
      </c>
      <c r="I1728" s="132"/>
      <c r="J1728" s="132">
        <f t="shared" si="197"/>
        <v>0</v>
      </c>
      <c r="K1728" s="132">
        <f t="shared" si="200"/>
        <v>0</v>
      </c>
      <c r="L1728" s="132">
        <f t="shared" si="194"/>
        <v>0</v>
      </c>
      <c r="M1728" s="133"/>
      <c r="N1728" s="133">
        <f t="shared" si="198"/>
        <v>0</v>
      </c>
      <c r="O1728" s="134"/>
      <c r="P1728" s="133"/>
      <c r="Q1728" s="2"/>
      <c r="R1728" s="156">
        <f t="shared" si="195"/>
        <v>0</v>
      </c>
      <c r="S1728" s="156">
        <f t="shared" si="196"/>
        <v>0</v>
      </c>
      <c r="T1728" s="133"/>
      <c r="U1728" s="133"/>
      <c r="V1728" s="133"/>
      <c r="W1728" s="133"/>
      <c r="X1728" s="133"/>
      <c r="Y1728" s="133"/>
      <c r="Z1728" s="133"/>
      <c r="AA1728" s="133"/>
      <c r="AB1728" s="133"/>
      <c r="AC1728" s="133"/>
      <c r="AD1728" s="133"/>
      <c r="AE1728" s="133"/>
      <c r="AF1728" s="133"/>
      <c r="AG1728" s="133"/>
      <c r="AH1728" s="133"/>
      <c r="AI1728" s="133"/>
      <c r="AJ1728" s="133"/>
      <c r="AK1728" s="133"/>
      <c r="AL1728" s="133"/>
      <c r="AM1728" s="133"/>
      <c r="AN1728" s="133"/>
      <c r="AO1728" s="133"/>
      <c r="AP1728" s="133"/>
      <c r="AQ1728" s="133"/>
      <c r="AR1728" s="133"/>
      <c r="AS1728" s="153">
        <v>0</v>
      </c>
      <c r="AT1728" s="153">
        <v>0</v>
      </c>
      <c r="AU1728" s="153">
        <v>0</v>
      </c>
      <c r="AV1728" s="135"/>
      <c r="AW1728" s="135"/>
      <c r="AX1728" s="135"/>
      <c r="AY1728" s="135"/>
      <c r="AZ1728" s="135"/>
      <c r="BA1728" s="135"/>
      <c r="BB1728" s="135"/>
      <c r="BC1728" s="135"/>
      <c r="BD1728" s="135"/>
      <c r="BE1728" s="135"/>
      <c r="BF1728" s="135"/>
      <c r="BG1728" s="135"/>
      <c r="BH1728" s="135"/>
      <c r="BI1728" s="2"/>
      <c r="BJ1728" s="136"/>
      <c r="BK1728" s="2"/>
      <c r="BL1728" s="136"/>
      <c r="BM1728" s="136"/>
      <c r="BN1728" s="2"/>
      <c r="BO1728" s="2"/>
      <c r="BP1728" s="136"/>
      <c r="BQ1728" s="137"/>
    </row>
    <row r="1729" spans="1:69" ht="12.75" customHeight="1" x14ac:dyDescent="0.2">
      <c r="A1729" s="2">
        <v>3218</v>
      </c>
      <c r="B1729" s="2"/>
      <c r="C1729" s="2"/>
      <c r="D1729" s="2"/>
      <c r="E1729" s="2"/>
      <c r="F1729" s="132">
        <v>0</v>
      </c>
      <c r="G1729" s="132"/>
      <c r="H1729" s="132">
        <f t="shared" si="199"/>
        <v>0</v>
      </c>
      <c r="I1729" s="132"/>
      <c r="J1729" s="132">
        <f t="shared" si="197"/>
        <v>0</v>
      </c>
      <c r="K1729" s="132">
        <f t="shared" si="200"/>
        <v>0</v>
      </c>
      <c r="L1729" s="132">
        <f t="shared" si="194"/>
        <v>0</v>
      </c>
      <c r="M1729" s="133"/>
      <c r="N1729" s="133">
        <f t="shared" si="198"/>
        <v>0</v>
      </c>
      <c r="O1729" s="134"/>
      <c r="P1729" s="133"/>
      <c r="Q1729" s="2"/>
      <c r="R1729" s="156">
        <f t="shared" si="195"/>
        <v>0</v>
      </c>
      <c r="S1729" s="156">
        <f t="shared" si="196"/>
        <v>0</v>
      </c>
      <c r="T1729" s="133"/>
      <c r="U1729" s="133"/>
      <c r="V1729" s="133"/>
      <c r="W1729" s="133"/>
      <c r="X1729" s="133"/>
      <c r="Y1729" s="133"/>
      <c r="Z1729" s="133"/>
      <c r="AA1729" s="133"/>
      <c r="AB1729" s="133"/>
      <c r="AC1729" s="133"/>
      <c r="AD1729" s="133"/>
      <c r="AE1729" s="133"/>
      <c r="AF1729" s="133"/>
      <c r="AG1729" s="133"/>
      <c r="AH1729" s="133"/>
      <c r="AI1729" s="133"/>
      <c r="AJ1729" s="133"/>
      <c r="AK1729" s="133"/>
      <c r="AL1729" s="133"/>
      <c r="AM1729" s="133"/>
      <c r="AN1729" s="133"/>
      <c r="AO1729" s="133"/>
      <c r="AP1729" s="133"/>
      <c r="AQ1729" s="133"/>
      <c r="AR1729" s="133"/>
      <c r="AS1729" s="153">
        <v>0</v>
      </c>
      <c r="AT1729" s="153">
        <v>0</v>
      </c>
      <c r="AU1729" s="153">
        <v>0</v>
      </c>
      <c r="AV1729" s="135"/>
      <c r="AW1729" s="135"/>
      <c r="AX1729" s="135"/>
      <c r="AY1729" s="135"/>
      <c r="AZ1729" s="135"/>
      <c r="BA1729" s="135"/>
      <c r="BB1729" s="135"/>
      <c r="BC1729" s="135"/>
      <c r="BD1729" s="135"/>
      <c r="BE1729" s="135"/>
      <c r="BF1729" s="135"/>
      <c r="BG1729" s="135"/>
      <c r="BH1729" s="135"/>
      <c r="BI1729" s="2"/>
      <c r="BJ1729" s="136"/>
      <c r="BK1729" s="2"/>
      <c r="BL1729" s="136"/>
      <c r="BM1729" s="136"/>
      <c r="BN1729" s="2"/>
      <c r="BO1729" s="2"/>
      <c r="BP1729" s="136"/>
      <c r="BQ1729" s="137"/>
    </row>
    <row r="1730" spans="1:69" ht="12.75" customHeight="1" x14ac:dyDescent="0.2">
      <c r="A1730" s="2">
        <v>3219</v>
      </c>
      <c r="B1730" s="2"/>
      <c r="C1730" s="2"/>
      <c r="D1730" s="2"/>
      <c r="E1730" s="2"/>
      <c r="F1730" s="132">
        <v>0</v>
      </c>
      <c r="G1730" s="132"/>
      <c r="H1730" s="132">
        <f t="shared" si="199"/>
        <v>0</v>
      </c>
      <c r="I1730" s="132"/>
      <c r="J1730" s="132">
        <f t="shared" si="197"/>
        <v>0</v>
      </c>
      <c r="K1730" s="132">
        <f t="shared" si="200"/>
        <v>0</v>
      </c>
      <c r="L1730" s="132">
        <f t="shared" si="194"/>
        <v>0</v>
      </c>
      <c r="M1730" s="133"/>
      <c r="N1730" s="133">
        <f t="shared" si="198"/>
        <v>0</v>
      </c>
      <c r="O1730" s="134"/>
      <c r="P1730" s="133"/>
      <c r="Q1730" s="2"/>
      <c r="R1730" s="156">
        <f t="shared" si="195"/>
        <v>0</v>
      </c>
      <c r="S1730" s="156">
        <f t="shared" si="196"/>
        <v>0</v>
      </c>
      <c r="T1730" s="133"/>
      <c r="U1730" s="133"/>
      <c r="V1730" s="133"/>
      <c r="W1730" s="133"/>
      <c r="X1730" s="133"/>
      <c r="Y1730" s="133"/>
      <c r="Z1730" s="133"/>
      <c r="AA1730" s="133"/>
      <c r="AB1730" s="133"/>
      <c r="AC1730" s="133"/>
      <c r="AD1730" s="133"/>
      <c r="AE1730" s="133"/>
      <c r="AF1730" s="133"/>
      <c r="AG1730" s="133"/>
      <c r="AH1730" s="133"/>
      <c r="AI1730" s="133"/>
      <c r="AJ1730" s="133"/>
      <c r="AK1730" s="133"/>
      <c r="AL1730" s="133"/>
      <c r="AM1730" s="133"/>
      <c r="AN1730" s="133"/>
      <c r="AO1730" s="133"/>
      <c r="AP1730" s="133"/>
      <c r="AQ1730" s="133"/>
      <c r="AR1730" s="133"/>
      <c r="AS1730" s="153">
        <v>0</v>
      </c>
      <c r="AT1730" s="153">
        <v>0</v>
      </c>
      <c r="AU1730" s="153">
        <v>0</v>
      </c>
      <c r="AV1730" s="135"/>
      <c r="AW1730" s="135"/>
      <c r="AX1730" s="135"/>
      <c r="AY1730" s="135"/>
      <c r="AZ1730" s="135"/>
      <c r="BA1730" s="135"/>
      <c r="BB1730" s="135"/>
      <c r="BC1730" s="135"/>
      <c r="BD1730" s="135"/>
      <c r="BE1730" s="135"/>
      <c r="BF1730" s="135"/>
      <c r="BG1730" s="135"/>
      <c r="BH1730" s="135"/>
      <c r="BI1730" s="2"/>
      <c r="BJ1730" s="136"/>
      <c r="BK1730" s="2"/>
      <c r="BL1730" s="136"/>
      <c r="BM1730" s="136"/>
      <c r="BN1730" s="2"/>
      <c r="BO1730" s="2"/>
      <c r="BP1730" s="136"/>
      <c r="BQ1730" s="137"/>
    </row>
    <row r="1731" spans="1:69" ht="12.75" customHeight="1" x14ac:dyDescent="0.2">
      <c r="A1731" s="2">
        <v>3220</v>
      </c>
      <c r="B1731" s="2"/>
      <c r="C1731" s="2"/>
      <c r="D1731" s="2"/>
      <c r="E1731" s="2"/>
      <c r="F1731" s="132">
        <v>0</v>
      </c>
      <c r="G1731" s="132"/>
      <c r="H1731" s="132">
        <f t="shared" si="199"/>
        <v>0</v>
      </c>
      <c r="I1731" s="132"/>
      <c r="J1731" s="132">
        <f t="shared" si="197"/>
        <v>0</v>
      </c>
      <c r="K1731" s="132">
        <f t="shared" si="200"/>
        <v>0</v>
      </c>
      <c r="L1731" s="132">
        <f t="shared" si="194"/>
        <v>0</v>
      </c>
      <c r="M1731" s="133"/>
      <c r="N1731" s="133">
        <f t="shared" si="198"/>
        <v>0</v>
      </c>
      <c r="O1731" s="134"/>
      <c r="P1731" s="133"/>
      <c r="Q1731" s="2"/>
      <c r="R1731" s="156">
        <f t="shared" si="195"/>
        <v>0</v>
      </c>
      <c r="S1731" s="156">
        <f t="shared" si="196"/>
        <v>0</v>
      </c>
      <c r="T1731" s="133"/>
      <c r="U1731" s="133"/>
      <c r="V1731" s="133"/>
      <c r="W1731" s="133"/>
      <c r="X1731" s="133"/>
      <c r="Y1731" s="133"/>
      <c r="Z1731" s="133"/>
      <c r="AA1731" s="133"/>
      <c r="AB1731" s="133"/>
      <c r="AC1731" s="133"/>
      <c r="AD1731" s="133"/>
      <c r="AE1731" s="133"/>
      <c r="AF1731" s="133"/>
      <c r="AG1731" s="133"/>
      <c r="AH1731" s="133"/>
      <c r="AI1731" s="133"/>
      <c r="AJ1731" s="133"/>
      <c r="AK1731" s="133"/>
      <c r="AL1731" s="133"/>
      <c r="AM1731" s="133"/>
      <c r="AN1731" s="133"/>
      <c r="AO1731" s="133"/>
      <c r="AP1731" s="133"/>
      <c r="AQ1731" s="133"/>
      <c r="AR1731" s="133"/>
      <c r="AS1731" s="153">
        <v>0</v>
      </c>
      <c r="AT1731" s="153">
        <v>0</v>
      </c>
      <c r="AU1731" s="153">
        <v>0</v>
      </c>
      <c r="AV1731" s="135"/>
      <c r="AW1731" s="135"/>
      <c r="AX1731" s="135"/>
      <c r="AY1731" s="135"/>
      <c r="AZ1731" s="135"/>
      <c r="BA1731" s="135"/>
      <c r="BB1731" s="135"/>
      <c r="BC1731" s="135"/>
      <c r="BD1731" s="135"/>
      <c r="BE1731" s="135"/>
      <c r="BF1731" s="135"/>
      <c r="BG1731" s="135"/>
      <c r="BH1731" s="135"/>
      <c r="BI1731" s="2"/>
      <c r="BJ1731" s="136"/>
      <c r="BK1731" s="2"/>
      <c r="BL1731" s="136"/>
      <c r="BM1731" s="136"/>
      <c r="BN1731" s="2"/>
      <c r="BO1731" s="2"/>
      <c r="BP1731" s="136"/>
      <c r="BQ1731" s="137"/>
    </row>
    <row r="1732" spans="1:69" ht="12.75" customHeight="1" x14ac:dyDescent="0.2">
      <c r="A1732" s="2">
        <v>3221</v>
      </c>
      <c r="B1732" s="2"/>
      <c r="C1732" s="2"/>
      <c r="D1732" s="2"/>
      <c r="E1732" s="2"/>
      <c r="F1732" s="132">
        <v>0</v>
      </c>
      <c r="G1732" s="132"/>
      <c r="H1732" s="132">
        <f t="shared" si="199"/>
        <v>0</v>
      </c>
      <c r="I1732" s="132"/>
      <c r="J1732" s="132">
        <f t="shared" si="197"/>
        <v>0</v>
      </c>
      <c r="K1732" s="132">
        <f t="shared" si="200"/>
        <v>0</v>
      </c>
      <c r="L1732" s="132">
        <f t="shared" si="194"/>
        <v>0</v>
      </c>
      <c r="M1732" s="133"/>
      <c r="N1732" s="133">
        <f t="shared" si="198"/>
        <v>0</v>
      </c>
      <c r="O1732" s="134"/>
      <c r="P1732" s="133"/>
      <c r="Q1732" s="2"/>
      <c r="R1732" s="156">
        <f t="shared" si="195"/>
        <v>0</v>
      </c>
      <c r="S1732" s="156">
        <f t="shared" si="196"/>
        <v>0</v>
      </c>
      <c r="T1732" s="133"/>
      <c r="U1732" s="133"/>
      <c r="V1732" s="133"/>
      <c r="W1732" s="133"/>
      <c r="X1732" s="133"/>
      <c r="Y1732" s="133"/>
      <c r="Z1732" s="133"/>
      <c r="AA1732" s="133"/>
      <c r="AB1732" s="133"/>
      <c r="AC1732" s="133"/>
      <c r="AD1732" s="133"/>
      <c r="AE1732" s="133"/>
      <c r="AF1732" s="133"/>
      <c r="AG1732" s="133"/>
      <c r="AH1732" s="133"/>
      <c r="AI1732" s="133"/>
      <c r="AJ1732" s="133"/>
      <c r="AK1732" s="133"/>
      <c r="AL1732" s="133"/>
      <c r="AM1732" s="133"/>
      <c r="AN1732" s="133"/>
      <c r="AO1732" s="133"/>
      <c r="AP1732" s="133"/>
      <c r="AQ1732" s="133"/>
      <c r="AR1732" s="133"/>
      <c r="AS1732" s="153">
        <v>0</v>
      </c>
      <c r="AT1732" s="153">
        <v>0</v>
      </c>
      <c r="AU1732" s="153">
        <v>0</v>
      </c>
      <c r="AV1732" s="135"/>
      <c r="AW1732" s="135"/>
      <c r="AX1732" s="135"/>
      <c r="AY1732" s="135"/>
      <c r="AZ1732" s="135"/>
      <c r="BA1732" s="135"/>
      <c r="BB1732" s="135"/>
      <c r="BC1732" s="135"/>
      <c r="BD1732" s="135"/>
      <c r="BE1732" s="135"/>
      <c r="BF1732" s="135"/>
      <c r="BG1732" s="135"/>
      <c r="BH1732" s="135"/>
      <c r="BI1732" s="2"/>
      <c r="BJ1732" s="136"/>
      <c r="BK1732" s="2"/>
      <c r="BL1732" s="136"/>
      <c r="BM1732" s="136"/>
      <c r="BN1732" s="2"/>
      <c r="BO1732" s="2"/>
      <c r="BP1732" s="136"/>
      <c r="BQ1732" s="137"/>
    </row>
    <row r="1733" spans="1:69" ht="12.75" customHeight="1" x14ac:dyDescent="0.2">
      <c r="A1733" s="2">
        <v>3222</v>
      </c>
      <c r="B1733" s="2"/>
      <c r="C1733" s="2"/>
      <c r="D1733" s="2"/>
      <c r="E1733" s="2"/>
      <c r="F1733" s="132">
        <v>0</v>
      </c>
      <c r="G1733" s="132"/>
      <c r="H1733" s="132">
        <f t="shared" si="199"/>
        <v>0</v>
      </c>
      <c r="I1733" s="132"/>
      <c r="J1733" s="132">
        <f t="shared" si="197"/>
        <v>0</v>
      </c>
      <c r="K1733" s="132">
        <f t="shared" si="200"/>
        <v>0</v>
      </c>
      <c r="L1733" s="132">
        <f t="shared" si="194"/>
        <v>0</v>
      </c>
      <c r="M1733" s="133"/>
      <c r="N1733" s="133">
        <f t="shared" si="198"/>
        <v>0</v>
      </c>
      <c r="O1733" s="134"/>
      <c r="P1733" s="133"/>
      <c r="Q1733" s="2"/>
      <c r="R1733" s="156">
        <f t="shared" si="195"/>
        <v>0</v>
      </c>
      <c r="S1733" s="156">
        <f t="shared" si="196"/>
        <v>0</v>
      </c>
      <c r="T1733" s="133"/>
      <c r="U1733" s="133"/>
      <c r="V1733" s="133"/>
      <c r="W1733" s="133"/>
      <c r="X1733" s="133"/>
      <c r="Y1733" s="133"/>
      <c r="Z1733" s="133"/>
      <c r="AA1733" s="133"/>
      <c r="AB1733" s="133"/>
      <c r="AC1733" s="133"/>
      <c r="AD1733" s="133"/>
      <c r="AE1733" s="133"/>
      <c r="AF1733" s="133"/>
      <c r="AG1733" s="133"/>
      <c r="AH1733" s="133"/>
      <c r="AI1733" s="133"/>
      <c r="AJ1733" s="133"/>
      <c r="AK1733" s="133"/>
      <c r="AL1733" s="133"/>
      <c r="AM1733" s="133"/>
      <c r="AN1733" s="133"/>
      <c r="AO1733" s="133"/>
      <c r="AP1733" s="133"/>
      <c r="AQ1733" s="133"/>
      <c r="AR1733" s="133"/>
      <c r="AS1733" s="153">
        <v>0</v>
      </c>
      <c r="AT1733" s="153">
        <v>0</v>
      </c>
      <c r="AU1733" s="153">
        <v>0</v>
      </c>
      <c r="AV1733" s="135"/>
      <c r="AW1733" s="135"/>
      <c r="AX1733" s="135"/>
      <c r="AY1733" s="135"/>
      <c r="AZ1733" s="135"/>
      <c r="BA1733" s="135"/>
      <c r="BB1733" s="135"/>
      <c r="BC1733" s="135"/>
      <c r="BD1733" s="135"/>
      <c r="BE1733" s="135"/>
      <c r="BF1733" s="135"/>
      <c r="BG1733" s="135"/>
      <c r="BH1733" s="135"/>
      <c r="BI1733" s="2"/>
      <c r="BJ1733" s="136"/>
      <c r="BK1733" s="2"/>
      <c r="BL1733" s="136"/>
      <c r="BM1733" s="136"/>
      <c r="BN1733" s="2"/>
      <c r="BO1733" s="2"/>
      <c r="BP1733" s="136"/>
      <c r="BQ1733" s="137"/>
    </row>
    <row r="1734" spans="1:69" ht="12.75" customHeight="1" x14ac:dyDescent="0.2">
      <c r="A1734" s="2">
        <v>3223</v>
      </c>
      <c r="B1734" s="2"/>
      <c r="C1734" s="2"/>
      <c r="D1734" s="2"/>
      <c r="E1734" s="2"/>
      <c r="F1734" s="132">
        <v>0</v>
      </c>
      <c r="G1734" s="132"/>
      <c r="H1734" s="132">
        <f t="shared" si="199"/>
        <v>0</v>
      </c>
      <c r="I1734" s="132"/>
      <c r="J1734" s="132">
        <f t="shared" si="197"/>
        <v>0</v>
      </c>
      <c r="K1734" s="132">
        <f t="shared" si="200"/>
        <v>0</v>
      </c>
      <c r="L1734" s="132">
        <f t="shared" si="194"/>
        <v>0</v>
      </c>
      <c r="M1734" s="133"/>
      <c r="N1734" s="133">
        <f t="shared" si="198"/>
        <v>0</v>
      </c>
      <c r="O1734" s="134"/>
      <c r="P1734" s="133"/>
      <c r="Q1734" s="2"/>
      <c r="R1734" s="156">
        <f t="shared" si="195"/>
        <v>0</v>
      </c>
      <c r="S1734" s="156">
        <f t="shared" si="196"/>
        <v>0</v>
      </c>
      <c r="T1734" s="133"/>
      <c r="U1734" s="133"/>
      <c r="V1734" s="133"/>
      <c r="W1734" s="133"/>
      <c r="X1734" s="133"/>
      <c r="Y1734" s="133"/>
      <c r="Z1734" s="133"/>
      <c r="AA1734" s="133"/>
      <c r="AB1734" s="133"/>
      <c r="AC1734" s="133"/>
      <c r="AD1734" s="133"/>
      <c r="AE1734" s="133"/>
      <c r="AF1734" s="133"/>
      <c r="AG1734" s="133"/>
      <c r="AH1734" s="133"/>
      <c r="AI1734" s="133"/>
      <c r="AJ1734" s="133"/>
      <c r="AK1734" s="133"/>
      <c r="AL1734" s="133"/>
      <c r="AM1734" s="133"/>
      <c r="AN1734" s="133"/>
      <c r="AO1734" s="133"/>
      <c r="AP1734" s="133"/>
      <c r="AQ1734" s="133"/>
      <c r="AR1734" s="133"/>
      <c r="AS1734" s="153">
        <v>0</v>
      </c>
      <c r="AT1734" s="153">
        <v>0</v>
      </c>
      <c r="AU1734" s="153">
        <v>0</v>
      </c>
      <c r="AV1734" s="135"/>
      <c r="AW1734" s="135"/>
      <c r="AX1734" s="135"/>
      <c r="AY1734" s="135"/>
      <c r="AZ1734" s="135"/>
      <c r="BA1734" s="135"/>
      <c r="BB1734" s="135"/>
      <c r="BC1734" s="135"/>
      <c r="BD1734" s="135"/>
      <c r="BE1734" s="135"/>
      <c r="BF1734" s="135"/>
      <c r="BG1734" s="135"/>
      <c r="BH1734" s="135"/>
      <c r="BI1734" s="2"/>
      <c r="BJ1734" s="136"/>
      <c r="BK1734" s="2"/>
      <c r="BL1734" s="136"/>
      <c r="BM1734" s="136"/>
      <c r="BN1734" s="2"/>
      <c r="BO1734" s="2"/>
      <c r="BP1734" s="136"/>
      <c r="BQ1734" s="137"/>
    </row>
    <row r="1735" spans="1:69" ht="12.75" customHeight="1" x14ac:dyDescent="0.2">
      <c r="A1735" s="2">
        <v>3224</v>
      </c>
      <c r="B1735" s="2"/>
      <c r="C1735" s="2"/>
      <c r="D1735" s="2"/>
      <c r="E1735" s="2"/>
      <c r="F1735" s="132">
        <v>0</v>
      </c>
      <c r="G1735" s="132"/>
      <c r="H1735" s="132">
        <f t="shared" si="199"/>
        <v>0</v>
      </c>
      <c r="I1735" s="132"/>
      <c r="J1735" s="132">
        <f t="shared" si="197"/>
        <v>0</v>
      </c>
      <c r="K1735" s="132">
        <f t="shared" si="200"/>
        <v>0</v>
      </c>
      <c r="L1735" s="132">
        <f t="shared" si="194"/>
        <v>0</v>
      </c>
      <c r="M1735" s="133"/>
      <c r="N1735" s="133">
        <f t="shared" si="198"/>
        <v>0</v>
      </c>
      <c r="O1735" s="134"/>
      <c r="P1735" s="133"/>
      <c r="Q1735" s="2"/>
      <c r="R1735" s="156">
        <f t="shared" si="195"/>
        <v>0</v>
      </c>
      <c r="S1735" s="156">
        <f t="shared" si="196"/>
        <v>0</v>
      </c>
      <c r="T1735" s="133"/>
      <c r="U1735" s="133"/>
      <c r="V1735" s="133"/>
      <c r="W1735" s="133"/>
      <c r="X1735" s="133"/>
      <c r="Y1735" s="133"/>
      <c r="Z1735" s="133"/>
      <c r="AA1735" s="133"/>
      <c r="AB1735" s="133"/>
      <c r="AC1735" s="133"/>
      <c r="AD1735" s="133"/>
      <c r="AE1735" s="133"/>
      <c r="AF1735" s="133"/>
      <c r="AG1735" s="133"/>
      <c r="AH1735" s="133"/>
      <c r="AI1735" s="133"/>
      <c r="AJ1735" s="133"/>
      <c r="AK1735" s="133"/>
      <c r="AL1735" s="133"/>
      <c r="AM1735" s="133"/>
      <c r="AN1735" s="133"/>
      <c r="AO1735" s="133"/>
      <c r="AP1735" s="133"/>
      <c r="AQ1735" s="133"/>
      <c r="AR1735" s="133"/>
      <c r="AS1735" s="153">
        <v>0</v>
      </c>
      <c r="AT1735" s="153">
        <v>0</v>
      </c>
      <c r="AU1735" s="153">
        <v>0</v>
      </c>
      <c r="AV1735" s="135"/>
      <c r="AW1735" s="135"/>
      <c r="AX1735" s="135"/>
      <c r="AY1735" s="135"/>
      <c r="AZ1735" s="135"/>
      <c r="BA1735" s="135"/>
      <c r="BB1735" s="135"/>
      <c r="BC1735" s="135"/>
      <c r="BD1735" s="135"/>
      <c r="BE1735" s="135"/>
      <c r="BF1735" s="135"/>
      <c r="BG1735" s="135"/>
      <c r="BH1735" s="135"/>
      <c r="BI1735" s="2"/>
      <c r="BJ1735" s="136"/>
      <c r="BK1735" s="2"/>
      <c r="BL1735" s="136"/>
      <c r="BM1735" s="136"/>
      <c r="BN1735" s="2"/>
      <c r="BO1735" s="2"/>
      <c r="BP1735" s="136"/>
      <c r="BQ1735" s="137"/>
    </row>
    <row r="1736" spans="1:69" ht="12.75" customHeight="1" x14ac:dyDescent="0.2">
      <c r="A1736" s="2">
        <v>3225</v>
      </c>
      <c r="B1736" s="2"/>
      <c r="C1736" s="2"/>
      <c r="D1736" s="2"/>
      <c r="E1736" s="2"/>
      <c r="F1736" s="132">
        <v>0</v>
      </c>
      <c r="G1736" s="132"/>
      <c r="H1736" s="132">
        <f t="shared" si="199"/>
        <v>0</v>
      </c>
      <c r="I1736" s="132"/>
      <c r="J1736" s="132">
        <f t="shared" si="197"/>
        <v>0</v>
      </c>
      <c r="K1736" s="132">
        <f t="shared" si="200"/>
        <v>0</v>
      </c>
      <c r="L1736" s="132">
        <f t="shared" si="194"/>
        <v>0</v>
      </c>
      <c r="M1736" s="133"/>
      <c r="N1736" s="133">
        <f t="shared" si="198"/>
        <v>0</v>
      </c>
      <c r="O1736" s="134"/>
      <c r="P1736" s="133"/>
      <c r="Q1736" s="2"/>
      <c r="R1736" s="156">
        <f t="shared" si="195"/>
        <v>0</v>
      </c>
      <c r="S1736" s="156">
        <f t="shared" si="196"/>
        <v>0</v>
      </c>
      <c r="T1736" s="133"/>
      <c r="U1736" s="133"/>
      <c r="V1736" s="133"/>
      <c r="W1736" s="133"/>
      <c r="X1736" s="133"/>
      <c r="Y1736" s="133"/>
      <c r="Z1736" s="133"/>
      <c r="AA1736" s="133"/>
      <c r="AB1736" s="133"/>
      <c r="AC1736" s="133"/>
      <c r="AD1736" s="133"/>
      <c r="AE1736" s="133"/>
      <c r="AF1736" s="133"/>
      <c r="AG1736" s="133"/>
      <c r="AH1736" s="133"/>
      <c r="AI1736" s="133"/>
      <c r="AJ1736" s="133"/>
      <c r="AK1736" s="133"/>
      <c r="AL1736" s="133"/>
      <c r="AM1736" s="133"/>
      <c r="AN1736" s="133"/>
      <c r="AO1736" s="133"/>
      <c r="AP1736" s="133"/>
      <c r="AQ1736" s="133"/>
      <c r="AR1736" s="133"/>
      <c r="AS1736" s="153">
        <v>0</v>
      </c>
      <c r="AT1736" s="153">
        <v>0</v>
      </c>
      <c r="AU1736" s="153">
        <v>0</v>
      </c>
      <c r="AV1736" s="135"/>
      <c r="AW1736" s="135"/>
      <c r="AX1736" s="135"/>
      <c r="AY1736" s="135"/>
      <c r="AZ1736" s="135"/>
      <c r="BA1736" s="135"/>
      <c r="BB1736" s="135"/>
      <c r="BC1736" s="135"/>
      <c r="BD1736" s="135"/>
      <c r="BE1736" s="135"/>
      <c r="BF1736" s="135"/>
      <c r="BG1736" s="135"/>
      <c r="BH1736" s="135"/>
      <c r="BI1736" s="2"/>
      <c r="BJ1736" s="136"/>
      <c r="BK1736" s="2"/>
      <c r="BL1736" s="136"/>
      <c r="BM1736" s="136"/>
      <c r="BN1736" s="2"/>
      <c r="BO1736" s="2"/>
      <c r="BP1736" s="136"/>
      <c r="BQ1736" s="137"/>
    </row>
    <row r="1737" spans="1:69" ht="12.75" customHeight="1" x14ac:dyDescent="0.2">
      <c r="A1737" s="2">
        <v>3226</v>
      </c>
      <c r="B1737" s="2"/>
      <c r="C1737" s="2"/>
      <c r="D1737" s="2"/>
      <c r="E1737" s="2"/>
      <c r="F1737" s="132">
        <v>0</v>
      </c>
      <c r="G1737" s="132"/>
      <c r="H1737" s="132">
        <f t="shared" si="199"/>
        <v>0</v>
      </c>
      <c r="I1737" s="132"/>
      <c r="J1737" s="132">
        <f t="shared" si="197"/>
        <v>0</v>
      </c>
      <c r="K1737" s="132">
        <f t="shared" si="200"/>
        <v>0</v>
      </c>
      <c r="L1737" s="132">
        <f t="shared" si="194"/>
        <v>0</v>
      </c>
      <c r="M1737" s="133"/>
      <c r="N1737" s="133">
        <f t="shared" si="198"/>
        <v>0</v>
      </c>
      <c r="O1737" s="134"/>
      <c r="P1737" s="133"/>
      <c r="Q1737" s="2"/>
      <c r="R1737" s="156">
        <f t="shared" si="195"/>
        <v>0</v>
      </c>
      <c r="S1737" s="156">
        <f t="shared" si="196"/>
        <v>0</v>
      </c>
      <c r="T1737" s="133"/>
      <c r="U1737" s="133"/>
      <c r="V1737" s="133"/>
      <c r="W1737" s="133"/>
      <c r="X1737" s="133"/>
      <c r="Y1737" s="133"/>
      <c r="Z1737" s="133"/>
      <c r="AA1737" s="133"/>
      <c r="AB1737" s="133"/>
      <c r="AC1737" s="133"/>
      <c r="AD1737" s="133"/>
      <c r="AE1737" s="133"/>
      <c r="AF1737" s="133"/>
      <c r="AG1737" s="133"/>
      <c r="AH1737" s="133"/>
      <c r="AI1737" s="133"/>
      <c r="AJ1737" s="133"/>
      <c r="AK1737" s="133"/>
      <c r="AL1737" s="133"/>
      <c r="AM1737" s="133"/>
      <c r="AN1737" s="133"/>
      <c r="AO1737" s="133"/>
      <c r="AP1737" s="133"/>
      <c r="AQ1737" s="133"/>
      <c r="AR1737" s="133"/>
      <c r="AS1737" s="153">
        <v>0</v>
      </c>
      <c r="AT1737" s="153">
        <v>0</v>
      </c>
      <c r="AU1737" s="153">
        <v>0</v>
      </c>
      <c r="AV1737" s="135"/>
      <c r="AW1737" s="135"/>
      <c r="AX1737" s="135"/>
      <c r="AY1737" s="135"/>
      <c r="AZ1737" s="135"/>
      <c r="BA1737" s="135"/>
      <c r="BB1737" s="135"/>
      <c r="BC1737" s="135"/>
      <c r="BD1737" s="135"/>
      <c r="BE1737" s="135"/>
      <c r="BF1737" s="135"/>
      <c r="BG1737" s="135"/>
      <c r="BH1737" s="135"/>
      <c r="BI1737" s="2"/>
      <c r="BJ1737" s="136"/>
      <c r="BK1737" s="2"/>
      <c r="BL1737" s="136"/>
      <c r="BM1737" s="136"/>
      <c r="BN1737" s="2"/>
      <c r="BO1737" s="2"/>
      <c r="BP1737" s="136"/>
      <c r="BQ1737" s="137"/>
    </row>
    <row r="1738" spans="1:69" ht="12.75" customHeight="1" x14ac:dyDescent="0.2">
      <c r="A1738" s="2">
        <v>3227</v>
      </c>
      <c r="B1738" s="2"/>
      <c r="C1738" s="2"/>
      <c r="D1738" s="2"/>
      <c r="E1738" s="2"/>
      <c r="F1738" s="132">
        <v>0</v>
      </c>
      <c r="G1738" s="132"/>
      <c r="H1738" s="132">
        <f t="shared" si="199"/>
        <v>0</v>
      </c>
      <c r="I1738" s="132"/>
      <c r="J1738" s="132">
        <f t="shared" si="197"/>
        <v>0</v>
      </c>
      <c r="K1738" s="132">
        <f t="shared" si="200"/>
        <v>0</v>
      </c>
      <c r="L1738" s="132">
        <f t="shared" si="194"/>
        <v>0</v>
      </c>
      <c r="M1738" s="133"/>
      <c r="N1738" s="133">
        <f t="shared" si="198"/>
        <v>0</v>
      </c>
      <c r="O1738" s="134"/>
      <c r="P1738" s="133"/>
      <c r="Q1738" s="2"/>
      <c r="R1738" s="156">
        <f t="shared" si="195"/>
        <v>0</v>
      </c>
      <c r="S1738" s="156">
        <f t="shared" si="196"/>
        <v>0</v>
      </c>
      <c r="T1738" s="133"/>
      <c r="U1738" s="133"/>
      <c r="V1738" s="133"/>
      <c r="W1738" s="133"/>
      <c r="X1738" s="133"/>
      <c r="Y1738" s="133"/>
      <c r="Z1738" s="133"/>
      <c r="AA1738" s="133"/>
      <c r="AB1738" s="133"/>
      <c r="AC1738" s="133"/>
      <c r="AD1738" s="133"/>
      <c r="AE1738" s="133"/>
      <c r="AF1738" s="133"/>
      <c r="AG1738" s="133"/>
      <c r="AH1738" s="133"/>
      <c r="AI1738" s="133"/>
      <c r="AJ1738" s="133"/>
      <c r="AK1738" s="133"/>
      <c r="AL1738" s="133"/>
      <c r="AM1738" s="133"/>
      <c r="AN1738" s="133"/>
      <c r="AO1738" s="133"/>
      <c r="AP1738" s="133"/>
      <c r="AQ1738" s="133"/>
      <c r="AR1738" s="133"/>
      <c r="AS1738" s="153">
        <v>0</v>
      </c>
      <c r="AT1738" s="153">
        <v>0</v>
      </c>
      <c r="AU1738" s="153">
        <v>0</v>
      </c>
      <c r="AV1738" s="135"/>
      <c r="AW1738" s="135"/>
      <c r="AX1738" s="135"/>
      <c r="AY1738" s="135"/>
      <c r="AZ1738" s="135"/>
      <c r="BA1738" s="135"/>
      <c r="BB1738" s="135"/>
      <c r="BC1738" s="135"/>
      <c r="BD1738" s="135"/>
      <c r="BE1738" s="135"/>
      <c r="BF1738" s="135"/>
      <c r="BG1738" s="135"/>
      <c r="BH1738" s="135"/>
      <c r="BI1738" s="2"/>
      <c r="BJ1738" s="136"/>
      <c r="BK1738" s="2"/>
      <c r="BL1738" s="136"/>
      <c r="BM1738" s="136"/>
      <c r="BN1738" s="2"/>
      <c r="BO1738" s="2"/>
      <c r="BP1738" s="136"/>
      <c r="BQ1738" s="137"/>
    </row>
    <row r="1739" spans="1:69" ht="12.75" customHeight="1" x14ac:dyDescent="0.2">
      <c r="A1739" s="2">
        <v>3228</v>
      </c>
      <c r="B1739" s="2"/>
      <c r="C1739" s="2"/>
      <c r="D1739" s="2"/>
      <c r="E1739" s="2"/>
      <c r="F1739" s="132">
        <v>0</v>
      </c>
      <c r="G1739" s="132"/>
      <c r="H1739" s="132">
        <f t="shared" si="199"/>
        <v>0</v>
      </c>
      <c r="I1739" s="132"/>
      <c r="J1739" s="132">
        <f t="shared" si="197"/>
        <v>0</v>
      </c>
      <c r="K1739" s="132">
        <f t="shared" si="200"/>
        <v>0</v>
      </c>
      <c r="L1739" s="132">
        <f t="shared" ref="L1739:L1802" si="201">H1739-J1739</f>
        <v>0</v>
      </c>
      <c r="M1739" s="133"/>
      <c r="N1739" s="133">
        <f t="shared" si="198"/>
        <v>0</v>
      </c>
      <c r="O1739" s="134"/>
      <c r="P1739" s="133"/>
      <c r="Q1739" s="2"/>
      <c r="R1739" s="156">
        <f t="shared" ref="R1739:R1802" si="202">T1739+V1739+X1739+Z1739+AB1739+AD1739+AF1739+AH1739+AJ1739+AL1739+AN1739+AP1739</f>
        <v>0</v>
      </c>
      <c r="S1739" s="156">
        <f t="shared" ref="S1739:S1802" si="203">U1739+W1739+Y1739+AA1739+AC1739+AE1739+AG1739+AI1739+AK1739+AM1739+AO1739+AQ1739</f>
        <v>0</v>
      </c>
      <c r="T1739" s="133"/>
      <c r="U1739" s="133"/>
      <c r="V1739" s="133"/>
      <c r="W1739" s="133"/>
      <c r="X1739" s="133"/>
      <c r="Y1739" s="133"/>
      <c r="Z1739" s="133"/>
      <c r="AA1739" s="133"/>
      <c r="AB1739" s="133"/>
      <c r="AC1739" s="133"/>
      <c r="AD1739" s="133"/>
      <c r="AE1739" s="133"/>
      <c r="AF1739" s="133"/>
      <c r="AG1739" s="133"/>
      <c r="AH1739" s="133"/>
      <c r="AI1739" s="133"/>
      <c r="AJ1739" s="133"/>
      <c r="AK1739" s="133"/>
      <c r="AL1739" s="133"/>
      <c r="AM1739" s="133"/>
      <c r="AN1739" s="133"/>
      <c r="AO1739" s="133"/>
      <c r="AP1739" s="133"/>
      <c r="AQ1739" s="133"/>
      <c r="AR1739" s="133"/>
      <c r="AS1739" s="153">
        <v>0</v>
      </c>
      <c r="AT1739" s="153">
        <v>0</v>
      </c>
      <c r="AU1739" s="153">
        <v>0</v>
      </c>
      <c r="AV1739" s="135"/>
      <c r="AW1739" s="135"/>
      <c r="AX1739" s="135"/>
      <c r="AY1739" s="135"/>
      <c r="AZ1739" s="135"/>
      <c r="BA1739" s="135"/>
      <c r="BB1739" s="135"/>
      <c r="BC1739" s="135"/>
      <c r="BD1739" s="135"/>
      <c r="BE1739" s="135"/>
      <c r="BF1739" s="135"/>
      <c r="BG1739" s="135"/>
      <c r="BH1739" s="135"/>
      <c r="BI1739" s="2"/>
      <c r="BJ1739" s="136"/>
      <c r="BK1739" s="2"/>
      <c r="BL1739" s="136"/>
      <c r="BM1739" s="136"/>
      <c r="BN1739" s="2"/>
      <c r="BO1739" s="2"/>
      <c r="BP1739" s="136"/>
      <c r="BQ1739" s="137"/>
    </row>
    <row r="1740" spans="1:69" ht="12.75" customHeight="1" x14ac:dyDescent="0.2">
      <c r="A1740" s="2">
        <v>3229</v>
      </c>
      <c r="B1740" s="2"/>
      <c r="C1740" s="2"/>
      <c r="D1740" s="2"/>
      <c r="E1740" s="2"/>
      <c r="F1740" s="132">
        <v>0</v>
      </c>
      <c r="G1740" s="132"/>
      <c r="H1740" s="132">
        <f t="shared" si="199"/>
        <v>0</v>
      </c>
      <c r="I1740" s="132"/>
      <c r="J1740" s="132">
        <f t="shared" si="197"/>
        <v>0</v>
      </c>
      <c r="K1740" s="132">
        <f t="shared" si="200"/>
        <v>0</v>
      </c>
      <c r="L1740" s="132">
        <f t="shared" si="201"/>
        <v>0</v>
      </c>
      <c r="M1740" s="133"/>
      <c r="N1740" s="133">
        <f t="shared" si="198"/>
        <v>0</v>
      </c>
      <c r="O1740" s="134"/>
      <c r="P1740" s="133"/>
      <c r="Q1740" s="2"/>
      <c r="R1740" s="156">
        <f t="shared" si="202"/>
        <v>0</v>
      </c>
      <c r="S1740" s="156">
        <f t="shared" si="203"/>
        <v>0</v>
      </c>
      <c r="T1740" s="133"/>
      <c r="U1740" s="133"/>
      <c r="V1740" s="133"/>
      <c r="W1740" s="133"/>
      <c r="X1740" s="133"/>
      <c r="Y1740" s="133"/>
      <c r="Z1740" s="133"/>
      <c r="AA1740" s="133"/>
      <c r="AB1740" s="133"/>
      <c r="AC1740" s="133"/>
      <c r="AD1740" s="133"/>
      <c r="AE1740" s="133"/>
      <c r="AF1740" s="133"/>
      <c r="AG1740" s="133"/>
      <c r="AH1740" s="133"/>
      <c r="AI1740" s="133"/>
      <c r="AJ1740" s="133"/>
      <c r="AK1740" s="133"/>
      <c r="AL1740" s="133"/>
      <c r="AM1740" s="133"/>
      <c r="AN1740" s="133"/>
      <c r="AO1740" s="133"/>
      <c r="AP1740" s="133"/>
      <c r="AQ1740" s="133"/>
      <c r="AR1740" s="133"/>
      <c r="AS1740" s="153">
        <v>0</v>
      </c>
      <c r="AT1740" s="153">
        <v>0</v>
      </c>
      <c r="AU1740" s="153">
        <v>0</v>
      </c>
      <c r="AV1740" s="135"/>
      <c r="AW1740" s="135"/>
      <c r="AX1740" s="135"/>
      <c r="AY1740" s="135"/>
      <c r="AZ1740" s="135"/>
      <c r="BA1740" s="135"/>
      <c r="BB1740" s="135"/>
      <c r="BC1740" s="135"/>
      <c r="BD1740" s="135"/>
      <c r="BE1740" s="135"/>
      <c r="BF1740" s="135"/>
      <c r="BG1740" s="135"/>
      <c r="BH1740" s="135"/>
      <c r="BI1740" s="2"/>
      <c r="BJ1740" s="136"/>
      <c r="BK1740" s="2"/>
      <c r="BL1740" s="136"/>
      <c r="BM1740" s="136"/>
      <c r="BN1740" s="2"/>
      <c r="BO1740" s="2"/>
      <c r="BP1740" s="136"/>
      <c r="BQ1740" s="137"/>
    </row>
    <row r="1741" spans="1:69" ht="12.75" customHeight="1" x14ac:dyDescent="0.2">
      <c r="A1741" s="2">
        <v>3230</v>
      </c>
      <c r="B1741" s="2"/>
      <c r="C1741" s="2"/>
      <c r="D1741" s="2"/>
      <c r="E1741" s="2"/>
      <c r="F1741" s="132">
        <v>0</v>
      </c>
      <c r="G1741" s="132"/>
      <c r="H1741" s="132">
        <f t="shared" si="199"/>
        <v>0</v>
      </c>
      <c r="I1741" s="132"/>
      <c r="J1741" s="132">
        <f t="shared" si="197"/>
        <v>0</v>
      </c>
      <c r="K1741" s="132">
        <f t="shared" si="200"/>
        <v>0</v>
      </c>
      <c r="L1741" s="132">
        <f t="shared" si="201"/>
        <v>0</v>
      </c>
      <c r="M1741" s="133"/>
      <c r="N1741" s="133">
        <f t="shared" si="198"/>
        <v>0</v>
      </c>
      <c r="O1741" s="134"/>
      <c r="P1741" s="133"/>
      <c r="Q1741" s="2"/>
      <c r="R1741" s="156">
        <f t="shared" si="202"/>
        <v>0</v>
      </c>
      <c r="S1741" s="156">
        <f t="shared" si="203"/>
        <v>0</v>
      </c>
      <c r="T1741" s="133"/>
      <c r="U1741" s="133"/>
      <c r="V1741" s="133"/>
      <c r="W1741" s="133"/>
      <c r="X1741" s="133"/>
      <c r="Y1741" s="133"/>
      <c r="Z1741" s="133"/>
      <c r="AA1741" s="133"/>
      <c r="AB1741" s="133"/>
      <c r="AC1741" s="133"/>
      <c r="AD1741" s="133"/>
      <c r="AE1741" s="133"/>
      <c r="AF1741" s="133"/>
      <c r="AG1741" s="133"/>
      <c r="AH1741" s="133"/>
      <c r="AI1741" s="133"/>
      <c r="AJ1741" s="133"/>
      <c r="AK1741" s="133"/>
      <c r="AL1741" s="133"/>
      <c r="AM1741" s="133"/>
      <c r="AN1741" s="133"/>
      <c r="AO1741" s="133"/>
      <c r="AP1741" s="133"/>
      <c r="AQ1741" s="133"/>
      <c r="AR1741" s="133"/>
      <c r="AS1741" s="153">
        <v>0</v>
      </c>
      <c r="AT1741" s="153">
        <v>0</v>
      </c>
      <c r="AU1741" s="153">
        <v>0</v>
      </c>
      <c r="AV1741" s="135"/>
      <c r="AW1741" s="135"/>
      <c r="AX1741" s="135"/>
      <c r="AY1741" s="135"/>
      <c r="AZ1741" s="135"/>
      <c r="BA1741" s="135"/>
      <c r="BB1741" s="135"/>
      <c r="BC1741" s="135"/>
      <c r="BD1741" s="135"/>
      <c r="BE1741" s="135"/>
      <c r="BF1741" s="135"/>
      <c r="BG1741" s="135"/>
      <c r="BH1741" s="135"/>
      <c r="BI1741" s="2"/>
      <c r="BJ1741" s="136"/>
      <c r="BK1741" s="2"/>
      <c r="BL1741" s="136"/>
      <c r="BM1741" s="136"/>
      <c r="BN1741" s="2"/>
      <c r="BO1741" s="2"/>
      <c r="BP1741" s="136"/>
      <c r="BQ1741" s="137"/>
    </row>
    <row r="1742" spans="1:69" ht="12.75" customHeight="1" x14ac:dyDescent="0.2">
      <c r="A1742" s="2">
        <v>3231</v>
      </c>
      <c r="B1742" s="2"/>
      <c r="C1742" s="2"/>
      <c r="D1742" s="2"/>
      <c r="E1742" s="2"/>
      <c r="F1742" s="132">
        <v>0</v>
      </c>
      <c r="G1742" s="132"/>
      <c r="H1742" s="132">
        <f t="shared" si="199"/>
        <v>0</v>
      </c>
      <c r="I1742" s="132"/>
      <c r="J1742" s="132">
        <f t="shared" si="197"/>
        <v>0</v>
      </c>
      <c r="K1742" s="132">
        <f t="shared" si="200"/>
        <v>0</v>
      </c>
      <c r="L1742" s="132">
        <f t="shared" si="201"/>
        <v>0</v>
      </c>
      <c r="M1742" s="133"/>
      <c r="N1742" s="133">
        <f t="shared" si="198"/>
        <v>0</v>
      </c>
      <c r="O1742" s="134"/>
      <c r="P1742" s="133"/>
      <c r="Q1742" s="2"/>
      <c r="R1742" s="156">
        <f t="shared" si="202"/>
        <v>0</v>
      </c>
      <c r="S1742" s="156">
        <f t="shared" si="203"/>
        <v>0</v>
      </c>
      <c r="T1742" s="133"/>
      <c r="U1742" s="133"/>
      <c r="V1742" s="133"/>
      <c r="W1742" s="133"/>
      <c r="X1742" s="133"/>
      <c r="Y1742" s="133"/>
      <c r="Z1742" s="133"/>
      <c r="AA1742" s="133"/>
      <c r="AB1742" s="133"/>
      <c r="AC1742" s="133"/>
      <c r="AD1742" s="133"/>
      <c r="AE1742" s="133"/>
      <c r="AF1742" s="133"/>
      <c r="AG1742" s="133"/>
      <c r="AH1742" s="133"/>
      <c r="AI1742" s="133"/>
      <c r="AJ1742" s="133"/>
      <c r="AK1742" s="133"/>
      <c r="AL1742" s="133"/>
      <c r="AM1742" s="133"/>
      <c r="AN1742" s="133"/>
      <c r="AO1742" s="133"/>
      <c r="AP1742" s="133"/>
      <c r="AQ1742" s="133"/>
      <c r="AR1742" s="133"/>
      <c r="AS1742" s="153">
        <v>0</v>
      </c>
      <c r="AT1742" s="153">
        <v>0</v>
      </c>
      <c r="AU1742" s="153">
        <v>0</v>
      </c>
      <c r="AV1742" s="135"/>
      <c r="AW1742" s="135"/>
      <c r="AX1742" s="135"/>
      <c r="AY1742" s="135"/>
      <c r="AZ1742" s="135"/>
      <c r="BA1742" s="135"/>
      <c r="BB1742" s="135"/>
      <c r="BC1742" s="135"/>
      <c r="BD1742" s="135"/>
      <c r="BE1742" s="135"/>
      <c r="BF1742" s="135"/>
      <c r="BG1742" s="135"/>
      <c r="BH1742" s="135"/>
      <c r="BI1742" s="2"/>
      <c r="BJ1742" s="136"/>
      <c r="BK1742" s="2"/>
      <c r="BL1742" s="136"/>
      <c r="BM1742" s="136"/>
      <c r="BN1742" s="2"/>
      <c r="BO1742" s="2"/>
      <c r="BP1742" s="136"/>
      <c r="BQ1742" s="137"/>
    </row>
    <row r="1743" spans="1:69" ht="12.75" customHeight="1" x14ac:dyDescent="0.2">
      <c r="A1743" s="2">
        <v>3232</v>
      </c>
      <c r="B1743" s="2"/>
      <c r="C1743" s="2"/>
      <c r="D1743" s="2"/>
      <c r="E1743" s="2"/>
      <c r="F1743" s="132">
        <v>0</v>
      </c>
      <c r="G1743" s="132"/>
      <c r="H1743" s="132">
        <f t="shared" si="199"/>
        <v>0</v>
      </c>
      <c r="I1743" s="132"/>
      <c r="J1743" s="132">
        <f t="shared" si="197"/>
        <v>0</v>
      </c>
      <c r="K1743" s="132">
        <f t="shared" si="200"/>
        <v>0</v>
      </c>
      <c r="L1743" s="132">
        <f t="shared" si="201"/>
        <v>0</v>
      </c>
      <c r="M1743" s="133"/>
      <c r="N1743" s="133">
        <f t="shared" si="198"/>
        <v>0</v>
      </c>
      <c r="O1743" s="134"/>
      <c r="P1743" s="133"/>
      <c r="Q1743" s="2"/>
      <c r="R1743" s="156">
        <f t="shared" si="202"/>
        <v>0</v>
      </c>
      <c r="S1743" s="156">
        <f t="shared" si="203"/>
        <v>0</v>
      </c>
      <c r="T1743" s="133"/>
      <c r="U1743" s="133"/>
      <c r="V1743" s="133"/>
      <c r="W1743" s="133"/>
      <c r="X1743" s="133"/>
      <c r="Y1743" s="133"/>
      <c r="Z1743" s="133"/>
      <c r="AA1743" s="133"/>
      <c r="AB1743" s="133"/>
      <c r="AC1743" s="133"/>
      <c r="AD1743" s="133"/>
      <c r="AE1743" s="133"/>
      <c r="AF1743" s="133"/>
      <c r="AG1743" s="133"/>
      <c r="AH1743" s="133"/>
      <c r="AI1743" s="133"/>
      <c r="AJ1743" s="133"/>
      <c r="AK1743" s="133"/>
      <c r="AL1743" s="133"/>
      <c r="AM1743" s="133"/>
      <c r="AN1743" s="133"/>
      <c r="AO1743" s="133"/>
      <c r="AP1743" s="133"/>
      <c r="AQ1743" s="133"/>
      <c r="AR1743" s="133"/>
      <c r="AS1743" s="153">
        <v>0</v>
      </c>
      <c r="AT1743" s="153">
        <v>0</v>
      </c>
      <c r="AU1743" s="153">
        <v>0</v>
      </c>
      <c r="AV1743" s="135"/>
      <c r="AW1743" s="135"/>
      <c r="AX1743" s="135"/>
      <c r="AY1743" s="135"/>
      <c r="AZ1743" s="135"/>
      <c r="BA1743" s="135"/>
      <c r="BB1743" s="135"/>
      <c r="BC1743" s="135"/>
      <c r="BD1743" s="135"/>
      <c r="BE1743" s="135"/>
      <c r="BF1743" s="135"/>
      <c r="BG1743" s="135"/>
      <c r="BH1743" s="135"/>
      <c r="BI1743" s="2"/>
      <c r="BJ1743" s="136"/>
      <c r="BK1743" s="2"/>
      <c r="BL1743" s="136"/>
      <c r="BM1743" s="136"/>
      <c r="BN1743" s="2"/>
      <c r="BO1743" s="2"/>
      <c r="BP1743" s="136"/>
      <c r="BQ1743" s="137"/>
    </row>
    <row r="1744" spans="1:69" ht="12.75" customHeight="1" x14ac:dyDescent="0.2">
      <c r="A1744" s="2">
        <v>3233</v>
      </c>
      <c r="B1744" s="2"/>
      <c r="C1744" s="2"/>
      <c r="D1744" s="2"/>
      <c r="E1744" s="2"/>
      <c r="F1744" s="132">
        <v>0</v>
      </c>
      <c r="G1744" s="132"/>
      <c r="H1744" s="132">
        <f t="shared" si="199"/>
        <v>0</v>
      </c>
      <c r="I1744" s="132"/>
      <c r="J1744" s="132">
        <f t="shared" si="197"/>
        <v>0</v>
      </c>
      <c r="K1744" s="132">
        <f t="shared" si="200"/>
        <v>0</v>
      </c>
      <c r="L1744" s="132">
        <f t="shared" si="201"/>
        <v>0</v>
      </c>
      <c r="M1744" s="133"/>
      <c r="N1744" s="133">
        <f t="shared" si="198"/>
        <v>0</v>
      </c>
      <c r="O1744" s="134"/>
      <c r="P1744" s="133"/>
      <c r="Q1744" s="2"/>
      <c r="R1744" s="156">
        <f t="shared" si="202"/>
        <v>0</v>
      </c>
      <c r="S1744" s="156">
        <f t="shared" si="203"/>
        <v>0</v>
      </c>
      <c r="T1744" s="133"/>
      <c r="U1744" s="133"/>
      <c r="V1744" s="133"/>
      <c r="W1744" s="133"/>
      <c r="X1744" s="133"/>
      <c r="Y1744" s="133"/>
      <c r="Z1744" s="133"/>
      <c r="AA1744" s="133"/>
      <c r="AB1744" s="133"/>
      <c r="AC1744" s="133"/>
      <c r="AD1744" s="133"/>
      <c r="AE1744" s="133"/>
      <c r="AF1744" s="133"/>
      <c r="AG1744" s="133"/>
      <c r="AH1744" s="133"/>
      <c r="AI1744" s="133"/>
      <c r="AJ1744" s="133"/>
      <c r="AK1744" s="133"/>
      <c r="AL1744" s="133"/>
      <c r="AM1744" s="133"/>
      <c r="AN1744" s="133"/>
      <c r="AO1744" s="133"/>
      <c r="AP1744" s="133"/>
      <c r="AQ1744" s="133"/>
      <c r="AR1744" s="133"/>
      <c r="AS1744" s="153">
        <v>0</v>
      </c>
      <c r="AT1744" s="153">
        <v>0</v>
      </c>
      <c r="AU1744" s="153">
        <v>0</v>
      </c>
      <c r="AV1744" s="135"/>
      <c r="AW1744" s="135"/>
      <c r="AX1744" s="135"/>
      <c r="AY1744" s="135"/>
      <c r="AZ1744" s="135"/>
      <c r="BA1744" s="135"/>
      <c r="BB1744" s="135"/>
      <c r="BC1744" s="135"/>
      <c r="BD1744" s="135"/>
      <c r="BE1744" s="135"/>
      <c r="BF1744" s="135"/>
      <c r="BG1744" s="135"/>
      <c r="BH1744" s="135"/>
      <c r="BI1744" s="2"/>
      <c r="BJ1744" s="136"/>
      <c r="BK1744" s="2"/>
      <c r="BL1744" s="136"/>
      <c r="BM1744" s="136"/>
      <c r="BN1744" s="2"/>
      <c r="BO1744" s="2"/>
      <c r="BP1744" s="136"/>
      <c r="BQ1744" s="137"/>
    </row>
    <row r="1745" spans="1:69" ht="12.75" customHeight="1" x14ac:dyDescent="0.2">
      <c r="A1745" s="2">
        <v>3234</v>
      </c>
      <c r="B1745" s="2"/>
      <c r="C1745" s="2"/>
      <c r="D1745" s="2"/>
      <c r="E1745" s="2"/>
      <c r="F1745" s="132">
        <v>0</v>
      </c>
      <c r="G1745" s="132"/>
      <c r="H1745" s="132">
        <f t="shared" si="199"/>
        <v>0</v>
      </c>
      <c r="I1745" s="132"/>
      <c r="J1745" s="132">
        <f t="shared" si="197"/>
        <v>0</v>
      </c>
      <c r="K1745" s="132">
        <f t="shared" si="200"/>
        <v>0</v>
      </c>
      <c r="L1745" s="132">
        <f t="shared" si="201"/>
        <v>0</v>
      </c>
      <c r="M1745" s="133"/>
      <c r="N1745" s="133">
        <f t="shared" si="198"/>
        <v>0</v>
      </c>
      <c r="O1745" s="134"/>
      <c r="P1745" s="133"/>
      <c r="Q1745" s="2"/>
      <c r="R1745" s="156">
        <f t="shared" si="202"/>
        <v>0</v>
      </c>
      <c r="S1745" s="156">
        <f t="shared" si="203"/>
        <v>0</v>
      </c>
      <c r="T1745" s="133"/>
      <c r="U1745" s="133"/>
      <c r="V1745" s="133"/>
      <c r="W1745" s="133"/>
      <c r="X1745" s="133"/>
      <c r="Y1745" s="133"/>
      <c r="Z1745" s="133"/>
      <c r="AA1745" s="133"/>
      <c r="AB1745" s="133"/>
      <c r="AC1745" s="133"/>
      <c r="AD1745" s="133"/>
      <c r="AE1745" s="133"/>
      <c r="AF1745" s="133"/>
      <c r="AG1745" s="133"/>
      <c r="AH1745" s="133"/>
      <c r="AI1745" s="133"/>
      <c r="AJ1745" s="133"/>
      <c r="AK1745" s="133"/>
      <c r="AL1745" s="133"/>
      <c r="AM1745" s="133"/>
      <c r="AN1745" s="133"/>
      <c r="AO1745" s="133"/>
      <c r="AP1745" s="133"/>
      <c r="AQ1745" s="133"/>
      <c r="AR1745" s="133"/>
      <c r="AS1745" s="153">
        <v>0</v>
      </c>
      <c r="AT1745" s="153">
        <v>0</v>
      </c>
      <c r="AU1745" s="153">
        <v>0</v>
      </c>
      <c r="AV1745" s="135"/>
      <c r="AW1745" s="135"/>
      <c r="AX1745" s="135"/>
      <c r="AY1745" s="135"/>
      <c r="AZ1745" s="135"/>
      <c r="BA1745" s="135"/>
      <c r="BB1745" s="135"/>
      <c r="BC1745" s="135"/>
      <c r="BD1745" s="135"/>
      <c r="BE1745" s="135"/>
      <c r="BF1745" s="135"/>
      <c r="BG1745" s="135"/>
      <c r="BH1745" s="135"/>
      <c r="BI1745" s="2"/>
      <c r="BJ1745" s="136"/>
      <c r="BK1745" s="2"/>
      <c r="BL1745" s="136"/>
      <c r="BM1745" s="136"/>
      <c r="BN1745" s="2"/>
      <c r="BO1745" s="2"/>
      <c r="BP1745" s="136"/>
      <c r="BQ1745" s="137"/>
    </row>
    <row r="1746" spans="1:69" ht="12.75" customHeight="1" x14ac:dyDescent="0.2">
      <c r="A1746" s="2">
        <v>3235</v>
      </c>
      <c r="B1746" s="2"/>
      <c r="C1746" s="2"/>
      <c r="D1746" s="2"/>
      <c r="E1746" s="2"/>
      <c r="F1746" s="132">
        <v>0</v>
      </c>
      <c r="G1746" s="132"/>
      <c r="H1746" s="132">
        <f t="shared" si="199"/>
        <v>0</v>
      </c>
      <c r="I1746" s="132"/>
      <c r="J1746" s="132">
        <f t="shared" si="197"/>
        <v>0</v>
      </c>
      <c r="K1746" s="132">
        <f t="shared" si="200"/>
        <v>0</v>
      </c>
      <c r="L1746" s="132">
        <f t="shared" si="201"/>
        <v>0</v>
      </c>
      <c r="M1746" s="133"/>
      <c r="N1746" s="133">
        <f t="shared" si="198"/>
        <v>0</v>
      </c>
      <c r="O1746" s="134"/>
      <c r="P1746" s="133"/>
      <c r="Q1746" s="2"/>
      <c r="R1746" s="156">
        <f t="shared" si="202"/>
        <v>0</v>
      </c>
      <c r="S1746" s="156">
        <f t="shared" si="203"/>
        <v>0</v>
      </c>
      <c r="T1746" s="133"/>
      <c r="U1746" s="133"/>
      <c r="V1746" s="133"/>
      <c r="W1746" s="133"/>
      <c r="X1746" s="133"/>
      <c r="Y1746" s="133"/>
      <c r="Z1746" s="133"/>
      <c r="AA1746" s="133"/>
      <c r="AB1746" s="133"/>
      <c r="AC1746" s="133"/>
      <c r="AD1746" s="133"/>
      <c r="AE1746" s="133"/>
      <c r="AF1746" s="133"/>
      <c r="AG1746" s="133"/>
      <c r="AH1746" s="133"/>
      <c r="AI1746" s="133"/>
      <c r="AJ1746" s="133"/>
      <c r="AK1746" s="133"/>
      <c r="AL1746" s="133"/>
      <c r="AM1746" s="133"/>
      <c r="AN1746" s="133"/>
      <c r="AO1746" s="133"/>
      <c r="AP1746" s="133"/>
      <c r="AQ1746" s="133"/>
      <c r="AR1746" s="133"/>
      <c r="AS1746" s="153">
        <v>0</v>
      </c>
      <c r="AT1746" s="153">
        <v>0</v>
      </c>
      <c r="AU1746" s="153">
        <v>0</v>
      </c>
      <c r="AV1746" s="135"/>
      <c r="AW1746" s="135"/>
      <c r="AX1746" s="135"/>
      <c r="AY1746" s="135"/>
      <c r="AZ1746" s="135"/>
      <c r="BA1746" s="135"/>
      <c r="BB1746" s="135"/>
      <c r="BC1746" s="135"/>
      <c r="BD1746" s="135"/>
      <c r="BE1746" s="135"/>
      <c r="BF1746" s="135"/>
      <c r="BG1746" s="135"/>
      <c r="BH1746" s="135"/>
      <c r="BI1746" s="2"/>
      <c r="BJ1746" s="136"/>
      <c r="BK1746" s="2"/>
      <c r="BL1746" s="136"/>
      <c r="BM1746" s="136"/>
      <c r="BN1746" s="2"/>
      <c r="BO1746" s="2"/>
      <c r="BP1746" s="136"/>
      <c r="BQ1746" s="137"/>
    </row>
    <row r="1747" spans="1:69" ht="12.75" customHeight="1" x14ac:dyDescent="0.2">
      <c r="A1747" s="2">
        <v>3236</v>
      </c>
      <c r="B1747" s="2"/>
      <c r="C1747" s="2"/>
      <c r="D1747" s="2"/>
      <c r="E1747" s="2"/>
      <c r="F1747" s="132">
        <v>0</v>
      </c>
      <c r="G1747" s="132"/>
      <c r="H1747" s="132">
        <f t="shared" si="199"/>
        <v>0</v>
      </c>
      <c r="I1747" s="132"/>
      <c r="J1747" s="132">
        <f t="shared" si="197"/>
        <v>0</v>
      </c>
      <c r="K1747" s="132">
        <f t="shared" si="200"/>
        <v>0</v>
      </c>
      <c r="L1747" s="132">
        <f t="shared" si="201"/>
        <v>0</v>
      </c>
      <c r="M1747" s="133"/>
      <c r="N1747" s="133">
        <f t="shared" si="198"/>
        <v>0</v>
      </c>
      <c r="O1747" s="134"/>
      <c r="P1747" s="133"/>
      <c r="Q1747" s="2"/>
      <c r="R1747" s="156">
        <f t="shared" si="202"/>
        <v>0</v>
      </c>
      <c r="S1747" s="156">
        <f t="shared" si="203"/>
        <v>0</v>
      </c>
      <c r="T1747" s="133"/>
      <c r="U1747" s="133"/>
      <c r="V1747" s="133"/>
      <c r="W1747" s="133"/>
      <c r="X1747" s="133"/>
      <c r="Y1747" s="133"/>
      <c r="Z1747" s="133"/>
      <c r="AA1747" s="133"/>
      <c r="AB1747" s="133"/>
      <c r="AC1747" s="133"/>
      <c r="AD1747" s="133"/>
      <c r="AE1747" s="133"/>
      <c r="AF1747" s="133"/>
      <c r="AG1747" s="133"/>
      <c r="AH1747" s="133"/>
      <c r="AI1747" s="133"/>
      <c r="AJ1747" s="133"/>
      <c r="AK1747" s="133"/>
      <c r="AL1747" s="133"/>
      <c r="AM1747" s="133"/>
      <c r="AN1747" s="133"/>
      <c r="AO1747" s="133"/>
      <c r="AP1747" s="133"/>
      <c r="AQ1747" s="133"/>
      <c r="AR1747" s="133"/>
      <c r="AS1747" s="153">
        <v>0</v>
      </c>
      <c r="AT1747" s="153">
        <v>0</v>
      </c>
      <c r="AU1747" s="153">
        <v>0</v>
      </c>
      <c r="AV1747" s="135"/>
      <c r="AW1747" s="135"/>
      <c r="AX1747" s="135"/>
      <c r="AY1747" s="135"/>
      <c r="AZ1747" s="135"/>
      <c r="BA1747" s="135"/>
      <c r="BB1747" s="135"/>
      <c r="BC1747" s="135"/>
      <c r="BD1747" s="135"/>
      <c r="BE1747" s="135"/>
      <c r="BF1747" s="135"/>
      <c r="BG1747" s="135"/>
      <c r="BH1747" s="135"/>
      <c r="BI1747" s="2"/>
      <c r="BJ1747" s="136"/>
      <c r="BK1747" s="2"/>
      <c r="BL1747" s="136"/>
      <c r="BM1747" s="136"/>
      <c r="BN1747" s="2"/>
      <c r="BO1747" s="2"/>
      <c r="BP1747" s="136"/>
      <c r="BQ1747" s="137"/>
    </row>
    <row r="1748" spans="1:69" ht="12.75" customHeight="1" x14ac:dyDescent="0.2">
      <c r="A1748" s="2">
        <v>3237</v>
      </c>
      <c r="B1748" s="2"/>
      <c r="C1748" s="2"/>
      <c r="D1748" s="2"/>
      <c r="E1748" s="2"/>
      <c r="F1748" s="132">
        <v>0</v>
      </c>
      <c r="G1748" s="132"/>
      <c r="H1748" s="132">
        <f t="shared" si="199"/>
        <v>0</v>
      </c>
      <c r="I1748" s="132"/>
      <c r="J1748" s="132">
        <f t="shared" si="197"/>
        <v>0</v>
      </c>
      <c r="K1748" s="132">
        <f t="shared" si="200"/>
        <v>0</v>
      </c>
      <c r="L1748" s="132">
        <f t="shared" si="201"/>
        <v>0</v>
      </c>
      <c r="M1748" s="133"/>
      <c r="N1748" s="133">
        <f t="shared" si="198"/>
        <v>0</v>
      </c>
      <c r="O1748" s="134"/>
      <c r="P1748" s="133"/>
      <c r="Q1748" s="2"/>
      <c r="R1748" s="156">
        <f t="shared" si="202"/>
        <v>0</v>
      </c>
      <c r="S1748" s="156">
        <f t="shared" si="203"/>
        <v>0</v>
      </c>
      <c r="T1748" s="133"/>
      <c r="U1748" s="133"/>
      <c r="V1748" s="133"/>
      <c r="W1748" s="133"/>
      <c r="X1748" s="133"/>
      <c r="Y1748" s="133"/>
      <c r="Z1748" s="133"/>
      <c r="AA1748" s="133"/>
      <c r="AB1748" s="133"/>
      <c r="AC1748" s="133"/>
      <c r="AD1748" s="133"/>
      <c r="AE1748" s="133"/>
      <c r="AF1748" s="133"/>
      <c r="AG1748" s="133"/>
      <c r="AH1748" s="133"/>
      <c r="AI1748" s="133"/>
      <c r="AJ1748" s="133"/>
      <c r="AK1748" s="133"/>
      <c r="AL1748" s="133"/>
      <c r="AM1748" s="133"/>
      <c r="AN1748" s="133"/>
      <c r="AO1748" s="133"/>
      <c r="AP1748" s="133"/>
      <c r="AQ1748" s="133"/>
      <c r="AR1748" s="133"/>
      <c r="AS1748" s="153">
        <v>0</v>
      </c>
      <c r="AT1748" s="153">
        <v>0</v>
      </c>
      <c r="AU1748" s="153">
        <v>0</v>
      </c>
      <c r="AV1748" s="135"/>
      <c r="AW1748" s="135"/>
      <c r="AX1748" s="135"/>
      <c r="AY1748" s="135"/>
      <c r="AZ1748" s="135"/>
      <c r="BA1748" s="135"/>
      <c r="BB1748" s="135"/>
      <c r="BC1748" s="135"/>
      <c r="BD1748" s="135"/>
      <c r="BE1748" s="135"/>
      <c r="BF1748" s="135"/>
      <c r="BG1748" s="135"/>
      <c r="BH1748" s="135"/>
      <c r="BI1748" s="2"/>
      <c r="BJ1748" s="136"/>
      <c r="BK1748" s="2"/>
      <c r="BL1748" s="136"/>
      <c r="BM1748" s="136"/>
      <c r="BN1748" s="2"/>
      <c r="BO1748" s="2"/>
      <c r="BP1748" s="136"/>
      <c r="BQ1748" s="137"/>
    </row>
    <row r="1749" spans="1:69" ht="12.75" customHeight="1" x14ac:dyDescent="0.2">
      <c r="A1749" s="2">
        <v>3238</v>
      </c>
      <c r="B1749" s="2"/>
      <c r="C1749" s="2"/>
      <c r="D1749" s="2"/>
      <c r="E1749" s="2"/>
      <c r="F1749" s="132">
        <v>0</v>
      </c>
      <c r="G1749" s="132"/>
      <c r="H1749" s="132">
        <f t="shared" si="199"/>
        <v>0</v>
      </c>
      <c r="I1749" s="132"/>
      <c r="J1749" s="132">
        <f t="shared" si="197"/>
        <v>0</v>
      </c>
      <c r="K1749" s="132">
        <f t="shared" si="200"/>
        <v>0</v>
      </c>
      <c r="L1749" s="132">
        <f t="shared" si="201"/>
        <v>0</v>
      </c>
      <c r="M1749" s="133"/>
      <c r="N1749" s="133">
        <f t="shared" si="198"/>
        <v>0</v>
      </c>
      <c r="O1749" s="134"/>
      <c r="P1749" s="133"/>
      <c r="Q1749" s="2"/>
      <c r="R1749" s="156">
        <f t="shared" si="202"/>
        <v>0</v>
      </c>
      <c r="S1749" s="156">
        <f t="shared" si="203"/>
        <v>0</v>
      </c>
      <c r="T1749" s="133"/>
      <c r="U1749" s="133"/>
      <c r="V1749" s="133"/>
      <c r="W1749" s="133"/>
      <c r="X1749" s="133"/>
      <c r="Y1749" s="133"/>
      <c r="Z1749" s="133"/>
      <c r="AA1749" s="133"/>
      <c r="AB1749" s="133"/>
      <c r="AC1749" s="133"/>
      <c r="AD1749" s="133"/>
      <c r="AE1749" s="133"/>
      <c r="AF1749" s="133"/>
      <c r="AG1749" s="133"/>
      <c r="AH1749" s="133"/>
      <c r="AI1749" s="133"/>
      <c r="AJ1749" s="133"/>
      <c r="AK1749" s="133"/>
      <c r="AL1749" s="133"/>
      <c r="AM1749" s="133"/>
      <c r="AN1749" s="133"/>
      <c r="AO1749" s="133"/>
      <c r="AP1749" s="133"/>
      <c r="AQ1749" s="133"/>
      <c r="AR1749" s="133"/>
      <c r="AS1749" s="153">
        <v>0</v>
      </c>
      <c r="AT1749" s="153">
        <v>0</v>
      </c>
      <c r="AU1749" s="153">
        <v>0</v>
      </c>
      <c r="AV1749" s="135"/>
      <c r="AW1749" s="135"/>
      <c r="AX1749" s="135"/>
      <c r="AY1749" s="135"/>
      <c r="AZ1749" s="135"/>
      <c r="BA1749" s="135"/>
      <c r="BB1749" s="135"/>
      <c r="BC1749" s="135"/>
      <c r="BD1749" s="135"/>
      <c r="BE1749" s="135"/>
      <c r="BF1749" s="135"/>
      <c r="BG1749" s="135"/>
      <c r="BH1749" s="135"/>
      <c r="BI1749" s="2"/>
      <c r="BJ1749" s="136"/>
      <c r="BK1749" s="2"/>
      <c r="BL1749" s="136"/>
      <c r="BM1749" s="136"/>
      <c r="BN1749" s="2"/>
      <c r="BO1749" s="2"/>
      <c r="BP1749" s="136"/>
      <c r="BQ1749" s="137"/>
    </row>
    <row r="1750" spans="1:69" ht="12.75" customHeight="1" x14ac:dyDescent="0.2">
      <c r="A1750" s="2">
        <v>3239</v>
      </c>
      <c r="B1750" s="2"/>
      <c r="C1750" s="2"/>
      <c r="D1750" s="2"/>
      <c r="E1750" s="2"/>
      <c r="F1750" s="132">
        <v>0</v>
      </c>
      <c r="G1750" s="132"/>
      <c r="H1750" s="132">
        <f t="shared" si="199"/>
        <v>0</v>
      </c>
      <c r="I1750" s="132"/>
      <c r="J1750" s="132">
        <f t="shared" si="197"/>
        <v>0</v>
      </c>
      <c r="K1750" s="132">
        <f t="shared" si="200"/>
        <v>0</v>
      </c>
      <c r="L1750" s="132">
        <f t="shared" si="201"/>
        <v>0</v>
      </c>
      <c r="M1750" s="133"/>
      <c r="N1750" s="133">
        <f t="shared" si="198"/>
        <v>0</v>
      </c>
      <c r="O1750" s="134"/>
      <c r="P1750" s="133"/>
      <c r="Q1750" s="2"/>
      <c r="R1750" s="156">
        <f t="shared" si="202"/>
        <v>0</v>
      </c>
      <c r="S1750" s="156">
        <f t="shared" si="203"/>
        <v>0</v>
      </c>
      <c r="T1750" s="133"/>
      <c r="U1750" s="133"/>
      <c r="V1750" s="133"/>
      <c r="W1750" s="133"/>
      <c r="X1750" s="133"/>
      <c r="Y1750" s="133"/>
      <c r="Z1750" s="133"/>
      <c r="AA1750" s="133"/>
      <c r="AB1750" s="133"/>
      <c r="AC1750" s="133"/>
      <c r="AD1750" s="133"/>
      <c r="AE1750" s="133"/>
      <c r="AF1750" s="133"/>
      <c r="AG1750" s="133"/>
      <c r="AH1750" s="133"/>
      <c r="AI1750" s="133"/>
      <c r="AJ1750" s="133"/>
      <c r="AK1750" s="133"/>
      <c r="AL1750" s="133"/>
      <c r="AM1750" s="133"/>
      <c r="AN1750" s="133"/>
      <c r="AO1750" s="133"/>
      <c r="AP1750" s="133"/>
      <c r="AQ1750" s="133"/>
      <c r="AR1750" s="133"/>
      <c r="AS1750" s="153">
        <v>0</v>
      </c>
      <c r="AT1750" s="153">
        <v>0</v>
      </c>
      <c r="AU1750" s="153">
        <v>0</v>
      </c>
      <c r="AV1750" s="135"/>
      <c r="AW1750" s="135"/>
      <c r="AX1750" s="135"/>
      <c r="AY1750" s="135"/>
      <c r="AZ1750" s="135"/>
      <c r="BA1750" s="135"/>
      <c r="BB1750" s="135"/>
      <c r="BC1750" s="135"/>
      <c r="BD1750" s="135"/>
      <c r="BE1750" s="135"/>
      <c r="BF1750" s="135"/>
      <c r="BG1750" s="135"/>
      <c r="BH1750" s="135"/>
      <c r="BI1750" s="2"/>
      <c r="BJ1750" s="136"/>
      <c r="BK1750" s="2"/>
      <c r="BL1750" s="136"/>
      <c r="BM1750" s="136"/>
      <c r="BN1750" s="2"/>
      <c r="BO1750" s="2"/>
      <c r="BP1750" s="136"/>
      <c r="BQ1750" s="137"/>
    </row>
    <row r="1751" spans="1:69" ht="12.75" customHeight="1" x14ac:dyDescent="0.2">
      <c r="A1751" s="2">
        <v>3240</v>
      </c>
      <c r="B1751" s="2"/>
      <c r="C1751" s="2"/>
      <c r="D1751" s="2"/>
      <c r="E1751" s="2"/>
      <c r="F1751" s="132">
        <v>0</v>
      </c>
      <c r="G1751" s="132"/>
      <c r="H1751" s="132">
        <f t="shared" si="199"/>
        <v>0</v>
      </c>
      <c r="I1751" s="132"/>
      <c r="J1751" s="132">
        <f t="shared" si="197"/>
        <v>0</v>
      </c>
      <c r="K1751" s="132">
        <f t="shared" si="200"/>
        <v>0</v>
      </c>
      <c r="L1751" s="132">
        <f t="shared" si="201"/>
        <v>0</v>
      </c>
      <c r="M1751" s="133"/>
      <c r="N1751" s="133">
        <f t="shared" si="198"/>
        <v>0</v>
      </c>
      <c r="O1751" s="134"/>
      <c r="P1751" s="133"/>
      <c r="Q1751" s="2"/>
      <c r="R1751" s="156">
        <f t="shared" si="202"/>
        <v>0</v>
      </c>
      <c r="S1751" s="156">
        <f t="shared" si="203"/>
        <v>0</v>
      </c>
      <c r="T1751" s="133"/>
      <c r="U1751" s="133"/>
      <c r="V1751" s="133"/>
      <c r="W1751" s="133"/>
      <c r="X1751" s="133"/>
      <c r="Y1751" s="133"/>
      <c r="Z1751" s="133"/>
      <c r="AA1751" s="133"/>
      <c r="AB1751" s="133"/>
      <c r="AC1751" s="133"/>
      <c r="AD1751" s="133"/>
      <c r="AE1751" s="133"/>
      <c r="AF1751" s="133"/>
      <c r="AG1751" s="133"/>
      <c r="AH1751" s="133"/>
      <c r="AI1751" s="133"/>
      <c r="AJ1751" s="133"/>
      <c r="AK1751" s="133"/>
      <c r="AL1751" s="133"/>
      <c r="AM1751" s="133"/>
      <c r="AN1751" s="133"/>
      <c r="AO1751" s="133"/>
      <c r="AP1751" s="133"/>
      <c r="AQ1751" s="133"/>
      <c r="AR1751" s="133"/>
      <c r="AS1751" s="153">
        <v>0</v>
      </c>
      <c r="AT1751" s="153">
        <v>0</v>
      </c>
      <c r="AU1751" s="153">
        <v>0</v>
      </c>
      <c r="AV1751" s="135"/>
      <c r="AW1751" s="135"/>
      <c r="AX1751" s="135"/>
      <c r="AY1751" s="135"/>
      <c r="AZ1751" s="135"/>
      <c r="BA1751" s="135"/>
      <c r="BB1751" s="135"/>
      <c r="BC1751" s="135"/>
      <c r="BD1751" s="135"/>
      <c r="BE1751" s="135"/>
      <c r="BF1751" s="135"/>
      <c r="BG1751" s="135"/>
      <c r="BH1751" s="135"/>
      <c r="BI1751" s="2"/>
      <c r="BJ1751" s="136"/>
      <c r="BK1751" s="2"/>
      <c r="BL1751" s="136"/>
      <c r="BM1751" s="136"/>
      <c r="BN1751" s="2"/>
      <c r="BO1751" s="2"/>
      <c r="BP1751" s="136"/>
      <c r="BQ1751" s="137"/>
    </row>
    <row r="1752" spans="1:69" ht="12.75" customHeight="1" x14ac:dyDescent="0.2">
      <c r="A1752" s="2">
        <v>3241</v>
      </c>
      <c r="B1752" s="2"/>
      <c r="C1752" s="2"/>
      <c r="D1752" s="2"/>
      <c r="E1752" s="2"/>
      <c r="F1752" s="132">
        <v>0</v>
      </c>
      <c r="G1752" s="132"/>
      <c r="H1752" s="132">
        <f t="shared" si="199"/>
        <v>0</v>
      </c>
      <c r="I1752" s="132"/>
      <c r="J1752" s="132">
        <f t="shared" si="197"/>
        <v>0</v>
      </c>
      <c r="K1752" s="132">
        <f t="shared" si="200"/>
        <v>0</v>
      </c>
      <c r="L1752" s="132">
        <f t="shared" si="201"/>
        <v>0</v>
      </c>
      <c r="M1752" s="133"/>
      <c r="N1752" s="133">
        <f t="shared" si="198"/>
        <v>0</v>
      </c>
      <c r="O1752" s="134"/>
      <c r="P1752" s="133"/>
      <c r="Q1752" s="2"/>
      <c r="R1752" s="156">
        <f t="shared" si="202"/>
        <v>0</v>
      </c>
      <c r="S1752" s="156">
        <f t="shared" si="203"/>
        <v>0</v>
      </c>
      <c r="T1752" s="133"/>
      <c r="U1752" s="133"/>
      <c r="V1752" s="133"/>
      <c r="W1752" s="133"/>
      <c r="X1752" s="133"/>
      <c r="Y1752" s="133"/>
      <c r="Z1752" s="133"/>
      <c r="AA1752" s="133"/>
      <c r="AB1752" s="133"/>
      <c r="AC1752" s="133"/>
      <c r="AD1752" s="133"/>
      <c r="AE1752" s="133"/>
      <c r="AF1752" s="133"/>
      <c r="AG1752" s="133"/>
      <c r="AH1752" s="133"/>
      <c r="AI1752" s="133"/>
      <c r="AJ1752" s="133"/>
      <c r="AK1752" s="133"/>
      <c r="AL1752" s="133"/>
      <c r="AM1752" s="133"/>
      <c r="AN1752" s="133"/>
      <c r="AO1752" s="133"/>
      <c r="AP1752" s="133"/>
      <c r="AQ1752" s="133"/>
      <c r="AR1752" s="133"/>
      <c r="AS1752" s="153">
        <v>0</v>
      </c>
      <c r="AT1752" s="153">
        <v>0</v>
      </c>
      <c r="AU1752" s="153">
        <v>0</v>
      </c>
      <c r="AV1752" s="135"/>
      <c r="AW1752" s="135"/>
      <c r="AX1752" s="135"/>
      <c r="AY1752" s="135"/>
      <c r="AZ1752" s="135"/>
      <c r="BA1752" s="135"/>
      <c r="BB1752" s="135"/>
      <c r="BC1752" s="135"/>
      <c r="BD1752" s="135"/>
      <c r="BE1752" s="135"/>
      <c r="BF1752" s="135"/>
      <c r="BG1752" s="135"/>
      <c r="BH1752" s="135"/>
      <c r="BI1752" s="2"/>
      <c r="BJ1752" s="136"/>
      <c r="BK1752" s="2"/>
      <c r="BL1752" s="136"/>
      <c r="BM1752" s="136"/>
      <c r="BN1752" s="2"/>
      <c r="BO1752" s="2"/>
      <c r="BP1752" s="136"/>
      <c r="BQ1752" s="137"/>
    </row>
    <row r="1753" spans="1:69" ht="12.75" customHeight="1" x14ac:dyDescent="0.2">
      <c r="A1753" s="2">
        <v>3242</v>
      </c>
      <c r="B1753" s="2"/>
      <c r="C1753" s="2"/>
      <c r="D1753" s="2"/>
      <c r="E1753" s="2"/>
      <c r="F1753" s="132">
        <v>0</v>
      </c>
      <c r="G1753" s="132"/>
      <c r="H1753" s="132">
        <f t="shared" si="199"/>
        <v>0</v>
      </c>
      <c r="I1753" s="132"/>
      <c r="J1753" s="132">
        <f t="shared" si="197"/>
        <v>0</v>
      </c>
      <c r="K1753" s="132">
        <f t="shared" si="200"/>
        <v>0</v>
      </c>
      <c r="L1753" s="132">
        <f t="shared" si="201"/>
        <v>0</v>
      </c>
      <c r="M1753" s="133"/>
      <c r="N1753" s="133">
        <f t="shared" si="198"/>
        <v>0</v>
      </c>
      <c r="O1753" s="134"/>
      <c r="P1753" s="133"/>
      <c r="Q1753" s="2"/>
      <c r="R1753" s="156">
        <f t="shared" si="202"/>
        <v>0</v>
      </c>
      <c r="S1753" s="156">
        <f t="shared" si="203"/>
        <v>0</v>
      </c>
      <c r="T1753" s="133"/>
      <c r="U1753" s="133"/>
      <c r="V1753" s="133"/>
      <c r="W1753" s="133"/>
      <c r="X1753" s="133"/>
      <c r="Y1753" s="133"/>
      <c r="Z1753" s="133"/>
      <c r="AA1753" s="133"/>
      <c r="AB1753" s="133"/>
      <c r="AC1753" s="133"/>
      <c r="AD1753" s="133"/>
      <c r="AE1753" s="133"/>
      <c r="AF1753" s="133"/>
      <c r="AG1753" s="133"/>
      <c r="AH1753" s="133"/>
      <c r="AI1753" s="133"/>
      <c r="AJ1753" s="133"/>
      <c r="AK1753" s="133"/>
      <c r="AL1753" s="133"/>
      <c r="AM1753" s="133"/>
      <c r="AN1753" s="133"/>
      <c r="AO1753" s="133"/>
      <c r="AP1753" s="133"/>
      <c r="AQ1753" s="133"/>
      <c r="AR1753" s="133"/>
      <c r="AS1753" s="153">
        <v>0</v>
      </c>
      <c r="AT1753" s="153">
        <v>0</v>
      </c>
      <c r="AU1753" s="153">
        <v>0</v>
      </c>
      <c r="AV1753" s="135"/>
      <c r="AW1753" s="135"/>
      <c r="AX1753" s="135"/>
      <c r="AY1753" s="135"/>
      <c r="AZ1753" s="135"/>
      <c r="BA1753" s="135"/>
      <c r="BB1753" s="135"/>
      <c r="BC1753" s="135"/>
      <c r="BD1753" s="135"/>
      <c r="BE1753" s="135"/>
      <c r="BF1753" s="135"/>
      <c r="BG1753" s="135"/>
      <c r="BH1753" s="135"/>
      <c r="BI1753" s="2"/>
      <c r="BJ1753" s="136"/>
      <c r="BK1753" s="2"/>
      <c r="BL1753" s="136"/>
      <c r="BM1753" s="136"/>
      <c r="BN1753" s="2"/>
      <c r="BO1753" s="2"/>
      <c r="BP1753" s="136"/>
      <c r="BQ1753" s="137"/>
    </row>
    <row r="1754" spans="1:69" ht="12.75" customHeight="1" x14ac:dyDescent="0.2">
      <c r="A1754" s="2">
        <v>3243</v>
      </c>
      <c r="B1754" s="2"/>
      <c r="C1754" s="2"/>
      <c r="D1754" s="2"/>
      <c r="E1754" s="2"/>
      <c r="F1754" s="132">
        <v>0</v>
      </c>
      <c r="G1754" s="132"/>
      <c r="H1754" s="132">
        <f t="shared" si="199"/>
        <v>0</v>
      </c>
      <c r="I1754" s="132"/>
      <c r="J1754" s="132">
        <f t="shared" si="197"/>
        <v>0</v>
      </c>
      <c r="K1754" s="132">
        <f t="shared" si="200"/>
        <v>0</v>
      </c>
      <c r="L1754" s="132">
        <f t="shared" si="201"/>
        <v>0</v>
      </c>
      <c r="M1754" s="133"/>
      <c r="N1754" s="133">
        <f t="shared" si="198"/>
        <v>0</v>
      </c>
      <c r="O1754" s="134"/>
      <c r="P1754" s="133"/>
      <c r="Q1754" s="2"/>
      <c r="R1754" s="156">
        <f t="shared" si="202"/>
        <v>0</v>
      </c>
      <c r="S1754" s="156">
        <f t="shared" si="203"/>
        <v>0</v>
      </c>
      <c r="T1754" s="133"/>
      <c r="U1754" s="133"/>
      <c r="V1754" s="133"/>
      <c r="W1754" s="133"/>
      <c r="X1754" s="133"/>
      <c r="Y1754" s="133"/>
      <c r="Z1754" s="133"/>
      <c r="AA1754" s="133"/>
      <c r="AB1754" s="133"/>
      <c r="AC1754" s="133"/>
      <c r="AD1754" s="133"/>
      <c r="AE1754" s="133"/>
      <c r="AF1754" s="133"/>
      <c r="AG1754" s="133"/>
      <c r="AH1754" s="133"/>
      <c r="AI1754" s="133"/>
      <c r="AJ1754" s="133"/>
      <c r="AK1754" s="133"/>
      <c r="AL1754" s="133"/>
      <c r="AM1754" s="133"/>
      <c r="AN1754" s="133"/>
      <c r="AO1754" s="133"/>
      <c r="AP1754" s="133"/>
      <c r="AQ1754" s="133"/>
      <c r="AR1754" s="133"/>
      <c r="AS1754" s="153">
        <v>0</v>
      </c>
      <c r="AT1754" s="153">
        <v>0</v>
      </c>
      <c r="AU1754" s="153">
        <v>0</v>
      </c>
      <c r="AV1754" s="135"/>
      <c r="AW1754" s="135"/>
      <c r="AX1754" s="135"/>
      <c r="AY1754" s="135"/>
      <c r="AZ1754" s="135"/>
      <c r="BA1754" s="135"/>
      <c r="BB1754" s="135"/>
      <c r="BC1754" s="135"/>
      <c r="BD1754" s="135"/>
      <c r="BE1754" s="135"/>
      <c r="BF1754" s="135"/>
      <c r="BG1754" s="135"/>
      <c r="BH1754" s="135"/>
      <c r="BI1754" s="2"/>
      <c r="BJ1754" s="136"/>
      <c r="BK1754" s="2"/>
      <c r="BL1754" s="136"/>
      <c r="BM1754" s="136"/>
      <c r="BN1754" s="2"/>
      <c r="BO1754" s="2"/>
      <c r="BP1754" s="136"/>
      <c r="BQ1754" s="137"/>
    </row>
    <row r="1755" spans="1:69" ht="12.75" customHeight="1" x14ac:dyDescent="0.2">
      <c r="A1755" s="2">
        <v>3244</v>
      </c>
      <c r="B1755" s="2"/>
      <c r="C1755" s="2"/>
      <c r="D1755" s="2"/>
      <c r="E1755" s="2"/>
      <c r="F1755" s="132">
        <v>0</v>
      </c>
      <c r="G1755" s="132"/>
      <c r="H1755" s="132">
        <f t="shared" si="199"/>
        <v>0</v>
      </c>
      <c r="I1755" s="132"/>
      <c r="J1755" s="132">
        <f t="shared" si="197"/>
        <v>0</v>
      </c>
      <c r="K1755" s="132">
        <f t="shared" si="200"/>
        <v>0</v>
      </c>
      <c r="L1755" s="132">
        <f t="shared" si="201"/>
        <v>0</v>
      </c>
      <c r="M1755" s="133"/>
      <c r="N1755" s="133">
        <f t="shared" si="198"/>
        <v>0</v>
      </c>
      <c r="O1755" s="134"/>
      <c r="P1755" s="133"/>
      <c r="Q1755" s="2"/>
      <c r="R1755" s="156">
        <f t="shared" si="202"/>
        <v>0</v>
      </c>
      <c r="S1755" s="156">
        <f t="shared" si="203"/>
        <v>0</v>
      </c>
      <c r="T1755" s="133"/>
      <c r="U1755" s="133"/>
      <c r="V1755" s="133"/>
      <c r="W1755" s="133"/>
      <c r="X1755" s="133"/>
      <c r="Y1755" s="133"/>
      <c r="Z1755" s="133"/>
      <c r="AA1755" s="133"/>
      <c r="AB1755" s="133"/>
      <c r="AC1755" s="133"/>
      <c r="AD1755" s="133"/>
      <c r="AE1755" s="133"/>
      <c r="AF1755" s="133"/>
      <c r="AG1755" s="133"/>
      <c r="AH1755" s="133"/>
      <c r="AI1755" s="133"/>
      <c r="AJ1755" s="133"/>
      <c r="AK1755" s="133"/>
      <c r="AL1755" s="133"/>
      <c r="AM1755" s="133"/>
      <c r="AN1755" s="133"/>
      <c r="AO1755" s="133"/>
      <c r="AP1755" s="133"/>
      <c r="AQ1755" s="133"/>
      <c r="AR1755" s="133"/>
      <c r="AS1755" s="153">
        <v>0</v>
      </c>
      <c r="AT1755" s="153">
        <v>0</v>
      </c>
      <c r="AU1755" s="153">
        <v>0</v>
      </c>
      <c r="AV1755" s="135"/>
      <c r="AW1755" s="135"/>
      <c r="AX1755" s="135"/>
      <c r="AY1755" s="135"/>
      <c r="AZ1755" s="135"/>
      <c r="BA1755" s="135"/>
      <c r="BB1755" s="135"/>
      <c r="BC1755" s="135"/>
      <c r="BD1755" s="135"/>
      <c r="BE1755" s="135"/>
      <c r="BF1755" s="135"/>
      <c r="BG1755" s="135"/>
      <c r="BH1755" s="135"/>
      <c r="BI1755" s="2"/>
      <c r="BJ1755" s="136"/>
      <c r="BK1755" s="2"/>
      <c r="BL1755" s="136"/>
      <c r="BM1755" s="136"/>
      <c r="BN1755" s="2"/>
      <c r="BO1755" s="2"/>
      <c r="BP1755" s="136"/>
      <c r="BQ1755" s="137"/>
    </row>
    <row r="1756" spans="1:69" ht="12.75" customHeight="1" x14ac:dyDescent="0.2">
      <c r="A1756" s="2">
        <v>3245</v>
      </c>
      <c r="B1756" s="2"/>
      <c r="C1756" s="2"/>
      <c r="D1756" s="2"/>
      <c r="E1756" s="2"/>
      <c r="F1756" s="132">
        <v>0</v>
      </c>
      <c r="G1756" s="132"/>
      <c r="H1756" s="132">
        <f t="shared" si="199"/>
        <v>0</v>
      </c>
      <c r="I1756" s="132"/>
      <c r="J1756" s="132">
        <f t="shared" si="197"/>
        <v>0</v>
      </c>
      <c r="K1756" s="132">
        <f t="shared" si="200"/>
        <v>0</v>
      </c>
      <c r="L1756" s="132">
        <f t="shared" si="201"/>
        <v>0</v>
      </c>
      <c r="M1756" s="133"/>
      <c r="N1756" s="133">
        <f t="shared" si="198"/>
        <v>0</v>
      </c>
      <c r="O1756" s="134"/>
      <c r="P1756" s="133"/>
      <c r="Q1756" s="2"/>
      <c r="R1756" s="156">
        <f t="shared" si="202"/>
        <v>0</v>
      </c>
      <c r="S1756" s="156">
        <f t="shared" si="203"/>
        <v>0</v>
      </c>
      <c r="T1756" s="133"/>
      <c r="U1756" s="133"/>
      <c r="V1756" s="133"/>
      <c r="W1756" s="133"/>
      <c r="X1756" s="133"/>
      <c r="Y1756" s="133"/>
      <c r="Z1756" s="133"/>
      <c r="AA1756" s="133"/>
      <c r="AB1756" s="133"/>
      <c r="AC1756" s="133"/>
      <c r="AD1756" s="133"/>
      <c r="AE1756" s="133"/>
      <c r="AF1756" s="133"/>
      <c r="AG1756" s="133"/>
      <c r="AH1756" s="133"/>
      <c r="AI1756" s="133"/>
      <c r="AJ1756" s="133"/>
      <c r="AK1756" s="133"/>
      <c r="AL1756" s="133"/>
      <c r="AM1756" s="133"/>
      <c r="AN1756" s="133"/>
      <c r="AO1756" s="133"/>
      <c r="AP1756" s="133"/>
      <c r="AQ1756" s="133"/>
      <c r="AR1756" s="133"/>
      <c r="AS1756" s="153">
        <v>0</v>
      </c>
      <c r="AT1756" s="153">
        <v>0</v>
      </c>
      <c r="AU1756" s="153">
        <v>0</v>
      </c>
      <c r="AV1756" s="135"/>
      <c r="AW1756" s="135"/>
      <c r="AX1756" s="135"/>
      <c r="AY1756" s="135"/>
      <c r="AZ1756" s="135"/>
      <c r="BA1756" s="135"/>
      <c r="BB1756" s="135"/>
      <c r="BC1756" s="135"/>
      <c r="BD1756" s="135"/>
      <c r="BE1756" s="135"/>
      <c r="BF1756" s="135"/>
      <c r="BG1756" s="135"/>
      <c r="BH1756" s="135"/>
      <c r="BI1756" s="2"/>
      <c r="BJ1756" s="136"/>
      <c r="BK1756" s="2"/>
      <c r="BL1756" s="136"/>
      <c r="BM1756" s="136"/>
      <c r="BN1756" s="2"/>
      <c r="BO1756" s="2"/>
      <c r="BP1756" s="136"/>
      <c r="BQ1756" s="137"/>
    </row>
    <row r="1757" spans="1:69" ht="12.75" customHeight="1" x14ac:dyDescent="0.2">
      <c r="A1757" s="2">
        <v>3246</v>
      </c>
      <c r="B1757" s="2"/>
      <c r="C1757" s="2"/>
      <c r="D1757" s="2"/>
      <c r="E1757" s="2"/>
      <c r="F1757" s="132">
        <v>0</v>
      </c>
      <c r="G1757" s="132"/>
      <c r="H1757" s="132">
        <f t="shared" si="199"/>
        <v>0</v>
      </c>
      <c r="I1757" s="132"/>
      <c r="J1757" s="132">
        <f t="shared" si="197"/>
        <v>0</v>
      </c>
      <c r="K1757" s="132">
        <f t="shared" si="200"/>
        <v>0</v>
      </c>
      <c r="L1757" s="132">
        <f t="shared" si="201"/>
        <v>0</v>
      </c>
      <c r="M1757" s="133"/>
      <c r="N1757" s="133">
        <f t="shared" si="198"/>
        <v>0</v>
      </c>
      <c r="O1757" s="134"/>
      <c r="P1757" s="133"/>
      <c r="Q1757" s="2"/>
      <c r="R1757" s="156">
        <f t="shared" si="202"/>
        <v>0</v>
      </c>
      <c r="S1757" s="156">
        <f t="shared" si="203"/>
        <v>0</v>
      </c>
      <c r="T1757" s="133"/>
      <c r="U1757" s="133"/>
      <c r="V1757" s="133"/>
      <c r="W1757" s="133"/>
      <c r="X1757" s="133"/>
      <c r="Y1757" s="133"/>
      <c r="Z1757" s="133"/>
      <c r="AA1757" s="133"/>
      <c r="AB1757" s="133"/>
      <c r="AC1757" s="133"/>
      <c r="AD1757" s="133"/>
      <c r="AE1757" s="133"/>
      <c r="AF1757" s="133"/>
      <c r="AG1757" s="133"/>
      <c r="AH1757" s="133"/>
      <c r="AI1757" s="133"/>
      <c r="AJ1757" s="133"/>
      <c r="AK1757" s="133"/>
      <c r="AL1757" s="133"/>
      <c r="AM1757" s="133"/>
      <c r="AN1757" s="133"/>
      <c r="AO1757" s="133"/>
      <c r="AP1757" s="133"/>
      <c r="AQ1757" s="133"/>
      <c r="AR1757" s="133"/>
      <c r="AS1757" s="153">
        <v>0</v>
      </c>
      <c r="AT1757" s="153">
        <v>0</v>
      </c>
      <c r="AU1757" s="153">
        <v>0</v>
      </c>
      <c r="AV1757" s="135"/>
      <c r="AW1757" s="135"/>
      <c r="AX1757" s="135"/>
      <c r="AY1757" s="135"/>
      <c r="AZ1757" s="135"/>
      <c r="BA1757" s="135"/>
      <c r="BB1757" s="135"/>
      <c r="BC1757" s="135"/>
      <c r="BD1757" s="135"/>
      <c r="BE1757" s="135"/>
      <c r="BF1757" s="135"/>
      <c r="BG1757" s="135"/>
      <c r="BH1757" s="135"/>
      <c r="BI1757" s="2"/>
      <c r="BJ1757" s="136"/>
      <c r="BK1757" s="2"/>
      <c r="BL1757" s="136"/>
      <c r="BM1757" s="136"/>
      <c r="BN1757" s="2"/>
      <c r="BO1757" s="2"/>
      <c r="BP1757" s="136"/>
      <c r="BQ1757" s="137"/>
    </row>
    <row r="1758" spans="1:69" ht="12.75" customHeight="1" x14ac:dyDescent="0.2">
      <c r="A1758" s="2">
        <v>3247</v>
      </c>
      <c r="B1758" s="2"/>
      <c r="C1758" s="2"/>
      <c r="D1758" s="2"/>
      <c r="E1758" s="2"/>
      <c r="F1758" s="132">
        <v>0</v>
      </c>
      <c r="G1758" s="132"/>
      <c r="H1758" s="132">
        <f t="shared" si="199"/>
        <v>0</v>
      </c>
      <c r="I1758" s="132"/>
      <c r="J1758" s="132">
        <f t="shared" si="197"/>
        <v>0</v>
      </c>
      <c r="K1758" s="132">
        <f t="shared" si="200"/>
        <v>0</v>
      </c>
      <c r="L1758" s="132">
        <f t="shared" si="201"/>
        <v>0</v>
      </c>
      <c r="M1758" s="133"/>
      <c r="N1758" s="133">
        <f t="shared" si="198"/>
        <v>0</v>
      </c>
      <c r="O1758" s="134"/>
      <c r="P1758" s="133"/>
      <c r="Q1758" s="2"/>
      <c r="R1758" s="156">
        <f t="shared" si="202"/>
        <v>0</v>
      </c>
      <c r="S1758" s="156">
        <f t="shared" si="203"/>
        <v>0</v>
      </c>
      <c r="T1758" s="133"/>
      <c r="U1758" s="133"/>
      <c r="V1758" s="133"/>
      <c r="W1758" s="133"/>
      <c r="X1758" s="133"/>
      <c r="Y1758" s="133"/>
      <c r="Z1758" s="133"/>
      <c r="AA1758" s="133"/>
      <c r="AB1758" s="133"/>
      <c r="AC1758" s="133"/>
      <c r="AD1758" s="133"/>
      <c r="AE1758" s="133"/>
      <c r="AF1758" s="133"/>
      <c r="AG1758" s="133"/>
      <c r="AH1758" s="133"/>
      <c r="AI1758" s="133"/>
      <c r="AJ1758" s="133"/>
      <c r="AK1758" s="133"/>
      <c r="AL1758" s="133"/>
      <c r="AM1758" s="133"/>
      <c r="AN1758" s="133"/>
      <c r="AO1758" s="133"/>
      <c r="AP1758" s="133"/>
      <c r="AQ1758" s="133"/>
      <c r="AR1758" s="133"/>
      <c r="AS1758" s="153">
        <v>0</v>
      </c>
      <c r="AT1758" s="153">
        <v>0</v>
      </c>
      <c r="AU1758" s="153">
        <v>0</v>
      </c>
      <c r="AV1758" s="135"/>
      <c r="AW1758" s="135"/>
      <c r="AX1758" s="135"/>
      <c r="AY1758" s="135"/>
      <c r="AZ1758" s="135"/>
      <c r="BA1758" s="135"/>
      <c r="BB1758" s="135"/>
      <c r="BC1758" s="135"/>
      <c r="BD1758" s="135"/>
      <c r="BE1758" s="135"/>
      <c r="BF1758" s="135"/>
      <c r="BG1758" s="135"/>
      <c r="BH1758" s="135"/>
      <c r="BI1758" s="2"/>
      <c r="BJ1758" s="136"/>
      <c r="BK1758" s="2"/>
      <c r="BL1758" s="136"/>
      <c r="BM1758" s="136"/>
      <c r="BN1758" s="2"/>
      <c r="BO1758" s="2"/>
      <c r="BP1758" s="136"/>
      <c r="BQ1758" s="137"/>
    </row>
    <row r="1759" spans="1:69" ht="12.75" customHeight="1" x14ac:dyDescent="0.2">
      <c r="A1759" s="2">
        <v>3248</v>
      </c>
      <c r="B1759" s="2"/>
      <c r="C1759" s="2"/>
      <c r="D1759" s="2"/>
      <c r="E1759" s="2"/>
      <c r="F1759" s="132">
        <v>0</v>
      </c>
      <c r="G1759" s="132"/>
      <c r="H1759" s="132">
        <f t="shared" si="199"/>
        <v>0</v>
      </c>
      <c r="I1759" s="132"/>
      <c r="J1759" s="132">
        <f t="shared" si="197"/>
        <v>0</v>
      </c>
      <c r="K1759" s="132">
        <f t="shared" si="200"/>
        <v>0</v>
      </c>
      <c r="L1759" s="132">
        <f t="shared" si="201"/>
        <v>0</v>
      </c>
      <c r="M1759" s="133"/>
      <c r="N1759" s="133">
        <f t="shared" si="198"/>
        <v>0</v>
      </c>
      <c r="O1759" s="134"/>
      <c r="P1759" s="133"/>
      <c r="Q1759" s="2"/>
      <c r="R1759" s="156">
        <f t="shared" si="202"/>
        <v>0</v>
      </c>
      <c r="S1759" s="156">
        <f t="shared" si="203"/>
        <v>0</v>
      </c>
      <c r="T1759" s="133"/>
      <c r="U1759" s="133"/>
      <c r="V1759" s="133"/>
      <c r="W1759" s="133"/>
      <c r="X1759" s="133"/>
      <c r="Y1759" s="133"/>
      <c r="Z1759" s="133"/>
      <c r="AA1759" s="133"/>
      <c r="AB1759" s="133"/>
      <c r="AC1759" s="133"/>
      <c r="AD1759" s="133"/>
      <c r="AE1759" s="133"/>
      <c r="AF1759" s="133"/>
      <c r="AG1759" s="133"/>
      <c r="AH1759" s="133"/>
      <c r="AI1759" s="133"/>
      <c r="AJ1759" s="133"/>
      <c r="AK1759" s="133"/>
      <c r="AL1759" s="133"/>
      <c r="AM1759" s="133"/>
      <c r="AN1759" s="133"/>
      <c r="AO1759" s="133"/>
      <c r="AP1759" s="133"/>
      <c r="AQ1759" s="133"/>
      <c r="AR1759" s="133"/>
      <c r="AS1759" s="153">
        <v>0</v>
      </c>
      <c r="AT1759" s="153">
        <v>0</v>
      </c>
      <c r="AU1759" s="153">
        <v>0</v>
      </c>
      <c r="AV1759" s="135"/>
      <c r="AW1759" s="135"/>
      <c r="AX1759" s="135"/>
      <c r="AY1759" s="135"/>
      <c r="AZ1759" s="135"/>
      <c r="BA1759" s="135"/>
      <c r="BB1759" s="135"/>
      <c r="BC1759" s="135"/>
      <c r="BD1759" s="135"/>
      <c r="BE1759" s="135"/>
      <c r="BF1759" s="135"/>
      <c r="BG1759" s="135"/>
      <c r="BH1759" s="135"/>
      <c r="BI1759" s="2"/>
      <c r="BJ1759" s="136"/>
      <c r="BK1759" s="2"/>
      <c r="BL1759" s="136"/>
      <c r="BM1759" s="136"/>
      <c r="BN1759" s="2"/>
      <c r="BO1759" s="2"/>
      <c r="BP1759" s="136"/>
      <c r="BQ1759" s="137"/>
    </row>
    <row r="1760" spans="1:69" ht="12.75" customHeight="1" x14ac:dyDescent="0.2">
      <c r="A1760" s="2">
        <v>3249</v>
      </c>
      <c r="B1760" s="2"/>
      <c r="C1760" s="2"/>
      <c r="D1760" s="2"/>
      <c r="E1760" s="2"/>
      <c r="F1760" s="132">
        <v>0</v>
      </c>
      <c r="G1760" s="132"/>
      <c r="H1760" s="132">
        <f t="shared" si="199"/>
        <v>0</v>
      </c>
      <c r="I1760" s="132"/>
      <c r="J1760" s="132">
        <f t="shared" si="197"/>
        <v>0</v>
      </c>
      <c r="K1760" s="132">
        <f t="shared" si="200"/>
        <v>0</v>
      </c>
      <c r="L1760" s="132">
        <f t="shared" si="201"/>
        <v>0</v>
      </c>
      <c r="M1760" s="133"/>
      <c r="N1760" s="133">
        <f t="shared" si="198"/>
        <v>0</v>
      </c>
      <c r="O1760" s="134"/>
      <c r="P1760" s="133"/>
      <c r="Q1760" s="2"/>
      <c r="R1760" s="156">
        <f t="shared" si="202"/>
        <v>0</v>
      </c>
      <c r="S1760" s="156">
        <f t="shared" si="203"/>
        <v>0</v>
      </c>
      <c r="T1760" s="133"/>
      <c r="U1760" s="133"/>
      <c r="V1760" s="133"/>
      <c r="W1760" s="133"/>
      <c r="X1760" s="133"/>
      <c r="Y1760" s="133"/>
      <c r="Z1760" s="133"/>
      <c r="AA1760" s="133"/>
      <c r="AB1760" s="133"/>
      <c r="AC1760" s="133"/>
      <c r="AD1760" s="133"/>
      <c r="AE1760" s="133"/>
      <c r="AF1760" s="133"/>
      <c r="AG1760" s="133"/>
      <c r="AH1760" s="133"/>
      <c r="AI1760" s="133"/>
      <c r="AJ1760" s="133"/>
      <c r="AK1760" s="133"/>
      <c r="AL1760" s="133"/>
      <c r="AM1760" s="133"/>
      <c r="AN1760" s="133"/>
      <c r="AO1760" s="133"/>
      <c r="AP1760" s="133"/>
      <c r="AQ1760" s="133"/>
      <c r="AR1760" s="133"/>
      <c r="AS1760" s="153">
        <v>0</v>
      </c>
      <c r="AT1760" s="153">
        <v>0</v>
      </c>
      <c r="AU1760" s="153">
        <v>0</v>
      </c>
      <c r="AV1760" s="135"/>
      <c r="AW1760" s="135"/>
      <c r="AX1760" s="135"/>
      <c r="AY1760" s="135"/>
      <c r="AZ1760" s="135"/>
      <c r="BA1760" s="135"/>
      <c r="BB1760" s="135"/>
      <c r="BC1760" s="135"/>
      <c r="BD1760" s="135"/>
      <c r="BE1760" s="135"/>
      <c r="BF1760" s="135"/>
      <c r="BG1760" s="135"/>
      <c r="BH1760" s="135"/>
      <c r="BI1760" s="2"/>
      <c r="BJ1760" s="136"/>
      <c r="BK1760" s="2"/>
      <c r="BL1760" s="136"/>
      <c r="BM1760" s="136"/>
      <c r="BN1760" s="2"/>
      <c r="BO1760" s="2"/>
      <c r="BP1760" s="136"/>
      <c r="BQ1760" s="137"/>
    </row>
    <row r="1761" spans="1:69" ht="12.75" customHeight="1" x14ac:dyDescent="0.2">
      <c r="A1761" s="2">
        <v>3250</v>
      </c>
      <c r="B1761" s="2"/>
      <c r="C1761" s="2"/>
      <c r="D1761" s="2"/>
      <c r="E1761" s="2"/>
      <c r="F1761" s="132">
        <v>0</v>
      </c>
      <c r="G1761" s="132"/>
      <c r="H1761" s="132">
        <f t="shared" si="199"/>
        <v>0</v>
      </c>
      <c r="I1761" s="132"/>
      <c r="J1761" s="132">
        <f t="shared" si="197"/>
        <v>0</v>
      </c>
      <c r="K1761" s="132">
        <f t="shared" si="200"/>
        <v>0</v>
      </c>
      <c r="L1761" s="132">
        <f t="shared" si="201"/>
        <v>0</v>
      </c>
      <c r="M1761" s="133"/>
      <c r="N1761" s="133">
        <f t="shared" si="198"/>
        <v>0</v>
      </c>
      <c r="O1761" s="134"/>
      <c r="P1761" s="133"/>
      <c r="Q1761" s="2"/>
      <c r="R1761" s="156">
        <f t="shared" si="202"/>
        <v>0</v>
      </c>
      <c r="S1761" s="156">
        <f t="shared" si="203"/>
        <v>0</v>
      </c>
      <c r="T1761" s="133"/>
      <c r="U1761" s="133"/>
      <c r="V1761" s="133"/>
      <c r="W1761" s="133"/>
      <c r="X1761" s="133"/>
      <c r="Y1761" s="133"/>
      <c r="Z1761" s="133"/>
      <c r="AA1761" s="133"/>
      <c r="AB1761" s="133"/>
      <c r="AC1761" s="133"/>
      <c r="AD1761" s="133"/>
      <c r="AE1761" s="133"/>
      <c r="AF1761" s="133"/>
      <c r="AG1761" s="133"/>
      <c r="AH1761" s="133"/>
      <c r="AI1761" s="133"/>
      <c r="AJ1761" s="133"/>
      <c r="AK1761" s="133"/>
      <c r="AL1761" s="133"/>
      <c r="AM1761" s="133"/>
      <c r="AN1761" s="133"/>
      <c r="AO1761" s="133"/>
      <c r="AP1761" s="133"/>
      <c r="AQ1761" s="133"/>
      <c r="AR1761" s="133"/>
      <c r="AS1761" s="153">
        <v>0</v>
      </c>
      <c r="AT1761" s="153">
        <v>0</v>
      </c>
      <c r="AU1761" s="153">
        <v>0</v>
      </c>
      <c r="AV1761" s="135"/>
      <c r="AW1761" s="135"/>
      <c r="AX1761" s="135"/>
      <c r="AY1761" s="135"/>
      <c r="AZ1761" s="135"/>
      <c r="BA1761" s="135"/>
      <c r="BB1761" s="135"/>
      <c r="BC1761" s="135"/>
      <c r="BD1761" s="135"/>
      <c r="BE1761" s="135"/>
      <c r="BF1761" s="135"/>
      <c r="BG1761" s="135"/>
      <c r="BH1761" s="135"/>
      <c r="BI1761" s="2"/>
      <c r="BJ1761" s="136"/>
      <c r="BK1761" s="2"/>
      <c r="BL1761" s="136"/>
      <c r="BM1761" s="136"/>
      <c r="BN1761" s="2"/>
      <c r="BO1761" s="2"/>
      <c r="BP1761" s="136"/>
      <c r="BQ1761" s="137"/>
    </row>
    <row r="1762" spans="1:69" ht="12.75" customHeight="1" x14ac:dyDescent="0.2">
      <c r="A1762" s="2">
        <v>3251</v>
      </c>
      <c r="B1762" s="2"/>
      <c r="C1762" s="2"/>
      <c r="D1762" s="2"/>
      <c r="E1762" s="2"/>
      <c r="F1762" s="132">
        <v>0</v>
      </c>
      <c r="G1762" s="132"/>
      <c r="H1762" s="132">
        <f t="shared" si="199"/>
        <v>0</v>
      </c>
      <c r="I1762" s="132"/>
      <c r="J1762" s="132">
        <f t="shared" si="197"/>
        <v>0</v>
      </c>
      <c r="K1762" s="132">
        <f t="shared" si="200"/>
        <v>0</v>
      </c>
      <c r="L1762" s="132">
        <f t="shared" si="201"/>
        <v>0</v>
      </c>
      <c r="M1762" s="133"/>
      <c r="N1762" s="133">
        <f t="shared" si="198"/>
        <v>0</v>
      </c>
      <c r="O1762" s="134"/>
      <c r="P1762" s="133"/>
      <c r="Q1762" s="2"/>
      <c r="R1762" s="156">
        <f t="shared" si="202"/>
        <v>0</v>
      </c>
      <c r="S1762" s="156">
        <f t="shared" si="203"/>
        <v>0</v>
      </c>
      <c r="T1762" s="133"/>
      <c r="U1762" s="133"/>
      <c r="V1762" s="133"/>
      <c r="W1762" s="133"/>
      <c r="X1762" s="133"/>
      <c r="Y1762" s="133"/>
      <c r="Z1762" s="133"/>
      <c r="AA1762" s="133"/>
      <c r="AB1762" s="133"/>
      <c r="AC1762" s="133"/>
      <c r="AD1762" s="133"/>
      <c r="AE1762" s="133"/>
      <c r="AF1762" s="133"/>
      <c r="AG1762" s="133"/>
      <c r="AH1762" s="133"/>
      <c r="AI1762" s="133"/>
      <c r="AJ1762" s="133"/>
      <c r="AK1762" s="133"/>
      <c r="AL1762" s="133"/>
      <c r="AM1762" s="133"/>
      <c r="AN1762" s="133"/>
      <c r="AO1762" s="133"/>
      <c r="AP1762" s="133"/>
      <c r="AQ1762" s="133"/>
      <c r="AR1762" s="133"/>
      <c r="AS1762" s="153">
        <v>0</v>
      </c>
      <c r="AT1762" s="153">
        <v>0</v>
      </c>
      <c r="AU1762" s="153">
        <v>0</v>
      </c>
      <c r="AV1762" s="135"/>
      <c r="AW1762" s="135"/>
      <c r="AX1762" s="135"/>
      <c r="AY1762" s="135"/>
      <c r="AZ1762" s="135"/>
      <c r="BA1762" s="135"/>
      <c r="BB1762" s="135"/>
      <c r="BC1762" s="135"/>
      <c r="BD1762" s="135"/>
      <c r="BE1762" s="135"/>
      <c r="BF1762" s="135"/>
      <c r="BG1762" s="135"/>
      <c r="BH1762" s="135"/>
      <c r="BI1762" s="2"/>
      <c r="BJ1762" s="136"/>
      <c r="BK1762" s="2"/>
      <c r="BL1762" s="136"/>
      <c r="BM1762" s="136"/>
      <c r="BN1762" s="2"/>
      <c r="BO1762" s="2"/>
      <c r="BP1762" s="136"/>
      <c r="BQ1762" s="137"/>
    </row>
    <row r="1763" spans="1:69" ht="12.75" customHeight="1" x14ac:dyDescent="0.2">
      <c r="A1763" s="2">
        <v>3252</v>
      </c>
      <c r="B1763" s="2"/>
      <c r="C1763" s="2"/>
      <c r="D1763" s="2"/>
      <c r="E1763" s="2"/>
      <c r="F1763" s="132">
        <v>0</v>
      </c>
      <c r="G1763" s="132"/>
      <c r="H1763" s="132">
        <f t="shared" si="199"/>
        <v>0</v>
      </c>
      <c r="I1763" s="132"/>
      <c r="J1763" s="132">
        <f t="shared" si="197"/>
        <v>0</v>
      </c>
      <c r="K1763" s="132">
        <f t="shared" si="200"/>
        <v>0</v>
      </c>
      <c r="L1763" s="132">
        <f t="shared" si="201"/>
        <v>0</v>
      </c>
      <c r="M1763" s="133"/>
      <c r="N1763" s="133">
        <f t="shared" si="198"/>
        <v>0</v>
      </c>
      <c r="O1763" s="134"/>
      <c r="P1763" s="133"/>
      <c r="Q1763" s="2"/>
      <c r="R1763" s="156">
        <f t="shared" si="202"/>
        <v>0</v>
      </c>
      <c r="S1763" s="156">
        <f t="shared" si="203"/>
        <v>0</v>
      </c>
      <c r="T1763" s="133"/>
      <c r="U1763" s="133"/>
      <c r="V1763" s="133"/>
      <c r="W1763" s="133"/>
      <c r="X1763" s="133"/>
      <c r="Y1763" s="133"/>
      <c r="Z1763" s="133"/>
      <c r="AA1763" s="133"/>
      <c r="AB1763" s="133"/>
      <c r="AC1763" s="133"/>
      <c r="AD1763" s="133"/>
      <c r="AE1763" s="133"/>
      <c r="AF1763" s="133"/>
      <c r="AG1763" s="133"/>
      <c r="AH1763" s="133"/>
      <c r="AI1763" s="133"/>
      <c r="AJ1763" s="133"/>
      <c r="AK1763" s="133"/>
      <c r="AL1763" s="133"/>
      <c r="AM1763" s="133"/>
      <c r="AN1763" s="133"/>
      <c r="AO1763" s="133"/>
      <c r="AP1763" s="133"/>
      <c r="AQ1763" s="133"/>
      <c r="AR1763" s="133"/>
      <c r="AS1763" s="153">
        <v>0</v>
      </c>
      <c r="AT1763" s="153">
        <v>0</v>
      </c>
      <c r="AU1763" s="153">
        <v>0</v>
      </c>
      <c r="AV1763" s="135"/>
      <c r="AW1763" s="135"/>
      <c r="AX1763" s="135"/>
      <c r="AY1763" s="135"/>
      <c r="AZ1763" s="135"/>
      <c r="BA1763" s="135"/>
      <c r="BB1763" s="135"/>
      <c r="BC1763" s="135"/>
      <c r="BD1763" s="135"/>
      <c r="BE1763" s="135"/>
      <c r="BF1763" s="135"/>
      <c r="BG1763" s="135"/>
      <c r="BH1763" s="135"/>
      <c r="BI1763" s="2"/>
      <c r="BJ1763" s="136"/>
      <c r="BK1763" s="2"/>
      <c r="BL1763" s="136"/>
      <c r="BM1763" s="136"/>
      <c r="BN1763" s="2"/>
      <c r="BO1763" s="2"/>
      <c r="BP1763" s="136"/>
      <c r="BQ1763" s="137"/>
    </row>
    <row r="1764" spans="1:69" ht="12.75" customHeight="1" x14ac:dyDescent="0.2">
      <c r="A1764" s="2">
        <v>3253</v>
      </c>
      <c r="B1764" s="2"/>
      <c r="C1764" s="2"/>
      <c r="D1764" s="2"/>
      <c r="E1764" s="2"/>
      <c r="F1764" s="132">
        <v>0</v>
      </c>
      <c r="G1764" s="132"/>
      <c r="H1764" s="132">
        <f t="shared" si="199"/>
        <v>0</v>
      </c>
      <c r="I1764" s="132"/>
      <c r="J1764" s="132">
        <f t="shared" ref="J1764:J1827" si="204">S1764</f>
        <v>0</v>
      </c>
      <c r="K1764" s="132">
        <f t="shared" si="200"/>
        <v>0</v>
      </c>
      <c r="L1764" s="132">
        <f t="shared" si="201"/>
        <v>0</v>
      </c>
      <c r="M1764" s="133"/>
      <c r="N1764" s="133">
        <f t="shared" si="198"/>
        <v>0</v>
      </c>
      <c r="O1764" s="134"/>
      <c r="P1764" s="133"/>
      <c r="Q1764" s="2"/>
      <c r="R1764" s="156">
        <f t="shared" si="202"/>
        <v>0</v>
      </c>
      <c r="S1764" s="156">
        <f t="shared" si="203"/>
        <v>0</v>
      </c>
      <c r="T1764" s="133"/>
      <c r="U1764" s="133"/>
      <c r="V1764" s="133"/>
      <c r="W1764" s="133"/>
      <c r="X1764" s="133"/>
      <c r="Y1764" s="133"/>
      <c r="Z1764" s="133"/>
      <c r="AA1764" s="133"/>
      <c r="AB1764" s="133"/>
      <c r="AC1764" s="133"/>
      <c r="AD1764" s="133"/>
      <c r="AE1764" s="133"/>
      <c r="AF1764" s="133"/>
      <c r="AG1764" s="133"/>
      <c r="AH1764" s="133"/>
      <c r="AI1764" s="133"/>
      <c r="AJ1764" s="133"/>
      <c r="AK1764" s="133"/>
      <c r="AL1764" s="133"/>
      <c r="AM1764" s="133"/>
      <c r="AN1764" s="133"/>
      <c r="AO1764" s="133"/>
      <c r="AP1764" s="133"/>
      <c r="AQ1764" s="133"/>
      <c r="AR1764" s="133"/>
      <c r="AS1764" s="153">
        <v>0</v>
      </c>
      <c r="AT1764" s="153">
        <v>0</v>
      </c>
      <c r="AU1764" s="153">
        <v>0</v>
      </c>
      <c r="AV1764" s="135"/>
      <c r="AW1764" s="135"/>
      <c r="AX1764" s="135"/>
      <c r="AY1764" s="135"/>
      <c r="AZ1764" s="135"/>
      <c r="BA1764" s="135"/>
      <c r="BB1764" s="135"/>
      <c r="BC1764" s="135"/>
      <c r="BD1764" s="135"/>
      <c r="BE1764" s="135"/>
      <c r="BF1764" s="135"/>
      <c r="BG1764" s="135"/>
      <c r="BH1764" s="135"/>
      <c r="BI1764" s="2"/>
      <c r="BJ1764" s="136"/>
      <c r="BK1764" s="2"/>
      <c r="BL1764" s="136"/>
      <c r="BM1764" s="136"/>
      <c r="BN1764" s="2"/>
      <c r="BO1764" s="2"/>
      <c r="BP1764" s="136"/>
      <c r="BQ1764" s="137"/>
    </row>
    <row r="1765" spans="1:69" ht="12.75" customHeight="1" x14ac:dyDescent="0.2">
      <c r="A1765" s="2">
        <v>3254</v>
      </c>
      <c r="B1765" s="2"/>
      <c r="C1765" s="2"/>
      <c r="D1765" s="2"/>
      <c r="E1765" s="2"/>
      <c r="F1765" s="132">
        <v>0</v>
      </c>
      <c r="G1765" s="132"/>
      <c r="H1765" s="132">
        <f t="shared" si="199"/>
        <v>0</v>
      </c>
      <c r="I1765" s="132"/>
      <c r="J1765" s="132">
        <f t="shared" si="204"/>
        <v>0</v>
      </c>
      <c r="K1765" s="132">
        <f t="shared" si="200"/>
        <v>0</v>
      </c>
      <c r="L1765" s="132">
        <f t="shared" si="201"/>
        <v>0</v>
      </c>
      <c r="M1765" s="133"/>
      <c r="N1765" s="133">
        <f t="shared" si="198"/>
        <v>0</v>
      </c>
      <c r="O1765" s="134"/>
      <c r="P1765" s="133"/>
      <c r="Q1765" s="2"/>
      <c r="R1765" s="156">
        <f t="shared" si="202"/>
        <v>0</v>
      </c>
      <c r="S1765" s="156">
        <f t="shared" si="203"/>
        <v>0</v>
      </c>
      <c r="T1765" s="133"/>
      <c r="U1765" s="133"/>
      <c r="V1765" s="133"/>
      <c r="W1765" s="133"/>
      <c r="X1765" s="133"/>
      <c r="Y1765" s="133"/>
      <c r="Z1765" s="133"/>
      <c r="AA1765" s="133"/>
      <c r="AB1765" s="133"/>
      <c r="AC1765" s="133"/>
      <c r="AD1765" s="133"/>
      <c r="AE1765" s="133"/>
      <c r="AF1765" s="133"/>
      <c r="AG1765" s="133"/>
      <c r="AH1765" s="133"/>
      <c r="AI1765" s="133"/>
      <c r="AJ1765" s="133"/>
      <c r="AK1765" s="133"/>
      <c r="AL1765" s="133"/>
      <c r="AM1765" s="133"/>
      <c r="AN1765" s="133"/>
      <c r="AO1765" s="133"/>
      <c r="AP1765" s="133"/>
      <c r="AQ1765" s="133"/>
      <c r="AR1765" s="133"/>
      <c r="AS1765" s="153">
        <v>0</v>
      </c>
      <c r="AT1765" s="153">
        <v>0</v>
      </c>
      <c r="AU1765" s="153">
        <v>0</v>
      </c>
      <c r="AV1765" s="135"/>
      <c r="AW1765" s="135"/>
      <c r="AX1765" s="135"/>
      <c r="AY1765" s="135"/>
      <c r="AZ1765" s="135"/>
      <c r="BA1765" s="135"/>
      <c r="BB1765" s="135"/>
      <c r="BC1765" s="135"/>
      <c r="BD1765" s="135"/>
      <c r="BE1765" s="135"/>
      <c r="BF1765" s="135"/>
      <c r="BG1765" s="135"/>
      <c r="BH1765" s="135"/>
      <c r="BI1765" s="2"/>
      <c r="BJ1765" s="136"/>
      <c r="BK1765" s="2"/>
      <c r="BL1765" s="136"/>
      <c r="BM1765" s="136"/>
      <c r="BN1765" s="2"/>
      <c r="BO1765" s="2"/>
      <c r="BP1765" s="136"/>
      <c r="BQ1765" s="137"/>
    </row>
    <row r="1766" spans="1:69" ht="12.75" customHeight="1" x14ac:dyDescent="0.2">
      <c r="A1766" s="2">
        <v>3255</v>
      </c>
      <c r="B1766" s="2"/>
      <c r="C1766" s="2"/>
      <c r="D1766" s="2"/>
      <c r="E1766" s="2"/>
      <c r="F1766" s="132">
        <v>0</v>
      </c>
      <c r="G1766" s="132"/>
      <c r="H1766" s="132">
        <f t="shared" si="199"/>
        <v>0</v>
      </c>
      <c r="I1766" s="132"/>
      <c r="J1766" s="132">
        <f t="shared" si="204"/>
        <v>0</v>
      </c>
      <c r="K1766" s="132">
        <f t="shared" si="200"/>
        <v>0</v>
      </c>
      <c r="L1766" s="132">
        <f t="shared" si="201"/>
        <v>0</v>
      </c>
      <c r="M1766" s="133"/>
      <c r="N1766" s="133">
        <f t="shared" si="198"/>
        <v>0</v>
      </c>
      <c r="O1766" s="134"/>
      <c r="P1766" s="133"/>
      <c r="Q1766" s="2"/>
      <c r="R1766" s="156">
        <f t="shared" si="202"/>
        <v>0</v>
      </c>
      <c r="S1766" s="156">
        <f t="shared" si="203"/>
        <v>0</v>
      </c>
      <c r="T1766" s="133"/>
      <c r="U1766" s="133"/>
      <c r="V1766" s="133"/>
      <c r="W1766" s="133"/>
      <c r="X1766" s="133"/>
      <c r="Y1766" s="133"/>
      <c r="Z1766" s="133"/>
      <c r="AA1766" s="133"/>
      <c r="AB1766" s="133"/>
      <c r="AC1766" s="133"/>
      <c r="AD1766" s="133"/>
      <c r="AE1766" s="133"/>
      <c r="AF1766" s="133"/>
      <c r="AG1766" s="133"/>
      <c r="AH1766" s="133"/>
      <c r="AI1766" s="133"/>
      <c r="AJ1766" s="133"/>
      <c r="AK1766" s="133"/>
      <c r="AL1766" s="133"/>
      <c r="AM1766" s="133"/>
      <c r="AN1766" s="133"/>
      <c r="AO1766" s="133"/>
      <c r="AP1766" s="133"/>
      <c r="AQ1766" s="133"/>
      <c r="AR1766" s="133"/>
      <c r="AS1766" s="153">
        <v>0</v>
      </c>
      <c r="AT1766" s="153">
        <v>0</v>
      </c>
      <c r="AU1766" s="153">
        <v>0</v>
      </c>
      <c r="AV1766" s="135"/>
      <c r="AW1766" s="135"/>
      <c r="AX1766" s="135"/>
      <c r="AY1766" s="135"/>
      <c r="AZ1766" s="135"/>
      <c r="BA1766" s="135"/>
      <c r="BB1766" s="135"/>
      <c r="BC1766" s="135"/>
      <c r="BD1766" s="135"/>
      <c r="BE1766" s="135"/>
      <c r="BF1766" s="135"/>
      <c r="BG1766" s="135"/>
      <c r="BH1766" s="135"/>
      <c r="BI1766" s="2"/>
      <c r="BJ1766" s="136"/>
      <c r="BK1766" s="2"/>
      <c r="BL1766" s="136"/>
      <c r="BM1766" s="136"/>
      <c r="BN1766" s="2"/>
      <c r="BO1766" s="2"/>
      <c r="BP1766" s="136"/>
      <c r="BQ1766" s="137"/>
    </row>
    <row r="1767" spans="1:69" ht="12.75" customHeight="1" x14ac:dyDescent="0.2">
      <c r="A1767" s="2">
        <v>3256</v>
      </c>
      <c r="B1767" s="2"/>
      <c r="C1767" s="2"/>
      <c r="D1767" s="2"/>
      <c r="E1767" s="2"/>
      <c r="F1767" s="132">
        <v>0</v>
      </c>
      <c r="G1767" s="132"/>
      <c r="H1767" s="132">
        <f t="shared" si="199"/>
        <v>0</v>
      </c>
      <c r="I1767" s="132"/>
      <c r="J1767" s="132">
        <f t="shared" si="204"/>
        <v>0</v>
      </c>
      <c r="K1767" s="132">
        <f t="shared" si="200"/>
        <v>0</v>
      </c>
      <c r="L1767" s="132">
        <f t="shared" si="201"/>
        <v>0</v>
      </c>
      <c r="M1767" s="133"/>
      <c r="N1767" s="133">
        <f t="shared" si="198"/>
        <v>0</v>
      </c>
      <c r="O1767" s="134"/>
      <c r="P1767" s="133"/>
      <c r="Q1767" s="2"/>
      <c r="R1767" s="156">
        <f t="shared" si="202"/>
        <v>0</v>
      </c>
      <c r="S1767" s="156">
        <f t="shared" si="203"/>
        <v>0</v>
      </c>
      <c r="T1767" s="133"/>
      <c r="U1767" s="133"/>
      <c r="V1767" s="133"/>
      <c r="W1767" s="133"/>
      <c r="X1767" s="133"/>
      <c r="Y1767" s="133"/>
      <c r="Z1767" s="133"/>
      <c r="AA1767" s="133"/>
      <c r="AB1767" s="133"/>
      <c r="AC1767" s="133"/>
      <c r="AD1767" s="133"/>
      <c r="AE1767" s="133"/>
      <c r="AF1767" s="133"/>
      <c r="AG1767" s="133"/>
      <c r="AH1767" s="133"/>
      <c r="AI1767" s="133"/>
      <c r="AJ1767" s="133"/>
      <c r="AK1767" s="133"/>
      <c r="AL1767" s="133"/>
      <c r="AM1767" s="133"/>
      <c r="AN1767" s="133"/>
      <c r="AO1767" s="133"/>
      <c r="AP1767" s="133"/>
      <c r="AQ1767" s="133"/>
      <c r="AR1767" s="133"/>
      <c r="AS1767" s="153">
        <v>0</v>
      </c>
      <c r="AT1767" s="153">
        <v>0</v>
      </c>
      <c r="AU1767" s="153">
        <v>0</v>
      </c>
      <c r="AV1767" s="135"/>
      <c r="AW1767" s="135"/>
      <c r="AX1767" s="135"/>
      <c r="AY1767" s="135"/>
      <c r="AZ1767" s="135"/>
      <c r="BA1767" s="135"/>
      <c r="BB1767" s="135"/>
      <c r="BC1767" s="135"/>
      <c r="BD1767" s="135"/>
      <c r="BE1767" s="135"/>
      <c r="BF1767" s="135"/>
      <c r="BG1767" s="135"/>
      <c r="BH1767" s="135"/>
      <c r="BI1767" s="2"/>
      <c r="BJ1767" s="136"/>
      <c r="BK1767" s="2"/>
      <c r="BL1767" s="136"/>
      <c r="BM1767" s="136"/>
      <c r="BN1767" s="2"/>
      <c r="BO1767" s="2"/>
      <c r="BP1767" s="136"/>
      <c r="BQ1767" s="137"/>
    </row>
    <row r="1768" spans="1:69" ht="12.75" customHeight="1" x14ac:dyDescent="0.2">
      <c r="A1768" s="2">
        <v>3257</v>
      </c>
      <c r="B1768" s="2"/>
      <c r="C1768" s="2"/>
      <c r="D1768" s="2"/>
      <c r="E1768" s="2"/>
      <c r="F1768" s="132">
        <v>0</v>
      </c>
      <c r="G1768" s="132"/>
      <c r="H1768" s="132">
        <f t="shared" si="199"/>
        <v>0</v>
      </c>
      <c r="I1768" s="132"/>
      <c r="J1768" s="132">
        <f t="shared" si="204"/>
        <v>0</v>
      </c>
      <c r="K1768" s="132">
        <f t="shared" si="200"/>
        <v>0</v>
      </c>
      <c r="L1768" s="132">
        <f t="shared" si="201"/>
        <v>0</v>
      </c>
      <c r="M1768" s="133"/>
      <c r="N1768" s="133">
        <f t="shared" si="198"/>
        <v>0</v>
      </c>
      <c r="O1768" s="134"/>
      <c r="P1768" s="133"/>
      <c r="Q1768" s="2"/>
      <c r="R1768" s="156">
        <f t="shared" si="202"/>
        <v>0</v>
      </c>
      <c r="S1768" s="156">
        <f t="shared" si="203"/>
        <v>0</v>
      </c>
      <c r="T1768" s="133"/>
      <c r="U1768" s="133"/>
      <c r="V1768" s="133"/>
      <c r="W1768" s="133"/>
      <c r="X1768" s="133"/>
      <c r="Y1768" s="133"/>
      <c r="Z1768" s="133"/>
      <c r="AA1768" s="133"/>
      <c r="AB1768" s="133"/>
      <c r="AC1768" s="133"/>
      <c r="AD1768" s="133"/>
      <c r="AE1768" s="133"/>
      <c r="AF1768" s="133"/>
      <c r="AG1768" s="133"/>
      <c r="AH1768" s="133"/>
      <c r="AI1768" s="133"/>
      <c r="AJ1768" s="133"/>
      <c r="AK1768" s="133"/>
      <c r="AL1768" s="133"/>
      <c r="AM1768" s="133"/>
      <c r="AN1768" s="133"/>
      <c r="AO1768" s="133"/>
      <c r="AP1768" s="133"/>
      <c r="AQ1768" s="133"/>
      <c r="AR1768" s="133"/>
      <c r="AS1768" s="153">
        <v>0</v>
      </c>
      <c r="AT1768" s="153">
        <v>0</v>
      </c>
      <c r="AU1768" s="153">
        <v>0</v>
      </c>
      <c r="AV1768" s="135"/>
      <c r="AW1768" s="135"/>
      <c r="AX1768" s="135"/>
      <c r="AY1768" s="135"/>
      <c r="AZ1768" s="135"/>
      <c r="BA1768" s="135"/>
      <c r="BB1768" s="135"/>
      <c r="BC1768" s="135"/>
      <c r="BD1768" s="135"/>
      <c r="BE1768" s="135"/>
      <c r="BF1768" s="135"/>
      <c r="BG1768" s="135"/>
      <c r="BH1768" s="135"/>
      <c r="BI1768" s="2"/>
      <c r="BJ1768" s="136"/>
      <c r="BK1768" s="2"/>
      <c r="BL1768" s="136"/>
      <c r="BM1768" s="136"/>
      <c r="BN1768" s="2"/>
      <c r="BO1768" s="2"/>
      <c r="BP1768" s="136"/>
      <c r="BQ1768" s="137"/>
    </row>
    <row r="1769" spans="1:69" ht="12.75" customHeight="1" x14ac:dyDescent="0.2">
      <c r="A1769" s="2">
        <v>3258</v>
      </c>
      <c r="B1769" s="2"/>
      <c r="C1769" s="2"/>
      <c r="D1769" s="2"/>
      <c r="E1769" s="2"/>
      <c r="F1769" s="132">
        <v>0</v>
      </c>
      <c r="G1769" s="132"/>
      <c r="H1769" s="132">
        <f t="shared" si="199"/>
        <v>0</v>
      </c>
      <c r="I1769" s="132"/>
      <c r="J1769" s="132">
        <f t="shared" si="204"/>
        <v>0</v>
      </c>
      <c r="K1769" s="132">
        <f t="shared" si="200"/>
        <v>0</v>
      </c>
      <c r="L1769" s="132">
        <f t="shared" si="201"/>
        <v>0</v>
      </c>
      <c r="M1769" s="133"/>
      <c r="N1769" s="133">
        <f t="shared" si="198"/>
        <v>0</v>
      </c>
      <c r="O1769" s="134"/>
      <c r="P1769" s="133"/>
      <c r="Q1769" s="2"/>
      <c r="R1769" s="156">
        <f t="shared" si="202"/>
        <v>0</v>
      </c>
      <c r="S1769" s="156">
        <f t="shared" si="203"/>
        <v>0</v>
      </c>
      <c r="T1769" s="133"/>
      <c r="U1769" s="133"/>
      <c r="V1769" s="133"/>
      <c r="W1769" s="133"/>
      <c r="X1769" s="133"/>
      <c r="Y1769" s="133"/>
      <c r="Z1769" s="133"/>
      <c r="AA1769" s="133"/>
      <c r="AB1769" s="133"/>
      <c r="AC1769" s="133"/>
      <c r="AD1769" s="133"/>
      <c r="AE1769" s="133"/>
      <c r="AF1769" s="133"/>
      <c r="AG1769" s="133"/>
      <c r="AH1769" s="133"/>
      <c r="AI1769" s="133"/>
      <c r="AJ1769" s="133"/>
      <c r="AK1769" s="133"/>
      <c r="AL1769" s="133"/>
      <c r="AM1769" s="133"/>
      <c r="AN1769" s="133"/>
      <c r="AO1769" s="133"/>
      <c r="AP1769" s="133"/>
      <c r="AQ1769" s="133"/>
      <c r="AR1769" s="133"/>
      <c r="AS1769" s="153">
        <v>0</v>
      </c>
      <c r="AT1769" s="153">
        <v>0</v>
      </c>
      <c r="AU1769" s="153">
        <v>0</v>
      </c>
      <c r="AV1769" s="135"/>
      <c r="AW1769" s="135"/>
      <c r="AX1769" s="135"/>
      <c r="AY1769" s="135"/>
      <c r="AZ1769" s="135"/>
      <c r="BA1769" s="135"/>
      <c r="BB1769" s="135"/>
      <c r="BC1769" s="135"/>
      <c r="BD1769" s="135"/>
      <c r="BE1769" s="135"/>
      <c r="BF1769" s="135"/>
      <c r="BG1769" s="135"/>
      <c r="BH1769" s="135"/>
      <c r="BI1769" s="2"/>
      <c r="BJ1769" s="136"/>
      <c r="BK1769" s="2"/>
      <c r="BL1769" s="136"/>
      <c r="BM1769" s="136"/>
      <c r="BN1769" s="2"/>
      <c r="BO1769" s="2"/>
      <c r="BP1769" s="136"/>
      <c r="BQ1769" s="137"/>
    </row>
    <row r="1770" spans="1:69" ht="12.75" customHeight="1" x14ac:dyDescent="0.2">
      <c r="A1770" s="2">
        <v>3259</v>
      </c>
      <c r="B1770" s="2"/>
      <c r="C1770" s="2"/>
      <c r="D1770" s="2"/>
      <c r="E1770" s="2"/>
      <c r="F1770" s="132">
        <v>0</v>
      </c>
      <c r="G1770" s="132"/>
      <c r="H1770" s="132">
        <f t="shared" si="199"/>
        <v>0</v>
      </c>
      <c r="I1770" s="132"/>
      <c r="J1770" s="132">
        <f t="shared" si="204"/>
        <v>0</v>
      </c>
      <c r="K1770" s="132">
        <f t="shared" si="200"/>
        <v>0</v>
      </c>
      <c r="L1770" s="132">
        <f t="shared" si="201"/>
        <v>0</v>
      </c>
      <c r="M1770" s="133"/>
      <c r="N1770" s="133">
        <f t="shared" ref="N1770:N1833" si="205">IF(OR(BK1770="принят",BK1770="Завершено",BK1770="ПриПро"),H1770-J1770,F1770-J1770)</f>
        <v>0</v>
      </c>
      <c r="O1770" s="134"/>
      <c r="P1770" s="133"/>
      <c r="Q1770" s="2"/>
      <c r="R1770" s="156">
        <f t="shared" si="202"/>
        <v>0</v>
      </c>
      <c r="S1770" s="156">
        <f t="shared" si="203"/>
        <v>0</v>
      </c>
      <c r="T1770" s="133"/>
      <c r="U1770" s="133"/>
      <c r="V1770" s="133"/>
      <c r="W1770" s="133"/>
      <c r="X1770" s="133"/>
      <c r="Y1770" s="133"/>
      <c r="Z1770" s="133"/>
      <c r="AA1770" s="133"/>
      <c r="AB1770" s="133"/>
      <c r="AC1770" s="133"/>
      <c r="AD1770" s="133"/>
      <c r="AE1770" s="133"/>
      <c r="AF1770" s="133"/>
      <c r="AG1770" s="133"/>
      <c r="AH1770" s="133"/>
      <c r="AI1770" s="133"/>
      <c r="AJ1770" s="133"/>
      <c r="AK1770" s="133"/>
      <c r="AL1770" s="133"/>
      <c r="AM1770" s="133"/>
      <c r="AN1770" s="133"/>
      <c r="AO1770" s="133"/>
      <c r="AP1770" s="133"/>
      <c r="AQ1770" s="133"/>
      <c r="AR1770" s="133"/>
      <c r="AS1770" s="153">
        <v>0</v>
      </c>
      <c r="AT1770" s="153">
        <v>0</v>
      </c>
      <c r="AU1770" s="153">
        <v>0</v>
      </c>
      <c r="AV1770" s="135"/>
      <c r="AW1770" s="135"/>
      <c r="AX1770" s="135"/>
      <c r="AY1770" s="135"/>
      <c r="AZ1770" s="135"/>
      <c r="BA1770" s="135"/>
      <c r="BB1770" s="135"/>
      <c r="BC1770" s="135"/>
      <c r="BD1770" s="135"/>
      <c r="BE1770" s="135"/>
      <c r="BF1770" s="135"/>
      <c r="BG1770" s="135"/>
      <c r="BH1770" s="135"/>
      <c r="BI1770" s="2"/>
      <c r="BJ1770" s="136"/>
      <c r="BK1770" s="2"/>
      <c r="BL1770" s="136"/>
      <c r="BM1770" s="136"/>
      <c r="BN1770" s="2"/>
      <c r="BO1770" s="2"/>
      <c r="BP1770" s="136"/>
      <c r="BQ1770" s="137"/>
    </row>
    <row r="1771" spans="1:69" ht="12.75" customHeight="1" x14ac:dyDescent="0.2">
      <c r="A1771" s="2">
        <v>3260</v>
      </c>
      <c r="B1771" s="2"/>
      <c r="C1771" s="2"/>
      <c r="D1771" s="2"/>
      <c r="E1771" s="2"/>
      <c r="F1771" s="132">
        <v>0</v>
      </c>
      <c r="G1771" s="132"/>
      <c r="H1771" s="132">
        <f t="shared" si="199"/>
        <v>0</v>
      </c>
      <c r="I1771" s="132"/>
      <c r="J1771" s="132">
        <f t="shared" si="204"/>
        <v>0</v>
      </c>
      <c r="K1771" s="132">
        <f t="shared" si="200"/>
        <v>0</v>
      </c>
      <c r="L1771" s="132">
        <f t="shared" si="201"/>
        <v>0</v>
      </c>
      <c r="M1771" s="133"/>
      <c r="N1771" s="133">
        <f t="shared" si="205"/>
        <v>0</v>
      </c>
      <c r="O1771" s="134"/>
      <c r="P1771" s="133"/>
      <c r="Q1771" s="2"/>
      <c r="R1771" s="156">
        <f t="shared" si="202"/>
        <v>0</v>
      </c>
      <c r="S1771" s="156">
        <f t="shared" si="203"/>
        <v>0</v>
      </c>
      <c r="T1771" s="133"/>
      <c r="U1771" s="133"/>
      <c r="V1771" s="133"/>
      <c r="W1771" s="133"/>
      <c r="X1771" s="133"/>
      <c r="Y1771" s="133"/>
      <c r="Z1771" s="133"/>
      <c r="AA1771" s="133"/>
      <c r="AB1771" s="133"/>
      <c r="AC1771" s="133"/>
      <c r="AD1771" s="133"/>
      <c r="AE1771" s="133"/>
      <c r="AF1771" s="133"/>
      <c r="AG1771" s="133"/>
      <c r="AH1771" s="133"/>
      <c r="AI1771" s="133"/>
      <c r="AJ1771" s="133"/>
      <c r="AK1771" s="133"/>
      <c r="AL1771" s="133"/>
      <c r="AM1771" s="133"/>
      <c r="AN1771" s="133"/>
      <c r="AO1771" s="133"/>
      <c r="AP1771" s="133"/>
      <c r="AQ1771" s="133"/>
      <c r="AR1771" s="133"/>
      <c r="AS1771" s="153">
        <v>0</v>
      </c>
      <c r="AT1771" s="153">
        <v>0</v>
      </c>
      <c r="AU1771" s="153">
        <v>0</v>
      </c>
      <c r="AV1771" s="135"/>
      <c r="AW1771" s="135"/>
      <c r="AX1771" s="135"/>
      <c r="AY1771" s="135"/>
      <c r="AZ1771" s="135"/>
      <c r="BA1771" s="135"/>
      <c r="BB1771" s="135"/>
      <c r="BC1771" s="135"/>
      <c r="BD1771" s="135"/>
      <c r="BE1771" s="135"/>
      <c r="BF1771" s="135"/>
      <c r="BG1771" s="135"/>
      <c r="BH1771" s="135"/>
      <c r="BI1771" s="2"/>
      <c r="BJ1771" s="136"/>
      <c r="BK1771" s="2"/>
      <c r="BL1771" s="136"/>
      <c r="BM1771" s="136"/>
      <c r="BN1771" s="2"/>
      <c r="BO1771" s="2"/>
      <c r="BP1771" s="136"/>
      <c r="BQ1771" s="137"/>
    </row>
    <row r="1772" spans="1:69" ht="12.75" customHeight="1" x14ac:dyDescent="0.2">
      <c r="A1772" s="2">
        <v>3261</v>
      </c>
      <c r="B1772" s="2"/>
      <c r="C1772" s="2"/>
      <c r="D1772" s="2"/>
      <c r="E1772" s="2"/>
      <c r="F1772" s="132">
        <v>0</v>
      </c>
      <c r="G1772" s="132"/>
      <c r="H1772" s="132">
        <f t="shared" si="199"/>
        <v>0</v>
      </c>
      <c r="I1772" s="132"/>
      <c r="J1772" s="132">
        <f t="shared" si="204"/>
        <v>0</v>
      </c>
      <c r="K1772" s="132">
        <f t="shared" si="200"/>
        <v>0</v>
      </c>
      <c r="L1772" s="132">
        <f t="shared" si="201"/>
        <v>0</v>
      </c>
      <c r="M1772" s="133"/>
      <c r="N1772" s="133">
        <f t="shared" si="205"/>
        <v>0</v>
      </c>
      <c r="O1772" s="134"/>
      <c r="P1772" s="133"/>
      <c r="Q1772" s="2"/>
      <c r="R1772" s="156">
        <f t="shared" si="202"/>
        <v>0</v>
      </c>
      <c r="S1772" s="156">
        <f t="shared" si="203"/>
        <v>0</v>
      </c>
      <c r="T1772" s="133"/>
      <c r="U1772" s="133"/>
      <c r="V1772" s="133"/>
      <c r="W1772" s="133"/>
      <c r="X1772" s="133"/>
      <c r="Y1772" s="133"/>
      <c r="Z1772" s="133"/>
      <c r="AA1772" s="133"/>
      <c r="AB1772" s="133"/>
      <c r="AC1772" s="133"/>
      <c r="AD1772" s="133"/>
      <c r="AE1772" s="133"/>
      <c r="AF1772" s="133"/>
      <c r="AG1772" s="133"/>
      <c r="AH1772" s="133"/>
      <c r="AI1772" s="133"/>
      <c r="AJ1772" s="133"/>
      <c r="AK1772" s="133"/>
      <c r="AL1772" s="133"/>
      <c r="AM1772" s="133"/>
      <c r="AN1772" s="133"/>
      <c r="AO1772" s="133"/>
      <c r="AP1772" s="133"/>
      <c r="AQ1772" s="133"/>
      <c r="AR1772" s="133"/>
      <c r="AS1772" s="153">
        <v>0</v>
      </c>
      <c r="AT1772" s="153">
        <v>0</v>
      </c>
      <c r="AU1772" s="153">
        <v>0</v>
      </c>
      <c r="AV1772" s="135"/>
      <c r="AW1772" s="135"/>
      <c r="AX1772" s="135"/>
      <c r="AY1772" s="135"/>
      <c r="AZ1772" s="135"/>
      <c r="BA1772" s="135"/>
      <c r="BB1772" s="135"/>
      <c r="BC1772" s="135"/>
      <c r="BD1772" s="135"/>
      <c r="BE1772" s="135"/>
      <c r="BF1772" s="135"/>
      <c r="BG1772" s="135"/>
      <c r="BH1772" s="135"/>
      <c r="BI1772" s="2"/>
      <c r="BJ1772" s="136"/>
      <c r="BK1772" s="2"/>
      <c r="BL1772" s="136"/>
      <c r="BM1772" s="136"/>
      <c r="BN1772" s="2"/>
      <c r="BO1772" s="2"/>
      <c r="BP1772" s="136"/>
      <c r="BQ1772" s="137"/>
    </row>
    <row r="1773" spans="1:69" ht="12.75" customHeight="1" x14ac:dyDescent="0.2">
      <c r="A1773" s="2">
        <v>3262</v>
      </c>
      <c r="B1773" s="2"/>
      <c r="C1773" s="2"/>
      <c r="D1773" s="2"/>
      <c r="E1773" s="2"/>
      <c r="F1773" s="132">
        <v>0</v>
      </c>
      <c r="G1773" s="132"/>
      <c r="H1773" s="132">
        <f t="shared" si="199"/>
        <v>0</v>
      </c>
      <c r="I1773" s="132"/>
      <c r="J1773" s="132">
        <f t="shared" si="204"/>
        <v>0</v>
      </c>
      <c r="K1773" s="132">
        <f t="shared" si="200"/>
        <v>0</v>
      </c>
      <c r="L1773" s="132">
        <f t="shared" si="201"/>
        <v>0</v>
      </c>
      <c r="M1773" s="133"/>
      <c r="N1773" s="133">
        <f t="shared" si="205"/>
        <v>0</v>
      </c>
      <c r="O1773" s="134"/>
      <c r="P1773" s="133"/>
      <c r="Q1773" s="2"/>
      <c r="R1773" s="156">
        <f t="shared" si="202"/>
        <v>0</v>
      </c>
      <c r="S1773" s="156">
        <f t="shared" si="203"/>
        <v>0</v>
      </c>
      <c r="T1773" s="133"/>
      <c r="U1773" s="133"/>
      <c r="V1773" s="133"/>
      <c r="W1773" s="133"/>
      <c r="X1773" s="133"/>
      <c r="Y1773" s="133"/>
      <c r="Z1773" s="133"/>
      <c r="AA1773" s="133"/>
      <c r="AB1773" s="133"/>
      <c r="AC1773" s="133"/>
      <c r="AD1773" s="133"/>
      <c r="AE1773" s="133"/>
      <c r="AF1773" s="133"/>
      <c r="AG1773" s="133"/>
      <c r="AH1773" s="133"/>
      <c r="AI1773" s="133"/>
      <c r="AJ1773" s="133"/>
      <c r="AK1773" s="133"/>
      <c r="AL1773" s="133"/>
      <c r="AM1773" s="133"/>
      <c r="AN1773" s="133"/>
      <c r="AO1773" s="133"/>
      <c r="AP1773" s="133"/>
      <c r="AQ1773" s="133"/>
      <c r="AR1773" s="133"/>
      <c r="AS1773" s="153">
        <v>0</v>
      </c>
      <c r="AT1773" s="153">
        <v>0</v>
      </c>
      <c r="AU1773" s="153">
        <v>0</v>
      </c>
      <c r="AV1773" s="135"/>
      <c r="AW1773" s="135"/>
      <c r="AX1773" s="135"/>
      <c r="AY1773" s="135"/>
      <c r="AZ1773" s="135"/>
      <c r="BA1773" s="135"/>
      <c r="BB1773" s="135"/>
      <c r="BC1773" s="135"/>
      <c r="BD1773" s="135"/>
      <c r="BE1773" s="135"/>
      <c r="BF1773" s="135"/>
      <c r="BG1773" s="135"/>
      <c r="BH1773" s="135"/>
      <c r="BI1773" s="2"/>
      <c r="BJ1773" s="136"/>
      <c r="BK1773" s="2"/>
      <c r="BL1773" s="136"/>
      <c r="BM1773" s="136"/>
      <c r="BN1773" s="2"/>
      <c r="BO1773" s="2"/>
      <c r="BP1773" s="136"/>
      <c r="BQ1773" s="137"/>
    </row>
    <row r="1774" spans="1:69" ht="12.75" customHeight="1" x14ac:dyDescent="0.2">
      <c r="A1774" s="2">
        <v>3263</v>
      </c>
      <c r="B1774" s="2"/>
      <c r="C1774" s="2"/>
      <c r="D1774" s="2"/>
      <c r="E1774" s="2"/>
      <c r="F1774" s="132">
        <v>0</v>
      </c>
      <c r="G1774" s="132"/>
      <c r="H1774" s="132">
        <f t="shared" ref="H1774:H1837" si="206">R1774</f>
        <v>0</v>
      </c>
      <c r="I1774" s="132"/>
      <c r="J1774" s="132">
        <f t="shared" si="204"/>
        <v>0</v>
      </c>
      <c r="K1774" s="132">
        <f t="shared" si="200"/>
        <v>0</v>
      </c>
      <c r="L1774" s="132">
        <f t="shared" si="201"/>
        <v>0</v>
      </c>
      <c r="M1774" s="133"/>
      <c r="N1774" s="133">
        <f t="shared" si="205"/>
        <v>0</v>
      </c>
      <c r="O1774" s="134"/>
      <c r="P1774" s="133"/>
      <c r="Q1774" s="2"/>
      <c r="R1774" s="156">
        <f t="shared" si="202"/>
        <v>0</v>
      </c>
      <c r="S1774" s="156">
        <f t="shared" si="203"/>
        <v>0</v>
      </c>
      <c r="T1774" s="133"/>
      <c r="U1774" s="133"/>
      <c r="V1774" s="133"/>
      <c r="W1774" s="133"/>
      <c r="X1774" s="133"/>
      <c r="Y1774" s="133"/>
      <c r="Z1774" s="133"/>
      <c r="AA1774" s="133"/>
      <c r="AB1774" s="133"/>
      <c r="AC1774" s="133"/>
      <c r="AD1774" s="133"/>
      <c r="AE1774" s="133"/>
      <c r="AF1774" s="133"/>
      <c r="AG1774" s="133"/>
      <c r="AH1774" s="133"/>
      <c r="AI1774" s="133"/>
      <c r="AJ1774" s="133"/>
      <c r="AK1774" s="133"/>
      <c r="AL1774" s="133"/>
      <c r="AM1774" s="133"/>
      <c r="AN1774" s="133"/>
      <c r="AO1774" s="133"/>
      <c r="AP1774" s="133"/>
      <c r="AQ1774" s="133"/>
      <c r="AR1774" s="133"/>
      <c r="AS1774" s="153">
        <v>0</v>
      </c>
      <c r="AT1774" s="153">
        <v>0</v>
      </c>
      <c r="AU1774" s="153">
        <v>0</v>
      </c>
      <c r="AV1774" s="135"/>
      <c r="AW1774" s="135"/>
      <c r="AX1774" s="135"/>
      <c r="AY1774" s="135"/>
      <c r="AZ1774" s="135"/>
      <c r="BA1774" s="135"/>
      <c r="BB1774" s="135"/>
      <c r="BC1774" s="135"/>
      <c r="BD1774" s="135"/>
      <c r="BE1774" s="135"/>
      <c r="BF1774" s="135"/>
      <c r="BG1774" s="135"/>
      <c r="BH1774" s="135"/>
      <c r="BI1774" s="2"/>
      <c r="BJ1774" s="136"/>
      <c r="BK1774" s="2"/>
      <c r="BL1774" s="136"/>
      <c r="BM1774" s="136"/>
      <c r="BN1774" s="2"/>
      <c r="BO1774" s="2"/>
      <c r="BP1774" s="136"/>
      <c r="BQ1774" s="137"/>
    </row>
    <row r="1775" spans="1:69" ht="12.75" customHeight="1" x14ac:dyDescent="0.2">
      <c r="A1775" s="2">
        <v>3264</v>
      </c>
      <c r="B1775" s="2"/>
      <c r="C1775" s="2"/>
      <c r="D1775" s="2"/>
      <c r="E1775" s="2"/>
      <c r="F1775" s="132">
        <v>0</v>
      </c>
      <c r="G1775" s="132"/>
      <c r="H1775" s="132">
        <f t="shared" si="206"/>
        <v>0</v>
      </c>
      <c r="I1775" s="132"/>
      <c r="J1775" s="132">
        <f t="shared" si="204"/>
        <v>0</v>
      </c>
      <c r="K1775" s="132">
        <f t="shared" si="200"/>
        <v>0</v>
      </c>
      <c r="L1775" s="132">
        <f t="shared" si="201"/>
        <v>0</v>
      </c>
      <c r="M1775" s="133"/>
      <c r="N1775" s="133">
        <f t="shared" si="205"/>
        <v>0</v>
      </c>
      <c r="O1775" s="134"/>
      <c r="P1775" s="133"/>
      <c r="Q1775" s="2"/>
      <c r="R1775" s="156">
        <f t="shared" si="202"/>
        <v>0</v>
      </c>
      <c r="S1775" s="156">
        <f t="shared" si="203"/>
        <v>0</v>
      </c>
      <c r="T1775" s="133"/>
      <c r="U1775" s="133"/>
      <c r="V1775" s="133"/>
      <c r="W1775" s="133"/>
      <c r="X1775" s="133"/>
      <c r="Y1775" s="133"/>
      <c r="Z1775" s="133"/>
      <c r="AA1775" s="133"/>
      <c r="AB1775" s="133"/>
      <c r="AC1775" s="133"/>
      <c r="AD1775" s="133"/>
      <c r="AE1775" s="133"/>
      <c r="AF1775" s="133"/>
      <c r="AG1775" s="133"/>
      <c r="AH1775" s="133"/>
      <c r="AI1775" s="133"/>
      <c r="AJ1775" s="133"/>
      <c r="AK1775" s="133"/>
      <c r="AL1775" s="133"/>
      <c r="AM1775" s="133"/>
      <c r="AN1775" s="133"/>
      <c r="AO1775" s="133"/>
      <c r="AP1775" s="133"/>
      <c r="AQ1775" s="133"/>
      <c r="AR1775" s="133"/>
      <c r="AS1775" s="153">
        <v>0</v>
      </c>
      <c r="AT1775" s="153">
        <v>0</v>
      </c>
      <c r="AU1775" s="153">
        <v>0</v>
      </c>
      <c r="AV1775" s="135"/>
      <c r="AW1775" s="135"/>
      <c r="AX1775" s="135"/>
      <c r="AY1775" s="135"/>
      <c r="AZ1775" s="135"/>
      <c r="BA1775" s="135"/>
      <c r="BB1775" s="135"/>
      <c r="BC1775" s="135"/>
      <c r="BD1775" s="135"/>
      <c r="BE1775" s="135"/>
      <c r="BF1775" s="135"/>
      <c r="BG1775" s="135"/>
      <c r="BH1775" s="135"/>
      <c r="BI1775" s="2"/>
      <c r="BJ1775" s="136"/>
      <c r="BK1775" s="2"/>
      <c r="BL1775" s="136"/>
      <c r="BM1775" s="136"/>
      <c r="BN1775" s="2"/>
      <c r="BO1775" s="2"/>
      <c r="BP1775" s="136"/>
      <c r="BQ1775" s="137"/>
    </row>
    <row r="1776" spans="1:69" ht="12.75" customHeight="1" x14ac:dyDescent="0.2">
      <c r="A1776" s="2">
        <v>3265</v>
      </c>
      <c r="B1776" s="2"/>
      <c r="C1776" s="2"/>
      <c r="D1776" s="2"/>
      <c r="E1776" s="2"/>
      <c r="F1776" s="132">
        <v>0</v>
      </c>
      <c r="G1776" s="132"/>
      <c r="H1776" s="132">
        <f t="shared" si="206"/>
        <v>0</v>
      </c>
      <c r="I1776" s="132"/>
      <c r="J1776" s="132">
        <f t="shared" si="204"/>
        <v>0</v>
      </c>
      <c r="K1776" s="132">
        <f t="shared" si="200"/>
        <v>0</v>
      </c>
      <c r="L1776" s="132">
        <f t="shared" si="201"/>
        <v>0</v>
      </c>
      <c r="M1776" s="133"/>
      <c r="N1776" s="133">
        <f t="shared" si="205"/>
        <v>0</v>
      </c>
      <c r="O1776" s="134"/>
      <c r="P1776" s="133"/>
      <c r="Q1776" s="2"/>
      <c r="R1776" s="156">
        <f t="shared" si="202"/>
        <v>0</v>
      </c>
      <c r="S1776" s="156">
        <f t="shared" si="203"/>
        <v>0</v>
      </c>
      <c r="T1776" s="133"/>
      <c r="U1776" s="133"/>
      <c r="V1776" s="133"/>
      <c r="W1776" s="133"/>
      <c r="X1776" s="133"/>
      <c r="Y1776" s="133"/>
      <c r="Z1776" s="133"/>
      <c r="AA1776" s="133"/>
      <c r="AB1776" s="133"/>
      <c r="AC1776" s="133"/>
      <c r="AD1776" s="133"/>
      <c r="AE1776" s="133"/>
      <c r="AF1776" s="133"/>
      <c r="AG1776" s="133"/>
      <c r="AH1776" s="133"/>
      <c r="AI1776" s="133"/>
      <c r="AJ1776" s="133"/>
      <c r="AK1776" s="133"/>
      <c r="AL1776" s="133"/>
      <c r="AM1776" s="133"/>
      <c r="AN1776" s="133"/>
      <c r="AO1776" s="133"/>
      <c r="AP1776" s="133"/>
      <c r="AQ1776" s="133"/>
      <c r="AR1776" s="133"/>
      <c r="AS1776" s="153">
        <v>0</v>
      </c>
      <c r="AT1776" s="153">
        <v>0</v>
      </c>
      <c r="AU1776" s="153">
        <v>0</v>
      </c>
      <c r="AV1776" s="135"/>
      <c r="AW1776" s="135"/>
      <c r="AX1776" s="135"/>
      <c r="AY1776" s="135"/>
      <c r="AZ1776" s="135"/>
      <c r="BA1776" s="135"/>
      <c r="BB1776" s="135"/>
      <c r="BC1776" s="135"/>
      <c r="BD1776" s="135"/>
      <c r="BE1776" s="135"/>
      <c r="BF1776" s="135"/>
      <c r="BG1776" s="135"/>
      <c r="BH1776" s="135"/>
      <c r="BI1776" s="2"/>
      <c r="BJ1776" s="136"/>
      <c r="BK1776" s="2"/>
      <c r="BL1776" s="136"/>
      <c r="BM1776" s="136"/>
      <c r="BN1776" s="2"/>
      <c r="BO1776" s="2"/>
      <c r="BP1776" s="136"/>
      <c r="BQ1776" s="137"/>
    </row>
    <row r="1777" spans="1:69" ht="12.75" customHeight="1" x14ac:dyDescent="0.2">
      <c r="A1777" s="2">
        <v>3266</v>
      </c>
      <c r="B1777" s="2"/>
      <c r="C1777" s="2"/>
      <c r="D1777" s="2"/>
      <c r="E1777" s="2"/>
      <c r="F1777" s="132">
        <v>0</v>
      </c>
      <c r="G1777" s="132"/>
      <c r="H1777" s="132">
        <f t="shared" si="206"/>
        <v>0</v>
      </c>
      <c r="I1777" s="132"/>
      <c r="J1777" s="132">
        <f t="shared" si="204"/>
        <v>0</v>
      </c>
      <c r="K1777" s="132">
        <f t="shared" si="200"/>
        <v>0</v>
      </c>
      <c r="L1777" s="132">
        <f t="shared" si="201"/>
        <v>0</v>
      </c>
      <c r="M1777" s="133"/>
      <c r="N1777" s="133">
        <f t="shared" si="205"/>
        <v>0</v>
      </c>
      <c r="O1777" s="134"/>
      <c r="P1777" s="133"/>
      <c r="Q1777" s="2"/>
      <c r="R1777" s="156">
        <f t="shared" si="202"/>
        <v>0</v>
      </c>
      <c r="S1777" s="156">
        <f t="shared" si="203"/>
        <v>0</v>
      </c>
      <c r="T1777" s="133"/>
      <c r="U1777" s="133"/>
      <c r="V1777" s="133"/>
      <c r="W1777" s="133"/>
      <c r="X1777" s="133"/>
      <c r="Y1777" s="133"/>
      <c r="Z1777" s="133"/>
      <c r="AA1777" s="133"/>
      <c r="AB1777" s="133"/>
      <c r="AC1777" s="133"/>
      <c r="AD1777" s="133"/>
      <c r="AE1777" s="133"/>
      <c r="AF1777" s="133"/>
      <c r="AG1777" s="133"/>
      <c r="AH1777" s="133"/>
      <c r="AI1777" s="133"/>
      <c r="AJ1777" s="133"/>
      <c r="AK1777" s="133"/>
      <c r="AL1777" s="133"/>
      <c r="AM1777" s="133"/>
      <c r="AN1777" s="133"/>
      <c r="AO1777" s="133"/>
      <c r="AP1777" s="133"/>
      <c r="AQ1777" s="133"/>
      <c r="AR1777" s="133"/>
      <c r="AS1777" s="153">
        <v>0</v>
      </c>
      <c r="AT1777" s="153">
        <v>0</v>
      </c>
      <c r="AU1777" s="153">
        <v>0</v>
      </c>
      <c r="AV1777" s="135"/>
      <c r="AW1777" s="135"/>
      <c r="AX1777" s="135"/>
      <c r="AY1777" s="135"/>
      <c r="AZ1777" s="135"/>
      <c r="BA1777" s="135"/>
      <c r="BB1777" s="135"/>
      <c r="BC1777" s="135"/>
      <c r="BD1777" s="135"/>
      <c r="BE1777" s="135"/>
      <c r="BF1777" s="135"/>
      <c r="BG1777" s="135"/>
      <c r="BH1777" s="135"/>
      <c r="BI1777" s="2"/>
      <c r="BJ1777" s="136"/>
      <c r="BK1777" s="2"/>
      <c r="BL1777" s="136"/>
      <c r="BM1777" s="136"/>
      <c r="BN1777" s="2"/>
      <c r="BO1777" s="2"/>
      <c r="BP1777" s="136"/>
      <c r="BQ1777" s="137"/>
    </row>
    <row r="1778" spans="1:69" ht="12.75" customHeight="1" x14ac:dyDescent="0.2">
      <c r="A1778" s="2">
        <v>3267</v>
      </c>
      <c r="B1778" s="2"/>
      <c r="C1778" s="2"/>
      <c r="D1778" s="2"/>
      <c r="E1778" s="2"/>
      <c r="F1778" s="132">
        <v>0</v>
      </c>
      <c r="G1778" s="132"/>
      <c r="H1778" s="132">
        <f t="shared" si="206"/>
        <v>0</v>
      </c>
      <c r="I1778" s="132"/>
      <c r="J1778" s="132">
        <f t="shared" si="204"/>
        <v>0</v>
      </c>
      <c r="K1778" s="132">
        <f t="shared" si="200"/>
        <v>0</v>
      </c>
      <c r="L1778" s="132">
        <f t="shared" si="201"/>
        <v>0</v>
      </c>
      <c r="M1778" s="133"/>
      <c r="N1778" s="133">
        <f t="shared" si="205"/>
        <v>0</v>
      </c>
      <c r="O1778" s="134"/>
      <c r="P1778" s="133"/>
      <c r="Q1778" s="2"/>
      <c r="R1778" s="156">
        <f t="shared" si="202"/>
        <v>0</v>
      </c>
      <c r="S1778" s="156">
        <f t="shared" si="203"/>
        <v>0</v>
      </c>
      <c r="T1778" s="133"/>
      <c r="U1778" s="133"/>
      <c r="V1778" s="133"/>
      <c r="W1778" s="133"/>
      <c r="X1778" s="133"/>
      <c r="Y1778" s="133"/>
      <c r="Z1778" s="133"/>
      <c r="AA1778" s="133"/>
      <c r="AB1778" s="133"/>
      <c r="AC1778" s="133"/>
      <c r="AD1778" s="133"/>
      <c r="AE1778" s="133"/>
      <c r="AF1778" s="133"/>
      <c r="AG1778" s="133"/>
      <c r="AH1778" s="133"/>
      <c r="AI1778" s="133"/>
      <c r="AJ1778" s="133"/>
      <c r="AK1778" s="133"/>
      <c r="AL1778" s="133"/>
      <c r="AM1778" s="133"/>
      <c r="AN1778" s="133"/>
      <c r="AO1778" s="133"/>
      <c r="AP1778" s="133"/>
      <c r="AQ1778" s="133"/>
      <c r="AR1778" s="133"/>
      <c r="AS1778" s="153">
        <v>0</v>
      </c>
      <c r="AT1778" s="153">
        <v>0</v>
      </c>
      <c r="AU1778" s="153">
        <v>0</v>
      </c>
      <c r="AV1778" s="135"/>
      <c r="AW1778" s="135"/>
      <c r="AX1778" s="135"/>
      <c r="AY1778" s="135"/>
      <c r="AZ1778" s="135"/>
      <c r="BA1778" s="135"/>
      <c r="BB1778" s="135"/>
      <c r="BC1778" s="135"/>
      <c r="BD1778" s="135"/>
      <c r="BE1778" s="135"/>
      <c r="BF1778" s="135"/>
      <c r="BG1778" s="135"/>
      <c r="BH1778" s="135"/>
      <c r="BI1778" s="2"/>
      <c r="BJ1778" s="136"/>
      <c r="BK1778" s="2"/>
      <c r="BL1778" s="136"/>
      <c r="BM1778" s="136"/>
      <c r="BN1778" s="2"/>
      <c r="BO1778" s="2"/>
      <c r="BP1778" s="136"/>
      <c r="BQ1778" s="137"/>
    </row>
    <row r="1779" spans="1:69" ht="12.75" customHeight="1" x14ac:dyDescent="0.2">
      <c r="A1779" s="2">
        <v>3268</v>
      </c>
      <c r="B1779" s="2"/>
      <c r="C1779" s="2"/>
      <c r="D1779" s="2"/>
      <c r="E1779" s="2"/>
      <c r="F1779" s="132">
        <v>0</v>
      </c>
      <c r="G1779" s="132"/>
      <c r="H1779" s="132">
        <f t="shared" si="206"/>
        <v>0</v>
      </c>
      <c r="I1779" s="132"/>
      <c r="J1779" s="132">
        <f t="shared" si="204"/>
        <v>0</v>
      </c>
      <c r="K1779" s="132">
        <f t="shared" si="200"/>
        <v>0</v>
      </c>
      <c r="L1779" s="132">
        <f t="shared" si="201"/>
        <v>0</v>
      </c>
      <c r="M1779" s="133"/>
      <c r="N1779" s="133">
        <f t="shared" si="205"/>
        <v>0</v>
      </c>
      <c r="O1779" s="134"/>
      <c r="P1779" s="133"/>
      <c r="Q1779" s="2"/>
      <c r="R1779" s="156">
        <f t="shared" si="202"/>
        <v>0</v>
      </c>
      <c r="S1779" s="156">
        <f t="shared" si="203"/>
        <v>0</v>
      </c>
      <c r="T1779" s="133"/>
      <c r="U1779" s="133"/>
      <c r="V1779" s="133"/>
      <c r="W1779" s="133"/>
      <c r="X1779" s="133"/>
      <c r="Y1779" s="133"/>
      <c r="Z1779" s="133"/>
      <c r="AA1779" s="133"/>
      <c r="AB1779" s="133"/>
      <c r="AC1779" s="133"/>
      <c r="AD1779" s="133"/>
      <c r="AE1779" s="133"/>
      <c r="AF1779" s="133"/>
      <c r="AG1779" s="133"/>
      <c r="AH1779" s="133"/>
      <c r="AI1779" s="133"/>
      <c r="AJ1779" s="133"/>
      <c r="AK1779" s="133"/>
      <c r="AL1779" s="133"/>
      <c r="AM1779" s="133"/>
      <c r="AN1779" s="133"/>
      <c r="AO1779" s="133"/>
      <c r="AP1779" s="133"/>
      <c r="AQ1779" s="133"/>
      <c r="AR1779" s="133"/>
      <c r="AS1779" s="153">
        <v>0</v>
      </c>
      <c r="AT1779" s="153">
        <v>0</v>
      </c>
      <c r="AU1779" s="153">
        <v>0</v>
      </c>
      <c r="AV1779" s="135"/>
      <c r="AW1779" s="135"/>
      <c r="AX1779" s="135"/>
      <c r="AY1779" s="135"/>
      <c r="AZ1779" s="135"/>
      <c r="BA1779" s="135"/>
      <c r="BB1779" s="135"/>
      <c r="BC1779" s="135"/>
      <c r="BD1779" s="135"/>
      <c r="BE1779" s="135"/>
      <c r="BF1779" s="135"/>
      <c r="BG1779" s="135"/>
      <c r="BH1779" s="135"/>
      <c r="BI1779" s="2"/>
      <c r="BJ1779" s="136"/>
      <c r="BK1779" s="2"/>
      <c r="BL1779" s="136"/>
      <c r="BM1779" s="136"/>
      <c r="BN1779" s="2"/>
      <c r="BO1779" s="2"/>
      <c r="BP1779" s="136"/>
      <c r="BQ1779" s="137"/>
    </row>
    <row r="1780" spans="1:69" ht="12.75" customHeight="1" x14ac:dyDescent="0.2">
      <c r="A1780" s="2">
        <v>3269</v>
      </c>
      <c r="B1780" s="2"/>
      <c r="C1780" s="2"/>
      <c r="D1780" s="2"/>
      <c r="E1780" s="2"/>
      <c r="F1780" s="132">
        <v>0</v>
      </c>
      <c r="G1780" s="132"/>
      <c r="H1780" s="132">
        <f t="shared" si="206"/>
        <v>0</v>
      </c>
      <c r="I1780" s="132"/>
      <c r="J1780" s="132">
        <f t="shared" si="204"/>
        <v>0</v>
      </c>
      <c r="K1780" s="132">
        <f t="shared" si="200"/>
        <v>0</v>
      </c>
      <c r="L1780" s="132">
        <f t="shared" si="201"/>
        <v>0</v>
      </c>
      <c r="M1780" s="133"/>
      <c r="N1780" s="133">
        <f t="shared" si="205"/>
        <v>0</v>
      </c>
      <c r="O1780" s="134"/>
      <c r="P1780" s="133"/>
      <c r="Q1780" s="2"/>
      <c r="R1780" s="156">
        <f t="shared" si="202"/>
        <v>0</v>
      </c>
      <c r="S1780" s="156">
        <f t="shared" si="203"/>
        <v>0</v>
      </c>
      <c r="T1780" s="133"/>
      <c r="U1780" s="133"/>
      <c r="V1780" s="133"/>
      <c r="W1780" s="133"/>
      <c r="X1780" s="133"/>
      <c r="Y1780" s="133"/>
      <c r="Z1780" s="133"/>
      <c r="AA1780" s="133"/>
      <c r="AB1780" s="133"/>
      <c r="AC1780" s="133"/>
      <c r="AD1780" s="133"/>
      <c r="AE1780" s="133"/>
      <c r="AF1780" s="133"/>
      <c r="AG1780" s="133"/>
      <c r="AH1780" s="133"/>
      <c r="AI1780" s="133"/>
      <c r="AJ1780" s="133"/>
      <c r="AK1780" s="133"/>
      <c r="AL1780" s="133"/>
      <c r="AM1780" s="133"/>
      <c r="AN1780" s="133"/>
      <c r="AO1780" s="133"/>
      <c r="AP1780" s="133"/>
      <c r="AQ1780" s="133"/>
      <c r="AR1780" s="133"/>
      <c r="AS1780" s="153">
        <v>0</v>
      </c>
      <c r="AT1780" s="153">
        <v>0</v>
      </c>
      <c r="AU1780" s="153">
        <v>0</v>
      </c>
      <c r="AV1780" s="135"/>
      <c r="AW1780" s="135"/>
      <c r="AX1780" s="135"/>
      <c r="AY1780" s="135"/>
      <c r="AZ1780" s="135"/>
      <c r="BA1780" s="135"/>
      <c r="BB1780" s="135"/>
      <c r="BC1780" s="135"/>
      <c r="BD1780" s="135"/>
      <c r="BE1780" s="135"/>
      <c r="BF1780" s="135"/>
      <c r="BG1780" s="135"/>
      <c r="BH1780" s="135"/>
      <c r="BI1780" s="2"/>
      <c r="BJ1780" s="136"/>
      <c r="BK1780" s="2"/>
      <c r="BL1780" s="136"/>
      <c r="BM1780" s="136"/>
      <c r="BN1780" s="2"/>
      <c r="BO1780" s="2"/>
      <c r="BP1780" s="136"/>
      <c r="BQ1780" s="137"/>
    </row>
    <row r="1781" spans="1:69" ht="12.75" customHeight="1" x14ac:dyDescent="0.2">
      <c r="A1781" s="2">
        <v>3270</v>
      </c>
      <c r="B1781" s="2"/>
      <c r="C1781" s="2"/>
      <c r="D1781" s="2"/>
      <c r="E1781" s="2"/>
      <c r="F1781" s="132">
        <v>0</v>
      </c>
      <c r="G1781" s="132"/>
      <c r="H1781" s="132">
        <f t="shared" si="206"/>
        <v>0</v>
      </c>
      <c r="I1781" s="132"/>
      <c r="J1781" s="132">
        <f t="shared" si="204"/>
        <v>0</v>
      </c>
      <c r="K1781" s="132">
        <f t="shared" si="200"/>
        <v>0</v>
      </c>
      <c r="L1781" s="132">
        <f t="shared" si="201"/>
        <v>0</v>
      </c>
      <c r="M1781" s="133"/>
      <c r="N1781" s="133">
        <f t="shared" si="205"/>
        <v>0</v>
      </c>
      <c r="O1781" s="134"/>
      <c r="P1781" s="133"/>
      <c r="Q1781" s="2"/>
      <c r="R1781" s="156">
        <f t="shared" si="202"/>
        <v>0</v>
      </c>
      <c r="S1781" s="156">
        <f t="shared" si="203"/>
        <v>0</v>
      </c>
      <c r="T1781" s="133"/>
      <c r="U1781" s="133"/>
      <c r="V1781" s="133"/>
      <c r="W1781" s="133"/>
      <c r="X1781" s="133"/>
      <c r="Y1781" s="133"/>
      <c r="Z1781" s="133"/>
      <c r="AA1781" s="133"/>
      <c r="AB1781" s="133"/>
      <c r="AC1781" s="133"/>
      <c r="AD1781" s="133"/>
      <c r="AE1781" s="133"/>
      <c r="AF1781" s="133"/>
      <c r="AG1781" s="133"/>
      <c r="AH1781" s="133"/>
      <c r="AI1781" s="133"/>
      <c r="AJ1781" s="133"/>
      <c r="AK1781" s="133"/>
      <c r="AL1781" s="133"/>
      <c r="AM1781" s="133"/>
      <c r="AN1781" s="133"/>
      <c r="AO1781" s="133"/>
      <c r="AP1781" s="133"/>
      <c r="AQ1781" s="133"/>
      <c r="AR1781" s="133"/>
      <c r="AS1781" s="153">
        <v>0</v>
      </c>
      <c r="AT1781" s="153">
        <v>0</v>
      </c>
      <c r="AU1781" s="153">
        <v>0</v>
      </c>
      <c r="AV1781" s="135"/>
      <c r="AW1781" s="135"/>
      <c r="AX1781" s="135"/>
      <c r="AY1781" s="135"/>
      <c r="AZ1781" s="135"/>
      <c r="BA1781" s="135"/>
      <c r="BB1781" s="135"/>
      <c r="BC1781" s="135"/>
      <c r="BD1781" s="135"/>
      <c r="BE1781" s="135"/>
      <c r="BF1781" s="135"/>
      <c r="BG1781" s="135"/>
      <c r="BH1781" s="135"/>
      <c r="BI1781" s="2"/>
      <c r="BJ1781" s="136"/>
      <c r="BK1781" s="2"/>
      <c r="BL1781" s="136"/>
      <c r="BM1781" s="136"/>
      <c r="BN1781" s="2"/>
      <c r="BO1781" s="2"/>
      <c r="BP1781" s="136"/>
      <c r="BQ1781" s="137"/>
    </row>
    <row r="1782" spans="1:69" ht="12.75" customHeight="1" x14ac:dyDescent="0.2">
      <c r="A1782" s="2">
        <v>3271</v>
      </c>
      <c r="B1782" s="2"/>
      <c r="C1782" s="2"/>
      <c r="D1782" s="2"/>
      <c r="E1782" s="2"/>
      <c r="F1782" s="132">
        <v>0</v>
      </c>
      <c r="G1782" s="132"/>
      <c r="H1782" s="132">
        <f t="shared" si="206"/>
        <v>0</v>
      </c>
      <c r="I1782" s="132"/>
      <c r="J1782" s="132">
        <f t="shared" si="204"/>
        <v>0</v>
      </c>
      <c r="K1782" s="132">
        <f t="shared" ref="K1782:K1845" si="207">F1782-J1782</f>
        <v>0</v>
      </c>
      <c r="L1782" s="132">
        <f t="shared" si="201"/>
        <v>0</v>
      </c>
      <c r="M1782" s="133"/>
      <c r="N1782" s="133">
        <f t="shared" si="205"/>
        <v>0</v>
      </c>
      <c r="O1782" s="134"/>
      <c r="P1782" s="133"/>
      <c r="Q1782" s="2"/>
      <c r="R1782" s="156">
        <f t="shared" si="202"/>
        <v>0</v>
      </c>
      <c r="S1782" s="156">
        <f t="shared" si="203"/>
        <v>0</v>
      </c>
      <c r="T1782" s="133"/>
      <c r="U1782" s="133"/>
      <c r="V1782" s="133"/>
      <c r="W1782" s="133"/>
      <c r="X1782" s="133"/>
      <c r="Y1782" s="133"/>
      <c r="Z1782" s="133"/>
      <c r="AA1782" s="133"/>
      <c r="AB1782" s="133"/>
      <c r="AC1782" s="133"/>
      <c r="AD1782" s="133"/>
      <c r="AE1782" s="133"/>
      <c r="AF1782" s="133"/>
      <c r="AG1782" s="133"/>
      <c r="AH1782" s="133"/>
      <c r="AI1782" s="133"/>
      <c r="AJ1782" s="133"/>
      <c r="AK1782" s="133"/>
      <c r="AL1782" s="133"/>
      <c r="AM1782" s="133"/>
      <c r="AN1782" s="133"/>
      <c r="AO1782" s="133"/>
      <c r="AP1782" s="133"/>
      <c r="AQ1782" s="133"/>
      <c r="AR1782" s="133"/>
      <c r="AS1782" s="153">
        <v>0</v>
      </c>
      <c r="AT1782" s="153">
        <v>0</v>
      </c>
      <c r="AU1782" s="153">
        <v>0</v>
      </c>
      <c r="AV1782" s="135"/>
      <c r="AW1782" s="135"/>
      <c r="AX1782" s="135"/>
      <c r="AY1782" s="135"/>
      <c r="AZ1782" s="135"/>
      <c r="BA1782" s="135"/>
      <c r="BB1782" s="135"/>
      <c r="BC1782" s="135"/>
      <c r="BD1782" s="135"/>
      <c r="BE1782" s="135"/>
      <c r="BF1782" s="135"/>
      <c r="BG1782" s="135"/>
      <c r="BH1782" s="135"/>
      <c r="BI1782" s="2"/>
      <c r="BJ1782" s="136"/>
      <c r="BK1782" s="2"/>
      <c r="BL1782" s="136"/>
      <c r="BM1782" s="136"/>
      <c r="BN1782" s="2"/>
      <c r="BO1782" s="2"/>
      <c r="BP1782" s="136"/>
      <c r="BQ1782" s="137"/>
    </row>
    <row r="1783" spans="1:69" ht="12.75" customHeight="1" x14ac:dyDescent="0.2">
      <c r="A1783" s="2">
        <v>3272</v>
      </c>
      <c r="B1783" s="2"/>
      <c r="C1783" s="2"/>
      <c r="D1783" s="2"/>
      <c r="E1783" s="2"/>
      <c r="F1783" s="132">
        <v>0</v>
      </c>
      <c r="G1783" s="132"/>
      <c r="H1783" s="132">
        <f t="shared" si="206"/>
        <v>0</v>
      </c>
      <c r="I1783" s="132"/>
      <c r="J1783" s="132">
        <f t="shared" si="204"/>
        <v>0</v>
      </c>
      <c r="K1783" s="132">
        <f t="shared" si="207"/>
        <v>0</v>
      </c>
      <c r="L1783" s="132">
        <f t="shared" si="201"/>
        <v>0</v>
      </c>
      <c r="M1783" s="133"/>
      <c r="N1783" s="133">
        <f t="shared" si="205"/>
        <v>0</v>
      </c>
      <c r="O1783" s="134"/>
      <c r="P1783" s="133"/>
      <c r="Q1783" s="2"/>
      <c r="R1783" s="156">
        <f t="shared" si="202"/>
        <v>0</v>
      </c>
      <c r="S1783" s="156">
        <f t="shared" si="203"/>
        <v>0</v>
      </c>
      <c r="T1783" s="133"/>
      <c r="U1783" s="133"/>
      <c r="V1783" s="133"/>
      <c r="W1783" s="133"/>
      <c r="X1783" s="133"/>
      <c r="Y1783" s="133"/>
      <c r="Z1783" s="133"/>
      <c r="AA1783" s="133"/>
      <c r="AB1783" s="133"/>
      <c r="AC1783" s="133"/>
      <c r="AD1783" s="133"/>
      <c r="AE1783" s="133"/>
      <c r="AF1783" s="133"/>
      <c r="AG1783" s="133"/>
      <c r="AH1783" s="133"/>
      <c r="AI1783" s="133"/>
      <c r="AJ1783" s="133"/>
      <c r="AK1783" s="133"/>
      <c r="AL1783" s="133"/>
      <c r="AM1783" s="133"/>
      <c r="AN1783" s="133"/>
      <c r="AO1783" s="133"/>
      <c r="AP1783" s="133"/>
      <c r="AQ1783" s="133"/>
      <c r="AR1783" s="133"/>
      <c r="AS1783" s="153">
        <v>0</v>
      </c>
      <c r="AT1783" s="153">
        <v>0</v>
      </c>
      <c r="AU1783" s="153">
        <v>0</v>
      </c>
      <c r="AV1783" s="135"/>
      <c r="AW1783" s="135"/>
      <c r="AX1783" s="135"/>
      <c r="AY1783" s="135"/>
      <c r="AZ1783" s="135"/>
      <c r="BA1783" s="135"/>
      <c r="BB1783" s="135"/>
      <c r="BC1783" s="135"/>
      <c r="BD1783" s="135"/>
      <c r="BE1783" s="135"/>
      <c r="BF1783" s="135"/>
      <c r="BG1783" s="135"/>
      <c r="BH1783" s="135"/>
      <c r="BI1783" s="2"/>
      <c r="BJ1783" s="136"/>
      <c r="BK1783" s="2"/>
      <c r="BL1783" s="136"/>
      <c r="BM1783" s="136"/>
      <c r="BN1783" s="2"/>
      <c r="BO1783" s="2"/>
      <c r="BP1783" s="136"/>
      <c r="BQ1783" s="137"/>
    </row>
    <row r="1784" spans="1:69" ht="12.75" customHeight="1" x14ac:dyDescent="0.2">
      <c r="A1784" s="2">
        <v>3273</v>
      </c>
      <c r="B1784" s="2"/>
      <c r="C1784" s="2"/>
      <c r="D1784" s="2"/>
      <c r="E1784" s="2"/>
      <c r="F1784" s="132">
        <v>0</v>
      </c>
      <c r="G1784" s="132"/>
      <c r="H1784" s="132">
        <f t="shared" si="206"/>
        <v>0</v>
      </c>
      <c r="I1784" s="132"/>
      <c r="J1784" s="132">
        <f t="shared" si="204"/>
        <v>0</v>
      </c>
      <c r="K1784" s="132">
        <f t="shared" si="207"/>
        <v>0</v>
      </c>
      <c r="L1784" s="132">
        <f t="shared" si="201"/>
        <v>0</v>
      </c>
      <c r="M1784" s="133"/>
      <c r="N1784" s="133">
        <f t="shared" si="205"/>
        <v>0</v>
      </c>
      <c r="O1784" s="134"/>
      <c r="P1784" s="133"/>
      <c r="Q1784" s="2"/>
      <c r="R1784" s="156">
        <f t="shared" si="202"/>
        <v>0</v>
      </c>
      <c r="S1784" s="156">
        <f t="shared" si="203"/>
        <v>0</v>
      </c>
      <c r="T1784" s="133"/>
      <c r="U1784" s="133"/>
      <c r="V1784" s="133"/>
      <c r="W1784" s="133"/>
      <c r="X1784" s="133"/>
      <c r="Y1784" s="133"/>
      <c r="Z1784" s="133"/>
      <c r="AA1784" s="133"/>
      <c r="AB1784" s="133"/>
      <c r="AC1784" s="133"/>
      <c r="AD1784" s="133"/>
      <c r="AE1784" s="133"/>
      <c r="AF1784" s="133"/>
      <c r="AG1784" s="133"/>
      <c r="AH1784" s="133"/>
      <c r="AI1784" s="133"/>
      <c r="AJ1784" s="133"/>
      <c r="AK1784" s="133"/>
      <c r="AL1784" s="133"/>
      <c r="AM1784" s="133"/>
      <c r="AN1784" s="133"/>
      <c r="AO1784" s="133"/>
      <c r="AP1784" s="133"/>
      <c r="AQ1784" s="133"/>
      <c r="AR1784" s="133"/>
      <c r="AS1784" s="153">
        <v>0</v>
      </c>
      <c r="AT1784" s="153">
        <v>0</v>
      </c>
      <c r="AU1784" s="153">
        <v>0</v>
      </c>
      <c r="AV1784" s="135"/>
      <c r="AW1784" s="135"/>
      <c r="AX1784" s="135"/>
      <c r="AY1784" s="135"/>
      <c r="AZ1784" s="135"/>
      <c r="BA1784" s="135"/>
      <c r="BB1784" s="135"/>
      <c r="BC1784" s="135"/>
      <c r="BD1784" s="135"/>
      <c r="BE1784" s="135"/>
      <c r="BF1784" s="135"/>
      <c r="BG1784" s="135"/>
      <c r="BH1784" s="135"/>
      <c r="BI1784" s="2"/>
      <c r="BJ1784" s="136"/>
      <c r="BK1784" s="2"/>
      <c r="BL1784" s="136"/>
      <c r="BM1784" s="136"/>
      <c r="BN1784" s="2"/>
      <c r="BO1784" s="2"/>
      <c r="BP1784" s="136"/>
      <c r="BQ1784" s="137"/>
    </row>
    <row r="1785" spans="1:69" ht="12.75" customHeight="1" x14ac:dyDescent="0.2">
      <c r="A1785" s="2">
        <v>3274</v>
      </c>
      <c r="B1785" s="2"/>
      <c r="C1785" s="2"/>
      <c r="D1785" s="2"/>
      <c r="E1785" s="2"/>
      <c r="F1785" s="132">
        <v>0</v>
      </c>
      <c r="G1785" s="132"/>
      <c r="H1785" s="132">
        <f t="shared" si="206"/>
        <v>0</v>
      </c>
      <c r="I1785" s="132"/>
      <c r="J1785" s="132">
        <f t="shared" si="204"/>
        <v>0</v>
      </c>
      <c r="K1785" s="132">
        <f t="shared" si="207"/>
        <v>0</v>
      </c>
      <c r="L1785" s="132">
        <f t="shared" si="201"/>
        <v>0</v>
      </c>
      <c r="M1785" s="133"/>
      <c r="N1785" s="133">
        <f t="shared" si="205"/>
        <v>0</v>
      </c>
      <c r="O1785" s="134"/>
      <c r="P1785" s="133"/>
      <c r="Q1785" s="2"/>
      <c r="R1785" s="156">
        <f t="shared" si="202"/>
        <v>0</v>
      </c>
      <c r="S1785" s="156">
        <f t="shared" si="203"/>
        <v>0</v>
      </c>
      <c r="T1785" s="133"/>
      <c r="U1785" s="133"/>
      <c r="V1785" s="133"/>
      <c r="W1785" s="133"/>
      <c r="X1785" s="133"/>
      <c r="Y1785" s="133"/>
      <c r="Z1785" s="133"/>
      <c r="AA1785" s="133"/>
      <c r="AB1785" s="133"/>
      <c r="AC1785" s="133"/>
      <c r="AD1785" s="133"/>
      <c r="AE1785" s="133"/>
      <c r="AF1785" s="133"/>
      <c r="AG1785" s="133"/>
      <c r="AH1785" s="133"/>
      <c r="AI1785" s="133"/>
      <c r="AJ1785" s="133"/>
      <c r="AK1785" s="133"/>
      <c r="AL1785" s="133"/>
      <c r="AM1785" s="133"/>
      <c r="AN1785" s="133"/>
      <c r="AO1785" s="133"/>
      <c r="AP1785" s="133"/>
      <c r="AQ1785" s="133"/>
      <c r="AR1785" s="133"/>
      <c r="AS1785" s="153">
        <v>0</v>
      </c>
      <c r="AT1785" s="153">
        <v>0</v>
      </c>
      <c r="AU1785" s="153">
        <v>0</v>
      </c>
      <c r="AV1785" s="135"/>
      <c r="AW1785" s="135"/>
      <c r="AX1785" s="135"/>
      <c r="AY1785" s="135"/>
      <c r="AZ1785" s="135"/>
      <c r="BA1785" s="135"/>
      <c r="BB1785" s="135"/>
      <c r="BC1785" s="135"/>
      <c r="BD1785" s="135"/>
      <c r="BE1785" s="135"/>
      <c r="BF1785" s="135"/>
      <c r="BG1785" s="135"/>
      <c r="BH1785" s="135"/>
      <c r="BI1785" s="2"/>
      <c r="BJ1785" s="136"/>
      <c r="BK1785" s="2"/>
      <c r="BL1785" s="136"/>
      <c r="BM1785" s="136"/>
      <c r="BN1785" s="2"/>
      <c r="BO1785" s="2"/>
      <c r="BP1785" s="136"/>
      <c r="BQ1785" s="137"/>
    </row>
    <row r="1786" spans="1:69" ht="12.75" customHeight="1" x14ac:dyDescent="0.2">
      <c r="A1786" s="2">
        <v>3275</v>
      </c>
      <c r="B1786" s="2"/>
      <c r="C1786" s="2"/>
      <c r="D1786" s="2"/>
      <c r="E1786" s="2"/>
      <c r="F1786" s="132">
        <v>0</v>
      </c>
      <c r="G1786" s="132"/>
      <c r="H1786" s="132">
        <f t="shared" si="206"/>
        <v>0</v>
      </c>
      <c r="I1786" s="132"/>
      <c r="J1786" s="132">
        <f t="shared" si="204"/>
        <v>0</v>
      </c>
      <c r="K1786" s="132">
        <f t="shared" si="207"/>
        <v>0</v>
      </c>
      <c r="L1786" s="132">
        <f t="shared" si="201"/>
        <v>0</v>
      </c>
      <c r="M1786" s="133"/>
      <c r="N1786" s="133">
        <f t="shared" si="205"/>
        <v>0</v>
      </c>
      <c r="O1786" s="134"/>
      <c r="P1786" s="133"/>
      <c r="Q1786" s="2"/>
      <c r="R1786" s="156">
        <f t="shared" si="202"/>
        <v>0</v>
      </c>
      <c r="S1786" s="156">
        <f t="shared" si="203"/>
        <v>0</v>
      </c>
      <c r="T1786" s="133"/>
      <c r="U1786" s="133"/>
      <c r="V1786" s="133"/>
      <c r="W1786" s="133"/>
      <c r="X1786" s="133"/>
      <c r="Y1786" s="133"/>
      <c r="Z1786" s="133"/>
      <c r="AA1786" s="133"/>
      <c r="AB1786" s="133"/>
      <c r="AC1786" s="133"/>
      <c r="AD1786" s="133"/>
      <c r="AE1786" s="133"/>
      <c r="AF1786" s="133"/>
      <c r="AG1786" s="133"/>
      <c r="AH1786" s="133"/>
      <c r="AI1786" s="133"/>
      <c r="AJ1786" s="133"/>
      <c r="AK1786" s="133"/>
      <c r="AL1786" s="133"/>
      <c r="AM1786" s="133"/>
      <c r="AN1786" s="133"/>
      <c r="AO1786" s="133"/>
      <c r="AP1786" s="133"/>
      <c r="AQ1786" s="133"/>
      <c r="AR1786" s="133"/>
      <c r="AS1786" s="153">
        <v>0</v>
      </c>
      <c r="AT1786" s="153">
        <v>0</v>
      </c>
      <c r="AU1786" s="153">
        <v>0</v>
      </c>
      <c r="AV1786" s="135"/>
      <c r="AW1786" s="135"/>
      <c r="AX1786" s="135"/>
      <c r="AY1786" s="135"/>
      <c r="AZ1786" s="135"/>
      <c r="BA1786" s="135"/>
      <c r="BB1786" s="135"/>
      <c r="BC1786" s="135"/>
      <c r="BD1786" s="135"/>
      <c r="BE1786" s="135"/>
      <c r="BF1786" s="135"/>
      <c r="BG1786" s="135"/>
      <c r="BH1786" s="135"/>
      <c r="BI1786" s="2"/>
      <c r="BJ1786" s="136"/>
      <c r="BK1786" s="2"/>
      <c r="BL1786" s="136"/>
      <c r="BM1786" s="136"/>
      <c r="BN1786" s="2"/>
      <c r="BO1786" s="2"/>
      <c r="BP1786" s="136"/>
      <c r="BQ1786" s="137"/>
    </row>
    <row r="1787" spans="1:69" ht="12.75" customHeight="1" x14ac:dyDescent="0.2">
      <c r="A1787" s="2">
        <v>3276</v>
      </c>
      <c r="B1787" s="2"/>
      <c r="C1787" s="2"/>
      <c r="D1787" s="2"/>
      <c r="E1787" s="2"/>
      <c r="F1787" s="132">
        <v>0</v>
      </c>
      <c r="G1787" s="132"/>
      <c r="H1787" s="132">
        <f t="shared" si="206"/>
        <v>0</v>
      </c>
      <c r="I1787" s="132"/>
      <c r="J1787" s="132">
        <f t="shared" si="204"/>
        <v>0</v>
      </c>
      <c r="K1787" s="132">
        <f t="shared" si="207"/>
        <v>0</v>
      </c>
      <c r="L1787" s="132">
        <f t="shared" si="201"/>
        <v>0</v>
      </c>
      <c r="M1787" s="133"/>
      <c r="N1787" s="133">
        <f t="shared" si="205"/>
        <v>0</v>
      </c>
      <c r="O1787" s="134"/>
      <c r="P1787" s="133"/>
      <c r="Q1787" s="2"/>
      <c r="R1787" s="156">
        <f t="shared" si="202"/>
        <v>0</v>
      </c>
      <c r="S1787" s="156">
        <f t="shared" si="203"/>
        <v>0</v>
      </c>
      <c r="T1787" s="133"/>
      <c r="U1787" s="133"/>
      <c r="V1787" s="133"/>
      <c r="W1787" s="133"/>
      <c r="X1787" s="133"/>
      <c r="Y1787" s="133"/>
      <c r="Z1787" s="133"/>
      <c r="AA1787" s="133"/>
      <c r="AB1787" s="133"/>
      <c r="AC1787" s="133"/>
      <c r="AD1787" s="133"/>
      <c r="AE1787" s="133"/>
      <c r="AF1787" s="133"/>
      <c r="AG1787" s="133"/>
      <c r="AH1787" s="133"/>
      <c r="AI1787" s="133"/>
      <c r="AJ1787" s="133"/>
      <c r="AK1787" s="133"/>
      <c r="AL1787" s="133"/>
      <c r="AM1787" s="133"/>
      <c r="AN1787" s="133"/>
      <c r="AO1787" s="133"/>
      <c r="AP1787" s="133"/>
      <c r="AQ1787" s="133"/>
      <c r="AR1787" s="133"/>
      <c r="AS1787" s="153">
        <v>0</v>
      </c>
      <c r="AT1787" s="153">
        <v>0</v>
      </c>
      <c r="AU1787" s="153">
        <v>0</v>
      </c>
      <c r="AV1787" s="135"/>
      <c r="AW1787" s="135"/>
      <c r="AX1787" s="135"/>
      <c r="AY1787" s="135"/>
      <c r="AZ1787" s="135"/>
      <c r="BA1787" s="135"/>
      <c r="BB1787" s="135"/>
      <c r="BC1787" s="135"/>
      <c r="BD1787" s="135"/>
      <c r="BE1787" s="135"/>
      <c r="BF1787" s="135"/>
      <c r="BG1787" s="135"/>
      <c r="BH1787" s="135"/>
      <c r="BI1787" s="2"/>
      <c r="BJ1787" s="136"/>
      <c r="BK1787" s="2"/>
      <c r="BL1787" s="136"/>
      <c r="BM1787" s="136"/>
      <c r="BN1787" s="2"/>
      <c r="BO1787" s="2"/>
      <c r="BP1787" s="136"/>
      <c r="BQ1787" s="137"/>
    </row>
    <row r="1788" spans="1:69" ht="12.75" customHeight="1" x14ac:dyDescent="0.2">
      <c r="A1788" s="2">
        <v>3277</v>
      </c>
      <c r="B1788" s="2"/>
      <c r="C1788" s="2"/>
      <c r="D1788" s="2"/>
      <c r="E1788" s="2"/>
      <c r="F1788" s="132">
        <v>0</v>
      </c>
      <c r="G1788" s="132"/>
      <c r="H1788" s="132">
        <f t="shared" si="206"/>
        <v>0</v>
      </c>
      <c r="I1788" s="132"/>
      <c r="J1788" s="132">
        <f t="shared" si="204"/>
        <v>0</v>
      </c>
      <c r="K1788" s="132">
        <f t="shared" si="207"/>
        <v>0</v>
      </c>
      <c r="L1788" s="132">
        <f t="shared" si="201"/>
        <v>0</v>
      </c>
      <c r="M1788" s="133"/>
      <c r="N1788" s="133">
        <f t="shared" si="205"/>
        <v>0</v>
      </c>
      <c r="O1788" s="134"/>
      <c r="P1788" s="133"/>
      <c r="Q1788" s="2"/>
      <c r="R1788" s="156">
        <f t="shared" si="202"/>
        <v>0</v>
      </c>
      <c r="S1788" s="156">
        <f t="shared" si="203"/>
        <v>0</v>
      </c>
      <c r="T1788" s="133"/>
      <c r="U1788" s="133"/>
      <c r="V1788" s="133"/>
      <c r="W1788" s="133"/>
      <c r="X1788" s="133"/>
      <c r="Y1788" s="133"/>
      <c r="Z1788" s="133"/>
      <c r="AA1788" s="133"/>
      <c r="AB1788" s="133"/>
      <c r="AC1788" s="133"/>
      <c r="AD1788" s="133"/>
      <c r="AE1788" s="133"/>
      <c r="AF1788" s="133"/>
      <c r="AG1788" s="133"/>
      <c r="AH1788" s="133"/>
      <c r="AI1788" s="133"/>
      <c r="AJ1788" s="133"/>
      <c r="AK1788" s="133"/>
      <c r="AL1788" s="133"/>
      <c r="AM1788" s="133"/>
      <c r="AN1788" s="133"/>
      <c r="AO1788" s="133"/>
      <c r="AP1788" s="133"/>
      <c r="AQ1788" s="133"/>
      <c r="AR1788" s="133"/>
      <c r="AS1788" s="153">
        <v>0</v>
      </c>
      <c r="AT1788" s="153">
        <v>0</v>
      </c>
      <c r="AU1788" s="153">
        <v>0</v>
      </c>
      <c r="AV1788" s="135"/>
      <c r="AW1788" s="135"/>
      <c r="AX1788" s="135"/>
      <c r="AY1788" s="135"/>
      <c r="AZ1788" s="135"/>
      <c r="BA1788" s="135"/>
      <c r="BB1788" s="135"/>
      <c r="BC1788" s="135"/>
      <c r="BD1788" s="135"/>
      <c r="BE1788" s="135"/>
      <c r="BF1788" s="135"/>
      <c r="BG1788" s="135"/>
      <c r="BH1788" s="135"/>
      <c r="BI1788" s="2"/>
      <c r="BJ1788" s="136"/>
      <c r="BK1788" s="2"/>
      <c r="BL1788" s="136"/>
      <c r="BM1788" s="136"/>
      <c r="BN1788" s="2"/>
      <c r="BO1788" s="2"/>
      <c r="BP1788" s="136"/>
      <c r="BQ1788" s="137"/>
    </row>
    <row r="1789" spans="1:69" ht="12.75" customHeight="1" x14ac:dyDescent="0.2">
      <c r="A1789" s="2">
        <v>3278</v>
      </c>
      <c r="B1789" s="2"/>
      <c r="C1789" s="2"/>
      <c r="D1789" s="2"/>
      <c r="E1789" s="2"/>
      <c r="F1789" s="132">
        <v>0</v>
      </c>
      <c r="G1789" s="132"/>
      <c r="H1789" s="132">
        <f t="shared" si="206"/>
        <v>0</v>
      </c>
      <c r="I1789" s="132"/>
      <c r="J1789" s="132">
        <f t="shared" si="204"/>
        <v>0</v>
      </c>
      <c r="K1789" s="132">
        <f t="shared" si="207"/>
        <v>0</v>
      </c>
      <c r="L1789" s="132">
        <f t="shared" si="201"/>
        <v>0</v>
      </c>
      <c r="M1789" s="133"/>
      <c r="N1789" s="133">
        <f t="shared" si="205"/>
        <v>0</v>
      </c>
      <c r="O1789" s="134"/>
      <c r="P1789" s="133"/>
      <c r="Q1789" s="2"/>
      <c r="R1789" s="156">
        <f t="shared" si="202"/>
        <v>0</v>
      </c>
      <c r="S1789" s="156">
        <f t="shared" si="203"/>
        <v>0</v>
      </c>
      <c r="T1789" s="133"/>
      <c r="U1789" s="133"/>
      <c r="V1789" s="133"/>
      <c r="W1789" s="133"/>
      <c r="X1789" s="133"/>
      <c r="Y1789" s="133"/>
      <c r="Z1789" s="133"/>
      <c r="AA1789" s="133"/>
      <c r="AB1789" s="133"/>
      <c r="AC1789" s="133"/>
      <c r="AD1789" s="133"/>
      <c r="AE1789" s="133"/>
      <c r="AF1789" s="133"/>
      <c r="AG1789" s="133"/>
      <c r="AH1789" s="133"/>
      <c r="AI1789" s="133"/>
      <c r="AJ1789" s="133"/>
      <c r="AK1789" s="133"/>
      <c r="AL1789" s="133"/>
      <c r="AM1789" s="133"/>
      <c r="AN1789" s="133"/>
      <c r="AO1789" s="133"/>
      <c r="AP1789" s="133"/>
      <c r="AQ1789" s="133"/>
      <c r="AR1789" s="133"/>
      <c r="AS1789" s="153">
        <v>0</v>
      </c>
      <c r="AT1789" s="153">
        <v>0</v>
      </c>
      <c r="AU1789" s="153">
        <v>0</v>
      </c>
      <c r="AV1789" s="135"/>
      <c r="AW1789" s="135"/>
      <c r="AX1789" s="135"/>
      <c r="AY1789" s="135"/>
      <c r="AZ1789" s="135"/>
      <c r="BA1789" s="135"/>
      <c r="BB1789" s="135"/>
      <c r="BC1789" s="135"/>
      <c r="BD1789" s="135"/>
      <c r="BE1789" s="135"/>
      <c r="BF1789" s="135"/>
      <c r="BG1789" s="135"/>
      <c r="BH1789" s="135"/>
      <c r="BI1789" s="2"/>
      <c r="BJ1789" s="136"/>
      <c r="BK1789" s="2"/>
      <c r="BL1789" s="136"/>
      <c r="BM1789" s="136"/>
      <c r="BN1789" s="2"/>
      <c r="BO1789" s="2"/>
      <c r="BP1789" s="136"/>
      <c r="BQ1789" s="137"/>
    </row>
    <row r="1790" spans="1:69" ht="12.75" customHeight="1" x14ac:dyDescent="0.2">
      <c r="A1790" s="2">
        <v>3279</v>
      </c>
      <c r="B1790" s="2"/>
      <c r="C1790" s="2"/>
      <c r="D1790" s="2"/>
      <c r="E1790" s="2"/>
      <c r="F1790" s="132">
        <v>0</v>
      </c>
      <c r="G1790" s="132"/>
      <c r="H1790" s="132">
        <f t="shared" si="206"/>
        <v>0</v>
      </c>
      <c r="I1790" s="132"/>
      <c r="J1790" s="132">
        <f t="shared" si="204"/>
        <v>0</v>
      </c>
      <c r="K1790" s="132">
        <f t="shared" si="207"/>
        <v>0</v>
      </c>
      <c r="L1790" s="132">
        <f t="shared" si="201"/>
        <v>0</v>
      </c>
      <c r="M1790" s="133"/>
      <c r="N1790" s="133">
        <f t="shared" si="205"/>
        <v>0</v>
      </c>
      <c r="O1790" s="134"/>
      <c r="P1790" s="133"/>
      <c r="Q1790" s="2"/>
      <c r="R1790" s="156">
        <f t="shared" si="202"/>
        <v>0</v>
      </c>
      <c r="S1790" s="156">
        <f t="shared" si="203"/>
        <v>0</v>
      </c>
      <c r="T1790" s="133"/>
      <c r="U1790" s="133"/>
      <c r="V1790" s="133"/>
      <c r="W1790" s="133"/>
      <c r="X1790" s="133"/>
      <c r="Y1790" s="133"/>
      <c r="Z1790" s="133"/>
      <c r="AA1790" s="133"/>
      <c r="AB1790" s="133"/>
      <c r="AC1790" s="133"/>
      <c r="AD1790" s="133"/>
      <c r="AE1790" s="133"/>
      <c r="AF1790" s="133"/>
      <c r="AG1790" s="133"/>
      <c r="AH1790" s="133"/>
      <c r="AI1790" s="133"/>
      <c r="AJ1790" s="133"/>
      <c r="AK1790" s="133"/>
      <c r="AL1790" s="133"/>
      <c r="AM1790" s="133"/>
      <c r="AN1790" s="133"/>
      <c r="AO1790" s="133"/>
      <c r="AP1790" s="133"/>
      <c r="AQ1790" s="133"/>
      <c r="AR1790" s="133"/>
      <c r="AS1790" s="153">
        <v>0</v>
      </c>
      <c r="AT1790" s="153">
        <v>0</v>
      </c>
      <c r="AU1790" s="153">
        <v>0</v>
      </c>
      <c r="AV1790" s="135"/>
      <c r="AW1790" s="135"/>
      <c r="AX1790" s="135"/>
      <c r="AY1790" s="135"/>
      <c r="AZ1790" s="135"/>
      <c r="BA1790" s="135"/>
      <c r="BB1790" s="135"/>
      <c r="BC1790" s="135"/>
      <c r="BD1790" s="135"/>
      <c r="BE1790" s="135"/>
      <c r="BF1790" s="135"/>
      <c r="BG1790" s="135"/>
      <c r="BH1790" s="135"/>
      <c r="BI1790" s="2"/>
      <c r="BJ1790" s="136"/>
      <c r="BK1790" s="2"/>
      <c r="BL1790" s="136"/>
      <c r="BM1790" s="136"/>
      <c r="BN1790" s="2"/>
      <c r="BO1790" s="2"/>
      <c r="BP1790" s="136"/>
      <c r="BQ1790" s="137"/>
    </row>
    <row r="1791" spans="1:69" ht="12.75" customHeight="1" x14ac:dyDescent="0.2">
      <c r="A1791" s="2">
        <v>3280</v>
      </c>
      <c r="B1791" s="2"/>
      <c r="C1791" s="2"/>
      <c r="D1791" s="2"/>
      <c r="E1791" s="2"/>
      <c r="F1791" s="132">
        <v>0</v>
      </c>
      <c r="G1791" s="132"/>
      <c r="H1791" s="132">
        <f t="shared" si="206"/>
        <v>0</v>
      </c>
      <c r="I1791" s="132"/>
      <c r="J1791" s="132">
        <f t="shared" si="204"/>
        <v>0</v>
      </c>
      <c r="K1791" s="132">
        <f t="shared" si="207"/>
        <v>0</v>
      </c>
      <c r="L1791" s="132">
        <f t="shared" si="201"/>
        <v>0</v>
      </c>
      <c r="M1791" s="133"/>
      <c r="N1791" s="133">
        <f t="shared" si="205"/>
        <v>0</v>
      </c>
      <c r="O1791" s="134"/>
      <c r="P1791" s="133"/>
      <c r="Q1791" s="2"/>
      <c r="R1791" s="156">
        <f t="shared" si="202"/>
        <v>0</v>
      </c>
      <c r="S1791" s="156">
        <f t="shared" si="203"/>
        <v>0</v>
      </c>
      <c r="T1791" s="133"/>
      <c r="U1791" s="133"/>
      <c r="V1791" s="133"/>
      <c r="W1791" s="133"/>
      <c r="X1791" s="133"/>
      <c r="Y1791" s="133"/>
      <c r="Z1791" s="133"/>
      <c r="AA1791" s="133"/>
      <c r="AB1791" s="133"/>
      <c r="AC1791" s="133"/>
      <c r="AD1791" s="133"/>
      <c r="AE1791" s="133"/>
      <c r="AF1791" s="133"/>
      <c r="AG1791" s="133"/>
      <c r="AH1791" s="133"/>
      <c r="AI1791" s="133"/>
      <c r="AJ1791" s="133"/>
      <c r="AK1791" s="133"/>
      <c r="AL1791" s="133"/>
      <c r="AM1791" s="133"/>
      <c r="AN1791" s="133"/>
      <c r="AO1791" s="133"/>
      <c r="AP1791" s="133"/>
      <c r="AQ1791" s="133"/>
      <c r="AR1791" s="133"/>
      <c r="AS1791" s="153">
        <v>0</v>
      </c>
      <c r="AT1791" s="153">
        <v>0</v>
      </c>
      <c r="AU1791" s="153">
        <v>0</v>
      </c>
      <c r="AV1791" s="135"/>
      <c r="AW1791" s="135"/>
      <c r="AX1791" s="135"/>
      <c r="AY1791" s="135"/>
      <c r="AZ1791" s="135"/>
      <c r="BA1791" s="135"/>
      <c r="BB1791" s="135"/>
      <c r="BC1791" s="135"/>
      <c r="BD1791" s="135"/>
      <c r="BE1791" s="135"/>
      <c r="BF1791" s="135"/>
      <c r="BG1791" s="135"/>
      <c r="BH1791" s="135"/>
      <c r="BI1791" s="2"/>
      <c r="BJ1791" s="136"/>
      <c r="BK1791" s="2"/>
      <c r="BL1791" s="136"/>
      <c r="BM1791" s="136"/>
      <c r="BN1791" s="2"/>
      <c r="BO1791" s="2"/>
      <c r="BP1791" s="136"/>
      <c r="BQ1791" s="137"/>
    </row>
    <row r="1792" spans="1:69" ht="12.75" customHeight="1" x14ac:dyDescent="0.2">
      <c r="A1792" s="2">
        <v>3281</v>
      </c>
      <c r="B1792" s="2"/>
      <c r="C1792" s="2"/>
      <c r="D1792" s="2"/>
      <c r="E1792" s="2"/>
      <c r="F1792" s="132">
        <v>0</v>
      </c>
      <c r="G1792" s="132"/>
      <c r="H1792" s="132">
        <f t="shared" si="206"/>
        <v>0</v>
      </c>
      <c r="I1792" s="132"/>
      <c r="J1792" s="132">
        <f t="shared" si="204"/>
        <v>0</v>
      </c>
      <c r="K1792" s="132">
        <f t="shared" si="207"/>
        <v>0</v>
      </c>
      <c r="L1792" s="132">
        <f t="shared" si="201"/>
        <v>0</v>
      </c>
      <c r="M1792" s="133"/>
      <c r="N1792" s="133">
        <f t="shared" si="205"/>
        <v>0</v>
      </c>
      <c r="O1792" s="134"/>
      <c r="P1792" s="133"/>
      <c r="Q1792" s="2"/>
      <c r="R1792" s="156">
        <f t="shared" si="202"/>
        <v>0</v>
      </c>
      <c r="S1792" s="156">
        <f t="shared" si="203"/>
        <v>0</v>
      </c>
      <c r="T1792" s="133"/>
      <c r="U1792" s="133"/>
      <c r="V1792" s="133"/>
      <c r="W1792" s="133"/>
      <c r="X1792" s="133"/>
      <c r="Y1792" s="133"/>
      <c r="Z1792" s="133"/>
      <c r="AA1792" s="133"/>
      <c r="AB1792" s="133"/>
      <c r="AC1792" s="133"/>
      <c r="AD1792" s="133"/>
      <c r="AE1792" s="133"/>
      <c r="AF1792" s="133"/>
      <c r="AG1792" s="133"/>
      <c r="AH1792" s="133"/>
      <c r="AI1792" s="133"/>
      <c r="AJ1792" s="133"/>
      <c r="AK1792" s="133"/>
      <c r="AL1792" s="133"/>
      <c r="AM1792" s="133"/>
      <c r="AN1792" s="133"/>
      <c r="AO1792" s="133"/>
      <c r="AP1792" s="133"/>
      <c r="AQ1792" s="133"/>
      <c r="AR1792" s="133"/>
      <c r="AS1792" s="153">
        <v>0</v>
      </c>
      <c r="AT1792" s="153">
        <v>0</v>
      </c>
      <c r="AU1792" s="153">
        <v>0</v>
      </c>
      <c r="AV1792" s="135"/>
      <c r="AW1792" s="135"/>
      <c r="AX1792" s="135"/>
      <c r="AY1792" s="135"/>
      <c r="AZ1792" s="135"/>
      <c r="BA1792" s="135"/>
      <c r="BB1792" s="135"/>
      <c r="BC1792" s="135"/>
      <c r="BD1792" s="135"/>
      <c r="BE1792" s="135"/>
      <c r="BF1792" s="135"/>
      <c r="BG1792" s="135"/>
      <c r="BH1792" s="135"/>
      <c r="BI1792" s="2"/>
      <c r="BJ1792" s="136"/>
      <c r="BK1792" s="2"/>
      <c r="BL1792" s="136"/>
      <c r="BM1792" s="136"/>
      <c r="BN1792" s="2"/>
      <c r="BO1792" s="2"/>
      <c r="BP1792" s="136"/>
      <c r="BQ1792" s="137"/>
    </row>
    <row r="1793" spans="1:69" ht="12.75" customHeight="1" x14ac:dyDescent="0.2">
      <c r="A1793" s="2">
        <v>3282</v>
      </c>
      <c r="B1793" s="2"/>
      <c r="C1793" s="2"/>
      <c r="D1793" s="2"/>
      <c r="E1793" s="2"/>
      <c r="F1793" s="132">
        <v>0</v>
      </c>
      <c r="G1793" s="132"/>
      <c r="H1793" s="132">
        <f t="shared" si="206"/>
        <v>0</v>
      </c>
      <c r="I1793" s="132"/>
      <c r="J1793" s="132">
        <f t="shared" si="204"/>
        <v>0</v>
      </c>
      <c r="K1793" s="132">
        <f t="shared" si="207"/>
        <v>0</v>
      </c>
      <c r="L1793" s="132">
        <f t="shared" si="201"/>
        <v>0</v>
      </c>
      <c r="M1793" s="133"/>
      <c r="N1793" s="133">
        <f t="shared" si="205"/>
        <v>0</v>
      </c>
      <c r="O1793" s="134"/>
      <c r="P1793" s="133"/>
      <c r="Q1793" s="2"/>
      <c r="R1793" s="156">
        <f t="shared" si="202"/>
        <v>0</v>
      </c>
      <c r="S1793" s="156">
        <f t="shared" si="203"/>
        <v>0</v>
      </c>
      <c r="T1793" s="133"/>
      <c r="U1793" s="133"/>
      <c r="V1793" s="133"/>
      <c r="W1793" s="133"/>
      <c r="X1793" s="133"/>
      <c r="Y1793" s="133"/>
      <c r="Z1793" s="133"/>
      <c r="AA1793" s="133"/>
      <c r="AB1793" s="133"/>
      <c r="AC1793" s="133"/>
      <c r="AD1793" s="133"/>
      <c r="AE1793" s="133"/>
      <c r="AF1793" s="133"/>
      <c r="AG1793" s="133"/>
      <c r="AH1793" s="133"/>
      <c r="AI1793" s="133"/>
      <c r="AJ1793" s="133"/>
      <c r="AK1793" s="133"/>
      <c r="AL1793" s="133"/>
      <c r="AM1793" s="133"/>
      <c r="AN1793" s="133"/>
      <c r="AO1793" s="133"/>
      <c r="AP1793" s="133"/>
      <c r="AQ1793" s="133"/>
      <c r="AR1793" s="133"/>
      <c r="AS1793" s="153">
        <v>0</v>
      </c>
      <c r="AT1793" s="153">
        <v>0</v>
      </c>
      <c r="AU1793" s="153">
        <v>0</v>
      </c>
      <c r="AV1793" s="135"/>
      <c r="AW1793" s="135"/>
      <c r="AX1793" s="135"/>
      <c r="AY1793" s="135"/>
      <c r="AZ1793" s="135"/>
      <c r="BA1793" s="135"/>
      <c r="BB1793" s="135"/>
      <c r="BC1793" s="135"/>
      <c r="BD1793" s="135"/>
      <c r="BE1793" s="135"/>
      <c r="BF1793" s="135"/>
      <c r="BG1793" s="135"/>
      <c r="BH1793" s="135"/>
      <c r="BI1793" s="2"/>
      <c r="BJ1793" s="136"/>
      <c r="BK1793" s="2"/>
      <c r="BL1793" s="136"/>
      <c r="BM1793" s="136"/>
      <c r="BN1793" s="2"/>
      <c r="BO1793" s="2"/>
      <c r="BP1793" s="136"/>
      <c r="BQ1793" s="137"/>
    </row>
    <row r="1794" spans="1:69" ht="12.75" customHeight="1" x14ac:dyDescent="0.2">
      <c r="A1794" s="2">
        <v>3283</v>
      </c>
      <c r="B1794" s="2"/>
      <c r="C1794" s="2"/>
      <c r="D1794" s="2"/>
      <c r="E1794" s="2"/>
      <c r="F1794" s="132">
        <v>0</v>
      </c>
      <c r="G1794" s="132"/>
      <c r="H1794" s="132">
        <f t="shared" si="206"/>
        <v>0</v>
      </c>
      <c r="I1794" s="132"/>
      <c r="J1794" s="132">
        <f t="shared" si="204"/>
        <v>0</v>
      </c>
      <c r="K1794" s="132">
        <f t="shared" si="207"/>
        <v>0</v>
      </c>
      <c r="L1794" s="132">
        <f t="shared" si="201"/>
        <v>0</v>
      </c>
      <c r="M1794" s="133"/>
      <c r="N1794" s="133">
        <f t="shared" si="205"/>
        <v>0</v>
      </c>
      <c r="O1794" s="134"/>
      <c r="P1794" s="133"/>
      <c r="Q1794" s="2"/>
      <c r="R1794" s="156">
        <f t="shared" si="202"/>
        <v>0</v>
      </c>
      <c r="S1794" s="156">
        <f t="shared" si="203"/>
        <v>0</v>
      </c>
      <c r="T1794" s="133"/>
      <c r="U1794" s="133"/>
      <c r="V1794" s="133"/>
      <c r="W1794" s="133"/>
      <c r="X1794" s="133"/>
      <c r="Y1794" s="133"/>
      <c r="Z1794" s="133"/>
      <c r="AA1794" s="133"/>
      <c r="AB1794" s="133"/>
      <c r="AC1794" s="133"/>
      <c r="AD1794" s="133"/>
      <c r="AE1794" s="133"/>
      <c r="AF1794" s="133"/>
      <c r="AG1794" s="133"/>
      <c r="AH1794" s="133"/>
      <c r="AI1794" s="133"/>
      <c r="AJ1794" s="133"/>
      <c r="AK1794" s="133"/>
      <c r="AL1794" s="133"/>
      <c r="AM1794" s="133"/>
      <c r="AN1794" s="133"/>
      <c r="AO1794" s="133"/>
      <c r="AP1794" s="133"/>
      <c r="AQ1794" s="133"/>
      <c r="AR1794" s="133"/>
      <c r="AS1794" s="153">
        <v>0</v>
      </c>
      <c r="AT1794" s="153">
        <v>0</v>
      </c>
      <c r="AU1794" s="153">
        <v>0</v>
      </c>
      <c r="AV1794" s="135"/>
      <c r="AW1794" s="135"/>
      <c r="AX1794" s="135"/>
      <c r="AY1794" s="135"/>
      <c r="AZ1794" s="135"/>
      <c r="BA1794" s="135"/>
      <c r="BB1794" s="135"/>
      <c r="BC1794" s="135"/>
      <c r="BD1794" s="135"/>
      <c r="BE1794" s="135"/>
      <c r="BF1794" s="135"/>
      <c r="BG1794" s="135"/>
      <c r="BH1794" s="135"/>
      <c r="BI1794" s="2"/>
      <c r="BJ1794" s="136"/>
      <c r="BK1794" s="2"/>
      <c r="BL1794" s="136"/>
      <c r="BM1794" s="136"/>
      <c r="BN1794" s="2"/>
      <c r="BO1794" s="2"/>
      <c r="BP1794" s="136"/>
      <c r="BQ1794" s="137"/>
    </row>
    <row r="1795" spans="1:69" ht="12.75" customHeight="1" x14ac:dyDescent="0.2">
      <c r="A1795" s="2">
        <v>3284</v>
      </c>
      <c r="B1795" s="2"/>
      <c r="C1795" s="2"/>
      <c r="D1795" s="2"/>
      <c r="E1795" s="2"/>
      <c r="F1795" s="132">
        <v>0</v>
      </c>
      <c r="G1795" s="132"/>
      <c r="H1795" s="132">
        <f t="shared" si="206"/>
        <v>0</v>
      </c>
      <c r="I1795" s="132"/>
      <c r="J1795" s="132">
        <f t="shared" si="204"/>
        <v>0</v>
      </c>
      <c r="K1795" s="132">
        <f t="shared" si="207"/>
        <v>0</v>
      </c>
      <c r="L1795" s="132">
        <f t="shared" si="201"/>
        <v>0</v>
      </c>
      <c r="M1795" s="133"/>
      <c r="N1795" s="133">
        <f t="shared" si="205"/>
        <v>0</v>
      </c>
      <c r="O1795" s="134"/>
      <c r="P1795" s="133"/>
      <c r="Q1795" s="2"/>
      <c r="R1795" s="156">
        <f t="shared" si="202"/>
        <v>0</v>
      </c>
      <c r="S1795" s="156">
        <f t="shared" si="203"/>
        <v>0</v>
      </c>
      <c r="T1795" s="133"/>
      <c r="U1795" s="133"/>
      <c r="V1795" s="133"/>
      <c r="W1795" s="133"/>
      <c r="X1795" s="133"/>
      <c r="Y1795" s="133"/>
      <c r="Z1795" s="133"/>
      <c r="AA1795" s="133"/>
      <c r="AB1795" s="133"/>
      <c r="AC1795" s="133"/>
      <c r="AD1795" s="133"/>
      <c r="AE1795" s="133"/>
      <c r="AF1795" s="133"/>
      <c r="AG1795" s="133"/>
      <c r="AH1795" s="133"/>
      <c r="AI1795" s="133"/>
      <c r="AJ1795" s="133"/>
      <c r="AK1795" s="133"/>
      <c r="AL1795" s="133"/>
      <c r="AM1795" s="133"/>
      <c r="AN1795" s="133"/>
      <c r="AO1795" s="133"/>
      <c r="AP1795" s="133"/>
      <c r="AQ1795" s="133"/>
      <c r="AR1795" s="133"/>
      <c r="AS1795" s="153">
        <v>0</v>
      </c>
      <c r="AT1795" s="153">
        <v>0</v>
      </c>
      <c r="AU1795" s="153">
        <v>0</v>
      </c>
      <c r="AV1795" s="135"/>
      <c r="AW1795" s="135"/>
      <c r="AX1795" s="135"/>
      <c r="AY1795" s="135"/>
      <c r="AZ1795" s="135"/>
      <c r="BA1795" s="135"/>
      <c r="BB1795" s="135"/>
      <c r="BC1795" s="135"/>
      <c r="BD1795" s="135"/>
      <c r="BE1795" s="135"/>
      <c r="BF1795" s="135"/>
      <c r="BG1795" s="135"/>
      <c r="BH1795" s="135"/>
      <c r="BI1795" s="2"/>
      <c r="BJ1795" s="136"/>
      <c r="BK1795" s="2"/>
      <c r="BL1795" s="136"/>
      <c r="BM1795" s="136"/>
      <c r="BN1795" s="2"/>
      <c r="BO1795" s="2"/>
      <c r="BP1795" s="136"/>
      <c r="BQ1795" s="137"/>
    </row>
    <row r="1796" spans="1:69" ht="12.75" customHeight="1" x14ac:dyDescent="0.2">
      <c r="A1796" s="2">
        <v>3285</v>
      </c>
      <c r="B1796" s="2"/>
      <c r="C1796" s="2"/>
      <c r="D1796" s="2"/>
      <c r="E1796" s="2"/>
      <c r="F1796" s="132">
        <v>0</v>
      </c>
      <c r="G1796" s="132"/>
      <c r="H1796" s="132">
        <f t="shared" si="206"/>
        <v>0</v>
      </c>
      <c r="I1796" s="132"/>
      <c r="J1796" s="132">
        <f t="shared" si="204"/>
        <v>0</v>
      </c>
      <c r="K1796" s="132">
        <f t="shared" si="207"/>
        <v>0</v>
      </c>
      <c r="L1796" s="132">
        <f t="shared" si="201"/>
        <v>0</v>
      </c>
      <c r="M1796" s="133"/>
      <c r="N1796" s="133">
        <f t="shared" si="205"/>
        <v>0</v>
      </c>
      <c r="O1796" s="134"/>
      <c r="P1796" s="133"/>
      <c r="Q1796" s="2"/>
      <c r="R1796" s="156">
        <f t="shared" si="202"/>
        <v>0</v>
      </c>
      <c r="S1796" s="156">
        <f t="shared" si="203"/>
        <v>0</v>
      </c>
      <c r="T1796" s="133"/>
      <c r="U1796" s="133"/>
      <c r="V1796" s="133"/>
      <c r="W1796" s="133"/>
      <c r="X1796" s="133"/>
      <c r="Y1796" s="133"/>
      <c r="Z1796" s="133"/>
      <c r="AA1796" s="133"/>
      <c r="AB1796" s="133"/>
      <c r="AC1796" s="133"/>
      <c r="AD1796" s="133"/>
      <c r="AE1796" s="133"/>
      <c r="AF1796" s="133"/>
      <c r="AG1796" s="133"/>
      <c r="AH1796" s="133"/>
      <c r="AI1796" s="133"/>
      <c r="AJ1796" s="133"/>
      <c r="AK1796" s="133"/>
      <c r="AL1796" s="133"/>
      <c r="AM1796" s="133"/>
      <c r="AN1796" s="133"/>
      <c r="AO1796" s="133"/>
      <c r="AP1796" s="133"/>
      <c r="AQ1796" s="133"/>
      <c r="AR1796" s="133"/>
      <c r="AS1796" s="153">
        <v>0</v>
      </c>
      <c r="AT1796" s="153">
        <v>0</v>
      </c>
      <c r="AU1796" s="153">
        <v>0</v>
      </c>
      <c r="AV1796" s="135"/>
      <c r="AW1796" s="135"/>
      <c r="AX1796" s="135"/>
      <c r="AY1796" s="135"/>
      <c r="AZ1796" s="135"/>
      <c r="BA1796" s="135"/>
      <c r="BB1796" s="135"/>
      <c r="BC1796" s="135"/>
      <c r="BD1796" s="135"/>
      <c r="BE1796" s="135"/>
      <c r="BF1796" s="135"/>
      <c r="BG1796" s="135"/>
      <c r="BH1796" s="135"/>
      <c r="BI1796" s="2"/>
      <c r="BJ1796" s="136"/>
      <c r="BK1796" s="2"/>
      <c r="BL1796" s="136"/>
      <c r="BM1796" s="136"/>
      <c r="BN1796" s="2"/>
      <c r="BO1796" s="2"/>
      <c r="BP1796" s="136"/>
      <c r="BQ1796" s="137"/>
    </row>
    <row r="1797" spans="1:69" ht="12.75" customHeight="1" x14ac:dyDescent="0.2">
      <c r="A1797" s="2">
        <v>3286</v>
      </c>
      <c r="B1797" s="2"/>
      <c r="C1797" s="2"/>
      <c r="D1797" s="2"/>
      <c r="E1797" s="2"/>
      <c r="F1797" s="132">
        <v>0</v>
      </c>
      <c r="G1797" s="132"/>
      <c r="H1797" s="132">
        <f t="shared" si="206"/>
        <v>0</v>
      </c>
      <c r="I1797" s="132"/>
      <c r="J1797" s="132">
        <f t="shared" si="204"/>
        <v>0</v>
      </c>
      <c r="K1797" s="132">
        <f t="shared" si="207"/>
        <v>0</v>
      </c>
      <c r="L1797" s="132">
        <f t="shared" si="201"/>
        <v>0</v>
      </c>
      <c r="M1797" s="133"/>
      <c r="N1797" s="133">
        <f t="shared" si="205"/>
        <v>0</v>
      </c>
      <c r="O1797" s="134"/>
      <c r="P1797" s="133"/>
      <c r="Q1797" s="2"/>
      <c r="R1797" s="156">
        <f t="shared" si="202"/>
        <v>0</v>
      </c>
      <c r="S1797" s="156">
        <f t="shared" si="203"/>
        <v>0</v>
      </c>
      <c r="T1797" s="133"/>
      <c r="U1797" s="133"/>
      <c r="V1797" s="133"/>
      <c r="W1797" s="133"/>
      <c r="X1797" s="133"/>
      <c r="Y1797" s="133"/>
      <c r="Z1797" s="133"/>
      <c r="AA1797" s="133"/>
      <c r="AB1797" s="133"/>
      <c r="AC1797" s="133"/>
      <c r="AD1797" s="133"/>
      <c r="AE1797" s="133"/>
      <c r="AF1797" s="133"/>
      <c r="AG1797" s="133"/>
      <c r="AH1797" s="133"/>
      <c r="AI1797" s="133"/>
      <c r="AJ1797" s="133"/>
      <c r="AK1797" s="133"/>
      <c r="AL1797" s="133"/>
      <c r="AM1797" s="133"/>
      <c r="AN1797" s="133"/>
      <c r="AO1797" s="133"/>
      <c r="AP1797" s="133"/>
      <c r="AQ1797" s="133"/>
      <c r="AR1797" s="133"/>
      <c r="AS1797" s="153">
        <v>0</v>
      </c>
      <c r="AT1797" s="153">
        <v>0</v>
      </c>
      <c r="AU1797" s="153">
        <v>0</v>
      </c>
      <c r="AV1797" s="135"/>
      <c r="AW1797" s="135"/>
      <c r="AX1797" s="135"/>
      <c r="AY1797" s="135"/>
      <c r="AZ1797" s="135"/>
      <c r="BA1797" s="135"/>
      <c r="BB1797" s="135"/>
      <c r="BC1797" s="135"/>
      <c r="BD1797" s="135"/>
      <c r="BE1797" s="135"/>
      <c r="BF1797" s="135"/>
      <c r="BG1797" s="135"/>
      <c r="BH1797" s="135"/>
      <c r="BI1797" s="2"/>
      <c r="BJ1797" s="136"/>
      <c r="BK1797" s="2"/>
      <c r="BL1797" s="136"/>
      <c r="BM1797" s="136"/>
      <c r="BN1797" s="2"/>
      <c r="BO1797" s="2"/>
      <c r="BP1797" s="136"/>
      <c r="BQ1797" s="137"/>
    </row>
    <row r="1798" spans="1:69" ht="12.75" customHeight="1" x14ac:dyDescent="0.2">
      <c r="A1798" s="2">
        <v>3287</v>
      </c>
      <c r="B1798" s="2"/>
      <c r="C1798" s="2"/>
      <c r="D1798" s="2"/>
      <c r="E1798" s="2"/>
      <c r="F1798" s="132">
        <v>0</v>
      </c>
      <c r="G1798" s="132"/>
      <c r="H1798" s="132">
        <f t="shared" si="206"/>
        <v>0</v>
      </c>
      <c r="I1798" s="132"/>
      <c r="J1798" s="132">
        <f t="shared" si="204"/>
        <v>0</v>
      </c>
      <c r="K1798" s="132">
        <f t="shared" si="207"/>
        <v>0</v>
      </c>
      <c r="L1798" s="132">
        <f t="shared" si="201"/>
        <v>0</v>
      </c>
      <c r="M1798" s="133"/>
      <c r="N1798" s="133">
        <f t="shared" si="205"/>
        <v>0</v>
      </c>
      <c r="O1798" s="134"/>
      <c r="P1798" s="133"/>
      <c r="Q1798" s="2"/>
      <c r="R1798" s="156">
        <f t="shared" si="202"/>
        <v>0</v>
      </c>
      <c r="S1798" s="156">
        <f t="shared" si="203"/>
        <v>0</v>
      </c>
      <c r="T1798" s="133"/>
      <c r="U1798" s="133"/>
      <c r="V1798" s="133"/>
      <c r="W1798" s="133"/>
      <c r="X1798" s="133"/>
      <c r="Y1798" s="133"/>
      <c r="Z1798" s="133"/>
      <c r="AA1798" s="133"/>
      <c r="AB1798" s="133"/>
      <c r="AC1798" s="133"/>
      <c r="AD1798" s="133"/>
      <c r="AE1798" s="133"/>
      <c r="AF1798" s="133"/>
      <c r="AG1798" s="133"/>
      <c r="AH1798" s="133"/>
      <c r="AI1798" s="133"/>
      <c r="AJ1798" s="133"/>
      <c r="AK1798" s="133"/>
      <c r="AL1798" s="133"/>
      <c r="AM1798" s="133"/>
      <c r="AN1798" s="133"/>
      <c r="AO1798" s="133"/>
      <c r="AP1798" s="133"/>
      <c r="AQ1798" s="133"/>
      <c r="AR1798" s="133"/>
      <c r="AS1798" s="153">
        <v>0</v>
      </c>
      <c r="AT1798" s="153">
        <v>0</v>
      </c>
      <c r="AU1798" s="153">
        <v>0</v>
      </c>
      <c r="AV1798" s="135"/>
      <c r="AW1798" s="135"/>
      <c r="AX1798" s="135"/>
      <c r="AY1798" s="135"/>
      <c r="AZ1798" s="135"/>
      <c r="BA1798" s="135"/>
      <c r="BB1798" s="135"/>
      <c r="BC1798" s="135"/>
      <c r="BD1798" s="135"/>
      <c r="BE1798" s="135"/>
      <c r="BF1798" s="135"/>
      <c r="BG1798" s="135"/>
      <c r="BH1798" s="135"/>
      <c r="BI1798" s="2"/>
      <c r="BJ1798" s="136"/>
      <c r="BK1798" s="2"/>
      <c r="BL1798" s="136"/>
      <c r="BM1798" s="136"/>
      <c r="BN1798" s="2"/>
      <c r="BO1798" s="2"/>
      <c r="BP1798" s="136"/>
      <c r="BQ1798" s="137"/>
    </row>
    <row r="1799" spans="1:69" ht="12.75" customHeight="1" x14ac:dyDescent="0.2">
      <c r="A1799" s="2">
        <v>3288</v>
      </c>
      <c r="B1799" s="2"/>
      <c r="C1799" s="2"/>
      <c r="D1799" s="2"/>
      <c r="E1799" s="2"/>
      <c r="F1799" s="132">
        <v>0</v>
      </c>
      <c r="G1799" s="132"/>
      <c r="H1799" s="132">
        <f t="shared" si="206"/>
        <v>0</v>
      </c>
      <c r="I1799" s="132"/>
      <c r="J1799" s="132">
        <f t="shared" si="204"/>
        <v>0</v>
      </c>
      <c r="K1799" s="132">
        <f t="shared" si="207"/>
        <v>0</v>
      </c>
      <c r="L1799" s="132">
        <f t="shared" si="201"/>
        <v>0</v>
      </c>
      <c r="M1799" s="133"/>
      <c r="N1799" s="133">
        <f t="shared" si="205"/>
        <v>0</v>
      </c>
      <c r="O1799" s="134"/>
      <c r="P1799" s="133"/>
      <c r="Q1799" s="2"/>
      <c r="R1799" s="156">
        <f t="shared" si="202"/>
        <v>0</v>
      </c>
      <c r="S1799" s="156">
        <f t="shared" si="203"/>
        <v>0</v>
      </c>
      <c r="T1799" s="133"/>
      <c r="U1799" s="133"/>
      <c r="V1799" s="133"/>
      <c r="W1799" s="133"/>
      <c r="X1799" s="133"/>
      <c r="Y1799" s="133"/>
      <c r="Z1799" s="133"/>
      <c r="AA1799" s="133"/>
      <c r="AB1799" s="133"/>
      <c r="AC1799" s="133"/>
      <c r="AD1799" s="133"/>
      <c r="AE1799" s="133"/>
      <c r="AF1799" s="133"/>
      <c r="AG1799" s="133"/>
      <c r="AH1799" s="133"/>
      <c r="AI1799" s="133"/>
      <c r="AJ1799" s="133"/>
      <c r="AK1799" s="133"/>
      <c r="AL1799" s="133"/>
      <c r="AM1799" s="133"/>
      <c r="AN1799" s="133"/>
      <c r="AO1799" s="133"/>
      <c r="AP1799" s="133"/>
      <c r="AQ1799" s="133"/>
      <c r="AR1799" s="133"/>
      <c r="AS1799" s="153">
        <v>0</v>
      </c>
      <c r="AT1799" s="153">
        <v>0</v>
      </c>
      <c r="AU1799" s="153">
        <v>0</v>
      </c>
      <c r="AV1799" s="135"/>
      <c r="AW1799" s="135"/>
      <c r="AX1799" s="135"/>
      <c r="AY1799" s="135"/>
      <c r="AZ1799" s="135"/>
      <c r="BA1799" s="135"/>
      <c r="BB1799" s="135"/>
      <c r="BC1799" s="135"/>
      <c r="BD1799" s="135"/>
      <c r="BE1799" s="135"/>
      <c r="BF1799" s="135"/>
      <c r="BG1799" s="135"/>
      <c r="BH1799" s="135"/>
      <c r="BI1799" s="2"/>
      <c r="BJ1799" s="136"/>
      <c r="BK1799" s="2"/>
      <c r="BL1799" s="136"/>
      <c r="BM1799" s="136"/>
      <c r="BN1799" s="2"/>
      <c r="BO1799" s="2"/>
      <c r="BP1799" s="136"/>
      <c r="BQ1799" s="137"/>
    </row>
    <row r="1800" spans="1:69" ht="12.75" customHeight="1" x14ac:dyDescent="0.2">
      <c r="A1800" s="2">
        <v>3289</v>
      </c>
      <c r="B1800" s="2"/>
      <c r="C1800" s="2"/>
      <c r="D1800" s="2"/>
      <c r="E1800" s="2"/>
      <c r="F1800" s="132">
        <v>0</v>
      </c>
      <c r="G1800" s="132"/>
      <c r="H1800" s="132">
        <f t="shared" si="206"/>
        <v>0</v>
      </c>
      <c r="I1800" s="132"/>
      <c r="J1800" s="132">
        <f t="shared" si="204"/>
        <v>0</v>
      </c>
      <c r="K1800" s="132">
        <f t="shared" si="207"/>
        <v>0</v>
      </c>
      <c r="L1800" s="132">
        <f t="shared" si="201"/>
        <v>0</v>
      </c>
      <c r="M1800" s="133"/>
      <c r="N1800" s="133">
        <f t="shared" si="205"/>
        <v>0</v>
      </c>
      <c r="O1800" s="134"/>
      <c r="P1800" s="133"/>
      <c r="Q1800" s="2"/>
      <c r="R1800" s="156">
        <f t="shared" si="202"/>
        <v>0</v>
      </c>
      <c r="S1800" s="156">
        <f t="shared" si="203"/>
        <v>0</v>
      </c>
      <c r="T1800" s="133"/>
      <c r="U1800" s="133"/>
      <c r="V1800" s="133"/>
      <c r="W1800" s="133"/>
      <c r="X1800" s="133"/>
      <c r="Y1800" s="133"/>
      <c r="Z1800" s="133"/>
      <c r="AA1800" s="133"/>
      <c r="AB1800" s="133"/>
      <c r="AC1800" s="133"/>
      <c r="AD1800" s="133"/>
      <c r="AE1800" s="133"/>
      <c r="AF1800" s="133"/>
      <c r="AG1800" s="133"/>
      <c r="AH1800" s="133"/>
      <c r="AI1800" s="133"/>
      <c r="AJ1800" s="133"/>
      <c r="AK1800" s="133"/>
      <c r="AL1800" s="133"/>
      <c r="AM1800" s="133"/>
      <c r="AN1800" s="133"/>
      <c r="AO1800" s="133"/>
      <c r="AP1800" s="133"/>
      <c r="AQ1800" s="133"/>
      <c r="AR1800" s="133"/>
      <c r="AS1800" s="153">
        <v>0</v>
      </c>
      <c r="AT1800" s="153">
        <v>0</v>
      </c>
      <c r="AU1800" s="153">
        <v>0</v>
      </c>
      <c r="AV1800" s="135"/>
      <c r="AW1800" s="135"/>
      <c r="AX1800" s="135"/>
      <c r="AY1800" s="135"/>
      <c r="AZ1800" s="135"/>
      <c r="BA1800" s="135"/>
      <c r="BB1800" s="135"/>
      <c r="BC1800" s="135"/>
      <c r="BD1800" s="135"/>
      <c r="BE1800" s="135"/>
      <c r="BF1800" s="135"/>
      <c r="BG1800" s="135"/>
      <c r="BH1800" s="135"/>
      <c r="BI1800" s="2"/>
      <c r="BJ1800" s="136"/>
      <c r="BK1800" s="2"/>
      <c r="BL1800" s="136"/>
      <c r="BM1800" s="136"/>
      <c r="BN1800" s="2"/>
      <c r="BO1800" s="2"/>
      <c r="BP1800" s="136"/>
      <c r="BQ1800" s="137"/>
    </row>
    <row r="1801" spans="1:69" ht="12.75" customHeight="1" x14ac:dyDescent="0.2">
      <c r="A1801" s="2">
        <v>3290</v>
      </c>
      <c r="B1801" s="2"/>
      <c r="C1801" s="2"/>
      <c r="D1801" s="2"/>
      <c r="E1801" s="2"/>
      <c r="F1801" s="132">
        <v>0</v>
      </c>
      <c r="G1801" s="132"/>
      <c r="H1801" s="132">
        <f t="shared" si="206"/>
        <v>0</v>
      </c>
      <c r="I1801" s="132"/>
      <c r="J1801" s="132">
        <f t="shared" si="204"/>
        <v>0</v>
      </c>
      <c r="K1801" s="132">
        <f t="shared" si="207"/>
        <v>0</v>
      </c>
      <c r="L1801" s="132">
        <f t="shared" si="201"/>
        <v>0</v>
      </c>
      <c r="M1801" s="133"/>
      <c r="N1801" s="133">
        <f t="shared" si="205"/>
        <v>0</v>
      </c>
      <c r="O1801" s="134"/>
      <c r="P1801" s="133"/>
      <c r="Q1801" s="2"/>
      <c r="R1801" s="156">
        <f t="shared" si="202"/>
        <v>0</v>
      </c>
      <c r="S1801" s="156">
        <f t="shared" si="203"/>
        <v>0</v>
      </c>
      <c r="T1801" s="133"/>
      <c r="U1801" s="133"/>
      <c r="V1801" s="133"/>
      <c r="W1801" s="133"/>
      <c r="X1801" s="133"/>
      <c r="Y1801" s="133"/>
      <c r="Z1801" s="133"/>
      <c r="AA1801" s="133"/>
      <c r="AB1801" s="133"/>
      <c r="AC1801" s="133"/>
      <c r="AD1801" s="133"/>
      <c r="AE1801" s="133"/>
      <c r="AF1801" s="133"/>
      <c r="AG1801" s="133"/>
      <c r="AH1801" s="133"/>
      <c r="AI1801" s="133"/>
      <c r="AJ1801" s="133"/>
      <c r="AK1801" s="133"/>
      <c r="AL1801" s="133"/>
      <c r="AM1801" s="133"/>
      <c r="AN1801" s="133"/>
      <c r="AO1801" s="133"/>
      <c r="AP1801" s="133"/>
      <c r="AQ1801" s="133"/>
      <c r="AR1801" s="133"/>
      <c r="AS1801" s="153">
        <v>0</v>
      </c>
      <c r="AT1801" s="153">
        <v>0</v>
      </c>
      <c r="AU1801" s="153">
        <v>0</v>
      </c>
      <c r="AV1801" s="135"/>
      <c r="AW1801" s="135"/>
      <c r="AX1801" s="135"/>
      <c r="AY1801" s="135"/>
      <c r="AZ1801" s="135"/>
      <c r="BA1801" s="135"/>
      <c r="BB1801" s="135"/>
      <c r="BC1801" s="135"/>
      <c r="BD1801" s="135"/>
      <c r="BE1801" s="135"/>
      <c r="BF1801" s="135"/>
      <c r="BG1801" s="135"/>
      <c r="BH1801" s="135"/>
      <c r="BI1801" s="2"/>
      <c r="BJ1801" s="136"/>
      <c r="BK1801" s="2"/>
      <c r="BL1801" s="136"/>
      <c r="BM1801" s="136"/>
      <c r="BN1801" s="2"/>
      <c r="BO1801" s="2"/>
      <c r="BP1801" s="136"/>
      <c r="BQ1801" s="137"/>
    </row>
    <row r="1802" spans="1:69" ht="12.75" customHeight="1" x14ac:dyDescent="0.2">
      <c r="A1802" s="2">
        <v>3291</v>
      </c>
      <c r="B1802" s="2"/>
      <c r="C1802" s="2"/>
      <c r="D1802" s="2"/>
      <c r="E1802" s="2"/>
      <c r="F1802" s="132">
        <v>0</v>
      </c>
      <c r="G1802" s="132"/>
      <c r="H1802" s="132">
        <f t="shared" si="206"/>
        <v>0</v>
      </c>
      <c r="I1802" s="132"/>
      <c r="J1802" s="132">
        <f t="shared" si="204"/>
        <v>0</v>
      </c>
      <c r="K1802" s="132">
        <f t="shared" si="207"/>
        <v>0</v>
      </c>
      <c r="L1802" s="132">
        <f t="shared" si="201"/>
        <v>0</v>
      </c>
      <c r="M1802" s="133"/>
      <c r="N1802" s="133">
        <f t="shared" si="205"/>
        <v>0</v>
      </c>
      <c r="O1802" s="134"/>
      <c r="P1802" s="133"/>
      <c r="Q1802" s="2"/>
      <c r="R1802" s="156">
        <f t="shared" si="202"/>
        <v>0</v>
      </c>
      <c r="S1802" s="156">
        <f t="shared" si="203"/>
        <v>0</v>
      </c>
      <c r="T1802" s="133"/>
      <c r="U1802" s="133"/>
      <c r="V1802" s="133"/>
      <c r="W1802" s="133"/>
      <c r="X1802" s="133"/>
      <c r="Y1802" s="133"/>
      <c r="Z1802" s="133"/>
      <c r="AA1802" s="133"/>
      <c r="AB1802" s="133"/>
      <c r="AC1802" s="133"/>
      <c r="AD1802" s="133"/>
      <c r="AE1802" s="133"/>
      <c r="AF1802" s="133"/>
      <c r="AG1802" s="133"/>
      <c r="AH1802" s="133"/>
      <c r="AI1802" s="133"/>
      <c r="AJ1802" s="133"/>
      <c r="AK1802" s="133"/>
      <c r="AL1802" s="133"/>
      <c r="AM1802" s="133"/>
      <c r="AN1802" s="133"/>
      <c r="AO1802" s="133"/>
      <c r="AP1802" s="133"/>
      <c r="AQ1802" s="133"/>
      <c r="AR1802" s="133"/>
      <c r="AS1802" s="153">
        <v>0</v>
      </c>
      <c r="AT1802" s="153">
        <v>0</v>
      </c>
      <c r="AU1802" s="153">
        <v>0</v>
      </c>
      <c r="AV1802" s="135"/>
      <c r="AW1802" s="135"/>
      <c r="AX1802" s="135"/>
      <c r="AY1802" s="135"/>
      <c r="AZ1802" s="135"/>
      <c r="BA1802" s="135"/>
      <c r="BB1802" s="135"/>
      <c r="BC1802" s="135"/>
      <c r="BD1802" s="135"/>
      <c r="BE1802" s="135"/>
      <c r="BF1802" s="135"/>
      <c r="BG1802" s="135"/>
      <c r="BH1802" s="135"/>
      <c r="BI1802" s="2"/>
      <c r="BJ1802" s="136"/>
      <c r="BK1802" s="2"/>
      <c r="BL1802" s="136"/>
      <c r="BM1802" s="136"/>
      <c r="BN1802" s="2"/>
      <c r="BO1802" s="2"/>
      <c r="BP1802" s="136"/>
      <c r="BQ1802" s="137"/>
    </row>
    <row r="1803" spans="1:69" ht="12.75" customHeight="1" x14ac:dyDescent="0.2">
      <c r="A1803" s="2">
        <v>3292</v>
      </c>
      <c r="B1803" s="2"/>
      <c r="C1803" s="2"/>
      <c r="D1803" s="2"/>
      <c r="E1803" s="2"/>
      <c r="F1803" s="132">
        <v>0</v>
      </c>
      <c r="G1803" s="132"/>
      <c r="H1803" s="132">
        <f t="shared" si="206"/>
        <v>0</v>
      </c>
      <c r="I1803" s="132"/>
      <c r="J1803" s="132">
        <f t="shared" si="204"/>
        <v>0</v>
      </c>
      <c r="K1803" s="132">
        <f t="shared" si="207"/>
        <v>0</v>
      </c>
      <c r="L1803" s="132">
        <f t="shared" ref="L1803:L1866" si="208">H1803-J1803</f>
        <v>0</v>
      </c>
      <c r="M1803" s="133"/>
      <c r="N1803" s="133">
        <f t="shared" si="205"/>
        <v>0</v>
      </c>
      <c r="O1803" s="134"/>
      <c r="P1803" s="133"/>
      <c r="Q1803" s="2"/>
      <c r="R1803" s="156">
        <f t="shared" ref="R1803:R1866" si="209">T1803+V1803+X1803+Z1803+AB1803+AD1803+AF1803+AH1803+AJ1803+AL1803+AN1803+AP1803</f>
        <v>0</v>
      </c>
      <c r="S1803" s="156">
        <f t="shared" ref="S1803:S1866" si="210">U1803+W1803+Y1803+AA1803+AC1803+AE1803+AG1803+AI1803+AK1803+AM1803+AO1803+AQ1803</f>
        <v>0</v>
      </c>
      <c r="T1803" s="133"/>
      <c r="U1803" s="133"/>
      <c r="V1803" s="133"/>
      <c r="W1803" s="133"/>
      <c r="X1803" s="133"/>
      <c r="Y1803" s="133"/>
      <c r="Z1803" s="133"/>
      <c r="AA1803" s="133"/>
      <c r="AB1803" s="133"/>
      <c r="AC1803" s="133"/>
      <c r="AD1803" s="133"/>
      <c r="AE1803" s="133"/>
      <c r="AF1803" s="133"/>
      <c r="AG1803" s="133"/>
      <c r="AH1803" s="133"/>
      <c r="AI1803" s="133"/>
      <c r="AJ1803" s="133"/>
      <c r="AK1803" s="133"/>
      <c r="AL1803" s="133"/>
      <c r="AM1803" s="133"/>
      <c r="AN1803" s="133"/>
      <c r="AO1803" s="133"/>
      <c r="AP1803" s="133"/>
      <c r="AQ1803" s="133"/>
      <c r="AR1803" s="133"/>
      <c r="AS1803" s="153">
        <v>0</v>
      </c>
      <c r="AT1803" s="153">
        <v>0</v>
      </c>
      <c r="AU1803" s="153">
        <v>0</v>
      </c>
      <c r="AV1803" s="135"/>
      <c r="AW1803" s="135"/>
      <c r="AX1803" s="135"/>
      <c r="AY1803" s="135"/>
      <c r="AZ1803" s="135"/>
      <c r="BA1803" s="135"/>
      <c r="BB1803" s="135"/>
      <c r="BC1803" s="135"/>
      <c r="BD1803" s="135"/>
      <c r="BE1803" s="135"/>
      <c r="BF1803" s="135"/>
      <c r="BG1803" s="135"/>
      <c r="BH1803" s="135"/>
      <c r="BI1803" s="2"/>
      <c r="BJ1803" s="136"/>
      <c r="BK1803" s="2"/>
      <c r="BL1803" s="136"/>
      <c r="BM1803" s="136"/>
      <c r="BN1803" s="2"/>
      <c r="BO1803" s="2"/>
      <c r="BP1803" s="136"/>
      <c r="BQ1803" s="137"/>
    </row>
    <row r="1804" spans="1:69" ht="12.75" customHeight="1" x14ac:dyDescent="0.2">
      <c r="A1804" s="2">
        <v>3293</v>
      </c>
      <c r="B1804" s="2"/>
      <c r="C1804" s="2"/>
      <c r="D1804" s="2"/>
      <c r="E1804" s="2"/>
      <c r="F1804" s="132">
        <v>0</v>
      </c>
      <c r="G1804" s="132"/>
      <c r="H1804" s="132">
        <f t="shared" si="206"/>
        <v>0</v>
      </c>
      <c r="I1804" s="132"/>
      <c r="J1804" s="132">
        <f t="shared" si="204"/>
        <v>0</v>
      </c>
      <c r="K1804" s="132">
        <f t="shared" si="207"/>
        <v>0</v>
      </c>
      <c r="L1804" s="132">
        <f t="shared" si="208"/>
        <v>0</v>
      </c>
      <c r="M1804" s="133"/>
      <c r="N1804" s="133">
        <f t="shared" si="205"/>
        <v>0</v>
      </c>
      <c r="O1804" s="134"/>
      <c r="P1804" s="133"/>
      <c r="Q1804" s="2"/>
      <c r="R1804" s="156">
        <f t="shared" si="209"/>
        <v>0</v>
      </c>
      <c r="S1804" s="156">
        <f t="shared" si="210"/>
        <v>0</v>
      </c>
      <c r="T1804" s="133"/>
      <c r="U1804" s="133"/>
      <c r="V1804" s="133"/>
      <c r="W1804" s="133"/>
      <c r="X1804" s="133"/>
      <c r="Y1804" s="133"/>
      <c r="Z1804" s="133"/>
      <c r="AA1804" s="133"/>
      <c r="AB1804" s="133"/>
      <c r="AC1804" s="133"/>
      <c r="AD1804" s="133"/>
      <c r="AE1804" s="133"/>
      <c r="AF1804" s="133"/>
      <c r="AG1804" s="133"/>
      <c r="AH1804" s="133"/>
      <c r="AI1804" s="133"/>
      <c r="AJ1804" s="133"/>
      <c r="AK1804" s="133"/>
      <c r="AL1804" s="133"/>
      <c r="AM1804" s="133"/>
      <c r="AN1804" s="133"/>
      <c r="AO1804" s="133"/>
      <c r="AP1804" s="133"/>
      <c r="AQ1804" s="133"/>
      <c r="AR1804" s="133"/>
      <c r="AS1804" s="153">
        <v>0</v>
      </c>
      <c r="AT1804" s="153">
        <v>0</v>
      </c>
      <c r="AU1804" s="153">
        <v>0</v>
      </c>
      <c r="AV1804" s="135"/>
      <c r="AW1804" s="135"/>
      <c r="AX1804" s="135"/>
      <c r="AY1804" s="135"/>
      <c r="AZ1804" s="135"/>
      <c r="BA1804" s="135"/>
      <c r="BB1804" s="135"/>
      <c r="BC1804" s="135"/>
      <c r="BD1804" s="135"/>
      <c r="BE1804" s="135"/>
      <c r="BF1804" s="135"/>
      <c r="BG1804" s="135"/>
      <c r="BH1804" s="135"/>
      <c r="BI1804" s="2"/>
      <c r="BJ1804" s="136"/>
      <c r="BK1804" s="2"/>
      <c r="BL1804" s="136"/>
      <c r="BM1804" s="136"/>
      <c r="BN1804" s="2"/>
      <c r="BO1804" s="2"/>
      <c r="BP1804" s="136"/>
      <c r="BQ1804" s="137"/>
    </row>
    <row r="1805" spans="1:69" ht="12.75" customHeight="1" x14ac:dyDescent="0.2">
      <c r="A1805" s="2">
        <v>3294</v>
      </c>
      <c r="B1805" s="2"/>
      <c r="C1805" s="2"/>
      <c r="D1805" s="2"/>
      <c r="E1805" s="2"/>
      <c r="F1805" s="132">
        <v>0</v>
      </c>
      <c r="G1805" s="132"/>
      <c r="H1805" s="132">
        <f t="shared" si="206"/>
        <v>0</v>
      </c>
      <c r="I1805" s="132"/>
      <c r="J1805" s="132">
        <f t="shared" si="204"/>
        <v>0</v>
      </c>
      <c r="K1805" s="132">
        <f t="shared" si="207"/>
        <v>0</v>
      </c>
      <c r="L1805" s="132">
        <f t="shared" si="208"/>
        <v>0</v>
      </c>
      <c r="M1805" s="133"/>
      <c r="N1805" s="133">
        <f t="shared" si="205"/>
        <v>0</v>
      </c>
      <c r="O1805" s="134"/>
      <c r="P1805" s="133"/>
      <c r="Q1805" s="2"/>
      <c r="R1805" s="156">
        <f t="shared" si="209"/>
        <v>0</v>
      </c>
      <c r="S1805" s="156">
        <f t="shared" si="210"/>
        <v>0</v>
      </c>
      <c r="T1805" s="133"/>
      <c r="U1805" s="133"/>
      <c r="V1805" s="133"/>
      <c r="W1805" s="133"/>
      <c r="X1805" s="133"/>
      <c r="Y1805" s="133"/>
      <c r="Z1805" s="133"/>
      <c r="AA1805" s="133"/>
      <c r="AB1805" s="133"/>
      <c r="AC1805" s="133"/>
      <c r="AD1805" s="133"/>
      <c r="AE1805" s="133"/>
      <c r="AF1805" s="133"/>
      <c r="AG1805" s="133"/>
      <c r="AH1805" s="133"/>
      <c r="AI1805" s="133"/>
      <c r="AJ1805" s="133"/>
      <c r="AK1805" s="133"/>
      <c r="AL1805" s="133"/>
      <c r="AM1805" s="133"/>
      <c r="AN1805" s="133"/>
      <c r="AO1805" s="133"/>
      <c r="AP1805" s="133"/>
      <c r="AQ1805" s="133"/>
      <c r="AR1805" s="133"/>
      <c r="AS1805" s="153">
        <v>0</v>
      </c>
      <c r="AT1805" s="153">
        <v>0</v>
      </c>
      <c r="AU1805" s="153">
        <v>0</v>
      </c>
      <c r="AV1805" s="135"/>
      <c r="AW1805" s="135"/>
      <c r="AX1805" s="135"/>
      <c r="AY1805" s="135"/>
      <c r="AZ1805" s="135"/>
      <c r="BA1805" s="135"/>
      <c r="BB1805" s="135"/>
      <c r="BC1805" s="135"/>
      <c r="BD1805" s="135"/>
      <c r="BE1805" s="135"/>
      <c r="BF1805" s="135"/>
      <c r="BG1805" s="135"/>
      <c r="BH1805" s="135"/>
      <c r="BI1805" s="2"/>
      <c r="BJ1805" s="136"/>
      <c r="BK1805" s="2"/>
      <c r="BL1805" s="136"/>
      <c r="BM1805" s="136"/>
      <c r="BN1805" s="2"/>
      <c r="BO1805" s="2"/>
      <c r="BP1805" s="136"/>
      <c r="BQ1805" s="137"/>
    </row>
    <row r="1806" spans="1:69" ht="12.75" customHeight="1" x14ac:dyDescent="0.2">
      <c r="A1806" s="2">
        <v>3295</v>
      </c>
      <c r="B1806" s="2"/>
      <c r="C1806" s="2"/>
      <c r="D1806" s="2"/>
      <c r="E1806" s="2"/>
      <c r="F1806" s="132">
        <v>0</v>
      </c>
      <c r="G1806" s="132"/>
      <c r="H1806" s="132">
        <f t="shared" si="206"/>
        <v>0</v>
      </c>
      <c r="I1806" s="132"/>
      <c r="J1806" s="132">
        <f t="shared" si="204"/>
        <v>0</v>
      </c>
      <c r="K1806" s="132">
        <f t="shared" si="207"/>
        <v>0</v>
      </c>
      <c r="L1806" s="132">
        <f t="shared" si="208"/>
        <v>0</v>
      </c>
      <c r="M1806" s="133"/>
      <c r="N1806" s="133">
        <f t="shared" si="205"/>
        <v>0</v>
      </c>
      <c r="O1806" s="134"/>
      <c r="P1806" s="133"/>
      <c r="Q1806" s="2"/>
      <c r="R1806" s="156">
        <f t="shared" si="209"/>
        <v>0</v>
      </c>
      <c r="S1806" s="156">
        <f t="shared" si="210"/>
        <v>0</v>
      </c>
      <c r="T1806" s="133"/>
      <c r="U1806" s="133"/>
      <c r="V1806" s="133"/>
      <c r="W1806" s="133"/>
      <c r="X1806" s="133"/>
      <c r="Y1806" s="133"/>
      <c r="Z1806" s="133"/>
      <c r="AA1806" s="133"/>
      <c r="AB1806" s="133"/>
      <c r="AC1806" s="133"/>
      <c r="AD1806" s="133"/>
      <c r="AE1806" s="133"/>
      <c r="AF1806" s="133"/>
      <c r="AG1806" s="133"/>
      <c r="AH1806" s="133"/>
      <c r="AI1806" s="133"/>
      <c r="AJ1806" s="133"/>
      <c r="AK1806" s="133"/>
      <c r="AL1806" s="133"/>
      <c r="AM1806" s="133"/>
      <c r="AN1806" s="133"/>
      <c r="AO1806" s="133"/>
      <c r="AP1806" s="133"/>
      <c r="AQ1806" s="133"/>
      <c r="AR1806" s="133"/>
      <c r="AS1806" s="153">
        <v>0</v>
      </c>
      <c r="AT1806" s="153">
        <v>0</v>
      </c>
      <c r="AU1806" s="153">
        <v>0</v>
      </c>
      <c r="AV1806" s="135"/>
      <c r="AW1806" s="135"/>
      <c r="AX1806" s="135"/>
      <c r="AY1806" s="135"/>
      <c r="AZ1806" s="135"/>
      <c r="BA1806" s="135"/>
      <c r="BB1806" s="135"/>
      <c r="BC1806" s="135"/>
      <c r="BD1806" s="135"/>
      <c r="BE1806" s="135"/>
      <c r="BF1806" s="135"/>
      <c r="BG1806" s="135"/>
      <c r="BH1806" s="135"/>
      <c r="BI1806" s="2"/>
      <c r="BJ1806" s="136"/>
      <c r="BK1806" s="2"/>
      <c r="BL1806" s="136"/>
      <c r="BM1806" s="136"/>
      <c r="BN1806" s="2"/>
      <c r="BO1806" s="2"/>
      <c r="BP1806" s="136"/>
      <c r="BQ1806" s="137"/>
    </row>
    <row r="1807" spans="1:69" ht="12.75" customHeight="1" x14ac:dyDescent="0.2">
      <c r="A1807" s="2">
        <v>3296</v>
      </c>
      <c r="B1807" s="2"/>
      <c r="C1807" s="2"/>
      <c r="D1807" s="2"/>
      <c r="E1807" s="2"/>
      <c r="F1807" s="132">
        <v>0</v>
      </c>
      <c r="G1807" s="132"/>
      <c r="H1807" s="132">
        <f t="shared" si="206"/>
        <v>0</v>
      </c>
      <c r="I1807" s="132"/>
      <c r="J1807" s="132">
        <f t="shared" si="204"/>
        <v>0</v>
      </c>
      <c r="K1807" s="132">
        <f t="shared" si="207"/>
        <v>0</v>
      </c>
      <c r="L1807" s="132">
        <f t="shared" si="208"/>
        <v>0</v>
      </c>
      <c r="M1807" s="133"/>
      <c r="N1807" s="133">
        <f t="shared" si="205"/>
        <v>0</v>
      </c>
      <c r="O1807" s="134"/>
      <c r="P1807" s="133"/>
      <c r="Q1807" s="2"/>
      <c r="R1807" s="156">
        <f t="shared" si="209"/>
        <v>0</v>
      </c>
      <c r="S1807" s="156">
        <f t="shared" si="210"/>
        <v>0</v>
      </c>
      <c r="T1807" s="133"/>
      <c r="U1807" s="133"/>
      <c r="V1807" s="133"/>
      <c r="W1807" s="133"/>
      <c r="X1807" s="133"/>
      <c r="Y1807" s="133"/>
      <c r="Z1807" s="133"/>
      <c r="AA1807" s="133"/>
      <c r="AB1807" s="133"/>
      <c r="AC1807" s="133"/>
      <c r="AD1807" s="133"/>
      <c r="AE1807" s="133"/>
      <c r="AF1807" s="133"/>
      <c r="AG1807" s="133"/>
      <c r="AH1807" s="133"/>
      <c r="AI1807" s="133"/>
      <c r="AJ1807" s="133"/>
      <c r="AK1807" s="133"/>
      <c r="AL1807" s="133"/>
      <c r="AM1807" s="133"/>
      <c r="AN1807" s="133"/>
      <c r="AO1807" s="133"/>
      <c r="AP1807" s="133"/>
      <c r="AQ1807" s="133"/>
      <c r="AR1807" s="133"/>
      <c r="AS1807" s="153">
        <v>0</v>
      </c>
      <c r="AT1807" s="153">
        <v>0</v>
      </c>
      <c r="AU1807" s="153">
        <v>0</v>
      </c>
      <c r="AV1807" s="135"/>
      <c r="AW1807" s="135"/>
      <c r="AX1807" s="135"/>
      <c r="AY1807" s="135"/>
      <c r="AZ1807" s="135"/>
      <c r="BA1807" s="135"/>
      <c r="BB1807" s="135"/>
      <c r="BC1807" s="135"/>
      <c r="BD1807" s="135"/>
      <c r="BE1807" s="135"/>
      <c r="BF1807" s="135"/>
      <c r="BG1807" s="135"/>
      <c r="BH1807" s="135"/>
      <c r="BI1807" s="2"/>
      <c r="BJ1807" s="136"/>
      <c r="BK1807" s="2"/>
      <c r="BL1807" s="136"/>
      <c r="BM1807" s="136"/>
      <c r="BN1807" s="2"/>
      <c r="BO1807" s="2"/>
      <c r="BP1807" s="136"/>
      <c r="BQ1807" s="137"/>
    </row>
    <row r="1808" spans="1:69" ht="12.75" customHeight="1" x14ac:dyDescent="0.2">
      <c r="A1808" s="2">
        <v>3297</v>
      </c>
      <c r="B1808" s="2"/>
      <c r="C1808" s="2"/>
      <c r="D1808" s="2"/>
      <c r="E1808" s="2"/>
      <c r="F1808" s="132">
        <v>0</v>
      </c>
      <c r="G1808" s="132"/>
      <c r="H1808" s="132">
        <f t="shared" si="206"/>
        <v>0</v>
      </c>
      <c r="I1808" s="132"/>
      <c r="J1808" s="132">
        <f t="shared" si="204"/>
        <v>0</v>
      </c>
      <c r="K1808" s="132">
        <f t="shared" si="207"/>
        <v>0</v>
      </c>
      <c r="L1808" s="132">
        <f t="shared" si="208"/>
        <v>0</v>
      </c>
      <c r="M1808" s="133"/>
      <c r="N1808" s="133">
        <f t="shared" si="205"/>
        <v>0</v>
      </c>
      <c r="O1808" s="134"/>
      <c r="P1808" s="133"/>
      <c r="Q1808" s="2"/>
      <c r="R1808" s="156">
        <f t="shared" si="209"/>
        <v>0</v>
      </c>
      <c r="S1808" s="156">
        <f t="shared" si="210"/>
        <v>0</v>
      </c>
      <c r="T1808" s="133"/>
      <c r="U1808" s="133"/>
      <c r="V1808" s="133"/>
      <c r="W1808" s="133"/>
      <c r="X1808" s="133"/>
      <c r="Y1808" s="133"/>
      <c r="Z1808" s="133"/>
      <c r="AA1808" s="133"/>
      <c r="AB1808" s="133"/>
      <c r="AC1808" s="133"/>
      <c r="AD1808" s="133"/>
      <c r="AE1808" s="133"/>
      <c r="AF1808" s="133"/>
      <c r="AG1808" s="133"/>
      <c r="AH1808" s="133"/>
      <c r="AI1808" s="133"/>
      <c r="AJ1808" s="133"/>
      <c r="AK1808" s="133"/>
      <c r="AL1808" s="133"/>
      <c r="AM1808" s="133"/>
      <c r="AN1808" s="133"/>
      <c r="AO1808" s="133"/>
      <c r="AP1808" s="133"/>
      <c r="AQ1808" s="133"/>
      <c r="AR1808" s="133"/>
      <c r="AS1808" s="153">
        <v>0</v>
      </c>
      <c r="AT1808" s="153">
        <v>0</v>
      </c>
      <c r="AU1808" s="153">
        <v>0</v>
      </c>
      <c r="AV1808" s="135"/>
      <c r="AW1808" s="135"/>
      <c r="AX1808" s="135"/>
      <c r="AY1808" s="135"/>
      <c r="AZ1808" s="135"/>
      <c r="BA1808" s="135"/>
      <c r="BB1808" s="135"/>
      <c r="BC1808" s="135"/>
      <c r="BD1808" s="135"/>
      <c r="BE1808" s="135"/>
      <c r="BF1808" s="135"/>
      <c r="BG1808" s="135"/>
      <c r="BH1808" s="135"/>
      <c r="BI1808" s="2"/>
      <c r="BJ1808" s="136"/>
      <c r="BK1808" s="2"/>
      <c r="BL1808" s="136"/>
      <c r="BM1808" s="136"/>
      <c r="BN1808" s="2"/>
      <c r="BO1808" s="2"/>
      <c r="BP1808" s="136"/>
      <c r="BQ1808" s="137"/>
    </row>
    <row r="1809" spans="1:69" ht="12.75" customHeight="1" x14ac:dyDescent="0.2">
      <c r="A1809" s="2">
        <v>3298</v>
      </c>
      <c r="B1809" s="2"/>
      <c r="C1809" s="2"/>
      <c r="D1809" s="2"/>
      <c r="E1809" s="2"/>
      <c r="F1809" s="132">
        <v>0</v>
      </c>
      <c r="G1809" s="132"/>
      <c r="H1809" s="132">
        <f t="shared" si="206"/>
        <v>0</v>
      </c>
      <c r="I1809" s="132"/>
      <c r="J1809" s="132">
        <f t="shared" si="204"/>
        <v>0</v>
      </c>
      <c r="K1809" s="132">
        <f t="shared" si="207"/>
        <v>0</v>
      </c>
      <c r="L1809" s="132">
        <f t="shared" si="208"/>
        <v>0</v>
      </c>
      <c r="M1809" s="133"/>
      <c r="N1809" s="133">
        <f t="shared" si="205"/>
        <v>0</v>
      </c>
      <c r="O1809" s="134"/>
      <c r="P1809" s="133"/>
      <c r="Q1809" s="2"/>
      <c r="R1809" s="156">
        <f t="shared" si="209"/>
        <v>0</v>
      </c>
      <c r="S1809" s="156">
        <f t="shared" si="210"/>
        <v>0</v>
      </c>
      <c r="T1809" s="133"/>
      <c r="U1809" s="133"/>
      <c r="V1809" s="133"/>
      <c r="W1809" s="133"/>
      <c r="X1809" s="133"/>
      <c r="Y1809" s="133"/>
      <c r="Z1809" s="133"/>
      <c r="AA1809" s="133"/>
      <c r="AB1809" s="133"/>
      <c r="AC1809" s="133"/>
      <c r="AD1809" s="133"/>
      <c r="AE1809" s="133"/>
      <c r="AF1809" s="133"/>
      <c r="AG1809" s="133"/>
      <c r="AH1809" s="133"/>
      <c r="AI1809" s="133"/>
      <c r="AJ1809" s="133"/>
      <c r="AK1809" s="133"/>
      <c r="AL1809" s="133"/>
      <c r="AM1809" s="133"/>
      <c r="AN1809" s="133"/>
      <c r="AO1809" s="133"/>
      <c r="AP1809" s="133"/>
      <c r="AQ1809" s="133"/>
      <c r="AR1809" s="133"/>
      <c r="AS1809" s="153">
        <v>0</v>
      </c>
      <c r="AT1809" s="153">
        <v>0</v>
      </c>
      <c r="AU1809" s="153">
        <v>0</v>
      </c>
      <c r="AV1809" s="135"/>
      <c r="AW1809" s="135"/>
      <c r="AX1809" s="135"/>
      <c r="AY1809" s="135"/>
      <c r="AZ1809" s="135"/>
      <c r="BA1809" s="135"/>
      <c r="BB1809" s="135"/>
      <c r="BC1809" s="135"/>
      <c r="BD1809" s="135"/>
      <c r="BE1809" s="135"/>
      <c r="BF1809" s="135"/>
      <c r="BG1809" s="135"/>
      <c r="BH1809" s="135"/>
      <c r="BI1809" s="2"/>
      <c r="BJ1809" s="136"/>
      <c r="BK1809" s="2"/>
      <c r="BL1809" s="136"/>
      <c r="BM1809" s="136"/>
      <c r="BN1809" s="2"/>
      <c r="BO1809" s="2"/>
      <c r="BP1809" s="136"/>
      <c r="BQ1809" s="137"/>
    </row>
    <row r="1810" spans="1:69" ht="12.75" customHeight="1" x14ac:dyDescent="0.2">
      <c r="A1810" s="2">
        <v>3299</v>
      </c>
      <c r="B1810" s="2"/>
      <c r="C1810" s="2"/>
      <c r="D1810" s="2"/>
      <c r="E1810" s="2"/>
      <c r="F1810" s="132">
        <v>0</v>
      </c>
      <c r="G1810" s="132"/>
      <c r="H1810" s="132">
        <f t="shared" si="206"/>
        <v>0</v>
      </c>
      <c r="I1810" s="132"/>
      <c r="J1810" s="132">
        <f t="shared" si="204"/>
        <v>0</v>
      </c>
      <c r="K1810" s="132">
        <f t="shared" si="207"/>
        <v>0</v>
      </c>
      <c r="L1810" s="132">
        <f t="shared" si="208"/>
        <v>0</v>
      </c>
      <c r="M1810" s="133"/>
      <c r="N1810" s="133">
        <f t="shared" si="205"/>
        <v>0</v>
      </c>
      <c r="O1810" s="134"/>
      <c r="P1810" s="133"/>
      <c r="Q1810" s="2"/>
      <c r="R1810" s="156">
        <f t="shared" si="209"/>
        <v>0</v>
      </c>
      <c r="S1810" s="156">
        <f t="shared" si="210"/>
        <v>0</v>
      </c>
      <c r="T1810" s="133"/>
      <c r="U1810" s="133"/>
      <c r="V1810" s="133"/>
      <c r="W1810" s="133"/>
      <c r="X1810" s="133"/>
      <c r="Y1810" s="133"/>
      <c r="Z1810" s="133"/>
      <c r="AA1810" s="133"/>
      <c r="AB1810" s="133"/>
      <c r="AC1810" s="133"/>
      <c r="AD1810" s="133"/>
      <c r="AE1810" s="133"/>
      <c r="AF1810" s="133"/>
      <c r="AG1810" s="133"/>
      <c r="AH1810" s="133"/>
      <c r="AI1810" s="133"/>
      <c r="AJ1810" s="133"/>
      <c r="AK1810" s="133"/>
      <c r="AL1810" s="133"/>
      <c r="AM1810" s="133"/>
      <c r="AN1810" s="133"/>
      <c r="AO1810" s="133"/>
      <c r="AP1810" s="133"/>
      <c r="AQ1810" s="133"/>
      <c r="AR1810" s="133"/>
      <c r="AS1810" s="153">
        <v>0</v>
      </c>
      <c r="AT1810" s="153">
        <v>0</v>
      </c>
      <c r="AU1810" s="153">
        <v>0</v>
      </c>
      <c r="AV1810" s="135"/>
      <c r="AW1810" s="135"/>
      <c r="AX1810" s="135"/>
      <c r="AY1810" s="135"/>
      <c r="AZ1810" s="135"/>
      <c r="BA1810" s="135"/>
      <c r="BB1810" s="135"/>
      <c r="BC1810" s="135"/>
      <c r="BD1810" s="135"/>
      <c r="BE1810" s="135"/>
      <c r="BF1810" s="135"/>
      <c r="BG1810" s="135"/>
      <c r="BH1810" s="135"/>
      <c r="BI1810" s="2"/>
      <c r="BJ1810" s="136"/>
      <c r="BK1810" s="2"/>
      <c r="BL1810" s="136"/>
      <c r="BM1810" s="136"/>
      <c r="BN1810" s="2"/>
      <c r="BO1810" s="2"/>
      <c r="BP1810" s="136"/>
      <c r="BQ1810" s="137"/>
    </row>
    <row r="1811" spans="1:69" ht="12.75" customHeight="1" x14ac:dyDescent="0.2">
      <c r="A1811" s="2">
        <v>3300</v>
      </c>
      <c r="B1811" s="2"/>
      <c r="C1811" s="2"/>
      <c r="D1811" s="2"/>
      <c r="E1811" s="2"/>
      <c r="F1811" s="132">
        <v>0</v>
      </c>
      <c r="G1811" s="132"/>
      <c r="H1811" s="132">
        <f t="shared" si="206"/>
        <v>0</v>
      </c>
      <c r="I1811" s="132"/>
      <c r="J1811" s="132">
        <f t="shared" si="204"/>
        <v>0</v>
      </c>
      <c r="K1811" s="132">
        <f t="shared" si="207"/>
        <v>0</v>
      </c>
      <c r="L1811" s="132">
        <f t="shared" si="208"/>
        <v>0</v>
      </c>
      <c r="M1811" s="133"/>
      <c r="N1811" s="133">
        <f t="shared" si="205"/>
        <v>0</v>
      </c>
      <c r="O1811" s="134"/>
      <c r="P1811" s="133"/>
      <c r="Q1811" s="2"/>
      <c r="R1811" s="156">
        <f t="shared" si="209"/>
        <v>0</v>
      </c>
      <c r="S1811" s="156">
        <f t="shared" si="210"/>
        <v>0</v>
      </c>
      <c r="T1811" s="133"/>
      <c r="U1811" s="133"/>
      <c r="V1811" s="133"/>
      <c r="W1811" s="133"/>
      <c r="X1811" s="133"/>
      <c r="Y1811" s="133"/>
      <c r="Z1811" s="133"/>
      <c r="AA1811" s="133"/>
      <c r="AB1811" s="133"/>
      <c r="AC1811" s="133"/>
      <c r="AD1811" s="133"/>
      <c r="AE1811" s="133"/>
      <c r="AF1811" s="133"/>
      <c r="AG1811" s="133"/>
      <c r="AH1811" s="133"/>
      <c r="AI1811" s="133"/>
      <c r="AJ1811" s="133"/>
      <c r="AK1811" s="133"/>
      <c r="AL1811" s="133"/>
      <c r="AM1811" s="133"/>
      <c r="AN1811" s="133"/>
      <c r="AO1811" s="133"/>
      <c r="AP1811" s="133"/>
      <c r="AQ1811" s="133"/>
      <c r="AR1811" s="133"/>
      <c r="AS1811" s="153">
        <v>0</v>
      </c>
      <c r="AT1811" s="153">
        <v>0</v>
      </c>
      <c r="AU1811" s="153">
        <v>0</v>
      </c>
      <c r="AV1811" s="135"/>
      <c r="AW1811" s="135"/>
      <c r="AX1811" s="135"/>
      <c r="AY1811" s="135"/>
      <c r="AZ1811" s="135"/>
      <c r="BA1811" s="135"/>
      <c r="BB1811" s="135"/>
      <c r="BC1811" s="135"/>
      <c r="BD1811" s="135"/>
      <c r="BE1811" s="135"/>
      <c r="BF1811" s="135"/>
      <c r="BG1811" s="135"/>
      <c r="BH1811" s="135"/>
      <c r="BI1811" s="2"/>
      <c r="BJ1811" s="136"/>
      <c r="BK1811" s="2"/>
      <c r="BL1811" s="136"/>
      <c r="BM1811" s="136"/>
      <c r="BN1811" s="2"/>
      <c r="BO1811" s="2"/>
      <c r="BP1811" s="136"/>
      <c r="BQ1811" s="137"/>
    </row>
    <row r="1812" spans="1:69" ht="12.75" customHeight="1" x14ac:dyDescent="0.2">
      <c r="A1812" s="2">
        <v>3301</v>
      </c>
      <c r="B1812" s="2"/>
      <c r="C1812" s="2"/>
      <c r="D1812" s="2"/>
      <c r="E1812" s="2"/>
      <c r="F1812" s="132">
        <v>0</v>
      </c>
      <c r="G1812" s="132"/>
      <c r="H1812" s="132">
        <f t="shared" si="206"/>
        <v>0</v>
      </c>
      <c r="I1812" s="132"/>
      <c r="J1812" s="132">
        <f t="shared" si="204"/>
        <v>0</v>
      </c>
      <c r="K1812" s="132">
        <f t="shared" si="207"/>
        <v>0</v>
      </c>
      <c r="L1812" s="132">
        <f t="shared" si="208"/>
        <v>0</v>
      </c>
      <c r="M1812" s="133"/>
      <c r="N1812" s="133">
        <f t="shared" si="205"/>
        <v>0</v>
      </c>
      <c r="O1812" s="134"/>
      <c r="P1812" s="133"/>
      <c r="Q1812" s="2"/>
      <c r="R1812" s="156">
        <f t="shared" si="209"/>
        <v>0</v>
      </c>
      <c r="S1812" s="156">
        <f t="shared" si="210"/>
        <v>0</v>
      </c>
      <c r="T1812" s="133"/>
      <c r="U1812" s="133"/>
      <c r="V1812" s="133"/>
      <c r="W1812" s="133"/>
      <c r="X1812" s="133"/>
      <c r="Y1812" s="133"/>
      <c r="Z1812" s="133"/>
      <c r="AA1812" s="133"/>
      <c r="AB1812" s="133"/>
      <c r="AC1812" s="133"/>
      <c r="AD1812" s="133"/>
      <c r="AE1812" s="133"/>
      <c r="AF1812" s="133"/>
      <c r="AG1812" s="133"/>
      <c r="AH1812" s="133"/>
      <c r="AI1812" s="133"/>
      <c r="AJ1812" s="133"/>
      <c r="AK1812" s="133"/>
      <c r="AL1812" s="133"/>
      <c r="AM1812" s="133"/>
      <c r="AN1812" s="133"/>
      <c r="AO1812" s="133"/>
      <c r="AP1812" s="133"/>
      <c r="AQ1812" s="133"/>
      <c r="AR1812" s="133"/>
      <c r="AS1812" s="153">
        <v>0</v>
      </c>
      <c r="AT1812" s="153">
        <v>0</v>
      </c>
      <c r="AU1812" s="153">
        <v>0</v>
      </c>
      <c r="AV1812" s="135"/>
      <c r="AW1812" s="135"/>
      <c r="AX1812" s="135"/>
      <c r="AY1812" s="135"/>
      <c r="AZ1812" s="135"/>
      <c r="BA1812" s="135"/>
      <c r="BB1812" s="135"/>
      <c r="BC1812" s="135"/>
      <c r="BD1812" s="135"/>
      <c r="BE1812" s="135"/>
      <c r="BF1812" s="135"/>
      <c r="BG1812" s="135"/>
      <c r="BH1812" s="135"/>
      <c r="BI1812" s="2"/>
      <c r="BJ1812" s="136"/>
      <c r="BK1812" s="2"/>
      <c r="BL1812" s="136"/>
      <c r="BM1812" s="136"/>
      <c r="BN1812" s="2"/>
      <c r="BO1812" s="2"/>
      <c r="BP1812" s="136"/>
      <c r="BQ1812" s="137"/>
    </row>
    <row r="1813" spans="1:69" ht="12.75" customHeight="1" x14ac:dyDescent="0.2">
      <c r="A1813" s="2">
        <v>3302</v>
      </c>
      <c r="B1813" s="2"/>
      <c r="C1813" s="2"/>
      <c r="D1813" s="2"/>
      <c r="E1813" s="2"/>
      <c r="F1813" s="132">
        <v>0</v>
      </c>
      <c r="G1813" s="132"/>
      <c r="H1813" s="132">
        <f t="shared" si="206"/>
        <v>0</v>
      </c>
      <c r="I1813" s="132"/>
      <c r="J1813" s="132">
        <f t="shared" si="204"/>
        <v>0</v>
      </c>
      <c r="K1813" s="132">
        <f t="shared" si="207"/>
        <v>0</v>
      </c>
      <c r="L1813" s="132">
        <f t="shared" si="208"/>
        <v>0</v>
      </c>
      <c r="M1813" s="133"/>
      <c r="N1813" s="133">
        <f t="shared" si="205"/>
        <v>0</v>
      </c>
      <c r="O1813" s="134"/>
      <c r="P1813" s="133"/>
      <c r="Q1813" s="2"/>
      <c r="R1813" s="156">
        <f t="shared" si="209"/>
        <v>0</v>
      </c>
      <c r="S1813" s="156">
        <f t="shared" si="210"/>
        <v>0</v>
      </c>
      <c r="T1813" s="133"/>
      <c r="U1813" s="133"/>
      <c r="V1813" s="133"/>
      <c r="W1813" s="133"/>
      <c r="X1813" s="133"/>
      <c r="Y1813" s="133"/>
      <c r="Z1813" s="133"/>
      <c r="AA1813" s="133"/>
      <c r="AB1813" s="133"/>
      <c r="AC1813" s="133"/>
      <c r="AD1813" s="133"/>
      <c r="AE1813" s="133"/>
      <c r="AF1813" s="133"/>
      <c r="AG1813" s="133"/>
      <c r="AH1813" s="133"/>
      <c r="AI1813" s="133"/>
      <c r="AJ1813" s="133"/>
      <c r="AK1813" s="133"/>
      <c r="AL1813" s="133"/>
      <c r="AM1813" s="133"/>
      <c r="AN1813" s="133"/>
      <c r="AO1813" s="133"/>
      <c r="AP1813" s="133"/>
      <c r="AQ1813" s="133"/>
      <c r="AR1813" s="133"/>
      <c r="AS1813" s="153">
        <v>0</v>
      </c>
      <c r="AT1813" s="153">
        <v>0</v>
      </c>
      <c r="AU1813" s="153">
        <v>0</v>
      </c>
      <c r="AV1813" s="135"/>
      <c r="AW1813" s="135"/>
      <c r="AX1813" s="135"/>
      <c r="AY1813" s="135"/>
      <c r="AZ1813" s="135"/>
      <c r="BA1813" s="135"/>
      <c r="BB1813" s="135"/>
      <c r="BC1813" s="135"/>
      <c r="BD1813" s="135"/>
      <c r="BE1813" s="135"/>
      <c r="BF1813" s="135"/>
      <c r="BG1813" s="135"/>
      <c r="BH1813" s="135"/>
      <c r="BI1813" s="2"/>
      <c r="BJ1813" s="136"/>
      <c r="BK1813" s="2"/>
      <c r="BL1813" s="136"/>
      <c r="BM1813" s="136"/>
      <c r="BN1813" s="2"/>
      <c r="BO1813" s="2"/>
      <c r="BP1813" s="136"/>
      <c r="BQ1813" s="137"/>
    </row>
    <row r="1814" spans="1:69" ht="12.75" customHeight="1" x14ac:dyDescent="0.2">
      <c r="A1814" s="2">
        <v>3303</v>
      </c>
      <c r="B1814" s="2"/>
      <c r="C1814" s="2"/>
      <c r="D1814" s="2"/>
      <c r="E1814" s="2"/>
      <c r="F1814" s="132">
        <v>0</v>
      </c>
      <c r="G1814" s="132"/>
      <c r="H1814" s="132">
        <f t="shared" si="206"/>
        <v>0</v>
      </c>
      <c r="I1814" s="132"/>
      <c r="J1814" s="132">
        <f t="shared" si="204"/>
        <v>0</v>
      </c>
      <c r="K1814" s="132">
        <f t="shared" si="207"/>
        <v>0</v>
      </c>
      <c r="L1814" s="132">
        <f t="shared" si="208"/>
        <v>0</v>
      </c>
      <c r="M1814" s="133"/>
      <c r="N1814" s="133">
        <f t="shared" si="205"/>
        <v>0</v>
      </c>
      <c r="O1814" s="134"/>
      <c r="P1814" s="133"/>
      <c r="Q1814" s="2"/>
      <c r="R1814" s="156">
        <f t="shared" si="209"/>
        <v>0</v>
      </c>
      <c r="S1814" s="156">
        <f t="shared" si="210"/>
        <v>0</v>
      </c>
      <c r="T1814" s="133"/>
      <c r="U1814" s="133"/>
      <c r="V1814" s="133"/>
      <c r="W1814" s="133"/>
      <c r="X1814" s="133"/>
      <c r="Y1814" s="133"/>
      <c r="Z1814" s="133"/>
      <c r="AA1814" s="133"/>
      <c r="AB1814" s="133"/>
      <c r="AC1814" s="133"/>
      <c r="AD1814" s="133"/>
      <c r="AE1814" s="133"/>
      <c r="AF1814" s="133"/>
      <c r="AG1814" s="133"/>
      <c r="AH1814" s="133"/>
      <c r="AI1814" s="133"/>
      <c r="AJ1814" s="133"/>
      <c r="AK1814" s="133"/>
      <c r="AL1814" s="133"/>
      <c r="AM1814" s="133"/>
      <c r="AN1814" s="133"/>
      <c r="AO1814" s="133"/>
      <c r="AP1814" s="133"/>
      <c r="AQ1814" s="133"/>
      <c r="AR1814" s="133"/>
      <c r="AS1814" s="153">
        <v>0</v>
      </c>
      <c r="AT1814" s="153">
        <v>0</v>
      </c>
      <c r="AU1814" s="153">
        <v>0</v>
      </c>
      <c r="AV1814" s="135"/>
      <c r="AW1814" s="135"/>
      <c r="AX1814" s="135"/>
      <c r="AY1814" s="135"/>
      <c r="AZ1814" s="135"/>
      <c r="BA1814" s="135"/>
      <c r="BB1814" s="135"/>
      <c r="BC1814" s="135"/>
      <c r="BD1814" s="135"/>
      <c r="BE1814" s="135"/>
      <c r="BF1814" s="135"/>
      <c r="BG1814" s="135"/>
      <c r="BH1814" s="135"/>
      <c r="BI1814" s="2"/>
      <c r="BJ1814" s="136"/>
      <c r="BK1814" s="2"/>
      <c r="BL1814" s="136"/>
      <c r="BM1814" s="136"/>
      <c r="BN1814" s="2"/>
      <c r="BO1814" s="2"/>
      <c r="BP1814" s="136"/>
      <c r="BQ1814" s="137"/>
    </row>
    <row r="1815" spans="1:69" ht="12.75" customHeight="1" x14ac:dyDescent="0.2">
      <c r="A1815" s="2">
        <v>3304</v>
      </c>
      <c r="B1815" s="2"/>
      <c r="C1815" s="2"/>
      <c r="D1815" s="2"/>
      <c r="E1815" s="2"/>
      <c r="F1815" s="132">
        <v>0</v>
      </c>
      <c r="G1815" s="132"/>
      <c r="H1815" s="132">
        <f t="shared" si="206"/>
        <v>0</v>
      </c>
      <c r="I1815" s="132"/>
      <c r="J1815" s="132">
        <f t="shared" si="204"/>
        <v>0</v>
      </c>
      <c r="K1815" s="132">
        <f t="shared" si="207"/>
        <v>0</v>
      </c>
      <c r="L1815" s="132">
        <f t="shared" si="208"/>
        <v>0</v>
      </c>
      <c r="M1815" s="133"/>
      <c r="N1815" s="133">
        <f t="shared" si="205"/>
        <v>0</v>
      </c>
      <c r="O1815" s="134"/>
      <c r="P1815" s="133"/>
      <c r="Q1815" s="2"/>
      <c r="R1815" s="156">
        <f t="shared" si="209"/>
        <v>0</v>
      </c>
      <c r="S1815" s="156">
        <f t="shared" si="210"/>
        <v>0</v>
      </c>
      <c r="T1815" s="133"/>
      <c r="U1815" s="133"/>
      <c r="V1815" s="133"/>
      <c r="W1815" s="133"/>
      <c r="X1815" s="133"/>
      <c r="Y1815" s="133"/>
      <c r="Z1815" s="133"/>
      <c r="AA1815" s="133"/>
      <c r="AB1815" s="133"/>
      <c r="AC1815" s="133"/>
      <c r="AD1815" s="133"/>
      <c r="AE1815" s="133"/>
      <c r="AF1815" s="133"/>
      <c r="AG1815" s="133"/>
      <c r="AH1815" s="133"/>
      <c r="AI1815" s="133"/>
      <c r="AJ1815" s="133"/>
      <c r="AK1815" s="133"/>
      <c r="AL1815" s="133"/>
      <c r="AM1815" s="133"/>
      <c r="AN1815" s="133"/>
      <c r="AO1815" s="133"/>
      <c r="AP1815" s="133"/>
      <c r="AQ1815" s="133"/>
      <c r="AR1815" s="133"/>
      <c r="AS1815" s="153">
        <v>0</v>
      </c>
      <c r="AT1815" s="153">
        <v>0</v>
      </c>
      <c r="AU1815" s="153">
        <v>0</v>
      </c>
      <c r="AV1815" s="135"/>
      <c r="AW1815" s="135"/>
      <c r="AX1815" s="135"/>
      <c r="AY1815" s="135"/>
      <c r="AZ1815" s="135"/>
      <c r="BA1815" s="135"/>
      <c r="BB1815" s="135"/>
      <c r="BC1815" s="135"/>
      <c r="BD1815" s="135"/>
      <c r="BE1815" s="135"/>
      <c r="BF1815" s="135"/>
      <c r="BG1815" s="135"/>
      <c r="BH1815" s="135"/>
      <c r="BI1815" s="2"/>
      <c r="BJ1815" s="136"/>
      <c r="BK1815" s="2"/>
      <c r="BL1815" s="136"/>
      <c r="BM1815" s="136"/>
      <c r="BN1815" s="2"/>
      <c r="BO1815" s="2"/>
      <c r="BP1815" s="136"/>
      <c r="BQ1815" s="137"/>
    </row>
    <row r="1816" spans="1:69" ht="12.75" customHeight="1" x14ac:dyDescent="0.2">
      <c r="A1816" s="2">
        <v>3305</v>
      </c>
      <c r="B1816" s="2"/>
      <c r="C1816" s="2"/>
      <c r="D1816" s="2"/>
      <c r="E1816" s="2"/>
      <c r="F1816" s="132">
        <v>0</v>
      </c>
      <c r="G1816" s="132"/>
      <c r="H1816" s="132">
        <f t="shared" si="206"/>
        <v>0</v>
      </c>
      <c r="I1816" s="132"/>
      <c r="J1816" s="132">
        <f t="shared" si="204"/>
        <v>0</v>
      </c>
      <c r="K1816" s="132">
        <f t="shared" si="207"/>
        <v>0</v>
      </c>
      <c r="L1816" s="132">
        <f t="shared" si="208"/>
        <v>0</v>
      </c>
      <c r="M1816" s="133"/>
      <c r="N1816" s="133">
        <f t="shared" si="205"/>
        <v>0</v>
      </c>
      <c r="O1816" s="134"/>
      <c r="P1816" s="133"/>
      <c r="Q1816" s="2"/>
      <c r="R1816" s="156">
        <f t="shared" si="209"/>
        <v>0</v>
      </c>
      <c r="S1816" s="156">
        <f t="shared" si="210"/>
        <v>0</v>
      </c>
      <c r="T1816" s="133"/>
      <c r="U1816" s="133"/>
      <c r="V1816" s="133"/>
      <c r="W1816" s="133"/>
      <c r="X1816" s="133"/>
      <c r="Y1816" s="133"/>
      <c r="Z1816" s="133"/>
      <c r="AA1816" s="133"/>
      <c r="AB1816" s="133"/>
      <c r="AC1816" s="133"/>
      <c r="AD1816" s="133"/>
      <c r="AE1816" s="133"/>
      <c r="AF1816" s="133"/>
      <c r="AG1816" s="133"/>
      <c r="AH1816" s="133"/>
      <c r="AI1816" s="133"/>
      <c r="AJ1816" s="133"/>
      <c r="AK1816" s="133"/>
      <c r="AL1816" s="133"/>
      <c r="AM1816" s="133"/>
      <c r="AN1816" s="133"/>
      <c r="AO1816" s="133"/>
      <c r="AP1816" s="133"/>
      <c r="AQ1816" s="133"/>
      <c r="AR1816" s="133"/>
      <c r="AS1816" s="153">
        <v>0</v>
      </c>
      <c r="AT1816" s="153">
        <v>0</v>
      </c>
      <c r="AU1816" s="153">
        <v>0</v>
      </c>
      <c r="AV1816" s="135"/>
      <c r="AW1816" s="135"/>
      <c r="AX1816" s="135"/>
      <c r="AY1816" s="135"/>
      <c r="AZ1816" s="135"/>
      <c r="BA1816" s="135"/>
      <c r="BB1816" s="135"/>
      <c r="BC1816" s="135"/>
      <c r="BD1816" s="135"/>
      <c r="BE1816" s="135"/>
      <c r="BF1816" s="135"/>
      <c r="BG1816" s="135"/>
      <c r="BH1816" s="135"/>
      <c r="BI1816" s="2"/>
      <c r="BJ1816" s="136"/>
      <c r="BK1816" s="2"/>
      <c r="BL1816" s="136"/>
      <c r="BM1816" s="136"/>
      <c r="BN1816" s="2"/>
      <c r="BO1816" s="2"/>
      <c r="BP1816" s="136"/>
      <c r="BQ1816" s="137"/>
    </row>
    <row r="1817" spans="1:69" ht="12.75" customHeight="1" x14ac:dyDescent="0.2">
      <c r="A1817" s="2">
        <v>3306</v>
      </c>
      <c r="B1817" s="2"/>
      <c r="C1817" s="2"/>
      <c r="D1817" s="2"/>
      <c r="E1817" s="2"/>
      <c r="F1817" s="132">
        <v>0</v>
      </c>
      <c r="G1817" s="132"/>
      <c r="H1817" s="132">
        <f t="shared" si="206"/>
        <v>0</v>
      </c>
      <c r="I1817" s="132"/>
      <c r="J1817" s="132">
        <f t="shared" si="204"/>
        <v>0</v>
      </c>
      <c r="K1817" s="132">
        <f t="shared" si="207"/>
        <v>0</v>
      </c>
      <c r="L1817" s="132">
        <f t="shared" si="208"/>
        <v>0</v>
      </c>
      <c r="M1817" s="133"/>
      <c r="N1817" s="133">
        <f t="shared" si="205"/>
        <v>0</v>
      </c>
      <c r="O1817" s="134"/>
      <c r="P1817" s="133"/>
      <c r="Q1817" s="2"/>
      <c r="R1817" s="156">
        <f t="shared" si="209"/>
        <v>0</v>
      </c>
      <c r="S1817" s="156">
        <f t="shared" si="210"/>
        <v>0</v>
      </c>
      <c r="T1817" s="133"/>
      <c r="U1817" s="133"/>
      <c r="V1817" s="133"/>
      <c r="W1817" s="133"/>
      <c r="X1817" s="133"/>
      <c r="Y1817" s="133"/>
      <c r="Z1817" s="133"/>
      <c r="AA1817" s="133"/>
      <c r="AB1817" s="133"/>
      <c r="AC1817" s="133"/>
      <c r="AD1817" s="133"/>
      <c r="AE1817" s="133"/>
      <c r="AF1817" s="133"/>
      <c r="AG1817" s="133"/>
      <c r="AH1817" s="133"/>
      <c r="AI1817" s="133"/>
      <c r="AJ1817" s="133"/>
      <c r="AK1817" s="133"/>
      <c r="AL1817" s="133"/>
      <c r="AM1817" s="133"/>
      <c r="AN1817" s="133"/>
      <c r="AO1817" s="133"/>
      <c r="AP1817" s="133"/>
      <c r="AQ1817" s="133"/>
      <c r="AR1817" s="133"/>
      <c r="AS1817" s="153">
        <v>0</v>
      </c>
      <c r="AT1817" s="153">
        <v>0</v>
      </c>
      <c r="AU1817" s="153">
        <v>0</v>
      </c>
      <c r="AV1817" s="135"/>
      <c r="AW1817" s="135"/>
      <c r="AX1817" s="135"/>
      <c r="AY1817" s="135"/>
      <c r="AZ1817" s="135"/>
      <c r="BA1817" s="135"/>
      <c r="BB1817" s="135"/>
      <c r="BC1817" s="135"/>
      <c r="BD1817" s="135"/>
      <c r="BE1817" s="135"/>
      <c r="BF1817" s="135"/>
      <c r="BG1817" s="135"/>
      <c r="BH1817" s="135"/>
      <c r="BI1817" s="2"/>
      <c r="BJ1817" s="136"/>
      <c r="BK1817" s="2"/>
      <c r="BL1817" s="136"/>
      <c r="BM1817" s="136"/>
      <c r="BN1817" s="2"/>
      <c r="BO1817" s="2"/>
      <c r="BP1817" s="136"/>
      <c r="BQ1817" s="137"/>
    </row>
    <row r="1818" spans="1:69" ht="12.75" customHeight="1" x14ac:dyDescent="0.2">
      <c r="A1818" s="2">
        <v>3307</v>
      </c>
      <c r="B1818" s="2"/>
      <c r="C1818" s="2"/>
      <c r="D1818" s="2"/>
      <c r="E1818" s="2"/>
      <c r="F1818" s="132">
        <v>0</v>
      </c>
      <c r="G1818" s="132"/>
      <c r="H1818" s="132">
        <f t="shared" si="206"/>
        <v>0</v>
      </c>
      <c r="I1818" s="132"/>
      <c r="J1818" s="132">
        <f t="shared" si="204"/>
        <v>0</v>
      </c>
      <c r="K1818" s="132">
        <f t="shared" si="207"/>
        <v>0</v>
      </c>
      <c r="L1818" s="132">
        <f t="shared" si="208"/>
        <v>0</v>
      </c>
      <c r="M1818" s="133"/>
      <c r="N1818" s="133">
        <f t="shared" si="205"/>
        <v>0</v>
      </c>
      <c r="O1818" s="134"/>
      <c r="P1818" s="133"/>
      <c r="Q1818" s="2"/>
      <c r="R1818" s="156">
        <f t="shared" si="209"/>
        <v>0</v>
      </c>
      <c r="S1818" s="156">
        <f t="shared" si="210"/>
        <v>0</v>
      </c>
      <c r="T1818" s="133"/>
      <c r="U1818" s="133"/>
      <c r="V1818" s="133"/>
      <c r="W1818" s="133"/>
      <c r="X1818" s="133"/>
      <c r="Y1818" s="133"/>
      <c r="Z1818" s="133"/>
      <c r="AA1818" s="133"/>
      <c r="AB1818" s="133"/>
      <c r="AC1818" s="133"/>
      <c r="AD1818" s="133"/>
      <c r="AE1818" s="133"/>
      <c r="AF1818" s="133"/>
      <c r="AG1818" s="133"/>
      <c r="AH1818" s="133"/>
      <c r="AI1818" s="133"/>
      <c r="AJ1818" s="133"/>
      <c r="AK1818" s="133"/>
      <c r="AL1818" s="133"/>
      <c r="AM1818" s="133"/>
      <c r="AN1818" s="133"/>
      <c r="AO1818" s="133"/>
      <c r="AP1818" s="133"/>
      <c r="AQ1818" s="133"/>
      <c r="AR1818" s="133"/>
      <c r="AS1818" s="153">
        <v>0</v>
      </c>
      <c r="AT1818" s="153">
        <v>0</v>
      </c>
      <c r="AU1818" s="153">
        <v>0</v>
      </c>
      <c r="AV1818" s="135"/>
      <c r="AW1818" s="135"/>
      <c r="AX1818" s="135"/>
      <c r="AY1818" s="135"/>
      <c r="AZ1818" s="135"/>
      <c r="BA1818" s="135"/>
      <c r="BB1818" s="135"/>
      <c r="BC1818" s="135"/>
      <c r="BD1818" s="135"/>
      <c r="BE1818" s="135"/>
      <c r="BF1818" s="135"/>
      <c r="BG1818" s="135"/>
      <c r="BH1818" s="135"/>
      <c r="BI1818" s="2"/>
      <c r="BJ1818" s="136"/>
      <c r="BK1818" s="2"/>
      <c r="BL1818" s="136"/>
      <c r="BM1818" s="136"/>
      <c r="BN1818" s="2"/>
      <c r="BO1818" s="2"/>
      <c r="BP1818" s="136"/>
      <c r="BQ1818" s="137"/>
    </row>
    <row r="1819" spans="1:69" ht="12.75" customHeight="1" x14ac:dyDescent="0.2">
      <c r="A1819" s="2">
        <v>3308</v>
      </c>
      <c r="B1819" s="2"/>
      <c r="C1819" s="2"/>
      <c r="D1819" s="2"/>
      <c r="E1819" s="2"/>
      <c r="F1819" s="132">
        <v>0</v>
      </c>
      <c r="G1819" s="132"/>
      <c r="H1819" s="132">
        <f t="shared" si="206"/>
        <v>0</v>
      </c>
      <c r="I1819" s="132"/>
      <c r="J1819" s="132">
        <f t="shared" si="204"/>
        <v>0</v>
      </c>
      <c r="K1819" s="132">
        <f t="shared" si="207"/>
        <v>0</v>
      </c>
      <c r="L1819" s="132">
        <f t="shared" si="208"/>
        <v>0</v>
      </c>
      <c r="M1819" s="133"/>
      <c r="N1819" s="133">
        <f t="shared" si="205"/>
        <v>0</v>
      </c>
      <c r="O1819" s="134"/>
      <c r="P1819" s="133"/>
      <c r="Q1819" s="2"/>
      <c r="R1819" s="156">
        <f t="shared" si="209"/>
        <v>0</v>
      </c>
      <c r="S1819" s="156">
        <f t="shared" si="210"/>
        <v>0</v>
      </c>
      <c r="T1819" s="133"/>
      <c r="U1819" s="133"/>
      <c r="V1819" s="133"/>
      <c r="W1819" s="133"/>
      <c r="X1819" s="133"/>
      <c r="Y1819" s="133"/>
      <c r="Z1819" s="133"/>
      <c r="AA1819" s="133"/>
      <c r="AB1819" s="133"/>
      <c r="AC1819" s="133"/>
      <c r="AD1819" s="133"/>
      <c r="AE1819" s="133"/>
      <c r="AF1819" s="133"/>
      <c r="AG1819" s="133"/>
      <c r="AH1819" s="133"/>
      <c r="AI1819" s="133"/>
      <c r="AJ1819" s="133"/>
      <c r="AK1819" s="133"/>
      <c r="AL1819" s="133"/>
      <c r="AM1819" s="133"/>
      <c r="AN1819" s="133"/>
      <c r="AO1819" s="133"/>
      <c r="AP1819" s="133"/>
      <c r="AQ1819" s="133"/>
      <c r="AR1819" s="133"/>
      <c r="AS1819" s="153">
        <v>0</v>
      </c>
      <c r="AT1819" s="153">
        <v>0</v>
      </c>
      <c r="AU1819" s="153">
        <v>0</v>
      </c>
      <c r="AV1819" s="135"/>
      <c r="AW1819" s="135"/>
      <c r="AX1819" s="135"/>
      <c r="AY1819" s="135"/>
      <c r="AZ1819" s="135"/>
      <c r="BA1819" s="135"/>
      <c r="BB1819" s="135"/>
      <c r="BC1819" s="135"/>
      <c r="BD1819" s="135"/>
      <c r="BE1819" s="135"/>
      <c r="BF1819" s="135"/>
      <c r="BG1819" s="135"/>
      <c r="BH1819" s="135"/>
      <c r="BI1819" s="2"/>
      <c r="BJ1819" s="136"/>
      <c r="BK1819" s="2"/>
      <c r="BL1819" s="136"/>
      <c r="BM1819" s="136"/>
      <c r="BN1819" s="2"/>
      <c r="BO1819" s="2"/>
      <c r="BP1819" s="136"/>
      <c r="BQ1819" s="137"/>
    </row>
    <row r="1820" spans="1:69" ht="12.75" customHeight="1" x14ac:dyDescent="0.2">
      <c r="A1820" s="2">
        <v>3309</v>
      </c>
      <c r="B1820" s="2"/>
      <c r="C1820" s="2"/>
      <c r="D1820" s="2"/>
      <c r="E1820" s="2"/>
      <c r="F1820" s="132">
        <v>0</v>
      </c>
      <c r="G1820" s="132"/>
      <c r="H1820" s="132">
        <f t="shared" si="206"/>
        <v>0</v>
      </c>
      <c r="I1820" s="132"/>
      <c r="J1820" s="132">
        <f t="shared" si="204"/>
        <v>0</v>
      </c>
      <c r="K1820" s="132">
        <f t="shared" si="207"/>
        <v>0</v>
      </c>
      <c r="L1820" s="132">
        <f t="shared" si="208"/>
        <v>0</v>
      </c>
      <c r="M1820" s="133"/>
      <c r="N1820" s="133">
        <f t="shared" si="205"/>
        <v>0</v>
      </c>
      <c r="O1820" s="134"/>
      <c r="P1820" s="133"/>
      <c r="Q1820" s="2"/>
      <c r="R1820" s="156">
        <f t="shared" si="209"/>
        <v>0</v>
      </c>
      <c r="S1820" s="156">
        <f t="shared" si="210"/>
        <v>0</v>
      </c>
      <c r="T1820" s="133"/>
      <c r="U1820" s="133"/>
      <c r="V1820" s="133"/>
      <c r="W1820" s="133"/>
      <c r="X1820" s="133"/>
      <c r="Y1820" s="133"/>
      <c r="Z1820" s="133"/>
      <c r="AA1820" s="133"/>
      <c r="AB1820" s="133"/>
      <c r="AC1820" s="133"/>
      <c r="AD1820" s="133"/>
      <c r="AE1820" s="133"/>
      <c r="AF1820" s="133"/>
      <c r="AG1820" s="133"/>
      <c r="AH1820" s="133"/>
      <c r="AI1820" s="133"/>
      <c r="AJ1820" s="133"/>
      <c r="AK1820" s="133"/>
      <c r="AL1820" s="133"/>
      <c r="AM1820" s="133"/>
      <c r="AN1820" s="133"/>
      <c r="AO1820" s="133"/>
      <c r="AP1820" s="133"/>
      <c r="AQ1820" s="133"/>
      <c r="AR1820" s="133"/>
      <c r="AS1820" s="153">
        <v>0</v>
      </c>
      <c r="AT1820" s="153">
        <v>0</v>
      </c>
      <c r="AU1820" s="153">
        <v>0</v>
      </c>
      <c r="AV1820" s="135"/>
      <c r="AW1820" s="135"/>
      <c r="AX1820" s="135"/>
      <c r="AY1820" s="135"/>
      <c r="AZ1820" s="135"/>
      <c r="BA1820" s="135"/>
      <c r="BB1820" s="135"/>
      <c r="BC1820" s="135"/>
      <c r="BD1820" s="135"/>
      <c r="BE1820" s="135"/>
      <c r="BF1820" s="135"/>
      <c r="BG1820" s="135"/>
      <c r="BH1820" s="135"/>
      <c r="BI1820" s="2"/>
      <c r="BJ1820" s="136"/>
      <c r="BK1820" s="2"/>
      <c r="BL1820" s="136"/>
      <c r="BM1820" s="136"/>
      <c r="BN1820" s="2"/>
      <c r="BO1820" s="2"/>
      <c r="BP1820" s="136"/>
      <c r="BQ1820" s="137"/>
    </row>
    <row r="1821" spans="1:69" ht="12.75" customHeight="1" x14ac:dyDescent="0.2">
      <c r="A1821" s="2">
        <v>3310</v>
      </c>
      <c r="B1821" s="2"/>
      <c r="C1821" s="2"/>
      <c r="D1821" s="2"/>
      <c r="E1821" s="2"/>
      <c r="F1821" s="132">
        <v>0</v>
      </c>
      <c r="G1821" s="132"/>
      <c r="H1821" s="132">
        <f t="shared" si="206"/>
        <v>0</v>
      </c>
      <c r="I1821" s="132"/>
      <c r="J1821" s="132">
        <f t="shared" si="204"/>
        <v>0</v>
      </c>
      <c r="K1821" s="132">
        <f t="shared" si="207"/>
        <v>0</v>
      </c>
      <c r="L1821" s="132">
        <f t="shared" si="208"/>
        <v>0</v>
      </c>
      <c r="M1821" s="133"/>
      <c r="N1821" s="133">
        <f t="shared" si="205"/>
        <v>0</v>
      </c>
      <c r="O1821" s="134"/>
      <c r="P1821" s="133"/>
      <c r="Q1821" s="2"/>
      <c r="R1821" s="156">
        <f t="shared" si="209"/>
        <v>0</v>
      </c>
      <c r="S1821" s="156">
        <f t="shared" si="210"/>
        <v>0</v>
      </c>
      <c r="T1821" s="133"/>
      <c r="U1821" s="133"/>
      <c r="V1821" s="133"/>
      <c r="W1821" s="133"/>
      <c r="X1821" s="133"/>
      <c r="Y1821" s="133"/>
      <c r="Z1821" s="133"/>
      <c r="AA1821" s="133"/>
      <c r="AB1821" s="133"/>
      <c r="AC1821" s="133"/>
      <c r="AD1821" s="133"/>
      <c r="AE1821" s="133"/>
      <c r="AF1821" s="133"/>
      <c r="AG1821" s="133"/>
      <c r="AH1821" s="133"/>
      <c r="AI1821" s="133"/>
      <c r="AJ1821" s="133"/>
      <c r="AK1821" s="133"/>
      <c r="AL1821" s="133"/>
      <c r="AM1821" s="133"/>
      <c r="AN1821" s="133"/>
      <c r="AO1821" s="133"/>
      <c r="AP1821" s="133"/>
      <c r="AQ1821" s="133"/>
      <c r="AR1821" s="133"/>
      <c r="AS1821" s="153">
        <v>0</v>
      </c>
      <c r="AT1821" s="153">
        <v>0</v>
      </c>
      <c r="AU1821" s="153">
        <v>0</v>
      </c>
      <c r="AV1821" s="135"/>
      <c r="AW1821" s="135"/>
      <c r="AX1821" s="135"/>
      <c r="AY1821" s="135"/>
      <c r="AZ1821" s="135"/>
      <c r="BA1821" s="135"/>
      <c r="BB1821" s="135"/>
      <c r="BC1821" s="135"/>
      <c r="BD1821" s="135"/>
      <c r="BE1821" s="135"/>
      <c r="BF1821" s="135"/>
      <c r="BG1821" s="135"/>
      <c r="BH1821" s="135"/>
      <c r="BI1821" s="2"/>
      <c r="BJ1821" s="136"/>
      <c r="BK1821" s="2"/>
      <c r="BL1821" s="136"/>
      <c r="BM1821" s="136"/>
      <c r="BN1821" s="2"/>
      <c r="BO1821" s="2"/>
      <c r="BP1821" s="136"/>
      <c r="BQ1821" s="137"/>
    </row>
    <row r="1822" spans="1:69" ht="12.75" customHeight="1" x14ac:dyDescent="0.2">
      <c r="A1822" s="2">
        <v>3311</v>
      </c>
      <c r="B1822" s="2"/>
      <c r="C1822" s="2"/>
      <c r="D1822" s="2"/>
      <c r="E1822" s="2"/>
      <c r="F1822" s="132">
        <v>0</v>
      </c>
      <c r="G1822" s="132"/>
      <c r="H1822" s="132">
        <f t="shared" si="206"/>
        <v>0</v>
      </c>
      <c r="I1822" s="132"/>
      <c r="J1822" s="132">
        <f t="shared" si="204"/>
        <v>0</v>
      </c>
      <c r="K1822" s="132">
        <f t="shared" si="207"/>
        <v>0</v>
      </c>
      <c r="L1822" s="132">
        <f t="shared" si="208"/>
        <v>0</v>
      </c>
      <c r="M1822" s="133"/>
      <c r="N1822" s="133">
        <f t="shared" si="205"/>
        <v>0</v>
      </c>
      <c r="O1822" s="134"/>
      <c r="P1822" s="133"/>
      <c r="Q1822" s="2"/>
      <c r="R1822" s="156">
        <f t="shared" si="209"/>
        <v>0</v>
      </c>
      <c r="S1822" s="156">
        <f t="shared" si="210"/>
        <v>0</v>
      </c>
      <c r="T1822" s="133"/>
      <c r="U1822" s="133"/>
      <c r="V1822" s="133"/>
      <c r="W1822" s="133"/>
      <c r="X1822" s="133"/>
      <c r="Y1822" s="133"/>
      <c r="Z1822" s="133"/>
      <c r="AA1822" s="133"/>
      <c r="AB1822" s="133"/>
      <c r="AC1822" s="133"/>
      <c r="AD1822" s="133"/>
      <c r="AE1822" s="133"/>
      <c r="AF1822" s="133"/>
      <c r="AG1822" s="133"/>
      <c r="AH1822" s="133"/>
      <c r="AI1822" s="133"/>
      <c r="AJ1822" s="133"/>
      <c r="AK1822" s="133"/>
      <c r="AL1822" s="133"/>
      <c r="AM1822" s="133"/>
      <c r="AN1822" s="133"/>
      <c r="AO1822" s="133"/>
      <c r="AP1822" s="133"/>
      <c r="AQ1822" s="133"/>
      <c r="AR1822" s="133"/>
      <c r="AS1822" s="153">
        <v>0</v>
      </c>
      <c r="AT1822" s="153">
        <v>0</v>
      </c>
      <c r="AU1822" s="153">
        <v>0</v>
      </c>
      <c r="AV1822" s="135"/>
      <c r="AW1822" s="135"/>
      <c r="AX1822" s="135"/>
      <c r="AY1822" s="135"/>
      <c r="AZ1822" s="135"/>
      <c r="BA1822" s="135"/>
      <c r="BB1822" s="135"/>
      <c r="BC1822" s="135"/>
      <c r="BD1822" s="135"/>
      <c r="BE1822" s="135"/>
      <c r="BF1822" s="135"/>
      <c r="BG1822" s="135"/>
      <c r="BH1822" s="135"/>
      <c r="BI1822" s="2"/>
      <c r="BJ1822" s="136"/>
      <c r="BK1822" s="2"/>
      <c r="BL1822" s="136"/>
      <c r="BM1822" s="136"/>
      <c r="BN1822" s="2"/>
      <c r="BO1822" s="2"/>
      <c r="BP1822" s="136"/>
      <c r="BQ1822" s="137"/>
    </row>
    <row r="1823" spans="1:69" ht="12.75" customHeight="1" x14ac:dyDescent="0.2">
      <c r="A1823" s="2">
        <v>3312</v>
      </c>
      <c r="B1823" s="2"/>
      <c r="C1823" s="2"/>
      <c r="D1823" s="2"/>
      <c r="E1823" s="2"/>
      <c r="F1823" s="132">
        <v>0</v>
      </c>
      <c r="G1823" s="132"/>
      <c r="H1823" s="132">
        <f t="shared" si="206"/>
        <v>0</v>
      </c>
      <c r="I1823" s="132"/>
      <c r="J1823" s="132">
        <f t="shared" si="204"/>
        <v>0</v>
      </c>
      <c r="K1823" s="132">
        <f t="shared" si="207"/>
        <v>0</v>
      </c>
      <c r="L1823" s="132">
        <f t="shared" si="208"/>
        <v>0</v>
      </c>
      <c r="M1823" s="133"/>
      <c r="N1823" s="133">
        <f t="shared" si="205"/>
        <v>0</v>
      </c>
      <c r="O1823" s="134"/>
      <c r="P1823" s="133"/>
      <c r="Q1823" s="2"/>
      <c r="R1823" s="156">
        <f t="shared" si="209"/>
        <v>0</v>
      </c>
      <c r="S1823" s="156">
        <f t="shared" si="210"/>
        <v>0</v>
      </c>
      <c r="T1823" s="133"/>
      <c r="U1823" s="133"/>
      <c r="V1823" s="133"/>
      <c r="W1823" s="133"/>
      <c r="X1823" s="133"/>
      <c r="Y1823" s="133"/>
      <c r="Z1823" s="133"/>
      <c r="AA1823" s="133"/>
      <c r="AB1823" s="133"/>
      <c r="AC1823" s="133"/>
      <c r="AD1823" s="133"/>
      <c r="AE1823" s="133"/>
      <c r="AF1823" s="133"/>
      <c r="AG1823" s="133"/>
      <c r="AH1823" s="133"/>
      <c r="AI1823" s="133"/>
      <c r="AJ1823" s="133"/>
      <c r="AK1823" s="133"/>
      <c r="AL1823" s="133"/>
      <c r="AM1823" s="133"/>
      <c r="AN1823" s="133"/>
      <c r="AO1823" s="133"/>
      <c r="AP1823" s="133"/>
      <c r="AQ1823" s="133"/>
      <c r="AR1823" s="133"/>
      <c r="AS1823" s="153">
        <v>0</v>
      </c>
      <c r="AT1823" s="153">
        <v>0</v>
      </c>
      <c r="AU1823" s="153">
        <v>0</v>
      </c>
      <c r="AV1823" s="135"/>
      <c r="AW1823" s="135"/>
      <c r="AX1823" s="135"/>
      <c r="AY1823" s="135"/>
      <c r="AZ1823" s="135"/>
      <c r="BA1823" s="135"/>
      <c r="BB1823" s="135"/>
      <c r="BC1823" s="135"/>
      <c r="BD1823" s="135"/>
      <c r="BE1823" s="135"/>
      <c r="BF1823" s="135"/>
      <c r="BG1823" s="135"/>
      <c r="BH1823" s="135"/>
      <c r="BI1823" s="2"/>
      <c r="BJ1823" s="136"/>
      <c r="BK1823" s="2"/>
      <c r="BL1823" s="136"/>
      <c r="BM1823" s="136"/>
      <c r="BN1823" s="2"/>
      <c r="BO1823" s="2"/>
      <c r="BP1823" s="136"/>
      <c r="BQ1823" s="137"/>
    </row>
    <row r="1824" spans="1:69" ht="12.75" customHeight="1" x14ac:dyDescent="0.2">
      <c r="A1824" s="2">
        <v>3313</v>
      </c>
      <c r="B1824" s="2"/>
      <c r="C1824" s="2"/>
      <c r="D1824" s="2"/>
      <c r="E1824" s="2"/>
      <c r="F1824" s="132">
        <v>0</v>
      </c>
      <c r="G1824" s="132"/>
      <c r="H1824" s="132">
        <f t="shared" si="206"/>
        <v>0</v>
      </c>
      <c r="I1824" s="132"/>
      <c r="J1824" s="132">
        <f t="shared" si="204"/>
        <v>0</v>
      </c>
      <c r="K1824" s="132">
        <f t="shared" si="207"/>
        <v>0</v>
      </c>
      <c r="L1824" s="132">
        <f t="shared" si="208"/>
        <v>0</v>
      </c>
      <c r="M1824" s="133"/>
      <c r="N1824" s="133">
        <f t="shared" si="205"/>
        <v>0</v>
      </c>
      <c r="O1824" s="134"/>
      <c r="P1824" s="133"/>
      <c r="Q1824" s="2"/>
      <c r="R1824" s="156">
        <f t="shared" si="209"/>
        <v>0</v>
      </c>
      <c r="S1824" s="156">
        <f t="shared" si="210"/>
        <v>0</v>
      </c>
      <c r="T1824" s="133"/>
      <c r="U1824" s="133"/>
      <c r="V1824" s="133"/>
      <c r="W1824" s="133"/>
      <c r="X1824" s="133"/>
      <c r="Y1824" s="133"/>
      <c r="Z1824" s="133"/>
      <c r="AA1824" s="133"/>
      <c r="AB1824" s="133"/>
      <c r="AC1824" s="133"/>
      <c r="AD1824" s="133"/>
      <c r="AE1824" s="133"/>
      <c r="AF1824" s="133"/>
      <c r="AG1824" s="133"/>
      <c r="AH1824" s="133"/>
      <c r="AI1824" s="133"/>
      <c r="AJ1824" s="133"/>
      <c r="AK1824" s="133"/>
      <c r="AL1824" s="133"/>
      <c r="AM1824" s="133"/>
      <c r="AN1824" s="133"/>
      <c r="AO1824" s="133"/>
      <c r="AP1824" s="133"/>
      <c r="AQ1824" s="133"/>
      <c r="AR1824" s="133"/>
      <c r="AS1824" s="153">
        <v>0</v>
      </c>
      <c r="AT1824" s="153">
        <v>0</v>
      </c>
      <c r="AU1824" s="153">
        <v>0</v>
      </c>
      <c r="AV1824" s="135"/>
      <c r="AW1824" s="135"/>
      <c r="AX1824" s="135"/>
      <c r="AY1824" s="135"/>
      <c r="AZ1824" s="135"/>
      <c r="BA1824" s="135"/>
      <c r="BB1824" s="135"/>
      <c r="BC1824" s="135"/>
      <c r="BD1824" s="135"/>
      <c r="BE1824" s="135"/>
      <c r="BF1824" s="135"/>
      <c r="BG1824" s="135"/>
      <c r="BH1824" s="135"/>
      <c r="BI1824" s="2"/>
      <c r="BJ1824" s="136"/>
      <c r="BK1824" s="2"/>
      <c r="BL1824" s="136"/>
      <c r="BM1824" s="136"/>
      <c r="BN1824" s="2"/>
      <c r="BO1824" s="2"/>
      <c r="BP1824" s="136"/>
      <c r="BQ1824" s="137"/>
    </row>
    <row r="1825" spans="1:69" ht="12.75" customHeight="1" x14ac:dyDescent="0.2">
      <c r="A1825" s="2">
        <v>3314</v>
      </c>
      <c r="B1825" s="2"/>
      <c r="C1825" s="2"/>
      <c r="D1825" s="2"/>
      <c r="E1825" s="2"/>
      <c r="F1825" s="132">
        <v>0</v>
      </c>
      <c r="G1825" s="132"/>
      <c r="H1825" s="132">
        <f t="shared" si="206"/>
        <v>0</v>
      </c>
      <c r="I1825" s="132"/>
      <c r="J1825" s="132">
        <f t="shared" si="204"/>
        <v>0</v>
      </c>
      <c r="K1825" s="132">
        <f t="shared" si="207"/>
        <v>0</v>
      </c>
      <c r="L1825" s="132">
        <f t="shared" si="208"/>
        <v>0</v>
      </c>
      <c r="M1825" s="133"/>
      <c r="N1825" s="133">
        <f t="shared" si="205"/>
        <v>0</v>
      </c>
      <c r="O1825" s="134"/>
      <c r="P1825" s="133"/>
      <c r="Q1825" s="2"/>
      <c r="R1825" s="156">
        <f t="shared" si="209"/>
        <v>0</v>
      </c>
      <c r="S1825" s="156">
        <f t="shared" si="210"/>
        <v>0</v>
      </c>
      <c r="T1825" s="133"/>
      <c r="U1825" s="133"/>
      <c r="V1825" s="133"/>
      <c r="W1825" s="133"/>
      <c r="X1825" s="133"/>
      <c r="Y1825" s="133"/>
      <c r="Z1825" s="133"/>
      <c r="AA1825" s="133"/>
      <c r="AB1825" s="133"/>
      <c r="AC1825" s="133"/>
      <c r="AD1825" s="133"/>
      <c r="AE1825" s="133"/>
      <c r="AF1825" s="133"/>
      <c r="AG1825" s="133"/>
      <c r="AH1825" s="133"/>
      <c r="AI1825" s="133"/>
      <c r="AJ1825" s="133"/>
      <c r="AK1825" s="133"/>
      <c r="AL1825" s="133"/>
      <c r="AM1825" s="133"/>
      <c r="AN1825" s="133"/>
      <c r="AO1825" s="133"/>
      <c r="AP1825" s="133"/>
      <c r="AQ1825" s="133"/>
      <c r="AR1825" s="133"/>
      <c r="AS1825" s="153">
        <v>0</v>
      </c>
      <c r="AT1825" s="153">
        <v>0</v>
      </c>
      <c r="AU1825" s="153">
        <v>0</v>
      </c>
      <c r="AV1825" s="135"/>
      <c r="AW1825" s="135"/>
      <c r="AX1825" s="135"/>
      <c r="AY1825" s="135"/>
      <c r="AZ1825" s="135"/>
      <c r="BA1825" s="135"/>
      <c r="BB1825" s="135"/>
      <c r="BC1825" s="135"/>
      <c r="BD1825" s="135"/>
      <c r="BE1825" s="135"/>
      <c r="BF1825" s="135"/>
      <c r="BG1825" s="135"/>
      <c r="BH1825" s="135"/>
      <c r="BI1825" s="2"/>
      <c r="BJ1825" s="136"/>
      <c r="BK1825" s="2"/>
      <c r="BL1825" s="136"/>
      <c r="BM1825" s="136"/>
      <c r="BN1825" s="2"/>
      <c r="BO1825" s="2"/>
      <c r="BP1825" s="136"/>
      <c r="BQ1825" s="137"/>
    </row>
    <row r="1826" spans="1:69" ht="12.75" customHeight="1" x14ac:dyDescent="0.2">
      <c r="A1826" s="2">
        <v>3315</v>
      </c>
      <c r="B1826" s="2"/>
      <c r="C1826" s="2"/>
      <c r="D1826" s="2"/>
      <c r="E1826" s="2"/>
      <c r="F1826" s="132">
        <v>0</v>
      </c>
      <c r="G1826" s="132"/>
      <c r="H1826" s="132">
        <f t="shared" si="206"/>
        <v>0</v>
      </c>
      <c r="I1826" s="132"/>
      <c r="J1826" s="132">
        <f t="shared" si="204"/>
        <v>0</v>
      </c>
      <c r="K1826" s="132">
        <f t="shared" si="207"/>
        <v>0</v>
      </c>
      <c r="L1826" s="132">
        <f t="shared" si="208"/>
        <v>0</v>
      </c>
      <c r="M1826" s="133"/>
      <c r="N1826" s="133">
        <f t="shared" si="205"/>
        <v>0</v>
      </c>
      <c r="O1826" s="134"/>
      <c r="P1826" s="133"/>
      <c r="Q1826" s="2"/>
      <c r="R1826" s="156">
        <f t="shared" si="209"/>
        <v>0</v>
      </c>
      <c r="S1826" s="156">
        <f t="shared" si="210"/>
        <v>0</v>
      </c>
      <c r="T1826" s="133"/>
      <c r="U1826" s="133"/>
      <c r="V1826" s="133"/>
      <c r="W1826" s="133"/>
      <c r="X1826" s="133"/>
      <c r="Y1826" s="133"/>
      <c r="Z1826" s="133"/>
      <c r="AA1826" s="133"/>
      <c r="AB1826" s="133"/>
      <c r="AC1826" s="133"/>
      <c r="AD1826" s="133"/>
      <c r="AE1826" s="133"/>
      <c r="AF1826" s="133"/>
      <c r="AG1826" s="133"/>
      <c r="AH1826" s="133"/>
      <c r="AI1826" s="133"/>
      <c r="AJ1826" s="133"/>
      <c r="AK1826" s="133"/>
      <c r="AL1826" s="133"/>
      <c r="AM1826" s="133"/>
      <c r="AN1826" s="133"/>
      <c r="AO1826" s="133"/>
      <c r="AP1826" s="133"/>
      <c r="AQ1826" s="133"/>
      <c r="AR1826" s="133"/>
      <c r="AS1826" s="153">
        <v>0</v>
      </c>
      <c r="AT1826" s="153">
        <v>0</v>
      </c>
      <c r="AU1826" s="153">
        <v>0</v>
      </c>
      <c r="AV1826" s="135"/>
      <c r="AW1826" s="135"/>
      <c r="AX1826" s="135"/>
      <c r="AY1826" s="135"/>
      <c r="AZ1826" s="135"/>
      <c r="BA1826" s="135"/>
      <c r="BB1826" s="135"/>
      <c r="BC1826" s="135"/>
      <c r="BD1826" s="135"/>
      <c r="BE1826" s="135"/>
      <c r="BF1826" s="135"/>
      <c r="BG1826" s="135"/>
      <c r="BH1826" s="135"/>
      <c r="BI1826" s="2"/>
      <c r="BJ1826" s="136"/>
      <c r="BK1826" s="2"/>
      <c r="BL1826" s="136"/>
      <c r="BM1826" s="136"/>
      <c r="BN1826" s="2"/>
      <c r="BO1826" s="2"/>
      <c r="BP1826" s="136"/>
      <c r="BQ1826" s="137"/>
    </row>
    <row r="1827" spans="1:69" ht="12.75" customHeight="1" x14ac:dyDescent="0.2">
      <c r="A1827" s="2">
        <v>3316</v>
      </c>
      <c r="B1827" s="2"/>
      <c r="C1827" s="2"/>
      <c r="D1827" s="2"/>
      <c r="E1827" s="2"/>
      <c r="F1827" s="132">
        <v>0</v>
      </c>
      <c r="G1827" s="132"/>
      <c r="H1827" s="132">
        <f t="shared" si="206"/>
        <v>0</v>
      </c>
      <c r="I1827" s="132"/>
      <c r="J1827" s="132">
        <f t="shared" si="204"/>
        <v>0</v>
      </c>
      <c r="K1827" s="132">
        <f t="shared" si="207"/>
        <v>0</v>
      </c>
      <c r="L1827" s="132">
        <f t="shared" si="208"/>
        <v>0</v>
      </c>
      <c r="M1827" s="133"/>
      <c r="N1827" s="133">
        <f t="shared" si="205"/>
        <v>0</v>
      </c>
      <c r="O1827" s="134"/>
      <c r="P1827" s="133"/>
      <c r="Q1827" s="2"/>
      <c r="R1827" s="156">
        <f t="shared" si="209"/>
        <v>0</v>
      </c>
      <c r="S1827" s="156">
        <f t="shared" si="210"/>
        <v>0</v>
      </c>
      <c r="T1827" s="133"/>
      <c r="U1827" s="133"/>
      <c r="V1827" s="133"/>
      <c r="W1827" s="133"/>
      <c r="X1827" s="133"/>
      <c r="Y1827" s="133"/>
      <c r="Z1827" s="133"/>
      <c r="AA1827" s="133"/>
      <c r="AB1827" s="133"/>
      <c r="AC1827" s="133"/>
      <c r="AD1827" s="133"/>
      <c r="AE1827" s="133"/>
      <c r="AF1827" s="133"/>
      <c r="AG1827" s="133"/>
      <c r="AH1827" s="133"/>
      <c r="AI1827" s="133"/>
      <c r="AJ1827" s="133"/>
      <c r="AK1827" s="133"/>
      <c r="AL1827" s="133"/>
      <c r="AM1827" s="133"/>
      <c r="AN1827" s="133"/>
      <c r="AO1827" s="133"/>
      <c r="AP1827" s="133"/>
      <c r="AQ1827" s="133"/>
      <c r="AR1827" s="133"/>
      <c r="AS1827" s="153">
        <v>0</v>
      </c>
      <c r="AT1827" s="153">
        <v>0</v>
      </c>
      <c r="AU1827" s="153">
        <v>0</v>
      </c>
      <c r="AV1827" s="135"/>
      <c r="AW1827" s="135"/>
      <c r="AX1827" s="135"/>
      <c r="AY1827" s="135"/>
      <c r="AZ1827" s="135"/>
      <c r="BA1827" s="135"/>
      <c r="BB1827" s="135"/>
      <c r="BC1827" s="135"/>
      <c r="BD1827" s="135"/>
      <c r="BE1827" s="135"/>
      <c r="BF1827" s="135"/>
      <c r="BG1827" s="135"/>
      <c r="BH1827" s="135"/>
      <c r="BI1827" s="2"/>
      <c r="BJ1827" s="136"/>
      <c r="BK1827" s="2"/>
      <c r="BL1827" s="136"/>
      <c r="BM1827" s="136"/>
      <c r="BN1827" s="2"/>
      <c r="BO1827" s="2"/>
      <c r="BP1827" s="136"/>
      <c r="BQ1827" s="137"/>
    </row>
    <row r="1828" spans="1:69" ht="12.75" customHeight="1" x14ac:dyDescent="0.2">
      <c r="A1828" s="2">
        <v>3317</v>
      </c>
      <c r="B1828" s="2"/>
      <c r="C1828" s="2"/>
      <c r="D1828" s="2"/>
      <c r="E1828" s="2"/>
      <c r="F1828" s="132">
        <v>0</v>
      </c>
      <c r="G1828" s="132"/>
      <c r="H1828" s="132">
        <f t="shared" si="206"/>
        <v>0</v>
      </c>
      <c r="I1828" s="132"/>
      <c r="J1828" s="132">
        <f t="shared" ref="J1828:J1891" si="211">S1828</f>
        <v>0</v>
      </c>
      <c r="K1828" s="132">
        <f t="shared" si="207"/>
        <v>0</v>
      </c>
      <c r="L1828" s="132">
        <f t="shared" si="208"/>
        <v>0</v>
      </c>
      <c r="M1828" s="133"/>
      <c r="N1828" s="133">
        <f t="shared" si="205"/>
        <v>0</v>
      </c>
      <c r="O1828" s="134"/>
      <c r="P1828" s="133"/>
      <c r="Q1828" s="2"/>
      <c r="R1828" s="156">
        <f t="shared" si="209"/>
        <v>0</v>
      </c>
      <c r="S1828" s="156">
        <f t="shared" si="210"/>
        <v>0</v>
      </c>
      <c r="T1828" s="133"/>
      <c r="U1828" s="133"/>
      <c r="V1828" s="133"/>
      <c r="W1828" s="133"/>
      <c r="X1828" s="133"/>
      <c r="Y1828" s="133"/>
      <c r="Z1828" s="133"/>
      <c r="AA1828" s="133"/>
      <c r="AB1828" s="133"/>
      <c r="AC1828" s="133"/>
      <c r="AD1828" s="133"/>
      <c r="AE1828" s="133"/>
      <c r="AF1828" s="133"/>
      <c r="AG1828" s="133"/>
      <c r="AH1828" s="133"/>
      <c r="AI1828" s="133"/>
      <c r="AJ1828" s="133"/>
      <c r="AK1828" s="133"/>
      <c r="AL1828" s="133"/>
      <c r="AM1828" s="133"/>
      <c r="AN1828" s="133"/>
      <c r="AO1828" s="133"/>
      <c r="AP1828" s="133"/>
      <c r="AQ1828" s="133"/>
      <c r="AR1828" s="133"/>
      <c r="AS1828" s="153">
        <v>0</v>
      </c>
      <c r="AT1828" s="153">
        <v>0</v>
      </c>
      <c r="AU1828" s="153">
        <v>0</v>
      </c>
      <c r="AV1828" s="135"/>
      <c r="AW1828" s="135"/>
      <c r="AX1828" s="135"/>
      <c r="AY1828" s="135"/>
      <c r="AZ1828" s="135"/>
      <c r="BA1828" s="135"/>
      <c r="BB1828" s="135"/>
      <c r="BC1828" s="135"/>
      <c r="BD1828" s="135"/>
      <c r="BE1828" s="135"/>
      <c r="BF1828" s="135"/>
      <c r="BG1828" s="135"/>
      <c r="BH1828" s="135"/>
      <c r="BI1828" s="2"/>
      <c r="BJ1828" s="136"/>
      <c r="BK1828" s="2"/>
      <c r="BL1828" s="136"/>
      <c r="BM1828" s="136"/>
      <c r="BN1828" s="2"/>
      <c r="BO1828" s="2"/>
      <c r="BP1828" s="136"/>
      <c r="BQ1828" s="137"/>
    </row>
    <row r="1829" spans="1:69" ht="12.75" customHeight="1" x14ac:dyDescent="0.2">
      <c r="A1829" s="2">
        <v>3318</v>
      </c>
      <c r="B1829" s="2"/>
      <c r="C1829" s="2"/>
      <c r="D1829" s="2"/>
      <c r="E1829" s="2"/>
      <c r="F1829" s="132">
        <v>0</v>
      </c>
      <c r="G1829" s="132"/>
      <c r="H1829" s="132">
        <f t="shared" si="206"/>
        <v>0</v>
      </c>
      <c r="I1829" s="132"/>
      <c r="J1829" s="132">
        <f t="shared" si="211"/>
        <v>0</v>
      </c>
      <c r="K1829" s="132">
        <f t="shared" si="207"/>
        <v>0</v>
      </c>
      <c r="L1829" s="132">
        <f t="shared" si="208"/>
        <v>0</v>
      </c>
      <c r="M1829" s="133"/>
      <c r="N1829" s="133">
        <f t="shared" si="205"/>
        <v>0</v>
      </c>
      <c r="O1829" s="134"/>
      <c r="P1829" s="133"/>
      <c r="Q1829" s="2"/>
      <c r="R1829" s="156">
        <f t="shared" si="209"/>
        <v>0</v>
      </c>
      <c r="S1829" s="156">
        <f t="shared" si="210"/>
        <v>0</v>
      </c>
      <c r="T1829" s="133"/>
      <c r="U1829" s="133"/>
      <c r="V1829" s="133"/>
      <c r="W1829" s="133"/>
      <c r="X1829" s="133"/>
      <c r="Y1829" s="133"/>
      <c r="Z1829" s="133"/>
      <c r="AA1829" s="133"/>
      <c r="AB1829" s="133"/>
      <c r="AC1829" s="133"/>
      <c r="AD1829" s="133"/>
      <c r="AE1829" s="133"/>
      <c r="AF1829" s="133"/>
      <c r="AG1829" s="133"/>
      <c r="AH1829" s="133"/>
      <c r="AI1829" s="133"/>
      <c r="AJ1829" s="133"/>
      <c r="AK1829" s="133"/>
      <c r="AL1829" s="133"/>
      <c r="AM1829" s="133"/>
      <c r="AN1829" s="133"/>
      <c r="AO1829" s="133"/>
      <c r="AP1829" s="133"/>
      <c r="AQ1829" s="133"/>
      <c r="AR1829" s="133"/>
      <c r="AS1829" s="153">
        <v>0</v>
      </c>
      <c r="AT1829" s="153">
        <v>0</v>
      </c>
      <c r="AU1829" s="153">
        <v>0</v>
      </c>
      <c r="AV1829" s="135"/>
      <c r="AW1829" s="135"/>
      <c r="AX1829" s="135"/>
      <c r="AY1829" s="135"/>
      <c r="AZ1829" s="135"/>
      <c r="BA1829" s="135"/>
      <c r="BB1829" s="135"/>
      <c r="BC1829" s="135"/>
      <c r="BD1829" s="135"/>
      <c r="BE1829" s="135"/>
      <c r="BF1829" s="135"/>
      <c r="BG1829" s="135"/>
      <c r="BH1829" s="135"/>
      <c r="BI1829" s="2"/>
      <c r="BJ1829" s="136"/>
      <c r="BK1829" s="2"/>
      <c r="BL1829" s="136"/>
      <c r="BM1829" s="136"/>
      <c r="BN1829" s="2"/>
      <c r="BO1829" s="2"/>
      <c r="BP1829" s="136"/>
      <c r="BQ1829" s="137"/>
    </row>
    <row r="1830" spans="1:69" ht="12.75" customHeight="1" x14ac:dyDescent="0.2">
      <c r="A1830" s="2">
        <v>3319</v>
      </c>
      <c r="B1830" s="2"/>
      <c r="C1830" s="2"/>
      <c r="D1830" s="2"/>
      <c r="E1830" s="2"/>
      <c r="F1830" s="132">
        <v>0</v>
      </c>
      <c r="G1830" s="132"/>
      <c r="H1830" s="132">
        <f t="shared" si="206"/>
        <v>0</v>
      </c>
      <c r="I1830" s="132"/>
      <c r="J1830" s="132">
        <f t="shared" si="211"/>
        <v>0</v>
      </c>
      <c r="K1830" s="132">
        <f t="shared" si="207"/>
        <v>0</v>
      </c>
      <c r="L1830" s="132">
        <f t="shared" si="208"/>
        <v>0</v>
      </c>
      <c r="M1830" s="133"/>
      <c r="N1830" s="133">
        <f t="shared" si="205"/>
        <v>0</v>
      </c>
      <c r="O1830" s="134"/>
      <c r="P1830" s="133"/>
      <c r="Q1830" s="2"/>
      <c r="R1830" s="156">
        <f t="shared" si="209"/>
        <v>0</v>
      </c>
      <c r="S1830" s="156">
        <f t="shared" si="210"/>
        <v>0</v>
      </c>
      <c r="T1830" s="133"/>
      <c r="U1830" s="133"/>
      <c r="V1830" s="133"/>
      <c r="W1830" s="133"/>
      <c r="X1830" s="133"/>
      <c r="Y1830" s="133"/>
      <c r="Z1830" s="133"/>
      <c r="AA1830" s="133"/>
      <c r="AB1830" s="133"/>
      <c r="AC1830" s="133"/>
      <c r="AD1830" s="133"/>
      <c r="AE1830" s="133"/>
      <c r="AF1830" s="133"/>
      <c r="AG1830" s="133"/>
      <c r="AH1830" s="133"/>
      <c r="AI1830" s="133"/>
      <c r="AJ1830" s="133"/>
      <c r="AK1830" s="133"/>
      <c r="AL1830" s="133"/>
      <c r="AM1830" s="133"/>
      <c r="AN1830" s="133"/>
      <c r="AO1830" s="133"/>
      <c r="AP1830" s="133"/>
      <c r="AQ1830" s="133"/>
      <c r="AR1830" s="133"/>
      <c r="AS1830" s="153">
        <v>0</v>
      </c>
      <c r="AT1830" s="153">
        <v>0</v>
      </c>
      <c r="AU1830" s="153">
        <v>0</v>
      </c>
      <c r="AV1830" s="135"/>
      <c r="AW1830" s="135"/>
      <c r="AX1830" s="135"/>
      <c r="AY1830" s="135"/>
      <c r="AZ1830" s="135"/>
      <c r="BA1830" s="135"/>
      <c r="BB1830" s="135"/>
      <c r="BC1830" s="135"/>
      <c r="BD1830" s="135"/>
      <c r="BE1830" s="135"/>
      <c r="BF1830" s="135"/>
      <c r="BG1830" s="135"/>
      <c r="BH1830" s="135"/>
      <c r="BI1830" s="2"/>
      <c r="BJ1830" s="136"/>
      <c r="BK1830" s="2"/>
      <c r="BL1830" s="136"/>
      <c r="BM1830" s="136"/>
      <c r="BN1830" s="2"/>
      <c r="BO1830" s="2"/>
      <c r="BP1830" s="136"/>
      <c r="BQ1830" s="137"/>
    </row>
    <row r="1831" spans="1:69" ht="12.75" customHeight="1" x14ac:dyDescent="0.2">
      <c r="A1831" s="2">
        <v>3320</v>
      </c>
      <c r="B1831" s="2"/>
      <c r="C1831" s="2"/>
      <c r="D1831" s="2"/>
      <c r="E1831" s="2"/>
      <c r="F1831" s="132">
        <v>0</v>
      </c>
      <c r="G1831" s="132"/>
      <c r="H1831" s="132">
        <f t="shared" si="206"/>
        <v>0</v>
      </c>
      <c r="I1831" s="132"/>
      <c r="J1831" s="132">
        <f t="shared" si="211"/>
        <v>0</v>
      </c>
      <c r="K1831" s="132">
        <f t="shared" si="207"/>
        <v>0</v>
      </c>
      <c r="L1831" s="132">
        <f t="shared" si="208"/>
        <v>0</v>
      </c>
      <c r="M1831" s="133"/>
      <c r="N1831" s="133">
        <f t="shared" si="205"/>
        <v>0</v>
      </c>
      <c r="O1831" s="134"/>
      <c r="P1831" s="133"/>
      <c r="Q1831" s="2"/>
      <c r="R1831" s="156">
        <f t="shared" si="209"/>
        <v>0</v>
      </c>
      <c r="S1831" s="156">
        <f t="shared" si="210"/>
        <v>0</v>
      </c>
      <c r="T1831" s="133"/>
      <c r="U1831" s="133"/>
      <c r="V1831" s="133"/>
      <c r="W1831" s="133"/>
      <c r="X1831" s="133"/>
      <c r="Y1831" s="133"/>
      <c r="Z1831" s="133"/>
      <c r="AA1831" s="133"/>
      <c r="AB1831" s="133"/>
      <c r="AC1831" s="133"/>
      <c r="AD1831" s="133"/>
      <c r="AE1831" s="133"/>
      <c r="AF1831" s="133"/>
      <c r="AG1831" s="133"/>
      <c r="AH1831" s="133"/>
      <c r="AI1831" s="133"/>
      <c r="AJ1831" s="133"/>
      <c r="AK1831" s="133"/>
      <c r="AL1831" s="133"/>
      <c r="AM1831" s="133"/>
      <c r="AN1831" s="133"/>
      <c r="AO1831" s="133"/>
      <c r="AP1831" s="133"/>
      <c r="AQ1831" s="133"/>
      <c r="AR1831" s="133"/>
      <c r="AS1831" s="153">
        <v>0</v>
      </c>
      <c r="AT1831" s="153">
        <v>0</v>
      </c>
      <c r="AU1831" s="153">
        <v>0</v>
      </c>
      <c r="AV1831" s="135"/>
      <c r="AW1831" s="135"/>
      <c r="AX1831" s="135"/>
      <c r="AY1831" s="135"/>
      <c r="AZ1831" s="135"/>
      <c r="BA1831" s="135"/>
      <c r="BB1831" s="135"/>
      <c r="BC1831" s="135"/>
      <c r="BD1831" s="135"/>
      <c r="BE1831" s="135"/>
      <c r="BF1831" s="135"/>
      <c r="BG1831" s="135"/>
      <c r="BH1831" s="135"/>
      <c r="BI1831" s="2"/>
      <c r="BJ1831" s="136"/>
      <c r="BK1831" s="2"/>
      <c r="BL1831" s="136"/>
      <c r="BM1831" s="136"/>
      <c r="BN1831" s="2"/>
      <c r="BO1831" s="2"/>
      <c r="BP1831" s="136"/>
      <c r="BQ1831" s="137"/>
    </row>
    <row r="1832" spans="1:69" ht="12.75" customHeight="1" x14ac:dyDescent="0.2">
      <c r="A1832" s="2">
        <v>3321</v>
      </c>
      <c r="B1832" s="2"/>
      <c r="C1832" s="2"/>
      <c r="D1832" s="2"/>
      <c r="E1832" s="2"/>
      <c r="F1832" s="132">
        <v>0</v>
      </c>
      <c r="G1832" s="132"/>
      <c r="H1832" s="132">
        <f t="shared" si="206"/>
        <v>0</v>
      </c>
      <c r="I1832" s="132"/>
      <c r="J1832" s="132">
        <f t="shared" si="211"/>
        <v>0</v>
      </c>
      <c r="K1832" s="132">
        <f t="shared" si="207"/>
        <v>0</v>
      </c>
      <c r="L1832" s="132">
        <f t="shared" si="208"/>
        <v>0</v>
      </c>
      <c r="M1832" s="133"/>
      <c r="N1832" s="133">
        <f t="shared" si="205"/>
        <v>0</v>
      </c>
      <c r="O1832" s="134"/>
      <c r="P1832" s="133"/>
      <c r="Q1832" s="2"/>
      <c r="R1832" s="156">
        <f t="shared" si="209"/>
        <v>0</v>
      </c>
      <c r="S1832" s="156">
        <f t="shared" si="210"/>
        <v>0</v>
      </c>
      <c r="T1832" s="133"/>
      <c r="U1832" s="133"/>
      <c r="V1832" s="133"/>
      <c r="W1832" s="133"/>
      <c r="X1832" s="133"/>
      <c r="Y1832" s="133"/>
      <c r="Z1832" s="133"/>
      <c r="AA1832" s="133"/>
      <c r="AB1832" s="133"/>
      <c r="AC1832" s="133"/>
      <c r="AD1832" s="133"/>
      <c r="AE1832" s="133"/>
      <c r="AF1832" s="133"/>
      <c r="AG1832" s="133"/>
      <c r="AH1832" s="133"/>
      <c r="AI1832" s="133"/>
      <c r="AJ1832" s="133"/>
      <c r="AK1832" s="133"/>
      <c r="AL1832" s="133"/>
      <c r="AM1832" s="133"/>
      <c r="AN1832" s="133"/>
      <c r="AO1832" s="133"/>
      <c r="AP1832" s="133"/>
      <c r="AQ1832" s="133"/>
      <c r="AR1832" s="133"/>
      <c r="AS1832" s="153">
        <v>0</v>
      </c>
      <c r="AT1832" s="153">
        <v>0</v>
      </c>
      <c r="AU1832" s="153">
        <v>0</v>
      </c>
      <c r="AV1832" s="135"/>
      <c r="AW1832" s="135"/>
      <c r="AX1832" s="135"/>
      <c r="AY1832" s="135"/>
      <c r="AZ1832" s="135"/>
      <c r="BA1832" s="135"/>
      <c r="BB1832" s="135"/>
      <c r="BC1832" s="135"/>
      <c r="BD1832" s="135"/>
      <c r="BE1832" s="135"/>
      <c r="BF1832" s="135"/>
      <c r="BG1832" s="135"/>
      <c r="BH1832" s="135"/>
      <c r="BI1832" s="2"/>
      <c r="BJ1832" s="136"/>
      <c r="BK1832" s="2"/>
      <c r="BL1832" s="136"/>
      <c r="BM1832" s="136"/>
      <c r="BN1832" s="2"/>
      <c r="BO1832" s="2"/>
      <c r="BP1832" s="136"/>
      <c r="BQ1832" s="137"/>
    </row>
    <row r="1833" spans="1:69" ht="12.75" customHeight="1" x14ac:dyDescent="0.2">
      <c r="A1833" s="2">
        <v>3322</v>
      </c>
      <c r="B1833" s="2"/>
      <c r="C1833" s="2"/>
      <c r="D1833" s="2"/>
      <c r="E1833" s="2"/>
      <c r="F1833" s="132">
        <v>0</v>
      </c>
      <c r="G1833" s="132"/>
      <c r="H1833" s="132">
        <f t="shared" si="206"/>
        <v>0</v>
      </c>
      <c r="I1833" s="132"/>
      <c r="J1833" s="132">
        <f t="shared" si="211"/>
        <v>0</v>
      </c>
      <c r="K1833" s="132">
        <f t="shared" si="207"/>
        <v>0</v>
      </c>
      <c r="L1833" s="132">
        <f t="shared" si="208"/>
        <v>0</v>
      </c>
      <c r="M1833" s="133"/>
      <c r="N1833" s="133">
        <f t="shared" si="205"/>
        <v>0</v>
      </c>
      <c r="O1833" s="134"/>
      <c r="P1833" s="133"/>
      <c r="Q1833" s="2"/>
      <c r="R1833" s="156">
        <f t="shared" si="209"/>
        <v>0</v>
      </c>
      <c r="S1833" s="156">
        <f t="shared" si="210"/>
        <v>0</v>
      </c>
      <c r="T1833" s="133"/>
      <c r="U1833" s="133"/>
      <c r="V1833" s="133"/>
      <c r="W1833" s="133"/>
      <c r="X1833" s="133"/>
      <c r="Y1833" s="133"/>
      <c r="Z1833" s="133"/>
      <c r="AA1833" s="133"/>
      <c r="AB1833" s="133"/>
      <c r="AC1833" s="133"/>
      <c r="AD1833" s="133"/>
      <c r="AE1833" s="133"/>
      <c r="AF1833" s="133"/>
      <c r="AG1833" s="133"/>
      <c r="AH1833" s="133"/>
      <c r="AI1833" s="133"/>
      <c r="AJ1833" s="133"/>
      <c r="AK1833" s="133"/>
      <c r="AL1833" s="133"/>
      <c r="AM1833" s="133"/>
      <c r="AN1833" s="133"/>
      <c r="AO1833" s="133"/>
      <c r="AP1833" s="133"/>
      <c r="AQ1833" s="133"/>
      <c r="AR1833" s="133"/>
      <c r="AS1833" s="153">
        <v>0</v>
      </c>
      <c r="AT1833" s="153">
        <v>0</v>
      </c>
      <c r="AU1833" s="153">
        <v>0</v>
      </c>
      <c r="AV1833" s="135"/>
      <c r="AW1833" s="135"/>
      <c r="AX1833" s="135"/>
      <c r="AY1833" s="135"/>
      <c r="AZ1833" s="135"/>
      <c r="BA1833" s="135"/>
      <c r="BB1833" s="135"/>
      <c r="BC1833" s="135"/>
      <c r="BD1833" s="135"/>
      <c r="BE1833" s="135"/>
      <c r="BF1833" s="135"/>
      <c r="BG1833" s="135"/>
      <c r="BH1833" s="135"/>
      <c r="BI1833" s="2"/>
      <c r="BJ1833" s="136"/>
      <c r="BK1833" s="2"/>
      <c r="BL1833" s="136"/>
      <c r="BM1833" s="136"/>
      <c r="BN1833" s="2"/>
      <c r="BO1833" s="2"/>
      <c r="BP1833" s="136"/>
      <c r="BQ1833" s="137"/>
    </row>
    <row r="1834" spans="1:69" ht="12.75" customHeight="1" x14ac:dyDescent="0.2">
      <c r="A1834" s="2">
        <v>3323</v>
      </c>
      <c r="B1834" s="2"/>
      <c r="C1834" s="2"/>
      <c r="D1834" s="2"/>
      <c r="E1834" s="2"/>
      <c r="F1834" s="132">
        <v>0</v>
      </c>
      <c r="G1834" s="132"/>
      <c r="H1834" s="132">
        <f t="shared" si="206"/>
        <v>0</v>
      </c>
      <c r="I1834" s="132"/>
      <c r="J1834" s="132">
        <f t="shared" si="211"/>
        <v>0</v>
      </c>
      <c r="K1834" s="132">
        <f t="shared" si="207"/>
        <v>0</v>
      </c>
      <c r="L1834" s="132">
        <f t="shared" si="208"/>
        <v>0</v>
      </c>
      <c r="M1834" s="133"/>
      <c r="N1834" s="133">
        <f t="shared" ref="N1834:N1897" si="212">IF(OR(BK1834="принят",BK1834="Завершено",BK1834="ПриПро"),H1834-J1834,F1834-J1834)</f>
        <v>0</v>
      </c>
      <c r="O1834" s="134"/>
      <c r="P1834" s="133"/>
      <c r="Q1834" s="2"/>
      <c r="R1834" s="156">
        <f t="shared" si="209"/>
        <v>0</v>
      </c>
      <c r="S1834" s="156">
        <f t="shared" si="210"/>
        <v>0</v>
      </c>
      <c r="T1834" s="133"/>
      <c r="U1834" s="133"/>
      <c r="V1834" s="133"/>
      <c r="W1834" s="133"/>
      <c r="X1834" s="133"/>
      <c r="Y1834" s="133"/>
      <c r="Z1834" s="133"/>
      <c r="AA1834" s="133"/>
      <c r="AB1834" s="133"/>
      <c r="AC1834" s="133"/>
      <c r="AD1834" s="133"/>
      <c r="AE1834" s="133"/>
      <c r="AF1834" s="133"/>
      <c r="AG1834" s="133"/>
      <c r="AH1834" s="133"/>
      <c r="AI1834" s="133"/>
      <c r="AJ1834" s="133"/>
      <c r="AK1834" s="133"/>
      <c r="AL1834" s="133"/>
      <c r="AM1834" s="133"/>
      <c r="AN1834" s="133"/>
      <c r="AO1834" s="133"/>
      <c r="AP1834" s="133"/>
      <c r="AQ1834" s="133"/>
      <c r="AR1834" s="133"/>
      <c r="AS1834" s="153">
        <v>0</v>
      </c>
      <c r="AT1834" s="153">
        <v>0</v>
      </c>
      <c r="AU1834" s="153">
        <v>0</v>
      </c>
      <c r="AV1834" s="135"/>
      <c r="AW1834" s="135"/>
      <c r="AX1834" s="135"/>
      <c r="AY1834" s="135"/>
      <c r="AZ1834" s="135"/>
      <c r="BA1834" s="135"/>
      <c r="BB1834" s="135"/>
      <c r="BC1834" s="135"/>
      <c r="BD1834" s="135"/>
      <c r="BE1834" s="135"/>
      <c r="BF1834" s="135"/>
      <c r="BG1834" s="135"/>
      <c r="BH1834" s="135"/>
      <c r="BI1834" s="2"/>
      <c r="BJ1834" s="136"/>
      <c r="BK1834" s="2"/>
      <c r="BL1834" s="136"/>
      <c r="BM1834" s="136"/>
      <c r="BN1834" s="2"/>
      <c r="BO1834" s="2"/>
      <c r="BP1834" s="136"/>
      <c r="BQ1834" s="137"/>
    </row>
    <row r="1835" spans="1:69" ht="12.75" customHeight="1" x14ac:dyDescent="0.2">
      <c r="A1835" s="2">
        <v>3324</v>
      </c>
      <c r="B1835" s="2"/>
      <c r="C1835" s="2"/>
      <c r="D1835" s="2"/>
      <c r="E1835" s="2"/>
      <c r="F1835" s="132">
        <v>0</v>
      </c>
      <c r="G1835" s="132"/>
      <c r="H1835" s="132">
        <f t="shared" si="206"/>
        <v>0</v>
      </c>
      <c r="I1835" s="132"/>
      <c r="J1835" s="132">
        <f t="shared" si="211"/>
        <v>0</v>
      </c>
      <c r="K1835" s="132">
        <f t="shared" si="207"/>
        <v>0</v>
      </c>
      <c r="L1835" s="132">
        <f t="shared" si="208"/>
        <v>0</v>
      </c>
      <c r="M1835" s="133"/>
      <c r="N1835" s="133">
        <f t="shared" si="212"/>
        <v>0</v>
      </c>
      <c r="O1835" s="134"/>
      <c r="P1835" s="133"/>
      <c r="Q1835" s="2"/>
      <c r="R1835" s="156">
        <f t="shared" si="209"/>
        <v>0</v>
      </c>
      <c r="S1835" s="156">
        <f t="shared" si="210"/>
        <v>0</v>
      </c>
      <c r="T1835" s="133"/>
      <c r="U1835" s="133"/>
      <c r="V1835" s="133"/>
      <c r="W1835" s="133"/>
      <c r="X1835" s="133"/>
      <c r="Y1835" s="133"/>
      <c r="Z1835" s="133"/>
      <c r="AA1835" s="133"/>
      <c r="AB1835" s="133"/>
      <c r="AC1835" s="133"/>
      <c r="AD1835" s="133"/>
      <c r="AE1835" s="133"/>
      <c r="AF1835" s="133"/>
      <c r="AG1835" s="133"/>
      <c r="AH1835" s="133"/>
      <c r="AI1835" s="133"/>
      <c r="AJ1835" s="133"/>
      <c r="AK1835" s="133"/>
      <c r="AL1835" s="133"/>
      <c r="AM1835" s="133"/>
      <c r="AN1835" s="133"/>
      <c r="AO1835" s="133"/>
      <c r="AP1835" s="133"/>
      <c r="AQ1835" s="133"/>
      <c r="AR1835" s="133"/>
      <c r="AS1835" s="153">
        <v>0</v>
      </c>
      <c r="AT1835" s="153">
        <v>0</v>
      </c>
      <c r="AU1835" s="153">
        <v>0</v>
      </c>
      <c r="AV1835" s="135"/>
      <c r="AW1835" s="135"/>
      <c r="AX1835" s="135"/>
      <c r="AY1835" s="135"/>
      <c r="AZ1835" s="135"/>
      <c r="BA1835" s="135"/>
      <c r="BB1835" s="135"/>
      <c r="BC1835" s="135"/>
      <c r="BD1835" s="135"/>
      <c r="BE1835" s="135"/>
      <c r="BF1835" s="135"/>
      <c r="BG1835" s="135"/>
      <c r="BH1835" s="135"/>
      <c r="BI1835" s="2"/>
      <c r="BJ1835" s="136"/>
      <c r="BK1835" s="2"/>
      <c r="BL1835" s="136"/>
      <c r="BM1835" s="136"/>
      <c r="BN1835" s="2"/>
      <c r="BO1835" s="2"/>
      <c r="BP1835" s="136"/>
      <c r="BQ1835" s="137"/>
    </row>
    <row r="1836" spans="1:69" ht="12.75" customHeight="1" x14ac:dyDescent="0.2">
      <c r="A1836" s="2">
        <v>3325</v>
      </c>
      <c r="B1836" s="2"/>
      <c r="C1836" s="2"/>
      <c r="D1836" s="2"/>
      <c r="E1836" s="2"/>
      <c r="F1836" s="132">
        <v>0</v>
      </c>
      <c r="G1836" s="132"/>
      <c r="H1836" s="132">
        <f t="shared" si="206"/>
        <v>0</v>
      </c>
      <c r="I1836" s="132"/>
      <c r="J1836" s="132">
        <f t="shared" si="211"/>
        <v>0</v>
      </c>
      <c r="K1836" s="132">
        <f t="shared" si="207"/>
        <v>0</v>
      </c>
      <c r="L1836" s="132">
        <f t="shared" si="208"/>
        <v>0</v>
      </c>
      <c r="M1836" s="133"/>
      <c r="N1836" s="133">
        <f t="shared" si="212"/>
        <v>0</v>
      </c>
      <c r="O1836" s="134"/>
      <c r="P1836" s="133"/>
      <c r="Q1836" s="2"/>
      <c r="R1836" s="156">
        <f t="shared" si="209"/>
        <v>0</v>
      </c>
      <c r="S1836" s="156">
        <f t="shared" si="210"/>
        <v>0</v>
      </c>
      <c r="T1836" s="133"/>
      <c r="U1836" s="133"/>
      <c r="V1836" s="133"/>
      <c r="W1836" s="133"/>
      <c r="X1836" s="133"/>
      <c r="Y1836" s="133"/>
      <c r="Z1836" s="133"/>
      <c r="AA1836" s="133"/>
      <c r="AB1836" s="133"/>
      <c r="AC1836" s="133"/>
      <c r="AD1836" s="133"/>
      <c r="AE1836" s="133"/>
      <c r="AF1836" s="133"/>
      <c r="AG1836" s="133"/>
      <c r="AH1836" s="133"/>
      <c r="AI1836" s="133"/>
      <c r="AJ1836" s="133"/>
      <c r="AK1836" s="133"/>
      <c r="AL1836" s="133"/>
      <c r="AM1836" s="133"/>
      <c r="AN1836" s="133"/>
      <c r="AO1836" s="133"/>
      <c r="AP1836" s="133"/>
      <c r="AQ1836" s="133"/>
      <c r="AR1836" s="133"/>
      <c r="AS1836" s="153">
        <v>0</v>
      </c>
      <c r="AT1836" s="153">
        <v>0</v>
      </c>
      <c r="AU1836" s="153">
        <v>0</v>
      </c>
      <c r="AV1836" s="135"/>
      <c r="AW1836" s="135"/>
      <c r="AX1836" s="135"/>
      <c r="AY1836" s="135"/>
      <c r="AZ1836" s="135"/>
      <c r="BA1836" s="135"/>
      <c r="BB1836" s="135"/>
      <c r="BC1836" s="135"/>
      <c r="BD1836" s="135"/>
      <c r="BE1836" s="135"/>
      <c r="BF1836" s="135"/>
      <c r="BG1836" s="135"/>
      <c r="BH1836" s="135"/>
      <c r="BI1836" s="2"/>
      <c r="BJ1836" s="136"/>
      <c r="BK1836" s="2"/>
      <c r="BL1836" s="136"/>
      <c r="BM1836" s="136"/>
      <c r="BN1836" s="2"/>
      <c r="BO1836" s="2"/>
      <c r="BP1836" s="136"/>
      <c r="BQ1836" s="137"/>
    </row>
    <row r="1837" spans="1:69" ht="12.75" customHeight="1" x14ac:dyDescent="0.2">
      <c r="A1837" s="2">
        <v>3326</v>
      </c>
      <c r="B1837" s="2"/>
      <c r="C1837" s="2"/>
      <c r="D1837" s="2"/>
      <c r="E1837" s="2"/>
      <c r="F1837" s="132">
        <v>0</v>
      </c>
      <c r="G1837" s="132"/>
      <c r="H1837" s="132">
        <f t="shared" si="206"/>
        <v>0</v>
      </c>
      <c r="I1837" s="132"/>
      <c r="J1837" s="132">
        <f t="shared" si="211"/>
        <v>0</v>
      </c>
      <c r="K1837" s="132">
        <f t="shared" si="207"/>
        <v>0</v>
      </c>
      <c r="L1837" s="132">
        <f t="shared" si="208"/>
        <v>0</v>
      </c>
      <c r="M1837" s="133"/>
      <c r="N1837" s="133">
        <f t="shared" si="212"/>
        <v>0</v>
      </c>
      <c r="O1837" s="134"/>
      <c r="P1837" s="133"/>
      <c r="Q1837" s="2"/>
      <c r="R1837" s="156">
        <f t="shared" si="209"/>
        <v>0</v>
      </c>
      <c r="S1837" s="156">
        <f t="shared" si="210"/>
        <v>0</v>
      </c>
      <c r="T1837" s="133"/>
      <c r="U1837" s="133"/>
      <c r="V1837" s="133"/>
      <c r="W1837" s="133"/>
      <c r="X1837" s="133"/>
      <c r="Y1837" s="133"/>
      <c r="Z1837" s="133"/>
      <c r="AA1837" s="133"/>
      <c r="AB1837" s="133"/>
      <c r="AC1837" s="133"/>
      <c r="AD1837" s="133"/>
      <c r="AE1837" s="133"/>
      <c r="AF1837" s="133"/>
      <c r="AG1837" s="133"/>
      <c r="AH1837" s="133"/>
      <c r="AI1837" s="133"/>
      <c r="AJ1837" s="133"/>
      <c r="AK1837" s="133"/>
      <c r="AL1837" s="133"/>
      <c r="AM1837" s="133"/>
      <c r="AN1837" s="133"/>
      <c r="AO1837" s="133"/>
      <c r="AP1837" s="133"/>
      <c r="AQ1837" s="133"/>
      <c r="AR1837" s="133"/>
      <c r="AS1837" s="153">
        <v>0</v>
      </c>
      <c r="AT1837" s="153">
        <v>0</v>
      </c>
      <c r="AU1837" s="153">
        <v>0</v>
      </c>
      <c r="AV1837" s="135"/>
      <c r="AW1837" s="135"/>
      <c r="AX1837" s="135"/>
      <c r="AY1837" s="135"/>
      <c r="AZ1837" s="135"/>
      <c r="BA1837" s="135"/>
      <c r="BB1837" s="135"/>
      <c r="BC1837" s="135"/>
      <c r="BD1837" s="135"/>
      <c r="BE1837" s="135"/>
      <c r="BF1837" s="135"/>
      <c r="BG1837" s="135"/>
      <c r="BH1837" s="135"/>
      <c r="BI1837" s="2"/>
      <c r="BJ1837" s="136"/>
      <c r="BK1837" s="2"/>
      <c r="BL1837" s="136"/>
      <c r="BM1837" s="136"/>
      <c r="BN1837" s="2"/>
      <c r="BO1837" s="2"/>
      <c r="BP1837" s="136"/>
      <c r="BQ1837" s="137"/>
    </row>
    <row r="1838" spans="1:69" ht="12.75" customHeight="1" x14ac:dyDescent="0.2">
      <c r="A1838" s="2">
        <v>3327</v>
      </c>
      <c r="B1838" s="2"/>
      <c r="C1838" s="2"/>
      <c r="D1838" s="2"/>
      <c r="E1838" s="2"/>
      <c r="F1838" s="132">
        <v>0</v>
      </c>
      <c r="G1838" s="132"/>
      <c r="H1838" s="132">
        <f t="shared" ref="H1838:H1901" si="213">R1838</f>
        <v>0</v>
      </c>
      <c r="I1838" s="132"/>
      <c r="J1838" s="132">
        <f t="shared" si="211"/>
        <v>0</v>
      </c>
      <c r="K1838" s="132">
        <f t="shared" si="207"/>
        <v>0</v>
      </c>
      <c r="L1838" s="132">
        <f t="shared" si="208"/>
        <v>0</v>
      </c>
      <c r="M1838" s="133"/>
      <c r="N1838" s="133">
        <f t="shared" si="212"/>
        <v>0</v>
      </c>
      <c r="O1838" s="134"/>
      <c r="P1838" s="133"/>
      <c r="Q1838" s="2"/>
      <c r="R1838" s="156">
        <f t="shared" si="209"/>
        <v>0</v>
      </c>
      <c r="S1838" s="156">
        <f t="shared" si="210"/>
        <v>0</v>
      </c>
      <c r="T1838" s="133"/>
      <c r="U1838" s="133"/>
      <c r="V1838" s="133"/>
      <c r="W1838" s="133"/>
      <c r="X1838" s="133"/>
      <c r="Y1838" s="133"/>
      <c r="Z1838" s="133"/>
      <c r="AA1838" s="133"/>
      <c r="AB1838" s="133"/>
      <c r="AC1838" s="133"/>
      <c r="AD1838" s="133"/>
      <c r="AE1838" s="133"/>
      <c r="AF1838" s="133"/>
      <c r="AG1838" s="133"/>
      <c r="AH1838" s="133"/>
      <c r="AI1838" s="133"/>
      <c r="AJ1838" s="133"/>
      <c r="AK1838" s="133"/>
      <c r="AL1838" s="133"/>
      <c r="AM1838" s="133"/>
      <c r="AN1838" s="133"/>
      <c r="AO1838" s="133"/>
      <c r="AP1838" s="133"/>
      <c r="AQ1838" s="133"/>
      <c r="AR1838" s="133"/>
      <c r="AS1838" s="153">
        <v>0</v>
      </c>
      <c r="AT1838" s="153">
        <v>0</v>
      </c>
      <c r="AU1838" s="153">
        <v>0</v>
      </c>
      <c r="AV1838" s="135"/>
      <c r="AW1838" s="135"/>
      <c r="AX1838" s="135"/>
      <c r="AY1838" s="135"/>
      <c r="AZ1838" s="135"/>
      <c r="BA1838" s="135"/>
      <c r="BB1838" s="135"/>
      <c r="BC1838" s="135"/>
      <c r="BD1838" s="135"/>
      <c r="BE1838" s="135"/>
      <c r="BF1838" s="135"/>
      <c r="BG1838" s="135"/>
      <c r="BH1838" s="135"/>
      <c r="BI1838" s="2"/>
      <c r="BJ1838" s="136"/>
      <c r="BK1838" s="2"/>
      <c r="BL1838" s="136"/>
      <c r="BM1838" s="136"/>
      <c r="BN1838" s="2"/>
      <c r="BO1838" s="2"/>
      <c r="BP1838" s="136"/>
      <c r="BQ1838" s="137"/>
    </row>
    <row r="1839" spans="1:69" ht="12.75" customHeight="1" x14ac:dyDescent="0.2">
      <c r="A1839" s="2">
        <v>3328</v>
      </c>
      <c r="B1839" s="2"/>
      <c r="C1839" s="2"/>
      <c r="D1839" s="2"/>
      <c r="E1839" s="2"/>
      <c r="F1839" s="132">
        <v>0</v>
      </c>
      <c r="G1839" s="132"/>
      <c r="H1839" s="132">
        <f t="shared" si="213"/>
        <v>0</v>
      </c>
      <c r="I1839" s="132"/>
      <c r="J1839" s="132">
        <f t="shared" si="211"/>
        <v>0</v>
      </c>
      <c r="K1839" s="132">
        <f t="shared" si="207"/>
        <v>0</v>
      </c>
      <c r="L1839" s="132">
        <f t="shared" si="208"/>
        <v>0</v>
      </c>
      <c r="M1839" s="133"/>
      <c r="N1839" s="133">
        <f t="shared" si="212"/>
        <v>0</v>
      </c>
      <c r="O1839" s="134"/>
      <c r="P1839" s="133"/>
      <c r="Q1839" s="2"/>
      <c r="R1839" s="156">
        <f t="shared" si="209"/>
        <v>0</v>
      </c>
      <c r="S1839" s="156">
        <f t="shared" si="210"/>
        <v>0</v>
      </c>
      <c r="T1839" s="133"/>
      <c r="U1839" s="133"/>
      <c r="V1839" s="133"/>
      <c r="W1839" s="133"/>
      <c r="X1839" s="133"/>
      <c r="Y1839" s="133"/>
      <c r="Z1839" s="133"/>
      <c r="AA1839" s="133"/>
      <c r="AB1839" s="133"/>
      <c r="AC1839" s="133"/>
      <c r="AD1839" s="133"/>
      <c r="AE1839" s="133"/>
      <c r="AF1839" s="133"/>
      <c r="AG1839" s="133"/>
      <c r="AH1839" s="133"/>
      <c r="AI1839" s="133"/>
      <c r="AJ1839" s="133"/>
      <c r="AK1839" s="133"/>
      <c r="AL1839" s="133"/>
      <c r="AM1839" s="133"/>
      <c r="AN1839" s="133"/>
      <c r="AO1839" s="133"/>
      <c r="AP1839" s="133"/>
      <c r="AQ1839" s="133"/>
      <c r="AR1839" s="133"/>
      <c r="AS1839" s="153">
        <v>0</v>
      </c>
      <c r="AT1839" s="153">
        <v>0</v>
      </c>
      <c r="AU1839" s="153">
        <v>0</v>
      </c>
      <c r="AV1839" s="135"/>
      <c r="AW1839" s="135"/>
      <c r="AX1839" s="135"/>
      <c r="AY1839" s="135"/>
      <c r="AZ1839" s="135"/>
      <c r="BA1839" s="135"/>
      <c r="BB1839" s="135"/>
      <c r="BC1839" s="135"/>
      <c r="BD1839" s="135"/>
      <c r="BE1839" s="135"/>
      <c r="BF1839" s="135"/>
      <c r="BG1839" s="135"/>
      <c r="BH1839" s="135"/>
      <c r="BI1839" s="2"/>
      <c r="BJ1839" s="136"/>
      <c r="BK1839" s="2"/>
      <c r="BL1839" s="136"/>
      <c r="BM1839" s="136"/>
      <c r="BN1839" s="2"/>
      <c r="BO1839" s="2"/>
      <c r="BP1839" s="136"/>
      <c r="BQ1839" s="137"/>
    </row>
    <row r="1840" spans="1:69" ht="12.75" customHeight="1" x14ac:dyDescent="0.2">
      <c r="A1840" s="2">
        <v>3329</v>
      </c>
      <c r="B1840" s="2"/>
      <c r="C1840" s="2"/>
      <c r="D1840" s="2"/>
      <c r="E1840" s="2"/>
      <c r="F1840" s="132">
        <v>0</v>
      </c>
      <c r="G1840" s="132"/>
      <c r="H1840" s="132">
        <f t="shared" si="213"/>
        <v>0</v>
      </c>
      <c r="I1840" s="132"/>
      <c r="J1840" s="132">
        <f t="shared" si="211"/>
        <v>0</v>
      </c>
      <c r="K1840" s="132">
        <f t="shared" si="207"/>
        <v>0</v>
      </c>
      <c r="L1840" s="132">
        <f t="shared" si="208"/>
        <v>0</v>
      </c>
      <c r="M1840" s="133"/>
      <c r="N1840" s="133">
        <f t="shared" si="212"/>
        <v>0</v>
      </c>
      <c r="O1840" s="134"/>
      <c r="P1840" s="133"/>
      <c r="Q1840" s="2"/>
      <c r="R1840" s="156">
        <f t="shared" si="209"/>
        <v>0</v>
      </c>
      <c r="S1840" s="156">
        <f t="shared" si="210"/>
        <v>0</v>
      </c>
      <c r="T1840" s="133"/>
      <c r="U1840" s="133"/>
      <c r="V1840" s="133"/>
      <c r="W1840" s="133"/>
      <c r="X1840" s="133"/>
      <c r="Y1840" s="133"/>
      <c r="Z1840" s="133"/>
      <c r="AA1840" s="133"/>
      <c r="AB1840" s="133"/>
      <c r="AC1840" s="133"/>
      <c r="AD1840" s="133"/>
      <c r="AE1840" s="133"/>
      <c r="AF1840" s="133"/>
      <c r="AG1840" s="133"/>
      <c r="AH1840" s="133"/>
      <c r="AI1840" s="133"/>
      <c r="AJ1840" s="133"/>
      <c r="AK1840" s="133"/>
      <c r="AL1840" s="133"/>
      <c r="AM1840" s="133"/>
      <c r="AN1840" s="133"/>
      <c r="AO1840" s="133"/>
      <c r="AP1840" s="133"/>
      <c r="AQ1840" s="133"/>
      <c r="AR1840" s="133"/>
      <c r="AS1840" s="153">
        <v>0</v>
      </c>
      <c r="AT1840" s="153">
        <v>0</v>
      </c>
      <c r="AU1840" s="153">
        <v>0</v>
      </c>
      <c r="AV1840" s="135"/>
      <c r="AW1840" s="135"/>
      <c r="AX1840" s="135"/>
      <c r="AY1840" s="135"/>
      <c r="AZ1840" s="135"/>
      <c r="BA1840" s="135"/>
      <c r="BB1840" s="135"/>
      <c r="BC1840" s="135"/>
      <c r="BD1840" s="135"/>
      <c r="BE1840" s="135"/>
      <c r="BF1840" s="135"/>
      <c r="BG1840" s="135"/>
      <c r="BH1840" s="135"/>
      <c r="BI1840" s="2"/>
      <c r="BJ1840" s="136"/>
      <c r="BK1840" s="2"/>
      <c r="BL1840" s="136"/>
      <c r="BM1840" s="136"/>
      <c r="BN1840" s="2"/>
      <c r="BO1840" s="2"/>
      <c r="BP1840" s="136"/>
      <c r="BQ1840" s="137"/>
    </row>
    <row r="1841" spans="1:69" ht="12.75" customHeight="1" x14ac:dyDescent="0.2">
      <c r="A1841" s="2">
        <v>3330</v>
      </c>
      <c r="B1841" s="2"/>
      <c r="C1841" s="2"/>
      <c r="D1841" s="2"/>
      <c r="E1841" s="2"/>
      <c r="F1841" s="132">
        <v>0</v>
      </c>
      <c r="G1841" s="132"/>
      <c r="H1841" s="132">
        <f t="shared" si="213"/>
        <v>0</v>
      </c>
      <c r="I1841" s="132"/>
      <c r="J1841" s="132">
        <f t="shared" si="211"/>
        <v>0</v>
      </c>
      <c r="K1841" s="132">
        <f t="shared" si="207"/>
        <v>0</v>
      </c>
      <c r="L1841" s="132">
        <f t="shared" si="208"/>
        <v>0</v>
      </c>
      <c r="M1841" s="133"/>
      <c r="N1841" s="133">
        <f t="shared" si="212"/>
        <v>0</v>
      </c>
      <c r="O1841" s="134"/>
      <c r="P1841" s="133"/>
      <c r="Q1841" s="2"/>
      <c r="R1841" s="156">
        <f t="shared" si="209"/>
        <v>0</v>
      </c>
      <c r="S1841" s="156">
        <f t="shared" si="210"/>
        <v>0</v>
      </c>
      <c r="T1841" s="133"/>
      <c r="U1841" s="133"/>
      <c r="V1841" s="133"/>
      <c r="W1841" s="133"/>
      <c r="X1841" s="133"/>
      <c r="Y1841" s="133"/>
      <c r="Z1841" s="133"/>
      <c r="AA1841" s="133"/>
      <c r="AB1841" s="133"/>
      <c r="AC1841" s="133"/>
      <c r="AD1841" s="133"/>
      <c r="AE1841" s="133"/>
      <c r="AF1841" s="133"/>
      <c r="AG1841" s="133"/>
      <c r="AH1841" s="133"/>
      <c r="AI1841" s="133"/>
      <c r="AJ1841" s="133"/>
      <c r="AK1841" s="133"/>
      <c r="AL1841" s="133"/>
      <c r="AM1841" s="133"/>
      <c r="AN1841" s="133"/>
      <c r="AO1841" s="133"/>
      <c r="AP1841" s="133"/>
      <c r="AQ1841" s="133"/>
      <c r="AR1841" s="133"/>
      <c r="AS1841" s="153">
        <v>0</v>
      </c>
      <c r="AT1841" s="153">
        <v>0</v>
      </c>
      <c r="AU1841" s="153">
        <v>0</v>
      </c>
      <c r="AV1841" s="135"/>
      <c r="AW1841" s="135"/>
      <c r="AX1841" s="135"/>
      <c r="AY1841" s="135"/>
      <c r="AZ1841" s="135"/>
      <c r="BA1841" s="135"/>
      <c r="BB1841" s="135"/>
      <c r="BC1841" s="135"/>
      <c r="BD1841" s="135"/>
      <c r="BE1841" s="135"/>
      <c r="BF1841" s="135"/>
      <c r="BG1841" s="135"/>
      <c r="BH1841" s="135"/>
      <c r="BI1841" s="2"/>
      <c r="BJ1841" s="136"/>
      <c r="BK1841" s="2"/>
      <c r="BL1841" s="136"/>
      <c r="BM1841" s="136"/>
      <c r="BN1841" s="2"/>
      <c r="BO1841" s="2"/>
      <c r="BP1841" s="136"/>
      <c r="BQ1841" s="137"/>
    </row>
    <row r="1842" spans="1:69" ht="12.75" customHeight="1" x14ac:dyDescent="0.2">
      <c r="A1842" s="2">
        <v>3331</v>
      </c>
      <c r="B1842" s="2"/>
      <c r="C1842" s="2"/>
      <c r="D1842" s="2"/>
      <c r="E1842" s="2"/>
      <c r="F1842" s="132">
        <v>0</v>
      </c>
      <c r="G1842" s="132"/>
      <c r="H1842" s="132">
        <f t="shared" si="213"/>
        <v>0</v>
      </c>
      <c r="I1842" s="132"/>
      <c r="J1842" s="132">
        <f t="shared" si="211"/>
        <v>0</v>
      </c>
      <c r="K1842" s="132">
        <f t="shared" si="207"/>
        <v>0</v>
      </c>
      <c r="L1842" s="132">
        <f t="shared" si="208"/>
        <v>0</v>
      </c>
      <c r="M1842" s="133"/>
      <c r="N1842" s="133">
        <f t="shared" si="212"/>
        <v>0</v>
      </c>
      <c r="O1842" s="134"/>
      <c r="P1842" s="133"/>
      <c r="Q1842" s="2"/>
      <c r="R1842" s="156">
        <f t="shared" si="209"/>
        <v>0</v>
      </c>
      <c r="S1842" s="156">
        <f t="shared" si="210"/>
        <v>0</v>
      </c>
      <c r="T1842" s="133"/>
      <c r="U1842" s="133"/>
      <c r="V1842" s="133"/>
      <c r="W1842" s="133"/>
      <c r="X1842" s="133"/>
      <c r="Y1842" s="133"/>
      <c r="Z1842" s="133"/>
      <c r="AA1842" s="133"/>
      <c r="AB1842" s="133"/>
      <c r="AC1842" s="133"/>
      <c r="AD1842" s="133"/>
      <c r="AE1842" s="133"/>
      <c r="AF1842" s="133"/>
      <c r="AG1842" s="133"/>
      <c r="AH1842" s="133"/>
      <c r="AI1842" s="133"/>
      <c r="AJ1842" s="133"/>
      <c r="AK1842" s="133"/>
      <c r="AL1842" s="133"/>
      <c r="AM1842" s="133"/>
      <c r="AN1842" s="133"/>
      <c r="AO1842" s="133"/>
      <c r="AP1842" s="133"/>
      <c r="AQ1842" s="133"/>
      <c r="AR1842" s="133"/>
      <c r="AS1842" s="153">
        <v>0</v>
      </c>
      <c r="AT1842" s="153">
        <v>0</v>
      </c>
      <c r="AU1842" s="153">
        <v>0</v>
      </c>
      <c r="AV1842" s="135"/>
      <c r="AW1842" s="135"/>
      <c r="AX1842" s="135"/>
      <c r="AY1842" s="135"/>
      <c r="AZ1842" s="135"/>
      <c r="BA1842" s="135"/>
      <c r="BB1842" s="135"/>
      <c r="BC1842" s="135"/>
      <c r="BD1842" s="135"/>
      <c r="BE1842" s="135"/>
      <c r="BF1842" s="135"/>
      <c r="BG1842" s="135"/>
      <c r="BH1842" s="135"/>
      <c r="BI1842" s="2"/>
      <c r="BJ1842" s="136"/>
      <c r="BK1842" s="2"/>
      <c r="BL1842" s="136"/>
      <c r="BM1842" s="136"/>
      <c r="BN1842" s="2"/>
      <c r="BO1842" s="2"/>
      <c r="BP1842" s="136"/>
      <c r="BQ1842" s="137"/>
    </row>
    <row r="1843" spans="1:69" ht="12.75" customHeight="1" x14ac:dyDescent="0.2">
      <c r="A1843" s="2">
        <v>3332</v>
      </c>
      <c r="B1843" s="2"/>
      <c r="C1843" s="2"/>
      <c r="D1843" s="2"/>
      <c r="E1843" s="2"/>
      <c r="F1843" s="132">
        <v>0</v>
      </c>
      <c r="G1843" s="132"/>
      <c r="H1843" s="132">
        <f t="shared" si="213"/>
        <v>0</v>
      </c>
      <c r="I1843" s="132"/>
      <c r="J1843" s="132">
        <f t="shared" si="211"/>
        <v>0</v>
      </c>
      <c r="K1843" s="132">
        <f t="shared" si="207"/>
        <v>0</v>
      </c>
      <c r="L1843" s="132">
        <f t="shared" si="208"/>
        <v>0</v>
      </c>
      <c r="M1843" s="133"/>
      <c r="N1843" s="133">
        <f t="shared" si="212"/>
        <v>0</v>
      </c>
      <c r="O1843" s="134"/>
      <c r="P1843" s="133"/>
      <c r="Q1843" s="2"/>
      <c r="R1843" s="156">
        <f t="shared" si="209"/>
        <v>0</v>
      </c>
      <c r="S1843" s="156">
        <f t="shared" si="210"/>
        <v>0</v>
      </c>
      <c r="T1843" s="133"/>
      <c r="U1843" s="133"/>
      <c r="V1843" s="133"/>
      <c r="W1843" s="133"/>
      <c r="X1843" s="133"/>
      <c r="Y1843" s="133"/>
      <c r="Z1843" s="133"/>
      <c r="AA1843" s="133"/>
      <c r="AB1843" s="133"/>
      <c r="AC1843" s="133"/>
      <c r="AD1843" s="133"/>
      <c r="AE1843" s="133"/>
      <c r="AF1843" s="133"/>
      <c r="AG1843" s="133"/>
      <c r="AH1843" s="133"/>
      <c r="AI1843" s="133"/>
      <c r="AJ1843" s="133"/>
      <c r="AK1843" s="133"/>
      <c r="AL1843" s="133"/>
      <c r="AM1843" s="133"/>
      <c r="AN1843" s="133"/>
      <c r="AO1843" s="133"/>
      <c r="AP1843" s="133"/>
      <c r="AQ1843" s="133"/>
      <c r="AR1843" s="133"/>
      <c r="AS1843" s="153">
        <v>0</v>
      </c>
      <c r="AT1843" s="153">
        <v>0</v>
      </c>
      <c r="AU1843" s="153">
        <v>0</v>
      </c>
      <c r="AV1843" s="135"/>
      <c r="AW1843" s="135"/>
      <c r="AX1843" s="135"/>
      <c r="AY1843" s="135"/>
      <c r="AZ1843" s="135"/>
      <c r="BA1843" s="135"/>
      <c r="BB1843" s="135"/>
      <c r="BC1843" s="135"/>
      <c r="BD1843" s="135"/>
      <c r="BE1843" s="135"/>
      <c r="BF1843" s="135"/>
      <c r="BG1843" s="135"/>
      <c r="BH1843" s="135"/>
      <c r="BI1843" s="2"/>
      <c r="BJ1843" s="136"/>
      <c r="BK1843" s="2"/>
      <c r="BL1843" s="136"/>
      <c r="BM1843" s="136"/>
      <c r="BN1843" s="2"/>
      <c r="BO1843" s="2"/>
      <c r="BP1843" s="136"/>
      <c r="BQ1843" s="137"/>
    </row>
    <row r="1844" spans="1:69" ht="12.75" customHeight="1" x14ac:dyDescent="0.2">
      <c r="A1844" s="2">
        <v>3333</v>
      </c>
      <c r="B1844" s="2"/>
      <c r="C1844" s="2"/>
      <c r="D1844" s="2"/>
      <c r="E1844" s="2"/>
      <c r="F1844" s="132">
        <v>0</v>
      </c>
      <c r="G1844" s="132"/>
      <c r="H1844" s="132">
        <f t="shared" si="213"/>
        <v>0</v>
      </c>
      <c r="I1844" s="132"/>
      <c r="J1844" s="132">
        <f t="shared" si="211"/>
        <v>0</v>
      </c>
      <c r="K1844" s="132">
        <f t="shared" si="207"/>
        <v>0</v>
      </c>
      <c r="L1844" s="132">
        <f t="shared" si="208"/>
        <v>0</v>
      </c>
      <c r="M1844" s="133"/>
      <c r="N1844" s="133">
        <f t="shared" si="212"/>
        <v>0</v>
      </c>
      <c r="O1844" s="134"/>
      <c r="P1844" s="133"/>
      <c r="Q1844" s="2"/>
      <c r="R1844" s="156">
        <f t="shared" si="209"/>
        <v>0</v>
      </c>
      <c r="S1844" s="156">
        <f t="shared" si="210"/>
        <v>0</v>
      </c>
      <c r="T1844" s="133"/>
      <c r="U1844" s="133"/>
      <c r="V1844" s="133"/>
      <c r="W1844" s="133"/>
      <c r="X1844" s="133"/>
      <c r="Y1844" s="133"/>
      <c r="Z1844" s="133"/>
      <c r="AA1844" s="133"/>
      <c r="AB1844" s="133"/>
      <c r="AC1844" s="133"/>
      <c r="AD1844" s="133"/>
      <c r="AE1844" s="133"/>
      <c r="AF1844" s="133"/>
      <c r="AG1844" s="133"/>
      <c r="AH1844" s="133"/>
      <c r="AI1844" s="133"/>
      <c r="AJ1844" s="133"/>
      <c r="AK1844" s="133"/>
      <c r="AL1844" s="133"/>
      <c r="AM1844" s="133"/>
      <c r="AN1844" s="133"/>
      <c r="AO1844" s="133"/>
      <c r="AP1844" s="133"/>
      <c r="AQ1844" s="133"/>
      <c r="AR1844" s="133"/>
      <c r="AS1844" s="153">
        <v>0</v>
      </c>
      <c r="AT1844" s="153">
        <v>0</v>
      </c>
      <c r="AU1844" s="153">
        <v>0</v>
      </c>
      <c r="AV1844" s="135"/>
      <c r="AW1844" s="135"/>
      <c r="AX1844" s="135"/>
      <c r="AY1844" s="135"/>
      <c r="AZ1844" s="135"/>
      <c r="BA1844" s="135"/>
      <c r="BB1844" s="135"/>
      <c r="BC1844" s="135"/>
      <c r="BD1844" s="135"/>
      <c r="BE1844" s="135"/>
      <c r="BF1844" s="135"/>
      <c r="BG1844" s="135"/>
      <c r="BH1844" s="135"/>
      <c r="BI1844" s="2"/>
      <c r="BJ1844" s="136"/>
      <c r="BK1844" s="2"/>
      <c r="BL1844" s="136"/>
      <c r="BM1844" s="136"/>
      <c r="BN1844" s="2"/>
      <c r="BO1844" s="2"/>
      <c r="BP1844" s="136"/>
      <c r="BQ1844" s="137"/>
    </row>
    <row r="1845" spans="1:69" ht="12.75" customHeight="1" x14ac:dyDescent="0.2">
      <c r="A1845" s="2">
        <v>3334</v>
      </c>
      <c r="B1845" s="2"/>
      <c r="C1845" s="2"/>
      <c r="D1845" s="2"/>
      <c r="E1845" s="2"/>
      <c r="F1845" s="132">
        <v>0</v>
      </c>
      <c r="G1845" s="132"/>
      <c r="H1845" s="132">
        <f t="shared" si="213"/>
        <v>0</v>
      </c>
      <c r="I1845" s="132"/>
      <c r="J1845" s="132">
        <f t="shared" si="211"/>
        <v>0</v>
      </c>
      <c r="K1845" s="132">
        <f t="shared" si="207"/>
        <v>0</v>
      </c>
      <c r="L1845" s="132">
        <f t="shared" si="208"/>
        <v>0</v>
      </c>
      <c r="M1845" s="133"/>
      <c r="N1845" s="133">
        <f t="shared" si="212"/>
        <v>0</v>
      </c>
      <c r="O1845" s="134"/>
      <c r="P1845" s="133"/>
      <c r="Q1845" s="2"/>
      <c r="R1845" s="156">
        <f t="shared" si="209"/>
        <v>0</v>
      </c>
      <c r="S1845" s="156">
        <f t="shared" si="210"/>
        <v>0</v>
      </c>
      <c r="T1845" s="133"/>
      <c r="U1845" s="133"/>
      <c r="V1845" s="133"/>
      <c r="W1845" s="133"/>
      <c r="X1845" s="133"/>
      <c r="Y1845" s="133"/>
      <c r="Z1845" s="133"/>
      <c r="AA1845" s="133"/>
      <c r="AB1845" s="133"/>
      <c r="AC1845" s="133"/>
      <c r="AD1845" s="133"/>
      <c r="AE1845" s="133"/>
      <c r="AF1845" s="133"/>
      <c r="AG1845" s="133"/>
      <c r="AH1845" s="133"/>
      <c r="AI1845" s="133"/>
      <c r="AJ1845" s="133"/>
      <c r="AK1845" s="133"/>
      <c r="AL1845" s="133"/>
      <c r="AM1845" s="133"/>
      <c r="AN1845" s="133"/>
      <c r="AO1845" s="133"/>
      <c r="AP1845" s="133"/>
      <c r="AQ1845" s="133"/>
      <c r="AR1845" s="133"/>
      <c r="AS1845" s="153">
        <v>0</v>
      </c>
      <c r="AT1845" s="153">
        <v>0</v>
      </c>
      <c r="AU1845" s="153">
        <v>0</v>
      </c>
      <c r="AV1845" s="135"/>
      <c r="AW1845" s="135"/>
      <c r="AX1845" s="135"/>
      <c r="AY1845" s="135"/>
      <c r="AZ1845" s="135"/>
      <c r="BA1845" s="135"/>
      <c r="BB1845" s="135"/>
      <c r="BC1845" s="135"/>
      <c r="BD1845" s="135"/>
      <c r="BE1845" s="135"/>
      <c r="BF1845" s="135"/>
      <c r="BG1845" s="135"/>
      <c r="BH1845" s="135"/>
      <c r="BI1845" s="2"/>
      <c r="BJ1845" s="136"/>
      <c r="BK1845" s="2"/>
      <c r="BL1845" s="136"/>
      <c r="BM1845" s="136"/>
      <c r="BN1845" s="2"/>
      <c r="BO1845" s="2"/>
      <c r="BP1845" s="136"/>
      <c r="BQ1845" s="137"/>
    </row>
    <row r="1846" spans="1:69" ht="12.75" customHeight="1" x14ac:dyDescent="0.2">
      <c r="A1846" s="2">
        <v>3335</v>
      </c>
      <c r="B1846" s="2"/>
      <c r="C1846" s="2"/>
      <c r="D1846" s="2"/>
      <c r="E1846" s="2"/>
      <c r="F1846" s="132">
        <v>0</v>
      </c>
      <c r="G1846" s="132"/>
      <c r="H1846" s="132">
        <f t="shared" si="213"/>
        <v>0</v>
      </c>
      <c r="I1846" s="132"/>
      <c r="J1846" s="132">
        <f t="shared" si="211"/>
        <v>0</v>
      </c>
      <c r="K1846" s="132">
        <f t="shared" ref="K1846:K1909" si="214">F1846-J1846</f>
        <v>0</v>
      </c>
      <c r="L1846" s="132">
        <f t="shared" si="208"/>
        <v>0</v>
      </c>
      <c r="M1846" s="133"/>
      <c r="N1846" s="133">
        <f t="shared" si="212"/>
        <v>0</v>
      </c>
      <c r="O1846" s="134"/>
      <c r="P1846" s="133"/>
      <c r="Q1846" s="2"/>
      <c r="R1846" s="156">
        <f t="shared" si="209"/>
        <v>0</v>
      </c>
      <c r="S1846" s="156">
        <f t="shared" si="210"/>
        <v>0</v>
      </c>
      <c r="T1846" s="133"/>
      <c r="U1846" s="133"/>
      <c r="V1846" s="133"/>
      <c r="W1846" s="133"/>
      <c r="X1846" s="133"/>
      <c r="Y1846" s="133"/>
      <c r="Z1846" s="133"/>
      <c r="AA1846" s="133"/>
      <c r="AB1846" s="133"/>
      <c r="AC1846" s="133"/>
      <c r="AD1846" s="133"/>
      <c r="AE1846" s="133"/>
      <c r="AF1846" s="133"/>
      <c r="AG1846" s="133"/>
      <c r="AH1846" s="133"/>
      <c r="AI1846" s="133"/>
      <c r="AJ1846" s="133"/>
      <c r="AK1846" s="133"/>
      <c r="AL1846" s="133"/>
      <c r="AM1846" s="133"/>
      <c r="AN1846" s="133"/>
      <c r="AO1846" s="133"/>
      <c r="AP1846" s="133"/>
      <c r="AQ1846" s="133"/>
      <c r="AR1846" s="133"/>
      <c r="AS1846" s="153">
        <v>0</v>
      </c>
      <c r="AT1846" s="153">
        <v>0</v>
      </c>
      <c r="AU1846" s="153">
        <v>0</v>
      </c>
      <c r="AV1846" s="135"/>
      <c r="AW1846" s="135"/>
      <c r="AX1846" s="135"/>
      <c r="AY1846" s="135"/>
      <c r="AZ1846" s="135"/>
      <c r="BA1846" s="135"/>
      <c r="BB1846" s="135"/>
      <c r="BC1846" s="135"/>
      <c r="BD1846" s="135"/>
      <c r="BE1846" s="135"/>
      <c r="BF1846" s="135"/>
      <c r="BG1846" s="135"/>
      <c r="BH1846" s="135"/>
      <c r="BI1846" s="2"/>
      <c r="BJ1846" s="136"/>
      <c r="BK1846" s="2"/>
      <c r="BL1846" s="136"/>
      <c r="BM1846" s="136"/>
      <c r="BN1846" s="2"/>
      <c r="BO1846" s="2"/>
      <c r="BP1846" s="136"/>
      <c r="BQ1846" s="137"/>
    </row>
    <row r="1847" spans="1:69" ht="12.75" customHeight="1" x14ac:dyDescent="0.2">
      <c r="A1847" s="2">
        <v>3336</v>
      </c>
      <c r="B1847" s="2"/>
      <c r="C1847" s="2"/>
      <c r="D1847" s="2"/>
      <c r="E1847" s="2"/>
      <c r="F1847" s="132">
        <v>0</v>
      </c>
      <c r="G1847" s="132"/>
      <c r="H1847" s="132">
        <f t="shared" si="213"/>
        <v>0</v>
      </c>
      <c r="I1847" s="132"/>
      <c r="J1847" s="132">
        <f t="shared" si="211"/>
        <v>0</v>
      </c>
      <c r="K1847" s="132">
        <f t="shared" si="214"/>
        <v>0</v>
      </c>
      <c r="L1847" s="132">
        <f t="shared" si="208"/>
        <v>0</v>
      </c>
      <c r="M1847" s="133"/>
      <c r="N1847" s="133">
        <f t="shared" si="212"/>
        <v>0</v>
      </c>
      <c r="O1847" s="134"/>
      <c r="P1847" s="133"/>
      <c r="Q1847" s="2"/>
      <c r="R1847" s="156">
        <f t="shared" si="209"/>
        <v>0</v>
      </c>
      <c r="S1847" s="156">
        <f t="shared" si="210"/>
        <v>0</v>
      </c>
      <c r="T1847" s="133"/>
      <c r="U1847" s="133"/>
      <c r="V1847" s="133"/>
      <c r="W1847" s="133"/>
      <c r="X1847" s="133"/>
      <c r="Y1847" s="133"/>
      <c r="Z1847" s="133"/>
      <c r="AA1847" s="133"/>
      <c r="AB1847" s="133"/>
      <c r="AC1847" s="133"/>
      <c r="AD1847" s="133"/>
      <c r="AE1847" s="133"/>
      <c r="AF1847" s="133"/>
      <c r="AG1847" s="133"/>
      <c r="AH1847" s="133"/>
      <c r="AI1847" s="133"/>
      <c r="AJ1847" s="133"/>
      <c r="AK1847" s="133"/>
      <c r="AL1847" s="133"/>
      <c r="AM1847" s="133"/>
      <c r="AN1847" s="133"/>
      <c r="AO1847" s="133"/>
      <c r="AP1847" s="133"/>
      <c r="AQ1847" s="133"/>
      <c r="AR1847" s="133"/>
      <c r="AS1847" s="153">
        <v>0</v>
      </c>
      <c r="AT1847" s="153">
        <v>0</v>
      </c>
      <c r="AU1847" s="153">
        <v>0</v>
      </c>
      <c r="AV1847" s="135"/>
      <c r="AW1847" s="135"/>
      <c r="AX1847" s="135"/>
      <c r="AY1847" s="135"/>
      <c r="AZ1847" s="135"/>
      <c r="BA1847" s="135"/>
      <c r="BB1847" s="135"/>
      <c r="BC1847" s="135"/>
      <c r="BD1847" s="135"/>
      <c r="BE1847" s="135"/>
      <c r="BF1847" s="135"/>
      <c r="BG1847" s="135"/>
      <c r="BH1847" s="135"/>
      <c r="BI1847" s="2"/>
      <c r="BJ1847" s="136"/>
      <c r="BK1847" s="2"/>
      <c r="BL1847" s="136"/>
      <c r="BM1847" s="136"/>
      <c r="BN1847" s="2"/>
      <c r="BO1847" s="2"/>
      <c r="BP1847" s="136"/>
      <c r="BQ1847" s="137"/>
    </row>
    <row r="1848" spans="1:69" ht="12.75" customHeight="1" x14ac:dyDescent="0.2">
      <c r="A1848" s="2">
        <v>3337</v>
      </c>
      <c r="B1848" s="2"/>
      <c r="C1848" s="2"/>
      <c r="D1848" s="2"/>
      <c r="E1848" s="2"/>
      <c r="F1848" s="132">
        <v>0</v>
      </c>
      <c r="G1848" s="132"/>
      <c r="H1848" s="132">
        <f t="shared" si="213"/>
        <v>0</v>
      </c>
      <c r="I1848" s="132"/>
      <c r="J1848" s="132">
        <f t="shared" si="211"/>
        <v>0</v>
      </c>
      <c r="K1848" s="132">
        <f t="shared" si="214"/>
        <v>0</v>
      </c>
      <c r="L1848" s="132">
        <f t="shared" si="208"/>
        <v>0</v>
      </c>
      <c r="M1848" s="133"/>
      <c r="N1848" s="133">
        <f t="shared" si="212"/>
        <v>0</v>
      </c>
      <c r="O1848" s="134"/>
      <c r="P1848" s="133"/>
      <c r="Q1848" s="2"/>
      <c r="R1848" s="156">
        <f t="shared" si="209"/>
        <v>0</v>
      </c>
      <c r="S1848" s="156">
        <f t="shared" si="210"/>
        <v>0</v>
      </c>
      <c r="T1848" s="133"/>
      <c r="U1848" s="133"/>
      <c r="V1848" s="133"/>
      <c r="W1848" s="133"/>
      <c r="X1848" s="133"/>
      <c r="Y1848" s="133"/>
      <c r="Z1848" s="133"/>
      <c r="AA1848" s="133"/>
      <c r="AB1848" s="133"/>
      <c r="AC1848" s="133"/>
      <c r="AD1848" s="133"/>
      <c r="AE1848" s="133"/>
      <c r="AF1848" s="133"/>
      <c r="AG1848" s="133"/>
      <c r="AH1848" s="133"/>
      <c r="AI1848" s="133"/>
      <c r="AJ1848" s="133"/>
      <c r="AK1848" s="133"/>
      <c r="AL1848" s="133"/>
      <c r="AM1848" s="133"/>
      <c r="AN1848" s="133"/>
      <c r="AO1848" s="133"/>
      <c r="AP1848" s="133"/>
      <c r="AQ1848" s="133"/>
      <c r="AR1848" s="133"/>
      <c r="AS1848" s="153">
        <v>0</v>
      </c>
      <c r="AT1848" s="153">
        <v>0</v>
      </c>
      <c r="AU1848" s="153">
        <v>0</v>
      </c>
      <c r="AV1848" s="135"/>
      <c r="AW1848" s="135"/>
      <c r="AX1848" s="135"/>
      <c r="AY1848" s="135"/>
      <c r="AZ1848" s="135"/>
      <c r="BA1848" s="135"/>
      <c r="BB1848" s="135"/>
      <c r="BC1848" s="135"/>
      <c r="BD1848" s="135"/>
      <c r="BE1848" s="135"/>
      <c r="BF1848" s="135"/>
      <c r="BG1848" s="135"/>
      <c r="BH1848" s="135"/>
      <c r="BI1848" s="2"/>
      <c r="BJ1848" s="136"/>
      <c r="BK1848" s="2"/>
      <c r="BL1848" s="136"/>
      <c r="BM1848" s="136"/>
      <c r="BN1848" s="2"/>
      <c r="BO1848" s="2"/>
      <c r="BP1848" s="136"/>
      <c r="BQ1848" s="137"/>
    </row>
    <row r="1849" spans="1:69" ht="12.75" customHeight="1" x14ac:dyDescent="0.2">
      <c r="A1849" s="2">
        <v>3338</v>
      </c>
      <c r="B1849" s="2"/>
      <c r="C1849" s="2"/>
      <c r="D1849" s="2"/>
      <c r="E1849" s="2"/>
      <c r="F1849" s="132">
        <v>0</v>
      </c>
      <c r="G1849" s="132"/>
      <c r="H1849" s="132">
        <f t="shared" si="213"/>
        <v>0</v>
      </c>
      <c r="I1849" s="132"/>
      <c r="J1849" s="132">
        <f t="shared" si="211"/>
        <v>0</v>
      </c>
      <c r="K1849" s="132">
        <f t="shared" si="214"/>
        <v>0</v>
      </c>
      <c r="L1849" s="132">
        <f t="shared" si="208"/>
        <v>0</v>
      </c>
      <c r="M1849" s="133"/>
      <c r="N1849" s="133">
        <f t="shared" si="212"/>
        <v>0</v>
      </c>
      <c r="O1849" s="134"/>
      <c r="P1849" s="133"/>
      <c r="Q1849" s="2"/>
      <c r="R1849" s="156">
        <f t="shared" si="209"/>
        <v>0</v>
      </c>
      <c r="S1849" s="156">
        <f t="shared" si="210"/>
        <v>0</v>
      </c>
      <c r="T1849" s="133"/>
      <c r="U1849" s="133"/>
      <c r="V1849" s="133"/>
      <c r="W1849" s="133"/>
      <c r="X1849" s="133"/>
      <c r="Y1849" s="133"/>
      <c r="Z1849" s="133"/>
      <c r="AA1849" s="133"/>
      <c r="AB1849" s="133"/>
      <c r="AC1849" s="133"/>
      <c r="AD1849" s="133"/>
      <c r="AE1849" s="133"/>
      <c r="AF1849" s="133"/>
      <c r="AG1849" s="133"/>
      <c r="AH1849" s="133"/>
      <c r="AI1849" s="133"/>
      <c r="AJ1849" s="133"/>
      <c r="AK1849" s="133"/>
      <c r="AL1849" s="133"/>
      <c r="AM1849" s="133"/>
      <c r="AN1849" s="133"/>
      <c r="AO1849" s="133"/>
      <c r="AP1849" s="133"/>
      <c r="AQ1849" s="133"/>
      <c r="AR1849" s="133"/>
      <c r="AS1849" s="153">
        <v>0</v>
      </c>
      <c r="AT1849" s="153">
        <v>0</v>
      </c>
      <c r="AU1849" s="153">
        <v>0</v>
      </c>
      <c r="AV1849" s="135"/>
      <c r="AW1849" s="135"/>
      <c r="AX1849" s="135"/>
      <c r="AY1849" s="135"/>
      <c r="AZ1849" s="135"/>
      <c r="BA1849" s="135"/>
      <c r="BB1849" s="135"/>
      <c r="BC1849" s="135"/>
      <c r="BD1849" s="135"/>
      <c r="BE1849" s="135"/>
      <c r="BF1849" s="135"/>
      <c r="BG1849" s="135"/>
      <c r="BH1849" s="135"/>
      <c r="BI1849" s="2"/>
      <c r="BJ1849" s="136"/>
      <c r="BK1849" s="2"/>
      <c r="BL1849" s="136"/>
      <c r="BM1849" s="136"/>
      <c r="BN1849" s="2"/>
      <c r="BO1849" s="2"/>
      <c r="BP1849" s="136"/>
      <c r="BQ1849" s="137"/>
    </row>
    <row r="1850" spans="1:69" ht="12.75" customHeight="1" x14ac:dyDescent="0.2">
      <c r="A1850" s="2">
        <v>3339</v>
      </c>
      <c r="B1850" s="2"/>
      <c r="C1850" s="2"/>
      <c r="D1850" s="2"/>
      <c r="E1850" s="2"/>
      <c r="F1850" s="132">
        <v>0</v>
      </c>
      <c r="G1850" s="132"/>
      <c r="H1850" s="132">
        <f t="shared" si="213"/>
        <v>0</v>
      </c>
      <c r="I1850" s="132"/>
      <c r="J1850" s="132">
        <f t="shared" si="211"/>
        <v>0</v>
      </c>
      <c r="K1850" s="132">
        <f t="shared" si="214"/>
        <v>0</v>
      </c>
      <c r="L1850" s="132">
        <f t="shared" si="208"/>
        <v>0</v>
      </c>
      <c r="M1850" s="133"/>
      <c r="N1850" s="133">
        <f t="shared" si="212"/>
        <v>0</v>
      </c>
      <c r="O1850" s="134"/>
      <c r="P1850" s="133"/>
      <c r="Q1850" s="2"/>
      <c r="R1850" s="156">
        <f t="shared" si="209"/>
        <v>0</v>
      </c>
      <c r="S1850" s="156">
        <f t="shared" si="210"/>
        <v>0</v>
      </c>
      <c r="T1850" s="133"/>
      <c r="U1850" s="133"/>
      <c r="V1850" s="133"/>
      <c r="W1850" s="133"/>
      <c r="X1850" s="133"/>
      <c r="Y1850" s="133"/>
      <c r="Z1850" s="133"/>
      <c r="AA1850" s="133"/>
      <c r="AB1850" s="133"/>
      <c r="AC1850" s="133"/>
      <c r="AD1850" s="133"/>
      <c r="AE1850" s="133"/>
      <c r="AF1850" s="133"/>
      <c r="AG1850" s="133"/>
      <c r="AH1850" s="133"/>
      <c r="AI1850" s="133"/>
      <c r="AJ1850" s="133"/>
      <c r="AK1850" s="133"/>
      <c r="AL1850" s="133"/>
      <c r="AM1850" s="133"/>
      <c r="AN1850" s="133"/>
      <c r="AO1850" s="133"/>
      <c r="AP1850" s="133"/>
      <c r="AQ1850" s="133"/>
      <c r="AR1850" s="133"/>
      <c r="AS1850" s="153">
        <v>0</v>
      </c>
      <c r="AT1850" s="153">
        <v>0</v>
      </c>
      <c r="AU1850" s="153">
        <v>0</v>
      </c>
      <c r="AV1850" s="135"/>
      <c r="AW1850" s="135"/>
      <c r="AX1850" s="135"/>
      <c r="AY1850" s="135"/>
      <c r="AZ1850" s="135"/>
      <c r="BA1850" s="135"/>
      <c r="BB1850" s="135"/>
      <c r="BC1850" s="135"/>
      <c r="BD1850" s="135"/>
      <c r="BE1850" s="135"/>
      <c r="BF1850" s="135"/>
      <c r="BG1850" s="135"/>
      <c r="BH1850" s="135"/>
      <c r="BI1850" s="2"/>
      <c r="BJ1850" s="136"/>
      <c r="BK1850" s="2"/>
      <c r="BL1850" s="136"/>
      <c r="BM1850" s="136"/>
      <c r="BN1850" s="2"/>
      <c r="BO1850" s="2"/>
      <c r="BP1850" s="136"/>
      <c r="BQ1850" s="137"/>
    </row>
    <row r="1851" spans="1:69" ht="12.75" customHeight="1" x14ac:dyDescent="0.2">
      <c r="A1851" s="2">
        <v>3340</v>
      </c>
      <c r="B1851" s="2"/>
      <c r="C1851" s="2"/>
      <c r="D1851" s="2"/>
      <c r="E1851" s="2"/>
      <c r="F1851" s="132">
        <v>0</v>
      </c>
      <c r="G1851" s="132"/>
      <c r="H1851" s="132">
        <f t="shared" si="213"/>
        <v>0</v>
      </c>
      <c r="I1851" s="132"/>
      <c r="J1851" s="132">
        <f t="shared" si="211"/>
        <v>0</v>
      </c>
      <c r="K1851" s="132">
        <f t="shared" si="214"/>
        <v>0</v>
      </c>
      <c r="L1851" s="132">
        <f t="shared" si="208"/>
        <v>0</v>
      </c>
      <c r="M1851" s="133"/>
      <c r="N1851" s="133">
        <f t="shared" si="212"/>
        <v>0</v>
      </c>
      <c r="O1851" s="134"/>
      <c r="P1851" s="133"/>
      <c r="Q1851" s="2"/>
      <c r="R1851" s="156">
        <f t="shared" si="209"/>
        <v>0</v>
      </c>
      <c r="S1851" s="156">
        <f t="shared" si="210"/>
        <v>0</v>
      </c>
      <c r="T1851" s="133"/>
      <c r="U1851" s="133"/>
      <c r="V1851" s="133"/>
      <c r="W1851" s="133"/>
      <c r="X1851" s="133"/>
      <c r="Y1851" s="133"/>
      <c r="Z1851" s="133"/>
      <c r="AA1851" s="133"/>
      <c r="AB1851" s="133"/>
      <c r="AC1851" s="133"/>
      <c r="AD1851" s="133"/>
      <c r="AE1851" s="133"/>
      <c r="AF1851" s="133"/>
      <c r="AG1851" s="133"/>
      <c r="AH1851" s="133"/>
      <c r="AI1851" s="133"/>
      <c r="AJ1851" s="133"/>
      <c r="AK1851" s="133"/>
      <c r="AL1851" s="133"/>
      <c r="AM1851" s="133"/>
      <c r="AN1851" s="133"/>
      <c r="AO1851" s="133"/>
      <c r="AP1851" s="133"/>
      <c r="AQ1851" s="133"/>
      <c r="AR1851" s="133"/>
      <c r="AS1851" s="153">
        <v>0</v>
      </c>
      <c r="AT1851" s="153">
        <v>0</v>
      </c>
      <c r="AU1851" s="153">
        <v>0</v>
      </c>
      <c r="AV1851" s="135"/>
      <c r="AW1851" s="135"/>
      <c r="AX1851" s="135"/>
      <c r="AY1851" s="135"/>
      <c r="AZ1851" s="135"/>
      <c r="BA1851" s="135"/>
      <c r="BB1851" s="135"/>
      <c r="BC1851" s="135"/>
      <c r="BD1851" s="135"/>
      <c r="BE1851" s="135"/>
      <c r="BF1851" s="135"/>
      <c r="BG1851" s="135"/>
      <c r="BH1851" s="135"/>
      <c r="BI1851" s="2"/>
      <c r="BJ1851" s="136"/>
      <c r="BK1851" s="2"/>
      <c r="BL1851" s="136"/>
      <c r="BM1851" s="136"/>
      <c r="BN1851" s="2"/>
      <c r="BO1851" s="2"/>
      <c r="BP1851" s="136"/>
      <c r="BQ1851" s="137"/>
    </row>
    <row r="1852" spans="1:69" ht="12.75" customHeight="1" x14ac:dyDescent="0.2">
      <c r="A1852" s="2">
        <v>3341</v>
      </c>
      <c r="B1852" s="2"/>
      <c r="C1852" s="2"/>
      <c r="D1852" s="2"/>
      <c r="E1852" s="2"/>
      <c r="F1852" s="132">
        <v>0</v>
      </c>
      <c r="G1852" s="132"/>
      <c r="H1852" s="132">
        <f t="shared" si="213"/>
        <v>0</v>
      </c>
      <c r="I1852" s="132"/>
      <c r="J1852" s="132">
        <f t="shared" si="211"/>
        <v>0</v>
      </c>
      <c r="K1852" s="132">
        <f t="shared" si="214"/>
        <v>0</v>
      </c>
      <c r="L1852" s="132">
        <f t="shared" si="208"/>
        <v>0</v>
      </c>
      <c r="M1852" s="133"/>
      <c r="N1852" s="133">
        <f t="shared" si="212"/>
        <v>0</v>
      </c>
      <c r="O1852" s="134"/>
      <c r="P1852" s="133"/>
      <c r="Q1852" s="2"/>
      <c r="R1852" s="156">
        <f t="shared" si="209"/>
        <v>0</v>
      </c>
      <c r="S1852" s="156">
        <f t="shared" si="210"/>
        <v>0</v>
      </c>
      <c r="T1852" s="133"/>
      <c r="U1852" s="133"/>
      <c r="V1852" s="133"/>
      <c r="W1852" s="133"/>
      <c r="X1852" s="133"/>
      <c r="Y1852" s="133"/>
      <c r="Z1852" s="133"/>
      <c r="AA1852" s="133"/>
      <c r="AB1852" s="133"/>
      <c r="AC1852" s="133"/>
      <c r="AD1852" s="133"/>
      <c r="AE1852" s="133"/>
      <c r="AF1852" s="133"/>
      <c r="AG1852" s="133"/>
      <c r="AH1852" s="133"/>
      <c r="AI1852" s="133"/>
      <c r="AJ1852" s="133"/>
      <c r="AK1852" s="133"/>
      <c r="AL1852" s="133"/>
      <c r="AM1852" s="133"/>
      <c r="AN1852" s="133"/>
      <c r="AO1852" s="133"/>
      <c r="AP1852" s="133"/>
      <c r="AQ1852" s="133"/>
      <c r="AR1852" s="133"/>
      <c r="AS1852" s="153">
        <v>0</v>
      </c>
      <c r="AT1852" s="153">
        <v>0</v>
      </c>
      <c r="AU1852" s="153">
        <v>0</v>
      </c>
      <c r="AV1852" s="135"/>
      <c r="AW1852" s="135"/>
      <c r="AX1852" s="135"/>
      <c r="AY1852" s="135"/>
      <c r="AZ1852" s="135"/>
      <c r="BA1852" s="135"/>
      <c r="BB1852" s="135"/>
      <c r="BC1852" s="135"/>
      <c r="BD1852" s="135"/>
      <c r="BE1852" s="135"/>
      <c r="BF1852" s="135"/>
      <c r="BG1852" s="135"/>
      <c r="BH1852" s="135"/>
      <c r="BI1852" s="2"/>
      <c r="BJ1852" s="136"/>
      <c r="BK1852" s="2"/>
      <c r="BL1852" s="136"/>
      <c r="BM1852" s="136"/>
      <c r="BN1852" s="2"/>
      <c r="BO1852" s="2"/>
      <c r="BP1852" s="136"/>
      <c r="BQ1852" s="137"/>
    </row>
    <row r="1853" spans="1:69" ht="12.75" customHeight="1" x14ac:dyDescent="0.2">
      <c r="A1853" s="2">
        <v>3342</v>
      </c>
      <c r="B1853" s="2"/>
      <c r="C1853" s="2"/>
      <c r="D1853" s="2"/>
      <c r="E1853" s="2"/>
      <c r="F1853" s="132">
        <v>0</v>
      </c>
      <c r="G1853" s="132"/>
      <c r="H1853" s="132">
        <f t="shared" si="213"/>
        <v>0</v>
      </c>
      <c r="I1853" s="132"/>
      <c r="J1853" s="132">
        <f t="shared" si="211"/>
        <v>0</v>
      </c>
      <c r="K1853" s="132">
        <f t="shared" si="214"/>
        <v>0</v>
      </c>
      <c r="L1853" s="132">
        <f t="shared" si="208"/>
        <v>0</v>
      </c>
      <c r="M1853" s="133"/>
      <c r="N1853" s="133">
        <f t="shared" si="212"/>
        <v>0</v>
      </c>
      <c r="O1853" s="134"/>
      <c r="P1853" s="133"/>
      <c r="Q1853" s="2"/>
      <c r="R1853" s="156">
        <f t="shared" si="209"/>
        <v>0</v>
      </c>
      <c r="S1853" s="156">
        <f t="shared" si="210"/>
        <v>0</v>
      </c>
      <c r="T1853" s="133"/>
      <c r="U1853" s="133"/>
      <c r="V1853" s="133"/>
      <c r="W1853" s="133"/>
      <c r="X1853" s="133"/>
      <c r="Y1853" s="133"/>
      <c r="Z1853" s="133"/>
      <c r="AA1853" s="133"/>
      <c r="AB1853" s="133"/>
      <c r="AC1853" s="133"/>
      <c r="AD1853" s="133"/>
      <c r="AE1853" s="133"/>
      <c r="AF1853" s="133"/>
      <c r="AG1853" s="133"/>
      <c r="AH1853" s="133"/>
      <c r="AI1853" s="133"/>
      <c r="AJ1853" s="133"/>
      <c r="AK1853" s="133"/>
      <c r="AL1853" s="133"/>
      <c r="AM1853" s="133"/>
      <c r="AN1853" s="133"/>
      <c r="AO1853" s="133"/>
      <c r="AP1853" s="133"/>
      <c r="AQ1853" s="133"/>
      <c r="AR1853" s="133"/>
      <c r="AS1853" s="153">
        <v>0</v>
      </c>
      <c r="AT1853" s="153">
        <v>0</v>
      </c>
      <c r="AU1853" s="153">
        <v>0</v>
      </c>
      <c r="AV1853" s="135"/>
      <c r="AW1853" s="135"/>
      <c r="AX1853" s="135"/>
      <c r="AY1853" s="135"/>
      <c r="AZ1853" s="135"/>
      <c r="BA1853" s="135"/>
      <c r="BB1853" s="135"/>
      <c r="BC1853" s="135"/>
      <c r="BD1853" s="135"/>
      <c r="BE1853" s="135"/>
      <c r="BF1853" s="135"/>
      <c r="BG1853" s="135"/>
      <c r="BH1853" s="135"/>
      <c r="BI1853" s="2"/>
      <c r="BJ1853" s="136"/>
      <c r="BK1853" s="2"/>
      <c r="BL1853" s="136"/>
      <c r="BM1853" s="136"/>
      <c r="BN1853" s="2"/>
      <c r="BO1853" s="2"/>
      <c r="BP1853" s="136"/>
      <c r="BQ1853" s="137"/>
    </row>
    <row r="1854" spans="1:69" ht="12.75" customHeight="1" x14ac:dyDescent="0.2">
      <c r="A1854" s="2">
        <v>3343</v>
      </c>
      <c r="B1854" s="2"/>
      <c r="C1854" s="2"/>
      <c r="D1854" s="2"/>
      <c r="E1854" s="2"/>
      <c r="F1854" s="132">
        <v>0</v>
      </c>
      <c r="G1854" s="132"/>
      <c r="H1854" s="132">
        <f t="shared" si="213"/>
        <v>0</v>
      </c>
      <c r="I1854" s="132"/>
      <c r="J1854" s="132">
        <f t="shared" si="211"/>
        <v>0</v>
      </c>
      <c r="K1854" s="132">
        <f t="shared" si="214"/>
        <v>0</v>
      </c>
      <c r="L1854" s="132">
        <f t="shared" si="208"/>
        <v>0</v>
      </c>
      <c r="M1854" s="133"/>
      <c r="N1854" s="133">
        <f t="shared" si="212"/>
        <v>0</v>
      </c>
      <c r="O1854" s="134"/>
      <c r="P1854" s="133"/>
      <c r="Q1854" s="2"/>
      <c r="R1854" s="156">
        <f t="shared" si="209"/>
        <v>0</v>
      </c>
      <c r="S1854" s="156">
        <f t="shared" si="210"/>
        <v>0</v>
      </c>
      <c r="T1854" s="133"/>
      <c r="U1854" s="133"/>
      <c r="V1854" s="133"/>
      <c r="W1854" s="133"/>
      <c r="X1854" s="133"/>
      <c r="Y1854" s="133"/>
      <c r="Z1854" s="133"/>
      <c r="AA1854" s="133"/>
      <c r="AB1854" s="133"/>
      <c r="AC1854" s="133"/>
      <c r="AD1854" s="133"/>
      <c r="AE1854" s="133"/>
      <c r="AF1854" s="133"/>
      <c r="AG1854" s="133"/>
      <c r="AH1854" s="133"/>
      <c r="AI1854" s="133"/>
      <c r="AJ1854" s="133"/>
      <c r="AK1854" s="133"/>
      <c r="AL1854" s="133"/>
      <c r="AM1854" s="133"/>
      <c r="AN1854" s="133"/>
      <c r="AO1854" s="133"/>
      <c r="AP1854" s="133"/>
      <c r="AQ1854" s="133"/>
      <c r="AR1854" s="133"/>
      <c r="AS1854" s="153">
        <v>0</v>
      </c>
      <c r="AT1854" s="153">
        <v>0</v>
      </c>
      <c r="AU1854" s="153">
        <v>0</v>
      </c>
      <c r="AV1854" s="135"/>
      <c r="AW1854" s="135"/>
      <c r="AX1854" s="135"/>
      <c r="AY1854" s="135"/>
      <c r="AZ1854" s="135"/>
      <c r="BA1854" s="135"/>
      <c r="BB1854" s="135"/>
      <c r="BC1854" s="135"/>
      <c r="BD1854" s="135"/>
      <c r="BE1854" s="135"/>
      <c r="BF1854" s="135"/>
      <c r="BG1854" s="135"/>
      <c r="BH1854" s="135"/>
      <c r="BI1854" s="2"/>
      <c r="BJ1854" s="136"/>
      <c r="BK1854" s="2"/>
      <c r="BL1854" s="136"/>
      <c r="BM1854" s="136"/>
      <c r="BN1854" s="2"/>
      <c r="BO1854" s="2"/>
      <c r="BP1854" s="136"/>
      <c r="BQ1854" s="137"/>
    </row>
    <row r="1855" spans="1:69" ht="12.75" customHeight="1" x14ac:dyDescent="0.2">
      <c r="A1855" s="2">
        <v>3344</v>
      </c>
      <c r="B1855" s="2"/>
      <c r="C1855" s="2"/>
      <c r="D1855" s="2"/>
      <c r="E1855" s="2"/>
      <c r="F1855" s="132">
        <v>0</v>
      </c>
      <c r="G1855" s="132"/>
      <c r="H1855" s="132">
        <f t="shared" si="213"/>
        <v>0</v>
      </c>
      <c r="I1855" s="132"/>
      <c r="J1855" s="132">
        <f t="shared" si="211"/>
        <v>0</v>
      </c>
      <c r="K1855" s="132">
        <f t="shared" si="214"/>
        <v>0</v>
      </c>
      <c r="L1855" s="132">
        <f t="shared" si="208"/>
        <v>0</v>
      </c>
      <c r="M1855" s="133"/>
      <c r="N1855" s="133">
        <f t="shared" si="212"/>
        <v>0</v>
      </c>
      <c r="O1855" s="134"/>
      <c r="P1855" s="133"/>
      <c r="Q1855" s="2"/>
      <c r="R1855" s="156">
        <f t="shared" si="209"/>
        <v>0</v>
      </c>
      <c r="S1855" s="156">
        <f t="shared" si="210"/>
        <v>0</v>
      </c>
      <c r="T1855" s="133"/>
      <c r="U1855" s="133"/>
      <c r="V1855" s="133"/>
      <c r="W1855" s="133"/>
      <c r="X1855" s="133"/>
      <c r="Y1855" s="133"/>
      <c r="Z1855" s="133"/>
      <c r="AA1855" s="133"/>
      <c r="AB1855" s="133"/>
      <c r="AC1855" s="133"/>
      <c r="AD1855" s="133"/>
      <c r="AE1855" s="133"/>
      <c r="AF1855" s="133"/>
      <c r="AG1855" s="133"/>
      <c r="AH1855" s="133"/>
      <c r="AI1855" s="133"/>
      <c r="AJ1855" s="133"/>
      <c r="AK1855" s="133"/>
      <c r="AL1855" s="133"/>
      <c r="AM1855" s="133"/>
      <c r="AN1855" s="133"/>
      <c r="AO1855" s="133"/>
      <c r="AP1855" s="133"/>
      <c r="AQ1855" s="133"/>
      <c r="AR1855" s="133"/>
      <c r="AS1855" s="153">
        <v>0</v>
      </c>
      <c r="AT1855" s="153">
        <v>0</v>
      </c>
      <c r="AU1855" s="153">
        <v>0</v>
      </c>
      <c r="AV1855" s="135"/>
      <c r="AW1855" s="135"/>
      <c r="AX1855" s="135"/>
      <c r="AY1855" s="135"/>
      <c r="AZ1855" s="135"/>
      <c r="BA1855" s="135"/>
      <c r="BB1855" s="135"/>
      <c r="BC1855" s="135"/>
      <c r="BD1855" s="135"/>
      <c r="BE1855" s="135"/>
      <c r="BF1855" s="135"/>
      <c r="BG1855" s="135"/>
      <c r="BH1855" s="135"/>
      <c r="BI1855" s="2"/>
      <c r="BJ1855" s="136"/>
      <c r="BK1855" s="2"/>
      <c r="BL1855" s="136"/>
      <c r="BM1855" s="136"/>
      <c r="BN1855" s="2"/>
      <c r="BO1855" s="2"/>
      <c r="BP1855" s="136"/>
      <c r="BQ1855" s="137"/>
    </row>
    <row r="1856" spans="1:69" ht="12.75" customHeight="1" x14ac:dyDescent="0.2">
      <c r="A1856" s="2">
        <v>3345</v>
      </c>
      <c r="B1856" s="2"/>
      <c r="C1856" s="2"/>
      <c r="D1856" s="2"/>
      <c r="E1856" s="2"/>
      <c r="F1856" s="132">
        <v>0</v>
      </c>
      <c r="G1856" s="132"/>
      <c r="H1856" s="132">
        <f t="shared" si="213"/>
        <v>0</v>
      </c>
      <c r="I1856" s="132"/>
      <c r="J1856" s="132">
        <f t="shared" si="211"/>
        <v>0</v>
      </c>
      <c r="K1856" s="132">
        <f t="shared" si="214"/>
        <v>0</v>
      </c>
      <c r="L1856" s="132">
        <f t="shared" si="208"/>
        <v>0</v>
      </c>
      <c r="M1856" s="133"/>
      <c r="N1856" s="133">
        <f t="shared" si="212"/>
        <v>0</v>
      </c>
      <c r="O1856" s="134"/>
      <c r="P1856" s="133"/>
      <c r="Q1856" s="2"/>
      <c r="R1856" s="156">
        <f t="shared" si="209"/>
        <v>0</v>
      </c>
      <c r="S1856" s="156">
        <f t="shared" si="210"/>
        <v>0</v>
      </c>
      <c r="T1856" s="133"/>
      <c r="U1856" s="133"/>
      <c r="V1856" s="133"/>
      <c r="W1856" s="133"/>
      <c r="X1856" s="133"/>
      <c r="Y1856" s="133"/>
      <c r="Z1856" s="133"/>
      <c r="AA1856" s="133"/>
      <c r="AB1856" s="133"/>
      <c r="AC1856" s="133"/>
      <c r="AD1856" s="133"/>
      <c r="AE1856" s="133"/>
      <c r="AF1856" s="133"/>
      <c r="AG1856" s="133"/>
      <c r="AH1856" s="133"/>
      <c r="AI1856" s="133"/>
      <c r="AJ1856" s="133"/>
      <c r="AK1856" s="133"/>
      <c r="AL1856" s="133"/>
      <c r="AM1856" s="133"/>
      <c r="AN1856" s="133"/>
      <c r="AO1856" s="133"/>
      <c r="AP1856" s="133"/>
      <c r="AQ1856" s="133"/>
      <c r="AR1856" s="133"/>
      <c r="AS1856" s="153">
        <v>0</v>
      </c>
      <c r="AT1856" s="153">
        <v>0</v>
      </c>
      <c r="AU1856" s="153">
        <v>0</v>
      </c>
      <c r="AV1856" s="135"/>
      <c r="AW1856" s="135"/>
      <c r="AX1856" s="135"/>
      <c r="AY1856" s="135"/>
      <c r="AZ1856" s="135"/>
      <c r="BA1856" s="135"/>
      <c r="BB1856" s="135"/>
      <c r="BC1856" s="135"/>
      <c r="BD1856" s="135"/>
      <c r="BE1856" s="135"/>
      <c r="BF1856" s="135"/>
      <c r="BG1856" s="135"/>
      <c r="BH1856" s="135"/>
      <c r="BI1856" s="2"/>
      <c r="BJ1856" s="136"/>
      <c r="BK1856" s="2"/>
      <c r="BL1856" s="136"/>
      <c r="BM1856" s="136"/>
      <c r="BN1856" s="2"/>
      <c r="BO1856" s="2"/>
      <c r="BP1856" s="136"/>
      <c r="BQ1856" s="137"/>
    </row>
    <row r="1857" spans="1:69" ht="12.75" customHeight="1" x14ac:dyDescent="0.2">
      <c r="A1857" s="2">
        <v>3346</v>
      </c>
      <c r="B1857" s="2"/>
      <c r="C1857" s="2"/>
      <c r="D1857" s="2"/>
      <c r="E1857" s="2"/>
      <c r="F1857" s="132">
        <v>0</v>
      </c>
      <c r="G1857" s="132"/>
      <c r="H1857" s="132">
        <f t="shared" si="213"/>
        <v>0</v>
      </c>
      <c r="I1857" s="132"/>
      <c r="J1857" s="132">
        <f t="shared" si="211"/>
        <v>0</v>
      </c>
      <c r="K1857" s="132">
        <f t="shared" si="214"/>
        <v>0</v>
      </c>
      <c r="L1857" s="132">
        <f t="shared" si="208"/>
        <v>0</v>
      </c>
      <c r="M1857" s="133"/>
      <c r="N1857" s="133">
        <f t="shared" si="212"/>
        <v>0</v>
      </c>
      <c r="O1857" s="134"/>
      <c r="P1857" s="133"/>
      <c r="Q1857" s="2"/>
      <c r="R1857" s="156">
        <f t="shared" si="209"/>
        <v>0</v>
      </c>
      <c r="S1857" s="156">
        <f t="shared" si="210"/>
        <v>0</v>
      </c>
      <c r="T1857" s="133"/>
      <c r="U1857" s="133"/>
      <c r="V1857" s="133"/>
      <c r="W1857" s="133"/>
      <c r="X1857" s="133"/>
      <c r="Y1857" s="133"/>
      <c r="Z1857" s="133"/>
      <c r="AA1857" s="133"/>
      <c r="AB1857" s="133"/>
      <c r="AC1857" s="133"/>
      <c r="AD1857" s="133"/>
      <c r="AE1857" s="133"/>
      <c r="AF1857" s="133"/>
      <c r="AG1857" s="133"/>
      <c r="AH1857" s="133"/>
      <c r="AI1857" s="133"/>
      <c r="AJ1857" s="133"/>
      <c r="AK1857" s="133"/>
      <c r="AL1857" s="133"/>
      <c r="AM1857" s="133"/>
      <c r="AN1857" s="133"/>
      <c r="AO1857" s="133"/>
      <c r="AP1857" s="133"/>
      <c r="AQ1857" s="133"/>
      <c r="AR1857" s="133"/>
      <c r="AS1857" s="153">
        <v>0</v>
      </c>
      <c r="AT1857" s="153">
        <v>0</v>
      </c>
      <c r="AU1857" s="153">
        <v>0</v>
      </c>
      <c r="AV1857" s="135"/>
      <c r="AW1857" s="135"/>
      <c r="AX1857" s="135"/>
      <c r="AY1857" s="135"/>
      <c r="AZ1857" s="135"/>
      <c r="BA1857" s="135"/>
      <c r="BB1857" s="135"/>
      <c r="BC1857" s="135"/>
      <c r="BD1857" s="135"/>
      <c r="BE1857" s="135"/>
      <c r="BF1857" s="135"/>
      <c r="BG1857" s="135"/>
      <c r="BH1857" s="135"/>
      <c r="BI1857" s="2"/>
      <c r="BJ1857" s="136"/>
      <c r="BK1857" s="2"/>
      <c r="BL1857" s="136"/>
      <c r="BM1857" s="136"/>
      <c r="BN1857" s="2"/>
      <c r="BO1857" s="2"/>
      <c r="BP1857" s="136"/>
      <c r="BQ1857" s="137"/>
    </row>
    <row r="1858" spans="1:69" ht="12.75" customHeight="1" x14ac:dyDescent="0.2">
      <c r="A1858" s="2">
        <v>3347</v>
      </c>
      <c r="B1858" s="2"/>
      <c r="C1858" s="2"/>
      <c r="D1858" s="2"/>
      <c r="E1858" s="2"/>
      <c r="F1858" s="132">
        <v>0</v>
      </c>
      <c r="G1858" s="132"/>
      <c r="H1858" s="132">
        <f t="shared" si="213"/>
        <v>0</v>
      </c>
      <c r="I1858" s="132"/>
      <c r="J1858" s="132">
        <f t="shared" si="211"/>
        <v>0</v>
      </c>
      <c r="K1858" s="132">
        <f t="shared" si="214"/>
        <v>0</v>
      </c>
      <c r="L1858" s="132">
        <f t="shared" si="208"/>
        <v>0</v>
      </c>
      <c r="M1858" s="133"/>
      <c r="N1858" s="133">
        <f t="shared" si="212"/>
        <v>0</v>
      </c>
      <c r="O1858" s="134"/>
      <c r="P1858" s="133"/>
      <c r="Q1858" s="2"/>
      <c r="R1858" s="156">
        <f t="shared" si="209"/>
        <v>0</v>
      </c>
      <c r="S1858" s="156">
        <f t="shared" si="210"/>
        <v>0</v>
      </c>
      <c r="T1858" s="133"/>
      <c r="U1858" s="133"/>
      <c r="V1858" s="133"/>
      <c r="W1858" s="133"/>
      <c r="X1858" s="133"/>
      <c r="Y1858" s="133"/>
      <c r="Z1858" s="133"/>
      <c r="AA1858" s="133"/>
      <c r="AB1858" s="133"/>
      <c r="AC1858" s="133"/>
      <c r="AD1858" s="133"/>
      <c r="AE1858" s="133"/>
      <c r="AF1858" s="133"/>
      <c r="AG1858" s="133"/>
      <c r="AH1858" s="133"/>
      <c r="AI1858" s="133"/>
      <c r="AJ1858" s="133"/>
      <c r="AK1858" s="133"/>
      <c r="AL1858" s="133"/>
      <c r="AM1858" s="133"/>
      <c r="AN1858" s="133"/>
      <c r="AO1858" s="133"/>
      <c r="AP1858" s="133"/>
      <c r="AQ1858" s="133"/>
      <c r="AR1858" s="133"/>
      <c r="AS1858" s="153">
        <v>0</v>
      </c>
      <c r="AT1858" s="153">
        <v>0</v>
      </c>
      <c r="AU1858" s="153">
        <v>0</v>
      </c>
      <c r="AV1858" s="135"/>
      <c r="AW1858" s="135"/>
      <c r="AX1858" s="135"/>
      <c r="AY1858" s="135"/>
      <c r="AZ1858" s="135"/>
      <c r="BA1858" s="135"/>
      <c r="BB1858" s="135"/>
      <c r="BC1858" s="135"/>
      <c r="BD1858" s="135"/>
      <c r="BE1858" s="135"/>
      <c r="BF1858" s="135"/>
      <c r="BG1858" s="135"/>
      <c r="BH1858" s="135"/>
      <c r="BI1858" s="2"/>
      <c r="BJ1858" s="136"/>
      <c r="BK1858" s="2"/>
      <c r="BL1858" s="136"/>
      <c r="BM1858" s="136"/>
      <c r="BN1858" s="2"/>
      <c r="BO1858" s="2"/>
      <c r="BP1858" s="136"/>
      <c r="BQ1858" s="137"/>
    </row>
    <row r="1859" spans="1:69" ht="12.75" customHeight="1" x14ac:dyDescent="0.2">
      <c r="A1859" s="2">
        <v>3348</v>
      </c>
      <c r="B1859" s="2"/>
      <c r="C1859" s="2"/>
      <c r="D1859" s="2"/>
      <c r="E1859" s="2"/>
      <c r="F1859" s="132">
        <v>0</v>
      </c>
      <c r="G1859" s="132"/>
      <c r="H1859" s="132">
        <f t="shared" si="213"/>
        <v>0</v>
      </c>
      <c r="I1859" s="132"/>
      <c r="J1859" s="132">
        <f t="shared" si="211"/>
        <v>0</v>
      </c>
      <c r="K1859" s="132">
        <f t="shared" si="214"/>
        <v>0</v>
      </c>
      <c r="L1859" s="132">
        <f t="shared" si="208"/>
        <v>0</v>
      </c>
      <c r="M1859" s="133"/>
      <c r="N1859" s="133">
        <f t="shared" si="212"/>
        <v>0</v>
      </c>
      <c r="O1859" s="134"/>
      <c r="P1859" s="133"/>
      <c r="Q1859" s="2"/>
      <c r="R1859" s="156">
        <f t="shared" si="209"/>
        <v>0</v>
      </c>
      <c r="S1859" s="156">
        <f t="shared" si="210"/>
        <v>0</v>
      </c>
      <c r="T1859" s="133"/>
      <c r="U1859" s="133"/>
      <c r="V1859" s="133"/>
      <c r="W1859" s="133"/>
      <c r="X1859" s="133"/>
      <c r="Y1859" s="133"/>
      <c r="Z1859" s="133"/>
      <c r="AA1859" s="133"/>
      <c r="AB1859" s="133"/>
      <c r="AC1859" s="133"/>
      <c r="AD1859" s="133"/>
      <c r="AE1859" s="133"/>
      <c r="AF1859" s="133"/>
      <c r="AG1859" s="133"/>
      <c r="AH1859" s="133"/>
      <c r="AI1859" s="133"/>
      <c r="AJ1859" s="133"/>
      <c r="AK1859" s="133"/>
      <c r="AL1859" s="133"/>
      <c r="AM1859" s="133"/>
      <c r="AN1859" s="133"/>
      <c r="AO1859" s="133"/>
      <c r="AP1859" s="133"/>
      <c r="AQ1859" s="133"/>
      <c r="AR1859" s="133"/>
      <c r="AS1859" s="153">
        <v>0</v>
      </c>
      <c r="AT1859" s="153">
        <v>0</v>
      </c>
      <c r="AU1859" s="153">
        <v>0</v>
      </c>
      <c r="AV1859" s="135"/>
      <c r="AW1859" s="135"/>
      <c r="AX1859" s="135"/>
      <c r="AY1859" s="135"/>
      <c r="AZ1859" s="135"/>
      <c r="BA1859" s="135"/>
      <c r="BB1859" s="135"/>
      <c r="BC1859" s="135"/>
      <c r="BD1859" s="135"/>
      <c r="BE1859" s="135"/>
      <c r="BF1859" s="135"/>
      <c r="BG1859" s="135"/>
      <c r="BH1859" s="135"/>
      <c r="BI1859" s="2"/>
      <c r="BJ1859" s="136"/>
      <c r="BK1859" s="2"/>
      <c r="BL1859" s="136"/>
      <c r="BM1859" s="136"/>
      <c r="BN1859" s="2"/>
      <c r="BO1859" s="2"/>
      <c r="BP1859" s="136"/>
      <c r="BQ1859" s="137"/>
    </row>
    <row r="1860" spans="1:69" ht="12.75" customHeight="1" x14ac:dyDescent="0.2">
      <c r="A1860" s="2">
        <v>3349</v>
      </c>
      <c r="B1860" s="2"/>
      <c r="C1860" s="2"/>
      <c r="D1860" s="2"/>
      <c r="E1860" s="2"/>
      <c r="F1860" s="132">
        <v>0</v>
      </c>
      <c r="G1860" s="132"/>
      <c r="H1860" s="132">
        <f t="shared" si="213"/>
        <v>0</v>
      </c>
      <c r="I1860" s="132"/>
      <c r="J1860" s="132">
        <f t="shared" si="211"/>
        <v>0</v>
      </c>
      <c r="K1860" s="132">
        <f t="shared" si="214"/>
        <v>0</v>
      </c>
      <c r="L1860" s="132">
        <f t="shared" si="208"/>
        <v>0</v>
      </c>
      <c r="M1860" s="133"/>
      <c r="N1860" s="133">
        <f t="shared" si="212"/>
        <v>0</v>
      </c>
      <c r="O1860" s="134"/>
      <c r="P1860" s="133"/>
      <c r="Q1860" s="2"/>
      <c r="R1860" s="156">
        <f t="shared" si="209"/>
        <v>0</v>
      </c>
      <c r="S1860" s="156">
        <f t="shared" si="210"/>
        <v>0</v>
      </c>
      <c r="T1860" s="133"/>
      <c r="U1860" s="133"/>
      <c r="V1860" s="133"/>
      <c r="W1860" s="133"/>
      <c r="X1860" s="133"/>
      <c r="Y1860" s="133"/>
      <c r="Z1860" s="133"/>
      <c r="AA1860" s="133"/>
      <c r="AB1860" s="133"/>
      <c r="AC1860" s="133"/>
      <c r="AD1860" s="133"/>
      <c r="AE1860" s="133"/>
      <c r="AF1860" s="133"/>
      <c r="AG1860" s="133"/>
      <c r="AH1860" s="133"/>
      <c r="AI1860" s="133"/>
      <c r="AJ1860" s="133"/>
      <c r="AK1860" s="133"/>
      <c r="AL1860" s="133"/>
      <c r="AM1860" s="133"/>
      <c r="AN1860" s="133"/>
      <c r="AO1860" s="133"/>
      <c r="AP1860" s="133"/>
      <c r="AQ1860" s="133"/>
      <c r="AR1860" s="133"/>
      <c r="AS1860" s="153">
        <v>0</v>
      </c>
      <c r="AT1860" s="153">
        <v>0</v>
      </c>
      <c r="AU1860" s="153">
        <v>0</v>
      </c>
      <c r="AV1860" s="135"/>
      <c r="AW1860" s="135"/>
      <c r="AX1860" s="135"/>
      <c r="AY1860" s="135"/>
      <c r="AZ1860" s="135"/>
      <c r="BA1860" s="135"/>
      <c r="BB1860" s="135"/>
      <c r="BC1860" s="135"/>
      <c r="BD1860" s="135"/>
      <c r="BE1860" s="135"/>
      <c r="BF1860" s="135"/>
      <c r="BG1860" s="135"/>
      <c r="BH1860" s="135"/>
      <c r="BI1860" s="2"/>
      <c r="BJ1860" s="136"/>
      <c r="BK1860" s="2"/>
      <c r="BL1860" s="136"/>
      <c r="BM1860" s="136"/>
      <c r="BN1860" s="2"/>
      <c r="BO1860" s="2"/>
      <c r="BP1860" s="136"/>
      <c r="BQ1860" s="137"/>
    </row>
    <row r="1861" spans="1:69" ht="12.75" customHeight="1" x14ac:dyDescent="0.2">
      <c r="A1861" s="2">
        <v>3350</v>
      </c>
      <c r="B1861" s="2"/>
      <c r="C1861" s="2"/>
      <c r="D1861" s="2"/>
      <c r="E1861" s="2"/>
      <c r="F1861" s="132">
        <v>0</v>
      </c>
      <c r="G1861" s="132"/>
      <c r="H1861" s="132">
        <f t="shared" si="213"/>
        <v>0</v>
      </c>
      <c r="I1861" s="132"/>
      <c r="J1861" s="132">
        <f t="shared" si="211"/>
        <v>0</v>
      </c>
      <c r="K1861" s="132">
        <f t="shared" si="214"/>
        <v>0</v>
      </c>
      <c r="L1861" s="132">
        <f t="shared" si="208"/>
        <v>0</v>
      </c>
      <c r="M1861" s="133"/>
      <c r="N1861" s="133">
        <f t="shared" si="212"/>
        <v>0</v>
      </c>
      <c r="O1861" s="134"/>
      <c r="P1861" s="133"/>
      <c r="Q1861" s="2"/>
      <c r="R1861" s="156">
        <f t="shared" si="209"/>
        <v>0</v>
      </c>
      <c r="S1861" s="156">
        <f t="shared" si="210"/>
        <v>0</v>
      </c>
      <c r="T1861" s="133"/>
      <c r="U1861" s="133"/>
      <c r="V1861" s="133"/>
      <c r="W1861" s="133"/>
      <c r="X1861" s="133"/>
      <c r="Y1861" s="133"/>
      <c r="Z1861" s="133"/>
      <c r="AA1861" s="133"/>
      <c r="AB1861" s="133"/>
      <c r="AC1861" s="133"/>
      <c r="AD1861" s="133"/>
      <c r="AE1861" s="133"/>
      <c r="AF1861" s="133"/>
      <c r="AG1861" s="133"/>
      <c r="AH1861" s="133"/>
      <c r="AI1861" s="133"/>
      <c r="AJ1861" s="133"/>
      <c r="AK1861" s="133"/>
      <c r="AL1861" s="133"/>
      <c r="AM1861" s="133"/>
      <c r="AN1861" s="133"/>
      <c r="AO1861" s="133"/>
      <c r="AP1861" s="133"/>
      <c r="AQ1861" s="133"/>
      <c r="AR1861" s="133"/>
      <c r="AS1861" s="153">
        <v>0</v>
      </c>
      <c r="AT1861" s="153">
        <v>0</v>
      </c>
      <c r="AU1861" s="153">
        <v>0</v>
      </c>
      <c r="AV1861" s="135"/>
      <c r="AW1861" s="135"/>
      <c r="AX1861" s="135"/>
      <c r="AY1861" s="135"/>
      <c r="AZ1861" s="135"/>
      <c r="BA1861" s="135"/>
      <c r="BB1861" s="135"/>
      <c r="BC1861" s="135"/>
      <c r="BD1861" s="135"/>
      <c r="BE1861" s="135"/>
      <c r="BF1861" s="135"/>
      <c r="BG1861" s="135"/>
      <c r="BH1861" s="135"/>
      <c r="BI1861" s="2"/>
      <c r="BJ1861" s="136"/>
      <c r="BK1861" s="2"/>
      <c r="BL1861" s="136"/>
      <c r="BM1861" s="136"/>
      <c r="BN1861" s="2"/>
      <c r="BO1861" s="2"/>
      <c r="BP1861" s="136"/>
      <c r="BQ1861" s="137"/>
    </row>
    <row r="1862" spans="1:69" ht="12.75" customHeight="1" x14ac:dyDescent="0.2">
      <c r="A1862" s="2">
        <v>3351</v>
      </c>
      <c r="B1862" s="2"/>
      <c r="C1862" s="2"/>
      <c r="D1862" s="2"/>
      <c r="E1862" s="2"/>
      <c r="F1862" s="132">
        <v>0</v>
      </c>
      <c r="G1862" s="132"/>
      <c r="H1862" s="132">
        <f t="shared" si="213"/>
        <v>0</v>
      </c>
      <c r="I1862" s="132"/>
      <c r="J1862" s="132">
        <f t="shared" si="211"/>
        <v>0</v>
      </c>
      <c r="K1862" s="132">
        <f t="shared" si="214"/>
        <v>0</v>
      </c>
      <c r="L1862" s="132">
        <f t="shared" si="208"/>
        <v>0</v>
      </c>
      <c r="M1862" s="133"/>
      <c r="N1862" s="133">
        <f t="shared" si="212"/>
        <v>0</v>
      </c>
      <c r="O1862" s="134"/>
      <c r="P1862" s="133"/>
      <c r="Q1862" s="2"/>
      <c r="R1862" s="156">
        <f t="shared" si="209"/>
        <v>0</v>
      </c>
      <c r="S1862" s="156">
        <f t="shared" si="210"/>
        <v>0</v>
      </c>
      <c r="T1862" s="133"/>
      <c r="U1862" s="133"/>
      <c r="V1862" s="133"/>
      <c r="W1862" s="133"/>
      <c r="X1862" s="133"/>
      <c r="Y1862" s="133"/>
      <c r="Z1862" s="133"/>
      <c r="AA1862" s="133"/>
      <c r="AB1862" s="133"/>
      <c r="AC1862" s="133"/>
      <c r="AD1862" s="133"/>
      <c r="AE1862" s="133"/>
      <c r="AF1862" s="133"/>
      <c r="AG1862" s="133"/>
      <c r="AH1862" s="133"/>
      <c r="AI1862" s="133"/>
      <c r="AJ1862" s="133"/>
      <c r="AK1862" s="133"/>
      <c r="AL1862" s="133"/>
      <c r="AM1862" s="133"/>
      <c r="AN1862" s="133"/>
      <c r="AO1862" s="133"/>
      <c r="AP1862" s="133"/>
      <c r="AQ1862" s="133"/>
      <c r="AR1862" s="133"/>
      <c r="AS1862" s="153">
        <v>0</v>
      </c>
      <c r="AT1862" s="153">
        <v>0</v>
      </c>
      <c r="AU1862" s="153">
        <v>0</v>
      </c>
      <c r="AV1862" s="135"/>
      <c r="AW1862" s="135"/>
      <c r="AX1862" s="135"/>
      <c r="AY1862" s="135"/>
      <c r="AZ1862" s="135"/>
      <c r="BA1862" s="135"/>
      <c r="BB1862" s="135"/>
      <c r="BC1862" s="135"/>
      <c r="BD1862" s="135"/>
      <c r="BE1862" s="135"/>
      <c r="BF1862" s="135"/>
      <c r="BG1862" s="135"/>
      <c r="BH1862" s="135"/>
      <c r="BI1862" s="2"/>
      <c r="BJ1862" s="136"/>
      <c r="BK1862" s="2"/>
      <c r="BL1862" s="136"/>
      <c r="BM1862" s="136"/>
      <c r="BN1862" s="2"/>
      <c r="BO1862" s="2"/>
      <c r="BP1862" s="136"/>
      <c r="BQ1862" s="137"/>
    </row>
    <row r="1863" spans="1:69" ht="12.75" customHeight="1" x14ac:dyDescent="0.2">
      <c r="A1863" s="2">
        <v>3352</v>
      </c>
      <c r="B1863" s="2"/>
      <c r="C1863" s="2"/>
      <c r="D1863" s="2"/>
      <c r="E1863" s="2"/>
      <c r="F1863" s="132">
        <v>0</v>
      </c>
      <c r="G1863" s="132"/>
      <c r="H1863" s="132">
        <f t="shared" si="213"/>
        <v>0</v>
      </c>
      <c r="I1863" s="132"/>
      <c r="J1863" s="132">
        <f t="shared" si="211"/>
        <v>0</v>
      </c>
      <c r="K1863" s="132">
        <f t="shared" si="214"/>
        <v>0</v>
      </c>
      <c r="L1863" s="132">
        <f t="shared" si="208"/>
        <v>0</v>
      </c>
      <c r="M1863" s="133"/>
      <c r="N1863" s="133">
        <f t="shared" si="212"/>
        <v>0</v>
      </c>
      <c r="O1863" s="134"/>
      <c r="P1863" s="133"/>
      <c r="Q1863" s="2"/>
      <c r="R1863" s="156">
        <f t="shared" si="209"/>
        <v>0</v>
      </c>
      <c r="S1863" s="156">
        <f t="shared" si="210"/>
        <v>0</v>
      </c>
      <c r="T1863" s="133"/>
      <c r="U1863" s="133"/>
      <c r="V1863" s="133"/>
      <c r="W1863" s="133"/>
      <c r="X1863" s="133"/>
      <c r="Y1863" s="133"/>
      <c r="Z1863" s="133"/>
      <c r="AA1863" s="133"/>
      <c r="AB1863" s="133"/>
      <c r="AC1863" s="133"/>
      <c r="AD1863" s="133"/>
      <c r="AE1863" s="133"/>
      <c r="AF1863" s="133"/>
      <c r="AG1863" s="133"/>
      <c r="AH1863" s="133"/>
      <c r="AI1863" s="133"/>
      <c r="AJ1863" s="133"/>
      <c r="AK1863" s="133"/>
      <c r="AL1863" s="133"/>
      <c r="AM1863" s="133"/>
      <c r="AN1863" s="133"/>
      <c r="AO1863" s="133"/>
      <c r="AP1863" s="133"/>
      <c r="AQ1863" s="133"/>
      <c r="AR1863" s="133"/>
      <c r="AS1863" s="153">
        <v>0</v>
      </c>
      <c r="AT1863" s="153">
        <v>0</v>
      </c>
      <c r="AU1863" s="153">
        <v>0</v>
      </c>
      <c r="AV1863" s="135"/>
      <c r="AW1863" s="135"/>
      <c r="AX1863" s="135"/>
      <c r="AY1863" s="135"/>
      <c r="AZ1863" s="135"/>
      <c r="BA1863" s="135"/>
      <c r="BB1863" s="135"/>
      <c r="BC1863" s="135"/>
      <c r="BD1863" s="135"/>
      <c r="BE1863" s="135"/>
      <c r="BF1863" s="135"/>
      <c r="BG1863" s="135"/>
      <c r="BH1863" s="135"/>
      <c r="BI1863" s="2"/>
      <c r="BJ1863" s="136"/>
      <c r="BK1863" s="2"/>
      <c r="BL1863" s="136"/>
      <c r="BM1863" s="136"/>
      <c r="BN1863" s="2"/>
      <c r="BO1863" s="2"/>
      <c r="BP1863" s="136"/>
      <c r="BQ1863" s="137"/>
    </row>
    <row r="1864" spans="1:69" ht="12.75" customHeight="1" x14ac:dyDescent="0.2">
      <c r="A1864" s="2">
        <v>3353</v>
      </c>
      <c r="B1864" s="2"/>
      <c r="C1864" s="2"/>
      <c r="D1864" s="2"/>
      <c r="E1864" s="2"/>
      <c r="F1864" s="132">
        <v>0</v>
      </c>
      <c r="G1864" s="132"/>
      <c r="H1864" s="132">
        <f t="shared" si="213"/>
        <v>0</v>
      </c>
      <c r="I1864" s="132"/>
      <c r="J1864" s="132">
        <f t="shared" si="211"/>
        <v>0</v>
      </c>
      <c r="K1864" s="132">
        <f t="shared" si="214"/>
        <v>0</v>
      </c>
      <c r="L1864" s="132">
        <f t="shared" si="208"/>
        <v>0</v>
      </c>
      <c r="M1864" s="133"/>
      <c r="N1864" s="133">
        <f t="shared" si="212"/>
        <v>0</v>
      </c>
      <c r="O1864" s="134"/>
      <c r="P1864" s="133"/>
      <c r="Q1864" s="2"/>
      <c r="R1864" s="156">
        <f t="shared" si="209"/>
        <v>0</v>
      </c>
      <c r="S1864" s="156">
        <f t="shared" si="210"/>
        <v>0</v>
      </c>
      <c r="T1864" s="133"/>
      <c r="U1864" s="133"/>
      <c r="V1864" s="133"/>
      <c r="W1864" s="133"/>
      <c r="X1864" s="133"/>
      <c r="Y1864" s="133"/>
      <c r="Z1864" s="133"/>
      <c r="AA1864" s="133"/>
      <c r="AB1864" s="133"/>
      <c r="AC1864" s="133"/>
      <c r="AD1864" s="133"/>
      <c r="AE1864" s="133"/>
      <c r="AF1864" s="133"/>
      <c r="AG1864" s="133"/>
      <c r="AH1864" s="133"/>
      <c r="AI1864" s="133"/>
      <c r="AJ1864" s="133"/>
      <c r="AK1864" s="133"/>
      <c r="AL1864" s="133"/>
      <c r="AM1864" s="133"/>
      <c r="AN1864" s="133"/>
      <c r="AO1864" s="133"/>
      <c r="AP1864" s="133"/>
      <c r="AQ1864" s="133"/>
      <c r="AR1864" s="133"/>
      <c r="AS1864" s="153">
        <v>0</v>
      </c>
      <c r="AT1864" s="153">
        <v>0</v>
      </c>
      <c r="AU1864" s="153">
        <v>0</v>
      </c>
      <c r="AV1864" s="135"/>
      <c r="AW1864" s="135"/>
      <c r="AX1864" s="135"/>
      <c r="AY1864" s="135"/>
      <c r="AZ1864" s="135"/>
      <c r="BA1864" s="135"/>
      <c r="BB1864" s="135"/>
      <c r="BC1864" s="135"/>
      <c r="BD1864" s="135"/>
      <c r="BE1864" s="135"/>
      <c r="BF1864" s="135"/>
      <c r="BG1864" s="135"/>
      <c r="BH1864" s="135"/>
      <c r="BI1864" s="2"/>
      <c r="BJ1864" s="136"/>
      <c r="BK1864" s="2"/>
      <c r="BL1864" s="136"/>
      <c r="BM1864" s="136"/>
      <c r="BN1864" s="2"/>
      <c r="BO1864" s="2"/>
      <c r="BP1864" s="136"/>
      <c r="BQ1864" s="137"/>
    </row>
    <row r="1865" spans="1:69" ht="12.75" customHeight="1" x14ac:dyDescent="0.2">
      <c r="A1865" s="2">
        <v>3354</v>
      </c>
      <c r="B1865" s="2"/>
      <c r="C1865" s="2"/>
      <c r="D1865" s="2"/>
      <c r="E1865" s="2"/>
      <c r="F1865" s="132">
        <v>0</v>
      </c>
      <c r="G1865" s="132"/>
      <c r="H1865" s="132">
        <f t="shared" si="213"/>
        <v>0</v>
      </c>
      <c r="I1865" s="132"/>
      <c r="J1865" s="132">
        <f t="shared" si="211"/>
        <v>0</v>
      </c>
      <c r="K1865" s="132">
        <f t="shared" si="214"/>
        <v>0</v>
      </c>
      <c r="L1865" s="132">
        <f t="shared" si="208"/>
        <v>0</v>
      </c>
      <c r="M1865" s="133"/>
      <c r="N1865" s="133">
        <f t="shared" si="212"/>
        <v>0</v>
      </c>
      <c r="O1865" s="134"/>
      <c r="P1865" s="133"/>
      <c r="Q1865" s="2"/>
      <c r="R1865" s="156">
        <f t="shared" si="209"/>
        <v>0</v>
      </c>
      <c r="S1865" s="156">
        <f t="shared" si="210"/>
        <v>0</v>
      </c>
      <c r="T1865" s="133"/>
      <c r="U1865" s="133"/>
      <c r="V1865" s="133"/>
      <c r="W1865" s="133"/>
      <c r="X1865" s="133"/>
      <c r="Y1865" s="133"/>
      <c r="Z1865" s="133"/>
      <c r="AA1865" s="133"/>
      <c r="AB1865" s="133"/>
      <c r="AC1865" s="133"/>
      <c r="AD1865" s="133"/>
      <c r="AE1865" s="133"/>
      <c r="AF1865" s="133"/>
      <c r="AG1865" s="133"/>
      <c r="AH1865" s="133"/>
      <c r="AI1865" s="133"/>
      <c r="AJ1865" s="133"/>
      <c r="AK1865" s="133"/>
      <c r="AL1865" s="133"/>
      <c r="AM1865" s="133"/>
      <c r="AN1865" s="133"/>
      <c r="AO1865" s="133"/>
      <c r="AP1865" s="133"/>
      <c r="AQ1865" s="133"/>
      <c r="AR1865" s="133"/>
      <c r="AS1865" s="153">
        <v>0</v>
      </c>
      <c r="AT1865" s="153">
        <v>0</v>
      </c>
      <c r="AU1865" s="153">
        <v>0</v>
      </c>
      <c r="AV1865" s="135"/>
      <c r="AW1865" s="135"/>
      <c r="AX1865" s="135"/>
      <c r="AY1865" s="135"/>
      <c r="AZ1865" s="135"/>
      <c r="BA1865" s="135"/>
      <c r="BB1865" s="135"/>
      <c r="BC1865" s="135"/>
      <c r="BD1865" s="135"/>
      <c r="BE1865" s="135"/>
      <c r="BF1865" s="135"/>
      <c r="BG1865" s="135"/>
      <c r="BH1865" s="135"/>
      <c r="BI1865" s="2"/>
      <c r="BJ1865" s="136"/>
      <c r="BK1865" s="2"/>
      <c r="BL1865" s="136"/>
      <c r="BM1865" s="136"/>
      <c r="BN1865" s="2"/>
      <c r="BO1865" s="2"/>
      <c r="BP1865" s="136"/>
      <c r="BQ1865" s="137"/>
    </row>
    <row r="1866" spans="1:69" ht="12.75" customHeight="1" x14ac:dyDescent="0.2">
      <c r="A1866" s="2">
        <v>3355</v>
      </c>
      <c r="B1866" s="2"/>
      <c r="C1866" s="2"/>
      <c r="D1866" s="2"/>
      <c r="E1866" s="2"/>
      <c r="F1866" s="132">
        <v>0</v>
      </c>
      <c r="G1866" s="132"/>
      <c r="H1866" s="132">
        <f t="shared" si="213"/>
        <v>0</v>
      </c>
      <c r="I1866" s="132"/>
      <c r="J1866" s="132">
        <f t="shared" si="211"/>
        <v>0</v>
      </c>
      <c r="K1866" s="132">
        <f t="shared" si="214"/>
        <v>0</v>
      </c>
      <c r="L1866" s="132">
        <f t="shared" si="208"/>
        <v>0</v>
      </c>
      <c r="M1866" s="133"/>
      <c r="N1866" s="133">
        <f t="shared" si="212"/>
        <v>0</v>
      </c>
      <c r="O1866" s="134"/>
      <c r="P1866" s="133"/>
      <c r="Q1866" s="2"/>
      <c r="R1866" s="156">
        <f t="shared" si="209"/>
        <v>0</v>
      </c>
      <c r="S1866" s="156">
        <f t="shared" si="210"/>
        <v>0</v>
      </c>
      <c r="T1866" s="133"/>
      <c r="U1866" s="133"/>
      <c r="V1866" s="133"/>
      <c r="W1866" s="133"/>
      <c r="X1866" s="133"/>
      <c r="Y1866" s="133"/>
      <c r="Z1866" s="133"/>
      <c r="AA1866" s="133"/>
      <c r="AB1866" s="133"/>
      <c r="AC1866" s="133"/>
      <c r="AD1866" s="133"/>
      <c r="AE1866" s="133"/>
      <c r="AF1866" s="133"/>
      <c r="AG1866" s="133"/>
      <c r="AH1866" s="133"/>
      <c r="AI1866" s="133"/>
      <c r="AJ1866" s="133"/>
      <c r="AK1866" s="133"/>
      <c r="AL1866" s="133"/>
      <c r="AM1866" s="133"/>
      <c r="AN1866" s="133"/>
      <c r="AO1866" s="133"/>
      <c r="AP1866" s="133"/>
      <c r="AQ1866" s="133"/>
      <c r="AR1866" s="133"/>
      <c r="AS1866" s="153">
        <v>0</v>
      </c>
      <c r="AT1866" s="153">
        <v>0</v>
      </c>
      <c r="AU1866" s="153">
        <v>0</v>
      </c>
      <c r="AV1866" s="135"/>
      <c r="AW1866" s="135"/>
      <c r="AX1866" s="135"/>
      <c r="AY1866" s="135"/>
      <c r="AZ1866" s="135"/>
      <c r="BA1866" s="135"/>
      <c r="BB1866" s="135"/>
      <c r="BC1866" s="135"/>
      <c r="BD1866" s="135"/>
      <c r="BE1866" s="135"/>
      <c r="BF1866" s="135"/>
      <c r="BG1866" s="135"/>
      <c r="BH1866" s="135"/>
      <c r="BI1866" s="2"/>
      <c r="BJ1866" s="136"/>
      <c r="BK1866" s="2"/>
      <c r="BL1866" s="136"/>
      <c r="BM1866" s="136"/>
      <c r="BN1866" s="2"/>
      <c r="BO1866" s="2"/>
      <c r="BP1866" s="136"/>
      <c r="BQ1866" s="137"/>
    </row>
    <row r="1867" spans="1:69" ht="12.75" customHeight="1" x14ac:dyDescent="0.2">
      <c r="A1867" s="2">
        <v>3356</v>
      </c>
      <c r="B1867" s="2"/>
      <c r="C1867" s="2"/>
      <c r="D1867" s="2"/>
      <c r="E1867" s="2"/>
      <c r="F1867" s="132">
        <v>0</v>
      </c>
      <c r="G1867" s="132"/>
      <c r="H1867" s="132">
        <f t="shared" si="213"/>
        <v>0</v>
      </c>
      <c r="I1867" s="132"/>
      <c r="J1867" s="132">
        <f t="shared" si="211"/>
        <v>0</v>
      </c>
      <c r="K1867" s="132">
        <f t="shared" si="214"/>
        <v>0</v>
      </c>
      <c r="L1867" s="132">
        <f t="shared" ref="L1867:L1930" si="215">H1867-J1867</f>
        <v>0</v>
      </c>
      <c r="M1867" s="133"/>
      <c r="N1867" s="133">
        <f t="shared" si="212"/>
        <v>0</v>
      </c>
      <c r="O1867" s="134"/>
      <c r="P1867" s="133"/>
      <c r="Q1867" s="2"/>
      <c r="R1867" s="156">
        <f t="shared" ref="R1867:R1930" si="216">T1867+V1867+X1867+Z1867+AB1867+AD1867+AF1867+AH1867+AJ1867+AL1867+AN1867+AP1867</f>
        <v>0</v>
      </c>
      <c r="S1867" s="156">
        <f t="shared" ref="S1867:S1930" si="217">U1867+W1867+Y1867+AA1867+AC1867+AE1867+AG1867+AI1867+AK1867+AM1867+AO1867+AQ1867</f>
        <v>0</v>
      </c>
      <c r="T1867" s="133"/>
      <c r="U1867" s="133"/>
      <c r="V1867" s="133"/>
      <c r="W1867" s="133"/>
      <c r="X1867" s="133"/>
      <c r="Y1867" s="133"/>
      <c r="Z1867" s="133"/>
      <c r="AA1867" s="133"/>
      <c r="AB1867" s="133"/>
      <c r="AC1867" s="133"/>
      <c r="AD1867" s="133"/>
      <c r="AE1867" s="133"/>
      <c r="AF1867" s="133"/>
      <c r="AG1867" s="133"/>
      <c r="AH1867" s="133"/>
      <c r="AI1867" s="133"/>
      <c r="AJ1867" s="133"/>
      <c r="AK1867" s="133"/>
      <c r="AL1867" s="133"/>
      <c r="AM1867" s="133"/>
      <c r="AN1867" s="133"/>
      <c r="AO1867" s="133"/>
      <c r="AP1867" s="133"/>
      <c r="AQ1867" s="133"/>
      <c r="AR1867" s="133"/>
      <c r="AS1867" s="153">
        <v>0</v>
      </c>
      <c r="AT1867" s="153">
        <v>0</v>
      </c>
      <c r="AU1867" s="153">
        <v>0</v>
      </c>
      <c r="AV1867" s="135"/>
      <c r="AW1867" s="135"/>
      <c r="AX1867" s="135"/>
      <c r="AY1867" s="135"/>
      <c r="AZ1867" s="135"/>
      <c r="BA1867" s="135"/>
      <c r="BB1867" s="135"/>
      <c r="BC1867" s="135"/>
      <c r="BD1867" s="135"/>
      <c r="BE1867" s="135"/>
      <c r="BF1867" s="135"/>
      <c r="BG1867" s="135"/>
      <c r="BH1867" s="135"/>
      <c r="BI1867" s="2"/>
      <c r="BJ1867" s="136"/>
      <c r="BK1867" s="2"/>
      <c r="BL1867" s="136"/>
      <c r="BM1867" s="136"/>
      <c r="BN1867" s="2"/>
      <c r="BO1867" s="2"/>
      <c r="BP1867" s="136"/>
      <c r="BQ1867" s="137"/>
    </row>
    <row r="1868" spans="1:69" ht="12.75" customHeight="1" x14ac:dyDescent="0.2">
      <c r="A1868" s="2">
        <v>3357</v>
      </c>
      <c r="B1868" s="2"/>
      <c r="C1868" s="2"/>
      <c r="D1868" s="2"/>
      <c r="E1868" s="2"/>
      <c r="F1868" s="132">
        <v>0</v>
      </c>
      <c r="G1868" s="132"/>
      <c r="H1868" s="132">
        <f t="shared" si="213"/>
        <v>0</v>
      </c>
      <c r="I1868" s="132"/>
      <c r="J1868" s="132">
        <f t="shared" si="211"/>
        <v>0</v>
      </c>
      <c r="K1868" s="132">
        <f t="shared" si="214"/>
        <v>0</v>
      </c>
      <c r="L1868" s="132">
        <f t="shared" si="215"/>
        <v>0</v>
      </c>
      <c r="M1868" s="133"/>
      <c r="N1868" s="133">
        <f t="shared" si="212"/>
        <v>0</v>
      </c>
      <c r="O1868" s="134"/>
      <c r="P1868" s="133"/>
      <c r="Q1868" s="2"/>
      <c r="R1868" s="156">
        <f t="shared" si="216"/>
        <v>0</v>
      </c>
      <c r="S1868" s="156">
        <f t="shared" si="217"/>
        <v>0</v>
      </c>
      <c r="T1868" s="133"/>
      <c r="U1868" s="133"/>
      <c r="V1868" s="133"/>
      <c r="W1868" s="133"/>
      <c r="X1868" s="133"/>
      <c r="Y1868" s="133"/>
      <c r="Z1868" s="133"/>
      <c r="AA1868" s="133"/>
      <c r="AB1868" s="133"/>
      <c r="AC1868" s="133"/>
      <c r="AD1868" s="133"/>
      <c r="AE1868" s="133"/>
      <c r="AF1868" s="133"/>
      <c r="AG1868" s="133"/>
      <c r="AH1868" s="133"/>
      <c r="AI1868" s="133"/>
      <c r="AJ1868" s="133"/>
      <c r="AK1868" s="133"/>
      <c r="AL1868" s="133"/>
      <c r="AM1868" s="133"/>
      <c r="AN1868" s="133"/>
      <c r="AO1868" s="133"/>
      <c r="AP1868" s="133"/>
      <c r="AQ1868" s="133"/>
      <c r="AR1868" s="133"/>
      <c r="AS1868" s="153">
        <v>0</v>
      </c>
      <c r="AT1868" s="153">
        <v>0</v>
      </c>
      <c r="AU1868" s="153">
        <v>0</v>
      </c>
      <c r="AV1868" s="135"/>
      <c r="AW1868" s="135"/>
      <c r="AX1868" s="135"/>
      <c r="AY1868" s="135"/>
      <c r="AZ1868" s="135"/>
      <c r="BA1868" s="135"/>
      <c r="BB1868" s="135"/>
      <c r="BC1868" s="135"/>
      <c r="BD1868" s="135"/>
      <c r="BE1868" s="135"/>
      <c r="BF1868" s="135"/>
      <c r="BG1868" s="135"/>
      <c r="BH1868" s="135"/>
      <c r="BI1868" s="2"/>
      <c r="BJ1868" s="136"/>
      <c r="BK1868" s="2"/>
      <c r="BL1868" s="136"/>
      <c r="BM1868" s="136"/>
      <c r="BN1868" s="2"/>
      <c r="BO1868" s="2"/>
      <c r="BP1868" s="136"/>
      <c r="BQ1868" s="137"/>
    </row>
    <row r="1869" spans="1:69" ht="12.75" customHeight="1" x14ac:dyDescent="0.2">
      <c r="A1869" s="2">
        <v>3358</v>
      </c>
      <c r="B1869" s="2"/>
      <c r="C1869" s="2"/>
      <c r="D1869" s="2"/>
      <c r="E1869" s="2"/>
      <c r="F1869" s="132">
        <v>0</v>
      </c>
      <c r="G1869" s="132"/>
      <c r="H1869" s="132">
        <f t="shared" si="213"/>
        <v>0</v>
      </c>
      <c r="I1869" s="132"/>
      <c r="J1869" s="132">
        <f t="shared" si="211"/>
        <v>0</v>
      </c>
      <c r="K1869" s="132">
        <f t="shared" si="214"/>
        <v>0</v>
      </c>
      <c r="L1869" s="132">
        <f t="shared" si="215"/>
        <v>0</v>
      </c>
      <c r="M1869" s="133"/>
      <c r="N1869" s="133">
        <f t="shared" si="212"/>
        <v>0</v>
      </c>
      <c r="O1869" s="134"/>
      <c r="P1869" s="133"/>
      <c r="Q1869" s="2"/>
      <c r="R1869" s="156">
        <f t="shared" si="216"/>
        <v>0</v>
      </c>
      <c r="S1869" s="156">
        <f t="shared" si="217"/>
        <v>0</v>
      </c>
      <c r="T1869" s="133"/>
      <c r="U1869" s="133"/>
      <c r="V1869" s="133"/>
      <c r="W1869" s="133"/>
      <c r="X1869" s="133"/>
      <c r="Y1869" s="133"/>
      <c r="Z1869" s="133"/>
      <c r="AA1869" s="133"/>
      <c r="AB1869" s="133"/>
      <c r="AC1869" s="133"/>
      <c r="AD1869" s="133"/>
      <c r="AE1869" s="133"/>
      <c r="AF1869" s="133"/>
      <c r="AG1869" s="133"/>
      <c r="AH1869" s="133"/>
      <c r="AI1869" s="133"/>
      <c r="AJ1869" s="133"/>
      <c r="AK1869" s="133"/>
      <c r="AL1869" s="133"/>
      <c r="AM1869" s="133"/>
      <c r="AN1869" s="133"/>
      <c r="AO1869" s="133"/>
      <c r="AP1869" s="133"/>
      <c r="AQ1869" s="133"/>
      <c r="AR1869" s="133"/>
      <c r="AS1869" s="153">
        <v>0</v>
      </c>
      <c r="AT1869" s="153">
        <v>0</v>
      </c>
      <c r="AU1869" s="153">
        <v>0</v>
      </c>
      <c r="AV1869" s="135"/>
      <c r="AW1869" s="135"/>
      <c r="AX1869" s="135"/>
      <c r="AY1869" s="135"/>
      <c r="AZ1869" s="135"/>
      <c r="BA1869" s="135"/>
      <c r="BB1869" s="135"/>
      <c r="BC1869" s="135"/>
      <c r="BD1869" s="135"/>
      <c r="BE1869" s="135"/>
      <c r="BF1869" s="135"/>
      <c r="BG1869" s="135"/>
      <c r="BH1869" s="135"/>
      <c r="BI1869" s="2"/>
      <c r="BJ1869" s="136"/>
      <c r="BK1869" s="2"/>
      <c r="BL1869" s="136"/>
      <c r="BM1869" s="136"/>
      <c r="BN1869" s="2"/>
      <c r="BO1869" s="2"/>
      <c r="BP1869" s="136"/>
      <c r="BQ1869" s="137"/>
    </row>
    <row r="1870" spans="1:69" ht="12.75" customHeight="1" x14ac:dyDescent="0.2">
      <c r="A1870" s="2">
        <v>3359</v>
      </c>
      <c r="B1870" s="2"/>
      <c r="C1870" s="2"/>
      <c r="D1870" s="2"/>
      <c r="E1870" s="2"/>
      <c r="F1870" s="132">
        <v>0</v>
      </c>
      <c r="G1870" s="132"/>
      <c r="H1870" s="132">
        <f t="shared" si="213"/>
        <v>0</v>
      </c>
      <c r="I1870" s="132"/>
      <c r="J1870" s="132">
        <f t="shared" si="211"/>
        <v>0</v>
      </c>
      <c r="K1870" s="132">
        <f t="shared" si="214"/>
        <v>0</v>
      </c>
      <c r="L1870" s="132">
        <f t="shared" si="215"/>
        <v>0</v>
      </c>
      <c r="M1870" s="133"/>
      <c r="N1870" s="133">
        <f t="shared" si="212"/>
        <v>0</v>
      </c>
      <c r="O1870" s="134"/>
      <c r="P1870" s="133"/>
      <c r="Q1870" s="2"/>
      <c r="R1870" s="156">
        <f t="shared" si="216"/>
        <v>0</v>
      </c>
      <c r="S1870" s="156">
        <f t="shared" si="217"/>
        <v>0</v>
      </c>
      <c r="T1870" s="133"/>
      <c r="U1870" s="133"/>
      <c r="V1870" s="133"/>
      <c r="W1870" s="133"/>
      <c r="X1870" s="133"/>
      <c r="Y1870" s="133"/>
      <c r="Z1870" s="133"/>
      <c r="AA1870" s="133"/>
      <c r="AB1870" s="133"/>
      <c r="AC1870" s="133"/>
      <c r="AD1870" s="133"/>
      <c r="AE1870" s="133"/>
      <c r="AF1870" s="133"/>
      <c r="AG1870" s="133"/>
      <c r="AH1870" s="133"/>
      <c r="AI1870" s="133"/>
      <c r="AJ1870" s="133"/>
      <c r="AK1870" s="133"/>
      <c r="AL1870" s="133"/>
      <c r="AM1870" s="133"/>
      <c r="AN1870" s="133"/>
      <c r="AO1870" s="133"/>
      <c r="AP1870" s="133"/>
      <c r="AQ1870" s="133"/>
      <c r="AR1870" s="133"/>
      <c r="AS1870" s="153">
        <v>0</v>
      </c>
      <c r="AT1870" s="153">
        <v>0</v>
      </c>
      <c r="AU1870" s="153">
        <v>0</v>
      </c>
      <c r="AV1870" s="135"/>
      <c r="AW1870" s="135"/>
      <c r="AX1870" s="135"/>
      <c r="AY1870" s="135"/>
      <c r="AZ1870" s="135"/>
      <c r="BA1870" s="135"/>
      <c r="BB1870" s="135"/>
      <c r="BC1870" s="135"/>
      <c r="BD1870" s="135"/>
      <c r="BE1870" s="135"/>
      <c r="BF1870" s="135"/>
      <c r="BG1870" s="135"/>
      <c r="BH1870" s="135"/>
      <c r="BI1870" s="2"/>
      <c r="BJ1870" s="136"/>
      <c r="BK1870" s="2"/>
      <c r="BL1870" s="136"/>
      <c r="BM1870" s="136"/>
      <c r="BN1870" s="2"/>
      <c r="BO1870" s="2"/>
      <c r="BP1870" s="136"/>
      <c r="BQ1870" s="137"/>
    </row>
    <row r="1871" spans="1:69" ht="12.75" customHeight="1" x14ac:dyDescent="0.2">
      <c r="A1871" s="2">
        <v>3360</v>
      </c>
      <c r="B1871" s="2"/>
      <c r="C1871" s="2"/>
      <c r="D1871" s="2"/>
      <c r="E1871" s="2"/>
      <c r="F1871" s="132">
        <v>0</v>
      </c>
      <c r="G1871" s="132"/>
      <c r="H1871" s="132">
        <f t="shared" si="213"/>
        <v>0</v>
      </c>
      <c r="I1871" s="132"/>
      <c r="J1871" s="132">
        <f t="shared" si="211"/>
        <v>0</v>
      </c>
      <c r="K1871" s="132">
        <f t="shared" si="214"/>
        <v>0</v>
      </c>
      <c r="L1871" s="132">
        <f t="shared" si="215"/>
        <v>0</v>
      </c>
      <c r="M1871" s="133"/>
      <c r="N1871" s="133">
        <f t="shared" si="212"/>
        <v>0</v>
      </c>
      <c r="O1871" s="134"/>
      <c r="P1871" s="133"/>
      <c r="Q1871" s="2"/>
      <c r="R1871" s="156">
        <f t="shared" si="216"/>
        <v>0</v>
      </c>
      <c r="S1871" s="156">
        <f t="shared" si="217"/>
        <v>0</v>
      </c>
      <c r="T1871" s="133"/>
      <c r="U1871" s="133"/>
      <c r="V1871" s="133"/>
      <c r="W1871" s="133"/>
      <c r="X1871" s="133"/>
      <c r="Y1871" s="133"/>
      <c r="Z1871" s="133"/>
      <c r="AA1871" s="133"/>
      <c r="AB1871" s="133"/>
      <c r="AC1871" s="133"/>
      <c r="AD1871" s="133"/>
      <c r="AE1871" s="133"/>
      <c r="AF1871" s="133"/>
      <c r="AG1871" s="133"/>
      <c r="AH1871" s="133"/>
      <c r="AI1871" s="133"/>
      <c r="AJ1871" s="133"/>
      <c r="AK1871" s="133"/>
      <c r="AL1871" s="133"/>
      <c r="AM1871" s="133"/>
      <c r="AN1871" s="133"/>
      <c r="AO1871" s="133"/>
      <c r="AP1871" s="133"/>
      <c r="AQ1871" s="133"/>
      <c r="AR1871" s="133"/>
      <c r="AS1871" s="153">
        <v>0</v>
      </c>
      <c r="AT1871" s="153">
        <v>0</v>
      </c>
      <c r="AU1871" s="153">
        <v>0</v>
      </c>
      <c r="AV1871" s="135"/>
      <c r="AW1871" s="135"/>
      <c r="AX1871" s="135"/>
      <c r="AY1871" s="135"/>
      <c r="AZ1871" s="135"/>
      <c r="BA1871" s="135"/>
      <c r="BB1871" s="135"/>
      <c r="BC1871" s="135"/>
      <c r="BD1871" s="135"/>
      <c r="BE1871" s="135"/>
      <c r="BF1871" s="135"/>
      <c r="BG1871" s="135"/>
      <c r="BH1871" s="135"/>
      <c r="BI1871" s="2"/>
      <c r="BJ1871" s="136"/>
      <c r="BK1871" s="2"/>
      <c r="BL1871" s="136"/>
      <c r="BM1871" s="136"/>
      <c r="BN1871" s="2"/>
      <c r="BO1871" s="2"/>
      <c r="BP1871" s="136"/>
      <c r="BQ1871" s="137"/>
    </row>
    <row r="1872" spans="1:69" ht="12.75" customHeight="1" x14ac:dyDescent="0.2">
      <c r="A1872" s="2">
        <v>3361</v>
      </c>
      <c r="B1872" s="2"/>
      <c r="C1872" s="2"/>
      <c r="D1872" s="2"/>
      <c r="E1872" s="2"/>
      <c r="F1872" s="132">
        <v>0</v>
      </c>
      <c r="G1872" s="132"/>
      <c r="H1872" s="132">
        <f t="shared" si="213"/>
        <v>0</v>
      </c>
      <c r="I1872" s="132"/>
      <c r="J1872" s="132">
        <f t="shared" si="211"/>
        <v>0</v>
      </c>
      <c r="K1872" s="132">
        <f t="shared" si="214"/>
        <v>0</v>
      </c>
      <c r="L1872" s="132">
        <f t="shared" si="215"/>
        <v>0</v>
      </c>
      <c r="M1872" s="133"/>
      <c r="N1872" s="133">
        <f t="shared" si="212"/>
        <v>0</v>
      </c>
      <c r="O1872" s="134"/>
      <c r="P1872" s="133"/>
      <c r="Q1872" s="2"/>
      <c r="R1872" s="156">
        <f t="shared" si="216"/>
        <v>0</v>
      </c>
      <c r="S1872" s="156">
        <f t="shared" si="217"/>
        <v>0</v>
      </c>
      <c r="T1872" s="133"/>
      <c r="U1872" s="133"/>
      <c r="V1872" s="133"/>
      <c r="W1872" s="133"/>
      <c r="X1872" s="133"/>
      <c r="Y1872" s="133"/>
      <c r="Z1872" s="133"/>
      <c r="AA1872" s="133"/>
      <c r="AB1872" s="133"/>
      <c r="AC1872" s="133"/>
      <c r="AD1872" s="133"/>
      <c r="AE1872" s="133"/>
      <c r="AF1872" s="133"/>
      <c r="AG1872" s="133"/>
      <c r="AH1872" s="133"/>
      <c r="AI1872" s="133"/>
      <c r="AJ1872" s="133"/>
      <c r="AK1872" s="133"/>
      <c r="AL1872" s="133"/>
      <c r="AM1872" s="133"/>
      <c r="AN1872" s="133"/>
      <c r="AO1872" s="133"/>
      <c r="AP1872" s="133"/>
      <c r="AQ1872" s="133"/>
      <c r="AR1872" s="133"/>
      <c r="AS1872" s="153">
        <v>0</v>
      </c>
      <c r="AT1872" s="153">
        <v>0</v>
      </c>
      <c r="AU1872" s="153">
        <v>0</v>
      </c>
      <c r="AV1872" s="135"/>
      <c r="AW1872" s="135"/>
      <c r="AX1872" s="135"/>
      <c r="AY1872" s="135"/>
      <c r="AZ1872" s="135"/>
      <c r="BA1872" s="135"/>
      <c r="BB1872" s="135"/>
      <c r="BC1872" s="135"/>
      <c r="BD1872" s="135"/>
      <c r="BE1872" s="135"/>
      <c r="BF1872" s="135"/>
      <c r="BG1872" s="135"/>
      <c r="BH1872" s="135"/>
      <c r="BI1872" s="2"/>
      <c r="BJ1872" s="136"/>
      <c r="BK1872" s="2"/>
      <c r="BL1872" s="136"/>
      <c r="BM1872" s="136"/>
      <c r="BN1872" s="2"/>
      <c r="BO1872" s="2"/>
      <c r="BP1872" s="136"/>
      <c r="BQ1872" s="137"/>
    </row>
    <row r="1873" spans="1:69" ht="12.75" customHeight="1" x14ac:dyDescent="0.2">
      <c r="A1873" s="2">
        <v>3362</v>
      </c>
      <c r="B1873" s="2"/>
      <c r="C1873" s="2"/>
      <c r="D1873" s="2"/>
      <c r="E1873" s="2"/>
      <c r="F1873" s="132">
        <v>0</v>
      </c>
      <c r="G1873" s="132"/>
      <c r="H1873" s="132">
        <f t="shared" si="213"/>
        <v>0</v>
      </c>
      <c r="I1873" s="132"/>
      <c r="J1873" s="132">
        <f t="shared" si="211"/>
        <v>0</v>
      </c>
      <c r="K1873" s="132">
        <f t="shared" si="214"/>
        <v>0</v>
      </c>
      <c r="L1873" s="132">
        <f t="shared" si="215"/>
        <v>0</v>
      </c>
      <c r="M1873" s="133"/>
      <c r="N1873" s="133">
        <f t="shared" si="212"/>
        <v>0</v>
      </c>
      <c r="O1873" s="134"/>
      <c r="P1873" s="133"/>
      <c r="Q1873" s="2"/>
      <c r="R1873" s="156">
        <f t="shared" si="216"/>
        <v>0</v>
      </c>
      <c r="S1873" s="156">
        <f t="shared" si="217"/>
        <v>0</v>
      </c>
      <c r="T1873" s="133"/>
      <c r="U1873" s="133"/>
      <c r="V1873" s="133"/>
      <c r="W1873" s="133"/>
      <c r="X1873" s="133"/>
      <c r="Y1873" s="133"/>
      <c r="Z1873" s="133"/>
      <c r="AA1873" s="133"/>
      <c r="AB1873" s="133"/>
      <c r="AC1873" s="133"/>
      <c r="AD1873" s="133"/>
      <c r="AE1873" s="133"/>
      <c r="AF1873" s="133"/>
      <c r="AG1873" s="133"/>
      <c r="AH1873" s="133"/>
      <c r="AI1873" s="133"/>
      <c r="AJ1873" s="133"/>
      <c r="AK1873" s="133"/>
      <c r="AL1873" s="133"/>
      <c r="AM1873" s="133"/>
      <c r="AN1873" s="133"/>
      <c r="AO1873" s="133"/>
      <c r="AP1873" s="133"/>
      <c r="AQ1873" s="133"/>
      <c r="AR1873" s="133"/>
      <c r="AS1873" s="153">
        <v>0</v>
      </c>
      <c r="AT1873" s="153">
        <v>0</v>
      </c>
      <c r="AU1873" s="153">
        <v>0</v>
      </c>
      <c r="AV1873" s="135"/>
      <c r="AW1873" s="135"/>
      <c r="AX1873" s="135"/>
      <c r="AY1873" s="135"/>
      <c r="AZ1873" s="135"/>
      <c r="BA1873" s="135"/>
      <c r="BB1873" s="135"/>
      <c r="BC1873" s="135"/>
      <c r="BD1873" s="135"/>
      <c r="BE1873" s="135"/>
      <c r="BF1873" s="135"/>
      <c r="BG1873" s="135"/>
      <c r="BH1873" s="135"/>
      <c r="BI1873" s="2"/>
      <c r="BJ1873" s="136"/>
      <c r="BK1873" s="2"/>
      <c r="BL1873" s="136"/>
      <c r="BM1873" s="136"/>
      <c r="BN1873" s="2"/>
      <c r="BO1873" s="2"/>
      <c r="BP1873" s="136"/>
      <c r="BQ1873" s="137"/>
    </row>
    <row r="1874" spans="1:69" ht="12.75" customHeight="1" x14ac:dyDescent="0.2">
      <c r="A1874" s="2">
        <v>3363</v>
      </c>
      <c r="B1874" s="2"/>
      <c r="C1874" s="2"/>
      <c r="D1874" s="2"/>
      <c r="E1874" s="2"/>
      <c r="F1874" s="132">
        <v>0</v>
      </c>
      <c r="G1874" s="132"/>
      <c r="H1874" s="132">
        <f t="shared" si="213"/>
        <v>0</v>
      </c>
      <c r="I1874" s="132"/>
      <c r="J1874" s="132">
        <f t="shared" si="211"/>
        <v>0</v>
      </c>
      <c r="K1874" s="132">
        <f t="shared" si="214"/>
        <v>0</v>
      </c>
      <c r="L1874" s="132">
        <f t="shared" si="215"/>
        <v>0</v>
      </c>
      <c r="M1874" s="133"/>
      <c r="N1874" s="133">
        <f t="shared" si="212"/>
        <v>0</v>
      </c>
      <c r="O1874" s="134"/>
      <c r="P1874" s="133"/>
      <c r="Q1874" s="2"/>
      <c r="R1874" s="156">
        <f t="shared" si="216"/>
        <v>0</v>
      </c>
      <c r="S1874" s="156">
        <f t="shared" si="217"/>
        <v>0</v>
      </c>
      <c r="T1874" s="133"/>
      <c r="U1874" s="133"/>
      <c r="V1874" s="133"/>
      <c r="W1874" s="133"/>
      <c r="X1874" s="133"/>
      <c r="Y1874" s="133"/>
      <c r="Z1874" s="133"/>
      <c r="AA1874" s="133"/>
      <c r="AB1874" s="133"/>
      <c r="AC1874" s="133"/>
      <c r="AD1874" s="133"/>
      <c r="AE1874" s="133"/>
      <c r="AF1874" s="133"/>
      <c r="AG1874" s="133"/>
      <c r="AH1874" s="133"/>
      <c r="AI1874" s="133"/>
      <c r="AJ1874" s="133"/>
      <c r="AK1874" s="133"/>
      <c r="AL1874" s="133"/>
      <c r="AM1874" s="133"/>
      <c r="AN1874" s="133"/>
      <c r="AO1874" s="133"/>
      <c r="AP1874" s="133"/>
      <c r="AQ1874" s="133"/>
      <c r="AR1874" s="133"/>
      <c r="AS1874" s="153">
        <v>0</v>
      </c>
      <c r="AT1874" s="153">
        <v>0</v>
      </c>
      <c r="AU1874" s="153">
        <v>0</v>
      </c>
      <c r="AV1874" s="135"/>
      <c r="AW1874" s="135"/>
      <c r="AX1874" s="135"/>
      <c r="AY1874" s="135"/>
      <c r="AZ1874" s="135"/>
      <c r="BA1874" s="135"/>
      <c r="BB1874" s="135"/>
      <c r="BC1874" s="135"/>
      <c r="BD1874" s="135"/>
      <c r="BE1874" s="135"/>
      <c r="BF1874" s="135"/>
      <c r="BG1874" s="135"/>
      <c r="BH1874" s="135"/>
      <c r="BI1874" s="2"/>
      <c r="BJ1874" s="136"/>
      <c r="BK1874" s="2"/>
      <c r="BL1874" s="136"/>
      <c r="BM1874" s="136"/>
      <c r="BN1874" s="2"/>
      <c r="BO1874" s="2"/>
      <c r="BP1874" s="136"/>
      <c r="BQ1874" s="137"/>
    </row>
    <row r="1875" spans="1:69" ht="12.75" customHeight="1" x14ac:dyDescent="0.2">
      <c r="A1875" s="2">
        <v>3364</v>
      </c>
      <c r="B1875" s="2"/>
      <c r="C1875" s="2"/>
      <c r="D1875" s="2"/>
      <c r="E1875" s="2"/>
      <c r="F1875" s="132">
        <v>0</v>
      </c>
      <c r="G1875" s="132"/>
      <c r="H1875" s="132">
        <f t="shared" si="213"/>
        <v>0</v>
      </c>
      <c r="I1875" s="132"/>
      <c r="J1875" s="132">
        <f t="shared" si="211"/>
        <v>0</v>
      </c>
      <c r="K1875" s="132">
        <f t="shared" si="214"/>
        <v>0</v>
      </c>
      <c r="L1875" s="132">
        <f t="shared" si="215"/>
        <v>0</v>
      </c>
      <c r="M1875" s="133"/>
      <c r="N1875" s="133">
        <f t="shared" si="212"/>
        <v>0</v>
      </c>
      <c r="O1875" s="134"/>
      <c r="P1875" s="133"/>
      <c r="Q1875" s="2"/>
      <c r="R1875" s="156">
        <f t="shared" si="216"/>
        <v>0</v>
      </c>
      <c r="S1875" s="156">
        <f t="shared" si="217"/>
        <v>0</v>
      </c>
      <c r="T1875" s="133"/>
      <c r="U1875" s="133"/>
      <c r="V1875" s="133"/>
      <c r="W1875" s="133"/>
      <c r="X1875" s="133"/>
      <c r="Y1875" s="133"/>
      <c r="Z1875" s="133"/>
      <c r="AA1875" s="133"/>
      <c r="AB1875" s="133"/>
      <c r="AC1875" s="133"/>
      <c r="AD1875" s="133"/>
      <c r="AE1875" s="133"/>
      <c r="AF1875" s="133"/>
      <c r="AG1875" s="133"/>
      <c r="AH1875" s="133"/>
      <c r="AI1875" s="133"/>
      <c r="AJ1875" s="133"/>
      <c r="AK1875" s="133"/>
      <c r="AL1875" s="133"/>
      <c r="AM1875" s="133"/>
      <c r="AN1875" s="133"/>
      <c r="AO1875" s="133"/>
      <c r="AP1875" s="133"/>
      <c r="AQ1875" s="133"/>
      <c r="AR1875" s="133"/>
      <c r="AS1875" s="153">
        <v>0</v>
      </c>
      <c r="AT1875" s="153">
        <v>0</v>
      </c>
      <c r="AU1875" s="153">
        <v>0</v>
      </c>
      <c r="AV1875" s="135"/>
      <c r="AW1875" s="135"/>
      <c r="AX1875" s="135"/>
      <c r="AY1875" s="135"/>
      <c r="AZ1875" s="135"/>
      <c r="BA1875" s="135"/>
      <c r="BB1875" s="135"/>
      <c r="BC1875" s="135"/>
      <c r="BD1875" s="135"/>
      <c r="BE1875" s="135"/>
      <c r="BF1875" s="135"/>
      <c r="BG1875" s="135"/>
      <c r="BH1875" s="135"/>
      <c r="BI1875" s="2"/>
      <c r="BJ1875" s="136"/>
      <c r="BK1875" s="2"/>
      <c r="BL1875" s="136"/>
      <c r="BM1875" s="136"/>
      <c r="BN1875" s="2"/>
      <c r="BO1875" s="2"/>
      <c r="BP1875" s="136"/>
      <c r="BQ1875" s="137"/>
    </row>
    <row r="1876" spans="1:69" ht="12.75" customHeight="1" x14ac:dyDescent="0.2">
      <c r="A1876" s="2">
        <v>3365</v>
      </c>
      <c r="B1876" s="2"/>
      <c r="C1876" s="2"/>
      <c r="D1876" s="2"/>
      <c r="E1876" s="2"/>
      <c r="F1876" s="132">
        <v>0</v>
      </c>
      <c r="G1876" s="132"/>
      <c r="H1876" s="132">
        <f t="shared" si="213"/>
        <v>0</v>
      </c>
      <c r="I1876" s="132"/>
      <c r="J1876" s="132">
        <f t="shared" si="211"/>
        <v>0</v>
      </c>
      <c r="K1876" s="132">
        <f t="shared" si="214"/>
        <v>0</v>
      </c>
      <c r="L1876" s="132">
        <f t="shared" si="215"/>
        <v>0</v>
      </c>
      <c r="M1876" s="133"/>
      <c r="N1876" s="133">
        <f t="shared" si="212"/>
        <v>0</v>
      </c>
      <c r="O1876" s="134"/>
      <c r="P1876" s="133"/>
      <c r="Q1876" s="2"/>
      <c r="R1876" s="156">
        <f t="shared" si="216"/>
        <v>0</v>
      </c>
      <c r="S1876" s="156">
        <f t="shared" si="217"/>
        <v>0</v>
      </c>
      <c r="T1876" s="133"/>
      <c r="U1876" s="133"/>
      <c r="V1876" s="133"/>
      <c r="W1876" s="133"/>
      <c r="X1876" s="133"/>
      <c r="Y1876" s="133"/>
      <c r="Z1876" s="133"/>
      <c r="AA1876" s="133"/>
      <c r="AB1876" s="133"/>
      <c r="AC1876" s="133"/>
      <c r="AD1876" s="133"/>
      <c r="AE1876" s="133"/>
      <c r="AF1876" s="133"/>
      <c r="AG1876" s="133"/>
      <c r="AH1876" s="133"/>
      <c r="AI1876" s="133"/>
      <c r="AJ1876" s="133"/>
      <c r="AK1876" s="133"/>
      <c r="AL1876" s="133"/>
      <c r="AM1876" s="133"/>
      <c r="AN1876" s="133"/>
      <c r="AO1876" s="133"/>
      <c r="AP1876" s="133"/>
      <c r="AQ1876" s="133"/>
      <c r="AR1876" s="133"/>
      <c r="AS1876" s="153">
        <v>0</v>
      </c>
      <c r="AT1876" s="153">
        <v>0</v>
      </c>
      <c r="AU1876" s="153">
        <v>0</v>
      </c>
      <c r="AV1876" s="135"/>
      <c r="AW1876" s="135"/>
      <c r="AX1876" s="135"/>
      <c r="AY1876" s="135"/>
      <c r="AZ1876" s="135"/>
      <c r="BA1876" s="135"/>
      <c r="BB1876" s="135"/>
      <c r="BC1876" s="135"/>
      <c r="BD1876" s="135"/>
      <c r="BE1876" s="135"/>
      <c r="BF1876" s="135"/>
      <c r="BG1876" s="135"/>
      <c r="BH1876" s="135"/>
      <c r="BI1876" s="2"/>
      <c r="BJ1876" s="136"/>
      <c r="BK1876" s="2"/>
      <c r="BL1876" s="136"/>
      <c r="BM1876" s="136"/>
      <c r="BN1876" s="2"/>
      <c r="BO1876" s="2"/>
      <c r="BP1876" s="136"/>
      <c r="BQ1876" s="137"/>
    </row>
    <row r="1877" spans="1:69" ht="12.75" customHeight="1" x14ac:dyDescent="0.2">
      <c r="A1877" s="2">
        <v>3366</v>
      </c>
      <c r="B1877" s="2"/>
      <c r="C1877" s="2"/>
      <c r="D1877" s="2"/>
      <c r="E1877" s="2"/>
      <c r="F1877" s="132">
        <v>0</v>
      </c>
      <c r="G1877" s="132"/>
      <c r="H1877" s="132">
        <f t="shared" si="213"/>
        <v>0</v>
      </c>
      <c r="I1877" s="132"/>
      <c r="J1877" s="132">
        <f t="shared" si="211"/>
        <v>0</v>
      </c>
      <c r="K1877" s="132">
        <f t="shared" si="214"/>
        <v>0</v>
      </c>
      <c r="L1877" s="132">
        <f t="shared" si="215"/>
        <v>0</v>
      </c>
      <c r="M1877" s="133"/>
      <c r="N1877" s="133">
        <f t="shared" si="212"/>
        <v>0</v>
      </c>
      <c r="O1877" s="134"/>
      <c r="P1877" s="133"/>
      <c r="Q1877" s="2"/>
      <c r="R1877" s="156">
        <f t="shared" si="216"/>
        <v>0</v>
      </c>
      <c r="S1877" s="156">
        <f t="shared" si="217"/>
        <v>0</v>
      </c>
      <c r="T1877" s="133"/>
      <c r="U1877" s="133"/>
      <c r="V1877" s="133"/>
      <c r="W1877" s="133"/>
      <c r="X1877" s="133"/>
      <c r="Y1877" s="133"/>
      <c r="Z1877" s="133"/>
      <c r="AA1877" s="133"/>
      <c r="AB1877" s="133"/>
      <c r="AC1877" s="133"/>
      <c r="AD1877" s="133"/>
      <c r="AE1877" s="133"/>
      <c r="AF1877" s="133"/>
      <c r="AG1877" s="133"/>
      <c r="AH1877" s="133"/>
      <c r="AI1877" s="133"/>
      <c r="AJ1877" s="133"/>
      <c r="AK1877" s="133"/>
      <c r="AL1877" s="133"/>
      <c r="AM1877" s="133"/>
      <c r="AN1877" s="133"/>
      <c r="AO1877" s="133"/>
      <c r="AP1877" s="133"/>
      <c r="AQ1877" s="133"/>
      <c r="AR1877" s="133"/>
      <c r="AS1877" s="153">
        <v>0</v>
      </c>
      <c r="AT1877" s="153">
        <v>0</v>
      </c>
      <c r="AU1877" s="153">
        <v>0</v>
      </c>
      <c r="AV1877" s="135"/>
      <c r="AW1877" s="135"/>
      <c r="AX1877" s="135"/>
      <c r="AY1877" s="135"/>
      <c r="AZ1877" s="135"/>
      <c r="BA1877" s="135"/>
      <c r="BB1877" s="135"/>
      <c r="BC1877" s="135"/>
      <c r="BD1877" s="135"/>
      <c r="BE1877" s="135"/>
      <c r="BF1877" s="135"/>
      <c r="BG1877" s="135"/>
      <c r="BH1877" s="135"/>
      <c r="BI1877" s="2"/>
      <c r="BJ1877" s="136"/>
      <c r="BK1877" s="2"/>
      <c r="BL1877" s="136"/>
      <c r="BM1877" s="136"/>
      <c r="BN1877" s="2"/>
      <c r="BO1877" s="2"/>
      <c r="BP1877" s="136"/>
      <c r="BQ1877" s="137"/>
    </row>
    <row r="1878" spans="1:69" ht="12.75" customHeight="1" x14ac:dyDescent="0.2">
      <c r="A1878" s="2">
        <v>3367</v>
      </c>
      <c r="B1878" s="2"/>
      <c r="C1878" s="2"/>
      <c r="D1878" s="2"/>
      <c r="E1878" s="2"/>
      <c r="F1878" s="132">
        <v>0</v>
      </c>
      <c r="G1878" s="132"/>
      <c r="H1878" s="132">
        <f t="shared" si="213"/>
        <v>0</v>
      </c>
      <c r="I1878" s="132"/>
      <c r="J1878" s="132">
        <f t="shared" si="211"/>
        <v>0</v>
      </c>
      <c r="K1878" s="132">
        <f t="shared" si="214"/>
        <v>0</v>
      </c>
      <c r="L1878" s="132">
        <f t="shared" si="215"/>
        <v>0</v>
      </c>
      <c r="M1878" s="133"/>
      <c r="N1878" s="133">
        <f t="shared" si="212"/>
        <v>0</v>
      </c>
      <c r="O1878" s="134"/>
      <c r="P1878" s="133"/>
      <c r="Q1878" s="2"/>
      <c r="R1878" s="156">
        <f t="shared" si="216"/>
        <v>0</v>
      </c>
      <c r="S1878" s="156">
        <f t="shared" si="217"/>
        <v>0</v>
      </c>
      <c r="T1878" s="133"/>
      <c r="U1878" s="133"/>
      <c r="V1878" s="133"/>
      <c r="W1878" s="133"/>
      <c r="X1878" s="133"/>
      <c r="Y1878" s="133"/>
      <c r="Z1878" s="133"/>
      <c r="AA1878" s="133"/>
      <c r="AB1878" s="133"/>
      <c r="AC1878" s="133"/>
      <c r="AD1878" s="133"/>
      <c r="AE1878" s="133"/>
      <c r="AF1878" s="133"/>
      <c r="AG1878" s="133"/>
      <c r="AH1878" s="133"/>
      <c r="AI1878" s="133"/>
      <c r="AJ1878" s="133"/>
      <c r="AK1878" s="133"/>
      <c r="AL1878" s="133"/>
      <c r="AM1878" s="133"/>
      <c r="AN1878" s="133"/>
      <c r="AO1878" s="133"/>
      <c r="AP1878" s="133"/>
      <c r="AQ1878" s="133"/>
      <c r="AR1878" s="133"/>
      <c r="AS1878" s="153">
        <v>0</v>
      </c>
      <c r="AT1878" s="153">
        <v>0</v>
      </c>
      <c r="AU1878" s="153">
        <v>0</v>
      </c>
      <c r="AV1878" s="135"/>
      <c r="AW1878" s="135"/>
      <c r="AX1878" s="135"/>
      <c r="AY1878" s="135"/>
      <c r="AZ1878" s="135"/>
      <c r="BA1878" s="135"/>
      <c r="BB1878" s="135"/>
      <c r="BC1878" s="135"/>
      <c r="BD1878" s="135"/>
      <c r="BE1878" s="135"/>
      <c r="BF1878" s="135"/>
      <c r="BG1878" s="135"/>
      <c r="BH1878" s="135"/>
      <c r="BI1878" s="2"/>
      <c r="BJ1878" s="136"/>
      <c r="BK1878" s="2"/>
      <c r="BL1878" s="136"/>
      <c r="BM1878" s="136"/>
      <c r="BN1878" s="2"/>
      <c r="BO1878" s="2"/>
      <c r="BP1878" s="136"/>
      <c r="BQ1878" s="137"/>
    </row>
    <row r="1879" spans="1:69" ht="12.75" customHeight="1" x14ac:dyDescent="0.2">
      <c r="A1879" s="2">
        <v>3368</v>
      </c>
      <c r="B1879" s="2"/>
      <c r="C1879" s="2"/>
      <c r="D1879" s="2"/>
      <c r="E1879" s="2"/>
      <c r="F1879" s="132">
        <v>0</v>
      </c>
      <c r="G1879" s="132"/>
      <c r="H1879" s="132">
        <f t="shared" si="213"/>
        <v>0</v>
      </c>
      <c r="I1879" s="132"/>
      <c r="J1879" s="132">
        <f t="shared" si="211"/>
        <v>0</v>
      </c>
      <c r="K1879" s="132">
        <f t="shared" si="214"/>
        <v>0</v>
      </c>
      <c r="L1879" s="132">
        <f t="shared" si="215"/>
        <v>0</v>
      </c>
      <c r="M1879" s="133"/>
      <c r="N1879" s="133">
        <f t="shared" si="212"/>
        <v>0</v>
      </c>
      <c r="O1879" s="134"/>
      <c r="P1879" s="133"/>
      <c r="Q1879" s="2"/>
      <c r="R1879" s="156">
        <f t="shared" si="216"/>
        <v>0</v>
      </c>
      <c r="S1879" s="156">
        <f t="shared" si="217"/>
        <v>0</v>
      </c>
      <c r="T1879" s="133"/>
      <c r="U1879" s="133"/>
      <c r="V1879" s="133"/>
      <c r="W1879" s="133"/>
      <c r="X1879" s="133"/>
      <c r="Y1879" s="133"/>
      <c r="Z1879" s="133"/>
      <c r="AA1879" s="133"/>
      <c r="AB1879" s="133"/>
      <c r="AC1879" s="133"/>
      <c r="AD1879" s="133"/>
      <c r="AE1879" s="133"/>
      <c r="AF1879" s="133"/>
      <c r="AG1879" s="133"/>
      <c r="AH1879" s="133"/>
      <c r="AI1879" s="133"/>
      <c r="AJ1879" s="133"/>
      <c r="AK1879" s="133"/>
      <c r="AL1879" s="133"/>
      <c r="AM1879" s="133"/>
      <c r="AN1879" s="133"/>
      <c r="AO1879" s="133"/>
      <c r="AP1879" s="133"/>
      <c r="AQ1879" s="133"/>
      <c r="AR1879" s="133"/>
      <c r="AS1879" s="153">
        <v>0</v>
      </c>
      <c r="AT1879" s="153">
        <v>0</v>
      </c>
      <c r="AU1879" s="153">
        <v>0</v>
      </c>
      <c r="AV1879" s="135"/>
      <c r="AW1879" s="135"/>
      <c r="AX1879" s="135"/>
      <c r="AY1879" s="135"/>
      <c r="AZ1879" s="135"/>
      <c r="BA1879" s="135"/>
      <c r="BB1879" s="135"/>
      <c r="BC1879" s="135"/>
      <c r="BD1879" s="135"/>
      <c r="BE1879" s="135"/>
      <c r="BF1879" s="135"/>
      <c r="BG1879" s="135"/>
      <c r="BH1879" s="135"/>
      <c r="BI1879" s="2"/>
      <c r="BJ1879" s="136"/>
      <c r="BK1879" s="2"/>
      <c r="BL1879" s="136"/>
      <c r="BM1879" s="136"/>
      <c r="BN1879" s="2"/>
      <c r="BO1879" s="2"/>
      <c r="BP1879" s="136"/>
      <c r="BQ1879" s="137"/>
    </row>
    <row r="1880" spans="1:69" ht="12.75" customHeight="1" x14ac:dyDescent="0.2">
      <c r="A1880" s="2">
        <v>3369</v>
      </c>
      <c r="B1880" s="2"/>
      <c r="C1880" s="2"/>
      <c r="D1880" s="2"/>
      <c r="E1880" s="2"/>
      <c r="F1880" s="132">
        <v>0</v>
      </c>
      <c r="G1880" s="132"/>
      <c r="H1880" s="132">
        <f t="shared" si="213"/>
        <v>0</v>
      </c>
      <c r="I1880" s="132"/>
      <c r="J1880" s="132">
        <f t="shared" si="211"/>
        <v>0</v>
      </c>
      <c r="K1880" s="132">
        <f t="shared" si="214"/>
        <v>0</v>
      </c>
      <c r="L1880" s="132">
        <f t="shared" si="215"/>
        <v>0</v>
      </c>
      <c r="M1880" s="133"/>
      <c r="N1880" s="133">
        <f t="shared" si="212"/>
        <v>0</v>
      </c>
      <c r="O1880" s="134"/>
      <c r="P1880" s="133"/>
      <c r="Q1880" s="2"/>
      <c r="R1880" s="156">
        <f t="shared" si="216"/>
        <v>0</v>
      </c>
      <c r="S1880" s="156">
        <f t="shared" si="217"/>
        <v>0</v>
      </c>
      <c r="T1880" s="133"/>
      <c r="U1880" s="133"/>
      <c r="V1880" s="133"/>
      <c r="W1880" s="133"/>
      <c r="X1880" s="133"/>
      <c r="Y1880" s="133"/>
      <c r="Z1880" s="133"/>
      <c r="AA1880" s="133"/>
      <c r="AB1880" s="133"/>
      <c r="AC1880" s="133"/>
      <c r="AD1880" s="133"/>
      <c r="AE1880" s="133"/>
      <c r="AF1880" s="133"/>
      <c r="AG1880" s="133"/>
      <c r="AH1880" s="133"/>
      <c r="AI1880" s="133"/>
      <c r="AJ1880" s="133"/>
      <c r="AK1880" s="133"/>
      <c r="AL1880" s="133"/>
      <c r="AM1880" s="133"/>
      <c r="AN1880" s="133"/>
      <c r="AO1880" s="133"/>
      <c r="AP1880" s="133"/>
      <c r="AQ1880" s="133"/>
      <c r="AR1880" s="133"/>
      <c r="AS1880" s="153">
        <v>0</v>
      </c>
      <c r="AT1880" s="153">
        <v>0</v>
      </c>
      <c r="AU1880" s="153">
        <v>0</v>
      </c>
      <c r="AV1880" s="135"/>
      <c r="AW1880" s="135"/>
      <c r="AX1880" s="135"/>
      <c r="AY1880" s="135"/>
      <c r="AZ1880" s="135"/>
      <c r="BA1880" s="135"/>
      <c r="BB1880" s="135"/>
      <c r="BC1880" s="135"/>
      <c r="BD1880" s="135"/>
      <c r="BE1880" s="135"/>
      <c r="BF1880" s="135"/>
      <c r="BG1880" s="135"/>
      <c r="BH1880" s="135"/>
      <c r="BI1880" s="2"/>
      <c r="BJ1880" s="136"/>
      <c r="BK1880" s="2"/>
      <c r="BL1880" s="136"/>
      <c r="BM1880" s="136"/>
      <c r="BN1880" s="2"/>
      <c r="BO1880" s="2"/>
      <c r="BP1880" s="136"/>
      <c r="BQ1880" s="137"/>
    </row>
    <row r="1881" spans="1:69" ht="12.75" customHeight="1" x14ac:dyDescent="0.2">
      <c r="A1881" s="2">
        <v>3370</v>
      </c>
      <c r="B1881" s="2"/>
      <c r="C1881" s="2"/>
      <c r="D1881" s="2"/>
      <c r="E1881" s="2"/>
      <c r="F1881" s="132">
        <v>0</v>
      </c>
      <c r="G1881" s="132"/>
      <c r="H1881" s="132">
        <f t="shared" si="213"/>
        <v>0</v>
      </c>
      <c r="I1881" s="132"/>
      <c r="J1881" s="132">
        <f t="shared" si="211"/>
        <v>0</v>
      </c>
      <c r="K1881" s="132">
        <f t="shared" si="214"/>
        <v>0</v>
      </c>
      <c r="L1881" s="132">
        <f t="shared" si="215"/>
        <v>0</v>
      </c>
      <c r="M1881" s="133"/>
      <c r="N1881" s="133">
        <f t="shared" si="212"/>
        <v>0</v>
      </c>
      <c r="O1881" s="134"/>
      <c r="P1881" s="133"/>
      <c r="Q1881" s="2"/>
      <c r="R1881" s="156">
        <f t="shared" si="216"/>
        <v>0</v>
      </c>
      <c r="S1881" s="156">
        <f t="shared" si="217"/>
        <v>0</v>
      </c>
      <c r="T1881" s="133"/>
      <c r="U1881" s="133"/>
      <c r="V1881" s="133"/>
      <c r="W1881" s="133"/>
      <c r="X1881" s="133"/>
      <c r="Y1881" s="133"/>
      <c r="Z1881" s="133"/>
      <c r="AA1881" s="133"/>
      <c r="AB1881" s="133"/>
      <c r="AC1881" s="133"/>
      <c r="AD1881" s="133"/>
      <c r="AE1881" s="133"/>
      <c r="AF1881" s="133"/>
      <c r="AG1881" s="133"/>
      <c r="AH1881" s="133"/>
      <c r="AI1881" s="133"/>
      <c r="AJ1881" s="133"/>
      <c r="AK1881" s="133"/>
      <c r="AL1881" s="133"/>
      <c r="AM1881" s="133"/>
      <c r="AN1881" s="133"/>
      <c r="AO1881" s="133"/>
      <c r="AP1881" s="133"/>
      <c r="AQ1881" s="133"/>
      <c r="AR1881" s="133"/>
      <c r="AS1881" s="153">
        <v>0</v>
      </c>
      <c r="AT1881" s="153">
        <v>0</v>
      </c>
      <c r="AU1881" s="153">
        <v>0</v>
      </c>
      <c r="AV1881" s="135"/>
      <c r="AW1881" s="135"/>
      <c r="AX1881" s="135"/>
      <c r="AY1881" s="135"/>
      <c r="AZ1881" s="135"/>
      <c r="BA1881" s="135"/>
      <c r="BB1881" s="135"/>
      <c r="BC1881" s="135"/>
      <c r="BD1881" s="135"/>
      <c r="BE1881" s="135"/>
      <c r="BF1881" s="135"/>
      <c r="BG1881" s="135"/>
      <c r="BH1881" s="135"/>
      <c r="BI1881" s="2"/>
      <c r="BJ1881" s="136"/>
      <c r="BK1881" s="2"/>
      <c r="BL1881" s="136"/>
      <c r="BM1881" s="136"/>
      <c r="BN1881" s="2"/>
      <c r="BO1881" s="2"/>
      <c r="BP1881" s="136"/>
      <c r="BQ1881" s="137"/>
    </row>
    <row r="1882" spans="1:69" ht="12.75" customHeight="1" x14ac:dyDescent="0.2">
      <c r="A1882" s="2">
        <v>3371</v>
      </c>
      <c r="B1882" s="2"/>
      <c r="C1882" s="2"/>
      <c r="D1882" s="2"/>
      <c r="E1882" s="2"/>
      <c r="F1882" s="132">
        <v>0</v>
      </c>
      <c r="G1882" s="132"/>
      <c r="H1882" s="132">
        <f t="shared" si="213"/>
        <v>0</v>
      </c>
      <c r="I1882" s="132"/>
      <c r="J1882" s="132">
        <f t="shared" si="211"/>
        <v>0</v>
      </c>
      <c r="K1882" s="132">
        <f t="shared" si="214"/>
        <v>0</v>
      </c>
      <c r="L1882" s="132">
        <f t="shared" si="215"/>
        <v>0</v>
      </c>
      <c r="M1882" s="133"/>
      <c r="N1882" s="133">
        <f t="shared" si="212"/>
        <v>0</v>
      </c>
      <c r="O1882" s="134"/>
      <c r="P1882" s="133"/>
      <c r="Q1882" s="2"/>
      <c r="R1882" s="156">
        <f t="shared" si="216"/>
        <v>0</v>
      </c>
      <c r="S1882" s="156">
        <f t="shared" si="217"/>
        <v>0</v>
      </c>
      <c r="T1882" s="133"/>
      <c r="U1882" s="133"/>
      <c r="V1882" s="133"/>
      <c r="W1882" s="133"/>
      <c r="X1882" s="133"/>
      <c r="Y1882" s="133"/>
      <c r="Z1882" s="133"/>
      <c r="AA1882" s="133"/>
      <c r="AB1882" s="133"/>
      <c r="AC1882" s="133"/>
      <c r="AD1882" s="133"/>
      <c r="AE1882" s="133"/>
      <c r="AF1882" s="133"/>
      <c r="AG1882" s="133"/>
      <c r="AH1882" s="133"/>
      <c r="AI1882" s="133"/>
      <c r="AJ1882" s="133"/>
      <c r="AK1882" s="133"/>
      <c r="AL1882" s="133"/>
      <c r="AM1882" s="133"/>
      <c r="AN1882" s="133"/>
      <c r="AO1882" s="133"/>
      <c r="AP1882" s="133"/>
      <c r="AQ1882" s="133"/>
      <c r="AR1882" s="133"/>
      <c r="AS1882" s="153">
        <v>0</v>
      </c>
      <c r="AT1882" s="153">
        <v>0</v>
      </c>
      <c r="AU1882" s="153">
        <v>0</v>
      </c>
      <c r="AV1882" s="135"/>
      <c r="AW1882" s="135"/>
      <c r="AX1882" s="135"/>
      <c r="AY1882" s="135"/>
      <c r="AZ1882" s="135"/>
      <c r="BA1882" s="135"/>
      <c r="BB1882" s="135"/>
      <c r="BC1882" s="135"/>
      <c r="BD1882" s="135"/>
      <c r="BE1882" s="135"/>
      <c r="BF1882" s="135"/>
      <c r="BG1882" s="135"/>
      <c r="BH1882" s="135"/>
      <c r="BI1882" s="2"/>
      <c r="BJ1882" s="136"/>
      <c r="BK1882" s="2"/>
      <c r="BL1882" s="136"/>
      <c r="BM1882" s="136"/>
      <c r="BN1882" s="2"/>
      <c r="BO1882" s="2"/>
      <c r="BP1882" s="136"/>
      <c r="BQ1882" s="137"/>
    </row>
    <row r="1883" spans="1:69" ht="12.75" customHeight="1" x14ac:dyDescent="0.2">
      <c r="A1883" s="2">
        <v>3372</v>
      </c>
      <c r="B1883" s="2"/>
      <c r="C1883" s="2"/>
      <c r="D1883" s="2"/>
      <c r="E1883" s="2"/>
      <c r="F1883" s="132">
        <v>0</v>
      </c>
      <c r="G1883" s="132"/>
      <c r="H1883" s="132">
        <f t="shared" si="213"/>
        <v>0</v>
      </c>
      <c r="I1883" s="132"/>
      <c r="J1883" s="132">
        <f t="shared" si="211"/>
        <v>0</v>
      </c>
      <c r="K1883" s="132">
        <f t="shared" si="214"/>
        <v>0</v>
      </c>
      <c r="L1883" s="132">
        <f t="shared" si="215"/>
        <v>0</v>
      </c>
      <c r="M1883" s="133"/>
      <c r="N1883" s="133">
        <f t="shared" si="212"/>
        <v>0</v>
      </c>
      <c r="O1883" s="134"/>
      <c r="P1883" s="133"/>
      <c r="Q1883" s="2"/>
      <c r="R1883" s="156">
        <f t="shared" si="216"/>
        <v>0</v>
      </c>
      <c r="S1883" s="156">
        <f t="shared" si="217"/>
        <v>0</v>
      </c>
      <c r="T1883" s="133"/>
      <c r="U1883" s="133"/>
      <c r="V1883" s="133"/>
      <c r="W1883" s="133"/>
      <c r="X1883" s="133"/>
      <c r="Y1883" s="133"/>
      <c r="Z1883" s="133"/>
      <c r="AA1883" s="133"/>
      <c r="AB1883" s="133"/>
      <c r="AC1883" s="133"/>
      <c r="AD1883" s="133"/>
      <c r="AE1883" s="133"/>
      <c r="AF1883" s="133"/>
      <c r="AG1883" s="133"/>
      <c r="AH1883" s="133"/>
      <c r="AI1883" s="133"/>
      <c r="AJ1883" s="133"/>
      <c r="AK1883" s="133"/>
      <c r="AL1883" s="133"/>
      <c r="AM1883" s="133"/>
      <c r="AN1883" s="133"/>
      <c r="AO1883" s="133"/>
      <c r="AP1883" s="133"/>
      <c r="AQ1883" s="133"/>
      <c r="AR1883" s="133"/>
      <c r="AS1883" s="153">
        <v>0</v>
      </c>
      <c r="AT1883" s="153">
        <v>0</v>
      </c>
      <c r="AU1883" s="153">
        <v>0</v>
      </c>
      <c r="AV1883" s="135"/>
      <c r="AW1883" s="135"/>
      <c r="AX1883" s="135"/>
      <c r="AY1883" s="135"/>
      <c r="AZ1883" s="135"/>
      <c r="BA1883" s="135"/>
      <c r="BB1883" s="135"/>
      <c r="BC1883" s="135"/>
      <c r="BD1883" s="135"/>
      <c r="BE1883" s="135"/>
      <c r="BF1883" s="135"/>
      <c r="BG1883" s="135"/>
      <c r="BH1883" s="135"/>
      <c r="BI1883" s="2"/>
      <c r="BJ1883" s="136"/>
      <c r="BK1883" s="2"/>
      <c r="BL1883" s="136"/>
      <c r="BM1883" s="136"/>
      <c r="BN1883" s="2"/>
      <c r="BO1883" s="2"/>
      <c r="BP1883" s="136"/>
      <c r="BQ1883" s="137"/>
    </row>
    <row r="1884" spans="1:69" ht="12.75" customHeight="1" x14ac:dyDescent="0.2">
      <c r="A1884" s="2">
        <v>3373</v>
      </c>
      <c r="B1884" s="2"/>
      <c r="C1884" s="2"/>
      <c r="D1884" s="2"/>
      <c r="E1884" s="2"/>
      <c r="F1884" s="132">
        <v>0</v>
      </c>
      <c r="G1884" s="132"/>
      <c r="H1884" s="132">
        <f t="shared" si="213"/>
        <v>0</v>
      </c>
      <c r="I1884" s="132"/>
      <c r="J1884" s="132">
        <f t="shared" si="211"/>
        <v>0</v>
      </c>
      <c r="K1884" s="132">
        <f t="shared" si="214"/>
        <v>0</v>
      </c>
      <c r="L1884" s="132">
        <f t="shared" si="215"/>
        <v>0</v>
      </c>
      <c r="M1884" s="133"/>
      <c r="N1884" s="133">
        <f t="shared" si="212"/>
        <v>0</v>
      </c>
      <c r="O1884" s="134"/>
      <c r="P1884" s="133"/>
      <c r="Q1884" s="2"/>
      <c r="R1884" s="156">
        <f t="shared" si="216"/>
        <v>0</v>
      </c>
      <c r="S1884" s="156">
        <f t="shared" si="217"/>
        <v>0</v>
      </c>
      <c r="T1884" s="133"/>
      <c r="U1884" s="133"/>
      <c r="V1884" s="133"/>
      <c r="W1884" s="133"/>
      <c r="X1884" s="133"/>
      <c r="Y1884" s="133"/>
      <c r="Z1884" s="133"/>
      <c r="AA1884" s="133"/>
      <c r="AB1884" s="133"/>
      <c r="AC1884" s="133"/>
      <c r="AD1884" s="133"/>
      <c r="AE1884" s="133"/>
      <c r="AF1884" s="133"/>
      <c r="AG1884" s="133"/>
      <c r="AH1884" s="133"/>
      <c r="AI1884" s="133"/>
      <c r="AJ1884" s="133"/>
      <c r="AK1884" s="133"/>
      <c r="AL1884" s="133"/>
      <c r="AM1884" s="133"/>
      <c r="AN1884" s="133"/>
      <c r="AO1884" s="133"/>
      <c r="AP1884" s="133"/>
      <c r="AQ1884" s="133"/>
      <c r="AR1884" s="133"/>
      <c r="AS1884" s="153">
        <v>0</v>
      </c>
      <c r="AT1884" s="153">
        <v>0</v>
      </c>
      <c r="AU1884" s="153">
        <v>0</v>
      </c>
      <c r="AV1884" s="135"/>
      <c r="AW1884" s="135"/>
      <c r="AX1884" s="135"/>
      <c r="AY1884" s="135"/>
      <c r="AZ1884" s="135"/>
      <c r="BA1884" s="135"/>
      <c r="BB1884" s="135"/>
      <c r="BC1884" s="135"/>
      <c r="BD1884" s="135"/>
      <c r="BE1884" s="135"/>
      <c r="BF1884" s="135"/>
      <c r="BG1884" s="135"/>
      <c r="BH1884" s="135"/>
      <c r="BI1884" s="2"/>
      <c r="BJ1884" s="136"/>
      <c r="BK1884" s="2"/>
      <c r="BL1884" s="136"/>
      <c r="BM1884" s="136"/>
      <c r="BN1884" s="2"/>
      <c r="BO1884" s="2"/>
      <c r="BP1884" s="136"/>
      <c r="BQ1884" s="137"/>
    </row>
    <row r="1885" spans="1:69" ht="12.75" customHeight="1" x14ac:dyDescent="0.2">
      <c r="A1885" s="2">
        <v>3374</v>
      </c>
      <c r="B1885" s="2"/>
      <c r="C1885" s="2"/>
      <c r="D1885" s="2"/>
      <c r="E1885" s="2"/>
      <c r="F1885" s="132">
        <v>0</v>
      </c>
      <c r="G1885" s="132"/>
      <c r="H1885" s="132">
        <f t="shared" si="213"/>
        <v>0</v>
      </c>
      <c r="I1885" s="132"/>
      <c r="J1885" s="132">
        <f t="shared" si="211"/>
        <v>0</v>
      </c>
      <c r="K1885" s="132">
        <f t="shared" si="214"/>
        <v>0</v>
      </c>
      <c r="L1885" s="132">
        <f t="shared" si="215"/>
        <v>0</v>
      </c>
      <c r="M1885" s="133"/>
      <c r="N1885" s="133">
        <f t="shared" si="212"/>
        <v>0</v>
      </c>
      <c r="O1885" s="134"/>
      <c r="P1885" s="133"/>
      <c r="Q1885" s="2"/>
      <c r="R1885" s="156">
        <f t="shared" si="216"/>
        <v>0</v>
      </c>
      <c r="S1885" s="156">
        <f t="shared" si="217"/>
        <v>0</v>
      </c>
      <c r="T1885" s="133"/>
      <c r="U1885" s="133"/>
      <c r="V1885" s="133"/>
      <c r="W1885" s="133"/>
      <c r="X1885" s="133"/>
      <c r="Y1885" s="133"/>
      <c r="Z1885" s="133"/>
      <c r="AA1885" s="133"/>
      <c r="AB1885" s="133"/>
      <c r="AC1885" s="133"/>
      <c r="AD1885" s="133"/>
      <c r="AE1885" s="133"/>
      <c r="AF1885" s="133"/>
      <c r="AG1885" s="133"/>
      <c r="AH1885" s="133"/>
      <c r="AI1885" s="133"/>
      <c r="AJ1885" s="133"/>
      <c r="AK1885" s="133"/>
      <c r="AL1885" s="133"/>
      <c r="AM1885" s="133"/>
      <c r="AN1885" s="133"/>
      <c r="AO1885" s="133"/>
      <c r="AP1885" s="133"/>
      <c r="AQ1885" s="133"/>
      <c r="AR1885" s="133"/>
      <c r="AS1885" s="153">
        <v>0</v>
      </c>
      <c r="AT1885" s="153">
        <v>0</v>
      </c>
      <c r="AU1885" s="153">
        <v>0</v>
      </c>
      <c r="AV1885" s="135"/>
      <c r="AW1885" s="135"/>
      <c r="AX1885" s="135"/>
      <c r="AY1885" s="135"/>
      <c r="AZ1885" s="135"/>
      <c r="BA1885" s="135"/>
      <c r="BB1885" s="135"/>
      <c r="BC1885" s="135"/>
      <c r="BD1885" s="135"/>
      <c r="BE1885" s="135"/>
      <c r="BF1885" s="135"/>
      <c r="BG1885" s="135"/>
      <c r="BH1885" s="135"/>
      <c r="BI1885" s="2"/>
      <c r="BJ1885" s="136"/>
      <c r="BK1885" s="2"/>
      <c r="BL1885" s="136"/>
      <c r="BM1885" s="136"/>
      <c r="BN1885" s="2"/>
      <c r="BO1885" s="2"/>
      <c r="BP1885" s="136"/>
      <c r="BQ1885" s="137"/>
    </row>
    <row r="1886" spans="1:69" ht="12.75" customHeight="1" x14ac:dyDescent="0.2">
      <c r="A1886" s="2">
        <v>3375</v>
      </c>
      <c r="B1886" s="2"/>
      <c r="C1886" s="2"/>
      <c r="D1886" s="2"/>
      <c r="E1886" s="2"/>
      <c r="F1886" s="132">
        <v>0</v>
      </c>
      <c r="G1886" s="132"/>
      <c r="H1886" s="132">
        <f t="shared" si="213"/>
        <v>0</v>
      </c>
      <c r="I1886" s="132"/>
      <c r="J1886" s="132">
        <f t="shared" si="211"/>
        <v>0</v>
      </c>
      <c r="K1886" s="132">
        <f t="shared" si="214"/>
        <v>0</v>
      </c>
      <c r="L1886" s="132">
        <f t="shared" si="215"/>
        <v>0</v>
      </c>
      <c r="M1886" s="133"/>
      <c r="N1886" s="133">
        <f t="shared" si="212"/>
        <v>0</v>
      </c>
      <c r="O1886" s="134"/>
      <c r="P1886" s="133"/>
      <c r="Q1886" s="2"/>
      <c r="R1886" s="156">
        <f t="shared" si="216"/>
        <v>0</v>
      </c>
      <c r="S1886" s="156">
        <f t="shared" si="217"/>
        <v>0</v>
      </c>
      <c r="T1886" s="133"/>
      <c r="U1886" s="133"/>
      <c r="V1886" s="133"/>
      <c r="W1886" s="133"/>
      <c r="X1886" s="133"/>
      <c r="Y1886" s="133"/>
      <c r="Z1886" s="133"/>
      <c r="AA1886" s="133"/>
      <c r="AB1886" s="133"/>
      <c r="AC1886" s="133"/>
      <c r="AD1886" s="133"/>
      <c r="AE1886" s="133"/>
      <c r="AF1886" s="133"/>
      <c r="AG1886" s="133"/>
      <c r="AH1886" s="133"/>
      <c r="AI1886" s="133"/>
      <c r="AJ1886" s="133"/>
      <c r="AK1886" s="133"/>
      <c r="AL1886" s="133"/>
      <c r="AM1886" s="133"/>
      <c r="AN1886" s="133"/>
      <c r="AO1886" s="133"/>
      <c r="AP1886" s="133"/>
      <c r="AQ1886" s="133"/>
      <c r="AR1886" s="133"/>
      <c r="AS1886" s="153">
        <v>0</v>
      </c>
      <c r="AT1886" s="153">
        <v>0</v>
      </c>
      <c r="AU1886" s="153">
        <v>0</v>
      </c>
      <c r="AV1886" s="135"/>
      <c r="AW1886" s="135"/>
      <c r="AX1886" s="135"/>
      <c r="AY1886" s="135"/>
      <c r="AZ1886" s="135"/>
      <c r="BA1886" s="135"/>
      <c r="BB1886" s="135"/>
      <c r="BC1886" s="135"/>
      <c r="BD1886" s="135"/>
      <c r="BE1886" s="135"/>
      <c r="BF1886" s="135"/>
      <c r="BG1886" s="135"/>
      <c r="BH1886" s="135"/>
      <c r="BI1886" s="2"/>
      <c r="BJ1886" s="136"/>
      <c r="BK1886" s="2"/>
      <c r="BL1886" s="136"/>
      <c r="BM1886" s="136"/>
      <c r="BN1886" s="2"/>
      <c r="BO1886" s="2"/>
      <c r="BP1886" s="136"/>
      <c r="BQ1886" s="137"/>
    </row>
    <row r="1887" spans="1:69" ht="12.75" customHeight="1" x14ac:dyDescent="0.2">
      <c r="A1887" s="2">
        <v>3376</v>
      </c>
      <c r="B1887" s="2"/>
      <c r="C1887" s="2"/>
      <c r="D1887" s="2"/>
      <c r="E1887" s="2"/>
      <c r="F1887" s="132">
        <v>0</v>
      </c>
      <c r="G1887" s="132"/>
      <c r="H1887" s="132">
        <f t="shared" si="213"/>
        <v>0</v>
      </c>
      <c r="I1887" s="132"/>
      <c r="J1887" s="132">
        <f t="shared" si="211"/>
        <v>0</v>
      </c>
      <c r="K1887" s="132">
        <f t="shared" si="214"/>
        <v>0</v>
      </c>
      <c r="L1887" s="132">
        <f t="shared" si="215"/>
        <v>0</v>
      </c>
      <c r="M1887" s="133"/>
      <c r="N1887" s="133">
        <f t="shared" si="212"/>
        <v>0</v>
      </c>
      <c r="O1887" s="134"/>
      <c r="P1887" s="133"/>
      <c r="Q1887" s="2"/>
      <c r="R1887" s="156">
        <f t="shared" si="216"/>
        <v>0</v>
      </c>
      <c r="S1887" s="156">
        <f t="shared" si="217"/>
        <v>0</v>
      </c>
      <c r="T1887" s="133"/>
      <c r="U1887" s="133"/>
      <c r="V1887" s="133"/>
      <c r="W1887" s="133"/>
      <c r="X1887" s="133"/>
      <c r="Y1887" s="133"/>
      <c r="Z1887" s="133"/>
      <c r="AA1887" s="133"/>
      <c r="AB1887" s="133"/>
      <c r="AC1887" s="133"/>
      <c r="AD1887" s="133"/>
      <c r="AE1887" s="133"/>
      <c r="AF1887" s="133"/>
      <c r="AG1887" s="133"/>
      <c r="AH1887" s="133"/>
      <c r="AI1887" s="133"/>
      <c r="AJ1887" s="133"/>
      <c r="AK1887" s="133"/>
      <c r="AL1887" s="133"/>
      <c r="AM1887" s="133"/>
      <c r="AN1887" s="133"/>
      <c r="AO1887" s="133"/>
      <c r="AP1887" s="133"/>
      <c r="AQ1887" s="133"/>
      <c r="AR1887" s="133"/>
      <c r="AS1887" s="153">
        <v>0</v>
      </c>
      <c r="AT1887" s="153">
        <v>0</v>
      </c>
      <c r="AU1887" s="153">
        <v>0</v>
      </c>
      <c r="AV1887" s="135"/>
      <c r="AW1887" s="135"/>
      <c r="AX1887" s="135"/>
      <c r="AY1887" s="135"/>
      <c r="AZ1887" s="135"/>
      <c r="BA1887" s="135"/>
      <c r="BB1887" s="135"/>
      <c r="BC1887" s="135"/>
      <c r="BD1887" s="135"/>
      <c r="BE1887" s="135"/>
      <c r="BF1887" s="135"/>
      <c r="BG1887" s="135"/>
      <c r="BH1887" s="135"/>
      <c r="BI1887" s="2"/>
      <c r="BJ1887" s="136"/>
      <c r="BK1887" s="2"/>
      <c r="BL1887" s="136"/>
      <c r="BM1887" s="136"/>
      <c r="BN1887" s="2"/>
      <c r="BO1887" s="2"/>
      <c r="BP1887" s="136"/>
      <c r="BQ1887" s="137"/>
    </row>
    <row r="1888" spans="1:69" ht="12.75" customHeight="1" x14ac:dyDescent="0.2">
      <c r="A1888" s="2">
        <v>3377</v>
      </c>
      <c r="B1888" s="2"/>
      <c r="C1888" s="2"/>
      <c r="D1888" s="2"/>
      <c r="E1888" s="2"/>
      <c r="F1888" s="132">
        <v>0</v>
      </c>
      <c r="G1888" s="132"/>
      <c r="H1888" s="132">
        <f t="shared" si="213"/>
        <v>0</v>
      </c>
      <c r="I1888" s="132"/>
      <c r="J1888" s="132">
        <f t="shared" si="211"/>
        <v>0</v>
      </c>
      <c r="K1888" s="132">
        <f t="shared" si="214"/>
        <v>0</v>
      </c>
      <c r="L1888" s="132">
        <f t="shared" si="215"/>
        <v>0</v>
      </c>
      <c r="M1888" s="133"/>
      <c r="N1888" s="133">
        <f t="shared" si="212"/>
        <v>0</v>
      </c>
      <c r="O1888" s="134"/>
      <c r="P1888" s="133"/>
      <c r="Q1888" s="2"/>
      <c r="R1888" s="156">
        <f t="shared" si="216"/>
        <v>0</v>
      </c>
      <c r="S1888" s="156">
        <f t="shared" si="217"/>
        <v>0</v>
      </c>
      <c r="T1888" s="133"/>
      <c r="U1888" s="133"/>
      <c r="V1888" s="133"/>
      <c r="W1888" s="133"/>
      <c r="X1888" s="133"/>
      <c r="Y1888" s="133"/>
      <c r="Z1888" s="133"/>
      <c r="AA1888" s="133"/>
      <c r="AB1888" s="133"/>
      <c r="AC1888" s="133"/>
      <c r="AD1888" s="133"/>
      <c r="AE1888" s="133"/>
      <c r="AF1888" s="133"/>
      <c r="AG1888" s="133"/>
      <c r="AH1888" s="133"/>
      <c r="AI1888" s="133"/>
      <c r="AJ1888" s="133"/>
      <c r="AK1888" s="133"/>
      <c r="AL1888" s="133"/>
      <c r="AM1888" s="133"/>
      <c r="AN1888" s="133"/>
      <c r="AO1888" s="133"/>
      <c r="AP1888" s="133"/>
      <c r="AQ1888" s="133"/>
      <c r="AR1888" s="133"/>
      <c r="AS1888" s="153">
        <v>0</v>
      </c>
      <c r="AT1888" s="153">
        <v>0</v>
      </c>
      <c r="AU1888" s="153">
        <v>0</v>
      </c>
      <c r="AV1888" s="135"/>
      <c r="AW1888" s="135"/>
      <c r="AX1888" s="135"/>
      <c r="AY1888" s="135"/>
      <c r="AZ1888" s="135"/>
      <c r="BA1888" s="135"/>
      <c r="BB1888" s="135"/>
      <c r="BC1888" s="135"/>
      <c r="BD1888" s="135"/>
      <c r="BE1888" s="135"/>
      <c r="BF1888" s="135"/>
      <c r="BG1888" s="135"/>
      <c r="BH1888" s="135"/>
      <c r="BI1888" s="2"/>
      <c r="BJ1888" s="136"/>
      <c r="BK1888" s="2"/>
      <c r="BL1888" s="136"/>
      <c r="BM1888" s="136"/>
      <c r="BN1888" s="2"/>
      <c r="BO1888" s="2"/>
      <c r="BP1888" s="136"/>
      <c r="BQ1888" s="137"/>
    </row>
    <row r="1889" spans="1:69" ht="12.75" customHeight="1" x14ac:dyDescent="0.2">
      <c r="A1889" s="2">
        <v>3378</v>
      </c>
      <c r="B1889" s="2"/>
      <c r="C1889" s="2"/>
      <c r="D1889" s="2"/>
      <c r="E1889" s="2"/>
      <c r="F1889" s="132">
        <v>0</v>
      </c>
      <c r="G1889" s="132"/>
      <c r="H1889" s="132">
        <f t="shared" si="213"/>
        <v>0</v>
      </c>
      <c r="I1889" s="132"/>
      <c r="J1889" s="132">
        <f t="shared" si="211"/>
        <v>0</v>
      </c>
      <c r="K1889" s="132">
        <f t="shared" si="214"/>
        <v>0</v>
      </c>
      <c r="L1889" s="132">
        <f t="shared" si="215"/>
        <v>0</v>
      </c>
      <c r="M1889" s="133"/>
      <c r="N1889" s="133">
        <f t="shared" si="212"/>
        <v>0</v>
      </c>
      <c r="O1889" s="134"/>
      <c r="P1889" s="133"/>
      <c r="Q1889" s="2"/>
      <c r="R1889" s="156">
        <f t="shared" si="216"/>
        <v>0</v>
      </c>
      <c r="S1889" s="156">
        <f t="shared" si="217"/>
        <v>0</v>
      </c>
      <c r="T1889" s="133"/>
      <c r="U1889" s="133"/>
      <c r="V1889" s="133"/>
      <c r="W1889" s="133"/>
      <c r="X1889" s="133"/>
      <c r="Y1889" s="133"/>
      <c r="Z1889" s="133"/>
      <c r="AA1889" s="133"/>
      <c r="AB1889" s="133"/>
      <c r="AC1889" s="133"/>
      <c r="AD1889" s="133"/>
      <c r="AE1889" s="133"/>
      <c r="AF1889" s="133"/>
      <c r="AG1889" s="133"/>
      <c r="AH1889" s="133"/>
      <c r="AI1889" s="133"/>
      <c r="AJ1889" s="133"/>
      <c r="AK1889" s="133"/>
      <c r="AL1889" s="133"/>
      <c r="AM1889" s="133"/>
      <c r="AN1889" s="133"/>
      <c r="AO1889" s="133"/>
      <c r="AP1889" s="133"/>
      <c r="AQ1889" s="133"/>
      <c r="AR1889" s="133"/>
      <c r="AS1889" s="153">
        <v>0</v>
      </c>
      <c r="AT1889" s="153">
        <v>0</v>
      </c>
      <c r="AU1889" s="153">
        <v>0</v>
      </c>
      <c r="AV1889" s="135"/>
      <c r="AW1889" s="135"/>
      <c r="AX1889" s="135"/>
      <c r="AY1889" s="135"/>
      <c r="AZ1889" s="135"/>
      <c r="BA1889" s="135"/>
      <c r="BB1889" s="135"/>
      <c r="BC1889" s="135"/>
      <c r="BD1889" s="135"/>
      <c r="BE1889" s="135"/>
      <c r="BF1889" s="135"/>
      <c r="BG1889" s="135"/>
      <c r="BH1889" s="135"/>
      <c r="BI1889" s="2"/>
      <c r="BJ1889" s="136"/>
      <c r="BK1889" s="2"/>
      <c r="BL1889" s="136"/>
      <c r="BM1889" s="136"/>
      <c r="BN1889" s="2"/>
      <c r="BO1889" s="2"/>
      <c r="BP1889" s="136"/>
      <c r="BQ1889" s="137"/>
    </row>
    <row r="1890" spans="1:69" ht="12.75" customHeight="1" x14ac:dyDescent="0.2">
      <c r="A1890" s="2">
        <v>3379</v>
      </c>
      <c r="B1890" s="2"/>
      <c r="C1890" s="2"/>
      <c r="D1890" s="2"/>
      <c r="E1890" s="2"/>
      <c r="F1890" s="132">
        <v>0</v>
      </c>
      <c r="G1890" s="132"/>
      <c r="H1890" s="132">
        <f t="shared" si="213"/>
        <v>0</v>
      </c>
      <c r="I1890" s="132"/>
      <c r="J1890" s="132">
        <f t="shared" si="211"/>
        <v>0</v>
      </c>
      <c r="K1890" s="132">
        <f t="shared" si="214"/>
        <v>0</v>
      </c>
      <c r="L1890" s="132">
        <f t="shared" si="215"/>
        <v>0</v>
      </c>
      <c r="M1890" s="133"/>
      <c r="N1890" s="133">
        <f t="shared" si="212"/>
        <v>0</v>
      </c>
      <c r="O1890" s="134"/>
      <c r="P1890" s="133"/>
      <c r="Q1890" s="2"/>
      <c r="R1890" s="156">
        <f t="shared" si="216"/>
        <v>0</v>
      </c>
      <c r="S1890" s="156">
        <f t="shared" si="217"/>
        <v>0</v>
      </c>
      <c r="T1890" s="133"/>
      <c r="U1890" s="133"/>
      <c r="V1890" s="133"/>
      <c r="W1890" s="133"/>
      <c r="X1890" s="133"/>
      <c r="Y1890" s="133"/>
      <c r="Z1890" s="133"/>
      <c r="AA1890" s="133"/>
      <c r="AB1890" s="133"/>
      <c r="AC1890" s="133"/>
      <c r="AD1890" s="133"/>
      <c r="AE1890" s="133"/>
      <c r="AF1890" s="133"/>
      <c r="AG1890" s="133"/>
      <c r="AH1890" s="133"/>
      <c r="AI1890" s="133"/>
      <c r="AJ1890" s="133"/>
      <c r="AK1890" s="133"/>
      <c r="AL1890" s="133"/>
      <c r="AM1890" s="133"/>
      <c r="AN1890" s="133"/>
      <c r="AO1890" s="133"/>
      <c r="AP1890" s="133"/>
      <c r="AQ1890" s="133"/>
      <c r="AR1890" s="133"/>
      <c r="AS1890" s="153">
        <v>0</v>
      </c>
      <c r="AT1890" s="153">
        <v>0</v>
      </c>
      <c r="AU1890" s="153">
        <v>0</v>
      </c>
      <c r="AV1890" s="135"/>
      <c r="AW1890" s="135"/>
      <c r="AX1890" s="135"/>
      <c r="AY1890" s="135"/>
      <c r="AZ1890" s="135"/>
      <c r="BA1890" s="135"/>
      <c r="BB1890" s="135"/>
      <c r="BC1890" s="135"/>
      <c r="BD1890" s="135"/>
      <c r="BE1890" s="135"/>
      <c r="BF1890" s="135"/>
      <c r="BG1890" s="135"/>
      <c r="BH1890" s="135"/>
      <c r="BI1890" s="2"/>
      <c r="BJ1890" s="136"/>
      <c r="BK1890" s="2"/>
      <c r="BL1890" s="136"/>
      <c r="BM1890" s="136"/>
      <c r="BN1890" s="2"/>
      <c r="BO1890" s="2"/>
      <c r="BP1890" s="136"/>
      <c r="BQ1890" s="137"/>
    </row>
    <row r="1891" spans="1:69" ht="12.75" customHeight="1" x14ac:dyDescent="0.2">
      <c r="A1891" s="2">
        <v>3380</v>
      </c>
      <c r="B1891" s="2"/>
      <c r="C1891" s="2"/>
      <c r="D1891" s="2"/>
      <c r="E1891" s="2"/>
      <c r="F1891" s="132">
        <v>0</v>
      </c>
      <c r="G1891" s="132"/>
      <c r="H1891" s="132">
        <f t="shared" si="213"/>
        <v>0</v>
      </c>
      <c r="I1891" s="132"/>
      <c r="J1891" s="132">
        <f t="shared" si="211"/>
        <v>0</v>
      </c>
      <c r="K1891" s="132">
        <f t="shared" si="214"/>
        <v>0</v>
      </c>
      <c r="L1891" s="132">
        <f t="shared" si="215"/>
        <v>0</v>
      </c>
      <c r="M1891" s="133"/>
      <c r="N1891" s="133">
        <f t="shared" si="212"/>
        <v>0</v>
      </c>
      <c r="O1891" s="134"/>
      <c r="P1891" s="133"/>
      <c r="Q1891" s="2"/>
      <c r="R1891" s="156">
        <f t="shared" si="216"/>
        <v>0</v>
      </c>
      <c r="S1891" s="156">
        <f t="shared" si="217"/>
        <v>0</v>
      </c>
      <c r="T1891" s="133"/>
      <c r="U1891" s="133"/>
      <c r="V1891" s="133"/>
      <c r="W1891" s="133"/>
      <c r="X1891" s="133"/>
      <c r="Y1891" s="133"/>
      <c r="Z1891" s="133"/>
      <c r="AA1891" s="133"/>
      <c r="AB1891" s="133"/>
      <c r="AC1891" s="133"/>
      <c r="AD1891" s="133"/>
      <c r="AE1891" s="133"/>
      <c r="AF1891" s="133"/>
      <c r="AG1891" s="133"/>
      <c r="AH1891" s="133"/>
      <c r="AI1891" s="133"/>
      <c r="AJ1891" s="133"/>
      <c r="AK1891" s="133"/>
      <c r="AL1891" s="133"/>
      <c r="AM1891" s="133"/>
      <c r="AN1891" s="133"/>
      <c r="AO1891" s="133"/>
      <c r="AP1891" s="133"/>
      <c r="AQ1891" s="133"/>
      <c r="AR1891" s="133"/>
      <c r="AS1891" s="153">
        <v>0</v>
      </c>
      <c r="AT1891" s="153">
        <v>0</v>
      </c>
      <c r="AU1891" s="153">
        <v>0</v>
      </c>
      <c r="AV1891" s="135"/>
      <c r="AW1891" s="135"/>
      <c r="AX1891" s="135"/>
      <c r="AY1891" s="135"/>
      <c r="AZ1891" s="135"/>
      <c r="BA1891" s="135"/>
      <c r="BB1891" s="135"/>
      <c r="BC1891" s="135"/>
      <c r="BD1891" s="135"/>
      <c r="BE1891" s="135"/>
      <c r="BF1891" s="135"/>
      <c r="BG1891" s="135"/>
      <c r="BH1891" s="135"/>
      <c r="BI1891" s="2"/>
      <c r="BJ1891" s="136"/>
      <c r="BK1891" s="2"/>
      <c r="BL1891" s="136"/>
      <c r="BM1891" s="136"/>
      <c r="BN1891" s="2"/>
      <c r="BO1891" s="2"/>
      <c r="BP1891" s="136"/>
      <c r="BQ1891" s="137"/>
    </row>
    <row r="1892" spans="1:69" ht="12.75" customHeight="1" x14ac:dyDescent="0.2">
      <c r="A1892" s="2">
        <v>3381</v>
      </c>
      <c r="B1892" s="2"/>
      <c r="C1892" s="2"/>
      <c r="D1892" s="2"/>
      <c r="E1892" s="2"/>
      <c r="F1892" s="132">
        <v>0</v>
      </c>
      <c r="G1892" s="132"/>
      <c r="H1892" s="132">
        <f t="shared" si="213"/>
        <v>0</v>
      </c>
      <c r="I1892" s="132"/>
      <c r="J1892" s="132">
        <f t="shared" ref="J1892:J1955" si="218">S1892</f>
        <v>0</v>
      </c>
      <c r="K1892" s="132">
        <f t="shared" si="214"/>
        <v>0</v>
      </c>
      <c r="L1892" s="132">
        <f t="shared" si="215"/>
        <v>0</v>
      </c>
      <c r="M1892" s="133"/>
      <c r="N1892" s="133">
        <f t="shared" si="212"/>
        <v>0</v>
      </c>
      <c r="O1892" s="134"/>
      <c r="P1892" s="133"/>
      <c r="Q1892" s="2"/>
      <c r="R1892" s="156">
        <f t="shared" si="216"/>
        <v>0</v>
      </c>
      <c r="S1892" s="156">
        <f t="shared" si="217"/>
        <v>0</v>
      </c>
      <c r="T1892" s="133"/>
      <c r="U1892" s="133"/>
      <c r="V1892" s="133"/>
      <c r="W1892" s="133"/>
      <c r="X1892" s="133"/>
      <c r="Y1892" s="133"/>
      <c r="Z1892" s="133"/>
      <c r="AA1892" s="133"/>
      <c r="AB1892" s="133"/>
      <c r="AC1892" s="133"/>
      <c r="AD1892" s="133"/>
      <c r="AE1892" s="133"/>
      <c r="AF1892" s="133"/>
      <c r="AG1892" s="133"/>
      <c r="AH1892" s="133"/>
      <c r="AI1892" s="133"/>
      <c r="AJ1892" s="133"/>
      <c r="AK1892" s="133"/>
      <c r="AL1892" s="133"/>
      <c r="AM1892" s="133"/>
      <c r="AN1892" s="133"/>
      <c r="AO1892" s="133"/>
      <c r="AP1892" s="133"/>
      <c r="AQ1892" s="133"/>
      <c r="AR1892" s="133"/>
      <c r="AS1892" s="153">
        <v>0</v>
      </c>
      <c r="AT1892" s="153">
        <v>0</v>
      </c>
      <c r="AU1892" s="153">
        <v>0</v>
      </c>
      <c r="AV1892" s="135"/>
      <c r="AW1892" s="135"/>
      <c r="AX1892" s="135"/>
      <c r="AY1892" s="135"/>
      <c r="AZ1892" s="135"/>
      <c r="BA1892" s="135"/>
      <c r="BB1892" s="135"/>
      <c r="BC1892" s="135"/>
      <c r="BD1892" s="135"/>
      <c r="BE1892" s="135"/>
      <c r="BF1892" s="135"/>
      <c r="BG1892" s="135"/>
      <c r="BH1892" s="135"/>
      <c r="BI1892" s="2"/>
      <c r="BJ1892" s="136"/>
      <c r="BK1892" s="2"/>
      <c r="BL1892" s="136"/>
      <c r="BM1892" s="136"/>
      <c r="BN1892" s="2"/>
      <c r="BO1892" s="2"/>
      <c r="BP1892" s="136"/>
      <c r="BQ1892" s="137"/>
    </row>
    <row r="1893" spans="1:69" ht="12.75" customHeight="1" x14ac:dyDescent="0.2">
      <c r="A1893" s="2">
        <v>3382</v>
      </c>
      <c r="B1893" s="2"/>
      <c r="C1893" s="2"/>
      <c r="D1893" s="2"/>
      <c r="E1893" s="2"/>
      <c r="F1893" s="132">
        <v>0</v>
      </c>
      <c r="G1893" s="132"/>
      <c r="H1893" s="132">
        <f t="shared" si="213"/>
        <v>0</v>
      </c>
      <c r="I1893" s="132"/>
      <c r="J1893" s="132">
        <f t="shared" si="218"/>
        <v>0</v>
      </c>
      <c r="K1893" s="132">
        <f t="shared" si="214"/>
        <v>0</v>
      </c>
      <c r="L1893" s="132">
        <f t="shared" si="215"/>
        <v>0</v>
      </c>
      <c r="M1893" s="133"/>
      <c r="N1893" s="133">
        <f t="shared" si="212"/>
        <v>0</v>
      </c>
      <c r="O1893" s="134"/>
      <c r="P1893" s="133"/>
      <c r="Q1893" s="2"/>
      <c r="R1893" s="156">
        <f t="shared" si="216"/>
        <v>0</v>
      </c>
      <c r="S1893" s="156">
        <f t="shared" si="217"/>
        <v>0</v>
      </c>
      <c r="T1893" s="133"/>
      <c r="U1893" s="133"/>
      <c r="V1893" s="133"/>
      <c r="W1893" s="133"/>
      <c r="X1893" s="133"/>
      <c r="Y1893" s="133"/>
      <c r="Z1893" s="133"/>
      <c r="AA1893" s="133"/>
      <c r="AB1893" s="133"/>
      <c r="AC1893" s="133"/>
      <c r="AD1893" s="133"/>
      <c r="AE1893" s="133"/>
      <c r="AF1893" s="133"/>
      <c r="AG1893" s="133"/>
      <c r="AH1893" s="133"/>
      <c r="AI1893" s="133"/>
      <c r="AJ1893" s="133"/>
      <c r="AK1893" s="133"/>
      <c r="AL1893" s="133"/>
      <c r="AM1893" s="133"/>
      <c r="AN1893" s="133"/>
      <c r="AO1893" s="133"/>
      <c r="AP1893" s="133"/>
      <c r="AQ1893" s="133"/>
      <c r="AR1893" s="133"/>
      <c r="AS1893" s="153">
        <v>0</v>
      </c>
      <c r="AT1893" s="153">
        <v>0</v>
      </c>
      <c r="AU1893" s="153">
        <v>0</v>
      </c>
      <c r="AV1893" s="135"/>
      <c r="AW1893" s="135"/>
      <c r="AX1893" s="135"/>
      <c r="AY1893" s="135"/>
      <c r="AZ1893" s="135"/>
      <c r="BA1893" s="135"/>
      <c r="BB1893" s="135"/>
      <c r="BC1893" s="135"/>
      <c r="BD1893" s="135"/>
      <c r="BE1893" s="135"/>
      <c r="BF1893" s="135"/>
      <c r="BG1893" s="135"/>
      <c r="BH1893" s="135"/>
      <c r="BI1893" s="2"/>
      <c r="BJ1893" s="136"/>
      <c r="BK1893" s="2"/>
      <c r="BL1893" s="136"/>
      <c r="BM1893" s="136"/>
      <c r="BN1893" s="2"/>
      <c r="BO1893" s="2"/>
      <c r="BP1893" s="136"/>
      <c r="BQ1893" s="137"/>
    </row>
    <row r="1894" spans="1:69" ht="12.75" customHeight="1" x14ac:dyDescent="0.2">
      <c r="A1894" s="2">
        <v>3383</v>
      </c>
      <c r="B1894" s="2"/>
      <c r="C1894" s="2"/>
      <c r="D1894" s="2"/>
      <c r="E1894" s="2"/>
      <c r="F1894" s="132">
        <v>0</v>
      </c>
      <c r="G1894" s="132"/>
      <c r="H1894" s="132">
        <f t="shared" si="213"/>
        <v>0</v>
      </c>
      <c r="I1894" s="132"/>
      <c r="J1894" s="132">
        <f t="shared" si="218"/>
        <v>0</v>
      </c>
      <c r="K1894" s="132">
        <f t="shared" si="214"/>
        <v>0</v>
      </c>
      <c r="L1894" s="132">
        <f t="shared" si="215"/>
        <v>0</v>
      </c>
      <c r="M1894" s="133"/>
      <c r="N1894" s="133">
        <f t="shared" si="212"/>
        <v>0</v>
      </c>
      <c r="O1894" s="134"/>
      <c r="P1894" s="133"/>
      <c r="Q1894" s="2"/>
      <c r="R1894" s="156">
        <f t="shared" si="216"/>
        <v>0</v>
      </c>
      <c r="S1894" s="156">
        <f t="shared" si="217"/>
        <v>0</v>
      </c>
      <c r="T1894" s="133"/>
      <c r="U1894" s="133"/>
      <c r="V1894" s="133"/>
      <c r="W1894" s="133"/>
      <c r="X1894" s="133"/>
      <c r="Y1894" s="133"/>
      <c r="Z1894" s="133"/>
      <c r="AA1894" s="133"/>
      <c r="AB1894" s="133"/>
      <c r="AC1894" s="133"/>
      <c r="AD1894" s="133"/>
      <c r="AE1894" s="133"/>
      <c r="AF1894" s="133"/>
      <c r="AG1894" s="133"/>
      <c r="AH1894" s="133"/>
      <c r="AI1894" s="133"/>
      <c r="AJ1894" s="133"/>
      <c r="AK1894" s="133"/>
      <c r="AL1894" s="133"/>
      <c r="AM1894" s="133"/>
      <c r="AN1894" s="133"/>
      <c r="AO1894" s="133"/>
      <c r="AP1894" s="133"/>
      <c r="AQ1894" s="133"/>
      <c r="AR1894" s="133"/>
      <c r="AS1894" s="153">
        <v>0</v>
      </c>
      <c r="AT1894" s="153">
        <v>0</v>
      </c>
      <c r="AU1894" s="153">
        <v>0</v>
      </c>
      <c r="AV1894" s="135"/>
      <c r="AW1894" s="135"/>
      <c r="AX1894" s="135"/>
      <c r="AY1894" s="135"/>
      <c r="AZ1894" s="135"/>
      <c r="BA1894" s="135"/>
      <c r="BB1894" s="135"/>
      <c r="BC1894" s="135"/>
      <c r="BD1894" s="135"/>
      <c r="BE1894" s="135"/>
      <c r="BF1894" s="135"/>
      <c r="BG1894" s="135"/>
      <c r="BH1894" s="135"/>
      <c r="BI1894" s="2"/>
      <c r="BJ1894" s="136"/>
      <c r="BK1894" s="2"/>
      <c r="BL1894" s="136"/>
      <c r="BM1894" s="136"/>
      <c r="BN1894" s="2"/>
      <c r="BO1894" s="2"/>
      <c r="BP1894" s="136"/>
      <c r="BQ1894" s="137"/>
    </row>
    <row r="1895" spans="1:69" ht="12.75" customHeight="1" x14ac:dyDescent="0.2">
      <c r="A1895" s="2">
        <v>3384</v>
      </c>
      <c r="B1895" s="2"/>
      <c r="C1895" s="2"/>
      <c r="D1895" s="2"/>
      <c r="E1895" s="2"/>
      <c r="F1895" s="132">
        <v>0</v>
      </c>
      <c r="G1895" s="132"/>
      <c r="H1895" s="132">
        <f t="shared" si="213"/>
        <v>0</v>
      </c>
      <c r="I1895" s="132"/>
      <c r="J1895" s="132">
        <f t="shared" si="218"/>
        <v>0</v>
      </c>
      <c r="K1895" s="132">
        <f t="shared" si="214"/>
        <v>0</v>
      </c>
      <c r="L1895" s="132">
        <f t="shared" si="215"/>
        <v>0</v>
      </c>
      <c r="M1895" s="133"/>
      <c r="N1895" s="133">
        <f t="shared" si="212"/>
        <v>0</v>
      </c>
      <c r="O1895" s="134"/>
      <c r="P1895" s="133"/>
      <c r="Q1895" s="2"/>
      <c r="R1895" s="156">
        <f t="shared" si="216"/>
        <v>0</v>
      </c>
      <c r="S1895" s="156">
        <f t="shared" si="217"/>
        <v>0</v>
      </c>
      <c r="T1895" s="133"/>
      <c r="U1895" s="133"/>
      <c r="V1895" s="133"/>
      <c r="W1895" s="133"/>
      <c r="X1895" s="133"/>
      <c r="Y1895" s="133"/>
      <c r="Z1895" s="133"/>
      <c r="AA1895" s="133"/>
      <c r="AB1895" s="133"/>
      <c r="AC1895" s="133"/>
      <c r="AD1895" s="133"/>
      <c r="AE1895" s="133"/>
      <c r="AF1895" s="133"/>
      <c r="AG1895" s="133"/>
      <c r="AH1895" s="133"/>
      <c r="AI1895" s="133"/>
      <c r="AJ1895" s="133"/>
      <c r="AK1895" s="133"/>
      <c r="AL1895" s="133"/>
      <c r="AM1895" s="133"/>
      <c r="AN1895" s="133"/>
      <c r="AO1895" s="133"/>
      <c r="AP1895" s="133"/>
      <c r="AQ1895" s="133"/>
      <c r="AR1895" s="133"/>
      <c r="AS1895" s="153">
        <v>0</v>
      </c>
      <c r="AT1895" s="153">
        <v>0</v>
      </c>
      <c r="AU1895" s="153">
        <v>0</v>
      </c>
      <c r="AV1895" s="135"/>
      <c r="AW1895" s="135"/>
      <c r="AX1895" s="135"/>
      <c r="AY1895" s="135"/>
      <c r="AZ1895" s="135"/>
      <c r="BA1895" s="135"/>
      <c r="BB1895" s="135"/>
      <c r="BC1895" s="135"/>
      <c r="BD1895" s="135"/>
      <c r="BE1895" s="135"/>
      <c r="BF1895" s="135"/>
      <c r="BG1895" s="135"/>
      <c r="BH1895" s="135"/>
      <c r="BI1895" s="2"/>
      <c r="BJ1895" s="136"/>
      <c r="BK1895" s="2"/>
      <c r="BL1895" s="136"/>
      <c r="BM1895" s="136"/>
      <c r="BN1895" s="2"/>
      <c r="BO1895" s="2"/>
      <c r="BP1895" s="136"/>
      <c r="BQ1895" s="137"/>
    </row>
    <row r="1896" spans="1:69" ht="12.75" customHeight="1" x14ac:dyDescent="0.2">
      <c r="A1896" s="2">
        <v>3385</v>
      </c>
      <c r="B1896" s="2"/>
      <c r="C1896" s="2"/>
      <c r="D1896" s="2"/>
      <c r="E1896" s="2"/>
      <c r="F1896" s="132">
        <v>0</v>
      </c>
      <c r="G1896" s="132"/>
      <c r="H1896" s="132">
        <f t="shared" si="213"/>
        <v>0</v>
      </c>
      <c r="I1896" s="132"/>
      <c r="J1896" s="132">
        <f t="shared" si="218"/>
        <v>0</v>
      </c>
      <c r="K1896" s="132">
        <f t="shared" si="214"/>
        <v>0</v>
      </c>
      <c r="L1896" s="132">
        <f t="shared" si="215"/>
        <v>0</v>
      </c>
      <c r="M1896" s="133"/>
      <c r="N1896" s="133">
        <f t="shared" si="212"/>
        <v>0</v>
      </c>
      <c r="O1896" s="134"/>
      <c r="P1896" s="133"/>
      <c r="Q1896" s="2"/>
      <c r="R1896" s="156">
        <f t="shared" si="216"/>
        <v>0</v>
      </c>
      <c r="S1896" s="156">
        <f t="shared" si="217"/>
        <v>0</v>
      </c>
      <c r="T1896" s="133"/>
      <c r="U1896" s="133"/>
      <c r="V1896" s="133"/>
      <c r="W1896" s="133"/>
      <c r="X1896" s="133"/>
      <c r="Y1896" s="133"/>
      <c r="Z1896" s="133"/>
      <c r="AA1896" s="133"/>
      <c r="AB1896" s="133"/>
      <c r="AC1896" s="133"/>
      <c r="AD1896" s="133"/>
      <c r="AE1896" s="133"/>
      <c r="AF1896" s="133"/>
      <c r="AG1896" s="133"/>
      <c r="AH1896" s="133"/>
      <c r="AI1896" s="133"/>
      <c r="AJ1896" s="133"/>
      <c r="AK1896" s="133"/>
      <c r="AL1896" s="133"/>
      <c r="AM1896" s="133"/>
      <c r="AN1896" s="133"/>
      <c r="AO1896" s="133"/>
      <c r="AP1896" s="133"/>
      <c r="AQ1896" s="133"/>
      <c r="AR1896" s="133"/>
      <c r="AS1896" s="153">
        <v>0</v>
      </c>
      <c r="AT1896" s="153">
        <v>0</v>
      </c>
      <c r="AU1896" s="153">
        <v>0</v>
      </c>
      <c r="AV1896" s="135"/>
      <c r="AW1896" s="135"/>
      <c r="AX1896" s="135"/>
      <c r="AY1896" s="135"/>
      <c r="AZ1896" s="135"/>
      <c r="BA1896" s="135"/>
      <c r="BB1896" s="135"/>
      <c r="BC1896" s="135"/>
      <c r="BD1896" s="135"/>
      <c r="BE1896" s="135"/>
      <c r="BF1896" s="135"/>
      <c r="BG1896" s="135"/>
      <c r="BH1896" s="135"/>
      <c r="BI1896" s="2"/>
      <c r="BJ1896" s="136"/>
      <c r="BK1896" s="2"/>
      <c r="BL1896" s="136"/>
      <c r="BM1896" s="136"/>
      <c r="BN1896" s="2"/>
      <c r="BO1896" s="2"/>
      <c r="BP1896" s="136"/>
      <c r="BQ1896" s="137"/>
    </row>
    <row r="1897" spans="1:69" ht="12.75" customHeight="1" x14ac:dyDescent="0.2">
      <c r="A1897" s="2">
        <v>3386</v>
      </c>
      <c r="B1897" s="2"/>
      <c r="C1897" s="2"/>
      <c r="D1897" s="2"/>
      <c r="E1897" s="2"/>
      <c r="F1897" s="132">
        <v>0</v>
      </c>
      <c r="G1897" s="132"/>
      <c r="H1897" s="132">
        <f t="shared" si="213"/>
        <v>0</v>
      </c>
      <c r="I1897" s="132"/>
      <c r="J1897" s="132">
        <f t="shared" si="218"/>
        <v>0</v>
      </c>
      <c r="K1897" s="132">
        <f t="shared" si="214"/>
        <v>0</v>
      </c>
      <c r="L1897" s="132">
        <f t="shared" si="215"/>
        <v>0</v>
      </c>
      <c r="M1897" s="133"/>
      <c r="N1897" s="133">
        <f t="shared" si="212"/>
        <v>0</v>
      </c>
      <c r="O1897" s="134"/>
      <c r="P1897" s="133"/>
      <c r="Q1897" s="2"/>
      <c r="R1897" s="156">
        <f t="shared" si="216"/>
        <v>0</v>
      </c>
      <c r="S1897" s="156">
        <f t="shared" si="217"/>
        <v>0</v>
      </c>
      <c r="T1897" s="133"/>
      <c r="U1897" s="133"/>
      <c r="V1897" s="133"/>
      <c r="W1897" s="133"/>
      <c r="X1897" s="133"/>
      <c r="Y1897" s="133"/>
      <c r="Z1897" s="133"/>
      <c r="AA1897" s="133"/>
      <c r="AB1897" s="133"/>
      <c r="AC1897" s="133"/>
      <c r="AD1897" s="133"/>
      <c r="AE1897" s="133"/>
      <c r="AF1897" s="133"/>
      <c r="AG1897" s="133"/>
      <c r="AH1897" s="133"/>
      <c r="AI1897" s="133"/>
      <c r="AJ1897" s="133"/>
      <c r="AK1897" s="133"/>
      <c r="AL1897" s="133"/>
      <c r="AM1897" s="133"/>
      <c r="AN1897" s="133"/>
      <c r="AO1897" s="133"/>
      <c r="AP1897" s="133"/>
      <c r="AQ1897" s="133"/>
      <c r="AR1897" s="133"/>
      <c r="AS1897" s="153">
        <v>0</v>
      </c>
      <c r="AT1897" s="153">
        <v>0</v>
      </c>
      <c r="AU1897" s="153">
        <v>0</v>
      </c>
      <c r="AV1897" s="135"/>
      <c r="AW1897" s="135"/>
      <c r="AX1897" s="135"/>
      <c r="AY1897" s="135"/>
      <c r="AZ1897" s="135"/>
      <c r="BA1897" s="135"/>
      <c r="BB1897" s="135"/>
      <c r="BC1897" s="135"/>
      <c r="BD1897" s="135"/>
      <c r="BE1897" s="135"/>
      <c r="BF1897" s="135"/>
      <c r="BG1897" s="135"/>
      <c r="BH1897" s="135"/>
      <c r="BI1897" s="2"/>
      <c r="BJ1897" s="136"/>
      <c r="BK1897" s="2"/>
      <c r="BL1897" s="136"/>
      <c r="BM1897" s="136"/>
      <c r="BN1897" s="2"/>
      <c r="BO1897" s="2"/>
      <c r="BP1897" s="136"/>
      <c r="BQ1897" s="137"/>
    </row>
    <row r="1898" spans="1:69" ht="12.75" customHeight="1" x14ac:dyDescent="0.2">
      <c r="A1898" s="2">
        <v>3387</v>
      </c>
      <c r="B1898" s="2"/>
      <c r="C1898" s="2"/>
      <c r="D1898" s="2"/>
      <c r="E1898" s="2"/>
      <c r="F1898" s="132">
        <v>0</v>
      </c>
      <c r="G1898" s="132"/>
      <c r="H1898" s="132">
        <f t="shared" si="213"/>
        <v>0</v>
      </c>
      <c r="I1898" s="132"/>
      <c r="J1898" s="132">
        <f t="shared" si="218"/>
        <v>0</v>
      </c>
      <c r="K1898" s="132">
        <f t="shared" si="214"/>
        <v>0</v>
      </c>
      <c r="L1898" s="132">
        <f t="shared" si="215"/>
        <v>0</v>
      </c>
      <c r="M1898" s="133"/>
      <c r="N1898" s="133">
        <f t="shared" ref="N1898:N1961" si="219">IF(OR(BK1898="принят",BK1898="Завершено",BK1898="ПриПро"),H1898-J1898,F1898-J1898)</f>
        <v>0</v>
      </c>
      <c r="O1898" s="134"/>
      <c r="P1898" s="133"/>
      <c r="Q1898" s="2"/>
      <c r="R1898" s="156">
        <f t="shared" si="216"/>
        <v>0</v>
      </c>
      <c r="S1898" s="156">
        <f t="shared" si="217"/>
        <v>0</v>
      </c>
      <c r="T1898" s="133"/>
      <c r="U1898" s="133"/>
      <c r="V1898" s="133"/>
      <c r="W1898" s="133"/>
      <c r="X1898" s="133"/>
      <c r="Y1898" s="133"/>
      <c r="Z1898" s="133"/>
      <c r="AA1898" s="133"/>
      <c r="AB1898" s="133"/>
      <c r="AC1898" s="133"/>
      <c r="AD1898" s="133"/>
      <c r="AE1898" s="133"/>
      <c r="AF1898" s="133"/>
      <c r="AG1898" s="133"/>
      <c r="AH1898" s="133"/>
      <c r="AI1898" s="133"/>
      <c r="AJ1898" s="133"/>
      <c r="AK1898" s="133"/>
      <c r="AL1898" s="133"/>
      <c r="AM1898" s="133"/>
      <c r="AN1898" s="133"/>
      <c r="AO1898" s="133"/>
      <c r="AP1898" s="133"/>
      <c r="AQ1898" s="133"/>
      <c r="AR1898" s="133"/>
      <c r="AS1898" s="153">
        <v>0</v>
      </c>
      <c r="AT1898" s="153">
        <v>0</v>
      </c>
      <c r="AU1898" s="153">
        <v>0</v>
      </c>
      <c r="AV1898" s="135"/>
      <c r="AW1898" s="135"/>
      <c r="AX1898" s="135"/>
      <c r="AY1898" s="135"/>
      <c r="AZ1898" s="135"/>
      <c r="BA1898" s="135"/>
      <c r="BB1898" s="135"/>
      <c r="BC1898" s="135"/>
      <c r="BD1898" s="135"/>
      <c r="BE1898" s="135"/>
      <c r="BF1898" s="135"/>
      <c r="BG1898" s="135"/>
      <c r="BH1898" s="135"/>
      <c r="BI1898" s="2"/>
      <c r="BJ1898" s="136"/>
      <c r="BK1898" s="2"/>
      <c r="BL1898" s="136"/>
      <c r="BM1898" s="136"/>
      <c r="BN1898" s="2"/>
      <c r="BO1898" s="2"/>
      <c r="BP1898" s="136"/>
      <c r="BQ1898" s="137"/>
    </row>
    <row r="1899" spans="1:69" ht="12.75" customHeight="1" x14ac:dyDescent="0.2">
      <c r="A1899" s="2">
        <v>3388</v>
      </c>
      <c r="B1899" s="2"/>
      <c r="C1899" s="2"/>
      <c r="D1899" s="2"/>
      <c r="E1899" s="2"/>
      <c r="F1899" s="132">
        <v>0</v>
      </c>
      <c r="G1899" s="132"/>
      <c r="H1899" s="132">
        <f t="shared" si="213"/>
        <v>0</v>
      </c>
      <c r="I1899" s="132"/>
      <c r="J1899" s="132">
        <f t="shared" si="218"/>
        <v>0</v>
      </c>
      <c r="K1899" s="132">
        <f t="shared" si="214"/>
        <v>0</v>
      </c>
      <c r="L1899" s="132">
        <f t="shared" si="215"/>
        <v>0</v>
      </c>
      <c r="M1899" s="133"/>
      <c r="N1899" s="133">
        <f t="shared" si="219"/>
        <v>0</v>
      </c>
      <c r="O1899" s="134"/>
      <c r="P1899" s="133"/>
      <c r="Q1899" s="2"/>
      <c r="R1899" s="156">
        <f t="shared" si="216"/>
        <v>0</v>
      </c>
      <c r="S1899" s="156">
        <f t="shared" si="217"/>
        <v>0</v>
      </c>
      <c r="T1899" s="133"/>
      <c r="U1899" s="133"/>
      <c r="V1899" s="133"/>
      <c r="W1899" s="133"/>
      <c r="X1899" s="133"/>
      <c r="Y1899" s="133"/>
      <c r="Z1899" s="133"/>
      <c r="AA1899" s="133"/>
      <c r="AB1899" s="133"/>
      <c r="AC1899" s="133"/>
      <c r="AD1899" s="133"/>
      <c r="AE1899" s="133"/>
      <c r="AF1899" s="133"/>
      <c r="AG1899" s="133"/>
      <c r="AH1899" s="133"/>
      <c r="AI1899" s="133"/>
      <c r="AJ1899" s="133"/>
      <c r="AK1899" s="133"/>
      <c r="AL1899" s="133"/>
      <c r="AM1899" s="133"/>
      <c r="AN1899" s="133"/>
      <c r="AO1899" s="133"/>
      <c r="AP1899" s="133"/>
      <c r="AQ1899" s="133"/>
      <c r="AR1899" s="133"/>
      <c r="AS1899" s="153">
        <v>0</v>
      </c>
      <c r="AT1899" s="153">
        <v>0</v>
      </c>
      <c r="AU1899" s="153">
        <v>0</v>
      </c>
      <c r="AV1899" s="135"/>
      <c r="AW1899" s="135"/>
      <c r="AX1899" s="135"/>
      <c r="AY1899" s="135"/>
      <c r="AZ1899" s="135"/>
      <c r="BA1899" s="135"/>
      <c r="BB1899" s="135"/>
      <c r="BC1899" s="135"/>
      <c r="BD1899" s="135"/>
      <c r="BE1899" s="135"/>
      <c r="BF1899" s="135"/>
      <c r="BG1899" s="135"/>
      <c r="BH1899" s="135"/>
      <c r="BI1899" s="2"/>
      <c r="BJ1899" s="136"/>
      <c r="BK1899" s="2"/>
      <c r="BL1899" s="136"/>
      <c r="BM1899" s="136"/>
      <c r="BN1899" s="2"/>
      <c r="BO1899" s="2"/>
      <c r="BP1899" s="136"/>
      <c r="BQ1899" s="137"/>
    </row>
    <row r="1900" spans="1:69" ht="12.75" customHeight="1" x14ac:dyDescent="0.2">
      <c r="A1900" s="2">
        <v>3389</v>
      </c>
      <c r="B1900" s="2"/>
      <c r="C1900" s="2"/>
      <c r="D1900" s="2"/>
      <c r="E1900" s="2"/>
      <c r="F1900" s="132">
        <v>0</v>
      </c>
      <c r="G1900" s="132"/>
      <c r="H1900" s="132">
        <f t="shared" si="213"/>
        <v>0</v>
      </c>
      <c r="I1900" s="132"/>
      <c r="J1900" s="132">
        <f t="shared" si="218"/>
        <v>0</v>
      </c>
      <c r="K1900" s="132">
        <f t="shared" si="214"/>
        <v>0</v>
      </c>
      <c r="L1900" s="132">
        <f t="shared" si="215"/>
        <v>0</v>
      </c>
      <c r="M1900" s="133"/>
      <c r="N1900" s="133">
        <f t="shared" si="219"/>
        <v>0</v>
      </c>
      <c r="O1900" s="134"/>
      <c r="P1900" s="133"/>
      <c r="Q1900" s="2"/>
      <c r="R1900" s="156">
        <f t="shared" si="216"/>
        <v>0</v>
      </c>
      <c r="S1900" s="156">
        <f t="shared" si="217"/>
        <v>0</v>
      </c>
      <c r="T1900" s="133"/>
      <c r="U1900" s="133"/>
      <c r="V1900" s="133"/>
      <c r="W1900" s="133"/>
      <c r="X1900" s="133"/>
      <c r="Y1900" s="133"/>
      <c r="Z1900" s="133"/>
      <c r="AA1900" s="133"/>
      <c r="AB1900" s="133"/>
      <c r="AC1900" s="133"/>
      <c r="AD1900" s="133"/>
      <c r="AE1900" s="133"/>
      <c r="AF1900" s="133"/>
      <c r="AG1900" s="133"/>
      <c r="AH1900" s="133"/>
      <c r="AI1900" s="133"/>
      <c r="AJ1900" s="133"/>
      <c r="AK1900" s="133"/>
      <c r="AL1900" s="133"/>
      <c r="AM1900" s="133"/>
      <c r="AN1900" s="133"/>
      <c r="AO1900" s="133"/>
      <c r="AP1900" s="133"/>
      <c r="AQ1900" s="133"/>
      <c r="AR1900" s="133"/>
      <c r="AS1900" s="153">
        <v>0</v>
      </c>
      <c r="AT1900" s="153">
        <v>0</v>
      </c>
      <c r="AU1900" s="153">
        <v>0</v>
      </c>
      <c r="AV1900" s="135"/>
      <c r="AW1900" s="135"/>
      <c r="AX1900" s="135"/>
      <c r="AY1900" s="135"/>
      <c r="AZ1900" s="135"/>
      <c r="BA1900" s="135"/>
      <c r="BB1900" s="135"/>
      <c r="BC1900" s="135"/>
      <c r="BD1900" s="135"/>
      <c r="BE1900" s="135"/>
      <c r="BF1900" s="135"/>
      <c r="BG1900" s="135"/>
      <c r="BH1900" s="135"/>
      <c r="BI1900" s="2"/>
      <c r="BJ1900" s="136"/>
      <c r="BK1900" s="2"/>
      <c r="BL1900" s="136"/>
      <c r="BM1900" s="136"/>
      <c r="BN1900" s="2"/>
      <c r="BO1900" s="2"/>
      <c r="BP1900" s="136"/>
      <c r="BQ1900" s="137"/>
    </row>
    <row r="1901" spans="1:69" ht="12.75" customHeight="1" x14ac:dyDescent="0.2">
      <c r="A1901" s="2">
        <v>3390</v>
      </c>
      <c r="B1901" s="2"/>
      <c r="C1901" s="2"/>
      <c r="D1901" s="2"/>
      <c r="E1901" s="2"/>
      <c r="F1901" s="132">
        <v>0</v>
      </c>
      <c r="G1901" s="132"/>
      <c r="H1901" s="132">
        <f t="shared" si="213"/>
        <v>0</v>
      </c>
      <c r="I1901" s="132"/>
      <c r="J1901" s="132">
        <f t="shared" si="218"/>
        <v>0</v>
      </c>
      <c r="K1901" s="132">
        <f t="shared" si="214"/>
        <v>0</v>
      </c>
      <c r="L1901" s="132">
        <f t="shared" si="215"/>
        <v>0</v>
      </c>
      <c r="M1901" s="133"/>
      <c r="N1901" s="133">
        <f t="shared" si="219"/>
        <v>0</v>
      </c>
      <c r="O1901" s="134"/>
      <c r="P1901" s="133"/>
      <c r="Q1901" s="2"/>
      <c r="R1901" s="156">
        <f t="shared" si="216"/>
        <v>0</v>
      </c>
      <c r="S1901" s="156">
        <f t="shared" si="217"/>
        <v>0</v>
      </c>
      <c r="T1901" s="133"/>
      <c r="U1901" s="133"/>
      <c r="V1901" s="133"/>
      <c r="W1901" s="133"/>
      <c r="X1901" s="133"/>
      <c r="Y1901" s="133"/>
      <c r="Z1901" s="133"/>
      <c r="AA1901" s="133"/>
      <c r="AB1901" s="133"/>
      <c r="AC1901" s="133"/>
      <c r="AD1901" s="133"/>
      <c r="AE1901" s="133"/>
      <c r="AF1901" s="133"/>
      <c r="AG1901" s="133"/>
      <c r="AH1901" s="133"/>
      <c r="AI1901" s="133"/>
      <c r="AJ1901" s="133"/>
      <c r="AK1901" s="133"/>
      <c r="AL1901" s="133"/>
      <c r="AM1901" s="133"/>
      <c r="AN1901" s="133"/>
      <c r="AO1901" s="133"/>
      <c r="AP1901" s="133"/>
      <c r="AQ1901" s="133"/>
      <c r="AR1901" s="133"/>
      <c r="AS1901" s="153">
        <v>0</v>
      </c>
      <c r="AT1901" s="153">
        <v>0</v>
      </c>
      <c r="AU1901" s="153">
        <v>0</v>
      </c>
      <c r="AV1901" s="135"/>
      <c r="AW1901" s="135"/>
      <c r="AX1901" s="135"/>
      <c r="AY1901" s="135"/>
      <c r="AZ1901" s="135"/>
      <c r="BA1901" s="135"/>
      <c r="BB1901" s="135"/>
      <c r="BC1901" s="135"/>
      <c r="BD1901" s="135"/>
      <c r="BE1901" s="135"/>
      <c r="BF1901" s="135"/>
      <c r="BG1901" s="135"/>
      <c r="BH1901" s="135"/>
      <c r="BI1901" s="2"/>
      <c r="BJ1901" s="136"/>
      <c r="BK1901" s="2"/>
      <c r="BL1901" s="136"/>
      <c r="BM1901" s="136"/>
      <c r="BN1901" s="2"/>
      <c r="BO1901" s="2"/>
      <c r="BP1901" s="136"/>
      <c r="BQ1901" s="137"/>
    </row>
    <row r="1902" spans="1:69" ht="12.75" customHeight="1" x14ac:dyDescent="0.2">
      <c r="A1902" s="2">
        <v>3391</v>
      </c>
      <c r="B1902" s="2"/>
      <c r="C1902" s="2"/>
      <c r="D1902" s="2"/>
      <c r="E1902" s="2"/>
      <c r="F1902" s="132">
        <v>0</v>
      </c>
      <c r="G1902" s="132"/>
      <c r="H1902" s="132">
        <f t="shared" ref="H1902:H1965" si="220">R1902</f>
        <v>0</v>
      </c>
      <c r="I1902" s="132"/>
      <c r="J1902" s="132">
        <f t="shared" si="218"/>
        <v>0</v>
      </c>
      <c r="K1902" s="132">
        <f t="shared" si="214"/>
        <v>0</v>
      </c>
      <c r="L1902" s="132">
        <f t="shared" si="215"/>
        <v>0</v>
      </c>
      <c r="M1902" s="133"/>
      <c r="N1902" s="133">
        <f t="shared" si="219"/>
        <v>0</v>
      </c>
      <c r="O1902" s="134"/>
      <c r="P1902" s="133"/>
      <c r="Q1902" s="2"/>
      <c r="R1902" s="156">
        <f t="shared" si="216"/>
        <v>0</v>
      </c>
      <c r="S1902" s="156">
        <f t="shared" si="217"/>
        <v>0</v>
      </c>
      <c r="T1902" s="133"/>
      <c r="U1902" s="133"/>
      <c r="V1902" s="133"/>
      <c r="W1902" s="133"/>
      <c r="X1902" s="133"/>
      <c r="Y1902" s="133"/>
      <c r="Z1902" s="133"/>
      <c r="AA1902" s="133"/>
      <c r="AB1902" s="133"/>
      <c r="AC1902" s="133"/>
      <c r="AD1902" s="133"/>
      <c r="AE1902" s="133"/>
      <c r="AF1902" s="133"/>
      <c r="AG1902" s="133"/>
      <c r="AH1902" s="133"/>
      <c r="AI1902" s="133"/>
      <c r="AJ1902" s="133"/>
      <c r="AK1902" s="133"/>
      <c r="AL1902" s="133"/>
      <c r="AM1902" s="133"/>
      <c r="AN1902" s="133"/>
      <c r="AO1902" s="133"/>
      <c r="AP1902" s="133"/>
      <c r="AQ1902" s="133"/>
      <c r="AR1902" s="133"/>
      <c r="AS1902" s="153">
        <v>0</v>
      </c>
      <c r="AT1902" s="153">
        <v>0</v>
      </c>
      <c r="AU1902" s="153">
        <v>0</v>
      </c>
      <c r="AV1902" s="135"/>
      <c r="AW1902" s="135"/>
      <c r="AX1902" s="135"/>
      <c r="AY1902" s="135"/>
      <c r="AZ1902" s="135"/>
      <c r="BA1902" s="135"/>
      <c r="BB1902" s="135"/>
      <c r="BC1902" s="135"/>
      <c r="BD1902" s="135"/>
      <c r="BE1902" s="135"/>
      <c r="BF1902" s="135"/>
      <c r="BG1902" s="135"/>
      <c r="BH1902" s="135"/>
      <c r="BI1902" s="2"/>
      <c r="BJ1902" s="136"/>
      <c r="BK1902" s="2"/>
      <c r="BL1902" s="136"/>
      <c r="BM1902" s="136"/>
      <c r="BN1902" s="2"/>
      <c r="BO1902" s="2"/>
      <c r="BP1902" s="136"/>
      <c r="BQ1902" s="137"/>
    </row>
    <row r="1903" spans="1:69" ht="12.75" customHeight="1" x14ac:dyDescent="0.2">
      <c r="A1903" s="2">
        <v>3392</v>
      </c>
      <c r="B1903" s="2"/>
      <c r="C1903" s="2"/>
      <c r="D1903" s="2"/>
      <c r="E1903" s="2"/>
      <c r="F1903" s="132">
        <v>0</v>
      </c>
      <c r="G1903" s="132"/>
      <c r="H1903" s="132">
        <f t="shared" si="220"/>
        <v>0</v>
      </c>
      <c r="I1903" s="132"/>
      <c r="J1903" s="132">
        <f t="shared" si="218"/>
        <v>0</v>
      </c>
      <c r="K1903" s="132">
        <f t="shared" si="214"/>
        <v>0</v>
      </c>
      <c r="L1903" s="132">
        <f t="shared" si="215"/>
        <v>0</v>
      </c>
      <c r="M1903" s="133"/>
      <c r="N1903" s="133">
        <f t="shared" si="219"/>
        <v>0</v>
      </c>
      <c r="O1903" s="134"/>
      <c r="P1903" s="133"/>
      <c r="Q1903" s="2"/>
      <c r="R1903" s="156">
        <f t="shared" si="216"/>
        <v>0</v>
      </c>
      <c r="S1903" s="156">
        <f t="shared" si="217"/>
        <v>0</v>
      </c>
      <c r="T1903" s="133"/>
      <c r="U1903" s="133"/>
      <c r="V1903" s="133"/>
      <c r="W1903" s="133"/>
      <c r="X1903" s="133"/>
      <c r="Y1903" s="133"/>
      <c r="Z1903" s="133"/>
      <c r="AA1903" s="133"/>
      <c r="AB1903" s="133"/>
      <c r="AC1903" s="133"/>
      <c r="AD1903" s="133"/>
      <c r="AE1903" s="133"/>
      <c r="AF1903" s="133"/>
      <c r="AG1903" s="133"/>
      <c r="AH1903" s="133"/>
      <c r="AI1903" s="133"/>
      <c r="AJ1903" s="133"/>
      <c r="AK1903" s="133"/>
      <c r="AL1903" s="133"/>
      <c r="AM1903" s="133"/>
      <c r="AN1903" s="133"/>
      <c r="AO1903" s="133"/>
      <c r="AP1903" s="133"/>
      <c r="AQ1903" s="133"/>
      <c r="AR1903" s="133"/>
      <c r="AS1903" s="153">
        <v>0</v>
      </c>
      <c r="AT1903" s="153">
        <v>0</v>
      </c>
      <c r="AU1903" s="153">
        <v>0</v>
      </c>
      <c r="AV1903" s="135"/>
      <c r="AW1903" s="135"/>
      <c r="AX1903" s="135"/>
      <c r="AY1903" s="135"/>
      <c r="AZ1903" s="135"/>
      <c r="BA1903" s="135"/>
      <c r="BB1903" s="135"/>
      <c r="BC1903" s="135"/>
      <c r="BD1903" s="135"/>
      <c r="BE1903" s="135"/>
      <c r="BF1903" s="135"/>
      <c r="BG1903" s="135"/>
      <c r="BH1903" s="135"/>
      <c r="BI1903" s="2"/>
      <c r="BJ1903" s="136"/>
      <c r="BK1903" s="2"/>
      <c r="BL1903" s="136"/>
      <c r="BM1903" s="136"/>
      <c r="BN1903" s="2"/>
      <c r="BO1903" s="2"/>
      <c r="BP1903" s="136"/>
      <c r="BQ1903" s="137"/>
    </row>
    <row r="1904" spans="1:69" ht="12.75" customHeight="1" x14ac:dyDescent="0.2">
      <c r="A1904" s="2">
        <v>3393</v>
      </c>
      <c r="B1904" s="2"/>
      <c r="C1904" s="2"/>
      <c r="D1904" s="2"/>
      <c r="E1904" s="2"/>
      <c r="F1904" s="132">
        <v>0</v>
      </c>
      <c r="G1904" s="132"/>
      <c r="H1904" s="132">
        <f t="shared" si="220"/>
        <v>0</v>
      </c>
      <c r="I1904" s="132"/>
      <c r="J1904" s="132">
        <f t="shared" si="218"/>
        <v>0</v>
      </c>
      <c r="K1904" s="132">
        <f t="shared" si="214"/>
        <v>0</v>
      </c>
      <c r="L1904" s="132">
        <f t="shared" si="215"/>
        <v>0</v>
      </c>
      <c r="M1904" s="133"/>
      <c r="N1904" s="133">
        <f t="shared" si="219"/>
        <v>0</v>
      </c>
      <c r="O1904" s="134"/>
      <c r="P1904" s="133"/>
      <c r="Q1904" s="2"/>
      <c r="R1904" s="156">
        <f t="shared" si="216"/>
        <v>0</v>
      </c>
      <c r="S1904" s="156">
        <f t="shared" si="217"/>
        <v>0</v>
      </c>
      <c r="T1904" s="133"/>
      <c r="U1904" s="133"/>
      <c r="V1904" s="133"/>
      <c r="W1904" s="133"/>
      <c r="X1904" s="133"/>
      <c r="Y1904" s="133"/>
      <c r="Z1904" s="133"/>
      <c r="AA1904" s="133"/>
      <c r="AB1904" s="133"/>
      <c r="AC1904" s="133"/>
      <c r="AD1904" s="133"/>
      <c r="AE1904" s="133"/>
      <c r="AF1904" s="133"/>
      <c r="AG1904" s="133"/>
      <c r="AH1904" s="133"/>
      <c r="AI1904" s="133"/>
      <c r="AJ1904" s="133"/>
      <c r="AK1904" s="133"/>
      <c r="AL1904" s="133"/>
      <c r="AM1904" s="133"/>
      <c r="AN1904" s="133"/>
      <c r="AO1904" s="133"/>
      <c r="AP1904" s="133"/>
      <c r="AQ1904" s="133"/>
      <c r="AR1904" s="133"/>
      <c r="AS1904" s="153">
        <v>0</v>
      </c>
      <c r="AT1904" s="153">
        <v>0</v>
      </c>
      <c r="AU1904" s="153">
        <v>0</v>
      </c>
      <c r="AV1904" s="135"/>
      <c r="AW1904" s="135"/>
      <c r="AX1904" s="135"/>
      <c r="AY1904" s="135"/>
      <c r="AZ1904" s="135"/>
      <c r="BA1904" s="135"/>
      <c r="BB1904" s="135"/>
      <c r="BC1904" s="135"/>
      <c r="BD1904" s="135"/>
      <c r="BE1904" s="135"/>
      <c r="BF1904" s="135"/>
      <c r="BG1904" s="135"/>
      <c r="BH1904" s="135"/>
      <c r="BI1904" s="2"/>
      <c r="BJ1904" s="136"/>
      <c r="BK1904" s="2"/>
      <c r="BL1904" s="136"/>
      <c r="BM1904" s="136"/>
      <c r="BN1904" s="2"/>
      <c r="BO1904" s="2"/>
      <c r="BP1904" s="136"/>
      <c r="BQ1904" s="137"/>
    </row>
    <row r="1905" spans="1:69" ht="12.75" customHeight="1" x14ac:dyDescent="0.2">
      <c r="A1905" s="2">
        <v>3394</v>
      </c>
      <c r="B1905" s="2"/>
      <c r="C1905" s="2"/>
      <c r="D1905" s="2"/>
      <c r="E1905" s="2"/>
      <c r="F1905" s="132">
        <v>0</v>
      </c>
      <c r="G1905" s="132"/>
      <c r="H1905" s="132">
        <f t="shared" si="220"/>
        <v>0</v>
      </c>
      <c r="I1905" s="132"/>
      <c r="J1905" s="132">
        <f t="shared" si="218"/>
        <v>0</v>
      </c>
      <c r="K1905" s="132">
        <f t="shared" si="214"/>
        <v>0</v>
      </c>
      <c r="L1905" s="132">
        <f t="shared" si="215"/>
        <v>0</v>
      </c>
      <c r="M1905" s="133"/>
      <c r="N1905" s="133">
        <f t="shared" si="219"/>
        <v>0</v>
      </c>
      <c r="O1905" s="134"/>
      <c r="P1905" s="133"/>
      <c r="Q1905" s="2"/>
      <c r="R1905" s="156">
        <f t="shared" si="216"/>
        <v>0</v>
      </c>
      <c r="S1905" s="156">
        <f t="shared" si="217"/>
        <v>0</v>
      </c>
      <c r="T1905" s="133"/>
      <c r="U1905" s="133"/>
      <c r="V1905" s="133"/>
      <c r="W1905" s="133"/>
      <c r="X1905" s="133"/>
      <c r="Y1905" s="133"/>
      <c r="Z1905" s="133"/>
      <c r="AA1905" s="133"/>
      <c r="AB1905" s="133"/>
      <c r="AC1905" s="133"/>
      <c r="AD1905" s="133"/>
      <c r="AE1905" s="133"/>
      <c r="AF1905" s="133"/>
      <c r="AG1905" s="133"/>
      <c r="AH1905" s="133"/>
      <c r="AI1905" s="133"/>
      <c r="AJ1905" s="133"/>
      <c r="AK1905" s="133"/>
      <c r="AL1905" s="133"/>
      <c r="AM1905" s="133"/>
      <c r="AN1905" s="133"/>
      <c r="AO1905" s="133"/>
      <c r="AP1905" s="133"/>
      <c r="AQ1905" s="133"/>
      <c r="AR1905" s="133"/>
      <c r="AS1905" s="153">
        <v>0</v>
      </c>
      <c r="AT1905" s="153">
        <v>0</v>
      </c>
      <c r="AU1905" s="153">
        <v>0</v>
      </c>
      <c r="AV1905" s="135"/>
      <c r="AW1905" s="135"/>
      <c r="AX1905" s="135"/>
      <c r="AY1905" s="135"/>
      <c r="AZ1905" s="135"/>
      <c r="BA1905" s="135"/>
      <c r="BB1905" s="135"/>
      <c r="BC1905" s="135"/>
      <c r="BD1905" s="135"/>
      <c r="BE1905" s="135"/>
      <c r="BF1905" s="135"/>
      <c r="BG1905" s="135"/>
      <c r="BH1905" s="135"/>
      <c r="BI1905" s="2"/>
      <c r="BJ1905" s="136"/>
      <c r="BK1905" s="2"/>
      <c r="BL1905" s="136"/>
      <c r="BM1905" s="136"/>
      <c r="BN1905" s="2"/>
      <c r="BO1905" s="2"/>
      <c r="BP1905" s="136"/>
      <c r="BQ1905" s="137"/>
    </row>
    <row r="1906" spans="1:69" ht="12.75" customHeight="1" x14ac:dyDescent="0.2">
      <c r="A1906" s="2">
        <v>3395</v>
      </c>
      <c r="B1906" s="2"/>
      <c r="C1906" s="2"/>
      <c r="D1906" s="2"/>
      <c r="E1906" s="2"/>
      <c r="F1906" s="132">
        <v>0</v>
      </c>
      <c r="G1906" s="132"/>
      <c r="H1906" s="132">
        <f t="shared" si="220"/>
        <v>0</v>
      </c>
      <c r="I1906" s="132"/>
      <c r="J1906" s="132">
        <f t="shared" si="218"/>
        <v>0</v>
      </c>
      <c r="K1906" s="132">
        <f t="shared" si="214"/>
        <v>0</v>
      </c>
      <c r="L1906" s="132">
        <f t="shared" si="215"/>
        <v>0</v>
      </c>
      <c r="M1906" s="133"/>
      <c r="N1906" s="133">
        <f t="shared" si="219"/>
        <v>0</v>
      </c>
      <c r="O1906" s="134"/>
      <c r="P1906" s="133"/>
      <c r="Q1906" s="2"/>
      <c r="R1906" s="156">
        <f t="shared" si="216"/>
        <v>0</v>
      </c>
      <c r="S1906" s="156">
        <f t="shared" si="217"/>
        <v>0</v>
      </c>
      <c r="T1906" s="133"/>
      <c r="U1906" s="133"/>
      <c r="V1906" s="133"/>
      <c r="W1906" s="133"/>
      <c r="X1906" s="133"/>
      <c r="Y1906" s="133"/>
      <c r="Z1906" s="133"/>
      <c r="AA1906" s="133"/>
      <c r="AB1906" s="133"/>
      <c r="AC1906" s="133"/>
      <c r="AD1906" s="133"/>
      <c r="AE1906" s="133"/>
      <c r="AF1906" s="133"/>
      <c r="AG1906" s="133"/>
      <c r="AH1906" s="133"/>
      <c r="AI1906" s="133"/>
      <c r="AJ1906" s="133"/>
      <c r="AK1906" s="133"/>
      <c r="AL1906" s="133"/>
      <c r="AM1906" s="133"/>
      <c r="AN1906" s="133"/>
      <c r="AO1906" s="133"/>
      <c r="AP1906" s="133"/>
      <c r="AQ1906" s="133"/>
      <c r="AR1906" s="133"/>
      <c r="AS1906" s="153">
        <v>0</v>
      </c>
      <c r="AT1906" s="153">
        <v>0</v>
      </c>
      <c r="AU1906" s="153">
        <v>0</v>
      </c>
      <c r="AV1906" s="135"/>
      <c r="AW1906" s="135"/>
      <c r="AX1906" s="135"/>
      <c r="AY1906" s="135"/>
      <c r="AZ1906" s="135"/>
      <c r="BA1906" s="135"/>
      <c r="BB1906" s="135"/>
      <c r="BC1906" s="135"/>
      <c r="BD1906" s="135"/>
      <c r="BE1906" s="135"/>
      <c r="BF1906" s="135"/>
      <c r="BG1906" s="135"/>
      <c r="BH1906" s="135"/>
      <c r="BI1906" s="2"/>
      <c r="BJ1906" s="136"/>
      <c r="BK1906" s="2"/>
      <c r="BL1906" s="136"/>
      <c r="BM1906" s="136"/>
      <c r="BN1906" s="2"/>
      <c r="BO1906" s="2"/>
      <c r="BP1906" s="136"/>
      <c r="BQ1906" s="137"/>
    </row>
    <row r="1907" spans="1:69" ht="12.75" customHeight="1" x14ac:dyDescent="0.2">
      <c r="A1907" s="2">
        <v>3396</v>
      </c>
      <c r="B1907" s="2"/>
      <c r="C1907" s="2"/>
      <c r="D1907" s="2"/>
      <c r="E1907" s="2"/>
      <c r="F1907" s="132">
        <v>0</v>
      </c>
      <c r="G1907" s="132"/>
      <c r="H1907" s="132">
        <f t="shared" si="220"/>
        <v>0</v>
      </c>
      <c r="I1907" s="132"/>
      <c r="J1907" s="132">
        <f t="shared" si="218"/>
        <v>0</v>
      </c>
      <c r="K1907" s="132">
        <f t="shared" si="214"/>
        <v>0</v>
      </c>
      <c r="L1907" s="132">
        <f t="shared" si="215"/>
        <v>0</v>
      </c>
      <c r="M1907" s="133"/>
      <c r="N1907" s="133">
        <f t="shared" si="219"/>
        <v>0</v>
      </c>
      <c r="O1907" s="134"/>
      <c r="P1907" s="133"/>
      <c r="Q1907" s="2"/>
      <c r="R1907" s="156">
        <f t="shared" si="216"/>
        <v>0</v>
      </c>
      <c r="S1907" s="156">
        <f t="shared" si="217"/>
        <v>0</v>
      </c>
      <c r="T1907" s="133"/>
      <c r="U1907" s="133"/>
      <c r="V1907" s="133"/>
      <c r="W1907" s="133"/>
      <c r="X1907" s="133"/>
      <c r="Y1907" s="133"/>
      <c r="Z1907" s="133"/>
      <c r="AA1907" s="133"/>
      <c r="AB1907" s="133"/>
      <c r="AC1907" s="133"/>
      <c r="AD1907" s="133"/>
      <c r="AE1907" s="133"/>
      <c r="AF1907" s="133"/>
      <c r="AG1907" s="133"/>
      <c r="AH1907" s="133"/>
      <c r="AI1907" s="133"/>
      <c r="AJ1907" s="133"/>
      <c r="AK1907" s="133"/>
      <c r="AL1907" s="133"/>
      <c r="AM1907" s="133"/>
      <c r="AN1907" s="133"/>
      <c r="AO1907" s="133"/>
      <c r="AP1907" s="133"/>
      <c r="AQ1907" s="133"/>
      <c r="AR1907" s="133"/>
      <c r="AS1907" s="153">
        <v>0</v>
      </c>
      <c r="AT1907" s="153">
        <v>0</v>
      </c>
      <c r="AU1907" s="153">
        <v>0</v>
      </c>
      <c r="AV1907" s="135"/>
      <c r="AW1907" s="135"/>
      <c r="AX1907" s="135"/>
      <c r="AY1907" s="135"/>
      <c r="AZ1907" s="135"/>
      <c r="BA1907" s="135"/>
      <c r="BB1907" s="135"/>
      <c r="BC1907" s="135"/>
      <c r="BD1907" s="135"/>
      <c r="BE1907" s="135"/>
      <c r="BF1907" s="135"/>
      <c r="BG1907" s="135"/>
      <c r="BH1907" s="135"/>
      <c r="BI1907" s="2"/>
      <c r="BJ1907" s="136"/>
      <c r="BK1907" s="2"/>
      <c r="BL1907" s="136"/>
      <c r="BM1907" s="136"/>
      <c r="BN1907" s="2"/>
      <c r="BO1907" s="2"/>
      <c r="BP1907" s="136"/>
      <c r="BQ1907" s="137"/>
    </row>
    <row r="1908" spans="1:69" ht="12.75" customHeight="1" x14ac:dyDescent="0.2">
      <c r="A1908" s="2">
        <v>3397</v>
      </c>
      <c r="B1908" s="2"/>
      <c r="C1908" s="2"/>
      <c r="D1908" s="2"/>
      <c r="E1908" s="2"/>
      <c r="F1908" s="132">
        <v>0</v>
      </c>
      <c r="G1908" s="132"/>
      <c r="H1908" s="132">
        <f t="shared" si="220"/>
        <v>0</v>
      </c>
      <c r="I1908" s="132"/>
      <c r="J1908" s="132">
        <f t="shared" si="218"/>
        <v>0</v>
      </c>
      <c r="K1908" s="132">
        <f t="shared" si="214"/>
        <v>0</v>
      </c>
      <c r="L1908" s="132">
        <f t="shared" si="215"/>
        <v>0</v>
      </c>
      <c r="M1908" s="133"/>
      <c r="N1908" s="133">
        <f t="shared" si="219"/>
        <v>0</v>
      </c>
      <c r="O1908" s="134"/>
      <c r="P1908" s="133"/>
      <c r="Q1908" s="2"/>
      <c r="R1908" s="156">
        <f t="shared" si="216"/>
        <v>0</v>
      </c>
      <c r="S1908" s="156">
        <f t="shared" si="217"/>
        <v>0</v>
      </c>
      <c r="T1908" s="133"/>
      <c r="U1908" s="133"/>
      <c r="V1908" s="133"/>
      <c r="W1908" s="133"/>
      <c r="X1908" s="133"/>
      <c r="Y1908" s="133"/>
      <c r="Z1908" s="133"/>
      <c r="AA1908" s="133"/>
      <c r="AB1908" s="133"/>
      <c r="AC1908" s="133"/>
      <c r="AD1908" s="133"/>
      <c r="AE1908" s="133"/>
      <c r="AF1908" s="133"/>
      <c r="AG1908" s="133"/>
      <c r="AH1908" s="133"/>
      <c r="AI1908" s="133"/>
      <c r="AJ1908" s="133"/>
      <c r="AK1908" s="133"/>
      <c r="AL1908" s="133"/>
      <c r="AM1908" s="133"/>
      <c r="AN1908" s="133"/>
      <c r="AO1908" s="133"/>
      <c r="AP1908" s="133"/>
      <c r="AQ1908" s="133"/>
      <c r="AR1908" s="133"/>
      <c r="AS1908" s="153">
        <v>0</v>
      </c>
      <c r="AT1908" s="153">
        <v>0</v>
      </c>
      <c r="AU1908" s="153">
        <v>0</v>
      </c>
      <c r="AV1908" s="135"/>
      <c r="AW1908" s="135"/>
      <c r="AX1908" s="135"/>
      <c r="AY1908" s="135"/>
      <c r="AZ1908" s="135"/>
      <c r="BA1908" s="135"/>
      <c r="BB1908" s="135"/>
      <c r="BC1908" s="135"/>
      <c r="BD1908" s="135"/>
      <c r="BE1908" s="135"/>
      <c r="BF1908" s="135"/>
      <c r="BG1908" s="135"/>
      <c r="BH1908" s="135"/>
      <c r="BI1908" s="2"/>
      <c r="BJ1908" s="136"/>
      <c r="BK1908" s="2"/>
      <c r="BL1908" s="136"/>
      <c r="BM1908" s="136"/>
      <c r="BN1908" s="2"/>
      <c r="BO1908" s="2"/>
      <c r="BP1908" s="136"/>
      <c r="BQ1908" s="137"/>
    </row>
    <row r="1909" spans="1:69" ht="12.75" customHeight="1" x14ac:dyDescent="0.2">
      <c r="A1909" s="2">
        <v>3398</v>
      </c>
      <c r="B1909" s="2"/>
      <c r="C1909" s="2"/>
      <c r="D1909" s="2"/>
      <c r="E1909" s="2"/>
      <c r="F1909" s="132">
        <v>0</v>
      </c>
      <c r="G1909" s="132"/>
      <c r="H1909" s="132">
        <f t="shared" si="220"/>
        <v>0</v>
      </c>
      <c r="I1909" s="132"/>
      <c r="J1909" s="132">
        <f t="shared" si="218"/>
        <v>0</v>
      </c>
      <c r="K1909" s="132">
        <f t="shared" si="214"/>
        <v>0</v>
      </c>
      <c r="L1909" s="132">
        <f t="shared" si="215"/>
        <v>0</v>
      </c>
      <c r="M1909" s="133"/>
      <c r="N1909" s="133">
        <f t="shared" si="219"/>
        <v>0</v>
      </c>
      <c r="O1909" s="134"/>
      <c r="P1909" s="133"/>
      <c r="Q1909" s="2"/>
      <c r="R1909" s="156">
        <f t="shared" si="216"/>
        <v>0</v>
      </c>
      <c r="S1909" s="156">
        <f t="shared" si="217"/>
        <v>0</v>
      </c>
      <c r="T1909" s="133"/>
      <c r="U1909" s="133"/>
      <c r="V1909" s="133"/>
      <c r="W1909" s="133"/>
      <c r="X1909" s="133"/>
      <c r="Y1909" s="133"/>
      <c r="Z1909" s="133"/>
      <c r="AA1909" s="133"/>
      <c r="AB1909" s="133"/>
      <c r="AC1909" s="133"/>
      <c r="AD1909" s="133"/>
      <c r="AE1909" s="133"/>
      <c r="AF1909" s="133"/>
      <c r="AG1909" s="133"/>
      <c r="AH1909" s="133"/>
      <c r="AI1909" s="133"/>
      <c r="AJ1909" s="133"/>
      <c r="AK1909" s="133"/>
      <c r="AL1909" s="133"/>
      <c r="AM1909" s="133"/>
      <c r="AN1909" s="133"/>
      <c r="AO1909" s="133"/>
      <c r="AP1909" s="133"/>
      <c r="AQ1909" s="133"/>
      <c r="AR1909" s="133"/>
      <c r="AS1909" s="153">
        <v>0</v>
      </c>
      <c r="AT1909" s="153">
        <v>0</v>
      </c>
      <c r="AU1909" s="153">
        <v>0</v>
      </c>
      <c r="AV1909" s="135"/>
      <c r="AW1909" s="135"/>
      <c r="AX1909" s="135"/>
      <c r="AY1909" s="135"/>
      <c r="AZ1909" s="135"/>
      <c r="BA1909" s="135"/>
      <c r="BB1909" s="135"/>
      <c r="BC1909" s="135"/>
      <c r="BD1909" s="135"/>
      <c r="BE1909" s="135"/>
      <c r="BF1909" s="135"/>
      <c r="BG1909" s="135"/>
      <c r="BH1909" s="135"/>
      <c r="BI1909" s="2"/>
      <c r="BJ1909" s="136"/>
      <c r="BK1909" s="2"/>
      <c r="BL1909" s="136"/>
      <c r="BM1909" s="136"/>
      <c r="BN1909" s="2"/>
      <c r="BO1909" s="2"/>
      <c r="BP1909" s="136"/>
      <c r="BQ1909" s="137"/>
    </row>
    <row r="1910" spans="1:69" ht="12.75" customHeight="1" x14ac:dyDescent="0.2">
      <c r="A1910" s="2">
        <v>3399</v>
      </c>
      <c r="B1910" s="2"/>
      <c r="C1910" s="2"/>
      <c r="D1910" s="2"/>
      <c r="E1910" s="2"/>
      <c r="F1910" s="132">
        <v>0</v>
      </c>
      <c r="G1910" s="132"/>
      <c r="H1910" s="132">
        <f t="shared" si="220"/>
        <v>0</v>
      </c>
      <c r="I1910" s="132"/>
      <c r="J1910" s="132">
        <f t="shared" si="218"/>
        <v>0</v>
      </c>
      <c r="K1910" s="132">
        <f t="shared" ref="K1910:K1973" si="221">F1910-J1910</f>
        <v>0</v>
      </c>
      <c r="L1910" s="132">
        <f t="shared" si="215"/>
        <v>0</v>
      </c>
      <c r="M1910" s="133"/>
      <c r="N1910" s="133">
        <f t="shared" si="219"/>
        <v>0</v>
      </c>
      <c r="O1910" s="134"/>
      <c r="P1910" s="133"/>
      <c r="Q1910" s="2"/>
      <c r="R1910" s="156">
        <f t="shared" si="216"/>
        <v>0</v>
      </c>
      <c r="S1910" s="156">
        <f t="shared" si="217"/>
        <v>0</v>
      </c>
      <c r="T1910" s="133"/>
      <c r="U1910" s="133"/>
      <c r="V1910" s="133"/>
      <c r="W1910" s="133"/>
      <c r="X1910" s="133"/>
      <c r="Y1910" s="133"/>
      <c r="Z1910" s="133"/>
      <c r="AA1910" s="133"/>
      <c r="AB1910" s="133"/>
      <c r="AC1910" s="133"/>
      <c r="AD1910" s="133"/>
      <c r="AE1910" s="133"/>
      <c r="AF1910" s="133"/>
      <c r="AG1910" s="133"/>
      <c r="AH1910" s="133"/>
      <c r="AI1910" s="133"/>
      <c r="AJ1910" s="133"/>
      <c r="AK1910" s="133"/>
      <c r="AL1910" s="133"/>
      <c r="AM1910" s="133"/>
      <c r="AN1910" s="133"/>
      <c r="AO1910" s="133"/>
      <c r="AP1910" s="133"/>
      <c r="AQ1910" s="133"/>
      <c r="AR1910" s="133"/>
      <c r="AS1910" s="153">
        <v>0</v>
      </c>
      <c r="AT1910" s="153">
        <v>0</v>
      </c>
      <c r="AU1910" s="153">
        <v>0</v>
      </c>
      <c r="AV1910" s="135"/>
      <c r="AW1910" s="135"/>
      <c r="AX1910" s="135"/>
      <c r="AY1910" s="135"/>
      <c r="AZ1910" s="135"/>
      <c r="BA1910" s="135"/>
      <c r="BB1910" s="135"/>
      <c r="BC1910" s="135"/>
      <c r="BD1910" s="135"/>
      <c r="BE1910" s="135"/>
      <c r="BF1910" s="135"/>
      <c r="BG1910" s="135"/>
      <c r="BH1910" s="135"/>
      <c r="BI1910" s="2"/>
      <c r="BJ1910" s="136"/>
      <c r="BK1910" s="2"/>
      <c r="BL1910" s="136"/>
      <c r="BM1910" s="136"/>
      <c r="BN1910" s="2"/>
      <c r="BO1910" s="2"/>
      <c r="BP1910" s="136"/>
      <c r="BQ1910" s="137"/>
    </row>
    <row r="1911" spans="1:69" ht="12.75" customHeight="1" x14ac:dyDescent="0.2">
      <c r="A1911" s="2">
        <v>3400</v>
      </c>
      <c r="B1911" s="2"/>
      <c r="C1911" s="2"/>
      <c r="D1911" s="2"/>
      <c r="E1911" s="2"/>
      <c r="F1911" s="132">
        <v>0</v>
      </c>
      <c r="G1911" s="132"/>
      <c r="H1911" s="132">
        <f t="shared" si="220"/>
        <v>0</v>
      </c>
      <c r="I1911" s="132"/>
      <c r="J1911" s="132">
        <f t="shared" si="218"/>
        <v>0</v>
      </c>
      <c r="K1911" s="132">
        <f t="shared" si="221"/>
        <v>0</v>
      </c>
      <c r="L1911" s="132">
        <f t="shared" si="215"/>
        <v>0</v>
      </c>
      <c r="M1911" s="133"/>
      <c r="N1911" s="133">
        <f t="shared" si="219"/>
        <v>0</v>
      </c>
      <c r="O1911" s="134"/>
      <c r="P1911" s="133"/>
      <c r="Q1911" s="2"/>
      <c r="R1911" s="156">
        <f t="shared" si="216"/>
        <v>0</v>
      </c>
      <c r="S1911" s="156">
        <f t="shared" si="217"/>
        <v>0</v>
      </c>
      <c r="T1911" s="133"/>
      <c r="U1911" s="133"/>
      <c r="V1911" s="133"/>
      <c r="W1911" s="133"/>
      <c r="X1911" s="133"/>
      <c r="Y1911" s="133"/>
      <c r="Z1911" s="133"/>
      <c r="AA1911" s="133"/>
      <c r="AB1911" s="133"/>
      <c r="AC1911" s="133"/>
      <c r="AD1911" s="133"/>
      <c r="AE1911" s="133"/>
      <c r="AF1911" s="133"/>
      <c r="AG1911" s="133"/>
      <c r="AH1911" s="133"/>
      <c r="AI1911" s="133"/>
      <c r="AJ1911" s="133"/>
      <c r="AK1911" s="133"/>
      <c r="AL1911" s="133"/>
      <c r="AM1911" s="133"/>
      <c r="AN1911" s="133"/>
      <c r="AO1911" s="133"/>
      <c r="AP1911" s="133"/>
      <c r="AQ1911" s="133"/>
      <c r="AR1911" s="133"/>
      <c r="AS1911" s="153">
        <v>0</v>
      </c>
      <c r="AT1911" s="153">
        <v>0</v>
      </c>
      <c r="AU1911" s="153">
        <v>0</v>
      </c>
      <c r="AV1911" s="135"/>
      <c r="AW1911" s="135"/>
      <c r="AX1911" s="135"/>
      <c r="AY1911" s="135"/>
      <c r="AZ1911" s="135"/>
      <c r="BA1911" s="135"/>
      <c r="BB1911" s="135"/>
      <c r="BC1911" s="135"/>
      <c r="BD1911" s="135"/>
      <c r="BE1911" s="135"/>
      <c r="BF1911" s="135"/>
      <c r="BG1911" s="135"/>
      <c r="BH1911" s="135"/>
      <c r="BI1911" s="2"/>
      <c r="BJ1911" s="136"/>
      <c r="BK1911" s="2"/>
      <c r="BL1911" s="136"/>
      <c r="BM1911" s="136"/>
      <c r="BN1911" s="2"/>
      <c r="BO1911" s="2"/>
      <c r="BP1911" s="136"/>
      <c r="BQ1911" s="137"/>
    </row>
    <row r="1912" spans="1:69" ht="12.75" customHeight="1" x14ac:dyDescent="0.2">
      <c r="A1912" s="2">
        <v>3401</v>
      </c>
      <c r="B1912" s="2"/>
      <c r="C1912" s="2"/>
      <c r="D1912" s="2"/>
      <c r="E1912" s="2"/>
      <c r="F1912" s="132">
        <v>0</v>
      </c>
      <c r="G1912" s="132"/>
      <c r="H1912" s="132">
        <f t="shared" si="220"/>
        <v>0</v>
      </c>
      <c r="I1912" s="132"/>
      <c r="J1912" s="132">
        <f t="shared" si="218"/>
        <v>0</v>
      </c>
      <c r="K1912" s="132">
        <f t="shared" si="221"/>
        <v>0</v>
      </c>
      <c r="L1912" s="132">
        <f t="shared" si="215"/>
        <v>0</v>
      </c>
      <c r="M1912" s="133"/>
      <c r="N1912" s="133">
        <f t="shared" si="219"/>
        <v>0</v>
      </c>
      <c r="O1912" s="134"/>
      <c r="P1912" s="133"/>
      <c r="Q1912" s="2"/>
      <c r="R1912" s="156">
        <f t="shared" si="216"/>
        <v>0</v>
      </c>
      <c r="S1912" s="156">
        <f t="shared" si="217"/>
        <v>0</v>
      </c>
      <c r="T1912" s="133"/>
      <c r="U1912" s="133"/>
      <c r="V1912" s="133"/>
      <c r="W1912" s="133"/>
      <c r="X1912" s="133"/>
      <c r="Y1912" s="133"/>
      <c r="Z1912" s="133"/>
      <c r="AA1912" s="133"/>
      <c r="AB1912" s="133"/>
      <c r="AC1912" s="133"/>
      <c r="AD1912" s="133"/>
      <c r="AE1912" s="133"/>
      <c r="AF1912" s="133"/>
      <c r="AG1912" s="133"/>
      <c r="AH1912" s="133"/>
      <c r="AI1912" s="133"/>
      <c r="AJ1912" s="133"/>
      <c r="AK1912" s="133"/>
      <c r="AL1912" s="133"/>
      <c r="AM1912" s="133"/>
      <c r="AN1912" s="133"/>
      <c r="AO1912" s="133"/>
      <c r="AP1912" s="133"/>
      <c r="AQ1912" s="133"/>
      <c r="AR1912" s="133"/>
      <c r="AS1912" s="153">
        <v>0</v>
      </c>
      <c r="AT1912" s="153">
        <v>0</v>
      </c>
      <c r="AU1912" s="153">
        <v>0</v>
      </c>
      <c r="AV1912" s="135"/>
      <c r="AW1912" s="135"/>
      <c r="AX1912" s="135"/>
      <c r="AY1912" s="135"/>
      <c r="AZ1912" s="135"/>
      <c r="BA1912" s="135"/>
      <c r="BB1912" s="135"/>
      <c r="BC1912" s="135"/>
      <c r="BD1912" s="135"/>
      <c r="BE1912" s="135"/>
      <c r="BF1912" s="135"/>
      <c r="BG1912" s="135"/>
      <c r="BH1912" s="135"/>
      <c r="BI1912" s="2"/>
      <c r="BJ1912" s="136"/>
      <c r="BK1912" s="2"/>
      <c r="BL1912" s="136"/>
      <c r="BM1912" s="136"/>
      <c r="BN1912" s="2"/>
      <c r="BO1912" s="2"/>
      <c r="BP1912" s="136"/>
      <c r="BQ1912" s="137"/>
    </row>
    <row r="1913" spans="1:69" ht="12.75" customHeight="1" x14ac:dyDescent="0.2">
      <c r="A1913" s="2">
        <v>3402</v>
      </c>
      <c r="B1913" s="2"/>
      <c r="C1913" s="2"/>
      <c r="D1913" s="2"/>
      <c r="E1913" s="2"/>
      <c r="F1913" s="132">
        <v>0</v>
      </c>
      <c r="G1913" s="132"/>
      <c r="H1913" s="132">
        <f t="shared" si="220"/>
        <v>0</v>
      </c>
      <c r="I1913" s="132"/>
      <c r="J1913" s="132">
        <f t="shared" si="218"/>
        <v>0</v>
      </c>
      <c r="K1913" s="132">
        <f t="shared" si="221"/>
        <v>0</v>
      </c>
      <c r="L1913" s="132">
        <f t="shared" si="215"/>
        <v>0</v>
      </c>
      <c r="M1913" s="133"/>
      <c r="N1913" s="133">
        <f t="shared" si="219"/>
        <v>0</v>
      </c>
      <c r="O1913" s="134"/>
      <c r="P1913" s="133"/>
      <c r="Q1913" s="2"/>
      <c r="R1913" s="156">
        <f t="shared" si="216"/>
        <v>0</v>
      </c>
      <c r="S1913" s="156">
        <f t="shared" si="217"/>
        <v>0</v>
      </c>
      <c r="T1913" s="133"/>
      <c r="U1913" s="133"/>
      <c r="V1913" s="133"/>
      <c r="W1913" s="133"/>
      <c r="X1913" s="133"/>
      <c r="Y1913" s="133"/>
      <c r="Z1913" s="133"/>
      <c r="AA1913" s="133"/>
      <c r="AB1913" s="133"/>
      <c r="AC1913" s="133"/>
      <c r="AD1913" s="133"/>
      <c r="AE1913" s="133"/>
      <c r="AF1913" s="133"/>
      <c r="AG1913" s="133"/>
      <c r="AH1913" s="133"/>
      <c r="AI1913" s="133"/>
      <c r="AJ1913" s="133"/>
      <c r="AK1913" s="133"/>
      <c r="AL1913" s="133"/>
      <c r="AM1913" s="133"/>
      <c r="AN1913" s="133"/>
      <c r="AO1913" s="133"/>
      <c r="AP1913" s="133"/>
      <c r="AQ1913" s="133"/>
      <c r="AR1913" s="133"/>
      <c r="AS1913" s="153">
        <v>0</v>
      </c>
      <c r="AT1913" s="153">
        <v>0</v>
      </c>
      <c r="AU1913" s="153">
        <v>0</v>
      </c>
      <c r="AV1913" s="135"/>
      <c r="AW1913" s="135"/>
      <c r="AX1913" s="135"/>
      <c r="AY1913" s="135"/>
      <c r="AZ1913" s="135"/>
      <c r="BA1913" s="135"/>
      <c r="BB1913" s="135"/>
      <c r="BC1913" s="135"/>
      <c r="BD1913" s="135"/>
      <c r="BE1913" s="135"/>
      <c r="BF1913" s="135"/>
      <c r="BG1913" s="135"/>
      <c r="BH1913" s="135"/>
      <c r="BI1913" s="2"/>
      <c r="BJ1913" s="136"/>
      <c r="BK1913" s="2"/>
      <c r="BL1913" s="136"/>
      <c r="BM1913" s="136"/>
      <c r="BN1913" s="2"/>
      <c r="BO1913" s="2"/>
      <c r="BP1913" s="136"/>
      <c r="BQ1913" s="137"/>
    </row>
    <row r="1914" spans="1:69" ht="12.75" customHeight="1" x14ac:dyDescent="0.2">
      <c r="A1914" s="2">
        <v>3403</v>
      </c>
      <c r="B1914" s="2"/>
      <c r="C1914" s="2"/>
      <c r="D1914" s="2"/>
      <c r="E1914" s="2"/>
      <c r="F1914" s="132">
        <v>0</v>
      </c>
      <c r="G1914" s="132"/>
      <c r="H1914" s="132">
        <f t="shared" si="220"/>
        <v>0</v>
      </c>
      <c r="I1914" s="132"/>
      <c r="J1914" s="132">
        <f t="shared" si="218"/>
        <v>0</v>
      </c>
      <c r="K1914" s="132">
        <f t="shared" si="221"/>
        <v>0</v>
      </c>
      <c r="L1914" s="132">
        <f t="shared" si="215"/>
        <v>0</v>
      </c>
      <c r="M1914" s="133"/>
      <c r="N1914" s="133">
        <f t="shared" si="219"/>
        <v>0</v>
      </c>
      <c r="O1914" s="134"/>
      <c r="P1914" s="133"/>
      <c r="Q1914" s="2"/>
      <c r="R1914" s="156">
        <f t="shared" si="216"/>
        <v>0</v>
      </c>
      <c r="S1914" s="156">
        <f t="shared" si="217"/>
        <v>0</v>
      </c>
      <c r="T1914" s="133"/>
      <c r="U1914" s="133"/>
      <c r="V1914" s="133"/>
      <c r="W1914" s="133"/>
      <c r="X1914" s="133"/>
      <c r="Y1914" s="133"/>
      <c r="Z1914" s="133"/>
      <c r="AA1914" s="133"/>
      <c r="AB1914" s="133"/>
      <c r="AC1914" s="133"/>
      <c r="AD1914" s="133"/>
      <c r="AE1914" s="133"/>
      <c r="AF1914" s="133"/>
      <c r="AG1914" s="133"/>
      <c r="AH1914" s="133"/>
      <c r="AI1914" s="133"/>
      <c r="AJ1914" s="133"/>
      <c r="AK1914" s="133"/>
      <c r="AL1914" s="133"/>
      <c r="AM1914" s="133"/>
      <c r="AN1914" s="133"/>
      <c r="AO1914" s="133"/>
      <c r="AP1914" s="133"/>
      <c r="AQ1914" s="133"/>
      <c r="AR1914" s="133"/>
      <c r="AS1914" s="153">
        <v>0</v>
      </c>
      <c r="AT1914" s="153">
        <v>0</v>
      </c>
      <c r="AU1914" s="153">
        <v>0</v>
      </c>
      <c r="AV1914" s="135"/>
      <c r="AW1914" s="135"/>
      <c r="AX1914" s="135"/>
      <c r="AY1914" s="135"/>
      <c r="AZ1914" s="135"/>
      <c r="BA1914" s="135"/>
      <c r="BB1914" s="135"/>
      <c r="BC1914" s="135"/>
      <c r="BD1914" s="135"/>
      <c r="BE1914" s="135"/>
      <c r="BF1914" s="135"/>
      <c r="BG1914" s="135"/>
      <c r="BH1914" s="135"/>
      <c r="BI1914" s="2"/>
      <c r="BJ1914" s="136"/>
      <c r="BK1914" s="2"/>
      <c r="BL1914" s="136"/>
      <c r="BM1914" s="136"/>
      <c r="BN1914" s="2"/>
      <c r="BO1914" s="2"/>
      <c r="BP1914" s="136"/>
      <c r="BQ1914" s="137"/>
    </row>
    <row r="1915" spans="1:69" ht="12.75" customHeight="1" x14ac:dyDescent="0.2">
      <c r="A1915" s="2">
        <v>3404</v>
      </c>
      <c r="B1915" s="2"/>
      <c r="C1915" s="2"/>
      <c r="D1915" s="2"/>
      <c r="E1915" s="2"/>
      <c r="F1915" s="132">
        <v>0</v>
      </c>
      <c r="G1915" s="132"/>
      <c r="H1915" s="132">
        <f t="shared" si="220"/>
        <v>0</v>
      </c>
      <c r="I1915" s="132"/>
      <c r="J1915" s="132">
        <f t="shared" si="218"/>
        <v>0</v>
      </c>
      <c r="K1915" s="132">
        <f t="shared" si="221"/>
        <v>0</v>
      </c>
      <c r="L1915" s="132">
        <f t="shared" si="215"/>
        <v>0</v>
      </c>
      <c r="M1915" s="133"/>
      <c r="N1915" s="133">
        <f t="shared" si="219"/>
        <v>0</v>
      </c>
      <c r="O1915" s="134"/>
      <c r="P1915" s="133"/>
      <c r="Q1915" s="2"/>
      <c r="R1915" s="156">
        <f t="shared" si="216"/>
        <v>0</v>
      </c>
      <c r="S1915" s="156">
        <f t="shared" si="217"/>
        <v>0</v>
      </c>
      <c r="T1915" s="133"/>
      <c r="U1915" s="133"/>
      <c r="V1915" s="133"/>
      <c r="W1915" s="133"/>
      <c r="X1915" s="133"/>
      <c r="Y1915" s="133"/>
      <c r="Z1915" s="133"/>
      <c r="AA1915" s="133"/>
      <c r="AB1915" s="133"/>
      <c r="AC1915" s="133"/>
      <c r="AD1915" s="133"/>
      <c r="AE1915" s="133"/>
      <c r="AF1915" s="133"/>
      <c r="AG1915" s="133"/>
      <c r="AH1915" s="133"/>
      <c r="AI1915" s="133"/>
      <c r="AJ1915" s="133"/>
      <c r="AK1915" s="133"/>
      <c r="AL1915" s="133"/>
      <c r="AM1915" s="133"/>
      <c r="AN1915" s="133"/>
      <c r="AO1915" s="133"/>
      <c r="AP1915" s="133"/>
      <c r="AQ1915" s="133"/>
      <c r="AR1915" s="133"/>
      <c r="AS1915" s="153">
        <v>0</v>
      </c>
      <c r="AT1915" s="153">
        <v>0</v>
      </c>
      <c r="AU1915" s="153">
        <v>0</v>
      </c>
      <c r="AV1915" s="135"/>
      <c r="AW1915" s="135"/>
      <c r="AX1915" s="135"/>
      <c r="AY1915" s="135"/>
      <c r="AZ1915" s="135"/>
      <c r="BA1915" s="135"/>
      <c r="BB1915" s="135"/>
      <c r="BC1915" s="135"/>
      <c r="BD1915" s="135"/>
      <c r="BE1915" s="135"/>
      <c r="BF1915" s="135"/>
      <c r="BG1915" s="135"/>
      <c r="BH1915" s="135"/>
      <c r="BI1915" s="2"/>
      <c r="BJ1915" s="136"/>
      <c r="BK1915" s="2"/>
      <c r="BL1915" s="136"/>
      <c r="BM1915" s="136"/>
      <c r="BN1915" s="2"/>
      <c r="BO1915" s="2"/>
      <c r="BP1915" s="136"/>
      <c r="BQ1915" s="137"/>
    </row>
    <row r="1916" spans="1:69" ht="12.75" customHeight="1" x14ac:dyDescent="0.2">
      <c r="A1916" s="2">
        <v>3405</v>
      </c>
      <c r="B1916" s="2"/>
      <c r="C1916" s="2"/>
      <c r="D1916" s="2"/>
      <c r="E1916" s="2"/>
      <c r="F1916" s="132">
        <v>0</v>
      </c>
      <c r="G1916" s="132"/>
      <c r="H1916" s="132">
        <f t="shared" si="220"/>
        <v>0</v>
      </c>
      <c r="I1916" s="132"/>
      <c r="J1916" s="132">
        <f t="shared" si="218"/>
        <v>0</v>
      </c>
      <c r="K1916" s="132">
        <f t="shared" si="221"/>
        <v>0</v>
      </c>
      <c r="L1916" s="132">
        <f t="shared" si="215"/>
        <v>0</v>
      </c>
      <c r="M1916" s="133"/>
      <c r="N1916" s="133">
        <f t="shared" si="219"/>
        <v>0</v>
      </c>
      <c r="O1916" s="134"/>
      <c r="P1916" s="133"/>
      <c r="Q1916" s="2"/>
      <c r="R1916" s="156">
        <f t="shared" si="216"/>
        <v>0</v>
      </c>
      <c r="S1916" s="156">
        <f t="shared" si="217"/>
        <v>0</v>
      </c>
      <c r="T1916" s="133"/>
      <c r="U1916" s="133"/>
      <c r="V1916" s="133"/>
      <c r="W1916" s="133"/>
      <c r="X1916" s="133"/>
      <c r="Y1916" s="133"/>
      <c r="Z1916" s="133"/>
      <c r="AA1916" s="133"/>
      <c r="AB1916" s="133"/>
      <c r="AC1916" s="133"/>
      <c r="AD1916" s="133"/>
      <c r="AE1916" s="133"/>
      <c r="AF1916" s="133"/>
      <c r="AG1916" s="133"/>
      <c r="AH1916" s="133"/>
      <c r="AI1916" s="133"/>
      <c r="AJ1916" s="133"/>
      <c r="AK1916" s="133"/>
      <c r="AL1916" s="133"/>
      <c r="AM1916" s="133"/>
      <c r="AN1916" s="133"/>
      <c r="AO1916" s="133"/>
      <c r="AP1916" s="133"/>
      <c r="AQ1916" s="133"/>
      <c r="AR1916" s="133"/>
      <c r="AS1916" s="153">
        <v>0</v>
      </c>
      <c r="AT1916" s="153">
        <v>0</v>
      </c>
      <c r="AU1916" s="153">
        <v>0</v>
      </c>
      <c r="AV1916" s="135"/>
      <c r="AW1916" s="135"/>
      <c r="AX1916" s="135"/>
      <c r="AY1916" s="135"/>
      <c r="AZ1916" s="135"/>
      <c r="BA1916" s="135"/>
      <c r="BB1916" s="135"/>
      <c r="BC1916" s="135"/>
      <c r="BD1916" s="135"/>
      <c r="BE1916" s="135"/>
      <c r="BF1916" s="135"/>
      <c r="BG1916" s="135"/>
      <c r="BH1916" s="135"/>
      <c r="BI1916" s="2"/>
      <c r="BJ1916" s="136"/>
      <c r="BK1916" s="2"/>
      <c r="BL1916" s="136"/>
      <c r="BM1916" s="136"/>
      <c r="BN1916" s="2"/>
      <c r="BO1916" s="2"/>
      <c r="BP1916" s="136"/>
      <c r="BQ1916" s="137"/>
    </row>
    <row r="1917" spans="1:69" ht="12.75" customHeight="1" x14ac:dyDescent="0.2">
      <c r="A1917" s="2">
        <v>3406</v>
      </c>
      <c r="B1917" s="2"/>
      <c r="C1917" s="2"/>
      <c r="D1917" s="2"/>
      <c r="E1917" s="2"/>
      <c r="F1917" s="132">
        <v>0</v>
      </c>
      <c r="G1917" s="132"/>
      <c r="H1917" s="132">
        <f t="shared" si="220"/>
        <v>0</v>
      </c>
      <c r="I1917" s="132"/>
      <c r="J1917" s="132">
        <f t="shared" si="218"/>
        <v>0</v>
      </c>
      <c r="K1917" s="132">
        <f t="shared" si="221"/>
        <v>0</v>
      </c>
      <c r="L1917" s="132">
        <f t="shared" si="215"/>
        <v>0</v>
      </c>
      <c r="M1917" s="133"/>
      <c r="N1917" s="133">
        <f t="shared" si="219"/>
        <v>0</v>
      </c>
      <c r="O1917" s="134"/>
      <c r="P1917" s="133"/>
      <c r="Q1917" s="2"/>
      <c r="R1917" s="156">
        <f t="shared" si="216"/>
        <v>0</v>
      </c>
      <c r="S1917" s="156">
        <f t="shared" si="217"/>
        <v>0</v>
      </c>
      <c r="T1917" s="133"/>
      <c r="U1917" s="133"/>
      <c r="V1917" s="133"/>
      <c r="W1917" s="133"/>
      <c r="X1917" s="133"/>
      <c r="Y1917" s="133"/>
      <c r="Z1917" s="133"/>
      <c r="AA1917" s="133"/>
      <c r="AB1917" s="133"/>
      <c r="AC1917" s="133"/>
      <c r="AD1917" s="133"/>
      <c r="AE1917" s="133"/>
      <c r="AF1917" s="133"/>
      <c r="AG1917" s="133"/>
      <c r="AH1917" s="133"/>
      <c r="AI1917" s="133"/>
      <c r="AJ1917" s="133"/>
      <c r="AK1917" s="133"/>
      <c r="AL1917" s="133"/>
      <c r="AM1917" s="133"/>
      <c r="AN1917" s="133"/>
      <c r="AO1917" s="133"/>
      <c r="AP1917" s="133"/>
      <c r="AQ1917" s="133"/>
      <c r="AR1917" s="133"/>
      <c r="AS1917" s="153">
        <v>0</v>
      </c>
      <c r="AT1917" s="153">
        <v>0</v>
      </c>
      <c r="AU1917" s="153">
        <v>0</v>
      </c>
      <c r="AV1917" s="135"/>
      <c r="AW1917" s="135"/>
      <c r="AX1917" s="135"/>
      <c r="AY1917" s="135"/>
      <c r="AZ1917" s="135"/>
      <c r="BA1917" s="135"/>
      <c r="BB1917" s="135"/>
      <c r="BC1917" s="135"/>
      <c r="BD1917" s="135"/>
      <c r="BE1917" s="135"/>
      <c r="BF1917" s="135"/>
      <c r="BG1917" s="135"/>
      <c r="BH1917" s="135"/>
      <c r="BI1917" s="2"/>
      <c r="BJ1917" s="136"/>
      <c r="BK1917" s="2"/>
      <c r="BL1917" s="136"/>
      <c r="BM1917" s="136"/>
      <c r="BN1917" s="2"/>
      <c r="BO1917" s="2"/>
      <c r="BP1917" s="136"/>
      <c r="BQ1917" s="137"/>
    </row>
    <row r="1918" spans="1:69" ht="12.75" customHeight="1" x14ac:dyDescent="0.2">
      <c r="A1918" s="2">
        <v>3407</v>
      </c>
      <c r="B1918" s="2"/>
      <c r="C1918" s="2"/>
      <c r="D1918" s="2"/>
      <c r="E1918" s="2"/>
      <c r="F1918" s="132">
        <v>0</v>
      </c>
      <c r="G1918" s="132"/>
      <c r="H1918" s="132">
        <f t="shared" si="220"/>
        <v>0</v>
      </c>
      <c r="I1918" s="132"/>
      <c r="J1918" s="132">
        <f t="shared" si="218"/>
        <v>0</v>
      </c>
      <c r="K1918" s="132">
        <f t="shared" si="221"/>
        <v>0</v>
      </c>
      <c r="L1918" s="132">
        <f t="shared" si="215"/>
        <v>0</v>
      </c>
      <c r="M1918" s="133"/>
      <c r="N1918" s="133">
        <f t="shared" si="219"/>
        <v>0</v>
      </c>
      <c r="O1918" s="134"/>
      <c r="P1918" s="133"/>
      <c r="Q1918" s="2"/>
      <c r="R1918" s="156">
        <f t="shared" si="216"/>
        <v>0</v>
      </c>
      <c r="S1918" s="156">
        <f t="shared" si="217"/>
        <v>0</v>
      </c>
      <c r="T1918" s="133"/>
      <c r="U1918" s="133"/>
      <c r="V1918" s="133"/>
      <c r="W1918" s="133"/>
      <c r="X1918" s="133"/>
      <c r="Y1918" s="133"/>
      <c r="Z1918" s="133"/>
      <c r="AA1918" s="133"/>
      <c r="AB1918" s="133"/>
      <c r="AC1918" s="133"/>
      <c r="AD1918" s="133"/>
      <c r="AE1918" s="133"/>
      <c r="AF1918" s="133"/>
      <c r="AG1918" s="133"/>
      <c r="AH1918" s="133"/>
      <c r="AI1918" s="133"/>
      <c r="AJ1918" s="133"/>
      <c r="AK1918" s="133"/>
      <c r="AL1918" s="133"/>
      <c r="AM1918" s="133"/>
      <c r="AN1918" s="133"/>
      <c r="AO1918" s="133"/>
      <c r="AP1918" s="133"/>
      <c r="AQ1918" s="133"/>
      <c r="AR1918" s="133"/>
      <c r="AS1918" s="153">
        <v>0</v>
      </c>
      <c r="AT1918" s="153">
        <v>0</v>
      </c>
      <c r="AU1918" s="153">
        <v>0</v>
      </c>
      <c r="AV1918" s="135"/>
      <c r="AW1918" s="135"/>
      <c r="AX1918" s="135"/>
      <c r="AY1918" s="135"/>
      <c r="AZ1918" s="135"/>
      <c r="BA1918" s="135"/>
      <c r="BB1918" s="135"/>
      <c r="BC1918" s="135"/>
      <c r="BD1918" s="135"/>
      <c r="BE1918" s="135"/>
      <c r="BF1918" s="135"/>
      <c r="BG1918" s="135"/>
      <c r="BH1918" s="135"/>
      <c r="BI1918" s="2"/>
      <c r="BJ1918" s="136"/>
      <c r="BK1918" s="2"/>
      <c r="BL1918" s="136"/>
      <c r="BM1918" s="136"/>
      <c r="BN1918" s="2"/>
      <c r="BO1918" s="2"/>
      <c r="BP1918" s="136"/>
      <c r="BQ1918" s="137"/>
    </row>
    <row r="1919" spans="1:69" ht="12.75" customHeight="1" x14ac:dyDescent="0.2">
      <c r="A1919" s="2">
        <v>3408</v>
      </c>
      <c r="B1919" s="2"/>
      <c r="C1919" s="2"/>
      <c r="D1919" s="2"/>
      <c r="E1919" s="2"/>
      <c r="F1919" s="132">
        <v>0</v>
      </c>
      <c r="G1919" s="132"/>
      <c r="H1919" s="132">
        <f t="shared" si="220"/>
        <v>0</v>
      </c>
      <c r="I1919" s="132"/>
      <c r="J1919" s="132">
        <f t="shared" si="218"/>
        <v>0</v>
      </c>
      <c r="K1919" s="132">
        <f t="shared" si="221"/>
        <v>0</v>
      </c>
      <c r="L1919" s="132">
        <f t="shared" si="215"/>
        <v>0</v>
      </c>
      <c r="M1919" s="133"/>
      <c r="N1919" s="133">
        <f t="shared" si="219"/>
        <v>0</v>
      </c>
      <c r="O1919" s="134"/>
      <c r="P1919" s="133"/>
      <c r="Q1919" s="2"/>
      <c r="R1919" s="156">
        <f t="shared" si="216"/>
        <v>0</v>
      </c>
      <c r="S1919" s="156">
        <f t="shared" si="217"/>
        <v>0</v>
      </c>
      <c r="T1919" s="133"/>
      <c r="U1919" s="133"/>
      <c r="V1919" s="133"/>
      <c r="W1919" s="133"/>
      <c r="X1919" s="133"/>
      <c r="Y1919" s="133"/>
      <c r="Z1919" s="133"/>
      <c r="AA1919" s="133"/>
      <c r="AB1919" s="133"/>
      <c r="AC1919" s="133"/>
      <c r="AD1919" s="133"/>
      <c r="AE1919" s="133"/>
      <c r="AF1919" s="133"/>
      <c r="AG1919" s="133"/>
      <c r="AH1919" s="133"/>
      <c r="AI1919" s="133"/>
      <c r="AJ1919" s="133"/>
      <c r="AK1919" s="133"/>
      <c r="AL1919" s="133"/>
      <c r="AM1919" s="133"/>
      <c r="AN1919" s="133"/>
      <c r="AO1919" s="133"/>
      <c r="AP1919" s="133"/>
      <c r="AQ1919" s="133"/>
      <c r="AR1919" s="133"/>
      <c r="AS1919" s="153">
        <v>0</v>
      </c>
      <c r="AT1919" s="153">
        <v>0</v>
      </c>
      <c r="AU1919" s="153">
        <v>0</v>
      </c>
      <c r="AV1919" s="135"/>
      <c r="AW1919" s="135"/>
      <c r="AX1919" s="135"/>
      <c r="AY1919" s="135"/>
      <c r="AZ1919" s="135"/>
      <c r="BA1919" s="135"/>
      <c r="BB1919" s="135"/>
      <c r="BC1919" s="135"/>
      <c r="BD1919" s="135"/>
      <c r="BE1919" s="135"/>
      <c r="BF1919" s="135"/>
      <c r="BG1919" s="135"/>
      <c r="BH1919" s="135"/>
      <c r="BI1919" s="2"/>
      <c r="BJ1919" s="136"/>
      <c r="BK1919" s="2"/>
      <c r="BL1919" s="136"/>
      <c r="BM1919" s="136"/>
      <c r="BN1919" s="2"/>
      <c r="BO1919" s="2"/>
      <c r="BP1919" s="136"/>
      <c r="BQ1919" s="137"/>
    </row>
    <row r="1920" spans="1:69" ht="12.75" customHeight="1" x14ac:dyDescent="0.2">
      <c r="A1920" s="2">
        <v>3409</v>
      </c>
      <c r="B1920" s="2"/>
      <c r="C1920" s="2"/>
      <c r="D1920" s="2"/>
      <c r="E1920" s="2"/>
      <c r="F1920" s="132">
        <v>0</v>
      </c>
      <c r="G1920" s="132"/>
      <c r="H1920" s="132">
        <f t="shared" si="220"/>
        <v>0</v>
      </c>
      <c r="I1920" s="132"/>
      <c r="J1920" s="132">
        <f t="shared" si="218"/>
        <v>0</v>
      </c>
      <c r="K1920" s="132">
        <f t="shared" si="221"/>
        <v>0</v>
      </c>
      <c r="L1920" s="132">
        <f t="shared" si="215"/>
        <v>0</v>
      </c>
      <c r="M1920" s="133"/>
      <c r="N1920" s="133">
        <f t="shared" si="219"/>
        <v>0</v>
      </c>
      <c r="O1920" s="134"/>
      <c r="P1920" s="133"/>
      <c r="Q1920" s="2"/>
      <c r="R1920" s="156">
        <f t="shared" si="216"/>
        <v>0</v>
      </c>
      <c r="S1920" s="156">
        <f t="shared" si="217"/>
        <v>0</v>
      </c>
      <c r="T1920" s="133"/>
      <c r="U1920" s="133"/>
      <c r="V1920" s="133"/>
      <c r="W1920" s="133"/>
      <c r="X1920" s="133"/>
      <c r="Y1920" s="133"/>
      <c r="Z1920" s="133"/>
      <c r="AA1920" s="133"/>
      <c r="AB1920" s="133"/>
      <c r="AC1920" s="133"/>
      <c r="AD1920" s="133"/>
      <c r="AE1920" s="133"/>
      <c r="AF1920" s="133"/>
      <c r="AG1920" s="133"/>
      <c r="AH1920" s="133"/>
      <c r="AI1920" s="133"/>
      <c r="AJ1920" s="133"/>
      <c r="AK1920" s="133"/>
      <c r="AL1920" s="133"/>
      <c r="AM1920" s="133"/>
      <c r="AN1920" s="133"/>
      <c r="AO1920" s="133"/>
      <c r="AP1920" s="133"/>
      <c r="AQ1920" s="133"/>
      <c r="AR1920" s="133"/>
      <c r="AS1920" s="153">
        <v>0</v>
      </c>
      <c r="AT1920" s="153">
        <v>0</v>
      </c>
      <c r="AU1920" s="153">
        <v>0</v>
      </c>
      <c r="AV1920" s="135"/>
      <c r="AW1920" s="135"/>
      <c r="AX1920" s="135"/>
      <c r="AY1920" s="135"/>
      <c r="AZ1920" s="135"/>
      <c r="BA1920" s="135"/>
      <c r="BB1920" s="135"/>
      <c r="BC1920" s="135"/>
      <c r="BD1920" s="135"/>
      <c r="BE1920" s="135"/>
      <c r="BF1920" s="135"/>
      <c r="BG1920" s="135"/>
      <c r="BH1920" s="135"/>
      <c r="BI1920" s="2"/>
      <c r="BJ1920" s="136"/>
      <c r="BK1920" s="2"/>
      <c r="BL1920" s="136"/>
      <c r="BM1920" s="136"/>
      <c r="BN1920" s="2"/>
      <c r="BO1920" s="2"/>
      <c r="BP1920" s="136"/>
      <c r="BQ1920" s="137"/>
    </row>
    <row r="1921" spans="1:69" ht="12.75" customHeight="1" x14ac:dyDescent="0.2">
      <c r="A1921" s="2">
        <v>3410</v>
      </c>
      <c r="B1921" s="2"/>
      <c r="C1921" s="2"/>
      <c r="D1921" s="2"/>
      <c r="E1921" s="2"/>
      <c r="F1921" s="132">
        <v>0</v>
      </c>
      <c r="G1921" s="132"/>
      <c r="H1921" s="132">
        <f t="shared" si="220"/>
        <v>0</v>
      </c>
      <c r="I1921" s="132"/>
      <c r="J1921" s="132">
        <f t="shared" si="218"/>
        <v>0</v>
      </c>
      <c r="K1921" s="132">
        <f t="shared" si="221"/>
        <v>0</v>
      </c>
      <c r="L1921" s="132">
        <f t="shared" si="215"/>
        <v>0</v>
      </c>
      <c r="M1921" s="133"/>
      <c r="N1921" s="133">
        <f t="shared" si="219"/>
        <v>0</v>
      </c>
      <c r="O1921" s="134"/>
      <c r="P1921" s="133"/>
      <c r="Q1921" s="2"/>
      <c r="R1921" s="156">
        <f t="shared" si="216"/>
        <v>0</v>
      </c>
      <c r="S1921" s="156">
        <f t="shared" si="217"/>
        <v>0</v>
      </c>
      <c r="T1921" s="133"/>
      <c r="U1921" s="133"/>
      <c r="V1921" s="133"/>
      <c r="W1921" s="133"/>
      <c r="X1921" s="133"/>
      <c r="Y1921" s="133"/>
      <c r="Z1921" s="133"/>
      <c r="AA1921" s="133"/>
      <c r="AB1921" s="133"/>
      <c r="AC1921" s="133"/>
      <c r="AD1921" s="133"/>
      <c r="AE1921" s="133"/>
      <c r="AF1921" s="133"/>
      <c r="AG1921" s="133"/>
      <c r="AH1921" s="133"/>
      <c r="AI1921" s="133"/>
      <c r="AJ1921" s="133"/>
      <c r="AK1921" s="133"/>
      <c r="AL1921" s="133"/>
      <c r="AM1921" s="133"/>
      <c r="AN1921" s="133"/>
      <c r="AO1921" s="133"/>
      <c r="AP1921" s="133"/>
      <c r="AQ1921" s="133"/>
      <c r="AR1921" s="133"/>
      <c r="AS1921" s="153">
        <v>0</v>
      </c>
      <c r="AT1921" s="153">
        <v>0</v>
      </c>
      <c r="AU1921" s="153">
        <v>0</v>
      </c>
      <c r="AV1921" s="135"/>
      <c r="AW1921" s="135"/>
      <c r="AX1921" s="135"/>
      <c r="AY1921" s="135"/>
      <c r="AZ1921" s="135"/>
      <c r="BA1921" s="135"/>
      <c r="BB1921" s="135"/>
      <c r="BC1921" s="135"/>
      <c r="BD1921" s="135"/>
      <c r="BE1921" s="135"/>
      <c r="BF1921" s="135"/>
      <c r="BG1921" s="135"/>
      <c r="BH1921" s="135"/>
      <c r="BI1921" s="2"/>
      <c r="BJ1921" s="136"/>
      <c r="BK1921" s="2"/>
      <c r="BL1921" s="136"/>
      <c r="BM1921" s="136"/>
      <c r="BN1921" s="2"/>
      <c r="BO1921" s="2"/>
      <c r="BP1921" s="136"/>
      <c r="BQ1921" s="137"/>
    </row>
    <row r="1922" spans="1:69" ht="12.75" customHeight="1" x14ac:dyDescent="0.2">
      <c r="A1922" s="2">
        <v>3411</v>
      </c>
      <c r="B1922" s="2"/>
      <c r="C1922" s="2"/>
      <c r="D1922" s="2"/>
      <c r="E1922" s="2"/>
      <c r="F1922" s="132">
        <v>0</v>
      </c>
      <c r="G1922" s="132"/>
      <c r="H1922" s="132">
        <f t="shared" si="220"/>
        <v>0</v>
      </c>
      <c r="I1922" s="132"/>
      <c r="J1922" s="132">
        <f t="shared" si="218"/>
        <v>0</v>
      </c>
      <c r="K1922" s="132">
        <f t="shared" si="221"/>
        <v>0</v>
      </c>
      <c r="L1922" s="132">
        <f t="shared" si="215"/>
        <v>0</v>
      </c>
      <c r="M1922" s="133"/>
      <c r="N1922" s="133">
        <f t="shared" si="219"/>
        <v>0</v>
      </c>
      <c r="O1922" s="134"/>
      <c r="P1922" s="133"/>
      <c r="Q1922" s="2"/>
      <c r="R1922" s="156">
        <f t="shared" si="216"/>
        <v>0</v>
      </c>
      <c r="S1922" s="156">
        <f t="shared" si="217"/>
        <v>0</v>
      </c>
      <c r="T1922" s="133"/>
      <c r="U1922" s="133"/>
      <c r="V1922" s="133"/>
      <c r="W1922" s="133"/>
      <c r="X1922" s="133"/>
      <c r="Y1922" s="133"/>
      <c r="Z1922" s="133"/>
      <c r="AA1922" s="133"/>
      <c r="AB1922" s="133"/>
      <c r="AC1922" s="133"/>
      <c r="AD1922" s="133"/>
      <c r="AE1922" s="133"/>
      <c r="AF1922" s="133"/>
      <c r="AG1922" s="133"/>
      <c r="AH1922" s="133"/>
      <c r="AI1922" s="133"/>
      <c r="AJ1922" s="133"/>
      <c r="AK1922" s="133"/>
      <c r="AL1922" s="133"/>
      <c r="AM1922" s="133"/>
      <c r="AN1922" s="133"/>
      <c r="AO1922" s="133"/>
      <c r="AP1922" s="133"/>
      <c r="AQ1922" s="133"/>
      <c r="AR1922" s="133"/>
      <c r="AS1922" s="153">
        <v>0</v>
      </c>
      <c r="AT1922" s="153">
        <v>0</v>
      </c>
      <c r="AU1922" s="153">
        <v>0</v>
      </c>
      <c r="AV1922" s="135"/>
      <c r="AW1922" s="135"/>
      <c r="AX1922" s="135"/>
      <c r="AY1922" s="135"/>
      <c r="AZ1922" s="135"/>
      <c r="BA1922" s="135"/>
      <c r="BB1922" s="135"/>
      <c r="BC1922" s="135"/>
      <c r="BD1922" s="135"/>
      <c r="BE1922" s="135"/>
      <c r="BF1922" s="135"/>
      <c r="BG1922" s="135"/>
      <c r="BH1922" s="135"/>
      <c r="BI1922" s="2"/>
      <c r="BJ1922" s="136"/>
      <c r="BK1922" s="2"/>
      <c r="BL1922" s="136"/>
      <c r="BM1922" s="136"/>
      <c r="BN1922" s="2"/>
      <c r="BO1922" s="2"/>
      <c r="BP1922" s="136"/>
      <c r="BQ1922" s="137"/>
    </row>
    <row r="1923" spans="1:69" ht="12.75" customHeight="1" x14ac:dyDescent="0.2">
      <c r="A1923" s="2">
        <v>3412</v>
      </c>
      <c r="B1923" s="2"/>
      <c r="C1923" s="2"/>
      <c r="D1923" s="2"/>
      <c r="E1923" s="2"/>
      <c r="F1923" s="132">
        <v>0</v>
      </c>
      <c r="G1923" s="132"/>
      <c r="H1923" s="132">
        <f t="shared" si="220"/>
        <v>0</v>
      </c>
      <c r="I1923" s="132"/>
      <c r="J1923" s="132">
        <f t="shared" si="218"/>
        <v>0</v>
      </c>
      <c r="K1923" s="132">
        <f t="shared" si="221"/>
        <v>0</v>
      </c>
      <c r="L1923" s="132">
        <f t="shared" si="215"/>
        <v>0</v>
      </c>
      <c r="M1923" s="133"/>
      <c r="N1923" s="133">
        <f t="shared" si="219"/>
        <v>0</v>
      </c>
      <c r="O1923" s="134"/>
      <c r="P1923" s="133"/>
      <c r="Q1923" s="2"/>
      <c r="R1923" s="156">
        <f t="shared" si="216"/>
        <v>0</v>
      </c>
      <c r="S1923" s="156">
        <f t="shared" si="217"/>
        <v>0</v>
      </c>
      <c r="T1923" s="133"/>
      <c r="U1923" s="133"/>
      <c r="V1923" s="133"/>
      <c r="W1923" s="133"/>
      <c r="X1923" s="133"/>
      <c r="Y1923" s="133"/>
      <c r="Z1923" s="133"/>
      <c r="AA1923" s="133"/>
      <c r="AB1923" s="133"/>
      <c r="AC1923" s="133"/>
      <c r="AD1923" s="133"/>
      <c r="AE1923" s="133"/>
      <c r="AF1923" s="133"/>
      <c r="AG1923" s="133"/>
      <c r="AH1923" s="133"/>
      <c r="AI1923" s="133"/>
      <c r="AJ1923" s="133"/>
      <c r="AK1923" s="133"/>
      <c r="AL1923" s="133"/>
      <c r="AM1923" s="133"/>
      <c r="AN1923" s="133"/>
      <c r="AO1923" s="133"/>
      <c r="AP1923" s="133"/>
      <c r="AQ1923" s="133"/>
      <c r="AR1923" s="133"/>
      <c r="AS1923" s="153">
        <v>0</v>
      </c>
      <c r="AT1923" s="153">
        <v>0</v>
      </c>
      <c r="AU1923" s="153">
        <v>0</v>
      </c>
      <c r="AV1923" s="135"/>
      <c r="AW1923" s="135"/>
      <c r="AX1923" s="135"/>
      <c r="AY1923" s="135"/>
      <c r="AZ1923" s="135"/>
      <c r="BA1923" s="135"/>
      <c r="BB1923" s="135"/>
      <c r="BC1923" s="135"/>
      <c r="BD1923" s="135"/>
      <c r="BE1923" s="135"/>
      <c r="BF1923" s="135"/>
      <c r="BG1923" s="135"/>
      <c r="BH1923" s="135"/>
      <c r="BI1923" s="2"/>
      <c r="BJ1923" s="136"/>
      <c r="BK1923" s="2"/>
      <c r="BL1923" s="136"/>
      <c r="BM1923" s="136"/>
      <c r="BN1923" s="2"/>
      <c r="BO1923" s="2"/>
      <c r="BP1923" s="136"/>
      <c r="BQ1923" s="137"/>
    </row>
    <row r="1924" spans="1:69" ht="12.75" customHeight="1" x14ac:dyDescent="0.2">
      <c r="A1924" s="2">
        <v>3413</v>
      </c>
      <c r="B1924" s="2"/>
      <c r="C1924" s="2"/>
      <c r="D1924" s="2"/>
      <c r="E1924" s="2"/>
      <c r="F1924" s="132">
        <v>0</v>
      </c>
      <c r="G1924" s="132"/>
      <c r="H1924" s="132">
        <f t="shared" si="220"/>
        <v>0</v>
      </c>
      <c r="I1924" s="132"/>
      <c r="J1924" s="132">
        <f t="shared" si="218"/>
        <v>0</v>
      </c>
      <c r="K1924" s="132">
        <f t="shared" si="221"/>
        <v>0</v>
      </c>
      <c r="L1924" s="132">
        <f t="shared" si="215"/>
        <v>0</v>
      </c>
      <c r="M1924" s="133"/>
      <c r="N1924" s="133">
        <f t="shared" si="219"/>
        <v>0</v>
      </c>
      <c r="O1924" s="134"/>
      <c r="P1924" s="133"/>
      <c r="Q1924" s="2"/>
      <c r="R1924" s="156">
        <f t="shared" si="216"/>
        <v>0</v>
      </c>
      <c r="S1924" s="156">
        <f t="shared" si="217"/>
        <v>0</v>
      </c>
      <c r="T1924" s="133"/>
      <c r="U1924" s="133"/>
      <c r="V1924" s="133"/>
      <c r="W1924" s="133"/>
      <c r="X1924" s="133"/>
      <c r="Y1924" s="133"/>
      <c r="Z1924" s="133"/>
      <c r="AA1924" s="133"/>
      <c r="AB1924" s="133"/>
      <c r="AC1924" s="133"/>
      <c r="AD1924" s="133"/>
      <c r="AE1924" s="133"/>
      <c r="AF1924" s="133"/>
      <c r="AG1924" s="133"/>
      <c r="AH1924" s="133"/>
      <c r="AI1924" s="133"/>
      <c r="AJ1924" s="133"/>
      <c r="AK1924" s="133"/>
      <c r="AL1924" s="133"/>
      <c r="AM1924" s="133"/>
      <c r="AN1924" s="133"/>
      <c r="AO1924" s="133"/>
      <c r="AP1924" s="133"/>
      <c r="AQ1924" s="133"/>
      <c r="AR1924" s="133"/>
      <c r="AS1924" s="153">
        <v>0</v>
      </c>
      <c r="AT1924" s="153">
        <v>0</v>
      </c>
      <c r="AU1924" s="153">
        <v>0</v>
      </c>
      <c r="AV1924" s="135"/>
      <c r="AW1924" s="135"/>
      <c r="AX1924" s="135"/>
      <c r="AY1924" s="135"/>
      <c r="AZ1924" s="135"/>
      <c r="BA1924" s="135"/>
      <c r="BB1924" s="135"/>
      <c r="BC1924" s="135"/>
      <c r="BD1924" s="135"/>
      <c r="BE1924" s="135"/>
      <c r="BF1924" s="135"/>
      <c r="BG1924" s="135"/>
      <c r="BH1924" s="135"/>
      <c r="BI1924" s="2"/>
      <c r="BJ1924" s="136"/>
      <c r="BK1924" s="2"/>
      <c r="BL1924" s="136"/>
      <c r="BM1924" s="136"/>
      <c r="BN1924" s="2"/>
      <c r="BO1924" s="2"/>
      <c r="BP1924" s="136"/>
      <c r="BQ1924" s="137"/>
    </row>
    <row r="1925" spans="1:69" ht="12.75" customHeight="1" x14ac:dyDescent="0.2">
      <c r="A1925" s="2">
        <v>3414</v>
      </c>
      <c r="B1925" s="2"/>
      <c r="C1925" s="2"/>
      <c r="D1925" s="2"/>
      <c r="E1925" s="2"/>
      <c r="F1925" s="132">
        <v>0</v>
      </c>
      <c r="G1925" s="132"/>
      <c r="H1925" s="132">
        <f t="shared" si="220"/>
        <v>0</v>
      </c>
      <c r="I1925" s="132"/>
      <c r="J1925" s="132">
        <f t="shared" si="218"/>
        <v>0</v>
      </c>
      <c r="K1925" s="132">
        <f t="shared" si="221"/>
        <v>0</v>
      </c>
      <c r="L1925" s="132">
        <f t="shared" si="215"/>
        <v>0</v>
      </c>
      <c r="M1925" s="133"/>
      <c r="N1925" s="133">
        <f t="shared" si="219"/>
        <v>0</v>
      </c>
      <c r="O1925" s="134"/>
      <c r="P1925" s="133"/>
      <c r="Q1925" s="2"/>
      <c r="R1925" s="156">
        <f t="shared" si="216"/>
        <v>0</v>
      </c>
      <c r="S1925" s="156">
        <f t="shared" si="217"/>
        <v>0</v>
      </c>
      <c r="T1925" s="133"/>
      <c r="U1925" s="133"/>
      <c r="V1925" s="133"/>
      <c r="W1925" s="133"/>
      <c r="X1925" s="133"/>
      <c r="Y1925" s="133"/>
      <c r="Z1925" s="133"/>
      <c r="AA1925" s="133"/>
      <c r="AB1925" s="133"/>
      <c r="AC1925" s="133"/>
      <c r="AD1925" s="133"/>
      <c r="AE1925" s="133"/>
      <c r="AF1925" s="133"/>
      <c r="AG1925" s="133"/>
      <c r="AH1925" s="133"/>
      <c r="AI1925" s="133"/>
      <c r="AJ1925" s="133"/>
      <c r="AK1925" s="133"/>
      <c r="AL1925" s="133"/>
      <c r="AM1925" s="133"/>
      <c r="AN1925" s="133"/>
      <c r="AO1925" s="133"/>
      <c r="AP1925" s="133"/>
      <c r="AQ1925" s="133"/>
      <c r="AR1925" s="133"/>
      <c r="AS1925" s="153">
        <v>0</v>
      </c>
      <c r="AT1925" s="153">
        <v>0</v>
      </c>
      <c r="AU1925" s="153">
        <v>0</v>
      </c>
      <c r="AV1925" s="135"/>
      <c r="AW1925" s="135"/>
      <c r="AX1925" s="135"/>
      <c r="AY1925" s="135"/>
      <c r="AZ1925" s="135"/>
      <c r="BA1925" s="135"/>
      <c r="BB1925" s="135"/>
      <c r="BC1925" s="135"/>
      <c r="BD1925" s="135"/>
      <c r="BE1925" s="135"/>
      <c r="BF1925" s="135"/>
      <c r="BG1925" s="135"/>
      <c r="BH1925" s="135"/>
      <c r="BI1925" s="2"/>
      <c r="BJ1925" s="136"/>
      <c r="BK1925" s="2"/>
      <c r="BL1925" s="136"/>
      <c r="BM1925" s="136"/>
      <c r="BN1925" s="2"/>
      <c r="BO1925" s="2"/>
      <c r="BP1925" s="136"/>
      <c r="BQ1925" s="137"/>
    </row>
    <row r="1926" spans="1:69" ht="12.75" customHeight="1" x14ac:dyDescent="0.2">
      <c r="A1926" s="2">
        <v>3415</v>
      </c>
      <c r="B1926" s="2"/>
      <c r="C1926" s="2"/>
      <c r="D1926" s="2"/>
      <c r="E1926" s="2"/>
      <c r="F1926" s="132">
        <v>0</v>
      </c>
      <c r="G1926" s="132"/>
      <c r="H1926" s="132">
        <f t="shared" si="220"/>
        <v>0</v>
      </c>
      <c r="I1926" s="132"/>
      <c r="J1926" s="132">
        <f t="shared" si="218"/>
        <v>0</v>
      </c>
      <c r="K1926" s="132">
        <f t="shared" si="221"/>
        <v>0</v>
      </c>
      <c r="L1926" s="132">
        <f t="shared" si="215"/>
        <v>0</v>
      </c>
      <c r="M1926" s="133"/>
      <c r="N1926" s="133">
        <f t="shared" si="219"/>
        <v>0</v>
      </c>
      <c r="O1926" s="134"/>
      <c r="P1926" s="133"/>
      <c r="Q1926" s="2"/>
      <c r="R1926" s="156">
        <f t="shared" si="216"/>
        <v>0</v>
      </c>
      <c r="S1926" s="156">
        <f t="shared" si="217"/>
        <v>0</v>
      </c>
      <c r="T1926" s="133"/>
      <c r="U1926" s="133"/>
      <c r="V1926" s="133"/>
      <c r="W1926" s="133"/>
      <c r="X1926" s="133"/>
      <c r="Y1926" s="133"/>
      <c r="Z1926" s="133"/>
      <c r="AA1926" s="133"/>
      <c r="AB1926" s="133"/>
      <c r="AC1926" s="133"/>
      <c r="AD1926" s="133"/>
      <c r="AE1926" s="133"/>
      <c r="AF1926" s="133"/>
      <c r="AG1926" s="133"/>
      <c r="AH1926" s="133"/>
      <c r="AI1926" s="133"/>
      <c r="AJ1926" s="133"/>
      <c r="AK1926" s="133"/>
      <c r="AL1926" s="133"/>
      <c r="AM1926" s="133"/>
      <c r="AN1926" s="133"/>
      <c r="AO1926" s="133"/>
      <c r="AP1926" s="133"/>
      <c r="AQ1926" s="133"/>
      <c r="AR1926" s="133"/>
      <c r="AS1926" s="153">
        <v>0</v>
      </c>
      <c r="AT1926" s="153">
        <v>0</v>
      </c>
      <c r="AU1926" s="153">
        <v>0</v>
      </c>
      <c r="AV1926" s="135"/>
      <c r="AW1926" s="135"/>
      <c r="AX1926" s="135"/>
      <c r="AY1926" s="135"/>
      <c r="AZ1926" s="135"/>
      <c r="BA1926" s="135"/>
      <c r="BB1926" s="135"/>
      <c r="BC1926" s="135"/>
      <c r="BD1926" s="135"/>
      <c r="BE1926" s="135"/>
      <c r="BF1926" s="135"/>
      <c r="BG1926" s="135"/>
      <c r="BH1926" s="135"/>
      <c r="BI1926" s="2"/>
      <c r="BJ1926" s="136"/>
      <c r="BK1926" s="2"/>
      <c r="BL1926" s="136"/>
      <c r="BM1926" s="136"/>
      <c r="BN1926" s="2"/>
      <c r="BO1926" s="2"/>
      <c r="BP1926" s="136"/>
      <c r="BQ1926" s="137"/>
    </row>
    <row r="1927" spans="1:69" ht="12.75" customHeight="1" x14ac:dyDescent="0.2">
      <c r="A1927" s="2">
        <v>3416</v>
      </c>
      <c r="B1927" s="2"/>
      <c r="C1927" s="2"/>
      <c r="D1927" s="2"/>
      <c r="E1927" s="2"/>
      <c r="F1927" s="132">
        <v>0</v>
      </c>
      <c r="G1927" s="132"/>
      <c r="H1927" s="132">
        <f t="shared" si="220"/>
        <v>0</v>
      </c>
      <c r="I1927" s="132"/>
      <c r="J1927" s="132">
        <f t="shared" si="218"/>
        <v>0</v>
      </c>
      <c r="K1927" s="132">
        <f t="shared" si="221"/>
        <v>0</v>
      </c>
      <c r="L1927" s="132">
        <f t="shared" si="215"/>
        <v>0</v>
      </c>
      <c r="M1927" s="133"/>
      <c r="N1927" s="133">
        <f t="shared" si="219"/>
        <v>0</v>
      </c>
      <c r="O1927" s="134"/>
      <c r="P1927" s="133"/>
      <c r="Q1927" s="2"/>
      <c r="R1927" s="156">
        <f t="shared" si="216"/>
        <v>0</v>
      </c>
      <c r="S1927" s="156">
        <f t="shared" si="217"/>
        <v>0</v>
      </c>
      <c r="T1927" s="133"/>
      <c r="U1927" s="133"/>
      <c r="V1927" s="133"/>
      <c r="W1927" s="133"/>
      <c r="X1927" s="133"/>
      <c r="Y1927" s="133"/>
      <c r="Z1927" s="133"/>
      <c r="AA1927" s="133"/>
      <c r="AB1927" s="133"/>
      <c r="AC1927" s="133"/>
      <c r="AD1927" s="133"/>
      <c r="AE1927" s="133"/>
      <c r="AF1927" s="133"/>
      <c r="AG1927" s="133"/>
      <c r="AH1927" s="133"/>
      <c r="AI1927" s="133"/>
      <c r="AJ1927" s="133"/>
      <c r="AK1927" s="133"/>
      <c r="AL1927" s="133"/>
      <c r="AM1927" s="133"/>
      <c r="AN1927" s="133"/>
      <c r="AO1927" s="133"/>
      <c r="AP1927" s="133"/>
      <c r="AQ1927" s="133"/>
      <c r="AR1927" s="133"/>
      <c r="AS1927" s="153">
        <v>0</v>
      </c>
      <c r="AT1927" s="153">
        <v>0</v>
      </c>
      <c r="AU1927" s="153">
        <v>0</v>
      </c>
      <c r="AV1927" s="135"/>
      <c r="AW1927" s="135"/>
      <c r="AX1927" s="135"/>
      <c r="AY1927" s="135"/>
      <c r="AZ1927" s="135"/>
      <c r="BA1927" s="135"/>
      <c r="BB1927" s="135"/>
      <c r="BC1927" s="135"/>
      <c r="BD1927" s="135"/>
      <c r="BE1927" s="135"/>
      <c r="BF1927" s="135"/>
      <c r="BG1927" s="135"/>
      <c r="BH1927" s="135"/>
      <c r="BI1927" s="2"/>
      <c r="BJ1927" s="136"/>
      <c r="BK1927" s="2"/>
      <c r="BL1927" s="136"/>
      <c r="BM1927" s="136"/>
      <c r="BN1927" s="2"/>
      <c r="BO1927" s="2"/>
      <c r="BP1927" s="136"/>
      <c r="BQ1927" s="137"/>
    </row>
    <row r="1928" spans="1:69" ht="12.75" customHeight="1" x14ac:dyDescent="0.2">
      <c r="A1928" s="2">
        <v>3417</v>
      </c>
      <c r="B1928" s="2"/>
      <c r="C1928" s="2"/>
      <c r="D1928" s="2"/>
      <c r="E1928" s="2"/>
      <c r="F1928" s="132">
        <v>0</v>
      </c>
      <c r="G1928" s="132"/>
      <c r="H1928" s="132">
        <f t="shared" si="220"/>
        <v>0</v>
      </c>
      <c r="I1928" s="132"/>
      <c r="J1928" s="132">
        <f t="shared" si="218"/>
        <v>0</v>
      </c>
      <c r="K1928" s="132">
        <f t="shared" si="221"/>
        <v>0</v>
      </c>
      <c r="L1928" s="132">
        <f t="shared" si="215"/>
        <v>0</v>
      </c>
      <c r="M1928" s="133"/>
      <c r="N1928" s="133">
        <f t="shared" si="219"/>
        <v>0</v>
      </c>
      <c r="O1928" s="134"/>
      <c r="P1928" s="133"/>
      <c r="Q1928" s="2"/>
      <c r="R1928" s="156">
        <f t="shared" si="216"/>
        <v>0</v>
      </c>
      <c r="S1928" s="156">
        <f t="shared" si="217"/>
        <v>0</v>
      </c>
      <c r="T1928" s="133"/>
      <c r="U1928" s="133"/>
      <c r="V1928" s="133"/>
      <c r="W1928" s="133"/>
      <c r="X1928" s="133"/>
      <c r="Y1928" s="133"/>
      <c r="Z1928" s="133"/>
      <c r="AA1928" s="133"/>
      <c r="AB1928" s="133"/>
      <c r="AC1928" s="133"/>
      <c r="AD1928" s="133"/>
      <c r="AE1928" s="133"/>
      <c r="AF1928" s="133"/>
      <c r="AG1928" s="133"/>
      <c r="AH1928" s="133"/>
      <c r="AI1928" s="133"/>
      <c r="AJ1928" s="133"/>
      <c r="AK1928" s="133"/>
      <c r="AL1928" s="133"/>
      <c r="AM1928" s="133"/>
      <c r="AN1928" s="133"/>
      <c r="AO1928" s="133"/>
      <c r="AP1928" s="133"/>
      <c r="AQ1928" s="133"/>
      <c r="AR1928" s="133"/>
      <c r="AS1928" s="153">
        <v>0</v>
      </c>
      <c r="AT1928" s="153">
        <v>0</v>
      </c>
      <c r="AU1928" s="153">
        <v>0</v>
      </c>
      <c r="AV1928" s="135"/>
      <c r="AW1928" s="135"/>
      <c r="AX1928" s="135"/>
      <c r="AY1928" s="135"/>
      <c r="AZ1928" s="135"/>
      <c r="BA1928" s="135"/>
      <c r="BB1928" s="135"/>
      <c r="BC1928" s="135"/>
      <c r="BD1928" s="135"/>
      <c r="BE1928" s="135"/>
      <c r="BF1928" s="135"/>
      <c r="BG1928" s="135"/>
      <c r="BH1928" s="135"/>
      <c r="BI1928" s="2"/>
      <c r="BJ1928" s="136"/>
      <c r="BK1928" s="2"/>
      <c r="BL1928" s="136"/>
      <c r="BM1928" s="136"/>
      <c r="BN1928" s="2"/>
      <c r="BO1928" s="2"/>
      <c r="BP1928" s="136"/>
      <c r="BQ1928" s="137"/>
    </row>
    <row r="1929" spans="1:69" ht="12.75" customHeight="1" x14ac:dyDescent="0.2">
      <c r="A1929" s="2">
        <v>3418</v>
      </c>
      <c r="B1929" s="2"/>
      <c r="C1929" s="2"/>
      <c r="D1929" s="2"/>
      <c r="E1929" s="2"/>
      <c r="F1929" s="132">
        <v>0</v>
      </c>
      <c r="G1929" s="132"/>
      <c r="H1929" s="132">
        <f t="shared" si="220"/>
        <v>0</v>
      </c>
      <c r="I1929" s="132"/>
      <c r="J1929" s="132">
        <f t="shared" si="218"/>
        <v>0</v>
      </c>
      <c r="K1929" s="132">
        <f t="shared" si="221"/>
        <v>0</v>
      </c>
      <c r="L1929" s="132">
        <f t="shared" si="215"/>
        <v>0</v>
      </c>
      <c r="M1929" s="133"/>
      <c r="N1929" s="133">
        <f t="shared" si="219"/>
        <v>0</v>
      </c>
      <c r="O1929" s="134"/>
      <c r="P1929" s="133"/>
      <c r="Q1929" s="2"/>
      <c r="R1929" s="156">
        <f t="shared" si="216"/>
        <v>0</v>
      </c>
      <c r="S1929" s="156">
        <f t="shared" si="217"/>
        <v>0</v>
      </c>
      <c r="T1929" s="133"/>
      <c r="U1929" s="133"/>
      <c r="V1929" s="133"/>
      <c r="W1929" s="133"/>
      <c r="X1929" s="133"/>
      <c r="Y1929" s="133"/>
      <c r="Z1929" s="133"/>
      <c r="AA1929" s="133"/>
      <c r="AB1929" s="133"/>
      <c r="AC1929" s="133"/>
      <c r="AD1929" s="133"/>
      <c r="AE1929" s="133"/>
      <c r="AF1929" s="133"/>
      <c r="AG1929" s="133"/>
      <c r="AH1929" s="133"/>
      <c r="AI1929" s="133"/>
      <c r="AJ1929" s="133"/>
      <c r="AK1929" s="133"/>
      <c r="AL1929" s="133"/>
      <c r="AM1929" s="133"/>
      <c r="AN1929" s="133"/>
      <c r="AO1929" s="133"/>
      <c r="AP1929" s="133"/>
      <c r="AQ1929" s="133"/>
      <c r="AR1929" s="133"/>
      <c r="AS1929" s="153">
        <v>0</v>
      </c>
      <c r="AT1929" s="153">
        <v>0</v>
      </c>
      <c r="AU1929" s="153">
        <v>0</v>
      </c>
      <c r="AV1929" s="135"/>
      <c r="AW1929" s="135"/>
      <c r="AX1929" s="135"/>
      <c r="AY1929" s="135"/>
      <c r="AZ1929" s="135"/>
      <c r="BA1929" s="135"/>
      <c r="BB1929" s="135"/>
      <c r="BC1929" s="135"/>
      <c r="BD1929" s="135"/>
      <c r="BE1929" s="135"/>
      <c r="BF1929" s="135"/>
      <c r="BG1929" s="135"/>
      <c r="BH1929" s="135"/>
      <c r="BI1929" s="2"/>
      <c r="BJ1929" s="136"/>
      <c r="BK1929" s="2"/>
      <c r="BL1929" s="136"/>
      <c r="BM1929" s="136"/>
      <c r="BN1929" s="2"/>
      <c r="BO1929" s="2"/>
      <c r="BP1929" s="136"/>
      <c r="BQ1929" s="137"/>
    </row>
    <row r="1930" spans="1:69" ht="12.75" customHeight="1" x14ac:dyDescent="0.2">
      <c r="A1930" s="2">
        <v>3419</v>
      </c>
      <c r="B1930" s="2"/>
      <c r="C1930" s="2"/>
      <c r="D1930" s="2"/>
      <c r="E1930" s="2"/>
      <c r="F1930" s="132">
        <v>0</v>
      </c>
      <c r="G1930" s="132"/>
      <c r="H1930" s="132">
        <f t="shared" si="220"/>
        <v>0</v>
      </c>
      <c r="I1930" s="132"/>
      <c r="J1930" s="132">
        <f t="shared" si="218"/>
        <v>0</v>
      </c>
      <c r="K1930" s="132">
        <f t="shared" si="221"/>
        <v>0</v>
      </c>
      <c r="L1930" s="132">
        <f t="shared" si="215"/>
        <v>0</v>
      </c>
      <c r="M1930" s="133"/>
      <c r="N1930" s="133">
        <f t="shared" si="219"/>
        <v>0</v>
      </c>
      <c r="O1930" s="134"/>
      <c r="P1930" s="133"/>
      <c r="Q1930" s="2"/>
      <c r="R1930" s="156">
        <f t="shared" si="216"/>
        <v>0</v>
      </c>
      <c r="S1930" s="156">
        <f t="shared" si="217"/>
        <v>0</v>
      </c>
      <c r="T1930" s="133"/>
      <c r="U1930" s="133"/>
      <c r="V1930" s="133"/>
      <c r="W1930" s="133"/>
      <c r="X1930" s="133"/>
      <c r="Y1930" s="133"/>
      <c r="Z1930" s="133"/>
      <c r="AA1930" s="133"/>
      <c r="AB1930" s="133"/>
      <c r="AC1930" s="133"/>
      <c r="AD1930" s="133"/>
      <c r="AE1930" s="133"/>
      <c r="AF1930" s="133"/>
      <c r="AG1930" s="133"/>
      <c r="AH1930" s="133"/>
      <c r="AI1930" s="133"/>
      <c r="AJ1930" s="133"/>
      <c r="AK1930" s="133"/>
      <c r="AL1930" s="133"/>
      <c r="AM1930" s="133"/>
      <c r="AN1930" s="133"/>
      <c r="AO1930" s="133"/>
      <c r="AP1930" s="133"/>
      <c r="AQ1930" s="133"/>
      <c r="AR1930" s="133"/>
      <c r="AS1930" s="153">
        <v>0</v>
      </c>
      <c r="AT1930" s="153">
        <v>0</v>
      </c>
      <c r="AU1930" s="153">
        <v>0</v>
      </c>
      <c r="AV1930" s="135"/>
      <c r="AW1930" s="135"/>
      <c r="AX1930" s="135"/>
      <c r="AY1930" s="135"/>
      <c r="AZ1930" s="135"/>
      <c r="BA1930" s="135"/>
      <c r="BB1930" s="135"/>
      <c r="BC1930" s="135"/>
      <c r="BD1930" s="135"/>
      <c r="BE1930" s="135"/>
      <c r="BF1930" s="135"/>
      <c r="BG1930" s="135"/>
      <c r="BH1930" s="135"/>
      <c r="BI1930" s="2"/>
      <c r="BJ1930" s="136"/>
      <c r="BK1930" s="2"/>
      <c r="BL1930" s="136"/>
      <c r="BM1930" s="136"/>
      <c r="BN1930" s="2"/>
      <c r="BO1930" s="2"/>
      <c r="BP1930" s="136"/>
      <c r="BQ1930" s="137"/>
    </row>
    <row r="1931" spans="1:69" ht="12.75" customHeight="1" x14ac:dyDescent="0.2">
      <c r="A1931" s="2">
        <v>3420</v>
      </c>
      <c r="B1931" s="2"/>
      <c r="C1931" s="2"/>
      <c r="D1931" s="2"/>
      <c r="E1931" s="2"/>
      <c r="F1931" s="132">
        <v>0</v>
      </c>
      <c r="G1931" s="132"/>
      <c r="H1931" s="132">
        <f t="shared" si="220"/>
        <v>0</v>
      </c>
      <c r="I1931" s="132"/>
      <c r="J1931" s="132">
        <f t="shared" si="218"/>
        <v>0</v>
      </c>
      <c r="K1931" s="132">
        <f t="shared" si="221"/>
        <v>0</v>
      </c>
      <c r="L1931" s="132">
        <f t="shared" ref="L1931:L1994" si="222">H1931-J1931</f>
        <v>0</v>
      </c>
      <c r="M1931" s="133"/>
      <c r="N1931" s="133">
        <f t="shared" si="219"/>
        <v>0</v>
      </c>
      <c r="O1931" s="134"/>
      <c r="P1931" s="133"/>
      <c r="Q1931" s="2"/>
      <c r="R1931" s="156">
        <f t="shared" ref="R1931:R1994" si="223">T1931+V1931+X1931+Z1931+AB1931+AD1931+AF1931+AH1931+AJ1931+AL1931+AN1931+AP1931</f>
        <v>0</v>
      </c>
      <c r="S1931" s="156">
        <f t="shared" ref="S1931:S1994" si="224">U1931+W1931+Y1931+AA1931+AC1931+AE1931+AG1931+AI1931+AK1931+AM1931+AO1931+AQ1931</f>
        <v>0</v>
      </c>
      <c r="T1931" s="133"/>
      <c r="U1931" s="133"/>
      <c r="V1931" s="133"/>
      <c r="W1931" s="133"/>
      <c r="X1931" s="133"/>
      <c r="Y1931" s="133"/>
      <c r="Z1931" s="133"/>
      <c r="AA1931" s="133"/>
      <c r="AB1931" s="133"/>
      <c r="AC1931" s="133"/>
      <c r="AD1931" s="133"/>
      <c r="AE1931" s="133"/>
      <c r="AF1931" s="133"/>
      <c r="AG1931" s="133"/>
      <c r="AH1931" s="133"/>
      <c r="AI1931" s="133"/>
      <c r="AJ1931" s="133"/>
      <c r="AK1931" s="133"/>
      <c r="AL1931" s="133"/>
      <c r="AM1931" s="133"/>
      <c r="AN1931" s="133"/>
      <c r="AO1931" s="133"/>
      <c r="AP1931" s="133"/>
      <c r="AQ1931" s="133"/>
      <c r="AR1931" s="133"/>
      <c r="AS1931" s="153">
        <v>0</v>
      </c>
      <c r="AT1931" s="153">
        <v>0</v>
      </c>
      <c r="AU1931" s="153">
        <v>0</v>
      </c>
      <c r="AV1931" s="135"/>
      <c r="AW1931" s="135"/>
      <c r="AX1931" s="135"/>
      <c r="AY1931" s="135"/>
      <c r="AZ1931" s="135"/>
      <c r="BA1931" s="135"/>
      <c r="BB1931" s="135"/>
      <c r="BC1931" s="135"/>
      <c r="BD1931" s="135"/>
      <c r="BE1931" s="135"/>
      <c r="BF1931" s="135"/>
      <c r="BG1931" s="135"/>
      <c r="BH1931" s="135"/>
      <c r="BI1931" s="2"/>
      <c r="BJ1931" s="136"/>
      <c r="BK1931" s="2"/>
      <c r="BL1931" s="136"/>
      <c r="BM1931" s="136"/>
      <c r="BN1931" s="2"/>
      <c r="BO1931" s="2"/>
      <c r="BP1931" s="136"/>
      <c r="BQ1931" s="137"/>
    </row>
    <row r="1932" spans="1:69" ht="12.75" customHeight="1" x14ac:dyDescent="0.2">
      <c r="A1932" s="2">
        <v>3421</v>
      </c>
      <c r="B1932" s="2"/>
      <c r="C1932" s="2"/>
      <c r="D1932" s="2"/>
      <c r="E1932" s="2"/>
      <c r="F1932" s="132">
        <v>0</v>
      </c>
      <c r="G1932" s="132"/>
      <c r="H1932" s="132">
        <f t="shared" si="220"/>
        <v>0</v>
      </c>
      <c r="I1932" s="132"/>
      <c r="J1932" s="132">
        <f t="shared" si="218"/>
        <v>0</v>
      </c>
      <c r="K1932" s="132">
        <f t="shared" si="221"/>
        <v>0</v>
      </c>
      <c r="L1932" s="132">
        <f t="shared" si="222"/>
        <v>0</v>
      </c>
      <c r="M1932" s="133"/>
      <c r="N1932" s="133">
        <f t="shared" si="219"/>
        <v>0</v>
      </c>
      <c r="O1932" s="134"/>
      <c r="P1932" s="133"/>
      <c r="Q1932" s="2"/>
      <c r="R1932" s="156">
        <f t="shared" si="223"/>
        <v>0</v>
      </c>
      <c r="S1932" s="156">
        <f t="shared" si="224"/>
        <v>0</v>
      </c>
      <c r="T1932" s="133"/>
      <c r="U1932" s="133"/>
      <c r="V1932" s="133"/>
      <c r="W1932" s="133"/>
      <c r="X1932" s="133"/>
      <c r="Y1932" s="133"/>
      <c r="Z1932" s="133"/>
      <c r="AA1932" s="133"/>
      <c r="AB1932" s="133"/>
      <c r="AC1932" s="133"/>
      <c r="AD1932" s="133"/>
      <c r="AE1932" s="133"/>
      <c r="AF1932" s="133"/>
      <c r="AG1932" s="133"/>
      <c r="AH1932" s="133"/>
      <c r="AI1932" s="133"/>
      <c r="AJ1932" s="133"/>
      <c r="AK1932" s="133"/>
      <c r="AL1932" s="133"/>
      <c r="AM1932" s="133"/>
      <c r="AN1932" s="133"/>
      <c r="AO1932" s="133"/>
      <c r="AP1932" s="133"/>
      <c r="AQ1932" s="133"/>
      <c r="AR1932" s="133"/>
      <c r="AS1932" s="153">
        <v>0</v>
      </c>
      <c r="AT1932" s="153">
        <v>0</v>
      </c>
      <c r="AU1932" s="153">
        <v>0</v>
      </c>
      <c r="AV1932" s="135"/>
      <c r="AW1932" s="135"/>
      <c r="AX1932" s="135"/>
      <c r="AY1932" s="135"/>
      <c r="AZ1932" s="135"/>
      <c r="BA1932" s="135"/>
      <c r="BB1932" s="135"/>
      <c r="BC1932" s="135"/>
      <c r="BD1932" s="135"/>
      <c r="BE1932" s="135"/>
      <c r="BF1932" s="135"/>
      <c r="BG1932" s="135"/>
      <c r="BH1932" s="135"/>
      <c r="BI1932" s="2"/>
      <c r="BJ1932" s="136"/>
      <c r="BK1932" s="2"/>
      <c r="BL1932" s="136"/>
      <c r="BM1932" s="136"/>
      <c r="BN1932" s="2"/>
      <c r="BO1932" s="2"/>
      <c r="BP1932" s="136"/>
      <c r="BQ1932" s="137"/>
    </row>
    <row r="1933" spans="1:69" ht="12.75" customHeight="1" x14ac:dyDescent="0.2">
      <c r="A1933" s="2">
        <v>3422</v>
      </c>
      <c r="B1933" s="2"/>
      <c r="C1933" s="2"/>
      <c r="D1933" s="2"/>
      <c r="E1933" s="2"/>
      <c r="F1933" s="132">
        <v>0</v>
      </c>
      <c r="G1933" s="132"/>
      <c r="H1933" s="132">
        <f t="shared" si="220"/>
        <v>0</v>
      </c>
      <c r="I1933" s="132"/>
      <c r="J1933" s="132">
        <f t="shared" si="218"/>
        <v>0</v>
      </c>
      <c r="K1933" s="132">
        <f t="shared" si="221"/>
        <v>0</v>
      </c>
      <c r="L1933" s="132">
        <f t="shared" si="222"/>
        <v>0</v>
      </c>
      <c r="M1933" s="133"/>
      <c r="N1933" s="133">
        <f t="shared" si="219"/>
        <v>0</v>
      </c>
      <c r="O1933" s="134"/>
      <c r="P1933" s="133"/>
      <c r="Q1933" s="2"/>
      <c r="R1933" s="156">
        <f t="shared" si="223"/>
        <v>0</v>
      </c>
      <c r="S1933" s="156">
        <f t="shared" si="224"/>
        <v>0</v>
      </c>
      <c r="T1933" s="133"/>
      <c r="U1933" s="133"/>
      <c r="V1933" s="133"/>
      <c r="W1933" s="133"/>
      <c r="X1933" s="133"/>
      <c r="Y1933" s="133"/>
      <c r="Z1933" s="133"/>
      <c r="AA1933" s="133"/>
      <c r="AB1933" s="133"/>
      <c r="AC1933" s="133"/>
      <c r="AD1933" s="133"/>
      <c r="AE1933" s="133"/>
      <c r="AF1933" s="133"/>
      <c r="AG1933" s="133"/>
      <c r="AH1933" s="133"/>
      <c r="AI1933" s="133"/>
      <c r="AJ1933" s="133"/>
      <c r="AK1933" s="133"/>
      <c r="AL1933" s="133"/>
      <c r="AM1933" s="133"/>
      <c r="AN1933" s="133"/>
      <c r="AO1933" s="133"/>
      <c r="AP1933" s="133"/>
      <c r="AQ1933" s="133"/>
      <c r="AR1933" s="133"/>
      <c r="AS1933" s="153">
        <v>0</v>
      </c>
      <c r="AT1933" s="153">
        <v>0</v>
      </c>
      <c r="AU1933" s="153">
        <v>0</v>
      </c>
      <c r="AV1933" s="135"/>
      <c r="AW1933" s="135"/>
      <c r="AX1933" s="135"/>
      <c r="AY1933" s="135"/>
      <c r="AZ1933" s="135"/>
      <c r="BA1933" s="135"/>
      <c r="BB1933" s="135"/>
      <c r="BC1933" s="135"/>
      <c r="BD1933" s="135"/>
      <c r="BE1933" s="135"/>
      <c r="BF1933" s="135"/>
      <c r="BG1933" s="135"/>
      <c r="BH1933" s="135"/>
      <c r="BI1933" s="2"/>
      <c r="BJ1933" s="136"/>
      <c r="BK1933" s="2"/>
      <c r="BL1933" s="136"/>
      <c r="BM1933" s="136"/>
      <c r="BN1933" s="2"/>
      <c r="BO1933" s="2"/>
      <c r="BP1933" s="136"/>
      <c r="BQ1933" s="137"/>
    </row>
    <row r="1934" spans="1:69" ht="12.75" customHeight="1" x14ac:dyDescent="0.2">
      <c r="A1934" s="2">
        <v>3423</v>
      </c>
      <c r="B1934" s="2"/>
      <c r="C1934" s="2"/>
      <c r="D1934" s="2"/>
      <c r="E1934" s="2"/>
      <c r="F1934" s="132">
        <v>0</v>
      </c>
      <c r="G1934" s="132"/>
      <c r="H1934" s="132">
        <f t="shared" si="220"/>
        <v>0</v>
      </c>
      <c r="I1934" s="132"/>
      <c r="J1934" s="132">
        <f t="shared" si="218"/>
        <v>0</v>
      </c>
      <c r="K1934" s="132">
        <f t="shared" si="221"/>
        <v>0</v>
      </c>
      <c r="L1934" s="132">
        <f t="shared" si="222"/>
        <v>0</v>
      </c>
      <c r="M1934" s="133"/>
      <c r="N1934" s="133">
        <f t="shared" si="219"/>
        <v>0</v>
      </c>
      <c r="O1934" s="134"/>
      <c r="P1934" s="133"/>
      <c r="Q1934" s="2"/>
      <c r="R1934" s="156">
        <f t="shared" si="223"/>
        <v>0</v>
      </c>
      <c r="S1934" s="156">
        <f t="shared" si="224"/>
        <v>0</v>
      </c>
      <c r="T1934" s="133"/>
      <c r="U1934" s="133"/>
      <c r="V1934" s="133"/>
      <c r="W1934" s="133"/>
      <c r="X1934" s="133"/>
      <c r="Y1934" s="133"/>
      <c r="Z1934" s="133"/>
      <c r="AA1934" s="133"/>
      <c r="AB1934" s="133"/>
      <c r="AC1934" s="133"/>
      <c r="AD1934" s="133"/>
      <c r="AE1934" s="133"/>
      <c r="AF1934" s="133"/>
      <c r="AG1934" s="133"/>
      <c r="AH1934" s="133"/>
      <c r="AI1934" s="133"/>
      <c r="AJ1934" s="133"/>
      <c r="AK1934" s="133"/>
      <c r="AL1934" s="133"/>
      <c r="AM1934" s="133"/>
      <c r="AN1934" s="133"/>
      <c r="AO1934" s="133"/>
      <c r="AP1934" s="133"/>
      <c r="AQ1934" s="133"/>
      <c r="AR1934" s="133"/>
      <c r="AS1934" s="153">
        <v>0</v>
      </c>
      <c r="AT1934" s="153">
        <v>0</v>
      </c>
      <c r="AU1934" s="153">
        <v>0</v>
      </c>
      <c r="AV1934" s="135"/>
      <c r="AW1934" s="135"/>
      <c r="AX1934" s="135"/>
      <c r="AY1934" s="135"/>
      <c r="AZ1934" s="135"/>
      <c r="BA1934" s="135"/>
      <c r="BB1934" s="135"/>
      <c r="BC1934" s="135"/>
      <c r="BD1934" s="135"/>
      <c r="BE1934" s="135"/>
      <c r="BF1934" s="135"/>
      <c r="BG1934" s="135"/>
      <c r="BH1934" s="135"/>
      <c r="BI1934" s="2"/>
      <c r="BJ1934" s="136"/>
      <c r="BK1934" s="2"/>
      <c r="BL1934" s="136"/>
      <c r="BM1934" s="136"/>
      <c r="BN1934" s="2"/>
      <c r="BO1934" s="2"/>
      <c r="BP1934" s="136"/>
      <c r="BQ1934" s="137"/>
    </row>
    <row r="1935" spans="1:69" ht="12.75" customHeight="1" x14ac:dyDescent="0.2">
      <c r="A1935" s="2">
        <v>3424</v>
      </c>
      <c r="B1935" s="2"/>
      <c r="C1935" s="2"/>
      <c r="D1935" s="2"/>
      <c r="E1935" s="2"/>
      <c r="F1935" s="132">
        <v>0</v>
      </c>
      <c r="G1935" s="132"/>
      <c r="H1935" s="132">
        <f t="shared" si="220"/>
        <v>0</v>
      </c>
      <c r="I1935" s="132"/>
      <c r="J1935" s="132">
        <f t="shared" si="218"/>
        <v>0</v>
      </c>
      <c r="K1935" s="132">
        <f t="shared" si="221"/>
        <v>0</v>
      </c>
      <c r="L1935" s="132">
        <f t="shared" si="222"/>
        <v>0</v>
      </c>
      <c r="M1935" s="133"/>
      <c r="N1935" s="133">
        <f t="shared" si="219"/>
        <v>0</v>
      </c>
      <c r="O1935" s="134"/>
      <c r="P1935" s="133"/>
      <c r="Q1935" s="2"/>
      <c r="R1935" s="156">
        <f t="shared" si="223"/>
        <v>0</v>
      </c>
      <c r="S1935" s="156">
        <f t="shared" si="224"/>
        <v>0</v>
      </c>
      <c r="T1935" s="133"/>
      <c r="U1935" s="133"/>
      <c r="V1935" s="133"/>
      <c r="W1935" s="133"/>
      <c r="X1935" s="133"/>
      <c r="Y1935" s="133"/>
      <c r="Z1935" s="133"/>
      <c r="AA1935" s="133"/>
      <c r="AB1935" s="133"/>
      <c r="AC1935" s="133"/>
      <c r="AD1935" s="133"/>
      <c r="AE1935" s="133"/>
      <c r="AF1935" s="133"/>
      <c r="AG1935" s="133"/>
      <c r="AH1935" s="133"/>
      <c r="AI1935" s="133"/>
      <c r="AJ1935" s="133"/>
      <c r="AK1935" s="133"/>
      <c r="AL1935" s="133"/>
      <c r="AM1935" s="133"/>
      <c r="AN1935" s="133"/>
      <c r="AO1935" s="133"/>
      <c r="AP1935" s="133"/>
      <c r="AQ1935" s="133"/>
      <c r="AR1935" s="133"/>
      <c r="AS1935" s="153">
        <v>0</v>
      </c>
      <c r="AT1935" s="153">
        <v>0</v>
      </c>
      <c r="AU1935" s="153">
        <v>0</v>
      </c>
      <c r="AV1935" s="135"/>
      <c r="AW1935" s="135"/>
      <c r="AX1935" s="135"/>
      <c r="AY1935" s="135"/>
      <c r="AZ1935" s="135"/>
      <c r="BA1935" s="135"/>
      <c r="BB1935" s="135"/>
      <c r="BC1935" s="135"/>
      <c r="BD1935" s="135"/>
      <c r="BE1935" s="135"/>
      <c r="BF1935" s="135"/>
      <c r="BG1935" s="135"/>
      <c r="BH1935" s="135"/>
      <c r="BI1935" s="2"/>
      <c r="BJ1935" s="136"/>
      <c r="BK1935" s="2"/>
      <c r="BL1935" s="136"/>
      <c r="BM1935" s="136"/>
      <c r="BN1935" s="2"/>
      <c r="BO1935" s="2"/>
      <c r="BP1935" s="136"/>
      <c r="BQ1935" s="137"/>
    </row>
    <row r="1936" spans="1:69" ht="12.75" customHeight="1" x14ac:dyDescent="0.2">
      <c r="A1936" s="2">
        <v>3425</v>
      </c>
      <c r="B1936" s="2"/>
      <c r="C1936" s="2"/>
      <c r="D1936" s="2"/>
      <c r="E1936" s="2"/>
      <c r="F1936" s="132">
        <v>0</v>
      </c>
      <c r="G1936" s="132"/>
      <c r="H1936" s="132">
        <f t="shared" si="220"/>
        <v>0</v>
      </c>
      <c r="I1936" s="132"/>
      <c r="J1936" s="132">
        <f t="shared" si="218"/>
        <v>0</v>
      </c>
      <c r="K1936" s="132">
        <f t="shared" si="221"/>
        <v>0</v>
      </c>
      <c r="L1936" s="132">
        <f t="shared" si="222"/>
        <v>0</v>
      </c>
      <c r="M1936" s="133"/>
      <c r="N1936" s="133">
        <f t="shared" si="219"/>
        <v>0</v>
      </c>
      <c r="O1936" s="134"/>
      <c r="P1936" s="133"/>
      <c r="Q1936" s="2"/>
      <c r="R1936" s="156">
        <f t="shared" si="223"/>
        <v>0</v>
      </c>
      <c r="S1936" s="156">
        <f t="shared" si="224"/>
        <v>0</v>
      </c>
      <c r="T1936" s="133"/>
      <c r="U1936" s="133"/>
      <c r="V1936" s="133"/>
      <c r="W1936" s="133"/>
      <c r="X1936" s="133"/>
      <c r="Y1936" s="133"/>
      <c r="Z1936" s="133"/>
      <c r="AA1936" s="133"/>
      <c r="AB1936" s="133"/>
      <c r="AC1936" s="133"/>
      <c r="AD1936" s="133"/>
      <c r="AE1936" s="133"/>
      <c r="AF1936" s="133"/>
      <c r="AG1936" s="133"/>
      <c r="AH1936" s="133"/>
      <c r="AI1936" s="133"/>
      <c r="AJ1936" s="133"/>
      <c r="AK1936" s="133"/>
      <c r="AL1936" s="133"/>
      <c r="AM1936" s="133"/>
      <c r="AN1936" s="133"/>
      <c r="AO1936" s="133"/>
      <c r="AP1936" s="133"/>
      <c r="AQ1936" s="133"/>
      <c r="AR1936" s="133"/>
      <c r="AS1936" s="153">
        <v>0</v>
      </c>
      <c r="AT1936" s="153">
        <v>0</v>
      </c>
      <c r="AU1936" s="153">
        <v>0</v>
      </c>
      <c r="AV1936" s="135"/>
      <c r="AW1936" s="135"/>
      <c r="AX1936" s="135"/>
      <c r="AY1936" s="135"/>
      <c r="AZ1936" s="135"/>
      <c r="BA1936" s="135"/>
      <c r="BB1936" s="135"/>
      <c r="BC1936" s="135"/>
      <c r="BD1936" s="135"/>
      <c r="BE1936" s="135"/>
      <c r="BF1936" s="135"/>
      <c r="BG1936" s="135"/>
      <c r="BH1936" s="135"/>
      <c r="BI1936" s="2"/>
      <c r="BJ1936" s="136"/>
      <c r="BK1936" s="2"/>
      <c r="BL1936" s="136"/>
      <c r="BM1936" s="136"/>
      <c r="BN1936" s="2"/>
      <c r="BO1936" s="2"/>
      <c r="BP1936" s="136"/>
      <c r="BQ1936" s="137"/>
    </row>
    <row r="1937" spans="1:69" ht="12.75" customHeight="1" x14ac:dyDescent="0.2">
      <c r="A1937" s="2">
        <v>3426</v>
      </c>
      <c r="B1937" s="2"/>
      <c r="C1937" s="2"/>
      <c r="D1937" s="2"/>
      <c r="E1937" s="2"/>
      <c r="F1937" s="132">
        <v>0</v>
      </c>
      <c r="G1937" s="132"/>
      <c r="H1937" s="132">
        <f t="shared" si="220"/>
        <v>0</v>
      </c>
      <c r="I1937" s="132"/>
      <c r="J1937" s="132">
        <f t="shared" si="218"/>
        <v>0</v>
      </c>
      <c r="K1937" s="132">
        <f t="shared" si="221"/>
        <v>0</v>
      </c>
      <c r="L1937" s="132">
        <f t="shared" si="222"/>
        <v>0</v>
      </c>
      <c r="M1937" s="133"/>
      <c r="N1937" s="133">
        <f t="shared" si="219"/>
        <v>0</v>
      </c>
      <c r="O1937" s="134"/>
      <c r="P1937" s="133"/>
      <c r="Q1937" s="2"/>
      <c r="R1937" s="156">
        <f t="shared" si="223"/>
        <v>0</v>
      </c>
      <c r="S1937" s="156">
        <f t="shared" si="224"/>
        <v>0</v>
      </c>
      <c r="T1937" s="133"/>
      <c r="U1937" s="133"/>
      <c r="V1937" s="133"/>
      <c r="W1937" s="133"/>
      <c r="X1937" s="133"/>
      <c r="Y1937" s="133"/>
      <c r="Z1937" s="133"/>
      <c r="AA1937" s="133"/>
      <c r="AB1937" s="133"/>
      <c r="AC1937" s="133"/>
      <c r="AD1937" s="133"/>
      <c r="AE1937" s="133"/>
      <c r="AF1937" s="133"/>
      <c r="AG1937" s="133"/>
      <c r="AH1937" s="133"/>
      <c r="AI1937" s="133"/>
      <c r="AJ1937" s="133"/>
      <c r="AK1937" s="133"/>
      <c r="AL1937" s="133"/>
      <c r="AM1937" s="133"/>
      <c r="AN1937" s="133"/>
      <c r="AO1937" s="133"/>
      <c r="AP1937" s="133"/>
      <c r="AQ1937" s="133"/>
      <c r="AR1937" s="133"/>
      <c r="AS1937" s="153">
        <v>0</v>
      </c>
      <c r="AT1937" s="153">
        <v>0</v>
      </c>
      <c r="AU1937" s="153">
        <v>0</v>
      </c>
      <c r="AV1937" s="135"/>
      <c r="AW1937" s="135"/>
      <c r="AX1937" s="135"/>
      <c r="AY1937" s="135"/>
      <c r="AZ1937" s="135"/>
      <c r="BA1937" s="135"/>
      <c r="BB1937" s="135"/>
      <c r="BC1937" s="135"/>
      <c r="BD1937" s="135"/>
      <c r="BE1937" s="135"/>
      <c r="BF1937" s="135"/>
      <c r="BG1937" s="135"/>
      <c r="BH1937" s="135"/>
      <c r="BI1937" s="2"/>
      <c r="BJ1937" s="136"/>
      <c r="BK1937" s="2"/>
      <c r="BL1937" s="136"/>
      <c r="BM1937" s="136"/>
      <c r="BN1937" s="2"/>
      <c r="BO1937" s="2"/>
      <c r="BP1937" s="136"/>
      <c r="BQ1937" s="137"/>
    </row>
    <row r="1938" spans="1:69" ht="12.75" customHeight="1" x14ac:dyDescent="0.2">
      <c r="A1938" s="2">
        <v>3427</v>
      </c>
      <c r="B1938" s="2"/>
      <c r="C1938" s="2"/>
      <c r="D1938" s="2"/>
      <c r="E1938" s="2"/>
      <c r="F1938" s="132">
        <v>0</v>
      </c>
      <c r="G1938" s="132"/>
      <c r="H1938" s="132">
        <f t="shared" si="220"/>
        <v>0</v>
      </c>
      <c r="I1938" s="132"/>
      <c r="J1938" s="132">
        <f t="shared" si="218"/>
        <v>0</v>
      </c>
      <c r="K1938" s="132">
        <f t="shared" si="221"/>
        <v>0</v>
      </c>
      <c r="L1938" s="132">
        <f t="shared" si="222"/>
        <v>0</v>
      </c>
      <c r="M1938" s="133"/>
      <c r="N1938" s="133">
        <f t="shared" si="219"/>
        <v>0</v>
      </c>
      <c r="O1938" s="134"/>
      <c r="P1938" s="133"/>
      <c r="Q1938" s="2"/>
      <c r="R1938" s="156">
        <f t="shared" si="223"/>
        <v>0</v>
      </c>
      <c r="S1938" s="156">
        <f t="shared" si="224"/>
        <v>0</v>
      </c>
      <c r="T1938" s="133"/>
      <c r="U1938" s="133"/>
      <c r="V1938" s="133"/>
      <c r="W1938" s="133"/>
      <c r="X1938" s="133"/>
      <c r="Y1938" s="133"/>
      <c r="Z1938" s="133"/>
      <c r="AA1938" s="133"/>
      <c r="AB1938" s="133"/>
      <c r="AC1938" s="133"/>
      <c r="AD1938" s="133"/>
      <c r="AE1938" s="133"/>
      <c r="AF1938" s="133"/>
      <c r="AG1938" s="133"/>
      <c r="AH1938" s="133"/>
      <c r="AI1938" s="133"/>
      <c r="AJ1938" s="133"/>
      <c r="AK1938" s="133"/>
      <c r="AL1938" s="133"/>
      <c r="AM1938" s="133"/>
      <c r="AN1938" s="133"/>
      <c r="AO1938" s="133"/>
      <c r="AP1938" s="133"/>
      <c r="AQ1938" s="133"/>
      <c r="AR1938" s="133"/>
      <c r="AS1938" s="153">
        <v>0</v>
      </c>
      <c r="AT1938" s="153">
        <v>0</v>
      </c>
      <c r="AU1938" s="153">
        <v>0</v>
      </c>
      <c r="AV1938" s="135"/>
      <c r="AW1938" s="135"/>
      <c r="AX1938" s="135"/>
      <c r="AY1938" s="135"/>
      <c r="AZ1938" s="135"/>
      <c r="BA1938" s="135"/>
      <c r="BB1938" s="135"/>
      <c r="BC1938" s="135"/>
      <c r="BD1938" s="135"/>
      <c r="BE1938" s="135"/>
      <c r="BF1938" s="135"/>
      <c r="BG1938" s="135"/>
      <c r="BH1938" s="135"/>
      <c r="BI1938" s="2"/>
      <c r="BJ1938" s="136"/>
      <c r="BK1938" s="2"/>
      <c r="BL1938" s="136"/>
      <c r="BM1938" s="136"/>
      <c r="BN1938" s="2"/>
      <c r="BO1938" s="2"/>
      <c r="BP1938" s="136"/>
      <c r="BQ1938" s="137"/>
    </row>
    <row r="1939" spans="1:69" ht="12.75" customHeight="1" x14ac:dyDescent="0.2">
      <c r="A1939" s="2">
        <v>3428</v>
      </c>
      <c r="B1939" s="2"/>
      <c r="C1939" s="2"/>
      <c r="D1939" s="2"/>
      <c r="E1939" s="2"/>
      <c r="F1939" s="132">
        <v>0</v>
      </c>
      <c r="G1939" s="132"/>
      <c r="H1939" s="132">
        <f t="shared" si="220"/>
        <v>0</v>
      </c>
      <c r="I1939" s="132"/>
      <c r="J1939" s="132">
        <f t="shared" si="218"/>
        <v>0</v>
      </c>
      <c r="K1939" s="132">
        <f t="shared" si="221"/>
        <v>0</v>
      </c>
      <c r="L1939" s="132">
        <f t="shared" si="222"/>
        <v>0</v>
      </c>
      <c r="M1939" s="133"/>
      <c r="N1939" s="133">
        <f t="shared" si="219"/>
        <v>0</v>
      </c>
      <c r="O1939" s="134"/>
      <c r="P1939" s="133"/>
      <c r="Q1939" s="2"/>
      <c r="R1939" s="156">
        <f t="shared" si="223"/>
        <v>0</v>
      </c>
      <c r="S1939" s="156">
        <f t="shared" si="224"/>
        <v>0</v>
      </c>
      <c r="T1939" s="133"/>
      <c r="U1939" s="133"/>
      <c r="V1939" s="133"/>
      <c r="W1939" s="133"/>
      <c r="X1939" s="133"/>
      <c r="Y1939" s="133"/>
      <c r="Z1939" s="133"/>
      <c r="AA1939" s="133"/>
      <c r="AB1939" s="133"/>
      <c r="AC1939" s="133"/>
      <c r="AD1939" s="133"/>
      <c r="AE1939" s="133"/>
      <c r="AF1939" s="133"/>
      <c r="AG1939" s="133"/>
      <c r="AH1939" s="133"/>
      <c r="AI1939" s="133"/>
      <c r="AJ1939" s="133"/>
      <c r="AK1939" s="133"/>
      <c r="AL1939" s="133"/>
      <c r="AM1939" s="133"/>
      <c r="AN1939" s="133"/>
      <c r="AO1939" s="133"/>
      <c r="AP1939" s="133"/>
      <c r="AQ1939" s="133"/>
      <c r="AR1939" s="133"/>
      <c r="AS1939" s="153">
        <v>0</v>
      </c>
      <c r="AT1939" s="153">
        <v>0</v>
      </c>
      <c r="AU1939" s="153">
        <v>0</v>
      </c>
      <c r="AV1939" s="135"/>
      <c r="AW1939" s="135"/>
      <c r="AX1939" s="135"/>
      <c r="AY1939" s="135"/>
      <c r="AZ1939" s="135"/>
      <c r="BA1939" s="135"/>
      <c r="BB1939" s="135"/>
      <c r="BC1939" s="135"/>
      <c r="BD1939" s="135"/>
      <c r="BE1939" s="135"/>
      <c r="BF1939" s="135"/>
      <c r="BG1939" s="135"/>
      <c r="BH1939" s="135"/>
      <c r="BI1939" s="2"/>
      <c r="BJ1939" s="136"/>
      <c r="BK1939" s="2"/>
      <c r="BL1939" s="136"/>
      <c r="BM1939" s="136"/>
      <c r="BN1939" s="2"/>
      <c r="BO1939" s="2"/>
      <c r="BP1939" s="136"/>
      <c r="BQ1939" s="137"/>
    </row>
    <row r="1940" spans="1:69" ht="12.75" customHeight="1" x14ac:dyDescent="0.2">
      <c r="A1940" s="2">
        <v>3429</v>
      </c>
      <c r="B1940" s="2"/>
      <c r="C1940" s="2"/>
      <c r="D1940" s="2"/>
      <c r="E1940" s="2"/>
      <c r="F1940" s="132">
        <v>0</v>
      </c>
      <c r="G1940" s="132"/>
      <c r="H1940" s="132">
        <f t="shared" si="220"/>
        <v>0</v>
      </c>
      <c r="I1940" s="132"/>
      <c r="J1940" s="132">
        <f t="shared" si="218"/>
        <v>0</v>
      </c>
      <c r="K1940" s="132">
        <f t="shared" si="221"/>
        <v>0</v>
      </c>
      <c r="L1940" s="132">
        <f t="shared" si="222"/>
        <v>0</v>
      </c>
      <c r="M1940" s="133"/>
      <c r="N1940" s="133">
        <f t="shared" si="219"/>
        <v>0</v>
      </c>
      <c r="O1940" s="134"/>
      <c r="P1940" s="133"/>
      <c r="Q1940" s="2"/>
      <c r="R1940" s="156">
        <f t="shared" si="223"/>
        <v>0</v>
      </c>
      <c r="S1940" s="156">
        <f t="shared" si="224"/>
        <v>0</v>
      </c>
      <c r="T1940" s="133"/>
      <c r="U1940" s="133"/>
      <c r="V1940" s="133"/>
      <c r="W1940" s="133"/>
      <c r="X1940" s="133"/>
      <c r="Y1940" s="133"/>
      <c r="Z1940" s="133"/>
      <c r="AA1940" s="133"/>
      <c r="AB1940" s="133"/>
      <c r="AC1940" s="133"/>
      <c r="AD1940" s="133"/>
      <c r="AE1940" s="133"/>
      <c r="AF1940" s="133"/>
      <c r="AG1940" s="133"/>
      <c r="AH1940" s="133"/>
      <c r="AI1940" s="133"/>
      <c r="AJ1940" s="133"/>
      <c r="AK1940" s="133"/>
      <c r="AL1940" s="133"/>
      <c r="AM1940" s="133"/>
      <c r="AN1940" s="133"/>
      <c r="AO1940" s="133"/>
      <c r="AP1940" s="133"/>
      <c r="AQ1940" s="133"/>
      <c r="AR1940" s="133"/>
      <c r="AS1940" s="153">
        <v>0</v>
      </c>
      <c r="AT1940" s="153">
        <v>0</v>
      </c>
      <c r="AU1940" s="153">
        <v>0</v>
      </c>
      <c r="AV1940" s="135"/>
      <c r="AW1940" s="135"/>
      <c r="AX1940" s="135"/>
      <c r="AY1940" s="135"/>
      <c r="AZ1940" s="135"/>
      <c r="BA1940" s="135"/>
      <c r="BB1940" s="135"/>
      <c r="BC1940" s="135"/>
      <c r="BD1940" s="135"/>
      <c r="BE1940" s="135"/>
      <c r="BF1940" s="135"/>
      <c r="BG1940" s="135"/>
      <c r="BH1940" s="135"/>
      <c r="BI1940" s="2"/>
      <c r="BJ1940" s="136"/>
      <c r="BK1940" s="2"/>
      <c r="BL1940" s="136"/>
      <c r="BM1940" s="136"/>
      <c r="BN1940" s="2"/>
      <c r="BO1940" s="2"/>
      <c r="BP1940" s="136"/>
      <c r="BQ1940" s="137"/>
    </row>
    <row r="1941" spans="1:69" ht="12.75" customHeight="1" x14ac:dyDescent="0.2">
      <c r="A1941" s="2">
        <v>3430</v>
      </c>
      <c r="B1941" s="2"/>
      <c r="C1941" s="2"/>
      <c r="D1941" s="2"/>
      <c r="E1941" s="2"/>
      <c r="F1941" s="132">
        <v>0</v>
      </c>
      <c r="G1941" s="132"/>
      <c r="H1941" s="132">
        <f t="shared" si="220"/>
        <v>0</v>
      </c>
      <c r="I1941" s="132"/>
      <c r="J1941" s="132">
        <f t="shared" si="218"/>
        <v>0</v>
      </c>
      <c r="K1941" s="132">
        <f t="shared" si="221"/>
        <v>0</v>
      </c>
      <c r="L1941" s="132">
        <f t="shared" si="222"/>
        <v>0</v>
      </c>
      <c r="M1941" s="133"/>
      <c r="N1941" s="133">
        <f t="shared" si="219"/>
        <v>0</v>
      </c>
      <c r="O1941" s="134"/>
      <c r="P1941" s="133"/>
      <c r="Q1941" s="2"/>
      <c r="R1941" s="156">
        <f t="shared" si="223"/>
        <v>0</v>
      </c>
      <c r="S1941" s="156">
        <f t="shared" si="224"/>
        <v>0</v>
      </c>
      <c r="T1941" s="133"/>
      <c r="U1941" s="133"/>
      <c r="V1941" s="133"/>
      <c r="W1941" s="133"/>
      <c r="X1941" s="133"/>
      <c r="Y1941" s="133"/>
      <c r="Z1941" s="133"/>
      <c r="AA1941" s="133"/>
      <c r="AB1941" s="133"/>
      <c r="AC1941" s="133"/>
      <c r="AD1941" s="133"/>
      <c r="AE1941" s="133"/>
      <c r="AF1941" s="133"/>
      <c r="AG1941" s="133"/>
      <c r="AH1941" s="133"/>
      <c r="AI1941" s="133"/>
      <c r="AJ1941" s="133"/>
      <c r="AK1941" s="133"/>
      <c r="AL1941" s="133"/>
      <c r="AM1941" s="133"/>
      <c r="AN1941" s="133"/>
      <c r="AO1941" s="133"/>
      <c r="AP1941" s="133"/>
      <c r="AQ1941" s="133"/>
      <c r="AR1941" s="133"/>
      <c r="AS1941" s="153">
        <v>0</v>
      </c>
      <c r="AT1941" s="153">
        <v>0</v>
      </c>
      <c r="AU1941" s="153">
        <v>0</v>
      </c>
      <c r="AV1941" s="135"/>
      <c r="AW1941" s="135"/>
      <c r="AX1941" s="135"/>
      <c r="AY1941" s="135"/>
      <c r="AZ1941" s="135"/>
      <c r="BA1941" s="135"/>
      <c r="BB1941" s="135"/>
      <c r="BC1941" s="135"/>
      <c r="BD1941" s="135"/>
      <c r="BE1941" s="135"/>
      <c r="BF1941" s="135"/>
      <c r="BG1941" s="135"/>
      <c r="BH1941" s="135"/>
      <c r="BI1941" s="2"/>
      <c r="BJ1941" s="136"/>
      <c r="BK1941" s="2"/>
      <c r="BL1941" s="136"/>
      <c r="BM1941" s="136"/>
      <c r="BN1941" s="2"/>
      <c r="BO1941" s="2"/>
      <c r="BP1941" s="136"/>
      <c r="BQ1941" s="137"/>
    </row>
    <row r="1942" spans="1:69" ht="12.75" customHeight="1" x14ac:dyDescent="0.2">
      <c r="A1942" s="2">
        <v>3431</v>
      </c>
      <c r="B1942" s="2"/>
      <c r="C1942" s="2"/>
      <c r="D1942" s="2"/>
      <c r="E1942" s="2"/>
      <c r="F1942" s="132">
        <v>0</v>
      </c>
      <c r="G1942" s="132"/>
      <c r="H1942" s="132">
        <f t="shared" si="220"/>
        <v>0</v>
      </c>
      <c r="I1942" s="132"/>
      <c r="J1942" s="132">
        <f t="shared" si="218"/>
        <v>0</v>
      </c>
      <c r="K1942" s="132">
        <f t="shared" si="221"/>
        <v>0</v>
      </c>
      <c r="L1942" s="132">
        <f t="shared" si="222"/>
        <v>0</v>
      </c>
      <c r="M1942" s="133"/>
      <c r="N1942" s="133">
        <f t="shared" si="219"/>
        <v>0</v>
      </c>
      <c r="O1942" s="134"/>
      <c r="P1942" s="133"/>
      <c r="Q1942" s="2"/>
      <c r="R1942" s="156">
        <f t="shared" si="223"/>
        <v>0</v>
      </c>
      <c r="S1942" s="156">
        <f t="shared" si="224"/>
        <v>0</v>
      </c>
      <c r="T1942" s="133"/>
      <c r="U1942" s="133"/>
      <c r="V1942" s="133"/>
      <c r="W1942" s="133"/>
      <c r="X1942" s="133"/>
      <c r="Y1942" s="133"/>
      <c r="Z1942" s="133"/>
      <c r="AA1942" s="133"/>
      <c r="AB1942" s="133"/>
      <c r="AC1942" s="133"/>
      <c r="AD1942" s="133"/>
      <c r="AE1942" s="133"/>
      <c r="AF1942" s="133"/>
      <c r="AG1942" s="133"/>
      <c r="AH1942" s="133"/>
      <c r="AI1942" s="133"/>
      <c r="AJ1942" s="133"/>
      <c r="AK1942" s="133"/>
      <c r="AL1942" s="133"/>
      <c r="AM1942" s="133"/>
      <c r="AN1942" s="133"/>
      <c r="AO1942" s="133"/>
      <c r="AP1942" s="133"/>
      <c r="AQ1942" s="133"/>
      <c r="AR1942" s="133"/>
      <c r="AS1942" s="153">
        <v>0</v>
      </c>
      <c r="AT1942" s="153">
        <v>0</v>
      </c>
      <c r="AU1942" s="153">
        <v>0</v>
      </c>
      <c r="AV1942" s="135"/>
      <c r="AW1942" s="135"/>
      <c r="AX1942" s="135"/>
      <c r="AY1942" s="135"/>
      <c r="AZ1942" s="135"/>
      <c r="BA1942" s="135"/>
      <c r="BB1942" s="135"/>
      <c r="BC1942" s="135"/>
      <c r="BD1942" s="135"/>
      <c r="BE1942" s="135"/>
      <c r="BF1942" s="135"/>
      <c r="BG1942" s="135"/>
      <c r="BH1942" s="135"/>
      <c r="BI1942" s="2"/>
      <c r="BJ1942" s="136"/>
      <c r="BK1942" s="2"/>
      <c r="BL1942" s="136"/>
      <c r="BM1942" s="136"/>
      <c r="BN1942" s="2"/>
      <c r="BO1942" s="2"/>
      <c r="BP1942" s="136"/>
      <c r="BQ1942" s="137"/>
    </row>
    <row r="1943" spans="1:69" ht="12.75" customHeight="1" x14ac:dyDescent="0.2">
      <c r="A1943" s="2">
        <v>3432</v>
      </c>
      <c r="B1943" s="2"/>
      <c r="C1943" s="2"/>
      <c r="D1943" s="2"/>
      <c r="E1943" s="2"/>
      <c r="F1943" s="132">
        <v>0</v>
      </c>
      <c r="G1943" s="132"/>
      <c r="H1943" s="132">
        <f t="shared" si="220"/>
        <v>0</v>
      </c>
      <c r="I1943" s="132"/>
      <c r="J1943" s="132">
        <f t="shared" si="218"/>
        <v>0</v>
      </c>
      <c r="K1943" s="132">
        <f t="shared" si="221"/>
        <v>0</v>
      </c>
      <c r="L1943" s="132">
        <f t="shared" si="222"/>
        <v>0</v>
      </c>
      <c r="M1943" s="133"/>
      <c r="N1943" s="133">
        <f t="shared" si="219"/>
        <v>0</v>
      </c>
      <c r="O1943" s="134"/>
      <c r="P1943" s="133"/>
      <c r="Q1943" s="2"/>
      <c r="R1943" s="156">
        <f t="shared" si="223"/>
        <v>0</v>
      </c>
      <c r="S1943" s="156">
        <f t="shared" si="224"/>
        <v>0</v>
      </c>
      <c r="T1943" s="133"/>
      <c r="U1943" s="133"/>
      <c r="V1943" s="133"/>
      <c r="W1943" s="133"/>
      <c r="X1943" s="133"/>
      <c r="Y1943" s="133"/>
      <c r="Z1943" s="133"/>
      <c r="AA1943" s="133"/>
      <c r="AB1943" s="133"/>
      <c r="AC1943" s="133"/>
      <c r="AD1943" s="133"/>
      <c r="AE1943" s="133"/>
      <c r="AF1943" s="133"/>
      <c r="AG1943" s="133"/>
      <c r="AH1943" s="133"/>
      <c r="AI1943" s="133"/>
      <c r="AJ1943" s="133"/>
      <c r="AK1943" s="133"/>
      <c r="AL1943" s="133"/>
      <c r="AM1943" s="133"/>
      <c r="AN1943" s="133"/>
      <c r="AO1943" s="133"/>
      <c r="AP1943" s="133"/>
      <c r="AQ1943" s="133"/>
      <c r="AR1943" s="133"/>
      <c r="AS1943" s="153">
        <v>0</v>
      </c>
      <c r="AT1943" s="153">
        <v>0</v>
      </c>
      <c r="AU1943" s="153">
        <v>0</v>
      </c>
      <c r="AV1943" s="135"/>
      <c r="AW1943" s="135"/>
      <c r="AX1943" s="135"/>
      <c r="AY1943" s="135"/>
      <c r="AZ1943" s="135"/>
      <c r="BA1943" s="135"/>
      <c r="BB1943" s="135"/>
      <c r="BC1943" s="135"/>
      <c r="BD1943" s="135"/>
      <c r="BE1943" s="135"/>
      <c r="BF1943" s="135"/>
      <c r="BG1943" s="135"/>
      <c r="BH1943" s="135"/>
      <c r="BI1943" s="2"/>
      <c r="BJ1943" s="136"/>
      <c r="BK1943" s="2"/>
      <c r="BL1943" s="136"/>
      <c r="BM1943" s="136"/>
      <c r="BN1943" s="2"/>
      <c r="BO1943" s="2"/>
      <c r="BP1943" s="136"/>
      <c r="BQ1943" s="137"/>
    </row>
    <row r="1944" spans="1:69" ht="12.75" customHeight="1" x14ac:dyDescent="0.2">
      <c r="A1944" s="2">
        <v>3433</v>
      </c>
      <c r="B1944" s="2"/>
      <c r="C1944" s="2"/>
      <c r="D1944" s="2"/>
      <c r="E1944" s="2"/>
      <c r="F1944" s="132">
        <v>0</v>
      </c>
      <c r="G1944" s="132"/>
      <c r="H1944" s="132">
        <f t="shared" si="220"/>
        <v>0</v>
      </c>
      <c r="I1944" s="132"/>
      <c r="J1944" s="132">
        <f t="shared" si="218"/>
        <v>0</v>
      </c>
      <c r="K1944" s="132">
        <f t="shared" si="221"/>
        <v>0</v>
      </c>
      <c r="L1944" s="132">
        <f t="shared" si="222"/>
        <v>0</v>
      </c>
      <c r="M1944" s="133"/>
      <c r="N1944" s="133">
        <f t="shared" si="219"/>
        <v>0</v>
      </c>
      <c r="O1944" s="134"/>
      <c r="P1944" s="133"/>
      <c r="Q1944" s="2"/>
      <c r="R1944" s="156">
        <f t="shared" si="223"/>
        <v>0</v>
      </c>
      <c r="S1944" s="156">
        <f t="shared" si="224"/>
        <v>0</v>
      </c>
      <c r="T1944" s="133"/>
      <c r="U1944" s="133"/>
      <c r="V1944" s="133"/>
      <c r="W1944" s="133"/>
      <c r="X1944" s="133"/>
      <c r="Y1944" s="133"/>
      <c r="Z1944" s="133"/>
      <c r="AA1944" s="133"/>
      <c r="AB1944" s="133"/>
      <c r="AC1944" s="133"/>
      <c r="AD1944" s="133"/>
      <c r="AE1944" s="133"/>
      <c r="AF1944" s="133"/>
      <c r="AG1944" s="133"/>
      <c r="AH1944" s="133"/>
      <c r="AI1944" s="133"/>
      <c r="AJ1944" s="133"/>
      <c r="AK1944" s="133"/>
      <c r="AL1944" s="133"/>
      <c r="AM1944" s="133"/>
      <c r="AN1944" s="133"/>
      <c r="AO1944" s="133"/>
      <c r="AP1944" s="133"/>
      <c r="AQ1944" s="133"/>
      <c r="AR1944" s="133"/>
      <c r="AS1944" s="153">
        <v>0</v>
      </c>
      <c r="AT1944" s="153">
        <v>0</v>
      </c>
      <c r="AU1944" s="153">
        <v>0</v>
      </c>
      <c r="AV1944" s="135"/>
      <c r="AW1944" s="135"/>
      <c r="AX1944" s="135"/>
      <c r="AY1944" s="135"/>
      <c r="AZ1944" s="135"/>
      <c r="BA1944" s="135"/>
      <c r="BB1944" s="135"/>
      <c r="BC1944" s="135"/>
      <c r="BD1944" s="135"/>
      <c r="BE1944" s="135"/>
      <c r="BF1944" s="135"/>
      <c r="BG1944" s="135"/>
      <c r="BH1944" s="135"/>
      <c r="BI1944" s="2"/>
      <c r="BJ1944" s="136"/>
      <c r="BK1944" s="2"/>
      <c r="BL1944" s="136"/>
      <c r="BM1944" s="136"/>
      <c r="BN1944" s="2"/>
      <c r="BO1944" s="2"/>
      <c r="BP1944" s="136"/>
      <c r="BQ1944" s="137"/>
    </row>
    <row r="1945" spans="1:69" ht="12.75" customHeight="1" x14ac:dyDescent="0.2">
      <c r="A1945" s="2">
        <v>3434</v>
      </c>
      <c r="B1945" s="2"/>
      <c r="C1945" s="2"/>
      <c r="D1945" s="2"/>
      <c r="E1945" s="2"/>
      <c r="F1945" s="132">
        <v>0</v>
      </c>
      <c r="G1945" s="132"/>
      <c r="H1945" s="132">
        <f t="shared" si="220"/>
        <v>0</v>
      </c>
      <c r="I1945" s="132"/>
      <c r="J1945" s="132">
        <f t="shared" si="218"/>
        <v>0</v>
      </c>
      <c r="K1945" s="132">
        <f t="shared" si="221"/>
        <v>0</v>
      </c>
      <c r="L1945" s="132">
        <f t="shared" si="222"/>
        <v>0</v>
      </c>
      <c r="M1945" s="133"/>
      <c r="N1945" s="133">
        <f t="shared" si="219"/>
        <v>0</v>
      </c>
      <c r="O1945" s="134"/>
      <c r="P1945" s="133"/>
      <c r="Q1945" s="2"/>
      <c r="R1945" s="156">
        <f t="shared" si="223"/>
        <v>0</v>
      </c>
      <c r="S1945" s="156">
        <f t="shared" si="224"/>
        <v>0</v>
      </c>
      <c r="T1945" s="133"/>
      <c r="U1945" s="133"/>
      <c r="V1945" s="133"/>
      <c r="W1945" s="133"/>
      <c r="X1945" s="133"/>
      <c r="Y1945" s="133"/>
      <c r="Z1945" s="133"/>
      <c r="AA1945" s="133"/>
      <c r="AB1945" s="133"/>
      <c r="AC1945" s="133"/>
      <c r="AD1945" s="133"/>
      <c r="AE1945" s="133"/>
      <c r="AF1945" s="133"/>
      <c r="AG1945" s="133"/>
      <c r="AH1945" s="133"/>
      <c r="AI1945" s="133"/>
      <c r="AJ1945" s="133"/>
      <c r="AK1945" s="133"/>
      <c r="AL1945" s="133"/>
      <c r="AM1945" s="133"/>
      <c r="AN1945" s="133"/>
      <c r="AO1945" s="133"/>
      <c r="AP1945" s="133"/>
      <c r="AQ1945" s="133"/>
      <c r="AR1945" s="133"/>
      <c r="AS1945" s="153">
        <v>0</v>
      </c>
      <c r="AT1945" s="153">
        <v>0</v>
      </c>
      <c r="AU1945" s="153">
        <v>0</v>
      </c>
      <c r="AV1945" s="135"/>
      <c r="AW1945" s="135"/>
      <c r="AX1945" s="135"/>
      <c r="AY1945" s="135"/>
      <c r="AZ1945" s="135"/>
      <c r="BA1945" s="135"/>
      <c r="BB1945" s="135"/>
      <c r="BC1945" s="135"/>
      <c r="BD1945" s="135"/>
      <c r="BE1945" s="135"/>
      <c r="BF1945" s="135"/>
      <c r="BG1945" s="135"/>
      <c r="BH1945" s="135"/>
      <c r="BI1945" s="2"/>
      <c r="BJ1945" s="136"/>
      <c r="BK1945" s="2"/>
      <c r="BL1945" s="136"/>
      <c r="BM1945" s="136"/>
      <c r="BN1945" s="2"/>
      <c r="BO1945" s="2"/>
      <c r="BP1945" s="136"/>
      <c r="BQ1945" s="137"/>
    </row>
    <row r="1946" spans="1:69" ht="12.75" customHeight="1" x14ac:dyDescent="0.2">
      <c r="A1946" s="2">
        <v>3435</v>
      </c>
      <c r="B1946" s="2"/>
      <c r="C1946" s="2"/>
      <c r="D1946" s="2"/>
      <c r="E1946" s="2"/>
      <c r="F1946" s="132">
        <v>0</v>
      </c>
      <c r="G1946" s="132"/>
      <c r="H1946" s="132">
        <f t="shared" si="220"/>
        <v>0</v>
      </c>
      <c r="I1946" s="132"/>
      <c r="J1946" s="132">
        <f t="shared" si="218"/>
        <v>0</v>
      </c>
      <c r="K1946" s="132">
        <f t="shared" si="221"/>
        <v>0</v>
      </c>
      <c r="L1946" s="132">
        <f t="shared" si="222"/>
        <v>0</v>
      </c>
      <c r="M1946" s="133"/>
      <c r="N1946" s="133">
        <f t="shared" si="219"/>
        <v>0</v>
      </c>
      <c r="O1946" s="134"/>
      <c r="P1946" s="133"/>
      <c r="Q1946" s="2"/>
      <c r="R1946" s="156">
        <f t="shared" si="223"/>
        <v>0</v>
      </c>
      <c r="S1946" s="156">
        <f t="shared" si="224"/>
        <v>0</v>
      </c>
      <c r="T1946" s="133"/>
      <c r="U1946" s="133"/>
      <c r="V1946" s="133"/>
      <c r="W1946" s="133"/>
      <c r="X1946" s="133"/>
      <c r="Y1946" s="133"/>
      <c r="Z1946" s="133"/>
      <c r="AA1946" s="133"/>
      <c r="AB1946" s="133"/>
      <c r="AC1946" s="133"/>
      <c r="AD1946" s="133"/>
      <c r="AE1946" s="133"/>
      <c r="AF1946" s="133"/>
      <c r="AG1946" s="133"/>
      <c r="AH1946" s="133"/>
      <c r="AI1946" s="133"/>
      <c r="AJ1946" s="133"/>
      <c r="AK1946" s="133"/>
      <c r="AL1946" s="133"/>
      <c r="AM1946" s="133"/>
      <c r="AN1946" s="133"/>
      <c r="AO1946" s="133"/>
      <c r="AP1946" s="133"/>
      <c r="AQ1946" s="133"/>
      <c r="AR1946" s="133"/>
      <c r="AS1946" s="153">
        <v>0</v>
      </c>
      <c r="AT1946" s="153">
        <v>0</v>
      </c>
      <c r="AU1946" s="153">
        <v>0</v>
      </c>
      <c r="AV1946" s="135"/>
      <c r="AW1946" s="135"/>
      <c r="AX1946" s="135"/>
      <c r="AY1946" s="135"/>
      <c r="AZ1946" s="135"/>
      <c r="BA1946" s="135"/>
      <c r="BB1946" s="135"/>
      <c r="BC1946" s="135"/>
      <c r="BD1946" s="135"/>
      <c r="BE1946" s="135"/>
      <c r="BF1946" s="135"/>
      <c r="BG1946" s="135"/>
      <c r="BH1946" s="135"/>
      <c r="BI1946" s="2"/>
      <c r="BJ1946" s="136"/>
      <c r="BK1946" s="2"/>
      <c r="BL1946" s="136"/>
      <c r="BM1946" s="136"/>
      <c r="BN1946" s="2"/>
      <c r="BO1946" s="2"/>
      <c r="BP1946" s="136"/>
      <c r="BQ1946" s="137"/>
    </row>
    <row r="1947" spans="1:69" ht="12.75" customHeight="1" x14ac:dyDescent="0.2">
      <c r="A1947" s="2">
        <v>3436</v>
      </c>
      <c r="B1947" s="2"/>
      <c r="C1947" s="2"/>
      <c r="D1947" s="2"/>
      <c r="E1947" s="2"/>
      <c r="F1947" s="132">
        <v>0</v>
      </c>
      <c r="G1947" s="132"/>
      <c r="H1947" s="132">
        <f t="shared" si="220"/>
        <v>0</v>
      </c>
      <c r="I1947" s="132"/>
      <c r="J1947" s="132">
        <f t="shared" si="218"/>
        <v>0</v>
      </c>
      <c r="K1947" s="132">
        <f t="shared" si="221"/>
        <v>0</v>
      </c>
      <c r="L1947" s="132">
        <f t="shared" si="222"/>
        <v>0</v>
      </c>
      <c r="M1947" s="133"/>
      <c r="N1947" s="133">
        <f t="shared" si="219"/>
        <v>0</v>
      </c>
      <c r="O1947" s="134"/>
      <c r="P1947" s="133"/>
      <c r="Q1947" s="2"/>
      <c r="R1947" s="156">
        <f t="shared" si="223"/>
        <v>0</v>
      </c>
      <c r="S1947" s="156">
        <f t="shared" si="224"/>
        <v>0</v>
      </c>
      <c r="T1947" s="133"/>
      <c r="U1947" s="133"/>
      <c r="V1947" s="133"/>
      <c r="W1947" s="133"/>
      <c r="X1947" s="133"/>
      <c r="Y1947" s="133"/>
      <c r="Z1947" s="133"/>
      <c r="AA1947" s="133"/>
      <c r="AB1947" s="133"/>
      <c r="AC1947" s="133"/>
      <c r="AD1947" s="133"/>
      <c r="AE1947" s="133"/>
      <c r="AF1947" s="133"/>
      <c r="AG1947" s="133"/>
      <c r="AH1947" s="133"/>
      <c r="AI1947" s="133"/>
      <c r="AJ1947" s="133"/>
      <c r="AK1947" s="133"/>
      <c r="AL1947" s="133"/>
      <c r="AM1947" s="133"/>
      <c r="AN1947" s="133"/>
      <c r="AO1947" s="133"/>
      <c r="AP1947" s="133"/>
      <c r="AQ1947" s="133"/>
      <c r="AR1947" s="133"/>
      <c r="AS1947" s="153">
        <v>0</v>
      </c>
      <c r="AT1947" s="153">
        <v>0</v>
      </c>
      <c r="AU1947" s="153">
        <v>0</v>
      </c>
      <c r="AV1947" s="135"/>
      <c r="AW1947" s="135"/>
      <c r="AX1947" s="135"/>
      <c r="AY1947" s="135"/>
      <c r="AZ1947" s="135"/>
      <c r="BA1947" s="135"/>
      <c r="BB1947" s="135"/>
      <c r="BC1947" s="135"/>
      <c r="BD1947" s="135"/>
      <c r="BE1947" s="135"/>
      <c r="BF1947" s="135"/>
      <c r="BG1947" s="135"/>
      <c r="BH1947" s="135"/>
      <c r="BI1947" s="2"/>
      <c r="BJ1947" s="136"/>
      <c r="BK1947" s="2"/>
      <c r="BL1947" s="136"/>
      <c r="BM1947" s="136"/>
      <c r="BN1947" s="2"/>
      <c r="BO1947" s="2"/>
      <c r="BP1947" s="136"/>
      <c r="BQ1947" s="137"/>
    </row>
    <row r="1948" spans="1:69" ht="12.75" customHeight="1" x14ac:dyDescent="0.2">
      <c r="A1948" s="2">
        <v>3437</v>
      </c>
      <c r="B1948" s="2"/>
      <c r="C1948" s="2"/>
      <c r="D1948" s="2"/>
      <c r="E1948" s="2"/>
      <c r="F1948" s="132">
        <v>0</v>
      </c>
      <c r="G1948" s="132"/>
      <c r="H1948" s="132">
        <f t="shared" si="220"/>
        <v>0</v>
      </c>
      <c r="I1948" s="132"/>
      <c r="J1948" s="132">
        <f t="shared" si="218"/>
        <v>0</v>
      </c>
      <c r="K1948" s="132">
        <f t="shared" si="221"/>
        <v>0</v>
      </c>
      <c r="L1948" s="132">
        <f t="shared" si="222"/>
        <v>0</v>
      </c>
      <c r="M1948" s="133"/>
      <c r="N1948" s="133">
        <f t="shared" si="219"/>
        <v>0</v>
      </c>
      <c r="O1948" s="134"/>
      <c r="P1948" s="133"/>
      <c r="Q1948" s="2"/>
      <c r="R1948" s="156">
        <f t="shared" si="223"/>
        <v>0</v>
      </c>
      <c r="S1948" s="156">
        <f t="shared" si="224"/>
        <v>0</v>
      </c>
      <c r="T1948" s="133"/>
      <c r="U1948" s="133"/>
      <c r="V1948" s="133"/>
      <c r="W1948" s="133"/>
      <c r="X1948" s="133"/>
      <c r="Y1948" s="133"/>
      <c r="Z1948" s="133"/>
      <c r="AA1948" s="133"/>
      <c r="AB1948" s="133"/>
      <c r="AC1948" s="133"/>
      <c r="AD1948" s="133"/>
      <c r="AE1948" s="133"/>
      <c r="AF1948" s="133"/>
      <c r="AG1948" s="133"/>
      <c r="AH1948" s="133"/>
      <c r="AI1948" s="133"/>
      <c r="AJ1948" s="133"/>
      <c r="AK1948" s="133"/>
      <c r="AL1948" s="133"/>
      <c r="AM1948" s="133"/>
      <c r="AN1948" s="133"/>
      <c r="AO1948" s="133"/>
      <c r="AP1948" s="133"/>
      <c r="AQ1948" s="133"/>
      <c r="AR1948" s="133"/>
      <c r="AS1948" s="153">
        <v>0</v>
      </c>
      <c r="AT1948" s="153">
        <v>0</v>
      </c>
      <c r="AU1948" s="153">
        <v>0</v>
      </c>
      <c r="AV1948" s="135"/>
      <c r="AW1948" s="135"/>
      <c r="AX1948" s="135"/>
      <c r="AY1948" s="135"/>
      <c r="AZ1948" s="135"/>
      <c r="BA1948" s="135"/>
      <c r="BB1948" s="135"/>
      <c r="BC1948" s="135"/>
      <c r="BD1948" s="135"/>
      <c r="BE1948" s="135"/>
      <c r="BF1948" s="135"/>
      <c r="BG1948" s="135"/>
      <c r="BH1948" s="135"/>
      <c r="BI1948" s="2"/>
      <c r="BJ1948" s="136"/>
      <c r="BK1948" s="2"/>
      <c r="BL1948" s="136"/>
      <c r="BM1948" s="136"/>
      <c r="BN1948" s="2"/>
      <c r="BO1948" s="2"/>
      <c r="BP1948" s="136"/>
      <c r="BQ1948" s="137"/>
    </row>
    <row r="1949" spans="1:69" ht="12.75" customHeight="1" x14ac:dyDescent="0.2">
      <c r="A1949" s="2">
        <v>3438</v>
      </c>
      <c r="B1949" s="2"/>
      <c r="C1949" s="2"/>
      <c r="D1949" s="2"/>
      <c r="E1949" s="2"/>
      <c r="F1949" s="132">
        <v>0</v>
      </c>
      <c r="G1949" s="132"/>
      <c r="H1949" s="132">
        <f t="shared" si="220"/>
        <v>0</v>
      </c>
      <c r="I1949" s="132"/>
      <c r="J1949" s="132">
        <f t="shared" si="218"/>
        <v>0</v>
      </c>
      <c r="K1949" s="132">
        <f t="shared" si="221"/>
        <v>0</v>
      </c>
      <c r="L1949" s="132">
        <f t="shared" si="222"/>
        <v>0</v>
      </c>
      <c r="M1949" s="133"/>
      <c r="N1949" s="133">
        <f t="shared" si="219"/>
        <v>0</v>
      </c>
      <c r="O1949" s="134"/>
      <c r="P1949" s="133"/>
      <c r="Q1949" s="2"/>
      <c r="R1949" s="156">
        <f t="shared" si="223"/>
        <v>0</v>
      </c>
      <c r="S1949" s="156">
        <f t="shared" si="224"/>
        <v>0</v>
      </c>
      <c r="T1949" s="133"/>
      <c r="U1949" s="133"/>
      <c r="V1949" s="133"/>
      <c r="W1949" s="133"/>
      <c r="X1949" s="133"/>
      <c r="Y1949" s="133"/>
      <c r="Z1949" s="133"/>
      <c r="AA1949" s="133"/>
      <c r="AB1949" s="133"/>
      <c r="AC1949" s="133"/>
      <c r="AD1949" s="133"/>
      <c r="AE1949" s="133"/>
      <c r="AF1949" s="133"/>
      <c r="AG1949" s="133"/>
      <c r="AH1949" s="133"/>
      <c r="AI1949" s="133"/>
      <c r="AJ1949" s="133"/>
      <c r="AK1949" s="133"/>
      <c r="AL1949" s="133"/>
      <c r="AM1949" s="133"/>
      <c r="AN1949" s="133"/>
      <c r="AO1949" s="133"/>
      <c r="AP1949" s="133"/>
      <c r="AQ1949" s="133"/>
      <c r="AR1949" s="133"/>
      <c r="AS1949" s="153">
        <v>0</v>
      </c>
      <c r="AT1949" s="153">
        <v>0</v>
      </c>
      <c r="AU1949" s="153">
        <v>0</v>
      </c>
      <c r="AV1949" s="135"/>
      <c r="AW1949" s="135"/>
      <c r="AX1949" s="135"/>
      <c r="AY1949" s="135"/>
      <c r="AZ1949" s="135"/>
      <c r="BA1949" s="135"/>
      <c r="BB1949" s="135"/>
      <c r="BC1949" s="135"/>
      <c r="BD1949" s="135"/>
      <c r="BE1949" s="135"/>
      <c r="BF1949" s="135"/>
      <c r="BG1949" s="135"/>
      <c r="BH1949" s="135"/>
      <c r="BI1949" s="2"/>
      <c r="BJ1949" s="136"/>
      <c r="BK1949" s="2"/>
      <c r="BL1949" s="136"/>
      <c r="BM1949" s="136"/>
      <c r="BN1949" s="2"/>
      <c r="BO1949" s="2"/>
      <c r="BP1949" s="136"/>
      <c r="BQ1949" s="137"/>
    </row>
    <row r="1950" spans="1:69" ht="12.75" customHeight="1" x14ac:dyDescent="0.2">
      <c r="A1950" s="2">
        <v>3439</v>
      </c>
      <c r="B1950" s="2"/>
      <c r="C1950" s="2"/>
      <c r="D1950" s="2"/>
      <c r="E1950" s="2"/>
      <c r="F1950" s="132">
        <v>0</v>
      </c>
      <c r="G1950" s="132"/>
      <c r="H1950" s="132">
        <f t="shared" si="220"/>
        <v>0</v>
      </c>
      <c r="I1950" s="132"/>
      <c r="J1950" s="132">
        <f t="shared" si="218"/>
        <v>0</v>
      </c>
      <c r="K1950" s="132">
        <f t="shared" si="221"/>
        <v>0</v>
      </c>
      <c r="L1950" s="132">
        <f t="shared" si="222"/>
        <v>0</v>
      </c>
      <c r="M1950" s="133"/>
      <c r="N1950" s="133">
        <f t="shared" si="219"/>
        <v>0</v>
      </c>
      <c r="O1950" s="134"/>
      <c r="P1950" s="133"/>
      <c r="Q1950" s="2"/>
      <c r="R1950" s="156">
        <f t="shared" si="223"/>
        <v>0</v>
      </c>
      <c r="S1950" s="156">
        <f t="shared" si="224"/>
        <v>0</v>
      </c>
      <c r="T1950" s="133"/>
      <c r="U1950" s="133"/>
      <c r="V1950" s="133"/>
      <c r="W1950" s="133"/>
      <c r="X1950" s="133"/>
      <c r="Y1950" s="133"/>
      <c r="Z1950" s="133"/>
      <c r="AA1950" s="133"/>
      <c r="AB1950" s="133"/>
      <c r="AC1950" s="133"/>
      <c r="AD1950" s="133"/>
      <c r="AE1950" s="133"/>
      <c r="AF1950" s="133"/>
      <c r="AG1950" s="133"/>
      <c r="AH1950" s="133"/>
      <c r="AI1950" s="133"/>
      <c r="AJ1950" s="133"/>
      <c r="AK1950" s="133"/>
      <c r="AL1950" s="133"/>
      <c r="AM1950" s="133"/>
      <c r="AN1950" s="133"/>
      <c r="AO1950" s="133"/>
      <c r="AP1950" s="133"/>
      <c r="AQ1950" s="133"/>
      <c r="AR1950" s="133"/>
      <c r="AS1950" s="153">
        <v>0</v>
      </c>
      <c r="AT1950" s="153">
        <v>0</v>
      </c>
      <c r="AU1950" s="153">
        <v>0</v>
      </c>
      <c r="AV1950" s="135"/>
      <c r="AW1950" s="135"/>
      <c r="AX1950" s="135"/>
      <c r="AY1950" s="135"/>
      <c r="AZ1950" s="135"/>
      <c r="BA1950" s="135"/>
      <c r="BB1950" s="135"/>
      <c r="BC1950" s="135"/>
      <c r="BD1950" s="135"/>
      <c r="BE1950" s="135"/>
      <c r="BF1950" s="135"/>
      <c r="BG1950" s="135"/>
      <c r="BH1950" s="135"/>
      <c r="BI1950" s="2"/>
      <c r="BJ1950" s="136"/>
      <c r="BK1950" s="2"/>
      <c r="BL1950" s="136"/>
      <c r="BM1950" s="136"/>
      <c r="BN1950" s="2"/>
      <c r="BO1950" s="2"/>
      <c r="BP1950" s="136"/>
      <c r="BQ1950" s="137"/>
    </row>
    <row r="1951" spans="1:69" ht="12.75" customHeight="1" x14ac:dyDescent="0.2">
      <c r="A1951" s="2">
        <v>3440</v>
      </c>
      <c r="B1951" s="2"/>
      <c r="C1951" s="2"/>
      <c r="D1951" s="2"/>
      <c r="E1951" s="2"/>
      <c r="F1951" s="132">
        <v>0</v>
      </c>
      <c r="G1951" s="132"/>
      <c r="H1951" s="132">
        <f t="shared" si="220"/>
        <v>0</v>
      </c>
      <c r="I1951" s="132"/>
      <c r="J1951" s="132">
        <f t="shared" si="218"/>
        <v>0</v>
      </c>
      <c r="K1951" s="132">
        <f t="shared" si="221"/>
        <v>0</v>
      </c>
      <c r="L1951" s="132">
        <f t="shared" si="222"/>
        <v>0</v>
      </c>
      <c r="M1951" s="133"/>
      <c r="N1951" s="133">
        <f t="shared" si="219"/>
        <v>0</v>
      </c>
      <c r="O1951" s="134"/>
      <c r="P1951" s="133"/>
      <c r="Q1951" s="2"/>
      <c r="R1951" s="156">
        <f t="shared" si="223"/>
        <v>0</v>
      </c>
      <c r="S1951" s="156">
        <f t="shared" si="224"/>
        <v>0</v>
      </c>
      <c r="T1951" s="133"/>
      <c r="U1951" s="133"/>
      <c r="V1951" s="133"/>
      <c r="W1951" s="133"/>
      <c r="X1951" s="133"/>
      <c r="Y1951" s="133"/>
      <c r="Z1951" s="133"/>
      <c r="AA1951" s="133"/>
      <c r="AB1951" s="133"/>
      <c r="AC1951" s="133"/>
      <c r="AD1951" s="133"/>
      <c r="AE1951" s="133"/>
      <c r="AF1951" s="133"/>
      <c r="AG1951" s="133"/>
      <c r="AH1951" s="133"/>
      <c r="AI1951" s="133"/>
      <c r="AJ1951" s="133"/>
      <c r="AK1951" s="133"/>
      <c r="AL1951" s="133"/>
      <c r="AM1951" s="133"/>
      <c r="AN1951" s="133"/>
      <c r="AO1951" s="133"/>
      <c r="AP1951" s="133"/>
      <c r="AQ1951" s="133"/>
      <c r="AR1951" s="133"/>
      <c r="AS1951" s="153">
        <v>0</v>
      </c>
      <c r="AT1951" s="153">
        <v>0</v>
      </c>
      <c r="AU1951" s="153">
        <v>0</v>
      </c>
      <c r="AV1951" s="135"/>
      <c r="AW1951" s="135"/>
      <c r="AX1951" s="135"/>
      <c r="AY1951" s="135"/>
      <c r="AZ1951" s="135"/>
      <c r="BA1951" s="135"/>
      <c r="BB1951" s="135"/>
      <c r="BC1951" s="135"/>
      <c r="BD1951" s="135"/>
      <c r="BE1951" s="135"/>
      <c r="BF1951" s="135"/>
      <c r="BG1951" s="135"/>
      <c r="BH1951" s="135"/>
      <c r="BI1951" s="2"/>
      <c r="BJ1951" s="136"/>
      <c r="BK1951" s="2"/>
      <c r="BL1951" s="136"/>
      <c r="BM1951" s="136"/>
      <c r="BN1951" s="2"/>
      <c r="BO1951" s="2"/>
      <c r="BP1951" s="136"/>
      <c r="BQ1951" s="137"/>
    </row>
    <row r="1952" spans="1:69" ht="12.75" customHeight="1" x14ac:dyDescent="0.2">
      <c r="A1952" s="2">
        <v>3441</v>
      </c>
      <c r="B1952" s="2"/>
      <c r="C1952" s="2"/>
      <c r="D1952" s="2"/>
      <c r="E1952" s="2"/>
      <c r="F1952" s="132">
        <v>0</v>
      </c>
      <c r="G1952" s="132"/>
      <c r="H1952" s="132">
        <f t="shared" si="220"/>
        <v>0</v>
      </c>
      <c r="I1952" s="132"/>
      <c r="J1952" s="132">
        <f t="shared" si="218"/>
        <v>0</v>
      </c>
      <c r="K1952" s="132">
        <f t="shared" si="221"/>
        <v>0</v>
      </c>
      <c r="L1952" s="132">
        <f t="shared" si="222"/>
        <v>0</v>
      </c>
      <c r="M1952" s="133"/>
      <c r="N1952" s="133">
        <f t="shared" si="219"/>
        <v>0</v>
      </c>
      <c r="O1952" s="134"/>
      <c r="P1952" s="133"/>
      <c r="Q1952" s="2"/>
      <c r="R1952" s="156">
        <f t="shared" si="223"/>
        <v>0</v>
      </c>
      <c r="S1952" s="156">
        <f t="shared" si="224"/>
        <v>0</v>
      </c>
      <c r="T1952" s="133"/>
      <c r="U1952" s="133"/>
      <c r="V1952" s="133"/>
      <c r="W1952" s="133"/>
      <c r="X1952" s="133"/>
      <c r="Y1952" s="133"/>
      <c r="Z1952" s="133"/>
      <c r="AA1952" s="133"/>
      <c r="AB1952" s="133"/>
      <c r="AC1952" s="133"/>
      <c r="AD1952" s="133"/>
      <c r="AE1952" s="133"/>
      <c r="AF1952" s="133"/>
      <c r="AG1952" s="133"/>
      <c r="AH1952" s="133"/>
      <c r="AI1952" s="133"/>
      <c r="AJ1952" s="133"/>
      <c r="AK1952" s="133"/>
      <c r="AL1952" s="133"/>
      <c r="AM1952" s="133"/>
      <c r="AN1952" s="133"/>
      <c r="AO1952" s="133"/>
      <c r="AP1952" s="133"/>
      <c r="AQ1952" s="133"/>
      <c r="AR1952" s="133"/>
      <c r="AS1952" s="153">
        <v>0</v>
      </c>
      <c r="AT1952" s="153">
        <v>0</v>
      </c>
      <c r="AU1952" s="153">
        <v>0</v>
      </c>
      <c r="AV1952" s="135"/>
      <c r="AW1952" s="135"/>
      <c r="AX1952" s="135"/>
      <c r="AY1952" s="135"/>
      <c r="AZ1952" s="135"/>
      <c r="BA1952" s="135"/>
      <c r="BB1952" s="135"/>
      <c r="BC1952" s="135"/>
      <c r="BD1952" s="135"/>
      <c r="BE1952" s="135"/>
      <c r="BF1952" s="135"/>
      <c r="BG1952" s="135"/>
      <c r="BH1952" s="135"/>
      <c r="BI1952" s="2"/>
      <c r="BJ1952" s="136"/>
      <c r="BK1952" s="2"/>
      <c r="BL1952" s="136"/>
      <c r="BM1952" s="136"/>
      <c r="BN1952" s="2"/>
      <c r="BO1952" s="2"/>
      <c r="BP1952" s="136"/>
      <c r="BQ1952" s="137"/>
    </row>
    <row r="1953" spans="1:69" ht="12.75" customHeight="1" x14ac:dyDescent="0.2">
      <c r="A1953" s="2">
        <v>3442</v>
      </c>
      <c r="B1953" s="2"/>
      <c r="C1953" s="2"/>
      <c r="D1953" s="2"/>
      <c r="E1953" s="2"/>
      <c r="F1953" s="132">
        <v>0</v>
      </c>
      <c r="G1953" s="132"/>
      <c r="H1953" s="132">
        <f t="shared" si="220"/>
        <v>0</v>
      </c>
      <c r="I1953" s="132"/>
      <c r="J1953" s="132">
        <f t="shared" si="218"/>
        <v>0</v>
      </c>
      <c r="K1953" s="132">
        <f t="shared" si="221"/>
        <v>0</v>
      </c>
      <c r="L1953" s="132">
        <f t="shared" si="222"/>
        <v>0</v>
      </c>
      <c r="M1953" s="133"/>
      <c r="N1953" s="133">
        <f t="shared" si="219"/>
        <v>0</v>
      </c>
      <c r="O1953" s="134"/>
      <c r="P1953" s="133"/>
      <c r="Q1953" s="2"/>
      <c r="R1953" s="156">
        <f t="shared" si="223"/>
        <v>0</v>
      </c>
      <c r="S1953" s="156">
        <f t="shared" si="224"/>
        <v>0</v>
      </c>
      <c r="T1953" s="133"/>
      <c r="U1953" s="133"/>
      <c r="V1953" s="133"/>
      <c r="W1953" s="133"/>
      <c r="X1953" s="133"/>
      <c r="Y1953" s="133"/>
      <c r="Z1953" s="133"/>
      <c r="AA1953" s="133"/>
      <c r="AB1953" s="133"/>
      <c r="AC1953" s="133"/>
      <c r="AD1953" s="133"/>
      <c r="AE1953" s="133"/>
      <c r="AF1953" s="133"/>
      <c r="AG1953" s="133"/>
      <c r="AH1953" s="133"/>
      <c r="AI1953" s="133"/>
      <c r="AJ1953" s="133"/>
      <c r="AK1953" s="133"/>
      <c r="AL1953" s="133"/>
      <c r="AM1953" s="133"/>
      <c r="AN1953" s="133"/>
      <c r="AO1953" s="133"/>
      <c r="AP1953" s="133"/>
      <c r="AQ1953" s="133"/>
      <c r="AR1953" s="133"/>
      <c r="AS1953" s="153">
        <v>0</v>
      </c>
      <c r="AT1953" s="153">
        <v>0</v>
      </c>
      <c r="AU1953" s="153">
        <v>0</v>
      </c>
      <c r="AV1953" s="135"/>
      <c r="AW1953" s="135"/>
      <c r="AX1953" s="135"/>
      <c r="AY1953" s="135"/>
      <c r="AZ1953" s="135"/>
      <c r="BA1953" s="135"/>
      <c r="BB1953" s="135"/>
      <c r="BC1953" s="135"/>
      <c r="BD1953" s="135"/>
      <c r="BE1953" s="135"/>
      <c r="BF1953" s="135"/>
      <c r="BG1953" s="135"/>
      <c r="BH1953" s="135"/>
      <c r="BI1953" s="2"/>
      <c r="BJ1953" s="136"/>
      <c r="BK1953" s="2"/>
      <c r="BL1953" s="136"/>
      <c r="BM1953" s="136"/>
      <c r="BN1953" s="2"/>
      <c r="BO1953" s="2"/>
      <c r="BP1953" s="136"/>
      <c r="BQ1953" s="137"/>
    </row>
    <row r="1954" spans="1:69" ht="12.75" customHeight="1" x14ac:dyDescent="0.2">
      <c r="A1954" s="2">
        <v>3443</v>
      </c>
      <c r="B1954" s="2"/>
      <c r="C1954" s="2"/>
      <c r="D1954" s="2"/>
      <c r="E1954" s="2"/>
      <c r="F1954" s="132">
        <v>0</v>
      </c>
      <c r="G1954" s="132"/>
      <c r="H1954" s="132">
        <f t="shared" si="220"/>
        <v>0</v>
      </c>
      <c r="I1954" s="132"/>
      <c r="J1954" s="132">
        <f t="shared" si="218"/>
        <v>0</v>
      </c>
      <c r="K1954" s="132">
        <f t="shared" si="221"/>
        <v>0</v>
      </c>
      <c r="L1954" s="132">
        <f t="shared" si="222"/>
        <v>0</v>
      </c>
      <c r="M1954" s="133"/>
      <c r="N1954" s="133">
        <f t="shared" si="219"/>
        <v>0</v>
      </c>
      <c r="O1954" s="134"/>
      <c r="P1954" s="133"/>
      <c r="Q1954" s="2"/>
      <c r="R1954" s="156">
        <f t="shared" si="223"/>
        <v>0</v>
      </c>
      <c r="S1954" s="156">
        <f t="shared" si="224"/>
        <v>0</v>
      </c>
      <c r="T1954" s="133"/>
      <c r="U1954" s="133"/>
      <c r="V1954" s="133"/>
      <c r="W1954" s="133"/>
      <c r="X1954" s="133"/>
      <c r="Y1954" s="133"/>
      <c r="Z1954" s="133"/>
      <c r="AA1954" s="133"/>
      <c r="AB1954" s="133"/>
      <c r="AC1954" s="133"/>
      <c r="AD1954" s="133"/>
      <c r="AE1954" s="133"/>
      <c r="AF1954" s="133"/>
      <c r="AG1954" s="133"/>
      <c r="AH1954" s="133"/>
      <c r="AI1954" s="133"/>
      <c r="AJ1954" s="133"/>
      <c r="AK1954" s="133"/>
      <c r="AL1954" s="133"/>
      <c r="AM1954" s="133"/>
      <c r="AN1954" s="133"/>
      <c r="AO1954" s="133"/>
      <c r="AP1954" s="133"/>
      <c r="AQ1954" s="133"/>
      <c r="AR1954" s="133"/>
      <c r="AS1954" s="153">
        <v>0</v>
      </c>
      <c r="AT1954" s="153">
        <v>0</v>
      </c>
      <c r="AU1954" s="153">
        <v>0</v>
      </c>
      <c r="AV1954" s="135"/>
      <c r="AW1954" s="135"/>
      <c r="AX1954" s="135"/>
      <c r="AY1954" s="135"/>
      <c r="AZ1954" s="135"/>
      <c r="BA1954" s="135"/>
      <c r="BB1954" s="135"/>
      <c r="BC1954" s="135"/>
      <c r="BD1954" s="135"/>
      <c r="BE1954" s="135"/>
      <c r="BF1954" s="135"/>
      <c r="BG1954" s="135"/>
      <c r="BH1954" s="135"/>
      <c r="BI1954" s="2"/>
      <c r="BJ1954" s="136"/>
      <c r="BK1954" s="2"/>
      <c r="BL1954" s="136"/>
      <c r="BM1954" s="136"/>
      <c r="BN1954" s="2"/>
      <c r="BO1954" s="2"/>
      <c r="BP1954" s="136"/>
      <c r="BQ1954" s="137"/>
    </row>
    <row r="1955" spans="1:69" ht="12.75" customHeight="1" x14ac:dyDescent="0.2">
      <c r="A1955" s="2">
        <v>3444</v>
      </c>
      <c r="B1955" s="2"/>
      <c r="C1955" s="2"/>
      <c r="D1955" s="2"/>
      <c r="E1955" s="2"/>
      <c r="F1955" s="132">
        <v>0</v>
      </c>
      <c r="G1955" s="132"/>
      <c r="H1955" s="132">
        <f t="shared" si="220"/>
        <v>0</v>
      </c>
      <c r="I1955" s="132"/>
      <c r="J1955" s="132">
        <f t="shared" si="218"/>
        <v>0</v>
      </c>
      <c r="K1955" s="132">
        <f t="shared" si="221"/>
        <v>0</v>
      </c>
      <c r="L1955" s="132">
        <f t="shared" si="222"/>
        <v>0</v>
      </c>
      <c r="M1955" s="133"/>
      <c r="N1955" s="133">
        <f t="shared" si="219"/>
        <v>0</v>
      </c>
      <c r="O1955" s="134"/>
      <c r="P1955" s="133"/>
      <c r="Q1955" s="2"/>
      <c r="R1955" s="156">
        <f t="shared" si="223"/>
        <v>0</v>
      </c>
      <c r="S1955" s="156">
        <f t="shared" si="224"/>
        <v>0</v>
      </c>
      <c r="T1955" s="133"/>
      <c r="U1955" s="133"/>
      <c r="V1955" s="133"/>
      <c r="W1955" s="133"/>
      <c r="X1955" s="133"/>
      <c r="Y1955" s="133"/>
      <c r="Z1955" s="133"/>
      <c r="AA1955" s="133"/>
      <c r="AB1955" s="133"/>
      <c r="AC1955" s="133"/>
      <c r="AD1955" s="133"/>
      <c r="AE1955" s="133"/>
      <c r="AF1955" s="133"/>
      <c r="AG1955" s="133"/>
      <c r="AH1955" s="133"/>
      <c r="AI1955" s="133"/>
      <c r="AJ1955" s="133"/>
      <c r="AK1955" s="133"/>
      <c r="AL1955" s="133"/>
      <c r="AM1955" s="133"/>
      <c r="AN1955" s="133"/>
      <c r="AO1955" s="133"/>
      <c r="AP1955" s="133"/>
      <c r="AQ1955" s="133"/>
      <c r="AR1955" s="133"/>
      <c r="AS1955" s="153">
        <v>0</v>
      </c>
      <c r="AT1955" s="153">
        <v>0</v>
      </c>
      <c r="AU1955" s="153">
        <v>0</v>
      </c>
      <c r="AV1955" s="135"/>
      <c r="AW1955" s="135"/>
      <c r="AX1955" s="135"/>
      <c r="AY1955" s="135"/>
      <c r="AZ1955" s="135"/>
      <c r="BA1955" s="135"/>
      <c r="BB1955" s="135"/>
      <c r="BC1955" s="135"/>
      <c r="BD1955" s="135"/>
      <c r="BE1955" s="135"/>
      <c r="BF1955" s="135"/>
      <c r="BG1955" s="135"/>
      <c r="BH1955" s="135"/>
      <c r="BI1955" s="2"/>
      <c r="BJ1955" s="136"/>
      <c r="BK1955" s="2"/>
      <c r="BL1955" s="136"/>
      <c r="BM1955" s="136"/>
      <c r="BN1955" s="2"/>
      <c r="BO1955" s="2"/>
      <c r="BP1955" s="136"/>
      <c r="BQ1955" s="137"/>
    </row>
    <row r="1956" spans="1:69" ht="12.75" customHeight="1" x14ac:dyDescent="0.2">
      <c r="A1956" s="2">
        <v>3445</v>
      </c>
      <c r="B1956" s="2"/>
      <c r="C1956" s="2"/>
      <c r="D1956" s="2"/>
      <c r="E1956" s="2"/>
      <c r="F1956" s="132">
        <v>0</v>
      </c>
      <c r="G1956" s="132"/>
      <c r="H1956" s="132">
        <f t="shared" si="220"/>
        <v>0</v>
      </c>
      <c r="I1956" s="132"/>
      <c r="J1956" s="132">
        <f t="shared" ref="J1956:J2019" si="225">S1956</f>
        <v>0</v>
      </c>
      <c r="K1956" s="132">
        <f t="shared" si="221"/>
        <v>0</v>
      </c>
      <c r="L1956" s="132">
        <f t="shared" si="222"/>
        <v>0</v>
      </c>
      <c r="M1956" s="133"/>
      <c r="N1956" s="133">
        <f t="shared" si="219"/>
        <v>0</v>
      </c>
      <c r="O1956" s="134"/>
      <c r="P1956" s="133"/>
      <c r="Q1956" s="2"/>
      <c r="R1956" s="156">
        <f t="shared" si="223"/>
        <v>0</v>
      </c>
      <c r="S1956" s="156">
        <f t="shared" si="224"/>
        <v>0</v>
      </c>
      <c r="T1956" s="133"/>
      <c r="U1956" s="133"/>
      <c r="V1956" s="133"/>
      <c r="W1956" s="133"/>
      <c r="X1956" s="133"/>
      <c r="Y1956" s="133"/>
      <c r="Z1956" s="133"/>
      <c r="AA1956" s="133"/>
      <c r="AB1956" s="133"/>
      <c r="AC1956" s="133"/>
      <c r="AD1956" s="133"/>
      <c r="AE1956" s="133"/>
      <c r="AF1956" s="133"/>
      <c r="AG1956" s="133"/>
      <c r="AH1956" s="133"/>
      <c r="AI1956" s="133"/>
      <c r="AJ1956" s="133"/>
      <c r="AK1956" s="133"/>
      <c r="AL1956" s="133"/>
      <c r="AM1956" s="133"/>
      <c r="AN1956" s="133"/>
      <c r="AO1956" s="133"/>
      <c r="AP1956" s="133"/>
      <c r="AQ1956" s="133"/>
      <c r="AR1956" s="133"/>
      <c r="AS1956" s="153">
        <v>0</v>
      </c>
      <c r="AT1956" s="153">
        <v>0</v>
      </c>
      <c r="AU1956" s="153">
        <v>0</v>
      </c>
      <c r="AV1956" s="135"/>
      <c r="AW1956" s="135"/>
      <c r="AX1956" s="135"/>
      <c r="AY1956" s="135"/>
      <c r="AZ1956" s="135"/>
      <c r="BA1956" s="135"/>
      <c r="BB1956" s="135"/>
      <c r="BC1956" s="135"/>
      <c r="BD1956" s="135"/>
      <c r="BE1956" s="135"/>
      <c r="BF1956" s="135"/>
      <c r="BG1956" s="135"/>
      <c r="BH1956" s="135"/>
      <c r="BI1956" s="2"/>
      <c r="BJ1956" s="136"/>
      <c r="BK1956" s="2"/>
      <c r="BL1956" s="136"/>
      <c r="BM1956" s="136"/>
      <c r="BN1956" s="2"/>
      <c r="BO1956" s="2"/>
      <c r="BP1956" s="136"/>
      <c r="BQ1956" s="137"/>
    </row>
    <row r="1957" spans="1:69" ht="12.75" customHeight="1" x14ac:dyDescent="0.2">
      <c r="A1957" s="2">
        <v>3446</v>
      </c>
      <c r="B1957" s="2"/>
      <c r="C1957" s="2"/>
      <c r="D1957" s="2"/>
      <c r="E1957" s="2"/>
      <c r="F1957" s="132">
        <v>0</v>
      </c>
      <c r="G1957" s="132"/>
      <c r="H1957" s="132">
        <f t="shared" si="220"/>
        <v>0</v>
      </c>
      <c r="I1957" s="132"/>
      <c r="J1957" s="132">
        <f t="shared" si="225"/>
        <v>0</v>
      </c>
      <c r="K1957" s="132">
        <f t="shared" si="221"/>
        <v>0</v>
      </c>
      <c r="L1957" s="132">
        <f t="shared" si="222"/>
        <v>0</v>
      </c>
      <c r="M1957" s="133"/>
      <c r="N1957" s="133">
        <f t="shared" si="219"/>
        <v>0</v>
      </c>
      <c r="O1957" s="134"/>
      <c r="P1957" s="133"/>
      <c r="Q1957" s="2"/>
      <c r="R1957" s="156">
        <f t="shared" si="223"/>
        <v>0</v>
      </c>
      <c r="S1957" s="156">
        <f t="shared" si="224"/>
        <v>0</v>
      </c>
      <c r="T1957" s="133"/>
      <c r="U1957" s="133"/>
      <c r="V1957" s="133"/>
      <c r="W1957" s="133"/>
      <c r="X1957" s="133"/>
      <c r="Y1957" s="133"/>
      <c r="Z1957" s="133"/>
      <c r="AA1957" s="133"/>
      <c r="AB1957" s="133"/>
      <c r="AC1957" s="133"/>
      <c r="AD1957" s="133"/>
      <c r="AE1957" s="133"/>
      <c r="AF1957" s="133"/>
      <c r="AG1957" s="133"/>
      <c r="AH1957" s="133"/>
      <c r="AI1957" s="133"/>
      <c r="AJ1957" s="133"/>
      <c r="AK1957" s="133"/>
      <c r="AL1957" s="133"/>
      <c r="AM1957" s="133"/>
      <c r="AN1957" s="133"/>
      <c r="AO1957" s="133"/>
      <c r="AP1957" s="133"/>
      <c r="AQ1957" s="133"/>
      <c r="AR1957" s="133"/>
      <c r="AS1957" s="153">
        <v>0</v>
      </c>
      <c r="AT1957" s="153">
        <v>0</v>
      </c>
      <c r="AU1957" s="153">
        <v>0</v>
      </c>
      <c r="AV1957" s="135"/>
      <c r="AW1957" s="135"/>
      <c r="AX1957" s="135"/>
      <c r="AY1957" s="135"/>
      <c r="AZ1957" s="135"/>
      <c r="BA1957" s="135"/>
      <c r="BB1957" s="135"/>
      <c r="BC1957" s="135"/>
      <c r="BD1957" s="135"/>
      <c r="BE1957" s="135"/>
      <c r="BF1957" s="135"/>
      <c r="BG1957" s="135"/>
      <c r="BH1957" s="135"/>
      <c r="BI1957" s="2"/>
      <c r="BJ1957" s="136"/>
      <c r="BK1957" s="2"/>
      <c r="BL1957" s="136"/>
      <c r="BM1957" s="136"/>
      <c r="BN1957" s="2"/>
      <c r="BO1957" s="2"/>
      <c r="BP1957" s="136"/>
      <c r="BQ1957" s="137"/>
    </row>
    <row r="1958" spans="1:69" ht="12.75" customHeight="1" x14ac:dyDescent="0.2">
      <c r="A1958" s="2">
        <v>3447</v>
      </c>
      <c r="B1958" s="2"/>
      <c r="C1958" s="2"/>
      <c r="D1958" s="2"/>
      <c r="E1958" s="2"/>
      <c r="F1958" s="132">
        <v>0</v>
      </c>
      <c r="G1958" s="132"/>
      <c r="H1958" s="132">
        <f t="shared" si="220"/>
        <v>0</v>
      </c>
      <c r="I1958" s="132"/>
      <c r="J1958" s="132">
        <f t="shared" si="225"/>
        <v>0</v>
      </c>
      <c r="K1958" s="132">
        <f t="shared" si="221"/>
        <v>0</v>
      </c>
      <c r="L1958" s="132">
        <f t="shared" si="222"/>
        <v>0</v>
      </c>
      <c r="M1958" s="133"/>
      <c r="N1958" s="133">
        <f t="shared" si="219"/>
        <v>0</v>
      </c>
      <c r="O1958" s="134"/>
      <c r="P1958" s="133"/>
      <c r="Q1958" s="2"/>
      <c r="R1958" s="156">
        <f t="shared" si="223"/>
        <v>0</v>
      </c>
      <c r="S1958" s="156">
        <f t="shared" si="224"/>
        <v>0</v>
      </c>
      <c r="T1958" s="133"/>
      <c r="U1958" s="133"/>
      <c r="V1958" s="133"/>
      <c r="W1958" s="133"/>
      <c r="X1958" s="133"/>
      <c r="Y1958" s="133"/>
      <c r="Z1958" s="133"/>
      <c r="AA1958" s="133"/>
      <c r="AB1958" s="133"/>
      <c r="AC1958" s="133"/>
      <c r="AD1958" s="133"/>
      <c r="AE1958" s="133"/>
      <c r="AF1958" s="133"/>
      <c r="AG1958" s="133"/>
      <c r="AH1958" s="133"/>
      <c r="AI1958" s="133"/>
      <c r="AJ1958" s="133"/>
      <c r="AK1958" s="133"/>
      <c r="AL1958" s="133"/>
      <c r="AM1958" s="133"/>
      <c r="AN1958" s="133"/>
      <c r="AO1958" s="133"/>
      <c r="AP1958" s="133"/>
      <c r="AQ1958" s="133"/>
      <c r="AR1958" s="133"/>
      <c r="AS1958" s="153">
        <v>0</v>
      </c>
      <c r="AT1958" s="153">
        <v>0</v>
      </c>
      <c r="AU1958" s="153">
        <v>0</v>
      </c>
      <c r="AV1958" s="135"/>
      <c r="AW1958" s="135"/>
      <c r="AX1958" s="135"/>
      <c r="AY1958" s="135"/>
      <c r="AZ1958" s="135"/>
      <c r="BA1958" s="135"/>
      <c r="BB1958" s="135"/>
      <c r="BC1958" s="135"/>
      <c r="BD1958" s="135"/>
      <c r="BE1958" s="135"/>
      <c r="BF1958" s="135"/>
      <c r="BG1958" s="135"/>
      <c r="BH1958" s="135"/>
      <c r="BI1958" s="2"/>
      <c r="BJ1958" s="136"/>
      <c r="BK1958" s="2"/>
      <c r="BL1958" s="136"/>
      <c r="BM1958" s="136"/>
      <c r="BN1958" s="2"/>
      <c r="BO1958" s="2"/>
      <c r="BP1958" s="136"/>
      <c r="BQ1958" s="137"/>
    </row>
    <row r="1959" spans="1:69" ht="12.75" customHeight="1" x14ac:dyDescent="0.2">
      <c r="A1959" s="2">
        <v>3448</v>
      </c>
      <c r="B1959" s="2"/>
      <c r="C1959" s="2"/>
      <c r="D1959" s="2"/>
      <c r="E1959" s="2"/>
      <c r="F1959" s="132">
        <v>0</v>
      </c>
      <c r="G1959" s="132"/>
      <c r="H1959" s="132">
        <f t="shared" si="220"/>
        <v>0</v>
      </c>
      <c r="I1959" s="132"/>
      <c r="J1959" s="132">
        <f t="shared" si="225"/>
        <v>0</v>
      </c>
      <c r="K1959" s="132">
        <f t="shared" si="221"/>
        <v>0</v>
      </c>
      <c r="L1959" s="132">
        <f t="shared" si="222"/>
        <v>0</v>
      </c>
      <c r="M1959" s="133"/>
      <c r="N1959" s="133">
        <f t="shared" si="219"/>
        <v>0</v>
      </c>
      <c r="O1959" s="134"/>
      <c r="P1959" s="133"/>
      <c r="Q1959" s="2"/>
      <c r="R1959" s="156">
        <f t="shared" si="223"/>
        <v>0</v>
      </c>
      <c r="S1959" s="156">
        <f t="shared" si="224"/>
        <v>0</v>
      </c>
      <c r="T1959" s="133"/>
      <c r="U1959" s="133"/>
      <c r="V1959" s="133"/>
      <c r="W1959" s="133"/>
      <c r="X1959" s="133"/>
      <c r="Y1959" s="133"/>
      <c r="Z1959" s="133"/>
      <c r="AA1959" s="133"/>
      <c r="AB1959" s="133"/>
      <c r="AC1959" s="133"/>
      <c r="AD1959" s="133"/>
      <c r="AE1959" s="133"/>
      <c r="AF1959" s="133"/>
      <c r="AG1959" s="133"/>
      <c r="AH1959" s="133"/>
      <c r="AI1959" s="133"/>
      <c r="AJ1959" s="133"/>
      <c r="AK1959" s="133"/>
      <c r="AL1959" s="133"/>
      <c r="AM1959" s="133"/>
      <c r="AN1959" s="133"/>
      <c r="AO1959" s="133"/>
      <c r="AP1959" s="133"/>
      <c r="AQ1959" s="133"/>
      <c r="AR1959" s="133"/>
      <c r="AS1959" s="153">
        <v>0</v>
      </c>
      <c r="AT1959" s="153">
        <v>0</v>
      </c>
      <c r="AU1959" s="153">
        <v>0</v>
      </c>
      <c r="AV1959" s="135"/>
      <c r="AW1959" s="135"/>
      <c r="AX1959" s="135"/>
      <c r="AY1959" s="135"/>
      <c r="AZ1959" s="135"/>
      <c r="BA1959" s="135"/>
      <c r="BB1959" s="135"/>
      <c r="BC1959" s="135"/>
      <c r="BD1959" s="135"/>
      <c r="BE1959" s="135"/>
      <c r="BF1959" s="135"/>
      <c r="BG1959" s="135"/>
      <c r="BH1959" s="135"/>
      <c r="BI1959" s="2"/>
      <c r="BJ1959" s="136"/>
      <c r="BK1959" s="2"/>
      <c r="BL1959" s="136"/>
      <c r="BM1959" s="136"/>
      <c r="BN1959" s="2"/>
      <c r="BO1959" s="2"/>
      <c r="BP1959" s="136"/>
      <c r="BQ1959" s="137"/>
    </row>
    <row r="1960" spans="1:69" ht="12.75" customHeight="1" x14ac:dyDescent="0.2">
      <c r="A1960" s="2">
        <v>3449</v>
      </c>
      <c r="B1960" s="2"/>
      <c r="C1960" s="2"/>
      <c r="D1960" s="2"/>
      <c r="E1960" s="2"/>
      <c r="F1960" s="132">
        <v>0</v>
      </c>
      <c r="G1960" s="132"/>
      <c r="H1960" s="132">
        <f t="shared" si="220"/>
        <v>0</v>
      </c>
      <c r="I1960" s="132"/>
      <c r="J1960" s="132">
        <f t="shared" si="225"/>
        <v>0</v>
      </c>
      <c r="K1960" s="132">
        <f t="shared" si="221"/>
        <v>0</v>
      </c>
      <c r="L1960" s="132">
        <f t="shared" si="222"/>
        <v>0</v>
      </c>
      <c r="M1960" s="133"/>
      <c r="N1960" s="133">
        <f t="shared" si="219"/>
        <v>0</v>
      </c>
      <c r="O1960" s="134"/>
      <c r="P1960" s="133"/>
      <c r="Q1960" s="2"/>
      <c r="R1960" s="156">
        <f t="shared" si="223"/>
        <v>0</v>
      </c>
      <c r="S1960" s="156">
        <f t="shared" si="224"/>
        <v>0</v>
      </c>
      <c r="T1960" s="133"/>
      <c r="U1960" s="133"/>
      <c r="V1960" s="133"/>
      <c r="W1960" s="133"/>
      <c r="X1960" s="133"/>
      <c r="Y1960" s="133"/>
      <c r="Z1960" s="133"/>
      <c r="AA1960" s="133"/>
      <c r="AB1960" s="133"/>
      <c r="AC1960" s="133"/>
      <c r="AD1960" s="133"/>
      <c r="AE1960" s="133"/>
      <c r="AF1960" s="133"/>
      <c r="AG1960" s="133"/>
      <c r="AH1960" s="133"/>
      <c r="AI1960" s="133"/>
      <c r="AJ1960" s="133"/>
      <c r="AK1960" s="133"/>
      <c r="AL1960" s="133"/>
      <c r="AM1960" s="133"/>
      <c r="AN1960" s="133"/>
      <c r="AO1960" s="133"/>
      <c r="AP1960" s="133"/>
      <c r="AQ1960" s="133"/>
      <c r="AR1960" s="133"/>
      <c r="AS1960" s="153">
        <v>0</v>
      </c>
      <c r="AT1960" s="153">
        <v>0</v>
      </c>
      <c r="AU1960" s="153">
        <v>0</v>
      </c>
      <c r="AV1960" s="135"/>
      <c r="AW1960" s="135"/>
      <c r="AX1960" s="135"/>
      <c r="AY1960" s="135"/>
      <c r="AZ1960" s="135"/>
      <c r="BA1960" s="135"/>
      <c r="BB1960" s="135"/>
      <c r="BC1960" s="135"/>
      <c r="BD1960" s="135"/>
      <c r="BE1960" s="135"/>
      <c r="BF1960" s="135"/>
      <c r="BG1960" s="135"/>
      <c r="BH1960" s="135"/>
      <c r="BI1960" s="2"/>
      <c r="BJ1960" s="136"/>
      <c r="BK1960" s="2"/>
      <c r="BL1960" s="136"/>
      <c r="BM1960" s="136"/>
      <c r="BN1960" s="2"/>
      <c r="BO1960" s="2"/>
      <c r="BP1960" s="136"/>
      <c r="BQ1960" s="137"/>
    </row>
    <row r="1961" spans="1:69" ht="12.75" customHeight="1" x14ac:dyDescent="0.2">
      <c r="A1961" s="2">
        <v>3450</v>
      </c>
      <c r="B1961" s="2"/>
      <c r="C1961" s="2"/>
      <c r="D1961" s="2"/>
      <c r="E1961" s="2"/>
      <c r="F1961" s="132">
        <v>0</v>
      </c>
      <c r="G1961" s="132"/>
      <c r="H1961" s="132">
        <f t="shared" si="220"/>
        <v>0</v>
      </c>
      <c r="I1961" s="132"/>
      <c r="J1961" s="132">
        <f t="shared" si="225"/>
        <v>0</v>
      </c>
      <c r="K1961" s="132">
        <f t="shared" si="221"/>
        <v>0</v>
      </c>
      <c r="L1961" s="132">
        <f t="shared" si="222"/>
        <v>0</v>
      </c>
      <c r="M1961" s="133"/>
      <c r="N1961" s="133">
        <f t="shared" si="219"/>
        <v>0</v>
      </c>
      <c r="O1961" s="134"/>
      <c r="P1961" s="133"/>
      <c r="Q1961" s="2"/>
      <c r="R1961" s="156">
        <f t="shared" si="223"/>
        <v>0</v>
      </c>
      <c r="S1961" s="156">
        <f t="shared" si="224"/>
        <v>0</v>
      </c>
      <c r="T1961" s="133"/>
      <c r="U1961" s="133"/>
      <c r="V1961" s="133"/>
      <c r="W1961" s="133"/>
      <c r="X1961" s="133"/>
      <c r="Y1961" s="133"/>
      <c r="Z1961" s="133"/>
      <c r="AA1961" s="133"/>
      <c r="AB1961" s="133"/>
      <c r="AC1961" s="133"/>
      <c r="AD1961" s="133"/>
      <c r="AE1961" s="133"/>
      <c r="AF1961" s="133"/>
      <c r="AG1961" s="133"/>
      <c r="AH1961" s="133"/>
      <c r="AI1961" s="133"/>
      <c r="AJ1961" s="133"/>
      <c r="AK1961" s="133"/>
      <c r="AL1961" s="133"/>
      <c r="AM1961" s="133"/>
      <c r="AN1961" s="133"/>
      <c r="AO1961" s="133"/>
      <c r="AP1961" s="133"/>
      <c r="AQ1961" s="133"/>
      <c r="AR1961" s="133"/>
      <c r="AS1961" s="153">
        <v>0</v>
      </c>
      <c r="AT1961" s="153">
        <v>0</v>
      </c>
      <c r="AU1961" s="153">
        <v>0</v>
      </c>
      <c r="AV1961" s="135"/>
      <c r="AW1961" s="135"/>
      <c r="AX1961" s="135"/>
      <c r="AY1961" s="135"/>
      <c r="AZ1961" s="135"/>
      <c r="BA1961" s="135"/>
      <c r="BB1961" s="135"/>
      <c r="BC1961" s="135"/>
      <c r="BD1961" s="135"/>
      <c r="BE1961" s="135"/>
      <c r="BF1961" s="135"/>
      <c r="BG1961" s="135"/>
      <c r="BH1961" s="135"/>
      <c r="BI1961" s="2"/>
      <c r="BJ1961" s="136"/>
      <c r="BK1961" s="2"/>
      <c r="BL1961" s="136"/>
      <c r="BM1961" s="136"/>
      <c r="BN1961" s="2"/>
      <c r="BO1961" s="2"/>
      <c r="BP1961" s="136"/>
      <c r="BQ1961" s="137"/>
    </row>
    <row r="1962" spans="1:69" ht="12.75" customHeight="1" x14ac:dyDescent="0.2">
      <c r="A1962" s="2">
        <v>3451</v>
      </c>
      <c r="B1962" s="2"/>
      <c r="C1962" s="2"/>
      <c r="D1962" s="2"/>
      <c r="E1962" s="2"/>
      <c r="F1962" s="132">
        <v>0</v>
      </c>
      <c r="G1962" s="132"/>
      <c r="H1962" s="132">
        <f t="shared" si="220"/>
        <v>0</v>
      </c>
      <c r="I1962" s="132"/>
      <c r="J1962" s="132">
        <f t="shared" si="225"/>
        <v>0</v>
      </c>
      <c r="K1962" s="132">
        <f t="shared" si="221"/>
        <v>0</v>
      </c>
      <c r="L1962" s="132">
        <f t="shared" si="222"/>
        <v>0</v>
      </c>
      <c r="M1962" s="133"/>
      <c r="N1962" s="133">
        <f t="shared" ref="N1962:N2025" si="226">IF(OR(BK1962="принят",BK1962="Завершено",BK1962="ПриПро"),H1962-J1962,F1962-J1962)</f>
        <v>0</v>
      </c>
      <c r="O1962" s="134"/>
      <c r="P1962" s="133"/>
      <c r="Q1962" s="2"/>
      <c r="R1962" s="156">
        <f t="shared" si="223"/>
        <v>0</v>
      </c>
      <c r="S1962" s="156">
        <f t="shared" si="224"/>
        <v>0</v>
      </c>
      <c r="T1962" s="133"/>
      <c r="U1962" s="133"/>
      <c r="V1962" s="133"/>
      <c r="W1962" s="133"/>
      <c r="X1962" s="133"/>
      <c r="Y1962" s="133"/>
      <c r="Z1962" s="133"/>
      <c r="AA1962" s="133"/>
      <c r="AB1962" s="133"/>
      <c r="AC1962" s="133"/>
      <c r="AD1962" s="133"/>
      <c r="AE1962" s="133"/>
      <c r="AF1962" s="133"/>
      <c r="AG1962" s="133"/>
      <c r="AH1962" s="133"/>
      <c r="AI1962" s="133"/>
      <c r="AJ1962" s="133"/>
      <c r="AK1962" s="133"/>
      <c r="AL1962" s="133"/>
      <c r="AM1962" s="133"/>
      <c r="AN1962" s="133"/>
      <c r="AO1962" s="133"/>
      <c r="AP1962" s="133"/>
      <c r="AQ1962" s="133"/>
      <c r="AR1962" s="133"/>
      <c r="AS1962" s="153">
        <v>0</v>
      </c>
      <c r="AT1962" s="153">
        <v>0</v>
      </c>
      <c r="AU1962" s="153">
        <v>0</v>
      </c>
      <c r="AV1962" s="135"/>
      <c r="AW1962" s="135"/>
      <c r="AX1962" s="135"/>
      <c r="AY1962" s="135"/>
      <c r="AZ1962" s="135"/>
      <c r="BA1962" s="135"/>
      <c r="BB1962" s="135"/>
      <c r="BC1962" s="135"/>
      <c r="BD1962" s="135"/>
      <c r="BE1962" s="135"/>
      <c r="BF1962" s="135"/>
      <c r="BG1962" s="135"/>
      <c r="BH1962" s="135"/>
      <c r="BI1962" s="2"/>
      <c r="BJ1962" s="136"/>
      <c r="BK1962" s="2"/>
      <c r="BL1962" s="136"/>
      <c r="BM1962" s="136"/>
      <c r="BN1962" s="2"/>
      <c r="BO1962" s="2"/>
      <c r="BP1962" s="136"/>
      <c r="BQ1962" s="137"/>
    </row>
    <row r="1963" spans="1:69" ht="12.75" customHeight="1" x14ac:dyDescent="0.2">
      <c r="A1963" s="2">
        <v>3452</v>
      </c>
      <c r="B1963" s="2"/>
      <c r="C1963" s="2"/>
      <c r="D1963" s="2"/>
      <c r="E1963" s="2"/>
      <c r="F1963" s="132">
        <v>0</v>
      </c>
      <c r="G1963" s="132"/>
      <c r="H1963" s="132">
        <f t="shared" si="220"/>
        <v>0</v>
      </c>
      <c r="I1963" s="132"/>
      <c r="J1963" s="132">
        <f t="shared" si="225"/>
        <v>0</v>
      </c>
      <c r="K1963" s="132">
        <f t="shared" si="221"/>
        <v>0</v>
      </c>
      <c r="L1963" s="132">
        <f t="shared" si="222"/>
        <v>0</v>
      </c>
      <c r="M1963" s="133"/>
      <c r="N1963" s="133">
        <f t="shared" si="226"/>
        <v>0</v>
      </c>
      <c r="O1963" s="134"/>
      <c r="P1963" s="133"/>
      <c r="Q1963" s="2"/>
      <c r="R1963" s="156">
        <f t="shared" si="223"/>
        <v>0</v>
      </c>
      <c r="S1963" s="156">
        <f t="shared" si="224"/>
        <v>0</v>
      </c>
      <c r="T1963" s="133"/>
      <c r="U1963" s="133"/>
      <c r="V1963" s="133"/>
      <c r="W1963" s="133"/>
      <c r="X1963" s="133"/>
      <c r="Y1963" s="133"/>
      <c r="Z1963" s="133"/>
      <c r="AA1963" s="133"/>
      <c r="AB1963" s="133"/>
      <c r="AC1963" s="133"/>
      <c r="AD1963" s="133"/>
      <c r="AE1963" s="133"/>
      <c r="AF1963" s="133"/>
      <c r="AG1963" s="133"/>
      <c r="AH1963" s="133"/>
      <c r="AI1963" s="133"/>
      <c r="AJ1963" s="133"/>
      <c r="AK1963" s="133"/>
      <c r="AL1963" s="133"/>
      <c r="AM1963" s="133"/>
      <c r="AN1963" s="133"/>
      <c r="AO1963" s="133"/>
      <c r="AP1963" s="133"/>
      <c r="AQ1963" s="133"/>
      <c r="AR1963" s="133"/>
      <c r="AS1963" s="153">
        <v>0</v>
      </c>
      <c r="AT1963" s="153">
        <v>0</v>
      </c>
      <c r="AU1963" s="153">
        <v>0</v>
      </c>
      <c r="AV1963" s="135"/>
      <c r="AW1963" s="135"/>
      <c r="AX1963" s="135"/>
      <c r="AY1963" s="135"/>
      <c r="AZ1963" s="135"/>
      <c r="BA1963" s="135"/>
      <c r="BB1963" s="135"/>
      <c r="BC1963" s="135"/>
      <c r="BD1963" s="135"/>
      <c r="BE1963" s="135"/>
      <c r="BF1963" s="135"/>
      <c r="BG1963" s="135"/>
      <c r="BH1963" s="135"/>
      <c r="BI1963" s="2"/>
      <c r="BJ1963" s="136"/>
      <c r="BK1963" s="2"/>
      <c r="BL1963" s="136"/>
      <c r="BM1963" s="136"/>
      <c r="BN1963" s="2"/>
      <c r="BO1963" s="2"/>
      <c r="BP1963" s="136"/>
      <c r="BQ1963" s="137"/>
    </row>
    <row r="1964" spans="1:69" ht="12.75" customHeight="1" x14ac:dyDescent="0.2">
      <c r="A1964" s="2">
        <v>3453</v>
      </c>
      <c r="B1964" s="2"/>
      <c r="C1964" s="2"/>
      <c r="D1964" s="2"/>
      <c r="E1964" s="2"/>
      <c r="F1964" s="132">
        <v>0</v>
      </c>
      <c r="G1964" s="132"/>
      <c r="H1964" s="132">
        <f t="shared" si="220"/>
        <v>0</v>
      </c>
      <c r="I1964" s="132"/>
      <c r="J1964" s="132">
        <f t="shared" si="225"/>
        <v>0</v>
      </c>
      <c r="K1964" s="132">
        <f t="shared" si="221"/>
        <v>0</v>
      </c>
      <c r="L1964" s="132">
        <f t="shared" si="222"/>
        <v>0</v>
      </c>
      <c r="M1964" s="133"/>
      <c r="N1964" s="133">
        <f t="shared" si="226"/>
        <v>0</v>
      </c>
      <c r="O1964" s="134"/>
      <c r="P1964" s="133"/>
      <c r="Q1964" s="2"/>
      <c r="R1964" s="156">
        <f t="shared" si="223"/>
        <v>0</v>
      </c>
      <c r="S1964" s="156">
        <f t="shared" si="224"/>
        <v>0</v>
      </c>
      <c r="T1964" s="133"/>
      <c r="U1964" s="133"/>
      <c r="V1964" s="133"/>
      <c r="W1964" s="133"/>
      <c r="X1964" s="133"/>
      <c r="Y1964" s="133"/>
      <c r="Z1964" s="133"/>
      <c r="AA1964" s="133"/>
      <c r="AB1964" s="133"/>
      <c r="AC1964" s="133"/>
      <c r="AD1964" s="133"/>
      <c r="AE1964" s="133"/>
      <c r="AF1964" s="133"/>
      <c r="AG1964" s="133"/>
      <c r="AH1964" s="133"/>
      <c r="AI1964" s="133"/>
      <c r="AJ1964" s="133"/>
      <c r="AK1964" s="133"/>
      <c r="AL1964" s="133"/>
      <c r="AM1964" s="133"/>
      <c r="AN1964" s="133"/>
      <c r="AO1964" s="133"/>
      <c r="AP1964" s="133"/>
      <c r="AQ1964" s="133"/>
      <c r="AR1964" s="133"/>
      <c r="AS1964" s="153">
        <v>0</v>
      </c>
      <c r="AT1964" s="153">
        <v>0</v>
      </c>
      <c r="AU1964" s="153">
        <v>0</v>
      </c>
      <c r="AV1964" s="135"/>
      <c r="AW1964" s="135"/>
      <c r="AX1964" s="135"/>
      <c r="AY1964" s="135"/>
      <c r="AZ1964" s="135"/>
      <c r="BA1964" s="135"/>
      <c r="BB1964" s="135"/>
      <c r="BC1964" s="135"/>
      <c r="BD1964" s="135"/>
      <c r="BE1964" s="135"/>
      <c r="BF1964" s="135"/>
      <c r="BG1964" s="135"/>
      <c r="BH1964" s="135"/>
      <c r="BI1964" s="2"/>
      <c r="BJ1964" s="136"/>
      <c r="BK1964" s="2"/>
      <c r="BL1964" s="136"/>
      <c r="BM1964" s="136"/>
      <c r="BN1964" s="2"/>
      <c r="BO1964" s="2"/>
      <c r="BP1964" s="136"/>
      <c r="BQ1964" s="137"/>
    </row>
    <row r="1965" spans="1:69" ht="12.75" customHeight="1" x14ac:dyDescent="0.2">
      <c r="A1965" s="2">
        <v>3454</v>
      </c>
      <c r="B1965" s="2"/>
      <c r="C1965" s="2"/>
      <c r="D1965" s="2"/>
      <c r="E1965" s="2"/>
      <c r="F1965" s="132">
        <v>0</v>
      </c>
      <c r="G1965" s="132"/>
      <c r="H1965" s="132">
        <f t="shared" si="220"/>
        <v>0</v>
      </c>
      <c r="I1965" s="132"/>
      <c r="J1965" s="132">
        <f t="shared" si="225"/>
        <v>0</v>
      </c>
      <c r="K1965" s="132">
        <f t="shared" si="221"/>
        <v>0</v>
      </c>
      <c r="L1965" s="132">
        <f t="shared" si="222"/>
        <v>0</v>
      </c>
      <c r="M1965" s="133"/>
      <c r="N1965" s="133">
        <f t="shared" si="226"/>
        <v>0</v>
      </c>
      <c r="O1965" s="134"/>
      <c r="P1965" s="133"/>
      <c r="Q1965" s="2"/>
      <c r="R1965" s="156">
        <f t="shared" si="223"/>
        <v>0</v>
      </c>
      <c r="S1965" s="156">
        <f t="shared" si="224"/>
        <v>0</v>
      </c>
      <c r="T1965" s="133"/>
      <c r="U1965" s="133"/>
      <c r="V1965" s="133"/>
      <c r="W1965" s="133"/>
      <c r="X1965" s="133"/>
      <c r="Y1965" s="133"/>
      <c r="Z1965" s="133"/>
      <c r="AA1965" s="133"/>
      <c r="AB1965" s="133"/>
      <c r="AC1965" s="133"/>
      <c r="AD1965" s="133"/>
      <c r="AE1965" s="133"/>
      <c r="AF1965" s="133"/>
      <c r="AG1965" s="133"/>
      <c r="AH1965" s="133"/>
      <c r="AI1965" s="133"/>
      <c r="AJ1965" s="133"/>
      <c r="AK1965" s="133"/>
      <c r="AL1965" s="133"/>
      <c r="AM1965" s="133"/>
      <c r="AN1965" s="133"/>
      <c r="AO1965" s="133"/>
      <c r="AP1965" s="133"/>
      <c r="AQ1965" s="133"/>
      <c r="AR1965" s="133"/>
      <c r="AS1965" s="153">
        <v>0</v>
      </c>
      <c r="AT1965" s="153">
        <v>0</v>
      </c>
      <c r="AU1965" s="153">
        <v>0</v>
      </c>
      <c r="AV1965" s="135"/>
      <c r="AW1965" s="135"/>
      <c r="AX1965" s="135"/>
      <c r="AY1965" s="135"/>
      <c r="AZ1965" s="135"/>
      <c r="BA1965" s="135"/>
      <c r="BB1965" s="135"/>
      <c r="BC1965" s="135"/>
      <c r="BD1965" s="135"/>
      <c r="BE1965" s="135"/>
      <c r="BF1965" s="135"/>
      <c r="BG1965" s="135"/>
      <c r="BH1965" s="135"/>
      <c r="BI1965" s="2"/>
      <c r="BJ1965" s="136"/>
      <c r="BK1965" s="2"/>
      <c r="BL1965" s="136"/>
      <c r="BM1965" s="136"/>
      <c r="BN1965" s="2"/>
      <c r="BO1965" s="2"/>
      <c r="BP1965" s="136"/>
      <c r="BQ1965" s="137"/>
    </row>
    <row r="1966" spans="1:69" ht="12.75" customHeight="1" x14ac:dyDescent="0.2">
      <c r="A1966" s="2">
        <v>3455</v>
      </c>
      <c r="B1966" s="2"/>
      <c r="C1966" s="2"/>
      <c r="D1966" s="2"/>
      <c r="E1966" s="2"/>
      <c r="F1966" s="132">
        <v>0</v>
      </c>
      <c r="G1966" s="132"/>
      <c r="H1966" s="132">
        <f t="shared" ref="H1966:H2029" si="227">R1966</f>
        <v>0</v>
      </c>
      <c r="I1966" s="132"/>
      <c r="J1966" s="132">
        <f t="shared" si="225"/>
        <v>0</v>
      </c>
      <c r="K1966" s="132">
        <f t="shared" si="221"/>
        <v>0</v>
      </c>
      <c r="L1966" s="132">
        <f t="shared" si="222"/>
        <v>0</v>
      </c>
      <c r="M1966" s="133"/>
      <c r="N1966" s="133">
        <f t="shared" si="226"/>
        <v>0</v>
      </c>
      <c r="O1966" s="134"/>
      <c r="P1966" s="133"/>
      <c r="Q1966" s="2"/>
      <c r="R1966" s="156">
        <f t="shared" si="223"/>
        <v>0</v>
      </c>
      <c r="S1966" s="156">
        <f t="shared" si="224"/>
        <v>0</v>
      </c>
      <c r="T1966" s="133"/>
      <c r="U1966" s="133"/>
      <c r="V1966" s="133"/>
      <c r="W1966" s="133"/>
      <c r="X1966" s="133"/>
      <c r="Y1966" s="133"/>
      <c r="Z1966" s="133"/>
      <c r="AA1966" s="133"/>
      <c r="AB1966" s="133"/>
      <c r="AC1966" s="133"/>
      <c r="AD1966" s="133"/>
      <c r="AE1966" s="133"/>
      <c r="AF1966" s="133"/>
      <c r="AG1966" s="133"/>
      <c r="AH1966" s="133"/>
      <c r="AI1966" s="133"/>
      <c r="AJ1966" s="133"/>
      <c r="AK1966" s="133"/>
      <c r="AL1966" s="133"/>
      <c r="AM1966" s="133"/>
      <c r="AN1966" s="133"/>
      <c r="AO1966" s="133"/>
      <c r="AP1966" s="133"/>
      <c r="AQ1966" s="133"/>
      <c r="AR1966" s="133"/>
      <c r="AS1966" s="153">
        <v>0</v>
      </c>
      <c r="AT1966" s="153">
        <v>0</v>
      </c>
      <c r="AU1966" s="153">
        <v>0</v>
      </c>
      <c r="AV1966" s="135"/>
      <c r="AW1966" s="135"/>
      <c r="AX1966" s="135"/>
      <c r="AY1966" s="135"/>
      <c r="AZ1966" s="135"/>
      <c r="BA1966" s="135"/>
      <c r="BB1966" s="135"/>
      <c r="BC1966" s="135"/>
      <c r="BD1966" s="135"/>
      <c r="BE1966" s="135"/>
      <c r="BF1966" s="135"/>
      <c r="BG1966" s="135"/>
      <c r="BH1966" s="135"/>
      <c r="BI1966" s="2"/>
      <c r="BJ1966" s="136"/>
      <c r="BK1966" s="2"/>
      <c r="BL1966" s="136"/>
      <c r="BM1966" s="136"/>
      <c r="BN1966" s="2"/>
      <c r="BO1966" s="2"/>
      <c r="BP1966" s="136"/>
      <c r="BQ1966" s="137"/>
    </row>
    <row r="1967" spans="1:69" ht="12.75" customHeight="1" x14ac:dyDescent="0.2">
      <c r="A1967" s="2">
        <v>3456</v>
      </c>
      <c r="B1967" s="2"/>
      <c r="C1967" s="2"/>
      <c r="D1967" s="2"/>
      <c r="E1967" s="2"/>
      <c r="F1967" s="132">
        <v>0</v>
      </c>
      <c r="G1967" s="132"/>
      <c r="H1967" s="132">
        <f t="shared" si="227"/>
        <v>0</v>
      </c>
      <c r="I1967" s="132"/>
      <c r="J1967" s="132">
        <f t="shared" si="225"/>
        <v>0</v>
      </c>
      <c r="K1967" s="132">
        <f t="shared" si="221"/>
        <v>0</v>
      </c>
      <c r="L1967" s="132">
        <f t="shared" si="222"/>
        <v>0</v>
      </c>
      <c r="M1967" s="133"/>
      <c r="N1967" s="133">
        <f t="shared" si="226"/>
        <v>0</v>
      </c>
      <c r="O1967" s="134"/>
      <c r="P1967" s="133"/>
      <c r="Q1967" s="2"/>
      <c r="R1967" s="156">
        <f t="shared" si="223"/>
        <v>0</v>
      </c>
      <c r="S1967" s="156">
        <f t="shared" si="224"/>
        <v>0</v>
      </c>
      <c r="T1967" s="133"/>
      <c r="U1967" s="133"/>
      <c r="V1967" s="133"/>
      <c r="W1967" s="133"/>
      <c r="X1967" s="133"/>
      <c r="Y1967" s="133"/>
      <c r="Z1967" s="133"/>
      <c r="AA1967" s="133"/>
      <c r="AB1967" s="133"/>
      <c r="AC1967" s="133"/>
      <c r="AD1967" s="133"/>
      <c r="AE1967" s="133"/>
      <c r="AF1967" s="133"/>
      <c r="AG1967" s="133"/>
      <c r="AH1967" s="133"/>
      <c r="AI1967" s="133"/>
      <c r="AJ1967" s="133"/>
      <c r="AK1967" s="133"/>
      <c r="AL1967" s="133"/>
      <c r="AM1967" s="133"/>
      <c r="AN1967" s="133"/>
      <c r="AO1967" s="133"/>
      <c r="AP1967" s="133"/>
      <c r="AQ1967" s="133"/>
      <c r="AR1967" s="133"/>
      <c r="AS1967" s="153">
        <v>0</v>
      </c>
      <c r="AT1967" s="153">
        <v>0</v>
      </c>
      <c r="AU1967" s="153">
        <v>0</v>
      </c>
      <c r="AV1967" s="135"/>
      <c r="AW1967" s="135"/>
      <c r="AX1967" s="135"/>
      <c r="AY1967" s="135"/>
      <c r="AZ1967" s="135"/>
      <c r="BA1967" s="135"/>
      <c r="BB1967" s="135"/>
      <c r="BC1967" s="135"/>
      <c r="BD1967" s="135"/>
      <c r="BE1967" s="135"/>
      <c r="BF1967" s="135"/>
      <c r="BG1967" s="135"/>
      <c r="BH1967" s="135"/>
      <c r="BI1967" s="2"/>
      <c r="BJ1967" s="136"/>
      <c r="BK1967" s="2"/>
      <c r="BL1967" s="136"/>
      <c r="BM1967" s="136"/>
      <c r="BN1967" s="2"/>
      <c r="BO1967" s="2"/>
      <c r="BP1967" s="136"/>
      <c r="BQ1967" s="137"/>
    </row>
    <row r="1968" spans="1:69" ht="12.75" customHeight="1" x14ac:dyDescent="0.2">
      <c r="A1968" s="2">
        <v>3457</v>
      </c>
      <c r="B1968" s="2"/>
      <c r="C1968" s="2"/>
      <c r="D1968" s="2"/>
      <c r="E1968" s="2"/>
      <c r="F1968" s="132">
        <v>0</v>
      </c>
      <c r="G1968" s="132"/>
      <c r="H1968" s="132">
        <f t="shared" si="227"/>
        <v>0</v>
      </c>
      <c r="I1968" s="132"/>
      <c r="J1968" s="132">
        <f t="shared" si="225"/>
        <v>0</v>
      </c>
      <c r="K1968" s="132">
        <f t="shared" si="221"/>
        <v>0</v>
      </c>
      <c r="L1968" s="132">
        <f t="shared" si="222"/>
        <v>0</v>
      </c>
      <c r="M1968" s="133"/>
      <c r="N1968" s="133">
        <f t="shared" si="226"/>
        <v>0</v>
      </c>
      <c r="O1968" s="134"/>
      <c r="P1968" s="133"/>
      <c r="Q1968" s="2"/>
      <c r="R1968" s="156">
        <f t="shared" si="223"/>
        <v>0</v>
      </c>
      <c r="S1968" s="156">
        <f t="shared" si="224"/>
        <v>0</v>
      </c>
      <c r="T1968" s="133"/>
      <c r="U1968" s="133"/>
      <c r="V1968" s="133"/>
      <c r="W1968" s="133"/>
      <c r="X1968" s="133"/>
      <c r="Y1968" s="133"/>
      <c r="Z1968" s="133"/>
      <c r="AA1968" s="133"/>
      <c r="AB1968" s="133"/>
      <c r="AC1968" s="133"/>
      <c r="AD1968" s="133"/>
      <c r="AE1968" s="133"/>
      <c r="AF1968" s="133"/>
      <c r="AG1968" s="133"/>
      <c r="AH1968" s="133"/>
      <c r="AI1968" s="133"/>
      <c r="AJ1968" s="133"/>
      <c r="AK1968" s="133"/>
      <c r="AL1968" s="133"/>
      <c r="AM1968" s="133"/>
      <c r="AN1968" s="133"/>
      <c r="AO1968" s="133"/>
      <c r="AP1968" s="133"/>
      <c r="AQ1968" s="133"/>
      <c r="AR1968" s="133"/>
      <c r="AS1968" s="153">
        <v>0</v>
      </c>
      <c r="AT1968" s="153">
        <v>0</v>
      </c>
      <c r="AU1968" s="153">
        <v>0</v>
      </c>
      <c r="AV1968" s="135"/>
      <c r="AW1968" s="135"/>
      <c r="AX1968" s="135"/>
      <c r="AY1968" s="135"/>
      <c r="AZ1968" s="135"/>
      <c r="BA1968" s="135"/>
      <c r="BB1968" s="135"/>
      <c r="BC1968" s="135"/>
      <c r="BD1968" s="135"/>
      <c r="BE1968" s="135"/>
      <c r="BF1968" s="135"/>
      <c r="BG1968" s="135"/>
      <c r="BH1968" s="135"/>
      <c r="BI1968" s="2"/>
      <c r="BJ1968" s="136"/>
      <c r="BK1968" s="2"/>
      <c r="BL1968" s="136"/>
      <c r="BM1968" s="136"/>
      <c r="BN1968" s="2"/>
      <c r="BO1968" s="2"/>
      <c r="BP1968" s="136"/>
      <c r="BQ1968" s="137"/>
    </row>
    <row r="1969" spans="1:69" ht="12.75" customHeight="1" x14ac:dyDescent="0.2">
      <c r="A1969" s="2">
        <v>3458</v>
      </c>
      <c r="B1969" s="2"/>
      <c r="C1969" s="2"/>
      <c r="D1969" s="2"/>
      <c r="E1969" s="2"/>
      <c r="F1969" s="132">
        <v>0</v>
      </c>
      <c r="G1969" s="132"/>
      <c r="H1969" s="132">
        <f t="shared" si="227"/>
        <v>0</v>
      </c>
      <c r="I1969" s="132"/>
      <c r="J1969" s="132">
        <f t="shared" si="225"/>
        <v>0</v>
      </c>
      <c r="K1969" s="132">
        <f t="shared" si="221"/>
        <v>0</v>
      </c>
      <c r="L1969" s="132">
        <f t="shared" si="222"/>
        <v>0</v>
      </c>
      <c r="M1969" s="133"/>
      <c r="N1969" s="133">
        <f t="shared" si="226"/>
        <v>0</v>
      </c>
      <c r="O1969" s="134"/>
      <c r="P1969" s="133"/>
      <c r="Q1969" s="2"/>
      <c r="R1969" s="156">
        <f t="shared" si="223"/>
        <v>0</v>
      </c>
      <c r="S1969" s="156">
        <f t="shared" si="224"/>
        <v>0</v>
      </c>
      <c r="T1969" s="133"/>
      <c r="U1969" s="133"/>
      <c r="V1969" s="133"/>
      <c r="W1969" s="133"/>
      <c r="X1969" s="133"/>
      <c r="Y1969" s="133"/>
      <c r="Z1969" s="133"/>
      <c r="AA1969" s="133"/>
      <c r="AB1969" s="133"/>
      <c r="AC1969" s="133"/>
      <c r="AD1969" s="133"/>
      <c r="AE1969" s="133"/>
      <c r="AF1969" s="133"/>
      <c r="AG1969" s="133"/>
      <c r="AH1969" s="133"/>
      <c r="AI1969" s="133"/>
      <c r="AJ1969" s="133"/>
      <c r="AK1969" s="133"/>
      <c r="AL1969" s="133"/>
      <c r="AM1969" s="133"/>
      <c r="AN1969" s="133"/>
      <c r="AO1969" s="133"/>
      <c r="AP1969" s="133"/>
      <c r="AQ1969" s="133"/>
      <c r="AR1969" s="133"/>
      <c r="AS1969" s="153">
        <v>0</v>
      </c>
      <c r="AT1969" s="153">
        <v>0</v>
      </c>
      <c r="AU1969" s="153">
        <v>0</v>
      </c>
      <c r="AV1969" s="135"/>
      <c r="AW1969" s="135"/>
      <c r="AX1969" s="135"/>
      <c r="AY1969" s="135"/>
      <c r="AZ1969" s="135"/>
      <c r="BA1969" s="135"/>
      <c r="BB1969" s="135"/>
      <c r="BC1969" s="135"/>
      <c r="BD1969" s="135"/>
      <c r="BE1969" s="135"/>
      <c r="BF1969" s="135"/>
      <c r="BG1969" s="135"/>
      <c r="BH1969" s="135"/>
      <c r="BI1969" s="2"/>
      <c r="BJ1969" s="136"/>
      <c r="BK1969" s="2"/>
      <c r="BL1969" s="136"/>
      <c r="BM1969" s="136"/>
      <c r="BN1969" s="2"/>
      <c r="BO1969" s="2"/>
      <c r="BP1969" s="136"/>
      <c r="BQ1969" s="137"/>
    </row>
    <row r="1970" spans="1:69" ht="12.75" customHeight="1" x14ac:dyDescent="0.2">
      <c r="A1970" s="2">
        <v>3459</v>
      </c>
      <c r="B1970" s="2"/>
      <c r="C1970" s="2"/>
      <c r="D1970" s="2"/>
      <c r="E1970" s="2"/>
      <c r="F1970" s="132">
        <v>0</v>
      </c>
      <c r="G1970" s="132"/>
      <c r="H1970" s="132">
        <f t="shared" si="227"/>
        <v>0</v>
      </c>
      <c r="I1970" s="132"/>
      <c r="J1970" s="132">
        <f t="shared" si="225"/>
        <v>0</v>
      </c>
      <c r="K1970" s="132">
        <f t="shared" si="221"/>
        <v>0</v>
      </c>
      <c r="L1970" s="132">
        <f t="shared" si="222"/>
        <v>0</v>
      </c>
      <c r="M1970" s="133"/>
      <c r="N1970" s="133">
        <f t="shared" si="226"/>
        <v>0</v>
      </c>
      <c r="O1970" s="134"/>
      <c r="P1970" s="133"/>
      <c r="Q1970" s="2"/>
      <c r="R1970" s="156">
        <f t="shared" si="223"/>
        <v>0</v>
      </c>
      <c r="S1970" s="156">
        <f t="shared" si="224"/>
        <v>0</v>
      </c>
      <c r="T1970" s="133"/>
      <c r="U1970" s="133"/>
      <c r="V1970" s="133"/>
      <c r="W1970" s="133"/>
      <c r="X1970" s="133"/>
      <c r="Y1970" s="133"/>
      <c r="Z1970" s="133"/>
      <c r="AA1970" s="133"/>
      <c r="AB1970" s="133"/>
      <c r="AC1970" s="133"/>
      <c r="AD1970" s="133"/>
      <c r="AE1970" s="133"/>
      <c r="AF1970" s="133"/>
      <c r="AG1970" s="133"/>
      <c r="AH1970" s="133"/>
      <c r="AI1970" s="133"/>
      <c r="AJ1970" s="133"/>
      <c r="AK1970" s="133"/>
      <c r="AL1970" s="133"/>
      <c r="AM1970" s="133"/>
      <c r="AN1970" s="133"/>
      <c r="AO1970" s="133"/>
      <c r="AP1970" s="133"/>
      <c r="AQ1970" s="133"/>
      <c r="AR1970" s="133"/>
      <c r="AS1970" s="153">
        <v>0</v>
      </c>
      <c r="AT1970" s="153">
        <v>0</v>
      </c>
      <c r="AU1970" s="153">
        <v>0</v>
      </c>
      <c r="AV1970" s="135"/>
      <c r="AW1970" s="135"/>
      <c r="AX1970" s="135"/>
      <c r="AY1970" s="135"/>
      <c r="AZ1970" s="135"/>
      <c r="BA1970" s="135"/>
      <c r="BB1970" s="135"/>
      <c r="BC1970" s="135"/>
      <c r="BD1970" s="135"/>
      <c r="BE1970" s="135"/>
      <c r="BF1970" s="135"/>
      <c r="BG1970" s="135"/>
      <c r="BH1970" s="135"/>
      <c r="BI1970" s="2"/>
      <c r="BJ1970" s="136"/>
      <c r="BK1970" s="2"/>
      <c r="BL1970" s="136"/>
      <c r="BM1970" s="136"/>
      <c r="BN1970" s="2"/>
      <c r="BO1970" s="2"/>
      <c r="BP1970" s="136"/>
      <c r="BQ1970" s="137"/>
    </row>
    <row r="1971" spans="1:69" ht="12.75" customHeight="1" x14ac:dyDescent="0.2">
      <c r="A1971" s="2">
        <v>3460</v>
      </c>
      <c r="B1971" s="2"/>
      <c r="C1971" s="2"/>
      <c r="D1971" s="2"/>
      <c r="E1971" s="2"/>
      <c r="F1971" s="132">
        <v>0</v>
      </c>
      <c r="G1971" s="132"/>
      <c r="H1971" s="132">
        <f t="shared" si="227"/>
        <v>0</v>
      </c>
      <c r="I1971" s="132"/>
      <c r="J1971" s="132">
        <f t="shared" si="225"/>
        <v>0</v>
      </c>
      <c r="K1971" s="132">
        <f t="shared" si="221"/>
        <v>0</v>
      </c>
      <c r="L1971" s="132">
        <f t="shared" si="222"/>
        <v>0</v>
      </c>
      <c r="M1971" s="133"/>
      <c r="N1971" s="133">
        <f t="shared" si="226"/>
        <v>0</v>
      </c>
      <c r="O1971" s="134"/>
      <c r="P1971" s="133"/>
      <c r="Q1971" s="2"/>
      <c r="R1971" s="156">
        <f t="shared" si="223"/>
        <v>0</v>
      </c>
      <c r="S1971" s="156">
        <f t="shared" si="224"/>
        <v>0</v>
      </c>
      <c r="T1971" s="133"/>
      <c r="U1971" s="133"/>
      <c r="V1971" s="133"/>
      <c r="W1971" s="133"/>
      <c r="X1971" s="133"/>
      <c r="Y1971" s="133"/>
      <c r="Z1971" s="133"/>
      <c r="AA1971" s="133"/>
      <c r="AB1971" s="133"/>
      <c r="AC1971" s="133"/>
      <c r="AD1971" s="133"/>
      <c r="AE1971" s="133"/>
      <c r="AF1971" s="133"/>
      <c r="AG1971" s="133"/>
      <c r="AH1971" s="133"/>
      <c r="AI1971" s="133"/>
      <c r="AJ1971" s="133"/>
      <c r="AK1971" s="133"/>
      <c r="AL1971" s="133"/>
      <c r="AM1971" s="133"/>
      <c r="AN1971" s="133"/>
      <c r="AO1971" s="133"/>
      <c r="AP1971" s="133"/>
      <c r="AQ1971" s="133"/>
      <c r="AR1971" s="133"/>
      <c r="AS1971" s="153">
        <v>0</v>
      </c>
      <c r="AT1971" s="153">
        <v>0</v>
      </c>
      <c r="AU1971" s="153">
        <v>0</v>
      </c>
      <c r="AV1971" s="135"/>
      <c r="AW1971" s="135"/>
      <c r="AX1971" s="135"/>
      <c r="AY1971" s="135"/>
      <c r="AZ1971" s="135"/>
      <c r="BA1971" s="135"/>
      <c r="BB1971" s="135"/>
      <c r="BC1971" s="135"/>
      <c r="BD1971" s="135"/>
      <c r="BE1971" s="135"/>
      <c r="BF1971" s="135"/>
      <c r="BG1971" s="135"/>
      <c r="BH1971" s="135"/>
      <c r="BI1971" s="2"/>
      <c r="BJ1971" s="136"/>
      <c r="BK1971" s="2"/>
      <c r="BL1971" s="136"/>
      <c r="BM1971" s="136"/>
      <c r="BN1971" s="2"/>
      <c r="BO1971" s="2"/>
      <c r="BP1971" s="136"/>
      <c r="BQ1971" s="137"/>
    </row>
    <row r="1972" spans="1:69" ht="12.75" customHeight="1" x14ac:dyDescent="0.2">
      <c r="A1972" s="2">
        <v>3461</v>
      </c>
      <c r="B1972" s="2"/>
      <c r="C1972" s="2"/>
      <c r="D1972" s="2"/>
      <c r="E1972" s="2"/>
      <c r="F1972" s="132">
        <v>0</v>
      </c>
      <c r="G1972" s="132"/>
      <c r="H1972" s="132">
        <f t="shared" si="227"/>
        <v>0</v>
      </c>
      <c r="I1972" s="132"/>
      <c r="J1972" s="132">
        <f t="shared" si="225"/>
        <v>0</v>
      </c>
      <c r="K1972" s="132">
        <f t="shared" si="221"/>
        <v>0</v>
      </c>
      <c r="L1972" s="132">
        <f t="shared" si="222"/>
        <v>0</v>
      </c>
      <c r="M1972" s="133"/>
      <c r="N1972" s="133">
        <f t="shared" si="226"/>
        <v>0</v>
      </c>
      <c r="O1972" s="134"/>
      <c r="P1972" s="133"/>
      <c r="Q1972" s="2"/>
      <c r="R1972" s="156">
        <f t="shared" si="223"/>
        <v>0</v>
      </c>
      <c r="S1972" s="156">
        <f t="shared" si="224"/>
        <v>0</v>
      </c>
      <c r="T1972" s="133"/>
      <c r="U1972" s="133"/>
      <c r="V1972" s="133"/>
      <c r="W1972" s="133"/>
      <c r="X1972" s="133"/>
      <c r="Y1972" s="133"/>
      <c r="Z1972" s="133"/>
      <c r="AA1972" s="133"/>
      <c r="AB1972" s="133"/>
      <c r="AC1972" s="133"/>
      <c r="AD1972" s="133"/>
      <c r="AE1972" s="133"/>
      <c r="AF1972" s="133"/>
      <c r="AG1972" s="133"/>
      <c r="AH1972" s="133"/>
      <c r="AI1972" s="133"/>
      <c r="AJ1972" s="133"/>
      <c r="AK1972" s="133"/>
      <c r="AL1972" s="133"/>
      <c r="AM1972" s="133"/>
      <c r="AN1972" s="133"/>
      <c r="AO1972" s="133"/>
      <c r="AP1972" s="133"/>
      <c r="AQ1972" s="133"/>
      <c r="AR1972" s="133"/>
      <c r="AS1972" s="153">
        <v>0</v>
      </c>
      <c r="AT1972" s="153">
        <v>0</v>
      </c>
      <c r="AU1972" s="153">
        <v>0</v>
      </c>
      <c r="AV1972" s="135"/>
      <c r="AW1972" s="135"/>
      <c r="AX1972" s="135"/>
      <c r="AY1972" s="135"/>
      <c r="AZ1972" s="135"/>
      <c r="BA1972" s="135"/>
      <c r="BB1972" s="135"/>
      <c r="BC1972" s="135"/>
      <c r="BD1972" s="135"/>
      <c r="BE1972" s="135"/>
      <c r="BF1972" s="135"/>
      <c r="BG1972" s="135"/>
      <c r="BH1972" s="135"/>
      <c r="BI1972" s="2"/>
      <c r="BJ1972" s="136"/>
      <c r="BK1972" s="2"/>
      <c r="BL1972" s="136"/>
      <c r="BM1972" s="136"/>
      <c r="BN1972" s="2"/>
      <c r="BO1972" s="2"/>
      <c r="BP1972" s="136"/>
      <c r="BQ1972" s="137"/>
    </row>
    <row r="1973" spans="1:69" ht="12.75" customHeight="1" x14ac:dyDescent="0.2">
      <c r="A1973" s="2">
        <v>3462</v>
      </c>
      <c r="B1973" s="2"/>
      <c r="C1973" s="2"/>
      <c r="D1973" s="2"/>
      <c r="E1973" s="2"/>
      <c r="F1973" s="132">
        <v>0</v>
      </c>
      <c r="G1973" s="132"/>
      <c r="H1973" s="132">
        <f t="shared" si="227"/>
        <v>0</v>
      </c>
      <c r="I1973" s="132"/>
      <c r="J1973" s="132">
        <f t="shared" si="225"/>
        <v>0</v>
      </c>
      <c r="K1973" s="132">
        <f t="shared" si="221"/>
        <v>0</v>
      </c>
      <c r="L1973" s="132">
        <f t="shared" si="222"/>
        <v>0</v>
      </c>
      <c r="M1973" s="133"/>
      <c r="N1973" s="133">
        <f t="shared" si="226"/>
        <v>0</v>
      </c>
      <c r="O1973" s="134"/>
      <c r="P1973" s="133"/>
      <c r="Q1973" s="2"/>
      <c r="R1973" s="156">
        <f t="shared" si="223"/>
        <v>0</v>
      </c>
      <c r="S1973" s="156">
        <f t="shared" si="224"/>
        <v>0</v>
      </c>
      <c r="T1973" s="133"/>
      <c r="U1973" s="133"/>
      <c r="V1973" s="133"/>
      <c r="W1973" s="133"/>
      <c r="X1973" s="133"/>
      <c r="Y1973" s="133"/>
      <c r="Z1973" s="133"/>
      <c r="AA1973" s="133"/>
      <c r="AB1973" s="133"/>
      <c r="AC1973" s="133"/>
      <c r="AD1973" s="133"/>
      <c r="AE1973" s="133"/>
      <c r="AF1973" s="133"/>
      <c r="AG1973" s="133"/>
      <c r="AH1973" s="133"/>
      <c r="AI1973" s="133"/>
      <c r="AJ1973" s="133"/>
      <c r="AK1973" s="133"/>
      <c r="AL1973" s="133"/>
      <c r="AM1973" s="133"/>
      <c r="AN1973" s="133"/>
      <c r="AO1973" s="133"/>
      <c r="AP1973" s="133"/>
      <c r="AQ1973" s="133"/>
      <c r="AR1973" s="133"/>
      <c r="AS1973" s="153">
        <v>0</v>
      </c>
      <c r="AT1973" s="153">
        <v>0</v>
      </c>
      <c r="AU1973" s="153">
        <v>0</v>
      </c>
      <c r="AV1973" s="135"/>
      <c r="AW1973" s="135"/>
      <c r="AX1973" s="135"/>
      <c r="AY1973" s="135"/>
      <c r="AZ1973" s="135"/>
      <c r="BA1973" s="135"/>
      <c r="BB1973" s="135"/>
      <c r="BC1973" s="135"/>
      <c r="BD1973" s="135"/>
      <c r="BE1973" s="135"/>
      <c r="BF1973" s="135"/>
      <c r="BG1973" s="135"/>
      <c r="BH1973" s="135"/>
      <c r="BI1973" s="2"/>
      <c r="BJ1973" s="136"/>
      <c r="BK1973" s="2"/>
      <c r="BL1973" s="136"/>
      <c r="BM1973" s="136"/>
      <c r="BN1973" s="2"/>
      <c r="BO1973" s="2"/>
      <c r="BP1973" s="136"/>
      <c r="BQ1973" s="137"/>
    </row>
    <row r="1974" spans="1:69" ht="12.75" customHeight="1" x14ac:dyDescent="0.2">
      <c r="A1974" s="2">
        <v>3463</v>
      </c>
      <c r="B1974" s="2"/>
      <c r="C1974" s="2"/>
      <c r="D1974" s="2"/>
      <c r="E1974" s="2"/>
      <c r="F1974" s="132">
        <v>0</v>
      </c>
      <c r="G1974" s="132"/>
      <c r="H1974" s="132">
        <f t="shared" si="227"/>
        <v>0</v>
      </c>
      <c r="I1974" s="132"/>
      <c r="J1974" s="132">
        <f t="shared" si="225"/>
        <v>0</v>
      </c>
      <c r="K1974" s="132">
        <f t="shared" ref="K1974:K2037" si="228">F1974-J1974</f>
        <v>0</v>
      </c>
      <c r="L1974" s="132">
        <f t="shared" si="222"/>
        <v>0</v>
      </c>
      <c r="M1974" s="133"/>
      <c r="N1974" s="133">
        <f t="shared" si="226"/>
        <v>0</v>
      </c>
      <c r="O1974" s="134"/>
      <c r="P1974" s="133"/>
      <c r="Q1974" s="2"/>
      <c r="R1974" s="156">
        <f t="shared" si="223"/>
        <v>0</v>
      </c>
      <c r="S1974" s="156">
        <f t="shared" si="224"/>
        <v>0</v>
      </c>
      <c r="T1974" s="133"/>
      <c r="U1974" s="133"/>
      <c r="V1974" s="133"/>
      <c r="W1974" s="133"/>
      <c r="X1974" s="133"/>
      <c r="Y1974" s="133"/>
      <c r="Z1974" s="133"/>
      <c r="AA1974" s="133"/>
      <c r="AB1974" s="133"/>
      <c r="AC1974" s="133"/>
      <c r="AD1974" s="133"/>
      <c r="AE1974" s="133"/>
      <c r="AF1974" s="133"/>
      <c r="AG1974" s="133"/>
      <c r="AH1974" s="133"/>
      <c r="AI1974" s="133"/>
      <c r="AJ1974" s="133"/>
      <c r="AK1974" s="133"/>
      <c r="AL1974" s="133"/>
      <c r="AM1974" s="133"/>
      <c r="AN1974" s="133"/>
      <c r="AO1974" s="133"/>
      <c r="AP1974" s="133"/>
      <c r="AQ1974" s="133"/>
      <c r="AR1974" s="133"/>
      <c r="AS1974" s="153">
        <v>0</v>
      </c>
      <c r="AT1974" s="153">
        <v>0</v>
      </c>
      <c r="AU1974" s="153">
        <v>0</v>
      </c>
      <c r="AV1974" s="135"/>
      <c r="AW1974" s="135"/>
      <c r="AX1974" s="135"/>
      <c r="AY1974" s="135"/>
      <c r="AZ1974" s="135"/>
      <c r="BA1974" s="135"/>
      <c r="BB1974" s="135"/>
      <c r="BC1974" s="135"/>
      <c r="BD1974" s="135"/>
      <c r="BE1974" s="135"/>
      <c r="BF1974" s="135"/>
      <c r="BG1974" s="135"/>
      <c r="BH1974" s="135"/>
      <c r="BI1974" s="2"/>
      <c r="BJ1974" s="136"/>
      <c r="BK1974" s="2"/>
      <c r="BL1974" s="136"/>
      <c r="BM1974" s="136"/>
      <c r="BN1974" s="2"/>
      <c r="BO1974" s="2"/>
      <c r="BP1974" s="136"/>
      <c r="BQ1974" s="137"/>
    </row>
    <row r="1975" spans="1:69" ht="12.75" customHeight="1" x14ac:dyDescent="0.2">
      <c r="A1975" s="2">
        <v>3464</v>
      </c>
      <c r="B1975" s="2"/>
      <c r="C1975" s="2"/>
      <c r="D1975" s="2"/>
      <c r="E1975" s="2"/>
      <c r="F1975" s="132">
        <v>0</v>
      </c>
      <c r="G1975" s="132"/>
      <c r="H1975" s="132">
        <f t="shared" si="227"/>
        <v>0</v>
      </c>
      <c r="I1975" s="132"/>
      <c r="J1975" s="132">
        <f t="shared" si="225"/>
        <v>0</v>
      </c>
      <c r="K1975" s="132">
        <f t="shared" si="228"/>
        <v>0</v>
      </c>
      <c r="L1975" s="132">
        <f t="shared" si="222"/>
        <v>0</v>
      </c>
      <c r="M1975" s="133"/>
      <c r="N1975" s="133">
        <f t="shared" si="226"/>
        <v>0</v>
      </c>
      <c r="O1975" s="134"/>
      <c r="P1975" s="133"/>
      <c r="Q1975" s="2"/>
      <c r="R1975" s="156">
        <f t="shared" si="223"/>
        <v>0</v>
      </c>
      <c r="S1975" s="156">
        <f t="shared" si="224"/>
        <v>0</v>
      </c>
      <c r="T1975" s="133"/>
      <c r="U1975" s="133"/>
      <c r="V1975" s="133"/>
      <c r="W1975" s="133"/>
      <c r="X1975" s="133"/>
      <c r="Y1975" s="133"/>
      <c r="Z1975" s="133"/>
      <c r="AA1975" s="133"/>
      <c r="AB1975" s="133"/>
      <c r="AC1975" s="133"/>
      <c r="AD1975" s="133"/>
      <c r="AE1975" s="133"/>
      <c r="AF1975" s="133"/>
      <c r="AG1975" s="133"/>
      <c r="AH1975" s="133"/>
      <c r="AI1975" s="133"/>
      <c r="AJ1975" s="133"/>
      <c r="AK1975" s="133"/>
      <c r="AL1975" s="133"/>
      <c r="AM1975" s="133"/>
      <c r="AN1975" s="133"/>
      <c r="AO1975" s="133"/>
      <c r="AP1975" s="133"/>
      <c r="AQ1975" s="133"/>
      <c r="AR1975" s="133"/>
      <c r="AS1975" s="153">
        <v>0</v>
      </c>
      <c r="AT1975" s="153">
        <v>0</v>
      </c>
      <c r="AU1975" s="153">
        <v>0</v>
      </c>
      <c r="AV1975" s="135"/>
      <c r="AW1975" s="135"/>
      <c r="AX1975" s="135"/>
      <c r="AY1975" s="135"/>
      <c r="AZ1975" s="135"/>
      <c r="BA1975" s="135"/>
      <c r="BB1975" s="135"/>
      <c r="BC1975" s="135"/>
      <c r="BD1975" s="135"/>
      <c r="BE1975" s="135"/>
      <c r="BF1975" s="135"/>
      <c r="BG1975" s="135"/>
      <c r="BH1975" s="135"/>
      <c r="BI1975" s="2"/>
      <c r="BJ1975" s="136"/>
      <c r="BK1975" s="2"/>
      <c r="BL1975" s="136"/>
      <c r="BM1975" s="136"/>
      <c r="BN1975" s="2"/>
      <c r="BO1975" s="2"/>
      <c r="BP1975" s="136"/>
      <c r="BQ1975" s="137"/>
    </row>
    <row r="1976" spans="1:69" ht="12.75" customHeight="1" x14ac:dyDescent="0.2">
      <c r="A1976" s="2">
        <v>3465</v>
      </c>
      <c r="B1976" s="2"/>
      <c r="C1976" s="2"/>
      <c r="D1976" s="2"/>
      <c r="E1976" s="2"/>
      <c r="F1976" s="132">
        <v>0</v>
      </c>
      <c r="G1976" s="132"/>
      <c r="H1976" s="132">
        <f t="shared" si="227"/>
        <v>0</v>
      </c>
      <c r="I1976" s="132"/>
      <c r="J1976" s="132">
        <f t="shared" si="225"/>
        <v>0</v>
      </c>
      <c r="K1976" s="132">
        <f t="shared" si="228"/>
        <v>0</v>
      </c>
      <c r="L1976" s="132">
        <f t="shared" si="222"/>
        <v>0</v>
      </c>
      <c r="M1976" s="133"/>
      <c r="N1976" s="133">
        <f t="shared" si="226"/>
        <v>0</v>
      </c>
      <c r="O1976" s="134"/>
      <c r="P1976" s="133"/>
      <c r="Q1976" s="2"/>
      <c r="R1976" s="156">
        <f t="shared" si="223"/>
        <v>0</v>
      </c>
      <c r="S1976" s="156">
        <f t="shared" si="224"/>
        <v>0</v>
      </c>
      <c r="T1976" s="133"/>
      <c r="U1976" s="133"/>
      <c r="V1976" s="133"/>
      <c r="W1976" s="133"/>
      <c r="X1976" s="133"/>
      <c r="Y1976" s="133"/>
      <c r="Z1976" s="133"/>
      <c r="AA1976" s="133"/>
      <c r="AB1976" s="133"/>
      <c r="AC1976" s="133"/>
      <c r="AD1976" s="133"/>
      <c r="AE1976" s="133"/>
      <c r="AF1976" s="133"/>
      <c r="AG1976" s="133"/>
      <c r="AH1976" s="133"/>
      <c r="AI1976" s="133"/>
      <c r="AJ1976" s="133"/>
      <c r="AK1976" s="133"/>
      <c r="AL1976" s="133"/>
      <c r="AM1976" s="133"/>
      <c r="AN1976" s="133"/>
      <c r="AO1976" s="133"/>
      <c r="AP1976" s="133"/>
      <c r="AQ1976" s="133"/>
      <c r="AR1976" s="133"/>
      <c r="AS1976" s="153">
        <v>0</v>
      </c>
      <c r="AT1976" s="153">
        <v>0</v>
      </c>
      <c r="AU1976" s="153">
        <v>0</v>
      </c>
      <c r="AV1976" s="135"/>
      <c r="AW1976" s="135"/>
      <c r="AX1976" s="135"/>
      <c r="AY1976" s="135"/>
      <c r="AZ1976" s="135"/>
      <c r="BA1976" s="135"/>
      <c r="BB1976" s="135"/>
      <c r="BC1976" s="135"/>
      <c r="BD1976" s="135"/>
      <c r="BE1976" s="135"/>
      <c r="BF1976" s="135"/>
      <c r="BG1976" s="135"/>
      <c r="BH1976" s="135"/>
      <c r="BI1976" s="2"/>
      <c r="BJ1976" s="136"/>
      <c r="BK1976" s="2"/>
      <c r="BL1976" s="136"/>
      <c r="BM1976" s="136"/>
      <c r="BN1976" s="2"/>
      <c r="BO1976" s="2"/>
      <c r="BP1976" s="136"/>
      <c r="BQ1976" s="137"/>
    </row>
    <row r="1977" spans="1:69" ht="12.75" customHeight="1" x14ac:dyDescent="0.2">
      <c r="A1977" s="2">
        <v>3466</v>
      </c>
      <c r="B1977" s="2"/>
      <c r="C1977" s="2"/>
      <c r="D1977" s="2"/>
      <c r="E1977" s="2"/>
      <c r="F1977" s="132">
        <v>0</v>
      </c>
      <c r="G1977" s="132"/>
      <c r="H1977" s="132">
        <f t="shared" si="227"/>
        <v>0</v>
      </c>
      <c r="I1977" s="132"/>
      <c r="J1977" s="132">
        <f t="shared" si="225"/>
        <v>0</v>
      </c>
      <c r="K1977" s="132">
        <f t="shared" si="228"/>
        <v>0</v>
      </c>
      <c r="L1977" s="132">
        <f t="shared" si="222"/>
        <v>0</v>
      </c>
      <c r="M1977" s="133"/>
      <c r="N1977" s="133">
        <f t="shared" si="226"/>
        <v>0</v>
      </c>
      <c r="O1977" s="134"/>
      <c r="P1977" s="133"/>
      <c r="Q1977" s="2"/>
      <c r="R1977" s="156">
        <f t="shared" si="223"/>
        <v>0</v>
      </c>
      <c r="S1977" s="156">
        <f t="shared" si="224"/>
        <v>0</v>
      </c>
      <c r="T1977" s="133"/>
      <c r="U1977" s="133"/>
      <c r="V1977" s="133"/>
      <c r="W1977" s="133"/>
      <c r="X1977" s="133"/>
      <c r="Y1977" s="133"/>
      <c r="Z1977" s="133"/>
      <c r="AA1977" s="133"/>
      <c r="AB1977" s="133"/>
      <c r="AC1977" s="133"/>
      <c r="AD1977" s="133"/>
      <c r="AE1977" s="133"/>
      <c r="AF1977" s="133"/>
      <c r="AG1977" s="133"/>
      <c r="AH1977" s="133"/>
      <c r="AI1977" s="133"/>
      <c r="AJ1977" s="133"/>
      <c r="AK1977" s="133"/>
      <c r="AL1977" s="133"/>
      <c r="AM1977" s="133"/>
      <c r="AN1977" s="133"/>
      <c r="AO1977" s="133"/>
      <c r="AP1977" s="133"/>
      <c r="AQ1977" s="133"/>
      <c r="AR1977" s="133"/>
      <c r="AS1977" s="153">
        <v>0</v>
      </c>
      <c r="AT1977" s="153">
        <v>0</v>
      </c>
      <c r="AU1977" s="153">
        <v>0</v>
      </c>
      <c r="AV1977" s="135"/>
      <c r="AW1977" s="135"/>
      <c r="AX1977" s="135"/>
      <c r="AY1977" s="135"/>
      <c r="AZ1977" s="135"/>
      <c r="BA1977" s="135"/>
      <c r="BB1977" s="135"/>
      <c r="BC1977" s="135"/>
      <c r="BD1977" s="135"/>
      <c r="BE1977" s="135"/>
      <c r="BF1977" s="135"/>
      <c r="BG1977" s="135"/>
      <c r="BH1977" s="135"/>
      <c r="BI1977" s="2"/>
      <c r="BJ1977" s="136"/>
      <c r="BK1977" s="2"/>
      <c r="BL1977" s="136"/>
      <c r="BM1977" s="136"/>
      <c r="BN1977" s="2"/>
      <c r="BO1977" s="2"/>
      <c r="BP1977" s="136"/>
      <c r="BQ1977" s="137"/>
    </row>
    <row r="1978" spans="1:69" ht="12.75" customHeight="1" x14ac:dyDescent="0.2">
      <c r="A1978" s="2">
        <v>3467</v>
      </c>
      <c r="B1978" s="2"/>
      <c r="C1978" s="2"/>
      <c r="D1978" s="2"/>
      <c r="E1978" s="2"/>
      <c r="F1978" s="132">
        <v>0</v>
      </c>
      <c r="G1978" s="132"/>
      <c r="H1978" s="132">
        <f t="shared" si="227"/>
        <v>0</v>
      </c>
      <c r="I1978" s="132"/>
      <c r="J1978" s="132">
        <f t="shared" si="225"/>
        <v>0</v>
      </c>
      <c r="K1978" s="132">
        <f t="shared" si="228"/>
        <v>0</v>
      </c>
      <c r="L1978" s="132">
        <f t="shared" si="222"/>
        <v>0</v>
      </c>
      <c r="M1978" s="133"/>
      <c r="N1978" s="133">
        <f t="shared" si="226"/>
        <v>0</v>
      </c>
      <c r="O1978" s="134"/>
      <c r="P1978" s="133"/>
      <c r="Q1978" s="2"/>
      <c r="R1978" s="156">
        <f t="shared" si="223"/>
        <v>0</v>
      </c>
      <c r="S1978" s="156">
        <f t="shared" si="224"/>
        <v>0</v>
      </c>
      <c r="T1978" s="133"/>
      <c r="U1978" s="133"/>
      <c r="V1978" s="133"/>
      <c r="W1978" s="133"/>
      <c r="X1978" s="133"/>
      <c r="Y1978" s="133"/>
      <c r="Z1978" s="133"/>
      <c r="AA1978" s="133"/>
      <c r="AB1978" s="133"/>
      <c r="AC1978" s="133"/>
      <c r="AD1978" s="133"/>
      <c r="AE1978" s="133"/>
      <c r="AF1978" s="133"/>
      <c r="AG1978" s="133"/>
      <c r="AH1978" s="133"/>
      <c r="AI1978" s="133"/>
      <c r="AJ1978" s="133"/>
      <c r="AK1978" s="133"/>
      <c r="AL1978" s="133"/>
      <c r="AM1978" s="133"/>
      <c r="AN1978" s="133"/>
      <c r="AO1978" s="133"/>
      <c r="AP1978" s="133"/>
      <c r="AQ1978" s="133"/>
      <c r="AR1978" s="133"/>
      <c r="AS1978" s="153">
        <v>0</v>
      </c>
      <c r="AT1978" s="153">
        <v>0</v>
      </c>
      <c r="AU1978" s="153">
        <v>0</v>
      </c>
      <c r="AV1978" s="135"/>
      <c r="AW1978" s="135"/>
      <c r="AX1978" s="135"/>
      <c r="AY1978" s="135"/>
      <c r="AZ1978" s="135"/>
      <c r="BA1978" s="135"/>
      <c r="BB1978" s="135"/>
      <c r="BC1978" s="135"/>
      <c r="BD1978" s="135"/>
      <c r="BE1978" s="135"/>
      <c r="BF1978" s="135"/>
      <c r="BG1978" s="135"/>
      <c r="BH1978" s="135"/>
      <c r="BI1978" s="2"/>
      <c r="BJ1978" s="136"/>
      <c r="BK1978" s="2"/>
      <c r="BL1978" s="136"/>
      <c r="BM1978" s="136"/>
      <c r="BN1978" s="2"/>
      <c r="BO1978" s="2"/>
      <c r="BP1978" s="136"/>
      <c r="BQ1978" s="137"/>
    </row>
    <row r="1979" spans="1:69" ht="12.75" customHeight="1" x14ac:dyDescent="0.2">
      <c r="A1979" s="2">
        <v>3468</v>
      </c>
      <c r="B1979" s="2"/>
      <c r="C1979" s="2"/>
      <c r="D1979" s="2"/>
      <c r="E1979" s="2"/>
      <c r="F1979" s="132">
        <v>0</v>
      </c>
      <c r="G1979" s="132"/>
      <c r="H1979" s="132">
        <f t="shared" si="227"/>
        <v>0</v>
      </c>
      <c r="I1979" s="132"/>
      <c r="J1979" s="132">
        <f t="shared" si="225"/>
        <v>0</v>
      </c>
      <c r="K1979" s="132">
        <f t="shared" si="228"/>
        <v>0</v>
      </c>
      <c r="L1979" s="132">
        <f t="shared" si="222"/>
        <v>0</v>
      </c>
      <c r="M1979" s="133"/>
      <c r="N1979" s="133">
        <f t="shared" si="226"/>
        <v>0</v>
      </c>
      <c r="O1979" s="134"/>
      <c r="P1979" s="133"/>
      <c r="Q1979" s="2"/>
      <c r="R1979" s="156">
        <f t="shared" si="223"/>
        <v>0</v>
      </c>
      <c r="S1979" s="156">
        <f t="shared" si="224"/>
        <v>0</v>
      </c>
      <c r="T1979" s="133"/>
      <c r="U1979" s="133"/>
      <c r="V1979" s="133"/>
      <c r="W1979" s="133"/>
      <c r="X1979" s="133"/>
      <c r="Y1979" s="133"/>
      <c r="Z1979" s="133"/>
      <c r="AA1979" s="133"/>
      <c r="AB1979" s="133"/>
      <c r="AC1979" s="133"/>
      <c r="AD1979" s="133"/>
      <c r="AE1979" s="133"/>
      <c r="AF1979" s="133"/>
      <c r="AG1979" s="133"/>
      <c r="AH1979" s="133"/>
      <c r="AI1979" s="133"/>
      <c r="AJ1979" s="133"/>
      <c r="AK1979" s="133"/>
      <c r="AL1979" s="133"/>
      <c r="AM1979" s="133"/>
      <c r="AN1979" s="133"/>
      <c r="AO1979" s="133"/>
      <c r="AP1979" s="133"/>
      <c r="AQ1979" s="133"/>
      <c r="AR1979" s="133"/>
      <c r="AS1979" s="153">
        <v>0</v>
      </c>
      <c r="AT1979" s="153">
        <v>0</v>
      </c>
      <c r="AU1979" s="153">
        <v>0</v>
      </c>
      <c r="AV1979" s="135"/>
      <c r="AW1979" s="135"/>
      <c r="AX1979" s="135"/>
      <c r="AY1979" s="135"/>
      <c r="AZ1979" s="135"/>
      <c r="BA1979" s="135"/>
      <c r="BB1979" s="135"/>
      <c r="BC1979" s="135"/>
      <c r="BD1979" s="135"/>
      <c r="BE1979" s="135"/>
      <c r="BF1979" s="135"/>
      <c r="BG1979" s="135"/>
      <c r="BH1979" s="135"/>
      <c r="BI1979" s="2"/>
      <c r="BJ1979" s="136"/>
      <c r="BK1979" s="2"/>
      <c r="BL1979" s="136"/>
      <c r="BM1979" s="136"/>
      <c r="BN1979" s="2"/>
      <c r="BO1979" s="2"/>
      <c r="BP1979" s="136"/>
      <c r="BQ1979" s="137"/>
    </row>
    <row r="1980" spans="1:69" ht="12.75" customHeight="1" x14ac:dyDescent="0.2">
      <c r="A1980" s="2">
        <v>3469</v>
      </c>
      <c r="B1980" s="2"/>
      <c r="C1980" s="2"/>
      <c r="D1980" s="2"/>
      <c r="E1980" s="2"/>
      <c r="F1980" s="132">
        <v>0</v>
      </c>
      <c r="G1980" s="132"/>
      <c r="H1980" s="132">
        <f t="shared" si="227"/>
        <v>0</v>
      </c>
      <c r="I1980" s="132"/>
      <c r="J1980" s="132">
        <f t="shared" si="225"/>
        <v>0</v>
      </c>
      <c r="K1980" s="132">
        <f t="shared" si="228"/>
        <v>0</v>
      </c>
      <c r="L1980" s="132">
        <f t="shared" si="222"/>
        <v>0</v>
      </c>
      <c r="M1980" s="133"/>
      <c r="N1980" s="133">
        <f t="shared" si="226"/>
        <v>0</v>
      </c>
      <c r="O1980" s="134"/>
      <c r="P1980" s="133"/>
      <c r="Q1980" s="2"/>
      <c r="R1980" s="156">
        <f t="shared" si="223"/>
        <v>0</v>
      </c>
      <c r="S1980" s="156">
        <f t="shared" si="224"/>
        <v>0</v>
      </c>
      <c r="T1980" s="133"/>
      <c r="U1980" s="133"/>
      <c r="V1980" s="133"/>
      <c r="W1980" s="133"/>
      <c r="X1980" s="133"/>
      <c r="Y1980" s="133"/>
      <c r="Z1980" s="133"/>
      <c r="AA1980" s="133"/>
      <c r="AB1980" s="133"/>
      <c r="AC1980" s="133"/>
      <c r="AD1980" s="133"/>
      <c r="AE1980" s="133"/>
      <c r="AF1980" s="133"/>
      <c r="AG1980" s="133"/>
      <c r="AH1980" s="133"/>
      <c r="AI1980" s="133"/>
      <c r="AJ1980" s="133"/>
      <c r="AK1980" s="133"/>
      <c r="AL1980" s="133"/>
      <c r="AM1980" s="133"/>
      <c r="AN1980" s="133"/>
      <c r="AO1980" s="133"/>
      <c r="AP1980" s="133"/>
      <c r="AQ1980" s="133"/>
      <c r="AR1980" s="133"/>
      <c r="AS1980" s="153">
        <v>0</v>
      </c>
      <c r="AT1980" s="153">
        <v>0</v>
      </c>
      <c r="AU1980" s="153">
        <v>0</v>
      </c>
      <c r="AV1980" s="135"/>
      <c r="AW1980" s="135"/>
      <c r="AX1980" s="135"/>
      <c r="AY1980" s="135"/>
      <c r="AZ1980" s="135"/>
      <c r="BA1980" s="135"/>
      <c r="BB1980" s="135"/>
      <c r="BC1980" s="135"/>
      <c r="BD1980" s="135"/>
      <c r="BE1980" s="135"/>
      <c r="BF1980" s="135"/>
      <c r="BG1980" s="135"/>
      <c r="BH1980" s="135"/>
      <c r="BI1980" s="2"/>
      <c r="BJ1980" s="136"/>
      <c r="BK1980" s="2"/>
      <c r="BL1980" s="136"/>
      <c r="BM1980" s="136"/>
      <c r="BN1980" s="2"/>
      <c r="BO1980" s="2"/>
      <c r="BP1980" s="136"/>
      <c r="BQ1980" s="137"/>
    </row>
    <row r="1981" spans="1:69" ht="12.75" customHeight="1" x14ac:dyDescent="0.2">
      <c r="A1981" s="2">
        <v>3470</v>
      </c>
      <c r="B1981" s="2"/>
      <c r="C1981" s="2"/>
      <c r="D1981" s="2"/>
      <c r="E1981" s="2"/>
      <c r="F1981" s="132">
        <v>0</v>
      </c>
      <c r="G1981" s="132"/>
      <c r="H1981" s="132">
        <f t="shared" si="227"/>
        <v>0</v>
      </c>
      <c r="I1981" s="132"/>
      <c r="J1981" s="132">
        <f t="shared" si="225"/>
        <v>0</v>
      </c>
      <c r="K1981" s="132">
        <f t="shared" si="228"/>
        <v>0</v>
      </c>
      <c r="L1981" s="132">
        <f t="shared" si="222"/>
        <v>0</v>
      </c>
      <c r="M1981" s="133"/>
      <c r="N1981" s="133">
        <f t="shared" si="226"/>
        <v>0</v>
      </c>
      <c r="O1981" s="134"/>
      <c r="P1981" s="133"/>
      <c r="Q1981" s="2"/>
      <c r="R1981" s="156">
        <f t="shared" si="223"/>
        <v>0</v>
      </c>
      <c r="S1981" s="156">
        <f t="shared" si="224"/>
        <v>0</v>
      </c>
      <c r="T1981" s="133"/>
      <c r="U1981" s="133"/>
      <c r="V1981" s="133"/>
      <c r="W1981" s="133"/>
      <c r="X1981" s="133"/>
      <c r="Y1981" s="133"/>
      <c r="Z1981" s="133"/>
      <c r="AA1981" s="133"/>
      <c r="AB1981" s="133"/>
      <c r="AC1981" s="133"/>
      <c r="AD1981" s="133"/>
      <c r="AE1981" s="133"/>
      <c r="AF1981" s="133"/>
      <c r="AG1981" s="133"/>
      <c r="AH1981" s="133"/>
      <c r="AI1981" s="133"/>
      <c r="AJ1981" s="133"/>
      <c r="AK1981" s="133"/>
      <c r="AL1981" s="133"/>
      <c r="AM1981" s="133"/>
      <c r="AN1981" s="133"/>
      <c r="AO1981" s="133"/>
      <c r="AP1981" s="133"/>
      <c r="AQ1981" s="133"/>
      <c r="AR1981" s="133"/>
      <c r="AS1981" s="153">
        <v>0</v>
      </c>
      <c r="AT1981" s="153">
        <v>0</v>
      </c>
      <c r="AU1981" s="153">
        <v>0</v>
      </c>
      <c r="AV1981" s="135"/>
      <c r="AW1981" s="135"/>
      <c r="AX1981" s="135"/>
      <c r="AY1981" s="135"/>
      <c r="AZ1981" s="135"/>
      <c r="BA1981" s="135"/>
      <c r="BB1981" s="135"/>
      <c r="BC1981" s="135"/>
      <c r="BD1981" s="135"/>
      <c r="BE1981" s="135"/>
      <c r="BF1981" s="135"/>
      <c r="BG1981" s="135"/>
      <c r="BH1981" s="135"/>
      <c r="BI1981" s="2"/>
      <c r="BJ1981" s="136"/>
      <c r="BK1981" s="2"/>
      <c r="BL1981" s="136"/>
      <c r="BM1981" s="136"/>
      <c r="BN1981" s="2"/>
      <c r="BO1981" s="2"/>
      <c r="BP1981" s="136"/>
      <c r="BQ1981" s="137"/>
    </row>
    <row r="1982" spans="1:69" ht="12.75" customHeight="1" x14ac:dyDescent="0.2">
      <c r="A1982" s="2">
        <v>3471</v>
      </c>
      <c r="B1982" s="2"/>
      <c r="C1982" s="2"/>
      <c r="D1982" s="2"/>
      <c r="E1982" s="2"/>
      <c r="F1982" s="132">
        <v>0</v>
      </c>
      <c r="G1982" s="132"/>
      <c r="H1982" s="132">
        <f t="shared" si="227"/>
        <v>0</v>
      </c>
      <c r="I1982" s="132"/>
      <c r="J1982" s="132">
        <f t="shared" si="225"/>
        <v>0</v>
      </c>
      <c r="K1982" s="132">
        <f t="shared" si="228"/>
        <v>0</v>
      </c>
      <c r="L1982" s="132">
        <f t="shared" si="222"/>
        <v>0</v>
      </c>
      <c r="M1982" s="133"/>
      <c r="N1982" s="133">
        <f t="shared" si="226"/>
        <v>0</v>
      </c>
      <c r="O1982" s="134"/>
      <c r="P1982" s="133"/>
      <c r="Q1982" s="2"/>
      <c r="R1982" s="156">
        <f t="shared" si="223"/>
        <v>0</v>
      </c>
      <c r="S1982" s="156">
        <f t="shared" si="224"/>
        <v>0</v>
      </c>
      <c r="T1982" s="133"/>
      <c r="U1982" s="133"/>
      <c r="V1982" s="133"/>
      <c r="W1982" s="133"/>
      <c r="X1982" s="133"/>
      <c r="Y1982" s="133"/>
      <c r="Z1982" s="133"/>
      <c r="AA1982" s="133"/>
      <c r="AB1982" s="133"/>
      <c r="AC1982" s="133"/>
      <c r="AD1982" s="133"/>
      <c r="AE1982" s="133"/>
      <c r="AF1982" s="133"/>
      <c r="AG1982" s="133"/>
      <c r="AH1982" s="133"/>
      <c r="AI1982" s="133"/>
      <c r="AJ1982" s="133"/>
      <c r="AK1982" s="133"/>
      <c r="AL1982" s="133"/>
      <c r="AM1982" s="133"/>
      <c r="AN1982" s="133"/>
      <c r="AO1982" s="133"/>
      <c r="AP1982" s="133"/>
      <c r="AQ1982" s="133"/>
      <c r="AR1982" s="133"/>
      <c r="AS1982" s="153">
        <v>0</v>
      </c>
      <c r="AT1982" s="153">
        <v>0</v>
      </c>
      <c r="AU1982" s="153">
        <v>0</v>
      </c>
      <c r="AV1982" s="135"/>
      <c r="AW1982" s="135"/>
      <c r="AX1982" s="135"/>
      <c r="AY1982" s="135"/>
      <c r="AZ1982" s="135"/>
      <c r="BA1982" s="135"/>
      <c r="BB1982" s="135"/>
      <c r="BC1982" s="135"/>
      <c r="BD1982" s="135"/>
      <c r="BE1982" s="135"/>
      <c r="BF1982" s="135"/>
      <c r="BG1982" s="135"/>
      <c r="BH1982" s="135"/>
      <c r="BI1982" s="2"/>
      <c r="BJ1982" s="136"/>
      <c r="BK1982" s="2"/>
      <c r="BL1982" s="136"/>
      <c r="BM1982" s="136"/>
      <c r="BN1982" s="2"/>
      <c r="BO1982" s="2"/>
      <c r="BP1982" s="136"/>
      <c r="BQ1982" s="137"/>
    </row>
    <row r="1983" spans="1:69" ht="12.75" customHeight="1" x14ac:dyDescent="0.2">
      <c r="A1983" s="2">
        <v>3472</v>
      </c>
      <c r="B1983" s="2"/>
      <c r="C1983" s="2"/>
      <c r="D1983" s="2"/>
      <c r="E1983" s="2"/>
      <c r="F1983" s="132">
        <v>0</v>
      </c>
      <c r="G1983" s="132"/>
      <c r="H1983" s="132">
        <f t="shared" si="227"/>
        <v>0</v>
      </c>
      <c r="I1983" s="132"/>
      <c r="J1983" s="132">
        <f t="shared" si="225"/>
        <v>0</v>
      </c>
      <c r="K1983" s="132">
        <f t="shared" si="228"/>
        <v>0</v>
      </c>
      <c r="L1983" s="132">
        <f t="shared" si="222"/>
        <v>0</v>
      </c>
      <c r="M1983" s="133"/>
      <c r="N1983" s="133">
        <f t="shared" si="226"/>
        <v>0</v>
      </c>
      <c r="O1983" s="134"/>
      <c r="P1983" s="133"/>
      <c r="Q1983" s="2"/>
      <c r="R1983" s="156">
        <f t="shared" si="223"/>
        <v>0</v>
      </c>
      <c r="S1983" s="156">
        <f t="shared" si="224"/>
        <v>0</v>
      </c>
      <c r="T1983" s="133"/>
      <c r="U1983" s="133"/>
      <c r="V1983" s="133"/>
      <c r="W1983" s="133"/>
      <c r="X1983" s="133"/>
      <c r="Y1983" s="133"/>
      <c r="Z1983" s="133"/>
      <c r="AA1983" s="133"/>
      <c r="AB1983" s="133"/>
      <c r="AC1983" s="133"/>
      <c r="AD1983" s="133"/>
      <c r="AE1983" s="133"/>
      <c r="AF1983" s="133"/>
      <c r="AG1983" s="133"/>
      <c r="AH1983" s="133"/>
      <c r="AI1983" s="133"/>
      <c r="AJ1983" s="133"/>
      <c r="AK1983" s="133"/>
      <c r="AL1983" s="133"/>
      <c r="AM1983" s="133"/>
      <c r="AN1983" s="133"/>
      <c r="AO1983" s="133"/>
      <c r="AP1983" s="133"/>
      <c r="AQ1983" s="133"/>
      <c r="AR1983" s="133"/>
      <c r="AS1983" s="153">
        <v>0</v>
      </c>
      <c r="AT1983" s="153">
        <v>0</v>
      </c>
      <c r="AU1983" s="153">
        <v>0</v>
      </c>
      <c r="AV1983" s="135"/>
      <c r="AW1983" s="135"/>
      <c r="AX1983" s="135"/>
      <c r="AY1983" s="135"/>
      <c r="AZ1983" s="135"/>
      <c r="BA1983" s="135"/>
      <c r="BB1983" s="135"/>
      <c r="BC1983" s="135"/>
      <c r="BD1983" s="135"/>
      <c r="BE1983" s="135"/>
      <c r="BF1983" s="135"/>
      <c r="BG1983" s="135"/>
      <c r="BH1983" s="135"/>
      <c r="BI1983" s="2"/>
      <c r="BJ1983" s="136"/>
      <c r="BK1983" s="2"/>
      <c r="BL1983" s="136"/>
      <c r="BM1983" s="136"/>
      <c r="BN1983" s="2"/>
      <c r="BO1983" s="2"/>
      <c r="BP1983" s="136"/>
      <c r="BQ1983" s="137"/>
    </row>
    <row r="1984" spans="1:69" ht="12.75" customHeight="1" x14ac:dyDescent="0.2">
      <c r="A1984" s="2">
        <v>3473</v>
      </c>
      <c r="B1984" s="2"/>
      <c r="C1984" s="2"/>
      <c r="D1984" s="2"/>
      <c r="E1984" s="2"/>
      <c r="F1984" s="132">
        <v>0</v>
      </c>
      <c r="G1984" s="132"/>
      <c r="H1984" s="132">
        <f t="shared" si="227"/>
        <v>0</v>
      </c>
      <c r="I1984" s="132"/>
      <c r="J1984" s="132">
        <f t="shared" si="225"/>
        <v>0</v>
      </c>
      <c r="K1984" s="132">
        <f t="shared" si="228"/>
        <v>0</v>
      </c>
      <c r="L1984" s="132">
        <f t="shared" si="222"/>
        <v>0</v>
      </c>
      <c r="M1984" s="133"/>
      <c r="N1984" s="133">
        <f t="shared" si="226"/>
        <v>0</v>
      </c>
      <c r="O1984" s="134"/>
      <c r="P1984" s="133"/>
      <c r="Q1984" s="2"/>
      <c r="R1984" s="156">
        <f t="shared" si="223"/>
        <v>0</v>
      </c>
      <c r="S1984" s="156">
        <f t="shared" si="224"/>
        <v>0</v>
      </c>
      <c r="T1984" s="133"/>
      <c r="U1984" s="133"/>
      <c r="V1984" s="133"/>
      <c r="W1984" s="133"/>
      <c r="X1984" s="133"/>
      <c r="Y1984" s="133"/>
      <c r="Z1984" s="133"/>
      <c r="AA1984" s="133"/>
      <c r="AB1984" s="133"/>
      <c r="AC1984" s="133"/>
      <c r="AD1984" s="133"/>
      <c r="AE1984" s="133"/>
      <c r="AF1984" s="133"/>
      <c r="AG1984" s="133"/>
      <c r="AH1984" s="133"/>
      <c r="AI1984" s="133"/>
      <c r="AJ1984" s="133"/>
      <c r="AK1984" s="133"/>
      <c r="AL1984" s="133"/>
      <c r="AM1984" s="133"/>
      <c r="AN1984" s="133"/>
      <c r="AO1984" s="133"/>
      <c r="AP1984" s="133"/>
      <c r="AQ1984" s="133"/>
      <c r="AR1984" s="133"/>
      <c r="AS1984" s="153">
        <v>0</v>
      </c>
      <c r="AT1984" s="153">
        <v>0</v>
      </c>
      <c r="AU1984" s="153">
        <v>0</v>
      </c>
      <c r="AV1984" s="135"/>
      <c r="AW1984" s="135"/>
      <c r="AX1984" s="135"/>
      <c r="AY1984" s="135"/>
      <c r="AZ1984" s="135"/>
      <c r="BA1984" s="135"/>
      <c r="BB1984" s="135"/>
      <c r="BC1984" s="135"/>
      <c r="BD1984" s="135"/>
      <c r="BE1984" s="135"/>
      <c r="BF1984" s="135"/>
      <c r="BG1984" s="135"/>
      <c r="BH1984" s="135"/>
      <c r="BI1984" s="2"/>
      <c r="BJ1984" s="136"/>
      <c r="BK1984" s="2"/>
      <c r="BL1984" s="136"/>
      <c r="BM1984" s="136"/>
      <c r="BN1984" s="2"/>
      <c r="BO1984" s="2"/>
      <c r="BP1984" s="136"/>
      <c r="BQ1984" s="137"/>
    </row>
    <row r="1985" spans="1:69" ht="12.75" customHeight="1" x14ac:dyDescent="0.2">
      <c r="A1985" s="2">
        <v>3474</v>
      </c>
      <c r="B1985" s="2"/>
      <c r="C1985" s="2"/>
      <c r="D1985" s="2"/>
      <c r="E1985" s="2"/>
      <c r="F1985" s="132">
        <v>0</v>
      </c>
      <c r="G1985" s="132"/>
      <c r="H1985" s="132">
        <f t="shared" si="227"/>
        <v>0</v>
      </c>
      <c r="I1985" s="132"/>
      <c r="J1985" s="132">
        <f t="shared" si="225"/>
        <v>0</v>
      </c>
      <c r="K1985" s="132">
        <f t="shared" si="228"/>
        <v>0</v>
      </c>
      <c r="L1985" s="132">
        <f t="shared" si="222"/>
        <v>0</v>
      </c>
      <c r="M1985" s="133"/>
      <c r="N1985" s="133">
        <f t="shared" si="226"/>
        <v>0</v>
      </c>
      <c r="O1985" s="134"/>
      <c r="P1985" s="133"/>
      <c r="Q1985" s="2"/>
      <c r="R1985" s="156">
        <f t="shared" si="223"/>
        <v>0</v>
      </c>
      <c r="S1985" s="156">
        <f t="shared" si="224"/>
        <v>0</v>
      </c>
      <c r="T1985" s="133"/>
      <c r="U1985" s="133"/>
      <c r="V1985" s="133"/>
      <c r="W1985" s="133"/>
      <c r="X1985" s="133"/>
      <c r="Y1985" s="133"/>
      <c r="Z1985" s="133"/>
      <c r="AA1985" s="133"/>
      <c r="AB1985" s="133"/>
      <c r="AC1985" s="133"/>
      <c r="AD1985" s="133"/>
      <c r="AE1985" s="133"/>
      <c r="AF1985" s="133"/>
      <c r="AG1985" s="133"/>
      <c r="AH1985" s="133"/>
      <c r="AI1985" s="133"/>
      <c r="AJ1985" s="133"/>
      <c r="AK1985" s="133"/>
      <c r="AL1985" s="133"/>
      <c r="AM1985" s="133"/>
      <c r="AN1985" s="133"/>
      <c r="AO1985" s="133"/>
      <c r="AP1985" s="133"/>
      <c r="AQ1985" s="133"/>
      <c r="AR1985" s="133"/>
      <c r="AS1985" s="153">
        <v>0</v>
      </c>
      <c r="AT1985" s="153">
        <v>0</v>
      </c>
      <c r="AU1985" s="153">
        <v>0</v>
      </c>
      <c r="AV1985" s="135"/>
      <c r="AW1985" s="135"/>
      <c r="AX1985" s="135"/>
      <c r="AY1985" s="135"/>
      <c r="AZ1985" s="135"/>
      <c r="BA1985" s="135"/>
      <c r="BB1985" s="135"/>
      <c r="BC1985" s="135"/>
      <c r="BD1985" s="135"/>
      <c r="BE1985" s="135"/>
      <c r="BF1985" s="135"/>
      <c r="BG1985" s="135"/>
      <c r="BH1985" s="135"/>
      <c r="BI1985" s="2"/>
      <c r="BJ1985" s="136"/>
      <c r="BK1985" s="2"/>
      <c r="BL1985" s="136"/>
      <c r="BM1985" s="136"/>
      <c r="BN1985" s="2"/>
      <c r="BO1985" s="2"/>
      <c r="BP1985" s="136"/>
      <c r="BQ1985" s="137"/>
    </row>
    <row r="1986" spans="1:69" ht="12.75" customHeight="1" x14ac:dyDescent="0.2">
      <c r="A1986" s="2">
        <v>3475</v>
      </c>
      <c r="B1986" s="2"/>
      <c r="C1986" s="2"/>
      <c r="D1986" s="2"/>
      <c r="E1986" s="2"/>
      <c r="F1986" s="132">
        <v>0</v>
      </c>
      <c r="G1986" s="132"/>
      <c r="H1986" s="132">
        <f t="shared" si="227"/>
        <v>0</v>
      </c>
      <c r="I1986" s="132"/>
      <c r="J1986" s="132">
        <f t="shared" si="225"/>
        <v>0</v>
      </c>
      <c r="K1986" s="132">
        <f t="shared" si="228"/>
        <v>0</v>
      </c>
      <c r="L1986" s="132">
        <f t="shared" si="222"/>
        <v>0</v>
      </c>
      <c r="M1986" s="133"/>
      <c r="N1986" s="133">
        <f t="shared" si="226"/>
        <v>0</v>
      </c>
      <c r="O1986" s="134"/>
      <c r="P1986" s="133"/>
      <c r="Q1986" s="2"/>
      <c r="R1986" s="156">
        <f t="shared" si="223"/>
        <v>0</v>
      </c>
      <c r="S1986" s="156">
        <f t="shared" si="224"/>
        <v>0</v>
      </c>
      <c r="T1986" s="133"/>
      <c r="U1986" s="133"/>
      <c r="V1986" s="133"/>
      <c r="W1986" s="133"/>
      <c r="X1986" s="133"/>
      <c r="Y1986" s="133"/>
      <c r="Z1986" s="133"/>
      <c r="AA1986" s="133"/>
      <c r="AB1986" s="133"/>
      <c r="AC1986" s="133"/>
      <c r="AD1986" s="133"/>
      <c r="AE1986" s="133"/>
      <c r="AF1986" s="133"/>
      <c r="AG1986" s="133"/>
      <c r="AH1986" s="133"/>
      <c r="AI1986" s="133"/>
      <c r="AJ1986" s="133"/>
      <c r="AK1986" s="133"/>
      <c r="AL1986" s="133"/>
      <c r="AM1986" s="133"/>
      <c r="AN1986" s="133"/>
      <c r="AO1986" s="133"/>
      <c r="AP1986" s="133"/>
      <c r="AQ1986" s="133"/>
      <c r="AR1986" s="133"/>
      <c r="AS1986" s="153">
        <v>0</v>
      </c>
      <c r="AT1986" s="153">
        <v>0</v>
      </c>
      <c r="AU1986" s="153">
        <v>0</v>
      </c>
      <c r="AV1986" s="135"/>
      <c r="AW1986" s="135"/>
      <c r="AX1986" s="135"/>
      <c r="AY1986" s="135"/>
      <c r="AZ1986" s="135"/>
      <c r="BA1986" s="135"/>
      <c r="BB1986" s="135"/>
      <c r="BC1986" s="135"/>
      <c r="BD1986" s="135"/>
      <c r="BE1986" s="135"/>
      <c r="BF1986" s="135"/>
      <c r="BG1986" s="135"/>
      <c r="BH1986" s="135"/>
      <c r="BI1986" s="2"/>
      <c r="BJ1986" s="136"/>
      <c r="BK1986" s="2"/>
      <c r="BL1986" s="136"/>
      <c r="BM1986" s="136"/>
      <c r="BN1986" s="2"/>
      <c r="BO1986" s="2"/>
      <c r="BP1986" s="136"/>
      <c r="BQ1986" s="137"/>
    </row>
    <row r="1987" spans="1:69" ht="12.75" customHeight="1" x14ac:dyDescent="0.2">
      <c r="A1987" s="2">
        <v>3476</v>
      </c>
      <c r="B1987" s="2"/>
      <c r="C1987" s="2"/>
      <c r="D1987" s="2"/>
      <c r="E1987" s="2"/>
      <c r="F1987" s="132">
        <v>0</v>
      </c>
      <c r="G1987" s="132"/>
      <c r="H1987" s="132">
        <f t="shared" si="227"/>
        <v>0</v>
      </c>
      <c r="I1987" s="132"/>
      <c r="J1987" s="132">
        <f t="shared" si="225"/>
        <v>0</v>
      </c>
      <c r="K1987" s="132">
        <f t="shared" si="228"/>
        <v>0</v>
      </c>
      <c r="L1987" s="132">
        <f t="shared" si="222"/>
        <v>0</v>
      </c>
      <c r="M1987" s="133"/>
      <c r="N1987" s="133">
        <f t="shared" si="226"/>
        <v>0</v>
      </c>
      <c r="O1987" s="134"/>
      <c r="P1987" s="133"/>
      <c r="Q1987" s="2"/>
      <c r="R1987" s="156">
        <f t="shared" si="223"/>
        <v>0</v>
      </c>
      <c r="S1987" s="156">
        <f t="shared" si="224"/>
        <v>0</v>
      </c>
      <c r="T1987" s="133"/>
      <c r="U1987" s="133"/>
      <c r="V1987" s="133"/>
      <c r="W1987" s="133"/>
      <c r="X1987" s="133"/>
      <c r="Y1987" s="133"/>
      <c r="Z1987" s="133"/>
      <c r="AA1987" s="133"/>
      <c r="AB1987" s="133"/>
      <c r="AC1987" s="133"/>
      <c r="AD1987" s="133"/>
      <c r="AE1987" s="133"/>
      <c r="AF1987" s="133"/>
      <c r="AG1987" s="133"/>
      <c r="AH1987" s="133"/>
      <c r="AI1987" s="133"/>
      <c r="AJ1987" s="133"/>
      <c r="AK1987" s="133"/>
      <c r="AL1987" s="133"/>
      <c r="AM1987" s="133"/>
      <c r="AN1987" s="133"/>
      <c r="AO1987" s="133"/>
      <c r="AP1987" s="133"/>
      <c r="AQ1987" s="133"/>
      <c r="AR1987" s="133"/>
      <c r="AS1987" s="153">
        <v>0</v>
      </c>
      <c r="AT1987" s="153">
        <v>0</v>
      </c>
      <c r="AU1987" s="153">
        <v>0</v>
      </c>
      <c r="AV1987" s="135"/>
      <c r="AW1987" s="135"/>
      <c r="AX1987" s="135"/>
      <c r="AY1987" s="135"/>
      <c r="AZ1987" s="135"/>
      <c r="BA1987" s="135"/>
      <c r="BB1987" s="135"/>
      <c r="BC1987" s="135"/>
      <c r="BD1987" s="135"/>
      <c r="BE1987" s="135"/>
      <c r="BF1987" s="135"/>
      <c r="BG1987" s="135"/>
      <c r="BH1987" s="135"/>
      <c r="BI1987" s="2"/>
      <c r="BJ1987" s="136"/>
      <c r="BK1987" s="2"/>
      <c r="BL1987" s="136"/>
      <c r="BM1987" s="136"/>
      <c r="BN1987" s="2"/>
      <c r="BO1987" s="2"/>
      <c r="BP1987" s="136"/>
      <c r="BQ1987" s="137"/>
    </row>
    <row r="1988" spans="1:69" ht="12.75" customHeight="1" x14ac:dyDescent="0.2">
      <c r="A1988" s="2">
        <v>3477</v>
      </c>
      <c r="B1988" s="2"/>
      <c r="C1988" s="2"/>
      <c r="D1988" s="2"/>
      <c r="E1988" s="2"/>
      <c r="F1988" s="132">
        <v>0</v>
      </c>
      <c r="G1988" s="132"/>
      <c r="H1988" s="132">
        <f t="shared" si="227"/>
        <v>0</v>
      </c>
      <c r="I1988" s="132"/>
      <c r="J1988" s="132">
        <f t="shared" si="225"/>
        <v>0</v>
      </c>
      <c r="K1988" s="132">
        <f t="shared" si="228"/>
        <v>0</v>
      </c>
      <c r="L1988" s="132">
        <f t="shared" si="222"/>
        <v>0</v>
      </c>
      <c r="M1988" s="133"/>
      <c r="N1988" s="133">
        <f t="shared" si="226"/>
        <v>0</v>
      </c>
      <c r="O1988" s="134"/>
      <c r="P1988" s="133"/>
      <c r="Q1988" s="2"/>
      <c r="R1988" s="156">
        <f t="shared" si="223"/>
        <v>0</v>
      </c>
      <c r="S1988" s="156">
        <f t="shared" si="224"/>
        <v>0</v>
      </c>
      <c r="T1988" s="133"/>
      <c r="U1988" s="133"/>
      <c r="V1988" s="133"/>
      <c r="W1988" s="133"/>
      <c r="X1988" s="133"/>
      <c r="Y1988" s="133"/>
      <c r="Z1988" s="133"/>
      <c r="AA1988" s="133"/>
      <c r="AB1988" s="133"/>
      <c r="AC1988" s="133"/>
      <c r="AD1988" s="133"/>
      <c r="AE1988" s="133"/>
      <c r="AF1988" s="133"/>
      <c r="AG1988" s="133"/>
      <c r="AH1988" s="133"/>
      <c r="AI1988" s="133"/>
      <c r="AJ1988" s="133"/>
      <c r="AK1988" s="133"/>
      <c r="AL1988" s="133"/>
      <c r="AM1988" s="133"/>
      <c r="AN1988" s="133"/>
      <c r="AO1988" s="133"/>
      <c r="AP1988" s="133"/>
      <c r="AQ1988" s="133"/>
      <c r="AR1988" s="133"/>
      <c r="AS1988" s="153">
        <v>0</v>
      </c>
      <c r="AT1988" s="153">
        <v>0</v>
      </c>
      <c r="AU1988" s="153">
        <v>0</v>
      </c>
      <c r="AV1988" s="135"/>
      <c r="AW1988" s="135"/>
      <c r="AX1988" s="135"/>
      <c r="AY1988" s="135"/>
      <c r="AZ1988" s="135"/>
      <c r="BA1988" s="135"/>
      <c r="BB1988" s="135"/>
      <c r="BC1988" s="135"/>
      <c r="BD1988" s="135"/>
      <c r="BE1988" s="135"/>
      <c r="BF1988" s="135"/>
      <c r="BG1988" s="135"/>
      <c r="BH1988" s="135"/>
      <c r="BI1988" s="2"/>
      <c r="BJ1988" s="136"/>
      <c r="BK1988" s="2"/>
      <c r="BL1988" s="136"/>
      <c r="BM1988" s="136"/>
      <c r="BN1988" s="2"/>
      <c r="BO1988" s="2"/>
      <c r="BP1988" s="136"/>
      <c r="BQ1988" s="137"/>
    </row>
    <row r="1989" spans="1:69" ht="12.75" customHeight="1" x14ac:dyDescent="0.2">
      <c r="A1989" s="2">
        <v>3478</v>
      </c>
      <c r="B1989" s="2"/>
      <c r="C1989" s="2"/>
      <c r="D1989" s="2"/>
      <c r="E1989" s="2"/>
      <c r="F1989" s="132">
        <v>0</v>
      </c>
      <c r="G1989" s="132"/>
      <c r="H1989" s="132">
        <f t="shared" si="227"/>
        <v>0</v>
      </c>
      <c r="I1989" s="132"/>
      <c r="J1989" s="132">
        <f t="shared" si="225"/>
        <v>0</v>
      </c>
      <c r="K1989" s="132">
        <f t="shared" si="228"/>
        <v>0</v>
      </c>
      <c r="L1989" s="132">
        <f t="shared" si="222"/>
        <v>0</v>
      </c>
      <c r="M1989" s="133"/>
      <c r="N1989" s="133">
        <f t="shared" si="226"/>
        <v>0</v>
      </c>
      <c r="O1989" s="134"/>
      <c r="P1989" s="133"/>
      <c r="Q1989" s="2"/>
      <c r="R1989" s="156">
        <f t="shared" si="223"/>
        <v>0</v>
      </c>
      <c r="S1989" s="156">
        <f t="shared" si="224"/>
        <v>0</v>
      </c>
      <c r="T1989" s="133"/>
      <c r="U1989" s="133"/>
      <c r="V1989" s="133"/>
      <c r="W1989" s="133"/>
      <c r="X1989" s="133"/>
      <c r="Y1989" s="133"/>
      <c r="Z1989" s="133"/>
      <c r="AA1989" s="133"/>
      <c r="AB1989" s="133"/>
      <c r="AC1989" s="133"/>
      <c r="AD1989" s="133"/>
      <c r="AE1989" s="133"/>
      <c r="AF1989" s="133"/>
      <c r="AG1989" s="133"/>
      <c r="AH1989" s="133"/>
      <c r="AI1989" s="133"/>
      <c r="AJ1989" s="133"/>
      <c r="AK1989" s="133"/>
      <c r="AL1989" s="133"/>
      <c r="AM1989" s="133"/>
      <c r="AN1989" s="133"/>
      <c r="AO1989" s="133"/>
      <c r="AP1989" s="133"/>
      <c r="AQ1989" s="133"/>
      <c r="AR1989" s="133"/>
      <c r="AS1989" s="153">
        <v>0</v>
      </c>
      <c r="AT1989" s="153">
        <v>0</v>
      </c>
      <c r="AU1989" s="153">
        <v>0</v>
      </c>
      <c r="AV1989" s="135"/>
      <c r="AW1989" s="135"/>
      <c r="AX1989" s="135"/>
      <c r="AY1989" s="135"/>
      <c r="AZ1989" s="135"/>
      <c r="BA1989" s="135"/>
      <c r="BB1989" s="135"/>
      <c r="BC1989" s="135"/>
      <c r="BD1989" s="135"/>
      <c r="BE1989" s="135"/>
      <c r="BF1989" s="135"/>
      <c r="BG1989" s="135"/>
      <c r="BH1989" s="135"/>
      <c r="BI1989" s="2"/>
      <c r="BJ1989" s="136"/>
      <c r="BK1989" s="2"/>
      <c r="BL1989" s="136"/>
      <c r="BM1989" s="136"/>
      <c r="BN1989" s="2"/>
      <c r="BO1989" s="2"/>
      <c r="BP1989" s="136"/>
      <c r="BQ1989" s="137"/>
    </row>
    <row r="1990" spans="1:69" ht="12.75" customHeight="1" x14ac:dyDescent="0.2">
      <c r="A1990" s="2">
        <v>3479</v>
      </c>
      <c r="B1990" s="2"/>
      <c r="C1990" s="2"/>
      <c r="D1990" s="2"/>
      <c r="E1990" s="2"/>
      <c r="F1990" s="132">
        <v>0</v>
      </c>
      <c r="G1990" s="132"/>
      <c r="H1990" s="132">
        <f t="shared" si="227"/>
        <v>0</v>
      </c>
      <c r="I1990" s="132"/>
      <c r="J1990" s="132">
        <f t="shared" si="225"/>
        <v>0</v>
      </c>
      <c r="K1990" s="132">
        <f t="shared" si="228"/>
        <v>0</v>
      </c>
      <c r="L1990" s="132">
        <f t="shared" si="222"/>
        <v>0</v>
      </c>
      <c r="M1990" s="133"/>
      <c r="N1990" s="133">
        <f t="shared" si="226"/>
        <v>0</v>
      </c>
      <c r="O1990" s="134"/>
      <c r="P1990" s="133"/>
      <c r="Q1990" s="2"/>
      <c r="R1990" s="156">
        <f t="shared" si="223"/>
        <v>0</v>
      </c>
      <c r="S1990" s="156">
        <f t="shared" si="224"/>
        <v>0</v>
      </c>
      <c r="T1990" s="133"/>
      <c r="U1990" s="133"/>
      <c r="V1990" s="133"/>
      <c r="W1990" s="133"/>
      <c r="X1990" s="133"/>
      <c r="Y1990" s="133"/>
      <c r="Z1990" s="133"/>
      <c r="AA1990" s="133"/>
      <c r="AB1990" s="133"/>
      <c r="AC1990" s="133"/>
      <c r="AD1990" s="133"/>
      <c r="AE1990" s="133"/>
      <c r="AF1990" s="133"/>
      <c r="AG1990" s="133"/>
      <c r="AH1990" s="133"/>
      <c r="AI1990" s="133"/>
      <c r="AJ1990" s="133"/>
      <c r="AK1990" s="133"/>
      <c r="AL1990" s="133"/>
      <c r="AM1990" s="133"/>
      <c r="AN1990" s="133"/>
      <c r="AO1990" s="133"/>
      <c r="AP1990" s="133"/>
      <c r="AQ1990" s="133"/>
      <c r="AR1990" s="133"/>
      <c r="AS1990" s="153">
        <v>0</v>
      </c>
      <c r="AT1990" s="153">
        <v>0</v>
      </c>
      <c r="AU1990" s="153">
        <v>0</v>
      </c>
      <c r="AV1990" s="135"/>
      <c r="AW1990" s="135"/>
      <c r="AX1990" s="135"/>
      <c r="AY1990" s="135"/>
      <c r="AZ1990" s="135"/>
      <c r="BA1990" s="135"/>
      <c r="BB1990" s="135"/>
      <c r="BC1990" s="135"/>
      <c r="BD1990" s="135"/>
      <c r="BE1990" s="135"/>
      <c r="BF1990" s="135"/>
      <c r="BG1990" s="135"/>
      <c r="BH1990" s="135"/>
      <c r="BI1990" s="2"/>
      <c r="BJ1990" s="136"/>
      <c r="BK1990" s="2"/>
      <c r="BL1990" s="136"/>
      <c r="BM1990" s="136"/>
      <c r="BN1990" s="2"/>
      <c r="BO1990" s="2"/>
      <c r="BP1990" s="136"/>
      <c r="BQ1990" s="137"/>
    </row>
    <row r="1991" spans="1:69" ht="12.75" customHeight="1" x14ac:dyDescent="0.2">
      <c r="A1991" s="2">
        <v>3480</v>
      </c>
      <c r="B1991" s="2"/>
      <c r="C1991" s="2"/>
      <c r="D1991" s="2"/>
      <c r="E1991" s="2"/>
      <c r="F1991" s="132">
        <v>0</v>
      </c>
      <c r="G1991" s="132"/>
      <c r="H1991" s="132">
        <f t="shared" si="227"/>
        <v>0</v>
      </c>
      <c r="I1991" s="132"/>
      <c r="J1991" s="132">
        <f t="shared" si="225"/>
        <v>0</v>
      </c>
      <c r="K1991" s="132">
        <f t="shared" si="228"/>
        <v>0</v>
      </c>
      <c r="L1991" s="132">
        <f t="shared" si="222"/>
        <v>0</v>
      </c>
      <c r="M1991" s="133"/>
      <c r="N1991" s="133">
        <f t="shared" si="226"/>
        <v>0</v>
      </c>
      <c r="O1991" s="134"/>
      <c r="P1991" s="133"/>
      <c r="Q1991" s="2"/>
      <c r="R1991" s="156">
        <f t="shared" si="223"/>
        <v>0</v>
      </c>
      <c r="S1991" s="156">
        <f t="shared" si="224"/>
        <v>0</v>
      </c>
      <c r="T1991" s="133"/>
      <c r="U1991" s="133"/>
      <c r="V1991" s="133"/>
      <c r="W1991" s="133"/>
      <c r="X1991" s="133"/>
      <c r="Y1991" s="133"/>
      <c r="Z1991" s="133"/>
      <c r="AA1991" s="133"/>
      <c r="AB1991" s="133"/>
      <c r="AC1991" s="133"/>
      <c r="AD1991" s="133"/>
      <c r="AE1991" s="133"/>
      <c r="AF1991" s="133"/>
      <c r="AG1991" s="133"/>
      <c r="AH1991" s="133"/>
      <c r="AI1991" s="133"/>
      <c r="AJ1991" s="133"/>
      <c r="AK1991" s="133"/>
      <c r="AL1991" s="133"/>
      <c r="AM1991" s="133"/>
      <c r="AN1991" s="133"/>
      <c r="AO1991" s="133"/>
      <c r="AP1991" s="133"/>
      <c r="AQ1991" s="133"/>
      <c r="AR1991" s="133"/>
      <c r="AS1991" s="153">
        <v>0</v>
      </c>
      <c r="AT1991" s="153">
        <v>0</v>
      </c>
      <c r="AU1991" s="153">
        <v>0</v>
      </c>
      <c r="AV1991" s="135"/>
      <c r="AW1991" s="135"/>
      <c r="AX1991" s="135"/>
      <c r="AY1991" s="135"/>
      <c r="AZ1991" s="135"/>
      <c r="BA1991" s="135"/>
      <c r="BB1991" s="135"/>
      <c r="BC1991" s="135"/>
      <c r="BD1991" s="135"/>
      <c r="BE1991" s="135"/>
      <c r="BF1991" s="135"/>
      <c r="BG1991" s="135"/>
      <c r="BH1991" s="135"/>
      <c r="BI1991" s="2"/>
      <c r="BJ1991" s="136"/>
      <c r="BK1991" s="2"/>
      <c r="BL1991" s="136"/>
      <c r="BM1991" s="136"/>
      <c r="BN1991" s="2"/>
      <c r="BO1991" s="2"/>
      <c r="BP1991" s="136"/>
      <c r="BQ1991" s="137"/>
    </row>
    <row r="1992" spans="1:69" ht="12.75" customHeight="1" x14ac:dyDescent="0.2">
      <c r="A1992" s="2">
        <v>3481</v>
      </c>
      <c r="B1992" s="2"/>
      <c r="C1992" s="2"/>
      <c r="D1992" s="2"/>
      <c r="E1992" s="2"/>
      <c r="F1992" s="132">
        <v>0</v>
      </c>
      <c r="G1992" s="132"/>
      <c r="H1992" s="132">
        <f t="shared" si="227"/>
        <v>0</v>
      </c>
      <c r="I1992" s="132"/>
      <c r="J1992" s="132">
        <f t="shared" si="225"/>
        <v>0</v>
      </c>
      <c r="K1992" s="132">
        <f t="shared" si="228"/>
        <v>0</v>
      </c>
      <c r="L1992" s="132">
        <f t="shared" si="222"/>
        <v>0</v>
      </c>
      <c r="M1992" s="133"/>
      <c r="N1992" s="133">
        <f t="shared" si="226"/>
        <v>0</v>
      </c>
      <c r="O1992" s="134"/>
      <c r="P1992" s="133"/>
      <c r="Q1992" s="2"/>
      <c r="R1992" s="156">
        <f t="shared" si="223"/>
        <v>0</v>
      </c>
      <c r="S1992" s="156">
        <f t="shared" si="224"/>
        <v>0</v>
      </c>
      <c r="T1992" s="133"/>
      <c r="U1992" s="133"/>
      <c r="V1992" s="133"/>
      <c r="W1992" s="133"/>
      <c r="X1992" s="133"/>
      <c r="Y1992" s="133"/>
      <c r="Z1992" s="133"/>
      <c r="AA1992" s="133"/>
      <c r="AB1992" s="133"/>
      <c r="AC1992" s="133"/>
      <c r="AD1992" s="133"/>
      <c r="AE1992" s="133"/>
      <c r="AF1992" s="133"/>
      <c r="AG1992" s="133"/>
      <c r="AH1992" s="133"/>
      <c r="AI1992" s="133"/>
      <c r="AJ1992" s="133"/>
      <c r="AK1992" s="133"/>
      <c r="AL1992" s="133"/>
      <c r="AM1992" s="133"/>
      <c r="AN1992" s="133"/>
      <c r="AO1992" s="133"/>
      <c r="AP1992" s="133"/>
      <c r="AQ1992" s="133"/>
      <c r="AR1992" s="133"/>
      <c r="AS1992" s="153">
        <v>0</v>
      </c>
      <c r="AT1992" s="153">
        <v>0</v>
      </c>
      <c r="AU1992" s="153">
        <v>0</v>
      </c>
      <c r="AV1992" s="135"/>
      <c r="AW1992" s="135"/>
      <c r="AX1992" s="135"/>
      <c r="AY1992" s="135"/>
      <c r="AZ1992" s="135"/>
      <c r="BA1992" s="135"/>
      <c r="BB1992" s="135"/>
      <c r="BC1992" s="135"/>
      <c r="BD1992" s="135"/>
      <c r="BE1992" s="135"/>
      <c r="BF1992" s="135"/>
      <c r="BG1992" s="135"/>
      <c r="BH1992" s="135"/>
      <c r="BI1992" s="2"/>
      <c r="BJ1992" s="136"/>
      <c r="BK1992" s="2"/>
      <c r="BL1992" s="136"/>
      <c r="BM1992" s="136"/>
      <c r="BN1992" s="2"/>
      <c r="BO1992" s="2"/>
      <c r="BP1992" s="136"/>
      <c r="BQ1992" s="137"/>
    </row>
    <row r="1993" spans="1:69" ht="12.75" customHeight="1" x14ac:dyDescent="0.2">
      <c r="A1993" s="2">
        <v>3482</v>
      </c>
      <c r="B1993" s="2"/>
      <c r="C1993" s="2"/>
      <c r="D1993" s="2"/>
      <c r="E1993" s="2"/>
      <c r="F1993" s="132">
        <v>0</v>
      </c>
      <c r="G1993" s="132"/>
      <c r="H1993" s="132">
        <f t="shared" si="227"/>
        <v>0</v>
      </c>
      <c r="I1993" s="132"/>
      <c r="J1993" s="132">
        <f t="shared" si="225"/>
        <v>0</v>
      </c>
      <c r="K1993" s="132">
        <f t="shared" si="228"/>
        <v>0</v>
      </c>
      <c r="L1993" s="132">
        <f t="shared" si="222"/>
        <v>0</v>
      </c>
      <c r="M1993" s="133"/>
      <c r="N1993" s="133">
        <f t="shared" si="226"/>
        <v>0</v>
      </c>
      <c r="O1993" s="134"/>
      <c r="P1993" s="133"/>
      <c r="Q1993" s="2"/>
      <c r="R1993" s="156">
        <f t="shared" si="223"/>
        <v>0</v>
      </c>
      <c r="S1993" s="156">
        <f t="shared" si="224"/>
        <v>0</v>
      </c>
      <c r="T1993" s="133"/>
      <c r="U1993" s="133"/>
      <c r="V1993" s="133"/>
      <c r="W1993" s="133"/>
      <c r="X1993" s="133"/>
      <c r="Y1993" s="133"/>
      <c r="Z1993" s="133"/>
      <c r="AA1993" s="133"/>
      <c r="AB1993" s="133"/>
      <c r="AC1993" s="133"/>
      <c r="AD1993" s="133"/>
      <c r="AE1993" s="133"/>
      <c r="AF1993" s="133"/>
      <c r="AG1993" s="133"/>
      <c r="AH1993" s="133"/>
      <c r="AI1993" s="133"/>
      <c r="AJ1993" s="133"/>
      <c r="AK1993" s="133"/>
      <c r="AL1993" s="133"/>
      <c r="AM1993" s="133"/>
      <c r="AN1993" s="133"/>
      <c r="AO1993" s="133"/>
      <c r="AP1993" s="133"/>
      <c r="AQ1993" s="133"/>
      <c r="AR1993" s="133"/>
      <c r="AS1993" s="153">
        <v>0</v>
      </c>
      <c r="AT1993" s="153">
        <v>0</v>
      </c>
      <c r="AU1993" s="153">
        <v>0</v>
      </c>
      <c r="AV1993" s="135"/>
      <c r="AW1993" s="135"/>
      <c r="AX1993" s="135"/>
      <c r="AY1993" s="135"/>
      <c r="AZ1993" s="135"/>
      <c r="BA1993" s="135"/>
      <c r="BB1993" s="135"/>
      <c r="BC1993" s="135"/>
      <c r="BD1993" s="135"/>
      <c r="BE1993" s="135"/>
      <c r="BF1993" s="135"/>
      <c r="BG1993" s="135"/>
      <c r="BH1993" s="135"/>
      <c r="BI1993" s="2"/>
      <c r="BJ1993" s="136"/>
      <c r="BK1993" s="2"/>
      <c r="BL1993" s="136"/>
      <c r="BM1993" s="136"/>
      <c r="BN1993" s="2"/>
      <c r="BO1993" s="2"/>
      <c r="BP1993" s="136"/>
      <c r="BQ1993" s="137"/>
    </row>
    <row r="1994" spans="1:69" ht="12.75" customHeight="1" x14ac:dyDescent="0.2">
      <c r="A1994" s="2">
        <v>3483</v>
      </c>
      <c r="B1994" s="2"/>
      <c r="C1994" s="2"/>
      <c r="D1994" s="2"/>
      <c r="E1994" s="2"/>
      <c r="F1994" s="132">
        <v>0</v>
      </c>
      <c r="G1994" s="132"/>
      <c r="H1994" s="132">
        <f t="shared" si="227"/>
        <v>0</v>
      </c>
      <c r="I1994" s="132"/>
      <c r="J1994" s="132">
        <f t="shared" si="225"/>
        <v>0</v>
      </c>
      <c r="K1994" s="132">
        <f t="shared" si="228"/>
        <v>0</v>
      </c>
      <c r="L1994" s="132">
        <f t="shared" si="222"/>
        <v>0</v>
      </c>
      <c r="M1994" s="133"/>
      <c r="N1994" s="133">
        <f t="shared" si="226"/>
        <v>0</v>
      </c>
      <c r="O1994" s="134"/>
      <c r="P1994" s="133"/>
      <c r="Q1994" s="2"/>
      <c r="R1994" s="156">
        <f t="shared" si="223"/>
        <v>0</v>
      </c>
      <c r="S1994" s="156">
        <f t="shared" si="224"/>
        <v>0</v>
      </c>
      <c r="T1994" s="133"/>
      <c r="U1994" s="133"/>
      <c r="V1994" s="133"/>
      <c r="W1994" s="133"/>
      <c r="X1994" s="133"/>
      <c r="Y1994" s="133"/>
      <c r="Z1994" s="133"/>
      <c r="AA1994" s="133"/>
      <c r="AB1994" s="133"/>
      <c r="AC1994" s="133"/>
      <c r="AD1994" s="133"/>
      <c r="AE1994" s="133"/>
      <c r="AF1994" s="133"/>
      <c r="AG1994" s="133"/>
      <c r="AH1994" s="133"/>
      <c r="AI1994" s="133"/>
      <c r="AJ1994" s="133"/>
      <c r="AK1994" s="133"/>
      <c r="AL1994" s="133"/>
      <c r="AM1994" s="133"/>
      <c r="AN1994" s="133"/>
      <c r="AO1994" s="133"/>
      <c r="AP1994" s="133"/>
      <c r="AQ1994" s="133"/>
      <c r="AR1994" s="133"/>
      <c r="AS1994" s="153">
        <v>0</v>
      </c>
      <c r="AT1994" s="153">
        <v>0</v>
      </c>
      <c r="AU1994" s="153">
        <v>0</v>
      </c>
      <c r="AV1994" s="135"/>
      <c r="AW1994" s="135"/>
      <c r="AX1994" s="135"/>
      <c r="AY1994" s="135"/>
      <c r="AZ1994" s="135"/>
      <c r="BA1994" s="135"/>
      <c r="BB1994" s="135"/>
      <c r="BC1994" s="135"/>
      <c r="BD1994" s="135"/>
      <c r="BE1994" s="135"/>
      <c r="BF1994" s="135"/>
      <c r="BG1994" s="135"/>
      <c r="BH1994" s="135"/>
      <c r="BI1994" s="2"/>
      <c r="BJ1994" s="136"/>
      <c r="BK1994" s="2"/>
      <c r="BL1994" s="136"/>
      <c r="BM1994" s="136"/>
      <c r="BN1994" s="2"/>
      <c r="BO1994" s="2"/>
      <c r="BP1994" s="136"/>
      <c r="BQ1994" s="137"/>
    </row>
    <row r="1995" spans="1:69" ht="12.75" customHeight="1" x14ac:dyDescent="0.2">
      <c r="A1995" s="2">
        <v>3484</v>
      </c>
      <c r="B1995" s="2"/>
      <c r="C1995" s="2"/>
      <c r="D1995" s="2"/>
      <c r="E1995" s="2"/>
      <c r="F1995" s="132">
        <v>0</v>
      </c>
      <c r="G1995" s="132"/>
      <c r="H1995" s="132">
        <f t="shared" si="227"/>
        <v>0</v>
      </c>
      <c r="I1995" s="132"/>
      <c r="J1995" s="132">
        <f t="shared" si="225"/>
        <v>0</v>
      </c>
      <c r="K1995" s="132">
        <f t="shared" si="228"/>
        <v>0</v>
      </c>
      <c r="L1995" s="132">
        <f t="shared" ref="L1995:L2058" si="229">H1995-J1995</f>
        <v>0</v>
      </c>
      <c r="M1995" s="133"/>
      <c r="N1995" s="133">
        <f t="shared" si="226"/>
        <v>0</v>
      </c>
      <c r="O1995" s="134"/>
      <c r="P1995" s="133"/>
      <c r="Q1995" s="2"/>
      <c r="R1995" s="156">
        <f t="shared" ref="R1995:R2058" si="230">T1995+V1995+X1995+Z1995+AB1995+AD1995+AF1995+AH1995+AJ1995+AL1995+AN1995+AP1995</f>
        <v>0</v>
      </c>
      <c r="S1995" s="156">
        <f t="shared" ref="S1995:S2058" si="231">U1995+W1995+Y1995+AA1995+AC1995+AE1995+AG1995+AI1995+AK1995+AM1995+AO1995+AQ1995</f>
        <v>0</v>
      </c>
      <c r="T1995" s="133"/>
      <c r="U1995" s="133"/>
      <c r="V1995" s="133"/>
      <c r="W1995" s="133"/>
      <c r="X1995" s="133"/>
      <c r="Y1995" s="133"/>
      <c r="Z1995" s="133"/>
      <c r="AA1995" s="133"/>
      <c r="AB1995" s="133"/>
      <c r="AC1995" s="133"/>
      <c r="AD1995" s="133"/>
      <c r="AE1995" s="133"/>
      <c r="AF1995" s="133"/>
      <c r="AG1995" s="133"/>
      <c r="AH1995" s="133"/>
      <c r="AI1995" s="133"/>
      <c r="AJ1995" s="133"/>
      <c r="AK1995" s="133"/>
      <c r="AL1995" s="133"/>
      <c r="AM1995" s="133"/>
      <c r="AN1995" s="133"/>
      <c r="AO1995" s="133"/>
      <c r="AP1995" s="133"/>
      <c r="AQ1995" s="133"/>
      <c r="AR1995" s="133"/>
      <c r="AS1995" s="153">
        <v>0</v>
      </c>
      <c r="AT1995" s="153">
        <v>0</v>
      </c>
      <c r="AU1995" s="153">
        <v>0</v>
      </c>
      <c r="AV1995" s="135"/>
      <c r="AW1995" s="135"/>
      <c r="AX1995" s="135"/>
      <c r="AY1995" s="135"/>
      <c r="AZ1995" s="135"/>
      <c r="BA1995" s="135"/>
      <c r="BB1995" s="135"/>
      <c r="BC1995" s="135"/>
      <c r="BD1995" s="135"/>
      <c r="BE1995" s="135"/>
      <c r="BF1995" s="135"/>
      <c r="BG1995" s="135"/>
      <c r="BH1995" s="135"/>
      <c r="BI1995" s="2"/>
      <c r="BJ1995" s="136"/>
      <c r="BK1995" s="2"/>
      <c r="BL1995" s="136"/>
      <c r="BM1995" s="136"/>
      <c r="BN1995" s="2"/>
      <c r="BO1995" s="2"/>
      <c r="BP1995" s="136"/>
      <c r="BQ1995" s="137"/>
    </row>
    <row r="1996" spans="1:69" ht="12.75" customHeight="1" x14ac:dyDescent="0.2">
      <c r="A1996" s="2">
        <v>3485</v>
      </c>
      <c r="B1996" s="2"/>
      <c r="C1996" s="2"/>
      <c r="D1996" s="2"/>
      <c r="E1996" s="2"/>
      <c r="F1996" s="132">
        <v>0</v>
      </c>
      <c r="G1996" s="132"/>
      <c r="H1996" s="132">
        <f t="shared" si="227"/>
        <v>0</v>
      </c>
      <c r="I1996" s="132"/>
      <c r="J1996" s="132">
        <f t="shared" si="225"/>
        <v>0</v>
      </c>
      <c r="K1996" s="132">
        <f t="shared" si="228"/>
        <v>0</v>
      </c>
      <c r="L1996" s="132">
        <f t="shared" si="229"/>
        <v>0</v>
      </c>
      <c r="M1996" s="133"/>
      <c r="N1996" s="133">
        <f t="shared" si="226"/>
        <v>0</v>
      </c>
      <c r="O1996" s="134"/>
      <c r="P1996" s="133"/>
      <c r="Q1996" s="2"/>
      <c r="R1996" s="156">
        <f t="shared" si="230"/>
        <v>0</v>
      </c>
      <c r="S1996" s="156">
        <f t="shared" si="231"/>
        <v>0</v>
      </c>
      <c r="T1996" s="133"/>
      <c r="U1996" s="133"/>
      <c r="V1996" s="133"/>
      <c r="W1996" s="133"/>
      <c r="X1996" s="133"/>
      <c r="Y1996" s="133"/>
      <c r="Z1996" s="133"/>
      <c r="AA1996" s="133"/>
      <c r="AB1996" s="133"/>
      <c r="AC1996" s="133"/>
      <c r="AD1996" s="133"/>
      <c r="AE1996" s="133"/>
      <c r="AF1996" s="133"/>
      <c r="AG1996" s="133"/>
      <c r="AH1996" s="133"/>
      <c r="AI1996" s="133"/>
      <c r="AJ1996" s="133"/>
      <c r="AK1996" s="133"/>
      <c r="AL1996" s="133"/>
      <c r="AM1996" s="133"/>
      <c r="AN1996" s="133"/>
      <c r="AO1996" s="133"/>
      <c r="AP1996" s="133"/>
      <c r="AQ1996" s="133"/>
      <c r="AR1996" s="133"/>
      <c r="AS1996" s="153">
        <v>0</v>
      </c>
      <c r="AT1996" s="153">
        <v>0</v>
      </c>
      <c r="AU1996" s="153">
        <v>0</v>
      </c>
      <c r="AV1996" s="135"/>
      <c r="AW1996" s="135"/>
      <c r="AX1996" s="135"/>
      <c r="AY1996" s="135"/>
      <c r="AZ1996" s="135"/>
      <c r="BA1996" s="135"/>
      <c r="BB1996" s="135"/>
      <c r="BC1996" s="135"/>
      <c r="BD1996" s="135"/>
      <c r="BE1996" s="135"/>
      <c r="BF1996" s="135"/>
      <c r="BG1996" s="135"/>
      <c r="BH1996" s="135"/>
      <c r="BI1996" s="2"/>
      <c r="BJ1996" s="136"/>
      <c r="BK1996" s="2"/>
      <c r="BL1996" s="136"/>
      <c r="BM1996" s="136"/>
      <c r="BN1996" s="2"/>
      <c r="BO1996" s="2"/>
      <c r="BP1996" s="136"/>
      <c r="BQ1996" s="137"/>
    </row>
    <row r="1997" spans="1:69" ht="12.75" customHeight="1" x14ac:dyDescent="0.2">
      <c r="A1997" s="2">
        <v>3486</v>
      </c>
      <c r="B1997" s="2"/>
      <c r="C1997" s="2"/>
      <c r="D1997" s="2"/>
      <c r="E1997" s="2"/>
      <c r="F1997" s="132">
        <v>0</v>
      </c>
      <c r="G1997" s="132"/>
      <c r="H1997" s="132">
        <f t="shared" si="227"/>
        <v>0</v>
      </c>
      <c r="I1997" s="132"/>
      <c r="J1997" s="132">
        <f t="shared" si="225"/>
        <v>0</v>
      </c>
      <c r="K1997" s="132">
        <f t="shared" si="228"/>
        <v>0</v>
      </c>
      <c r="L1997" s="132">
        <f t="shared" si="229"/>
        <v>0</v>
      </c>
      <c r="M1997" s="133"/>
      <c r="N1997" s="133">
        <f t="shared" si="226"/>
        <v>0</v>
      </c>
      <c r="O1997" s="134"/>
      <c r="P1997" s="133"/>
      <c r="Q1997" s="2"/>
      <c r="R1997" s="156">
        <f t="shared" si="230"/>
        <v>0</v>
      </c>
      <c r="S1997" s="156">
        <f t="shared" si="231"/>
        <v>0</v>
      </c>
      <c r="T1997" s="133"/>
      <c r="U1997" s="133"/>
      <c r="V1997" s="133"/>
      <c r="W1997" s="133"/>
      <c r="X1997" s="133"/>
      <c r="Y1997" s="133"/>
      <c r="Z1997" s="133"/>
      <c r="AA1997" s="133"/>
      <c r="AB1997" s="133"/>
      <c r="AC1997" s="133"/>
      <c r="AD1997" s="133"/>
      <c r="AE1997" s="133"/>
      <c r="AF1997" s="133"/>
      <c r="AG1997" s="133"/>
      <c r="AH1997" s="133"/>
      <c r="AI1997" s="133"/>
      <c r="AJ1997" s="133"/>
      <c r="AK1997" s="133"/>
      <c r="AL1997" s="133"/>
      <c r="AM1997" s="133"/>
      <c r="AN1997" s="133"/>
      <c r="AO1997" s="133"/>
      <c r="AP1997" s="133"/>
      <c r="AQ1997" s="133"/>
      <c r="AR1997" s="133"/>
      <c r="AS1997" s="153">
        <v>0</v>
      </c>
      <c r="AT1997" s="153">
        <v>0</v>
      </c>
      <c r="AU1997" s="153">
        <v>0</v>
      </c>
      <c r="AV1997" s="135"/>
      <c r="AW1997" s="135"/>
      <c r="AX1997" s="135"/>
      <c r="AY1997" s="135"/>
      <c r="AZ1997" s="135"/>
      <c r="BA1997" s="135"/>
      <c r="BB1997" s="135"/>
      <c r="BC1997" s="135"/>
      <c r="BD1997" s="135"/>
      <c r="BE1997" s="135"/>
      <c r="BF1997" s="135"/>
      <c r="BG1997" s="135"/>
      <c r="BH1997" s="135"/>
      <c r="BI1997" s="2"/>
      <c r="BJ1997" s="136"/>
      <c r="BK1997" s="2"/>
      <c r="BL1997" s="136"/>
      <c r="BM1997" s="136"/>
      <c r="BN1997" s="2"/>
      <c r="BO1997" s="2"/>
      <c r="BP1997" s="136"/>
      <c r="BQ1997" s="137"/>
    </row>
    <row r="1998" spans="1:69" ht="12.75" customHeight="1" x14ac:dyDescent="0.2">
      <c r="A1998" s="2">
        <v>3487</v>
      </c>
      <c r="B1998" s="2"/>
      <c r="C1998" s="2"/>
      <c r="D1998" s="2"/>
      <c r="E1998" s="2"/>
      <c r="F1998" s="132">
        <v>0</v>
      </c>
      <c r="G1998" s="132"/>
      <c r="H1998" s="132">
        <f t="shared" si="227"/>
        <v>0</v>
      </c>
      <c r="I1998" s="132"/>
      <c r="J1998" s="132">
        <f t="shared" si="225"/>
        <v>0</v>
      </c>
      <c r="K1998" s="132">
        <f t="shared" si="228"/>
        <v>0</v>
      </c>
      <c r="L1998" s="132">
        <f t="shared" si="229"/>
        <v>0</v>
      </c>
      <c r="M1998" s="133"/>
      <c r="N1998" s="133">
        <f t="shared" si="226"/>
        <v>0</v>
      </c>
      <c r="O1998" s="134"/>
      <c r="P1998" s="133"/>
      <c r="Q1998" s="2"/>
      <c r="R1998" s="156">
        <f t="shared" si="230"/>
        <v>0</v>
      </c>
      <c r="S1998" s="156">
        <f t="shared" si="231"/>
        <v>0</v>
      </c>
      <c r="T1998" s="133"/>
      <c r="U1998" s="133"/>
      <c r="V1998" s="133"/>
      <c r="W1998" s="133"/>
      <c r="X1998" s="133"/>
      <c r="Y1998" s="133"/>
      <c r="Z1998" s="133"/>
      <c r="AA1998" s="133"/>
      <c r="AB1998" s="133"/>
      <c r="AC1998" s="133"/>
      <c r="AD1998" s="133"/>
      <c r="AE1998" s="133"/>
      <c r="AF1998" s="133"/>
      <c r="AG1998" s="133"/>
      <c r="AH1998" s="133"/>
      <c r="AI1998" s="133"/>
      <c r="AJ1998" s="133"/>
      <c r="AK1998" s="133"/>
      <c r="AL1998" s="133"/>
      <c r="AM1998" s="133"/>
      <c r="AN1998" s="133"/>
      <c r="AO1998" s="133"/>
      <c r="AP1998" s="133"/>
      <c r="AQ1998" s="133"/>
      <c r="AR1998" s="133"/>
      <c r="AS1998" s="153">
        <v>0</v>
      </c>
      <c r="AT1998" s="153">
        <v>0</v>
      </c>
      <c r="AU1998" s="153">
        <v>0</v>
      </c>
      <c r="AV1998" s="135"/>
      <c r="AW1998" s="135"/>
      <c r="AX1998" s="135"/>
      <c r="AY1998" s="135"/>
      <c r="AZ1998" s="135"/>
      <c r="BA1998" s="135"/>
      <c r="BB1998" s="135"/>
      <c r="BC1998" s="135"/>
      <c r="BD1998" s="135"/>
      <c r="BE1998" s="135"/>
      <c r="BF1998" s="135"/>
      <c r="BG1998" s="135"/>
      <c r="BH1998" s="135"/>
      <c r="BI1998" s="2"/>
      <c r="BJ1998" s="136"/>
      <c r="BK1998" s="2"/>
      <c r="BL1998" s="136"/>
      <c r="BM1998" s="136"/>
      <c r="BN1998" s="2"/>
      <c r="BO1998" s="2"/>
      <c r="BP1998" s="136"/>
      <c r="BQ1998" s="137"/>
    </row>
    <row r="1999" spans="1:69" ht="12.75" customHeight="1" x14ac:dyDescent="0.2">
      <c r="A1999" s="2">
        <v>3488</v>
      </c>
      <c r="B1999" s="2"/>
      <c r="C1999" s="2"/>
      <c r="D1999" s="2"/>
      <c r="E1999" s="2"/>
      <c r="F1999" s="132">
        <v>0</v>
      </c>
      <c r="G1999" s="132"/>
      <c r="H1999" s="132">
        <f t="shared" si="227"/>
        <v>0</v>
      </c>
      <c r="I1999" s="132"/>
      <c r="J1999" s="132">
        <f t="shared" si="225"/>
        <v>0</v>
      </c>
      <c r="K1999" s="132">
        <f t="shared" si="228"/>
        <v>0</v>
      </c>
      <c r="L1999" s="132">
        <f t="shared" si="229"/>
        <v>0</v>
      </c>
      <c r="M1999" s="133"/>
      <c r="N1999" s="133">
        <f t="shared" si="226"/>
        <v>0</v>
      </c>
      <c r="O1999" s="134"/>
      <c r="P1999" s="133"/>
      <c r="Q1999" s="2"/>
      <c r="R1999" s="156">
        <f t="shared" si="230"/>
        <v>0</v>
      </c>
      <c r="S1999" s="156">
        <f t="shared" si="231"/>
        <v>0</v>
      </c>
      <c r="T1999" s="133"/>
      <c r="U1999" s="133"/>
      <c r="V1999" s="133"/>
      <c r="W1999" s="133"/>
      <c r="X1999" s="133"/>
      <c r="Y1999" s="133"/>
      <c r="Z1999" s="133"/>
      <c r="AA1999" s="133"/>
      <c r="AB1999" s="133"/>
      <c r="AC1999" s="133"/>
      <c r="AD1999" s="133"/>
      <c r="AE1999" s="133"/>
      <c r="AF1999" s="133"/>
      <c r="AG1999" s="133"/>
      <c r="AH1999" s="133"/>
      <c r="AI1999" s="133"/>
      <c r="AJ1999" s="133"/>
      <c r="AK1999" s="133"/>
      <c r="AL1999" s="133"/>
      <c r="AM1999" s="133"/>
      <c r="AN1999" s="133"/>
      <c r="AO1999" s="133"/>
      <c r="AP1999" s="133"/>
      <c r="AQ1999" s="133"/>
      <c r="AR1999" s="133"/>
      <c r="AS1999" s="153">
        <v>0</v>
      </c>
      <c r="AT1999" s="153">
        <v>0</v>
      </c>
      <c r="AU1999" s="153">
        <v>0</v>
      </c>
      <c r="AV1999" s="135"/>
      <c r="AW1999" s="135"/>
      <c r="AX1999" s="135"/>
      <c r="AY1999" s="135"/>
      <c r="AZ1999" s="135"/>
      <c r="BA1999" s="135"/>
      <c r="BB1999" s="135"/>
      <c r="BC1999" s="135"/>
      <c r="BD1999" s="135"/>
      <c r="BE1999" s="135"/>
      <c r="BF1999" s="135"/>
      <c r="BG1999" s="135"/>
      <c r="BH1999" s="135"/>
      <c r="BI1999" s="2"/>
      <c r="BJ1999" s="136"/>
      <c r="BK1999" s="2"/>
      <c r="BL1999" s="136"/>
      <c r="BM1999" s="136"/>
      <c r="BN1999" s="2"/>
      <c r="BO1999" s="2"/>
      <c r="BP1999" s="136"/>
      <c r="BQ1999" s="137"/>
    </row>
    <row r="2000" spans="1:69" ht="12.75" customHeight="1" x14ac:dyDescent="0.2">
      <c r="A2000" s="2">
        <v>3489</v>
      </c>
      <c r="B2000" s="2"/>
      <c r="C2000" s="2"/>
      <c r="D2000" s="2"/>
      <c r="E2000" s="2"/>
      <c r="F2000" s="132">
        <v>0</v>
      </c>
      <c r="G2000" s="132"/>
      <c r="H2000" s="132">
        <f t="shared" si="227"/>
        <v>0</v>
      </c>
      <c r="I2000" s="132"/>
      <c r="J2000" s="132">
        <f t="shared" si="225"/>
        <v>0</v>
      </c>
      <c r="K2000" s="132">
        <f t="shared" si="228"/>
        <v>0</v>
      </c>
      <c r="L2000" s="132">
        <f t="shared" si="229"/>
        <v>0</v>
      </c>
      <c r="M2000" s="133"/>
      <c r="N2000" s="133">
        <f t="shared" si="226"/>
        <v>0</v>
      </c>
      <c r="O2000" s="134"/>
      <c r="P2000" s="133"/>
      <c r="Q2000" s="2"/>
      <c r="R2000" s="156">
        <f t="shared" si="230"/>
        <v>0</v>
      </c>
      <c r="S2000" s="156">
        <f t="shared" si="231"/>
        <v>0</v>
      </c>
      <c r="T2000" s="133"/>
      <c r="U2000" s="133"/>
      <c r="V2000" s="133"/>
      <c r="W2000" s="133"/>
      <c r="X2000" s="133"/>
      <c r="Y2000" s="133"/>
      <c r="Z2000" s="133"/>
      <c r="AA2000" s="133"/>
      <c r="AB2000" s="133"/>
      <c r="AC2000" s="133"/>
      <c r="AD2000" s="133"/>
      <c r="AE2000" s="133"/>
      <c r="AF2000" s="133"/>
      <c r="AG2000" s="133"/>
      <c r="AH2000" s="133"/>
      <c r="AI2000" s="133"/>
      <c r="AJ2000" s="133"/>
      <c r="AK2000" s="133"/>
      <c r="AL2000" s="133"/>
      <c r="AM2000" s="133"/>
      <c r="AN2000" s="133"/>
      <c r="AO2000" s="133"/>
      <c r="AP2000" s="133"/>
      <c r="AQ2000" s="133"/>
      <c r="AR2000" s="133"/>
      <c r="AS2000" s="153">
        <v>0</v>
      </c>
      <c r="AT2000" s="153">
        <v>0</v>
      </c>
      <c r="AU2000" s="153">
        <v>0</v>
      </c>
      <c r="AV2000" s="135"/>
      <c r="AW2000" s="135"/>
      <c r="AX2000" s="135"/>
      <c r="AY2000" s="135"/>
      <c r="AZ2000" s="135"/>
      <c r="BA2000" s="135"/>
      <c r="BB2000" s="135"/>
      <c r="BC2000" s="135"/>
      <c r="BD2000" s="135"/>
      <c r="BE2000" s="135"/>
      <c r="BF2000" s="135"/>
      <c r="BG2000" s="135"/>
      <c r="BH2000" s="135"/>
      <c r="BI2000" s="2"/>
      <c r="BJ2000" s="136"/>
      <c r="BK2000" s="2"/>
      <c r="BL2000" s="136"/>
      <c r="BM2000" s="136"/>
      <c r="BN2000" s="2"/>
      <c r="BO2000" s="2"/>
      <c r="BP2000" s="136"/>
      <c r="BQ2000" s="137"/>
    </row>
    <row r="2001" spans="1:69" ht="12.75" customHeight="1" x14ac:dyDescent="0.2">
      <c r="A2001" s="2">
        <v>3490</v>
      </c>
      <c r="B2001" s="2"/>
      <c r="C2001" s="2"/>
      <c r="D2001" s="2"/>
      <c r="E2001" s="2"/>
      <c r="F2001" s="132">
        <v>0</v>
      </c>
      <c r="G2001" s="132"/>
      <c r="H2001" s="132">
        <f t="shared" si="227"/>
        <v>0</v>
      </c>
      <c r="I2001" s="132"/>
      <c r="J2001" s="132">
        <f t="shared" si="225"/>
        <v>0</v>
      </c>
      <c r="K2001" s="132">
        <f t="shared" si="228"/>
        <v>0</v>
      </c>
      <c r="L2001" s="132">
        <f t="shared" si="229"/>
        <v>0</v>
      </c>
      <c r="M2001" s="133"/>
      <c r="N2001" s="133">
        <f t="shared" si="226"/>
        <v>0</v>
      </c>
      <c r="O2001" s="134"/>
      <c r="P2001" s="133"/>
      <c r="Q2001" s="2"/>
      <c r="R2001" s="156">
        <f t="shared" si="230"/>
        <v>0</v>
      </c>
      <c r="S2001" s="156">
        <f t="shared" si="231"/>
        <v>0</v>
      </c>
      <c r="T2001" s="133"/>
      <c r="U2001" s="133"/>
      <c r="V2001" s="133"/>
      <c r="W2001" s="133"/>
      <c r="X2001" s="133"/>
      <c r="Y2001" s="133"/>
      <c r="Z2001" s="133"/>
      <c r="AA2001" s="133"/>
      <c r="AB2001" s="133"/>
      <c r="AC2001" s="133"/>
      <c r="AD2001" s="133"/>
      <c r="AE2001" s="133"/>
      <c r="AF2001" s="133"/>
      <c r="AG2001" s="133"/>
      <c r="AH2001" s="133"/>
      <c r="AI2001" s="133"/>
      <c r="AJ2001" s="133"/>
      <c r="AK2001" s="133"/>
      <c r="AL2001" s="133"/>
      <c r="AM2001" s="133"/>
      <c r="AN2001" s="133"/>
      <c r="AO2001" s="133"/>
      <c r="AP2001" s="133"/>
      <c r="AQ2001" s="133"/>
      <c r="AR2001" s="133"/>
      <c r="AS2001" s="153">
        <v>0</v>
      </c>
      <c r="AT2001" s="153">
        <v>0</v>
      </c>
      <c r="AU2001" s="153">
        <v>0</v>
      </c>
      <c r="AV2001" s="135"/>
      <c r="AW2001" s="135"/>
      <c r="AX2001" s="135"/>
      <c r="AY2001" s="135"/>
      <c r="AZ2001" s="135"/>
      <c r="BA2001" s="135"/>
      <c r="BB2001" s="135"/>
      <c r="BC2001" s="135"/>
      <c r="BD2001" s="135"/>
      <c r="BE2001" s="135"/>
      <c r="BF2001" s="135"/>
      <c r="BG2001" s="135"/>
      <c r="BH2001" s="135"/>
      <c r="BI2001" s="2"/>
      <c r="BJ2001" s="136"/>
      <c r="BK2001" s="2"/>
      <c r="BL2001" s="136"/>
      <c r="BM2001" s="136"/>
      <c r="BN2001" s="2"/>
      <c r="BO2001" s="2"/>
      <c r="BP2001" s="136"/>
      <c r="BQ2001" s="137"/>
    </row>
    <row r="2002" spans="1:69" ht="12.75" customHeight="1" x14ac:dyDescent="0.2">
      <c r="A2002" s="2">
        <v>3491</v>
      </c>
      <c r="B2002" s="2"/>
      <c r="C2002" s="2"/>
      <c r="D2002" s="2"/>
      <c r="E2002" s="2"/>
      <c r="F2002" s="132">
        <v>0</v>
      </c>
      <c r="G2002" s="132"/>
      <c r="H2002" s="132">
        <f t="shared" si="227"/>
        <v>0</v>
      </c>
      <c r="I2002" s="132"/>
      <c r="J2002" s="132">
        <f t="shared" si="225"/>
        <v>0</v>
      </c>
      <c r="K2002" s="132">
        <f t="shared" si="228"/>
        <v>0</v>
      </c>
      <c r="L2002" s="132">
        <f t="shared" si="229"/>
        <v>0</v>
      </c>
      <c r="M2002" s="133"/>
      <c r="N2002" s="133">
        <f t="shared" si="226"/>
        <v>0</v>
      </c>
      <c r="O2002" s="134"/>
      <c r="P2002" s="133"/>
      <c r="Q2002" s="2"/>
      <c r="R2002" s="156">
        <f t="shared" si="230"/>
        <v>0</v>
      </c>
      <c r="S2002" s="156">
        <f t="shared" si="231"/>
        <v>0</v>
      </c>
      <c r="T2002" s="133"/>
      <c r="U2002" s="133"/>
      <c r="V2002" s="133"/>
      <c r="W2002" s="133"/>
      <c r="X2002" s="133"/>
      <c r="Y2002" s="133"/>
      <c r="Z2002" s="133"/>
      <c r="AA2002" s="133"/>
      <c r="AB2002" s="133"/>
      <c r="AC2002" s="133"/>
      <c r="AD2002" s="133"/>
      <c r="AE2002" s="133"/>
      <c r="AF2002" s="133"/>
      <c r="AG2002" s="133"/>
      <c r="AH2002" s="133"/>
      <c r="AI2002" s="133"/>
      <c r="AJ2002" s="133"/>
      <c r="AK2002" s="133"/>
      <c r="AL2002" s="133"/>
      <c r="AM2002" s="133"/>
      <c r="AN2002" s="133"/>
      <c r="AO2002" s="133"/>
      <c r="AP2002" s="133"/>
      <c r="AQ2002" s="133"/>
      <c r="AR2002" s="133"/>
      <c r="AS2002" s="153">
        <v>0</v>
      </c>
      <c r="AT2002" s="153">
        <v>0</v>
      </c>
      <c r="AU2002" s="153">
        <v>0</v>
      </c>
      <c r="AV2002" s="135"/>
      <c r="AW2002" s="135"/>
      <c r="AX2002" s="135"/>
      <c r="AY2002" s="135"/>
      <c r="AZ2002" s="135"/>
      <c r="BA2002" s="135"/>
      <c r="BB2002" s="135"/>
      <c r="BC2002" s="135"/>
      <c r="BD2002" s="135"/>
      <c r="BE2002" s="135"/>
      <c r="BF2002" s="135"/>
      <c r="BG2002" s="135"/>
      <c r="BH2002" s="135"/>
      <c r="BI2002" s="2"/>
      <c r="BJ2002" s="136"/>
      <c r="BK2002" s="2"/>
      <c r="BL2002" s="136"/>
      <c r="BM2002" s="136"/>
      <c r="BN2002" s="2"/>
      <c r="BO2002" s="2"/>
      <c r="BP2002" s="136"/>
      <c r="BQ2002" s="137"/>
    </row>
    <row r="2003" spans="1:69" ht="12.75" customHeight="1" x14ac:dyDescent="0.2">
      <c r="A2003" s="2">
        <v>3492</v>
      </c>
      <c r="B2003" s="2"/>
      <c r="C2003" s="2"/>
      <c r="D2003" s="2"/>
      <c r="E2003" s="2"/>
      <c r="F2003" s="132">
        <v>0</v>
      </c>
      <c r="G2003" s="132"/>
      <c r="H2003" s="132">
        <f t="shared" si="227"/>
        <v>0</v>
      </c>
      <c r="I2003" s="132"/>
      <c r="J2003" s="132">
        <f t="shared" si="225"/>
        <v>0</v>
      </c>
      <c r="K2003" s="132">
        <f t="shared" si="228"/>
        <v>0</v>
      </c>
      <c r="L2003" s="132">
        <f t="shared" si="229"/>
        <v>0</v>
      </c>
      <c r="M2003" s="133"/>
      <c r="N2003" s="133">
        <f t="shared" si="226"/>
        <v>0</v>
      </c>
      <c r="O2003" s="134"/>
      <c r="P2003" s="133"/>
      <c r="Q2003" s="2"/>
      <c r="R2003" s="156">
        <f t="shared" si="230"/>
        <v>0</v>
      </c>
      <c r="S2003" s="156">
        <f t="shared" si="231"/>
        <v>0</v>
      </c>
      <c r="T2003" s="133"/>
      <c r="U2003" s="133"/>
      <c r="V2003" s="133"/>
      <c r="W2003" s="133"/>
      <c r="X2003" s="133"/>
      <c r="Y2003" s="133"/>
      <c r="Z2003" s="133"/>
      <c r="AA2003" s="133"/>
      <c r="AB2003" s="133"/>
      <c r="AC2003" s="133"/>
      <c r="AD2003" s="133"/>
      <c r="AE2003" s="133"/>
      <c r="AF2003" s="133"/>
      <c r="AG2003" s="133"/>
      <c r="AH2003" s="133"/>
      <c r="AI2003" s="133"/>
      <c r="AJ2003" s="133"/>
      <c r="AK2003" s="133"/>
      <c r="AL2003" s="133"/>
      <c r="AM2003" s="133"/>
      <c r="AN2003" s="133"/>
      <c r="AO2003" s="133"/>
      <c r="AP2003" s="133"/>
      <c r="AQ2003" s="133"/>
      <c r="AR2003" s="133"/>
      <c r="AS2003" s="153">
        <v>0</v>
      </c>
      <c r="AT2003" s="153">
        <v>0</v>
      </c>
      <c r="AU2003" s="153">
        <v>0</v>
      </c>
      <c r="AV2003" s="135"/>
      <c r="AW2003" s="135"/>
      <c r="AX2003" s="135"/>
      <c r="AY2003" s="135"/>
      <c r="AZ2003" s="135"/>
      <c r="BA2003" s="135"/>
      <c r="BB2003" s="135"/>
      <c r="BC2003" s="135"/>
      <c r="BD2003" s="135"/>
      <c r="BE2003" s="135"/>
      <c r="BF2003" s="135"/>
      <c r="BG2003" s="135"/>
      <c r="BH2003" s="135"/>
      <c r="BI2003" s="2"/>
      <c r="BJ2003" s="136"/>
      <c r="BK2003" s="2"/>
      <c r="BL2003" s="136"/>
      <c r="BM2003" s="136"/>
      <c r="BN2003" s="2"/>
      <c r="BO2003" s="2"/>
      <c r="BP2003" s="136"/>
      <c r="BQ2003" s="137"/>
    </row>
    <row r="2004" spans="1:69" ht="12.75" customHeight="1" x14ac:dyDescent="0.2">
      <c r="A2004" s="2">
        <v>3493</v>
      </c>
      <c r="B2004" s="2"/>
      <c r="C2004" s="2"/>
      <c r="D2004" s="2"/>
      <c r="E2004" s="2"/>
      <c r="F2004" s="132">
        <v>0</v>
      </c>
      <c r="G2004" s="132"/>
      <c r="H2004" s="132">
        <f t="shared" si="227"/>
        <v>0</v>
      </c>
      <c r="I2004" s="132"/>
      <c r="J2004" s="132">
        <f t="shared" si="225"/>
        <v>0</v>
      </c>
      <c r="K2004" s="132">
        <f t="shared" si="228"/>
        <v>0</v>
      </c>
      <c r="L2004" s="132">
        <f t="shared" si="229"/>
        <v>0</v>
      </c>
      <c r="M2004" s="133"/>
      <c r="N2004" s="133">
        <f t="shared" si="226"/>
        <v>0</v>
      </c>
      <c r="O2004" s="134"/>
      <c r="P2004" s="133"/>
      <c r="Q2004" s="2"/>
      <c r="R2004" s="156">
        <f t="shared" si="230"/>
        <v>0</v>
      </c>
      <c r="S2004" s="156">
        <f t="shared" si="231"/>
        <v>0</v>
      </c>
      <c r="T2004" s="133"/>
      <c r="U2004" s="133"/>
      <c r="V2004" s="133"/>
      <c r="W2004" s="133"/>
      <c r="X2004" s="133"/>
      <c r="Y2004" s="133"/>
      <c r="Z2004" s="133"/>
      <c r="AA2004" s="133"/>
      <c r="AB2004" s="133"/>
      <c r="AC2004" s="133"/>
      <c r="AD2004" s="133"/>
      <c r="AE2004" s="133"/>
      <c r="AF2004" s="133"/>
      <c r="AG2004" s="133"/>
      <c r="AH2004" s="133"/>
      <c r="AI2004" s="133"/>
      <c r="AJ2004" s="133"/>
      <c r="AK2004" s="133"/>
      <c r="AL2004" s="133"/>
      <c r="AM2004" s="133"/>
      <c r="AN2004" s="133"/>
      <c r="AO2004" s="133"/>
      <c r="AP2004" s="133"/>
      <c r="AQ2004" s="133"/>
      <c r="AR2004" s="133"/>
      <c r="AS2004" s="153">
        <v>0</v>
      </c>
      <c r="AT2004" s="153">
        <v>0</v>
      </c>
      <c r="AU2004" s="153">
        <v>0</v>
      </c>
      <c r="AV2004" s="135"/>
      <c r="AW2004" s="135"/>
      <c r="AX2004" s="135"/>
      <c r="AY2004" s="135"/>
      <c r="AZ2004" s="135"/>
      <c r="BA2004" s="135"/>
      <c r="BB2004" s="135"/>
      <c r="BC2004" s="135"/>
      <c r="BD2004" s="135"/>
      <c r="BE2004" s="135"/>
      <c r="BF2004" s="135"/>
      <c r="BG2004" s="135"/>
      <c r="BH2004" s="135"/>
      <c r="BI2004" s="2"/>
      <c r="BJ2004" s="136"/>
      <c r="BK2004" s="2"/>
      <c r="BL2004" s="136"/>
      <c r="BM2004" s="136"/>
      <c r="BN2004" s="2"/>
      <c r="BO2004" s="2"/>
      <c r="BP2004" s="136"/>
      <c r="BQ2004" s="137"/>
    </row>
    <row r="2005" spans="1:69" ht="12.75" customHeight="1" x14ac:dyDescent="0.2">
      <c r="A2005" s="2">
        <v>3494</v>
      </c>
      <c r="B2005" s="2"/>
      <c r="C2005" s="2"/>
      <c r="D2005" s="2"/>
      <c r="E2005" s="2"/>
      <c r="F2005" s="132">
        <v>0</v>
      </c>
      <c r="G2005" s="132"/>
      <c r="H2005" s="132">
        <f t="shared" si="227"/>
        <v>0</v>
      </c>
      <c r="I2005" s="132"/>
      <c r="J2005" s="132">
        <f t="shared" si="225"/>
        <v>0</v>
      </c>
      <c r="K2005" s="132">
        <f t="shared" si="228"/>
        <v>0</v>
      </c>
      <c r="L2005" s="132">
        <f t="shared" si="229"/>
        <v>0</v>
      </c>
      <c r="M2005" s="133"/>
      <c r="N2005" s="133">
        <f t="shared" si="226"/>
        <v>0</v>
      </c>
      <c r="O2005" s="134"/>
      <c r="P2005" s="133"/>
      <c r="Q2005" s="2"/>
      <c r="R2005" s="156">
        <f t="shared" si="230"/>
        <v>0</v>
      </c>
      <c r="S2005" s="156">
        <f t="shared" si="231"/>
        <v>0</v>
      </c>
      <c r="T2005" s="133"/>
      <c r="U2005" s="133"/>
      <c r="V2005" s="133"/>
      <c r="W2005" s="133"/>
      <c r="X2005" s="133"/>
      <c r="Y2005" s="133"/>
      <c r="Z2005" s="133"/>
      <c r="AA2005" s="133"/>
      <c r="AB2005" s="133"/>
      <c r="AC2005" s="133"/>
      <c r="AD2005" s="133"/>
      <c r="AE2005" s="133"/>
      <c r="AF2005" s="133"/>
      <c r="AG2005" s="133"/>
      <c r="AH2005" s="133"/>
      <c r="AI2005" s="133"/>
      <c r="AJ2005" s="133"/>
      <c r="AK2005" s="133"/>
      <c r="AL2005" s="133"/>
      <c r="AM2005" s="133"/>
      <c r="AN2005" s="133"/>
      <c r="AO2005" s="133"/>
      <c r="AP2005" s="133"/>
      <c r="AQ2005" s="133"/>
      <c r="AR2005" s="133"/>
      <c r="AS2005" s="153">
        <v>0</v>
      </c>
      <c r="AT2005" s="153">
        <v>0</v>
      </c>
      <c r="AU2005" s="153">
        <v>0</v>
      </c>
      <c r="AV2005" s="135"/>
      <c r="AW2005" s="135"/>
      <c r="AX2005" s="135"/>
      <c r="AY2005" s="135"/>
      <c r="AZ2005" s="135"/>
      <c r="BA2005" s="135"/>
      <c r="BB2005" s="135"/>
      <c r="BC2005" s="135"/>
      <c r="BD2005" s="135"/>
      <c r="BE2005" s="135"/>
      <c r="BF2005" s="135"/>
      <c r="BG2005" s="135"/>
      <c r="BH2005" s="135"/>
      <c r="BI2005" s="2"/>
      <c r="BJ2005" s="136"/>
      <c r="BK2005" s="2"/>
      <c r="BL2005" s="136"/>
      <c r="BM2005" s="136"/>
      <c r="BN2005" s="2"/>
      <c r="BO2005" s="2"/>
      <c r="BP2005" s="136"/>
      <c r="BQ2005" s="137"/>
    </row>
    <row r="2006" spans="1:69" ht="12.75" customHeight="1" x14ac:dyDescent="0.2">
      <c r="A2006" s="2">
        <v>3495</v>
      </c>
      <c r="B2006" s="2"/>
      <c r="C2006" s="2"/>
      <c r="D2006" s="2"/>
      <c r="E2006" s="2"/>
      <c r="F2006" s="132">
        <v>0</v>
      </c>
      <c r="G2006" s="132"/>
      <c r="H2006" s="132">
        <f t="shared" si="227"/>
        <v>0</v>
      </c>
      <c r="I2006" s="132"/>
      <c r="J2006" s="132">
        <f t="shared" si="225"/>
        <v>0</v>
      </c>
      <c r="K2006" s="132">
        <f t="shared" si="228"/>
        <v>0</v>
      </c>
      <c r="L2006" s="132">
        <f t="shared" si="229"/>
        <v>0</v>
      </c>
      <c r="M2006" s="133"/>
      <c r="N2006" s="133">
        <f t="shared" si="226"/>
        <v>0</v>
      </c>
      <c r="O2006" s="134"/>
      <c r="P2006" s="133"/>
      <c r="Q2006" s="2"/>
      <c r="R2006" s="156">
        <f t="shared" si="230"/>
        <v>0</v>
      </c>
      <c r="S2006" s="156">
        <f t="shared" si="231"/>
        <v>0</v>
      </c>
      <c r="T2006" s="133"/>
      <c r="U2006" s="133"/>
      <c r="V2006" s="133"/>
      <c r="W2006" s="133"/>
      <c r="X2006" s="133"/>
      <c r="Y2006" s="133"/>
      <c r="Z2006" s="133"/>
      <c r="AA2006" s="133"/>
      <c r="AB2006" s="133"/>
      <c r="AC2006" s="133"/>
      <c r="AD2006" s="133"/>
      <c r="AE2006" s="133"/>
      <c r="AF2006" s="133"/>
      <c r="AG2006" s="133"/>
      <c r="AH2006" s="133"/>
      <c r="AI2006" s="133"/>
      <c r="AJ2006" s="133"/>
      <c r="AK2006" s="133"/>
      <c r="AL2006" s="133"/>
      <c r="AM2006" s="133"/>
      <c r="AN2006" s="133"/>
      <c r="AO2006" s="133"/>
      <c r="AP2006" s="133"/>
      <c r="AQ2006" s="133"/>
      <c r="AR2006" s="133"/>
      <c r="AS2006" s="153">
        <v>0</v>
      </c>
      <c r="AT2006" s="153">
        <v>0</v>
      </c>
      <c r="AU2006" s="153">
        <v>0</v>
      </c>
      <c r="AV2006" s="135"/>
      <c r="AW2006" s="135"/>
      <c r="AX2006" s="135"/>
      <c r="AY2006" s="135"/>
      <c r="AZ2006" s="135"/>
      <c r="BA2006" s="135"/>
      <c r="BB2006" s="135"/>
      <c r="BC2006" s="135"/>
      <c r="BD2006" s="135"/>
      <c r="BE2006" s="135"/>
      <c r="BF2006" s="135"/>
      <c r="BG2006" s="135"/>
      <c r="BH2006" s="135"/>
      <c r="BI2006" s="2"/>
      <c r="BJ2006" s="136"/>
      <c r="BK2006" s="2"/>
      <c r="BL2006" s="136"/>
      <c r="BM2006" s="136"/>
      <c r="BN2006" s="2"/>
      <c r="BO2006" s="2"/>
      <c r="BP2006" s="136"/>
      <c r="BQ2006" s="137"/>
    </row>
    <row r="2007" spans="1:69" ht="12.75" customHeight="1" x14ac:dyDescent="0.2">
      <c r="A2007" s="2">
        <v>3496</v>
      </c>
      <c r="B2007" s="2"/>
      <c r="C2007" s="2"/>
      <c r="D2007" s="2"/>
      <c r="E2007" s="2"/>
      <c r="F2007" s="132">
        <v>0</v>
      </c>
      <c r="G2007" s="132"/>
      <c r="H2007" s="132">
        <f t="shared" si="227"/>
        <v>0</v>
      </c>
      <c r="I2007" s="132"/>
      <c r="J2007" s="132">
        <f t="shared" si="225"/>
        <v>0</v>
      </c>
      <c r="K2007" s="132">
        <f t="shared" si="228"/>
        <v>0</v>
      </c>
      <c r="L2007" s="132">
        <f t="shared" si="229"/>
        <v>0</v>
      </c>
      <c r="M2007" s="133"/>
      <c r="N2007" s="133">
        <f t="shared" si="226"/>
        <v>0</v>
      </c>
      <c r="O2007" s="134"/>
      <c r="P2007" s="133"/>
      <c r="Q2007" s="2"/>
      <c r="R2007" s="156">
        <f t="shared" si="230"/>
        <v>0</v>
      </c>
      <c r="S2007" s="156">
        <f t="shared" si="231"/>
        <v>0</v>
      </c>
      <c r="T2007" s="133"/>
      <c r="U2007" s="133"/>
      <c r="V2007" s="133"/>
      <c r="W2007" s="133"/>
      <c r="X2007" s="133"/>
      <c r="Y2007" s="133"/>
      <c r="Z2007" s="133"/>
      <c r="AA2007" s="133"/>
      <c r="AB2007" s="133"/>
      <c r="AC2007" s="133"/>
      <c r="AD2007" s="133"/>
      <c r="AE2007" s="133"/>
      <c r="AF2007" s="133"/>
      <c r="AG2007" s="133"/>
      <c r="AH2007" s="133"/>
      <c r="AI2007" s="133"/>
      <c r="AJ2007" s="133"/>
      <c r="AK2007" s="133"/>
      <c r="AL2007" s="133"/>
      <c r="AM2007" s="133"/>
      <c r="AN2007" s="133"/>
      <c r="AO2007" s="133"/>
      <c r="AP2007" s="133"/>
      <c r="AQ2007" s="133"/>
      <c r="AR2007" s="133"/>
      <c r="AS2007" s="153">
        <v>0</v>
      </c>
      <c r="AT2007" s="153">
        <v>0</v>
      </c>
      <c r="AU2007" s="153">
        <v>0</v>
      </c>
      <c r="AV2007" s="135"/>
      <c r="AW2007" s="135"/>
      <c r="AX2007" s="135"/>
      <c r="AY2007" s="135"/>
      <c r="AZ2007" s="135"/>
      <c r="BA2007" s="135"/>
      <c r="BB2007" s="135"/>
      <c r="BC2007" s="135"/>
      <c r="BD2007" s="135"/>
      <c r="BE2007" s="135"/>
      <c r="BF2007" s="135"/>
      <c r="BG2007" s="135"/>
      <c r="BH2007" s="135"/>
      <c r="BI2007" s="2"/>
      <c r="BJ2007" s="136"/>
      <c r="BK2007" s="2"/>
      <c r="BL2007" s="136"/>
      <c r="BM2007" s="136"/>
      <c r="BN2007" s="2"/>
      <c r="BO2007" s="2"/>
      <c r="BP2007" s="136"/>
      <c r="BQ2007" s="137"/>
    </row>
    <row r="2008" spans="1:69" ht="12.75" customHeight="1" x14ac:dyDescent="0.2">
      <c r="A2008" s="2">
        <v>3497</v>
      </c>
      <c r="B2008" s="2"/>
      <c r="C2008" s="2"/>
      <c r="D2008" s="2"/>
      <c r="E2008" s="2"/>
      <c r="F2008" s="132">
        <v>0</v>
      </c>
      <c r="G2008" s="132"/>
      <c r="H2008" s="132">
        <f t="shared" si="227"/>
        <v>0</v>
      </c>
      <c r="I2008" s="132"/>
      <c r="J2008" s="132">
        <f t="shared" si="225"/>
        <v>0</v>
      </c>
      <c r="K2008" s="132">
        <f t="shared" si="228"/>
        <v>0</v>
      </c>
      <c r="L2008" s="132">
        <f t="shared" si="229"/>
        <v>0</v>
      </c>
      <c r="M2008" s="133"/>
      <c r="N2008" s="133">
        <f t="shared" si="226"/>
        <v>0</v>
      </c>
      <c r="O2008" s="134"/>
      <c r="P2008" s="133"/>
      <c r="Q2008" s="2"/>
      <c r="R2008" s="156">
        <f t="shared" si="230"/>
        <v>0</v>
      </c>
      <c r="S2008" s="156">
        <f t="shared" si="231"/>
        <v>0</v>
      </c>
      <c r="T2008" s="133"/>
      <c r="U2008" s="133"/>
      <c r="V2008" s="133"/>
      <c r="W2008" s="133"/>
      <c r="X2008" s="133"/>
      <c r="Y2008" s="133"/>
      <c r="Z2008" s="133"/>
      <c r="AA2008" s="133"/>
      <c r="AB2008" s="133"/>
      <c r="AC2008" s="133"/>
      <c r="AD2008" s="133"/>
      <c r="AE2008" s="133"/>
      <c r="AF2008" s="133"/>
      <c r="AG2008" s="133"/>
      <c r="AH2008" s="133"/>
      <c r="AI2008" s="133"/>
      <c r="AJ2008" s="133"/>
      <c r="AK2008" s="133"/>
      <c r="AL2008" s="133"/>
      <c r="AM2008" s="133"/>
      <c r="AN2008" s="133"/>
      <c r="AO2008" s="133"/>
      <c r="AP2008" s="133"/>
      <c r="AQ2008" s="133"/>
      <c r="AR2008" s="133"/>
      <c r="AS2008" s="153">
        <v>0</v>
      </c>
      <c r="AT2008" s="153">
        <v>0</v>
      </c>
      <c r="AU2008" s="153">
        <v>0</v>
      </c>
      <c r="AV2008" s="135"/>
      <c r="AW2008" s="135"/>
      <c r="AX2008" s="135"/>
      <c r="AY2008" s="135"/>
      <c r="AZ2008" s="135"/>
      <c r="BA2008" s="135"/>
      <c r="BB2008" s="135"/>
      <c r="BC2008" s="135"/>
      <c r="BD2008" s="135"/>
      <c r="BE2008" s="135"/>
      <c r="BF2008" s="135"/>
      <c r="BG2008" s="135"/>
      <c r="BH2008" s="135"/>
      <c r="BI2008" s="2"/>
      <c r="BJ2008" s="136"/>
      <c r="BK2008" s="2"/>
      <c r="BL2008" s="136"/>
      <c r="BM2008" s="136"/>
      <c r="BN2008" s="2"/>
      <c r="BO2008" s="2"/>
      <c r="BP2008" s="136"/>
      <c r="BQ2008" s="137"/>
    </row>
    <row r="2009" spans="1:69" ht="12.75" customHeight="1" x14ac:dyDescent="0.2">
      <c r="A2009" s="2">
        <v>3498</v>
      </c>
      <c r="B2009" s="2"/>
      <c r="C2009" s="2"/>
      <c r="D2009" s="2"/>
      <c r="E2009" s="2"/>
      <c r="F2009" s="132">
        <v>0</v>
      </c>
      <c r="G2009" s="132"/>
      <c r="H2009" s="132">
        <f t="shared" si="227"/>
        <v>0</v>
      </c>
      <c r="I2009" s="132"/>
      <c r="J2009" s="132">
        <f t="shared" si="225"/>
        <v>0</v>
      </c>
      <c r="K2009" s="132">
        <f t="shared" si="228"/>
        <v>0</v>
      </c>
      <c r="L2009" s="132">
        <f t="shared" si="229"/>
        <v>0</v>
      </c>
      <c r="M2009" s="133"/>
      <c r="N2009" s="133">
        <f t="shared" si="226"/>
        <v>0</v>
      </c>
      <c r="O2009" s="134"/>
      <c r="P2009" s="133"/>
      <c r="Q2009" s="2"/>
      <c r="R2009" s="156">
        <f t="shared" si="230"/>
        <v>0</v>
      </c>
      <c r="S2009" s="156">
        <f t="shared" si="231"/>
        <v>0</v>
      </c>
      <c r="T2009" s="133"/>
      <c r="U2009" s="133"/>
      <c r="V2009" s="133"/>
      <c r="W2009" s="133"/>
      <c r="X2009" s="133"/>
      <c r="Y2009" s="133"/>
      <c r="Z2009" s="133"/>
      <c r="AA2009" s="133"/>
      <c r="AB2009" s="133"/>
      <c r="AC2009" s="133"/>
      <c r="AD2009" s="133"/>
      <c r="AE2009" s="133"/>
      <c r="AF2009" s="133"/>
      <c r="AG2009" s="133"/>
      <c r="AH2009" s="133"/>
      <c r="AI2009" s="133"/>
      <c r="AJ2009" s="133"/>
      <c r="AK2009" s="133"/>
      <c r="AL2009" s="133"/>
      <c r="AM2009" s="133"/>
      <c r="AN2009" s="133"/>
      <c r="AO2009" s="133"/>
      <c r="AP2009" s="133"/>
      <c r="AQ2009" s="133"/>
      <c r="AR2009" s="133"/>
      <c r="AS2009" s="153">
        <v>0</v>
      </c>
      <c r="AT2009" s="153">
        <v>0</v>
      </c>
      <c r="AU2009" s="153">
        <v>0</v>
      </c>
      <c r="AV2009" s="135"/>
      <c r="AW2009" s="135"/>
      <c r="AX2009" s="135"/>
      <c r="AY2009" s="135"/>
      <c r="AZ2009" s="135"/>
      <c r="BA2009" s="135"/>
      <c r="BB2009" s="135"/>
      <c r="BC2009" s="135"/>
      <c r="BD2009" s="135"/>
      <c r="BE2009" s="135"/>
      <c r="BF2009" s="135"/>
      <c r="BG2009" s="135"/>
      <c r="BH2009" s="135"/>
      <c r="BI2009" s="2"/>
      <c r="BJ2009" s="136"/>
      <c r="BK2009" s="2"/>
      <c r="BL2009" s="136"/>
      <c r="BM2009" s="136"/>
      <c r="BN2009" s="2"/>
      <c r="BO2009" s="2"/>
      <c r="BP2009" s="136"/>
      <c r="BQ2009" s="137"/>
    </row>
    <row r="2010" spans="1:69" ht="12.75" customHeight="1" x14ac:dyDescent="0.2">
      <c r="A2010" s="2">
        <v>3499</v>
      </c>
      <c r="B2010" s="2"/>
      <c r="C2010" s="2"/>
      <c r="D2010" s="2"/>
      <c r="E2010" s="2"/>
      <c r="F2010" s="132">
        <v>0</v>
      </c>
      <c r="G2010" s="132"/>
      <c r="H2010" s="132">
        <f t="shared" si="227"/>
        <v>0</v>
      </c>
      <c r="I2010" s="132"/>
      <c r="J2010" s="132">
        <f t="shared" si="225"/>
        <v>0</v>
      </c>
      <c r="K2010" s="132">
        <f t="shared" si="228"/>
        <v>0</v>
      </c>
      <c r="L2010" s="132">
        <f t="shared" si="229"/>
        <v>0</v>
      </c>
      <c r="M2010" s="133"/>
      <c r="N2010" s="133">
        <f t="shared" si="226"/>
        <v>0</v>
      </c>
      <c r="O2010" s="134"/>
      <c r="P2010" s="133"/>
      <c r="Q2010" s="2"/>
      <c r="R2010" s="156">
        <f t="shared" si="230"/>
        <v>0</v>
      </c>
      <c r="S2010" s="156">
        <f t="shared" si="231"/>
        <v>0</v>
      </c>
      <c r="T2010" s="133"/>
      <c r="U2010" s="133"/>
      <c r="V2010" s="133"/>
      <c r="W2010" s="133"/>
      <c r="X2010" s="133"/>
      <c r="Y2010" s="133"/>
      <c r="Z2010" s="133"/>
      <c r="AA2010" s="133"/>
      <c r="AB2010" s="133"/>
      <c r="AC2010" s="133"/>
      <c r="AD2010" s="133"/>
      <c r="AE2010" s="133"/>
      <c r="AF2010" s="133"/>
      <c r="AG2010" s="133"/>
      <c r="AH2010" s="133"/>
      <c r="AI2010" s="133"/>
      <c r="AJ2010" s="133"/>
      <c r="AK2010" s="133"/>
      <c r="AL2010" s="133"/>
      <c r="AM2010" s="133"/>
      <c r="AN2010" s="133"/>
      <c r="AO2010" s="133"/>
      <c r="AP2010" s="133"/>
      <c r="AQ2010" s="133"/>
      <c r="AR2010" s="133"/>
      <c r="AS2010" s="153">
        <v>0</v>
      </c>
      <c r="AT2010" s="153">
        <v>0</v>
      </c>
      <c r="AU2010" s="153">
        <v>0</v>
      </c>
      <c r="AV2010" s="135"/>
      <c r="AW2010" s="135"/>
      <c r="AX2010" s="135"/>
      <c r="AY2010" s="135"/>
      <c r="AZ2010" s="135"/>
      <c r="BA2010" s="135"/>
      <c r="BB2010" s="135"/>
      <c r="BC2010" s="135"/>
      <c r="BD2010" s="135"/>
      <c r="BE2010" s="135"/>
      <c r="BF2010" s="135"/>
      <c r="BG2010" s="135"/>
      <c r="BH2010" s="135"/>
      <c r="BI2010" s="2"/>
      <c r="BJ2010" s="136"/>
      <c r="BK2010" s="2"/>
      <c r="BL2010" s="136"/>
      <c r="BM2010" s="136"/>
      <c r="BN2010" s="2"/>
      <c r="BO2010" s="2"/>
      <c r="BP2010" s="136"/>
      <c r="BQ2010" s="137"/>
    </row>
    <row r="2011" spans="1:69" ht="12.75" customHeight="1" x14ac:dyDescent="0.2">
      <c r="A2011" s="2">
        <v>3500</v>
      </c>
      <c r="B2011" s="2"/>
      <c r="C2011" s="2"/>
      <c r="D2011" s="2"/>
      <c r="E2011" s="2"/>
      <c r="F2011" s="132">
        <v>0</v>
      </c>
      <c r="G2011" s="132"/>
      <c r="H2011" s="132">
        <f t="shared" si="227"/>
        <v>0</v>
      </c>
      <c r="I2011" s="132"/>
      <c r="J2011" s="132">
        <f t="shared" si="225"/>
        <v>0</v>
      </c>
      <c r="K2011" s="132">
        <f t="shared" si="228"/>
        <v>0</v>
      </c>
      <c r="L2011" s="132">
        <f t="shared" si="229"/>
        <v>0</v>
      </c>
      <c r="M2011" s="133"/>
      <c r="N2011" s="133">
        <f t="shared" si="226"/>
        <v>0</v>
      </c>
      <c r="O2011" s="134"/>
      <c r="P2011" s="133"/>
      <c r="Q2011" s="2"/>
      <c r="R2011" s="156">
        <f t="shared" si="230"/>
        <v>0</v>
      </c>
      <c r="S2011" s="156">
        <f t="shared" si="231"/>
        <v>0</v>
      </c>
      <c r="T2011" s="133"/>
      <c r="U2011" s="133"/>
      <c r="V2011" s="133"/>
      <c r="W2011" s="133"/>
      <c r="X2011" s="133"/>
      <c r="Y2011" s="133"/>
      <c r="Z2011" s="133"/>
      <c r="AA2011" s="133"/>
      <c r="AB2011" s="133"/>
      <c r="AC2011" s="133"/>
      <c r="AD2011" s="133"/>
      <c r="AE2011" s="133"/>
      <c r="AF2011" s="133"/>
      <c r="AG2011" s="133"/>
      <c r="AH2011" s="133"/>
      <c r="AI2011" s="133"/>
      <c r="AJ2011" s="133"/>
      <c r="AK2011" s="133"/>
      <c r="AL2011" s="133"/>
      <c r="AM2011" s="133"/>
      <c r="AN2011" s="133"/>
      <c r="AO2011" s="133"/>
      <c r="AP2011" s="133"/>
      <c r="AQ2011" s="133"/>
      <c r="AR2011" s="133"/>
      <c r="AS2011" s="153">
        <v>0</v>
      </c>
      <c r="AT2011" s="153">
        <v>0</v>
      </c>
      <c r="AU2011" s="153">
        <v>0</v>
      </c>
      <c r="AV2011" s="135"/>
      <c r="AW2011" s="135"/>
      <c r="AX2011" s="135"/>
      <c r="AY2011" s="135"/>
      <c r="AZ2011" s="135"/>
      <c r="BA2011" s="135"/>
      <c r="BB2011" s="135"/>
      <c r="BC2011" s="135"/>
      <c r="BD2011" s="135"/>
      <c r="BE2011" s="135"/>
      <c r="BF2011" s="135"/>
      <c r="BG2011" s="135"/>
      <c r="BH2011" s="135"/>
      <c r="BI2011" s="2"/>
      <c r="BJ2011" s="136"/>
      <c r="BK2011" s="2"/>
      <c r="BL2011" s="136"/>
      <c r="BM2011" s="136"/>
      <c r="BN2011" s="2"/>
      <c r="BO2011" s="2"/>
      <c r="BP2011" s="136"/>
      <c r="BQ2011" s="137"/>
    </row>
    <row r="2012" spans="1:69" ht="12.75" customHeight="1" x14ac:dyDescent="0.2">
      <c r="A2012" s="2">
        <v>3501</v>
      </c>
      <c r="B2012" s="2"/>
      <c r="C2012" s="2"/>
      <c r="D2012" s="2"/>
      <c r="E2012" s="2"/>
      <c r="F2012" s="132">
        <v>0</v>
      </c>
      <c r="G2012" s="132"/>
      <c r="H2012" s="132">
        <f t="shared" si="227"/>
        <v>0</v>
      </c>
      <c r="I2012" s="132"/>
      <c r="J2012" s="132">
        <f t="shared" si="225"/>
        <v>0</v>
      </c>
      <c r="K2012" s="132">
        <f t="shared" si="228"/>
        <v>0</v>
      </c>
      <c r="L2012" s="132">
        <f t="shared" si="229"/>
        <v>0</v>
      </c>
      <c r="M2012" s="133"/>
      <c r="N2012" s="133">
        <f t="shared" si="226"/>
        <v>0</v>
      </c>
      <c r="O2012" s="134"/>
      <c r="P2012" s="133"/>
      <c r="Q2012" s="2"/>
      <c r="R2012" s="156">
        <f t="shared" si="230"/>
        <v>0</v>
      </c>
      <c r="S2012" s="156">
        <f t="shared" si="231"/>
        <v>0</v>
      </c>
      <c r="T2012" s="133"/>
      <c r="U2012" s="133"/>
      <c r="V2012" s="133"/>
      <c r="W2012" s="133"/>
      <c r="X2012" s="133"/>
      <c r="Y2012" s="133"/>
      <c r="Z2012" s="133"/>
      <c r="AA2012" s="133"/>
      <c r="AB2012" s="133"/>
      <c r="AC2012" s="133"/>
      <c r="AD2012" s="133"/>
      <c r="AE2012" s="133"/>
      <c r="AF2012" s="133"/>
      <c r="AG2012" s="133"/>
      <c r="AH2012" s="133"/>
      <c r="AI2012" s="133"/>
      <c r="AJ2012" s="133"/>
      <c r="AK2012" s="133"/>
      <c r="AL2012" s="133"/>
      <c r="AM2012" s="133"/>
      <c r="AN2012" s="133"/>
      <c r="AO2012" s="133"/>
      <c r="AP2012" s="133"/>
      <c r="AQ2012" s="133"/>
      <c r="AR2012" s="133"/>
      <c r="AS2012" s="153">
        <v>0</v>
      </c>
      <c r="AT2012" s="153">
        <v>0</v>
      </c>
      <c r="AU2012" s="153">
        <v>0</v>
      </c>
      <c r="AV2012" s="135"/>
      <c r="AW2012" s="135"/>
      <c r="AX2012" s="135"/>
      <c r="AY2012" s="135"/>
      <c r="AZ2012" s="135"/>
      <c r="BA2012" s="135"/>
      <c r="BB2012" s="135"/>
      <c r="BC2012" s="135"/>
      <c r="BD2012" s="135"/>
      <c r="BE2012" s="135"/>
      <c r="BF2012" s="135"/>
      <c r="BG2012" s="135"/>
      <c r="BH2012" s="135"/>
      <c r="BI2012" s="2"/>
      <c r="BJ2012" s="136"/>
      <c r="BK2012" s="2"/>
      <c r="BL2012" s="136"/>
      <c r="BM2012" s="136"/>
      <c r="BN2012" s="2"/>
      <c r="BO2012" s="2"/>
      <c r="BP2012" s="136"/>
      <c r="BQ2012" s="137"/>
    </row>
    <row r="2013" spans="1:69" ht="12.75" customHeight="1" x14ac:dyDescent="0.2">
      <c r="A2013" s="2">
        <v>3502</v>
      </c>
      <c r="B2013" s="2"/>
      <c r="C2013" s="2"/>
      <c r="D2013" s="2"/>
      <c r="E2013" s="2"/>
      <c r="F2013" s="132">
        <v>0</v>
      </c>
      <c r="G2013" s="132"/>
      <c r="H2013" s="132">
        <f t="shared" si="227"/>
        <v>0</v>
      </c>
      <c r="I2013" s="132"/>
      <c r="J2013" s="132">
        <f t="shared" si="225"/>
        <v>0</v>
      </c>
      <c r="K2013" s="132">
        <f t="shared" si="228"/>
        <v>0</v>
      </c>
      <c r="L2013" s="132">
        <f t="shared" si="229"/>
        <v>0</v>
      </c>
      <c r="M2013" s="133"/>
      <c r="N2013" s="133">
        <f t="shared" si="226"/>
        <v>0</v>
      </c>
      <c r="O2013" s="134"/>
      <c r="P2013" s="133"/>
      <c r="Q2013" s="2"/>
      <c r="R2013" s="156">
        <f t="shared" si="230"/>
        <v>0</v>
      </c>
      <c r="S2013" s="156">
        <f t="shared" si="231"/>
        <v>0</v>
      </c>
      <c r="T2013" s="133"/>
      <c r="U2013" s="133"/>
      <c r="V2013" s="133"/>
      <c r="W2013" s="133"/>
      <c r="X2013" s="133"/>
      <c r="Y2013" s="133"/>
      <c r="Z2013" s="133"/>
      <c r="AA2013" s="133"/>
      <c r="AB2013" s="133"/>
      <c r="AC2013" s="133"/>
      <c r="AD2013" s="133"/>
      <c r="AE2013" s="133"/>
      <c r="AF2013" s="133"/>
      <c r="AG2013" s="133"/>
      <c r="AH2013" s="133"/>
      <c r="AI2013" s="133"/>
      <c r="AJ2013" s="133"/>
      <c r="AK2013" s="133"/>
      <c r="AL2013" s="133"/>
      <c r="AM2013" s="133"/>
      <c r="AN2013" s="133"/>
      <c r="AO2013" s="133"/>
      <c r="AP2013" s="133"/>
      <c r="AQ2013" s="133"/>
      <c r="AR2013" s="133"/>
      <c r="AS2013" s="153">
        <v>0</v>
      </c>
      <c r="AT2013" s="153">
        <v>0</v>
      </c>
      <c r="AU2013" s="153">
        <v>0</v>
      </c>
      <c r="AV2013" s="135"/>
      <c r="AW2013" s="135"/>
      <c r="AX2013" s="135"/>
      <c r="AY2013" s="135"/>
      <c r="AZ2013" s="135"/>
      <c r="BA2013" s="135"/>
      <c r="BB2013" s="135"/>
      <c r="BC2013" s="135"/>
      <c r="BD2013" s="135"/>
      <c r="BE2013" s="135"/>
      <c r="BF2013" s="135"/>
      <c r="BG2013" s="135"/>
      <c r="BH2013" s="135"/>
      <c r="BI2013" s="2"/>
      <c r="BJ2013" s="136"/>
      <c r="BK2013" s="2"/>
      <c r="BL2013" s="136"/>
      <c r="BM2013" s="136"/>
      <c r="BN2013" s="2"/>
      <c r="BO2013" s="2"/>
      <c r="BP2013" s="136"/>
      <c r="BQ2013" s="137"/>
    </row>
    <row r="2014" spans="1:69" ht="12.75" customHeight="1" x14ac:dyDescent="0.2">
      <c r="A2014" s="2">
        <v>3503</v>
      </c>
      <c r="B2014" s="2"/>
      <c r="C2014" s="2"/>
      <c r="D2014" s="2"/>
      <c r="E2014" s="2"/>
      <c r="F2014" s="132">
        <v>0</v>
      </c>
      <c r="G2014" s="132"/>
      <c r="H2014" s="132">
        <f t="shared" si="227"/>
        <v>0</v>
      </c>
      <c r="I2014" s="132"/>
      <c r="J2014" s="132">
        <f t="shared" si="225"/>
        <v>0</v>
      </c>
      <c r="K2014" s="132">
        <f t="shared" si="228"/>
        <v>0</v>
      </c>
      <c r="L2014" s="132">
        <f t="shared" si="229"/>
        <v>0</v>
      </c>
      <c r="M2014" s="133"/>
      <c r="N2014" s="133">
        <f t="shared" si="226"/>
        <v>0</v>
      </c>
      <c r="O2014" s="134"/>
      <c r="P2014" s="133"/>
      <c r="Q2014" s="2"/>
      <c r="R2014" s="156">
        <f t="shared" si="230"/>
        <v>0</v>
      </c>
      <c r="S2014" s="156">
        <f t="shared" si="231"/>
        <v>0</v>
      </c>
      <c r="T2014" s="133"/>
      <c r="U2014" s="133"/>
      <c r="V2014" s="133"/>
      <c r="W2014" s="133"/>
      <c r="X2014" s="133"/>
      <c r="Y2014" s="133"/>
      <c r="Z2014" s="133"/>
      <c r="AA2014" s="133"/>
      <c r="AB2014" s="133"/>
      <c r="AC2014" s="133"/>
      <c r="AD2014" s="133"/>
      <c r="AE2014" s="133"/>
      <c r="AF2014" s="133"/>
      <c r="AG2014" s="133"/>
      <c r="AH2014" s="133"/>
      <c r="AI2014" s="133"/>
      <c r="AJ2014" s="133"/>
      <c r="AK2014" s="133"/>
      <c r="AL2014" s="133"/>
      <c r="AM2014" s="133"/>
      <c r="AN2014" s="133"/>
      <c r="AO2014" s="133"/>
      <c r="AP2014" s="133"/>
      <c r="AQ2014" s="133"/>
      <c r="AR2014" s="133"/>
      <c r="AS2014" s="153">
        <v>0</v>
      </c>
      <c r="AT2014" s="153">
        <v>0</v>
      </c>
      <c r="AU2014" s="153">
        <v>0</v>
      </c>
      <c r="AV2014" s="135"/>
      <c r="AW2014" s="135"/>
      <c r="AX2014" s="135"/>
      <c r="AY2014" s="135"/>
      <c r="AZ2014" s="135"/>
      <c r="BA2014" s="135"/>
      <c r="BB2014" s="135"/>
      <c r="BC2014" s="135"/>
      <c r="BD2014" s="135"/>
      <c r="BE2014" s="135"/>
      <c r="BF2014" s="135"/>
      <c r="BG2014" s="135"/>
      <c r="BH2014" s="135"/>
      <c r="BI2014" s="2"/>
      <c r="BJ2014" s="136"/>
      <c r="BK2014" s="2"/>
      <c r="BL2014" s="136"/>
      <c r="BM2014" s="136"/>
      <c r="BN2014" s="2"/>
      <c r="BO2014" s="2"/>
      <c r="BP2014" s="136"/>
      <c r="BQ2014" s="137"/>
    </row>
    <row r="2015" spans="1:69" ht="12.75" customHeight="1" x14ac:dyDescent="0.2">
      <c r="A2015" s="2">
        <v>3504</v>
      </c>
      <c r="B2015" s="2"/>
      <c r="C2015" s="2"/>
      <c r="D2015" s="2"/>
      <c r="E2015" s="2"/>
      <c r="F2015" s="132">
        <v>0</v>
      </c>
      <c r="G2015" s="132"/>
      <c r="H2015" s="132">
        <f t="shared" si="227"/>
        <v>0</v>
      </c>
      <c r="I2015" s="132"/>
      <c r="J2015" s="132">
        <f t="shared" si="225"/>
        <v>0</v>
      </c>
      <c r="K2015" s="132">
        <f t="shared" si="228"/>
        <v>0</v>
      </c>
      <c r="L2015" s="132">
        <f t="shared" si="229"/>
        <v>0</v>
      </c>
      <c r="M2015" s="133"/>
      <c r="N2015" s="133">
        <f t="shared" si="226"/>
        <v>0</v>
      </c>
      <c r="O2015" s="134"/>
      <c r="P2015" s="133"/>
      <c r="Q2015" s="2"/>
      <c r="R2015" s="156">
        <f t="shared" si="230"/>
        <v>0</v>
      </c>
      <c r="S2015" s="156">
        <f t="shared" si="231"/>
        <v>0</v>
      </c>
      <c r="T2015" s="133"/>
      <c r="U2015" s="133"/>
      <c r="V2015" s="133"/>
      <c r="W2015" s="133"/>
      <c r="X2015" s="133"/>
      <c r="Y2015" s="133"/>
      <c r="Z2015" s="133"/>
      <c r="AA2015" s="133"/>
      <c r="AB2015" s="133"/>
      <c r="AC2015" s="133"/>
      <c r="AD2015" s="133"/>
      <c r="AE2015" s="133"/>
      <c r="AF2015" s="133"/>
      <c r="AG2015" s="133"/>
      <c r="AH2015" s="133"/>
      <c r="AI2015" s="133"/>
      <c r="AJ2015" s="133"/>
      <c r="AK2015" s="133"/>
      <c r="AL2015" s="133"/>
      <c r="AM2015" s="133"/>
      <c r="AN2015" s="133"/>
      <c r="AO2015" s="133"/>
      <c r="AP2015" s="133"/>
      <c r="AQ2015" s="133"/>
      <c r="AR2015" s="133"/>
      <c r="AS2015" s="153">
        <v>0</v>
      </c>
      <c r="AT2015" s="153">
        <v>0</v>
      </c>
      <c r="AU2015" s="153">
        <v>0</v>
      </c>
      <c r="AV2015" s="135"/>
      <c r="AW2015" s="135"/>
      <c r="AX2015" s="135"/>
      <c r="AY2015" s="135"/>
      <c r="AZ2015" s="135"/>
      <c r="BA2015" s="135"/>
      <c r="BB2015" s="135"/>
      <c r="BC2015" s="135"/>
      <c r="BD2015" s="135"/>
      <c r="BE2015" s="135"/>
      <c r="BF2015" s="135"/>
      <c r="BG2015" s="135"/>
      <c r="BH2015" s="135"/>
      <c r="BI2015" s="2"/>
      <c r="BJ2015" s="136"/>
      <c r="BK2015" s="2"/>
      <c r="BL2015" s="136"/>
      <c r="BM2015" s="136"/>
      <c r="BN2015" s="2"/>
      <c r="BO2015" s="2"/>
      <c r="BP2015" s="136"/>
      <c r="BQ2015" s="137"/>
    </row>
    <row r="2016" spans="1:69" ht="12.75" customHeight="1" x14ac:dyDescent="0.2">
      <c r="A2016" s="2">
        <v>3505</v>
      </c>
      <c r="B2016" s="2"/>
      <c r="C2016" s="2"/>
      <c r="D2016" s="2"/>
      <c r="E2016" s="2"/>
      <c r="F2016" s="132">
        <v>0</v>
      </c>
      <c r="G2016" s="132"/>
      <c r="H2016" s="132">
        <f t="shared" si="227"/>
        <v>0</v>
      </c>
      <c r="I2016" s="132"/>
      <c r="J2016" s="132">
        <f t="shared" si="225"/>
        <v>0</v>
      </c>
      <c r="K2016" s="132">
        <f t="shared" si="228"/>
        <v>0</v>
      </c>
      <c r="L2016" s="132">
        <f t="shared" si="229"/>
        <v>0</v>
      </c>
      <c r="M2016" s="133"/>
      <c r="N2016" s="133">
        <f t="shared" si="226"/>
        <v>0</v>
      </c>
      <c r="O2016" s="134"/>
      <c r="P2016" s="133"/>
      <c r="Q2016" s="2"/>
      <c r="R2016" s="156">
        <f t="shared" si="230"/>
        <v>0</v>
      </c>
      <c r="S2016" s="156">
        <f t="shared" si="231"/>
        <v>0</v>
      </c>
      <c r="T2016" s="133"/>
      <c r="U2016" s="133"/>
      <c r="V2016" s="133"/>
      <c r="W2016" s="133"/>
      <c r="X2016" s="133"/>
      <c r="Y2016" s="133"/>
      <c r="Z2016" s="133"/>
      <c r="AA2016" s="133"/>
      <c r="AB2016" s="133"/>
      <c r="AC2016" s="133"/>
      <c r="AD2016" s="133"/>
      <c r="AE2016" s="133"/>
      <c r="AF2016" s="133"/>
      <c r="AG2016" s="133"/>
      <c r="AH2016" s="133"/>
      <c r="AI2016" s="133"/>
      <c r="AJ2016" s="133"/>
      <c r="AK2016" s="133"/>
      <c r="AL2016" s="133"/>
      <c r="AM2016" s="133"/>
      <c r="AN2016" s="133"/>
      <c r="AO2016" s="133"/>
      <c r="AP2016" s="133"/>
      <c r="AQ2016" s="133"/>
      <c r="AR2016" s="133"/>
      <c r="AS2016" s="153">
        <v>0</v>
      </c>
      <c r="AT2016" s="153">
        <v>0</v>
      </c>
      <c r="AU2016" s="153">
        <v>0</v>
      </c>
      <c r="AV2016" s="135"/>
      <c r="AW2016" s="135"/>
      <c r="AX2016" s="135"/>
      <c r="AY2016" s="135"/>
      <c r="AZ2016" s="135"/>
      <c r="BA2016" s="135"/>
      <c r="BB2016" s="135"/>
      <c r="BC2016" s="135"/>
      <c r="BD2016" s="135"/>
      <c r="BE2016" s="135"/>
      <c r="BF2016" s="135"/>
      <c r="BG2016" s="135"/>
      <c r="BH2016" s="135"/>
      <c r="BI2016" s="2"/>
      <c r="BJ2016" s="136"/>
      <c r="BK2016" s="2"/>
      <c r="BL2016" s="136"/>
      <c r="BM2016" s="136"/>
      <c r="BN2016" s="2"/>
      <c r="BO2016" s="2"/>
      <c r="BP2016" s="136"/>
      <c r="BQ2016" s="137"/>
    </row>
    <row r="2017" spans="1:69" ht="12.75" customHeight="1" x14ac:dyDescent="0.2">
      <c r="A2017" s="2">
        <v>3506</v>
      </c>
      <c r="B2017" s="2"/>
      <c r="C2017" s="2"/>
      <c r="D2017" s="2"/>
      <c r="E2017" s="2"/>
      <c r="F2017" s="132">
        <v>0</v>
      </c>
      <c r="G2017" s="132"/>
      <c r="H2017" s="132">
        <f t="shared" si="227"/>
        <v>0</v>
      </c>
      <c r="I2017" s="132"/>
      <c r="J2017" s="132">
        <f t="shared" si="225"/>
        <v>0</v>
      </c>
      <c r="K2017" s="132">
        <f t="shared" si="228"/>
        <v>0</v>
      </c>
      <c r="L2017" s="132">
        <f t="shared" si="229"/>
        <v>0</v>
      </c>
      <c r="M2017" s="133"/>
      <c r="N2017" s="133">
        <f t="shared" si="226"/>
        <v>0</v>
      </c>
      <c r="O2017" s="134"/>
      <c r="P2017" s="133"/>
      <c r="Q2017" s="2"/>
      <c r="R2017" s="156">
        <f t="shared" si="230"/>
        <v>0</v>
      </c>
      <c r="S2017" s="156">
        <f t="shared" si="231"/>
        <v>0</v>
      </c>
      <c r="T2017" s="133"/>
      <c r="U2017" s="133"/>
      <c r="V2017" s="133"/>
      <c r="W2017" s="133"/>
      <c r="X2017" s="133"/>
      <c r="Y2017" s="133"/>
      <c r="Z2017" s="133"/>
      <c r="AA2017" s="133"/>
      <c r="AB2017" s="133"/>
      <c r="AC2017" s="133"/>
      <c r="AD2017" s="133"/>
      <c r="AE2017" s="133"/>
      <c r="AF2017" s="133"/>
      <c r="AG2017" s="133"/>
      <c r="AH2017" s="133"/>
      <c r="AI2017" s="133"/>
      <c r="AJ2017" s="133"/>
      <c r="AK2017" s="133"/>
      <c r="AL2017" s="133"/>
      <c r="AM2017" s="133"/>
      <c r="AN2017" s="133"/>
      <c r="AO2017" s="133"/>
      <c r="AP2017" s="133"/>
      <c r="AQ2017" s="133"/>
      <c r="AR2017" s="133"/>
      <c r="AS2017" s="153">
        <v>0</v>
      </c>
      <c r="AT2017" s="153">
        <v>0</v>
      </c>
      <c r="AU2017" s="153">
        <v>0</v>
      </c>
      <c r="AV2017" s="135"/>
      <c r="AW2017" s="135"/>
      <c r="AX2017" s="135"/>
      <c r="AY2017" s="135"/>
      <c r="AZ2017" s="135"/>
      <c r="BA2017" s="135"/>
      <c r="BB2017" s="135"/>
      <c r="BC2017" s="135"/>
      <c r="BD2017" s="135"/>
      <c r="BE2017" s="135"/>
      <c r="BF2017" s="135"/>
      <c r="BG2017" s="135"/>
      <c r="BH2017" s="135"/>
      <c r="BI2017" s="2"/>
      <c r="BJ2017" s="136"/>
      <c r="BK2017" s="2"/>
      <c r="BL2017" s="136"/>
      <c r="BM2017" s="136"/>
      <c r="BN2017" s="2"/>
      <c r="BO2017" s="2"/>
      <c r="BP2017" s="136"/>
      <c r="BQ2017" s="137"/>
    </row>
    <row r="2018" spans="1:69" ht="12.75" customHeight="1" x14ac:dyDescent="0.2">
      <c r="A2018" s="2">
        <v>3507</v>
      </c>
      <c r="B2018" s="2"/>
      <c r="C2018" s="2"/>
      <c r="D2018" s="2"/>
      <c r="E2018" s="2"/>
      <c r="F2018" s="132">
        <v>0</v>
      </c>
      <c r="G2018" s="132"/>
      <c r="H2018" s="132">
        <f t="shared" si="227"/>
        <v>0</v>
      </c>
      <c r="I2018" s="132"/>
      <c r="J2018" s="132">
        <f t="shared" si="225"/>
        <v>0</v>
      </c>
      <c r="K2018" s="132">
        <f t="shared" si="228"/>
        <v>0</v>
      </c>
      <c r="L2018" s="132">
        <f t="shared" si="229"/>
        <v>0</v>
      </c>
      <c r="M2018" s="133"/>
      <c r="N2018" s="133">
        <f t="shared" si="226"/>
        <v>0</v>
      </c>
      <c r="O2018" s="134"/>
      <c r="P2018" s="133"/>
      <c r="Q2018" s="2"/>
      <c r="R2018" s="156">
        <f t="shared" si="230"/>
        <v>0</v>
      </c>
      <c r="S2018" s="156">
        <f t="shared" si="231"/>
        <v>0</v>
      </c>
      <c r="T2018" s="133"/>
      <c r="U2018" s="133"/>
      <c r="V2018" s="133"/>
      <c r="W2018" s="133"/>
      <c r="X2018" s="133"/>
      <c r="Y2018" s="133"/>
      <c r="Z2018" s="133"/>
      <c r="AA2018" s="133"/>
      <c r="AB2018" s="133"/>
      <c r="AC2018" s="133"/>
      <c r="AD2018" s="133"/>
      <c r="AE2018" s="133"/>
      <c r="AF2018" s="133"/>
      <c r="AG2018" s="133"/>
      <c r="AH2018" s="133"/>
      <c r="AI2018" s="133"/>
      <c r="AJ2018" s="133"/>
      <c r="AK2018" s="133"/>
      <c r="AL2018" s="133"/>
      <c r="AM2018" s="133"/>
      <c r="AN2018" s="133"/>
      <c r="AO2018" s="133"/>
      <c r="AP2018" s="133"/>
      <c r="AQ2018" s="133"/>
      <c r="AR2018" s="133"/>
      <c r="AS2018" s="153">
        <v>0</v>
      </c>
      <c r="AT2018" s="153">
        <v>0</v>
      </c>
      <c r="AU2018" s="153">
        <v>0</v>
      </c>
      <c r="AV2018" s="135"/>
      <c r="AW2018" s="135"/>
      <c r="AX2018" s="135"/>
      <c r="AY2018" s="135"/>
      <c r="AZ2018" s="135"/>
      <c r="BA2018" s="135"/>
      <c r="BB2018" s="135"/>
      <c r="BC2018" s="135"/>
      <c r="BD2018" s="135"/>
      <c r="BE2018" s="135"/>
      <c r="BF2018" s="135"/>
      <c r="BG2018" s="135"/>
      <c r="BH2018" s="135"/>
      <c r="BI2018" s="2"/>
      <c r="BJ2018" s="136"/>
      <c r="BK2018" s="2"/>
      <c r="BL2018" s="136"/>
      <c r="BM2018" s="136"/>
      <c r="BN2018" s="2"/>
      <c r="BO2018" s="2"/>
      <c r="BP2018" s="136"/>
      <c r="BQ2018" s="137"/>
    </row>
    <row r="2019" spans="1:69" ht="12.75" customHeight="1" x14ac:dyDescent="0.2">
      <c r="A2019" s="2">
        <v>3508</v>
      </c>
      <c r="B2019" s="2"/>
      <c r="C2019" s="2"/>
      <c r="D2019" s="2"/>
      <c r="E2019" s="2"/>
      <c r="F2019" s="132">
        <v>0</v>
      </c>
      <c r="G2019" s="132"/>
      <c r="H2019" s="132">
        <f t="shared" si="227"/>
        <v>0</v>
      </c>
      <c r="I2019" s="132"/>
      <c r="J2019" s="132">
        <f t="shared" si="225"/>
        <v>0</v>
      </c>
      <c r="K2019" s="132">
        <f t="shared" si="228"/>
        <v>0</v>
      </c>
      <c r="L2019" s="132">
        <f t="shared" si="229"/>
        <v>0</v>
      </c>
      <c r="M2019" s="133"/>
      <c r="N2019" s="133">
        <f t="shared" si="226"/>
        <v>0</v>
      </c>
      <c r="O2019" s="134"/>
      <c r="P2019" s="133"/>
      <c r="Q2019" s="2"/>
      <c r="R2019" s="156">
        <f t="shared" si="230"/>
        <v>0</v>
      </c>
      <c r="S2019" s="156">
        <f t="shared" si="231"/>
        <v>0</v>
      </c>
      <c r="T2019" s="133"/>
      <c r="U2019" s="133"/>
      <c r="V2019" s="133"/>
      <c r="W2019" s="133"/>
      <c r="X2019" s="133"/>
      <c r="Y2019" s="133"/>
      <c r="Z2019" s="133"/>
      <c r="AA2019" s="133"/>
      <c r="AB2019" s="133"/>
      <c r="AC2019" s="133"/>
      <c r="AD2019" s="133"/>
      <c r="AE2019" s="133"/>
      <c r="AF2019" s="133"/>
      <c r="AG2019" s="133"/>
      <c r="AH2019" s="133"/>
      <c r="AI2019" s="133"/>
      <c r="AJ2019" s="133"/>
      <c r="AK2019" s="133"/>
      <c r="AL2019" s="133"/>
      <c r="AM2019" s="133"/>
      <c r="AN2019" s="133"/>
      <c r="AO2019" s="133"/>
      <c r="AP2019" s="133"/>
      <c r="AQ2019" s="133"/>
      <c r="AR2019" s="133"/>
      <c r="AS2019" s="153">
        <v>0</v>
      </c>
      <c r="AT2019" s="153">
        <v>0</v>
      </c>
      <c r="AU2019" s="153">
        <v>0</v>
      </c>
      <c r="AV2019" s="135"/>
      <c r="AW2019" s="135"/>
      <c r="AX2019" s="135"/>
      <c r="AY2019" s="135"/>
      <c r="AZ2019" s="135"/>
      <c r="BA2019" s="135"/>
      <c r="BB2019" s="135"/>
      <c r="BC2019" s="135"/>
      <c r="BD2019" s="135"/>
      <c r="BE2019" s="135"/>
      <c r="BF2019" s="135"/>
      <c r="BG2019" s="135"/>
      <c r="BH2019" s="135"/>
      <c r="BI2019" s="2"/>
      <c r="BJ2019" s="136"/>
      <c r="BK2019" s="2"/>
      <c r="BL2019" s="136"/>
      <c r="BM2019" s="136"/>
      <c r="BN2019" s="2"/>
      <c r="BO2019" s="2"/>
      <c r="BP2019" s="136"/>
      <c r="BQ2019" s="137"/>
    </row>
    <row r="2020" spans="1:69" ht="12.75" customHeight="1" x14ac:dyDescent="0.2">
      <c r="A2020" s="2">
        <v>3509</v>
      </c>
      <c r="B2020" s="2"/>
      <c r="C2020" s="2"/>
      <c r="D2020" s="2"/>
      <c r="E2020" s="2"/>
      <c r="F2020" s="132">
        <v>0</v>
      </c>
      <c r="G2020" s="132"/>
      <c r="H2020" s="132">
        <f t="shared" si="227"/>
        <v>0</v>
      </c>
      <c r="I2020" s="132"/>
      <c r="J2020" s="132">
        <f t="shared" ref="J2020:J2083" si="232">S2020</f>
        <v>0</v>
      </c>
      <c r="K2020" s="132">
        <f t="shared" si="228"/>
        <v>0</v>
      </c>
      <c r="L2020" s="132">
        <f t="shared" si="229"/>
        <v>0</v>
      </c>
      <c r="M2020" s="133"/>
      <c r="N2020" s="133">
        <f t="shared" si="226"/>
        <v>0</v>
      </c>
      <c r="O2020" s="134"/>
      <c r="P2020" s="133"/>
      <c r="Q2020" s="2"/>
      <c r="R2020" s="156">
        <f t="shared" si="230"/>
        <v>0</v>
      </c>
      <c r="S2020" s="156">
        <f t="shared" si="231"/>
        <v>0</v>
      </c>
      <c r="T2020" s="133"/>
      <c r="U2020" s="133"/>
      <c r="V2020" s="133"/>
      <c r="W2020" s="133"/>
      <c r="X2020" s="133"/>
      <c r="Y2020" s="133"/>
      <c r="Z2020" s="133"/>
      <c r="AA2020" s="133"/>
      <c r="AB2020" s="133"/>
      <c r="AC2020" s="133"/>
      <c r="AD2020" s="133"/>
      <c r="AE2020" s="133"/>
      <c r="AF2020" s="133"/>
      <c r="AG2020" s="133"/>
      <c r="AH2020" s="133"/>
      <c r="AI2020" s="133"/>
      <c r="AJ2020" s="133"/>
      <c r="AK2020" s="133"/>
      <c r="AL2020" s="133"/>
      <c r="AM2020" s="133"/>
      <c r="AN2020" s="133"/>
      <c r="AO2020" s="133"/>
      <c r="AP2020" s="133"/>
      <c r="AQ2020" s="133"/>
      <c r="AR2020" s="133"/>
      <c r="AS2020" s="153">
        <v>0</v>
      </c>
      <c r="AT2020" s="153">
        <v>0</v>
      </c>
      <c r="AU2020" s="153">
        <v>0</v>
      </c>
      <c r="AV2020" s="135"/>
      <c r="AW2020" s="135"/>
      <c r="AX2020" s="135"/>
      <c r="AY2020" s="135"/>
      <c r="AZ2020" s="135"/>
      <c r="BA2020" s="135"/>
      <c r="BB2020" s="135"/>
      <c r="BC2020" s="135"/>
      <c r="BD2020" s="135"/>
      <c r="BE2020" s="135"/>
      <c r="BF2020" s="135"/>
      <c r="BG2020" s="135"/>
      <c r="BH2020" s="135"/>
      <c r="BI2020" s="2"/>
      <c r="BJ2020" s="136"/>
      <c r="BK2020" s="2"/>
      <c r="BL2020" s="136"/>
      <c r="BM2020" s="136"/>
      <c r="BN2020" s="2"/>
      <c r="BO2020" s="2"/>
      <c r="BP2020" s="136"/>
      <c r="BQ2020" s="137"/>
    </row>
    <row r="2021" spans="1:69" ht="12.75" customHeight="1" x14ac:dyDescent="0.2">
      <c r="A2021" s="2">
        <v>3510</v>
      </c>
      <c r="B2021" s="2"/>
      <c r="C2021" s="2"/>
      <c r="D2021" s="2"/>
      <c r="E2021" s="2"/>
      <c r="F2021" s="132">
        <v>0</v>
      </c>
      <c r="G2021" s="132"/>
      <c r="H2021" s="132">
        <f t="shared" si="227"/>
        <v>0</v>
      </c>
      <c r="I2021" s="132"/>
      <c r="J2021" s="132">
        <f t="shared" si="232"/>
        <v>0</v>
      </c>
      <c r="K2021" s="132">
        <f t="shared" si="228"/>
        <v>0</v>
      </c>
      <c r="L2021" s="132">
        <f t="shared" si="229"/>
        <v>0</v>
      </c>
      <c r="M2021" s="133"/>
      <c r="N2021" s="133">
        <f t="shared" si="226"/>
        <v>0</v>
      </c>
      <c r="O2021" s="134"/>
      <c r="P2021" s="133"/>
      <c r="Q2021" s="2"/>
      <c r="R2021" s="156">
        <f t="shared" si="230"/>
        <v>0</v>
      </c>
      <c r="S2021" s="156">
        <f t="shared" si="231"/>
        <v>0</v>
      </c>
      <c r="T2021" s="133"/>
      <c r="U2021" s="133"/>
      <c r="V2021" s="133"/>
      <c r="W2021" s="133"/>
      <c r="X2021" s="133"/>
      <c r="Y2021" s="133"/>
      <c r="Z2021" s="133"/>
      <c r="AA2021" s="133"/>
      <c r="AB2021" s="133"/>
      <c r="AC2021" s="133"/>
      <c r="AD2021" s="133"/>
      <c r="AE2021" s="133"/>
      <c r="AF2021" s="133"/>
      <c r="AG2021" s="133"/>
      <c r="AH2021" s="133"/>
      <c r="AI2021" s="133"/>
      <c r="AJ2021" s="133"/>
      <c r="AK2021" s="133"/>
      <c r="AL2021" s="133"/>
      <c r="AM2021" s="133"/>
      <c r="AN2021" s="133"/>
      <c r="AO2021" s="133"/>
      <c r="AP2021" s="133"/>
      <c r="AQ2021" s="133"/>
      <c r="AR2021" s="133"/>
      <c r="AS2021" s="153">
        <v>0</v>
      </c>
      <c r="AT2021" s="153">
        <v>0</v>
      </c>
      <c r="AU2021" s="153">
        <v>0</v>
      </c>
      <c r="AV2021" s="135"/>
      <c r="AW2021" s="135"/>
      <c r="AX2021" s="135"/>
      <c r="AY2021" s="135"/>
      <c r="AZ2021" s="135"/>
      <c r="BA2021" s="135"/>
      <c r="BB2021" s="135"/>
      <c r="BC2021" s="135"/>
      <c r="BD2021" s="135"/>
      <c r="BE2021" s="135"/>
      <c r="BF2021" s="135"/>
      <c r="BG2021" s="135"/>
      <c r="BH2021" s="135"/>
      <c r="BI2021" s="2"/>
      <c r="BJ2021" s="136"/>
      <c r="BK2021" s="2"/>
      <c r="BL2021" s="136"/>
      <c r="BM2021" s="136"/>
      <c r="BN2021" s="2"/>
      <c r="BO2021" s="2"/>
      <c r="BP2021" s="136"/>
      <c r="BQ2021" s="137"/>
    </row>
    <row r="2022" spans="1:69" ht="12.75" customHeight="1" x14ac:dyDescent="0.2">
      <c r="A2022" s="2">
        <v>3511</v>
      </c>
      <c r="B2022" s="2"/>
      <c r="C2022" s="2"/>
      <c r="D2022" s="2"/>
      <c r="E2022" s="2"/>
      <c r="F2022" s="132">
        <v>0</v>
      </c>
      <c r="G2022" s="132"/>
      <c r="H2022" s="132">
        <f t="shared" si="227"/>
        <v>0</v>
      </c>
      <c r="I2022" s="132"/>
      <c r="J2022" s="132">
        <f t="shared" si="232"/>
        <v>0</v>
      </c>
      <c r="K2022" s="132">
        <f t="shared" si="228"/>
        <v>0</v>
      </c>
      <c r="L2022" s="132">
        <f t="shared" si="229"/>
        <v>0</v>
      </c>
      <c r="M2022" s="133"/>
      <c r="N2022" s="133">
        <f t="shared" si="226"/>
        <v>0</v>
      </c>
      <c r="O2022" s="134"/>
      <c r="P2022" s="133"/>
      <c r="Q2022" s="2"/>
      <c r="R2022" s="156">
        <f t="shared" si="230"/>
        <v>0</v>
      </c>
      <c r="S2022" s="156">
        <f t="shared" si="231"/>
        <v>0</v>
      </c>
      <c r="T2022" s="133"/>
      <c r="U2022" s="133"/>
      <c r="V2022" s="133"/>
      <c r="W2022" s="133"/>
      <c r="X2022" s="133"/>
      <c r="Y2022" s="133"/>
      <c r="Z2022" s="133"/>
      <c r="AA2022" s="133"/>
      <c r="AB2022" s="133"/>
      <c r="AC2022" s="133"/>
      <c r="AD2022" s="133"/>
      <c r="AE2022" s="133"/>
      <c r="AF2022" s="133"/>
      <c r="AG2022" s="133"/>
      <c r="AH2022" s="133"/>
      <c r="AI2022" s="133"/>
      <c r="AJ2022" s="133"/>
      <c r="AK2022" s="133"/>
      <c r="AL2022" s="133"/>
      <c r="AM2022" s="133"/>
      <c r="AN2022" s="133"/>
      <c r="AO2022" s="133"/>
      <c r="AP2022" s="133"/>
      <c r="AQ2022" s="133"/>
      <c r="AR2022" s="133"/>
      <c r="AS2022" s="153">
        <v>0</v>
      </c>
      <c r="AT2022" s="153">
        <v>0</v>
      </c>
      <c r="AU2022" s="153">
        <v>0</v>
      </c>
      <c r="AV2022" s="135"/>
      <c r="AW2022" s="135"/>
      <c r="AX2022" s="135"/>
      <c r="AY2022" s="135"/>
      <c r="AZ2022" s="135"/>
      <c r="BA2022" s="135"/>
      <c r="BB2022" s="135"/>
      <c r="BC2022" s="135"/>
      <c r="BD2022" s="135"/>
      <c r="BE2022" s="135"/>
      <c r="BF2022" s="135"/>
      <c r="BG2022" s="135"/>
      <c r="BH2022" s="135"/>
      <c r="BI2022" s="2"/>
      <c r="BJ2022" s="136"/>
      <c r="BK2022" s="2"/>
      <c r="BL2022" s="136"/>
      <c r="BM2022" s="136"/>
      <c r="BN2022" s="2"/>
      <c r="BO2022" s="2"/>
      <c r="BP2022" s="136"/>
      <c r="BQ2022" s="137"/>
    </row>
    <row r="2023" spans="1:69" ht="12.75" customHeight="1" x14ac:dyDescent="0.2">
      <c r="A2023" s="2">
        <v>3512</v>
      </c>
      <c r="B2023" s="2"/>
      <c r="C2023" s="2"/>
      <c r="D2023" s="2"/>
      <c r="E2023" s="2"/>
      <c r="F2023" s="132">
        <v>0</v>
      </c>
      <c r="G2023" s="132"/>
      <c r="H2023" s="132">
        <f t="shared" si="227"/>
        <v>0</v>
      </c>
      <c r="I2023" s="132"/>
      <c r="J2023" s="132">
        <f t="shared" si="232"/>
        <v>0</v>
      </c>
      <c r="K2023" s="132">
        <f t="shared" si="228"/>
        <v>0</v>
      </c>
      <c r="L2023" s="132">
        <f t="shared" si="229"/>
        <v>0</v>
      </c>
      <c r="M2023" s="133"/>
      <c r="N2023" s="133">
        <f t="shared" si="226"/>
        <v>0</v>
      </c>
      <c r="O2023" s="134"/>
      <c r="P2023" s="133"/>
      <c r="Q2023" s="2"/>
      <c r="R2023" s="156">
        <f t="shared" si="230"/>
        <v>0</v>
      </c>
      <c r="S2023" s="156">
        <f t="shared" si="231"/>
        <v>0</v>
      </c>
      <c r="T2023" s="133"/>
      <c r="U2023" s="133"/>
      <c r="V2023" s="133"/>
      <c r="W2023" s="133"/>
      <c r="X2023" s="133"/>
      <c r="Y2023" s="133"/>
      <c r="Z2023" s="133"/>
      <c r="AA2023" s="133"/>
      <c r="AB2023" s="133"/>
      <c r="AC2023" s="133"/>
      <c r="AD2023" s="133"/>
      <c r="AE2023" s="133"/>
      <c r="AF2023" s="133"/>
      <c r="AG2023" s="133"/>
      <c r="AH2023" s="133"/>
      <c r="AI2023" s="133"/>
      <c r="AJ2023" s="133"/>
      <c r="AK2023" s="133"/>
      <c r="AL2023" s="133"/>
      <c r="AM2023" s="133"/>
      <c r="AN2023" s="133"/>
      <c r="AO2023" s="133"/>
      <c r="AP2023" s="133"/>
      <c r="AQ2023" s="133"/>
      <c r="AR2023" s="133"/>
      <c r="AS2023" s="153">
        <v>0</v>
      </c>
      <c r="AT2023" s="153">
        <v>0</v>
      </c>
      <c r="AU2023" s="153">
        <v>0</v>
      </c>
      <c r="AV2023" s="135"/>
      <c r="AW2023" s="135"/>
      <c r="AX2023" s="135"/>
      <c r="AY2023" s="135"/>
      <c r="AZ2023" s="135"/>
      <c r="BA2023" s="135"/>
      <c r="BB2023" s="135"/>
      <c r="BC2023" s="135"/>
      <c r="BD2023" s="135"/>
      <c r="BE2023" s="135"/>
      <c r="BF2023" s="135"/>
      <c r="BG2023" s="135"/>
      <c r="BH2023" s="135"/>
      <c r="BI2023" s="2"/>
      <c r="BJ2023" s="136"/>
      <c r="BK2023" s="2"/>
      <c r="BL2023" s="136"/>
      <c r="BM2023" s="136"/>
      <c r="BN2023" s="2"/>
      <c r="BO2023" s="2"/>
      <c r="BP2023" s="136"/>
      <c r="BQ2023" s="137"/>
    </row>
    <row r="2024" spans="1:69" ht="12.75" customHeight="1" x14ac:dyDescent="0.2">
      <c r="A2024" s="2">
        <v>3513</v>
      </c>
      <c r="B2024" s="2"/>
      <c r="C2024" s="2"/>
      <c r="D2024" s="2"/>
      <c r="E2024" s="2"/>
      <c r="F2024" s="132">
        <v>0</v>
      </c>
      <c r="G2024" s="132"/>
      <c r="H2024" s="132">
        <f t="shared" si="227"/>
        <v>0</v>
      </c>
      <c r="I2024" s="132"/>
      <c r="J2024" s="132">
        <f t="shared" si="232"/>
        <v>0</v>
      </c>
      <c r="K2024" s="132">
        <f t="shared" si="228"/>
        <v>0</v>
      </c>
      <c r="L2024" s="132">
        <f t="shared" si="229"/>
        <v>0</v>
      </c>
      <c r="M2024" s="133"/>
      <c r="N2024" s="133">
        <f t="shared" si="226"/>
        <v>0</v>
      </c>
      <c r="O2024" s="134"/>
      <c r="P2024" s="133"/>
      <c r="Q2024" s="2"/>
      <c r="R2024" s="156">
        <f t="shared" si="230"/>
        <v>0</v>
      </c>
      <c r="S2024" s="156">
        <f t="shared" si="231"/>
        <v>0</v>
      </c>
      <c r="T2024" s="133"/>
      <c r="U2024" s="133"/>
      <c r="V2024" s="133"/>
      <c r="W2024" s="133"/>
      <c r="X2024" s="133"/>
      <c r="Y2024" s="133"/>
      <c r="Z2024" s="133"/>
      <c r="AA2024" s="133"/>
      <c r="AB2024" s="133"/>
      <c r="AC2024" s="133"/>
      <c r="AD2024" s="133"/>
      <c r="AE2024" s="133"/>
      <c r="AF2024" s="133"/>
      <c r="AG2024" s="133"/>
      <c r="AH2024" s="133"/>
      <c r="AI2024" s="133"/>
      <c r="AJ2024" s="133"/>
      <c r="AK2024" s="133"/>
      <c r="AL2024" s="133"/>
      <c r="AM2024" s="133"/>
      <c r="AN2024" s="133"/>
      <c r="AO2024" s="133"/>
      <c r="AP2024" s="133"/>
      <c r="AQ2024" s="133"/>
      <c r="AR2024" s="133"/>
      <c r="AS2024" s="153">
        <v>0</v>
      </c>
      <c r="AT2024" s="153">
        <v>0</v>
      </c>
      <c r="AU2024" s="153">
        <v>0</v>
      </c>
      <c r="AV2024" s="135"/>
      <c r="AW2024" s="135"/>
      <c r="AX2024" s="135"/>
      <c r="AY2024" s="135"/>
      <c r="AZ2024" s="135"/>
      <c r="BA2024" s="135"/>
      <c r="BB2024" s="135"/>
      <c r="BC2024" s="135"/>
      <c r="BD2024" s="135"/>
      <c r="BE2024" s="135"/>
      <c r="BF2024" s="135"/>
      <c r="BG2024" s="135"/>
      <c r="BH2024" s="135"/>
      <c r="BI2024" s="2"/>
      <c r="BJ2024" s="136"/>
      <c r="BK2024" s="2"/>
      <c r="BL2024" s="136"/>
      <c r="BM2024" s="136"/>
      <c r="BN2024" s="2"/>
      <c r="BO2024" s="2"/>
      <c r="BP2024" s="136"/>
      <c r="BQ2024" s="137"/>
    </row>
    <row r="2025" spans="1:69" ht="12.75" customHeight="1" x14ac:dyDescent="0.2">
      <c r="A2025" s="2">
        <v>3514</v>
      </c>
      <c r="B2025" s="2"/>
      <c r="C2025" s="2"/>
      <c r="D2025" s="2"/>
      <c r="E2025" s="2"/>
      <c r="F2025" s="132">
        <v>0</v>
      </c>
      <c r="G2025" s="132"/>
      <c r="H2025" s="132">
        <f t="shared" si="227"/>
        <v>0</v>
      </c>
      <c r="I2025" s="132"/>
      <c r="J2025" s="132">
        <f t="shared" si="232"/>
        <v>0</v>
      </c>
      <c r="K2025" s="132">
        <f t="shared" si="228"/>
        <v>0</v>
      </c>
      <c r="L2025" s="132">
        <f t="shared" si="229"/>
        <v>0</v>
      </c>
      <c r="M2025" s="133"/>
      <c r="N2025" s="133">
        <f t="shared" si="226"/>
        <v>0</v>
      </c>
      <c r="O2025" s="134"/>
      <c r="P2025" s="133"/>
      <c r="Q2025" s="2"/>
      <c r="R2025" s="156">
        <f t="shared" si="230"/>
        <v>0</v>
      </c>
      <c r="S2025" s="156">
        <f t="shared" si="231"/>
        <v>0</v>
      </c>
      <c r="T2025" s="133"/>
      <c r="U2025" s="133"/>
      <c r="V2025" s="133"/>
      <c r="W2025" s="133"/>
      <c r="X2025" s="133"/>
      <c r="Y2025" s="133"/>
      <c r="Z2025" s="133"/>
      <c r="AA2025" s="133"/>
      <c r="AB2025" s="133"/>
      <c r="AC2025" s="133"/>
      <c r="AD2025" s="133"/>
      <c r="AE2025" s="133"/>
      <c r="AF2025" s="133"/>
      <c r="AG2025" s="133"/>
      <c r="AH2025" s="133"/>
      <c r="AI2025" s="133"/>
      <c r="AJ2025" s="133"/>
      <c r="AK2025" s="133"/>
      <c r="AL2025" s="133"/>
      <c r="AM2025" s="133"/>
      <c r="AN2025" s="133"/>
      <c r="AO2025" s="133"/>
      <c r="AP2025" s="133"/>
      <c r="AQ2025" s="133"/>
      <c r="AR2025" s="133"/>
      <c r="AS2025" s="153">
        <v>0</v>
      </c>
      <c r="AT2025" s="153">
        <v>0</v>
      </c>
      <c r="AU2025" s="153">
        <v>0</v>
      </c>
      <c r="AV2025" s="135"/>
      <c r="AW2025" s="135"/>
      <c r="AX2025" s="135"/>
      <c r="AY2025" s="135"/>
      <c r="AZ2025" s="135"/>
      <c r="BA2025" s="135"/>
      <c r="BB2025" s="135"/>
      <c r="BC2025" s="135"/>
      <c r="BD2025" s="135"/>
      <c r="BE2025" s="135"/>
      <c r="BF2025" s="135"/>
      <c r="BG2025" s="135"/>
      <c r="BH2025" s="135"/>
      <c r="BI2025" s="2"/>
      <c r="BJ2025" s="136"/>
      <c r="BK2025" s="2"/>
      <c r="BL2025" s="136"/>
      <c r="BM2025" s="136"/>
      <c r="BN2025" s="2"/>
      <c r="BO2025" s="2"/>
      <c r="BP2025" s="136"/>
      <c r="BQ2025" s="137"/>
    </row>
    <row r="2026" spans="1:69" ht="12.75" customHeight="1" x14ac:dyDescent="0.2">
      <c r="A2026" s="2">
        <v>3515</v>
      </c>
      <c r="B2026" s="2"/>
      <c r="C2026" s="2"/>
      <c r="D2026" s="2"/>
      <c r="E2026" s="2"/>
      <c r="F2026" s="132">
        <v>0</v>
      </c>
      <c r="G2026" s="132"/>
      <c r="H2026" s="132">
        <f t="shared" si="227"/>
        <v>0</v>
      </c>
      <c r="I2026" s="132"/>
      <c r="J2026" s="132">
        <f t="shared" si="232"/>
        <v>0</v>
      </c>
      <c r="K2026" s="132">
        <f t="shared" si="228"/>
        <v>0</v>
      </c>
      <c r="L2026" s="132">
        <f t="shared" si="229"/>
        <v>0</v>
      </c>
      <c r="M2026" s="133"/>
      <c r="N2026" s="133">
        <f t="shared" ref="N2026:N2089" si="233">IF(OR(BK2026="принят",BK2026="Завершено",BK2026="ПриПро"),H2026-J2026,F2026-J2026)</f>
        <v>0</v>
      </c>
      <c r="O2026" s="134"/>
      <c r="P2026" s="133"/>
      <c r="Q2026" s="2"/>
      <c r="R2026" s="156">
        <f t="shared" si="230"/>
        <v>0</v>
      </c>
      <c r="S2026" s="156">
        <f t="shared" si="231"/>
        <v>0</v>
      </c>
      <c r="T2026" s="133"/>
      <c r="U2026" s="133"/>
      <c r="V2026" s="133"/>
      <c r="W2026" s="133"/>
      <c r="X2026" s="133"/>
      <c r="Y2026" s="133"/>
      <c r="Z2026" s="133"/>
      <c r="AA2026" s="133"/>
      <c r="AB2026" s="133"/>
      <c r="AC2026" s="133"/>
      <c r="AD2026" s="133"/>
      <c r="AE2026" s="133"/>
      <c r="AF2026" s="133"/>
      <c r="AG2026" s="133"/>
      <c r="AH2026" s="133"/>
      <c r="AI2026" s="133"/>
      <c r="AJ2026" s="133"/>
      <c r="AK2026" s="133"/>
      <c r="AL2026" s="133"/>
      <c r="AM2026" s="133"/>
      <c r="AN2026" s="133"/>
      <c r="AO2026" s="133"/>
      <c r="AP2026" s="133"/>
      <c r="AQ2026" s="133"/>
      <c r="AR2026" s="133"/>
      <c r="AS2026" s="153">
        <v>0</v>
      </c>
      <c r="AT2026" s="153">
        <v>0</v>
      </c>
      <c r="AU2026" s="153">
        <v>0</v>
      </c>
      <c r="AV2026" s="135"/>
      <c r="AW2026" s="135"/>
      <c r="AX2026" s="135"/>
      <c r="AY2026" s="135"/>
      <c r="AZ2026" s="135"/>
      <c r="BA2026" s="135"/>
      <c r="BB2026" s="135"/>
      <c r="BC2026" s="135"/>
      <c r="BD2026" s="135"/>
      <c r="BE2026" s="135"/>
      <c r="BF2026" s="135"/>
      <c r="BG2026" s="135"/>
      <c r="BH2026" s="135"/>
      <c r="BI2026" s="2"/>
      <c r="BJ2026" s="136"/>
      <c r="BK2026" s="2"/>
      <c r="BL2026" s="136"/>
      <c r="BM2026" s="136"/>
      <c r="BN2026" s="2"/>
      <c r="BO2026" s="2"/>
      <c r="BP2026" s="136"/>
      <c r="BQ2026" s="137"/>
    </row>
    <row r="2027" spans="1:69" ht="12.75" customHeight="1" x14ac:dyDescent="0.2">
      <c r="A2027" s="2">
        <v>3516</v>
      </c>
      <c r="B2027" s="2"/>
      <c r="C2027" s="2"/>
      <c r="D2027" s="2"/>
      <c r="E2027" s="2"/>
      <c r="F2027" s="132">
        <v>0</v>
      </c>
      <c r="G2027" s="132"/>
      <c r="H2027" s="132">
        <f t="shared" si="227"/>
        <v>0</v>
      </c>
      <c r="I2027" s="132"/>
      <c r="J2027" s="132">
        <f t="shared" si="232"/>
        <v>0</v>
      </c>
      <c r="K2027" s="132">
        <f t="shared" si="228"/>
        <v>0</v>
      </c>
      <c r="L2027" s="132">
        <f t="shared" si="229"/>
        <v>0</v>
      </c>
      <c r="M2027" s="133"/>
      <c r="N2027" s="133">
        <f t="shared" si="233"/>
        <v>0</v>
      </c>
      <c r="O2027" s="134"/>
      <c r="P2027" s="133"/>
      <c r="Q2027" s="2"/>
      <c r="R2027" s="156">
        <f t="shared" si="230"/>
        <v>0</v>
      </c>
      <c r="S2027" s="156">
        <f t="shared" si="231"/>
        <v>0</v>
      </c>
      <c r="T2027" s="133"/>
      <c r="U2027" s="133"/>
      <c r="V2027" s="133"/>
      <c r="W2027" s="133"/>
      <c r="X2027" s="133"/>
      <c r="Y2027" s="133"/>
      <c r="Z2027" s="133"/>
      <c r="AA2027" s="133"/>
      <c r="AB2027" s="133"/>
      <c r="AC2027" s="133"/>
      <c r="AD2027" s="133"/>
      <c r="AE2027" s="133"/>
      <c r="AF2027" s="133"/>
      <c r="AG2027" s="133"/>
      <c r="AH2027" s="133"/>
      <c r="AI2027" s="133"/>
      <c r="AJ2027" s="133"/>
      <c r="AK2027" s="133"/>
      <c r="AL2027" s="133"/>
      <c r="AM2027" s="133"/>
      <c r="AN2027" s="133"/>
      <c r="AO2027" s="133"/>
      <c r="AP2027" s="133"/>
      <c r="AQ2027" s="133"/>
      <c r="AR2027" s="133"/>
      <c r="AS2027" s="153">
        <v>0</v>
      </c>
      <c r="AT2027" s="153">
        <v>0</v>
      </c>
      <c r="AU2027" s="153">
        <v>0</v>
      </c>
      <c r="AV2027" s="135"/>
      <c r="AW2027" s="135"/>
      <c r="AX2027" s="135"/>
      <c r="AY2027" s="135"/>
      <c r="AZ2027" s="135"/>
      <c r="BA2027" s="135"/>
      <c r="BB2027" s="135"/>
      <c r="BC2027" s="135"/>
      <c r="BD2027" s="135"/>
      <c r="BE2027" s="135"/>
      <c r="BF2027" s="135"/>
      <c r="BG2027" s="135"/>
      <c r="BH2027" s="135"/>
      <c r="BI2027" s="2"/>
      <c r="BJ2027" s="136"/>
      <c r="BK2027" s="2"/>
      <c r="BL2027" s="136"/>
      <c r="BM2027" s="136"/>
      <c r="BN2027" s="2"/>
      <c r="BO2027" s="2"/>
      <c r="BP2027" s="136"/>
      <c r="BQ2027" s="137"/>
    </row>
    <row r="2028" spans="1:69" ht="12.75" customHeight="1" x14ac:dyDescent="0.2">
      <c r="A2028" s="2">
        <v>3517</v>
      </c>
      <c r="B2028" s="2"/>
      <c r="C2028" s="2"/>
      <c r="D2028" s="2"/>
      <c r="E2028" s="2"/>
      <c r="F2028" s="132">
        <v>0</v>
      </c>
      <c r="G2028" s="132"/>
      <c r="H2028" s="132">
        <f t="shared" si="227"/>
        <v>0</v>
      </c>
      <c r="I2028" s="132"/>
      <c r="J2028" s="132">
        <f t="shared" si="232"/>
        <v>0</v>
      </c>
      <c r="K2028" s="132">
        <f t="shared" si="228"/>
        <v>0</v>
      </c>
      <c r="L2028" s="132">
        <f t="shared" si="229"/>
        <v>0</v>
      </c>
      <c r="M2028" s="133"/>
      <c r="N2028" s="133">
        <f t="shared" si="233"/>
        <v>0</v>
      </c>
      <c r="O2028" s="134"/>
      <c r="P2028" s="133"/>
      <c r="Q2028" s="2"/>
      <c r="R2028" s="156">
        <f t="shared" si="230"/>
        <v>0</v>
      </c>
      <c r="S2028" s="156">
        <f t="shared" si="231"/>
        <v>0</v>
      </c>
      <c r="T2028" s="133"/>
      <c r="U2028" s="133"/>
      <c r="V2028" s="133"/>
      <c r="W2028" s="133"/>
      <c r="X2028" s="133"/>
      <c r="Y2028" s="133"/>
      <c r="Z2028" s="133"/>
      <c r="AA2028" s="133"/>
      <c r="AB2028" s="133"/>
      <c r="AC2028" s="133"/>
      <c r="AD2028" s="133"/>
      <c r="AE2028" s="133"/>
      <c r="AF2028" s="133"/>
      <c r="AG2028" s="133"/>
      <c r="AH2028" s="133"/>
      <c r="AI2028" s="133"/>
      <c r="AJ2028" s="133"/>
      <c r="AK2028" s="133"/>
      <c r="AL2028" s="133"/>
      <c r="AM2028" s="133"/>
      <c r="AN2028" s="133"/>
      <c r="AO2028" s="133"/>
      <c r="AP2028" s="133"/>
      <c r="AQ2028" s="133"/>
      <c r="AR2028" s="133"/>
      <c r="AS2028" s="153">
        <v>0</v>
      </c>
      <c r="AT2028" s="153">
        <v>0</v>
      </c>
      <c r="AU2028" s="153">
        <v>0</v>
      </c>
      <c r="AV2028" s="135"/>
      <c r="AW2028" s="135"/>
      <c r="AX2028" s="135"/>
      <c r="AY2028" s="135"/>
      <c r="AZ2028" s="135"/>
      <c r="BA2028" s="135"/>
      <c r="BB2028" s="135"/>
      <c r="BC2028" s="135"/>
      <c r="BD2028" s="135"/>
      <c r="BE2028" s="135"/>
      <c r="BF2028" s="135"/>
      <c r="BG2028" s="135"/>
      <c r="BH2028" s="135"/>
      <c r="BI2028" s="2"/>
      <c r="BJ2028" s="136"/>
      <c r="BK2028" s="2"/>
      <c r="BL2028" s="136"/>
      <c r="BM2028" s="136"/>
      <c r="BN2028" s="2"/>
      <c r="BO2028" s="2"/>
      <c r="BP2028" s="136"/>
      <c r="BQ2028" s="137"/>
    </row>
    <row r="2029" spans="1:69" ht="12.75" customHeight="1" x14ac:dyDescent="0.2">
      <c r="A2029" s="2">
        <v>3518</v>
      </c>
      <c r="B2029" s="2"/>
      <c r="C2029" s="2"/>
      <c r="D2029" s="2"/>
      <c r="E2029" s="2"/>
      <c r="F2029" s="132">
        <v>0</v>
      </c>
      <c r="G2029" s="132"/>
      <c r="H2029" s="132">
        <f t="shared" si="227"/>
        <v>0</v>
      </c>
      <c r="I2029" s="132"/>
      <c r="J2029" s="132">
        <f t="shared" si="232"/>
        <v>0</v>
      </c>
      <c r="K2029" s="132">
        <f t="shared" si="228"/>
        <v>0</v>
      </c>
      <c r="L2029" s="132">
        <f t="shared" si="229"/>
        <v>0</v>
      </c>
      <c r="M2029" s="133"/>
      <c r="N2029" s="133">
        <f t="shared" si="233"/>
        <v>0</v>
      </c>
      <c r="O2029" s="134"/>
      <c r="P2029" s="133"/>
      <c r="Q2029" s="2"/>
      <c r="R2029" s="156">
        <f t="shared" si="230"/>
        <v>0</v>
      </c>
      <c r="S2029" s="156">
        <f t="shared" si="231"/>
        <v>0</v>
      </c>
      <c r="T2029" s="133"/>
      <c r="U2029" s="133"/>
      <c r="V2029" s="133"/>
      <c r="W2029" s="133"/>
      <c r="X2029" s="133"/>
      <c r="Y2029" s="133"/>
      <c r="Z2029" s="133"/>
      <c r="AA2029" s="133"/>
      <c r="AB2029" s="133"/>
      <c r="AC2029" s="133"/>
      <c r="AD2029" s="133"/>
      <c r="AE2029" s="133"/>
      <c r="AF2029" s="133"/>
      <c r="AG2029" s="133"/>
      <c r="AH2029" s="133"/>
      <c r="AI2029" s="133"/>
      <c r="AJ2029" s="133"/>
      <c r="AK2029" s="133"/>
      <c r="AL2029" s="133"/>
      <c r="AM2029" s="133"/>
      <c r="AN2029" s="133"/>
      <c r="AO2029" s="133"/>
      <c r="AP2029" s="133"/>
      <c r="AQ2029" s="133"/>
      <c r="AR2029" s="133"/>
      <c r="AS2029" s="153">
        <v>0</v>
      </c>
      <c r="AT2029" s="153">
        <v>0</v>
      </c>
      <c r="AU2029" s="153">
        <v>0</v>
      </c>
      <c r="AV2029" s="135"/>
      <c r="AW2029" s="135"/>
      <c r="AX2029" s="135"/>
      <c r="AY2029" s="135"/>
      <c r="AZ2029" s="135"/>
      <c r="BA2029" s="135"/>
      <c r="BB2029" s="135"/>
      <c r="BC2029" s="135"/>
      <c r="BD2029" s="135"/>
      <c r="BE2029" s="135"/>
      <c r="BF2029" s="135"/>
      <c r="BG2029" s="135"/>
      <c r="BH2029" s="135"/>
      <c r="BI2029" s="2"/>
      <c r="BJ2029" s="136"/>
      <c r="BK2029" s="2"/>
      <c r="BL2029" s="136"/>
      <c r="BM2029" s="136"/>
      <c r="BN2029" s="2"/>
      <c r="BO2029" s="2"/>
      <c r="BP2029" s="136"/>
      <c r="BQ2029" s="137"/>
    </row>
    <row r="2030" spans="1:69" ht="12.75" customHeight="1" x14ac:dyDescent="0.2">
      <c r="A2030" s="2">
        <v>3519</v>
      </c>
      <c r="B2030" s="2"/>
      <c r="C2030" s="2"/>
      <c r="D2030" s="2"/>
      <c r="E2030" s="2"/>
      <c r="F2030" s="132">
        <v>0</v>
      </c>
      <c r="G2030" s="132"/>
      <c r="H2030" s="132">
        <f t="shared" ref="H2030:H2093" si="234">R2030</f>
        <v>0</v>
      </c>
      <c r="I2030" s="132"/>
      <c r="J2030" s="132">
        <f t="shared" si="232"/>
        <v>0</v>
      </c>
      <c r="K2030" s="132">
        <f t="shared" si="228"/>
        <v>0</v>
      </c>
      <c r="L2030" s="132">
        <f t="shared" si="229"/>
        <v>0</v>
      </c>
      <c r="M2030" s="133"/>
      <c r="N2030" s="133">
        <f t="shared" si="233"/>
        <v>0</v>
      </c>
      <c r="O2030" s="134"/>
      <c r="P2030" s="133"/>
      <c r="Q2030" s="2"/>
      <c r="R2030" s="156">
        <f t="shared" si="230"/>
        <v>0</v>
      </c>
      <c r="S2030" s="156">
        <f t="shared" si="231"/>
        <v>0</v>
      </c>
      <c r="T2030" s="133"/>
      <c r="U2030" s="133"/>
      <c r="V2030" s="133"/>
      <c r="W2030" s="133"/>
      <c r="X2030" s="133"/>
      <c r="Y2030" s="133"/>
      <c r="Z2030" s="133"/>
      <c r="AA2030" s="133"/>
      <c r="AB2030" s="133"/>
      <c r="AC2030" s="133"/>
      <c r="AD2030" s="133"/>
      <c r="AE2030" s="133"/>
      <c r="AF2030" s="133"/>
      <c r="AG2030" s="133"/>
      <c r="AH2030" s="133"/>
      <c r="AI2030" s="133"/>
      <c r="AJ2030" s="133"/>
      <c r="AK2030" s="133"/>
      <c r="AL2030" s="133"/>
      <c r="AM2030" s="133"/>
      <c r="AN2030" s="133"/>
      <c r="AO2030" s="133"/>
      <c r="AP2030" s="133"/>
      <c r="AQ2030" s="133"/>
      <c r="AR2030" s="133"/>
      <c r="AS2030" s="153">
        <v>0</v>
      </c>
      <c r="AT2030" s="153">
        <v>0</v>
      </c>
      <c r="AU2030" s="153">
        <v>0</v>
      </c>
      <c r="AV2030" s="135"/>
      <c r="AW2030" s="135"/>
      <c r="AX2030" s="135"/>
      <c r="AY2030" s="135"/>
      <c r="AZ2030" s="135"/>
      <c r="BA2030" s="135"/>
      <c r="BB2030" s="135"/>
      <c r="BC2030" s="135"/>
      <c r="BD2030" s="135"/>
      <c r="BE2030" s="135"/>
      <c r="BF2030" s="135"/>
      <c r="BG2030" s="135"/>
      <c r="BH2030" s="135"/>
      <c r="BI2030" s="2"/>
      <c r="BJ2030" s="136"/>
      <c r="BK2030" s="2"/>
      <c r="BL2030" s="136"/>
      <c r="BM2030" s="136"/>
      <c r="BN2030" s="2"/>
      <c r="BO2030" s="2"/>
      <c r="BP2030" s="136"/>
      <c r="BQ2030" s="137"/>
    </row>
    <row r="2031" spans="1:69" ht="12.75" customHeight="1" x14ac:dyDescent="0.2">
      <c r="A2031" s="2">
        <v>3520</v>
      </c>
      <c r="B2031" s="2"/>
      <c r="C2031" s="2"/>
      <c r="D2031" s="2"/>
      <c r="E2031" s="2"/>
      <c r="F2031" s="132">
        <v>0</v>
      </c>
      <c r="G2031" s="132"/>
      <c r="H2031" s="132">
        <f t="shared" si="234"/>
        <v>0</v>
      </c>
      <c r="I2031" s="132"/>
      <c r="J2031" s="132">
        <f t="shared" si="232"/>
        <v>0</v>
      </c>
      <c r="K2031" s="132">
        <f t="shared" si="228"/>
        <v>0</v>
      </c>
      <c r="L2031" s="132">
        <f t="shared" si="229"/>
        <v>0</v>
      </c>
      <c r="M2031" s="133"/>
      <c r="N2031" s="133">
        <f t="shared" si="233"/>
        <v>0</v>
      </c>
      <c r="O2031" s="134"/>
      <c r="P2031" s="133"/>
      <c r="Q2031" s="2"/>
      <c r="R2031" s="156">
        <f t="shared" si="230"/>
        <v>0</v>
      </c>
      <c r="S2031" s="156">
        <f t="shared" si="231"/>
        <v>0</v>
      </c>
      <c r="T2031" s="133"/>
      <c r="U2031" s="133"/>
      <c r="V2031" s="133"/>
      <c r="W2031" s="133"/>
      <c r="X2031" s="133"/>
      <c r="Y2031" s="133"/>
      <c r="Z2031" s="133"/>
      <c r="AA2031" s="133"/>
      <c r="AB2031" s="133"/>
      <c r="AC2031" s="133"/>
      <c r="AD2031" s="133"/>
      <c r="AE2031" s="133"/>
      <c r="AF2031" s="133"/>
      <c r="AG2031" s="133"/>
      <c r="AH2031" s="133"/>
      <c r="AI2031" s="133"/>
      <c r="AJ2031" s="133"/>
      <c r="AK2031" s="133"/>
      <c r="AL2031" s="133"/>
      <c r="AM2031" s="133"/>
      <c r="AN2031" s="133"/>
      <c r="AO2031" s="133"/>
      <c r="AP2031" s="133"/>
      <c r="AQ2031" s="133"/>
      <c r="AR2031" s="133"/>
      <c r="AS2031" s="153">
        <v>0</v>
      </c>
      <c r="AT2031" s="153">
        <v>0</v>
      </c>
      <c r="AU2031" s="153">
        <v>0</v>
      </c>
      <c r="AV2031" s="135"/>
      <c r="AW2031" s="135"/>
      <c r="AX2031" s="135"/>
      <c r="AY2031" s="135"/>
      <c r="AZ2031" s="135"/>
      <c r="BA2031" s="135"/>
      <c r="BB2031" s="135"/>
      <c r="BC2031" s="135"/>
      <c r="BD2031" s="135"/>
      <c r="BE2031" s="135"/>
      <c r="BF2031" s="135"/>
      <c r="BG2031" s="135"/>
      <c r="BH2031" s="135"/>
      <c r="BI2031" s="2"/>
      <c r="BJ2031" s="136"/>
      <c r="BK2031" s="2"/>
      <c r="BL2031" s="136"/>
      <c r="BM2031" s="136"/>
      <c r="BN2031" s="2"/>
      <c r="BO2031" s="2"/>
      <c r="BP2031" s="136"/>
      <c r="BQ2031" s="137"/>
    </row>
    <row r="2032" spans="1:69" ht="12.75" customHeight="1" x14ac:dyDescent="0.2">
      <c r="A2032" s="2">
        <v>3521</v>
      </c>
      <c r="B2032" s="2"/>
      <c r="C2032" s="2"/>
      <c r="D2032" s="2"/>
      <c r="E2032" s="2"/>
      <c r="F2032" s="132">
        <v>0</v>
      </c>
      <c r="G2032" s="132"/>
      <c r="H2032" s="132">
        <f t="shared" si="234"/>
        <v>0</v>
      </c>
      <c r="I2032" s="132"/>
      <c r="J2032" s="132">
        <f t="shared" si="232"/>
        <v>0</v>
      </c>
      <c r="K2032" s="132">
        <f t="shared" si="228"/>
        <v>0</v>
      </c>
      <c r="L2032" s="132">
        <f t="shared" si="229"/>
        <v>0</v>
      </c>
      <c r="M2032" s="133"/>
      <c r="N2032" s="133">
        <f t="shared" si="233"/>
        <v>0</v>
      </c>
      <c r="O2032" s="134"/>
      <c r="P2032" s="133"/>
      <c r="Q2032" s="2"/>
      <c r="R2032" s="156">
        <f t="shared" si="230"/>
        <v>0</v>
      </c>
      <c r="S2032" s="156">
        <f t="shared" si="231"/>
        <v>0</v>
      </c>
      <c r="T2032" s="133"/>
      <c r="U2032" s="133"/>
      <c r="V2032" s="133"/>
      <c r="W2032" s="133"/>
      <c r="X2032" s="133"/>
      <c r="Y2032" s="133"/>
      <c r="Z2032" s="133"/>
      <c r="AA2032" s="133"/>
      <c r="AB2032" s="133"/>
      <c r="AC2032" s="133"/>
      <c r="AD2032" s="133"/>
      <c r="AE2032" s="133"/>
      <c r="AF2032" s="133"/>
      <c r="AG2032" s="133"/>
      <c r="AH2032" s="133"/>
      <c r="AI2032" s="133"/>
      <c r="AJ2032" s="133"/>
      <c r="AK2032" s="133"/>
      <c r="AL2032" s="133"/>
      <c r="AM2032" s="133"/>
      <c r="AN2032" s="133"/>
      <c r="AO2032" s="133"/>
      <c r="AP2032" s="133"/>
      <c r="AQ2032" s="133"/>
      <c r="AR2032" s="133"/>
      <c r="AS2032" s="153">
        <v>0</v>
      </c>
      <c r="AT2032" s="153">
        <v>0</v>
      </c>
      <c r="AU2032" s="153">
        <v>0</v>
      </c>
      <c r="AV2032" s="135"/>
      <c r="AW2032" s="135"/>
      <c r="AX2032" s="135"/>
      <c r="AY2032" s="135"/>
      <c r="AZ2032" s="135"/>
      <c r="BA2032" s="135"/>
      <c r="BB2032" s="135"/>
      <c r="BC2032" s="135"/>
      <c r="BD2032" s="135"/>
      <c r="BE2032" s="135"/>
      <c r="BF2032" s="135"/>
      <c r="BG2032" s="135"/>
      <c r="BH2032" s="135"/>
      <c r="BI2032" s="2"/>
      <c r="BJ2032" s="136"/>
      <c r="BK2032" s="2"/>
      <c r="BL2032" s="136"/>
      <c r="BM2032" s="136"/>
      <c r="BN2032" s="2"/>
      <c r="BO2032" s="2"/>
      <c r="BP2032" s="136"/>
      <c r="BQ2032" s="137"/>
    </row>
    <row r="2033" spans="1:69" ht="12.75" customHeight="1" x14ac:dyDescent="0.2">
      <c r="A2033" s="2">
        <v>3522</v>
      </c>
      <c r="B2033" s="2"/>
      <c r="C2033" s="2"/>
      <c r="D2033" s="2"/>
      <c r="E2033" s="2"/>
      <c r="F2033" s="132">
        <v>0</v>
      </c>
      <c r="G2033" s="132"/>
      <c r="H2033" s="132">
        <f t="shared" si="234"/>
        <v>0</v>
      </c>
      <c r="I2033" s="132"/>
      <c r="J2033" s="132">
        <f t="shared" si="232"/>
        <v>0</v>
      </c>
      <c r="K2033" s="132">
        <f t="shared" si="228"/>
        <v>0</v>
      </c>
      <c r="L2033" s="132">
        <f t="shared" si="229"/>
        <v>0</v>
      </c>
      <c r="M2033" s="133"/>
      <c r="N2033" s="133">
        <f t="shared" si="233"/>
        <v>0</v>
      </c>
      <c r="O2033" s="134"/>
      <c r="P2033" s="133"/>
      <c r="Q2033" s="2"/>
      <c r="R2033" s="156">
        <f t="shared" si="230"/>
        <v>0</v>
      </c>
      <c r="S2033" s="156">
        <f t="shared" si="231"/>
        <v>0</v>
      </c>
      <c r="T2033" s="133"/>
      <c r="U2033" s="133"/>
      <c r="V2033" s="133"/>
      <c r="W2033" s="133"/>
      <c r="X2033" s="133"/>
      <c r="Y2033" s="133"/>
      <c r="Z2033" s="133"/>
      <c r="AA2033" s="133"/>
      <c r="AB2033" s="133"/>
      <c r="AC2033" s="133"/>
      <c r="AD2033" s="133"/>
      <c r="AE2033" s="133"/>
      <c r="AF2033" s="133"/>
      <c r="AG2033" s="133"/>
      <c r="AH2033" s="133"/>
      <c r="AI2033" s="133"/>
      <c r="AJ2033" s="133"/>
      <c r="AK2033" s="133"/>
      <c r="AL2033" s="133"/>
      <c r="AM2033" s="133"/>
      <c r="AN2033" s="133"/>
      <c r="AO2033" s="133"/>
      <c r="AP2033" s="133"/>
      <c r="AQ2033" s="133"/>
      <c r="AR2033" s="133"/>
      <c r="AS2033" s="153">
        <v>0</v>
      </c>
      <c r="AT2033" s="153">
        <v>0</v>
      </c>
      <c r="AU2033" s="153">
        <v>0</v>
      </c>
      <c r="AV2033" s="135"/>
      <c r="AW2033" s="135"/>
      <c r="AX2033" s="135"/>
      <c r="AY2033" s="135"/>
      <c r="AZ2033" s="135"/>
      <c r="BA2033" s="135"/>
      <c r="BB2033" s="135"/>
      <c r="BC2033" s="135"/>
      <c r="BD2033" s="135"/>
      <c r="BE2033" s="135"/>
      <c r="BF2033" s="135"/>
      <c r="BG2033" s="135"/>
      <c r="BH2033" s="135"/>
      <c r="BI2033" s="2"/>
      <c r="BJ2033" s="136"/>
      <c r="BK2033" s="2"/>
      <c r="BL2033" s="136"/>
      <c r="BM2033" s="136"/>
      <c r="BN2033" s="2"/>
      <c r="BO2033" s="2"/>
      <c r="BP2033" s="136"/>
      <c r="BQ2033" s="137"/>
    </row>
    <row r="2034" spans="1:69" ht="12.75" customHeight="1" x14ac:dyDescent="0.2">
      <c r="A2034" s="2">
        <v>3523</v>
      </c>
      <c r="B2034" s="2"/>
      <c r="C2034" s="2"/>
      <c r="D2034" s="2"/>
      <c r="E2034" s="2"/>
      <c r="F2034" s="132">
        <v>0</v>
      </c>
      <c r="G2034" s="132"/>
      <c r="H2034" s="132">
        <f t="shared" si="234"/>
        <v>0</v>
      </c>
      <c r="I2034" s="132"/>
      <c r="J2034" s="132">
        <f t="shared" si="232"/>
        <v>0</v>
      </c>
      <c r="K2034" s="132">
        <f t="shared" si="228"/>
        <v>0</v>
      </c>
      <c r="L2034" s="132">
        <f t="shared" si="229"/>
        <v>0</v>
      </c>
      <c r="M2034" s="133"/>
      <c r="N2034" s="133">
        <f t="shared" si="233"/>
        <v>0</v>
      </c>
      <c r="O2034" s="134"/>
      <c r="P2034" s="133"/>
      <c r="Q2034" s="2"/>
      <c r="R2034" s="156">
        <f t="shared" si="230"/>
        <v>0</v>
      </c>
      <c r="S2034" s="156">
        <f t="shared" si="231"/>
        <v>0</v>
      </c>
      <c r="T2034" s="133"/>
      <c r="U2034" s="133"/>
      <c r="V2034" s="133"/>
      <c r="W2034" s="133"/>
      <c r="X2034" s="133"/>
      <c r="Y2034" s="133"/>
      <c r="Z2034" s="133"/>
      <c r="AA2034" s="133"/>
      <c r="AB2034" s="133"/>
      <c r="AC2034" s="133"/>
      <c r="AD2034" s="133"/>
      <c r="AE2034" s="133"/>
      <c r="AF2034" s="133"/>
      <c r="AG2034" s="133"/>
      <c r="AH2034" s="133"/>
      <c r="AI2034" s="133"/>
      <c r="AJ2034" s="133"/>
      <c r="AK2034" s="133"/>
      <c r="AL2034" s="133"/>
      <c r="AM2034" s="133"/>
      <c r="AN2034" s="133"/>
      <c r="AO2034" s="133"/>
      <c r="AP2034" s="133"/>
      <c r="AQ2034" s="133"/>
      <c r="AR2034" s="133"/>
      <c r="AS2034" s="153">
        <v>0</v>
      </c>
      <c r="AT2034" s="153">
        <v>0</v>
      </c>
      <c r="AU2034" s="153">
        <v>0</v>
      </c>
      <c r="AV2034" s="135"/>
      <c r="AW2034" s="135"/>
      <c r="AX2034" s="135"/>
      <c r="AY2034" s="135"/>
      <c r="AZ2034" s="135"/>
      <c r="BA2034" s="135"/>
      <c r="BB2034" s="135"/>
      <c r="BC2034" s="135"/>
      <c r="BD2034" s="135"/>
      <c r="BE2034" s="135"/>
      <c r="BF2034" s="135"/>
      <c r="BG2034" s="135"/>
      <c r="BH2034" s="135"/>
      <c r="BI2034" s="2"/>
      <c r="BJ2034" s="136"/>
      <c r="BK2034" s="2"/>
      <c r="BL2034" s="136"/>
      <c r="BM2034" s="136"/>
      <c r="BN2034" s="2"/>
      <c r="BO2034" s="2"/>
      <c r="BP2034" s="136"/>
      <c r="BQ2034" s="137"/>
    </row>
    <row r="2035" spans="1:69" ht="12.75" customHeight="1" x14ac:dyDescent="0.2">
      <c r="A2035" s="2">
        <v>3524</v>
      </c>
      <c r="B2035" s="2"/>
      <c r="C2035" s="2"/>
      <c r="D2035" s="2"/>
      <c r="E2035" s="2"/>
      <c r="F2035" s="132">
        <v>0</v>
      </c>
      <c r="G2035" s="132"/>
      <c r="H2035" s="132">
        <f t="shared" si="234"/>
        <v>0</v>
      </c>
      <c r="I2035" s="132"/>
      <c r="J2035" s="132">
        <f t="shared" si="232"/>
        <v>0</v>
      </c>
      <c r="K2035" s="132">
        <f t="shared" si="228"/>
        <v>0</v>
      </c>
      <c r="L2035" s="132">
        <f t="shared" si="229"/>
        <v>0</v>
      </c>
      <c r="M2035" s="133"/>
      <c r="N2035" s="133">
        <f t="shared" si="233"/>
        <v>0</v>
      </c>
      <c r="O2035" s="134"/>
      <c r="P2035" s="133"/>
      <c r="Q2035" s="2"/>
      <c r="R2035" s="156">
        <f t="shared" si="230"/>
        <v>0</v>
      </c>
      <c r="S2035" s="156">
        <f t="shared" si="231"/>
        <v>0</v>
      </c>
      <c r="T2035" s="133"/>
      <c r="U2035" s="133"/>
      <c r="V2035" s="133"/>
      <c r="W2035" s="133"/>
      <c r="X2035" s="133"/>
      <c r="Y2035" s="133"/>
      <c r="Z2035" s="133"/>
      <c r="AA2035" s="133"/>
      <c r="AB2035" s="133"/>
      <c r="AC2035" s="133"/>
      <c r="AD2035" s="133"/>
      <c r="AE2035" s="133"/>
      <c r="AF2035" s="133"/>
      <c r="AG2035" s="133"/>
      <c r="AH2035" s="133"/>
      <c r="AI2035" s="133"/>
      <c r="AJ2035" s="133"/>
      <c r="AK2035" s="133"/>
      <c r="AL2035" s="133"/>
      <c r="AM2035" s="133"/>
      <c r="AN2035" s="133"/>
      <c r="AO2035" s="133"/>
      <c r="AP2035" s="133"/>
      <c r="AQ2035" s="133"/>
      <c r="AR2035" s="133"/>
      <c r="AS2035" s="153">
        <v>0</v>
      </c>
      <c r="AT2035" s="153">
        <v>0</v>
      </c>
      <c r="AU2035" s="153">
        <v>0</v>
      </c>
      <c r="AV2035" s="135"/>
      <c r="AW2035" s="135"/>
      <c r="AX2035" s="135"/>
      <c r="AY2035" s="135"/>
      <c r="AZ2035" s="135"/>
      <c r="BA2035" s="135"/>
      <c r="BB2035" s="135"/>
      <c r="BC2035" s="135"/>
      <c r="BD2035" s="135"/>
      <c r="BE2035" s="135"/>
      <c r="BF2035" s="135"/>
      <c r="BG2035" s="135"/>
      <c r="BH2035" s="135"/>
      <c r="BI2035" s="2"/>
      <c r="BJ2035" s="136"/>
      <c r="BK2035" s="2"/>
      <c r="BL2035" s="136"/>
      <c r="BM2035" s="136"/>
      <c r="BN2035" s="2"/>
      <c r="BO2035" s="2"/>
      <c r="BP2035" s="136"/>
      <c r="BQ2035" s="137"/>
    </row>
    <row r="2036" spans="1:69" ht="12.75" customHeight="1" x14ac:dyDescent="0.2">
      <c r="A2036" s="2">
        <v>3525</v>
      </c>
      <c r="B2036" s="2"/>
      <c r="C2036" s="2"/>
      <c r="D2036" s="2"/>
      <c r="E2036" s="2"/>
      <c r="F2036" s="132">
        <v>0</v>
      </c>
      <c r="G2036" s="132"/>
      <c r="H2036" s="132">
        <f t="shared" si="234"/>
        <v>0</v>
      </c>
      <c r="I2036" s="132"/>
      <c r="J2036" s="132">
        <f t="shared" si="232"/>
        <v>0</v>
      </c>
      <c r="K2036" s="132">
        <f t="shared" si="228"/>
        <v>0</v>
      </c>
      <c r="L2036" s="132">
        <f t="shared" si="229"/>
        <v>0</v>
      </c>
      <c r="M2036" s="133"/>
      <c r="N2036" s="133">
        <f t="shared" si="233"/>
        <v>0</v>
      </c>
      <c r="O2036" s="134"/>
      <c r="P2036" s="133"/>
      <c r="Q2036" s="2"/>
      <c r="R2036" s="156">
        <f t="shared" si="230"/>
        <v>0</v>
      </c>
      <c r="S2036" s="156">
        <f t="shared" si="231"/>
        <v>0</v>
      </c>
      <c r="T2036" s="133"/>
      <c r="U2036" s="133"/>
      <c r="V2036" s="133"/>
      <c r="W2036" s="133"/>
      <c r="X2036" s="133"/>
      <c r="Y2036" s="133"/>
      <c r="Z2036" s="133"/>
      <c r="AA2036" s="133"/>
      <c r="AB2036" s="133"/>
      <c r="AC2036" s="133"/>
      <c r="AD2036" s="133"/>
      <c r="AE2036" s="133"/>
      <c r="AF2036" s="133"/>
      <c r="AG2036" s="133"/>
      <c r="AH2036" s="133"/>
      <c r="AI2036" s="133"/>
      <c r="AJ2036" s="133"/>
      <c r="AK2036" s="133"/>
      <c r="AL2036" s="133"/>
      <c r="AM2036" s="133"/>
      <c r="AN2036" s="133"/>
      <c r="AO2036" s="133"/>
      <c r="AP2036" s="133"/>
      <c r="AQ2036" s="133"/>
      <c r="AR2036" s="133"/>
      <c r="AS2036" s="153">
        <v>0</v>
      </c>
      <c r="AT2036" s="153">
        <v>0</v>
      </c>
      <c r="AU2036" s="153">
        <v>0</v>
      </c>
      <c r="AV2036" s="135"/>
      <c r="AW2036" s="135"/>
      <c r="AX2036" s="135"/>
      <c r="AY2036" s="135"/>
      <c r="AZ2036" s="135"/>
      <c r="BA2036" s="135"/>
      <c r="BB2036" s="135"/>
      <c r="BC2036" s="135"/>
      <c r="BD2036" s="135"/>
      <c r="BE2036" s="135"/>
      <c r="BF2036" s="135"/>
      <c r="BG2036" s="135"/>
      <c r="BH2036" s="135"/>
      <c r="BI2036" s="2"/>
      <c r="BJ2036" s="136"/>
      <c r="BK2036" s="2"/>
      <c r="BL2036" s="136"/>
      <c r="BM2036" s="136"/>
      <c r="BN2036" s="2"/>
      <c r="BO2036" s="2"/>
      <c r="BP2036" s="136"/>
      <c r="BQ2036" s="137"/>
    </row>
    <row r="2037" spans="1:69" ht="12.75" customHeight="1" x14ac:dyDescent="0.2">
      <c r="A2037" s="2">
        <v>3526</v>
      </c>
      <c r="B2037" s="2"/>
      <c r="C2037" s="2"/>
      <c r="D2037" s="2"/>
      <c r="E2037" s="2"/>
      <c r="F2037" s="132">
        <v>0</v>
      </c>
      <c r="G2037" s="132"/>
      <c r="H2037" s="132">
        <f t="shared" si="234"/>
        <v>0</v>
      </c>
      <c r="I2037" s="132"/>
      <c r="J2037" s="132">
        <f t="shared" si="232"/>
        <v>0</v>
      </c>
      <c r="K2037" s="132">
        <f t="shared" si="228"/>
        <v>0</v>
      </c>
      <c r="L2037" s="132">
        <f t="shared" si="229"/>
        <v>0</v>
      </c>
      <c r="M2037" s="133"/>
      <c r="N2037" s="133">
        <f t="shared" si="233"/>
        <v>0</v>
      </c>
      <c r="O2037" s="134"/>
      <c r="P2037" s="133"/>
      <c r="Q2037" s="2"/>
      <c r="R2037" s="156">
        <f t="shared" si="230"/>
        <v>0</v>
      </c>
      <c r="S2037" s="156">
        <f t="shared" si="231"/>
        <v>0</v>
      </c>
      <c r="T2037" s="133"/>
      <c r="U2037" s="133"/>
      <c r="V2037" s="133"/>
      <c r="W2037" s="133"/>
      <c r="X2037" s="133"/>
      <c r="Y2037" s="133"/>
      <c r="Z2037" s="133"/>
      <c r="AA2037" s="133"/>
      <c r="AB2037" s="133"/>
      <c r="AC2037" s="133"/>
      <c r="AD2037" s="133"/>
      <c r="AE2037" s="133"/>
      <c r="AF2037" s="133"/>
      <c r="AG2037" s="133"/>
      <c r="AH2037" s="133"/>
      <c r="AI2037" s="133"/>
      <c r="AJ2037" s="133"/>
      <c r="AK2037" s="133"/>
      <c r="AL2037" s="133"/>
      <c r="AM2037" s="133"/>
      <c r="AN2037" s="133"/>
      <c r="AO2037" s="133"/>
      <c r="AP2037" s="133"/>
      <c r="AQ2037" s="133"/>
      <c r="AR2037" s="133"/>
      <c r="AS2037" s="153">
        <v>0</v>
      </c>
      <c r="AT2037" s="153">
        <v>0</v>
      </c>
      <c r="AU2037" s="153">
        <v>0</v>
      </c>
      <c r="AV2037" s="135"/>
      <c r="AW2037" s="135"/>
      <c r="AX2037" s="135"/>
      <c r="AY2037" s="135"/>
      <c r="AZ2037" s="135"/>
      <c r="BA2037" s="135"/>
      <c r="BB2037" s="135"/>
      <c r="BC2037" s="135"/>
      <c r="BD2037" s="135"/>
      <c r="BE2037" s="135"/>
      <c r="BF2037" s="135"/>
      <c r="BG2037" s="135"/>
      <c r="BH2037" s="135"/>
      <c r="BI2037" s="2"/>
      <c r="BJ2037" s="136"/>
      <c r="BK2037" s="2"/>
      <c r="BL2037" s="136"/>
      <c r="BM2037" s="136"/>
      <c r="BN2037" s="2"/>
      <c r="BO2037" s="2"/>
      <c r="BP2037" s="136"/>
      <c r="BQ2037" s="137"/>
    </row>
    <row r="2038" spans="1:69" ht="12.75" customHeight="1" x14ac:dyDescent="0.2">
      <c r="A2038" s="2">
        <v>3527</v>
      </c>
      <c r="B2038" s="2"/>
      <c r="C2038" s="2"/>
      <c r="D2038" s="2"/>
      <c r="E2038" s="2"/>
      <c r="F2038" s="132">
        <v>0</v>
      </c>
      <c r="G2038" s="132"/>
      <c r="H2038" s="132">
        <f t="shared" si="234"/>
        <v>0</v>
      </c>
      <c r="I2038" s="132"/>
      <c r="J2038" s="132">
        <f t="shared" si="232"/>
        <v>0</v>
      </c>
      <c r="K2038" s="132">
        <f t="shared" ref="K2038:K2101" si="235">F2038-J2038</f>
        <v>0</v>
      </c>
      <c r="L2038" s="132">
        <f t="shared" si="229"/>
        <v>0</v>
      </c>
      <c r="M2038" s="133"/>
      <c r="N2038" s="133">
        <f t="shared" si="233"/>
        <v>0</v>
      </c>
      <c r="O2038" s="134"/>
      <c r="P2038" s="133"/>
      <c r="Q2038" s="2"/>
      <c r="R2038" s="156">
        <f t="shared" si="230"/>
        <v>0</v>
      </c>
      <c r="S2038" s="156">
        <f t="shared" si="231"/>
        <v>0</v>
      </c>
      <c r="T2038" s="133"/>
      <c r="U2038" s="133"/>
      <c r="V2038" s="133"/>
      <c r="W2038" s="133"/>
      <c r="X2038" s="133"/>
      <c r="Y2038" s="133"/>
      <c r="Z2038" s="133"/>
      <c r="AA2038" s="133"/>
      <c r="AB2038" s="133"/>
      <c r="AC2038" s="133"/>
      <c r="AD2038" s="133"/>
      <c r="AE2038" s="133"/>
      <c r="AF2038" s="133"/>
      <c r="AG2038" s="133"/>
      <c r="AH2038" s="133"/>
      <c r="AI2038" s="133"/>
      <c r="AJ2038" s="133"/>
      <c r="AK2038" s="133"/>
      <c r="AL2038" s="133"/>
      <c r="AM2038" s="133"/>
      <c r="AN2038" s="133"/>
      <c r="AO2038" s="133"/>
      <c r="AP2038" s="133"/>
      <c r="AQ2038" s="133"/>
      <c r="AR2038" s="133"/>
      <c r="AS2038" s="153">
        <v>0</v>
      </c>
      <c r="AT2038" s="153">
        <v>0</v>
      </c>
      <c r="AU2038" s="153">
        <v>0</v>
      </c>
      <c r="AV2038" s="135"/>
      <c r="AW2038" s="135"/>
      <c r="AX2038" s="135"/>
      <c r="AY2038" s="135"/>
      <c r="AZ2038" s="135"/>
      <c r="BA2038" s="135"/>
      <c r="BB2038" s="135"/>
      <c r="BC2038" s="135"/>
      <c r="BD2038" s="135"/>
      <c r="BE2038" s="135"/>
      <c r="BF2038" s="135"/>
      <c r="BG2038" s="135"/>
      <c r="BH2038" s="135"/>
      <c r="BI2038" s="2"/>
      <c r="BJ2038" s="136"/>
      <c r="BK2038" s="2"/>
      <c r="BL2038" s="136"/>
      <c r="BM2038" s="136"/>
      <c r="BN2038" s="2"/>
      <c r="BO2038" s="2"/>
      <c r="BP2038" s="136"/>
      <c r="BQ2038" s="137"/>
    </row>
    <row r="2039" spans="1:69" ht="12.75" customHeight="1" x14ac:dyDescent="0.2">
      <c r="A2039" s="2">
        <v>3528</v>
      </c>
      <c r="B2039" s="2"/>
      <c r="C2039" s="2"/>
      <c r="D2039" s="2"/>
      <c r="E2039" s="2"/>
      <c r="F2039" s="132">
        <v>0</v>
      </c>
      <c r="G2039" s="132"/>
      <c r="H2039" s="132">
        <f t="shared" si="234"/>
        <v>0</v>
      </c>
      <c r="I2039" s="132"/>
      <c r="J2039" s="132">
        <f t="shared" si="232"/>
        <v>0</v>
      </c>
      <c r="K2039" s="132">
        <f t="shared" si="235"/>
        <v>0</v>
      </c>
      <c r="L2039" s="132">
        <f t="shared" si="229"/>
        <v>0</v>
      </c>
      <c r="M2039" s="133"/>
      <c r="N2039" s="133">
        <f t="shared" si="233"/>
        <v>0</v>
      </c>
      <c r="O2039" s="134"/>
      <c r="P2039" s="133"/>
      <c r="Q2039" s="2"/>
      <c r="R2039" s="156">
        <f t="shared" si="230"/>
        <v>0</v>
      </c>
      <c r="S2039" s="156">
        <f t="shared" si="231"/>
        <v>0</v>
      </c>
      <c r="T2039" s="133"/>
      <c r="U2039" s="133"/>
      <c r="V2039" s="133"/>
      <c r="W2039" s="133"/>
      <c r="X2039" s="133"/>
      <c r="Y2039" s="133"/>
      <c r="Z2039" s="133"/>
      <c r="AA2039" s="133"/>
      <c r="AB2039" s="133"/>
      <c r="AC2039" s="133"/>
      <c r="AD2039" s="133"/>
      <c r="AE2039" s="133"/>
      <c r="AF2039" s="133"/>
      <c r="AG2039" s="133"/>
      <c r="AH2039" s="133"/>
      <c r="AI2039" s="133"/>
      <c r="AJ2039" s="133"/>
      <c r="AK2039" s="133"/>
      <c r="AL2039" s="133"/>
      <c r="AM2039" s="133"/>
      <c r="AN2039" s="133"/>
      <c r="AO2039" s="133"/>
      <c r="AP2039" s="133"/>
      <c r="AQ2039" s="133"/>
      <c r="AR2039" s="133"/>
      <c r="AS2039" s="153">
        <v>0</v>
      </c>
      <c r="AT2039" s="153">
        <v>0</v>
      </c>
      <c r="AU2039" s="153">
        <v>0</v>
      </c>
      <c r="AV2039" s="135"/>
      <c r="AW2039" s="135"/>
      <c r="AX2039" s="135"/>
      <c r="AY2039" s="135"/>
      <c r="AZ2039" s="135"/>
      <c r="BA2039" s="135"/>
      <c r="BB2039" s="135"/>
      <c r="BC2039" s="135"/>
      <c r="BD2039" s="135"/>
      <c r="BE2039" s="135"/>
      <c r="BF2039" s="135"/>
      <c r="BG2039" s="135"/>
      <c r="BH2039" s="135"/>
      <c r="BI2039" s="2"/>
      <c r="BJ2039" s="136"/>
      <c r="BK2039" s="2"/>
      <c r="BL2039" s="136"/>
      <c r="BM2039" s="136"/>
      <c r="BN2039" s="2"/>
      <c r="BO2039" s="2"/>
      <c r="BP2039" s="136"/>
      <c r="BQ2039" s="137"/>
    </row>
    <row r="2040" spans="1:69" ht="12.75" customHeight="1" x14ac:dyDescent="0.2">
      <c r="A2040" s="2">
        <v>3529</v>
      </c>
      <c r="B2040" s="2"/>
      <c r="C2040" s="2"/>
      <c r="D2040" s="2"/>
      <c r="E2040" s="2"/>
      <c r="F2040" s="132">
        <v>0</v>
      </c>
      <c r="G2040" s="132"/>
      <c r="H2040" s="132">
        <f t="shared" si="234"/>
        <v>0</v>
      </c>
      <c r="I2040" s="132"/>
      <c r="J2040" s="132">
        <f t="shared" si="232"/>
        <v>0</v>
      </c>
      <c r="K2040" s="132">
        <f t="shared" si="235"/>
        <v>0</v>
      </c>
      <c r="L2040" s="132">
        <f t="shared" si="229"/>
        <v>0</v>
      </c>
      <c r="M2040" s="133"/>
      <c r="N2040" s="133">
        <f t="shared" si="233"/>
        <v>0</v>
      </c>
      <c r="O2040" s="134"/>
      <c r="P2040" s="133"/>
      <c r="Q2040" s="2"/>
      <c r="R2040" s="156">
        <f t="shared" si="230"/>
        <v>0</v>
      </c>
      <c r="S2040" s="156">
        <f t="shared" si="231"/>
        <v>0</v>
      </c>
      <c r="T2040" s="133"/>
      <c r="U2040" s="133"/>
      <c r="V2040" s="133"/>
      <c r="W2040" s="133"/>
      <c r="X2040" s="133"/>
      <c r="Y2040" s="133"/>
      <c r="Z2040" s="133"/>
      <c r="AA2040" s="133"/>
      <c r="AB2040" s="133"/>
      <c r="AC2040" s="133"/>
      <c r="AD2040" s="133"/>
      <c r="AE2040" s="133"/>
      <c r="AF2040" s="133"/>
      <c r="AG2040" s="133"/>
      <c r="AH2040" s="133"/>
      <c r="AI2040" s="133"/>
      <c r="AJ2040" s="133"/>
      <c r="AK2040" s="133"/>
      <c r="AL2040" s="133"/>
      <c r="AM2040" s="133"/>
      <c r="AN2040" s="133"/>
      <c r="AO2040" s="133"/>
      <c r="AP2040" s="133"/>
      <c r="AQ2040" s="133"/>
      <c r="AR2040" s="133"/>
      <c r="AS2040" s="153">
        <v>0</v>
      </c>
      <c r="AT2040" s="153">
        <v>0</v>
      </c>
      <c r="AU2040" s="153">
        <v>0</v>
      </c>
      <c r="AV2040" s="135"/>
      <c r="AW2040" s="135"/>
      <c r="AX2040" s="135"/>
      <c r="AY2040" s="135"/>
      <c r="AZ2040" s="135"/>
      <c r="BA2040" s="135"/>
      <c r="BB2040" s="135"/>
      <c r="BC2040" s="135"/>
      <c r="BD2040" s="135"/>
      <c r="BE2040" s="135"/>
      <c r="BF2040" s="135"/>
      <c r="BG2040" s="135"/>
      <c r="BH2040" s="135"/>
      <c r="BI2040" s="2"/>
      <c r="BJ2040" s="136"/>
      <c r="BK2040" s="2"/>
      <c r="BL2040" s="136"/>
      <c r="BM2040" s="136"/>
      <c r="BN2040" s="2"/>
      <c r="BO2040" s="2"/>
      <c r="BP2040" s="136"/>
      <c r="BQ2040" s="137"/>
    </row>
    <row r="2041" spans="1:69" ht="12.75" customHeight="1" x14ac:dyDescent="0.2">
      <c r="A2041" s="2">
        <v>3530</v>
      </c>
      <c r="B2041" s="2"/>
      <c r="C2041" s="2"/>
      <c r="D2041" s="2"/>
      <c r="E2041" s="2"/>
      <c r="F2041" s="132">
        <v>0</v>
      </c>
      <c r="G2041" s="132"/>
      <c r="H2041" s="132">
        <f t="shared" si="234"/>
        <v>0</v>
      </c>
      <c r="I2041" s="132"/>
      <c r="J2041" s="132">
        <f t="shared" si="232"/>
        <v>0</v>
      </c>
      <c r="K2041" s="132">
        <f t="shared" si="235"/>
        <v>0</v>
      </c>
      <c r="L2041" s="132">
        <f t="shared" si="229"/>
        <v>0</v>
      </c>
      <c r="M2041" s="133"/>
      <c r="N2041" s="133">
        <f t="shared" si="233"/>
        <v>0</v>
      </c>
      <c r="O2041" s="134"/>
      <c r="P2041" s="133"/>
      <c r="Q2041" s="2"/>
      <c r="R2041" s="156">
        <f t="shared" si="230"/>
        <v>0</v>
      </c>
      <c r="S2041" s="156">
        <f t="shared" si="231"/>
        <v>0</v>
      </c>
      <c r="T2041" s="133"/>
      <c r="U2041" s="133"/>
      <c r="V2041" s="133"/>
      <c r="W2041" s="133"/>
      <c r="X2041" s="133"/>
      <c r="Y2041" s="133"/>
      <c r="Z2041" s="133"/>
      <c r="AA2041" s="133"/>
      <c r="AB2041" s="133"/>
      <c r="AC2041" s="133"/>
      <c r="AD2041" s="133"/>
      <c r="AE2041" s="133"/>
      <c r="AF2041" s="133"/>
      <c r="AG2041" s="133"/>
      <c r="AH2041" s="133"/>
      <c r="AI2041" s="133"/>
      <c r="AJ2041" s="133"/>
      <c r="AK2041" s="133"/>
      <c r="AL2041" s="133"/>
      <c r="AM2041" s="133"/>
      <c r="AN2041" s="133"/>
      <c r="AO2041" s="133"/>
      <c r="AP2041" s="133"/>
      <c r="AQ2041" s="133"/>
      <c r="AR2041" s="133"/>
      <c r="AS2041" s="153">
        <v>0</v>
      </c>
      <c r="AT2041" s="153">
        <v>0</v>
      </c>
      <c r="AU2041" s="153">
        <v>0</v>
      </c>
      <c r="AV2041" s="135"/>
      <c r="AW2041" s="135"/>
      <c r="AX2041" s="135"/>
      <c r="AY2041" s="135"/>
      <c r="AZ2041" s="135"/>
      <c r="BA2041" s="135"/>
      <c r="BB2041" s="135"/>
      <c r="BC2041" s="135"/>
      <c r="BD2041" s="135"/>
      <c r="BE2041" s="135"/>
      <c r="BF2041" s="135"/>
      <c r="BG2041" s="135"/>
      <c r="BH2041" s="135"/>
      <c r="BI2041" s="2"/>
      <c r="BJ2041" s="136"/>
      <c r="BK2041" s="2"/>
      <c r="BL2041" s="136"/>
      <c r="BM2041" s="136"/>
      <c r="BN2041" s="2"/>
      <c r="BO2041" s="2"/>
      <c r="BP2041" s="136"/>
      <c r="BQ2041" s="137"/>
    </row>
    <row r="2042" spans="1:69" ht="12.75" customHeight="1" x14ac:dyDescent="0.2">
      <c r="A2042" s="2">
        <v>3531</v>
      </c>
      <c r="B2042" s="2"/>
      <c r="C2042" s="2"/>
      <c r="D2042" s="2"/>
      <c r="E2042" s="2"/>
      <c r="F2042" s="132">
        <v>0</v>
      </c>
      <c r="G2042" s="132"/>
      <c r="H2042" s="132">
        <f t="shared" si="234"/>
        <v>0</v>
      </c>
      <c r="I2042" s="132"/>
      <c r="J2042" s="132">
        <f t="shared" si="232"/>
        <v>0</v>
      </c>
      <c r="K2042" s="132">
        <f t="shared" si="235"/>
        <v>0</v>
      </c>
      <c r="L2042" s="132">
        <f t="shared" si="229"/>
        <v>0</v>
      </c>
      <c r="M2042" s="133"/>
      <c r="N2042" s="133">
        <f t="shared" si="233"/>
        <v>0</v>
      </c>
      <c r="O2042" s="134"/>
      <c r="P2042" s="133"/>
      <c r="Q2042" s="2"/>
      <c r="R2042" s="156">
        <f t="shared" si="230"/>
        <v>0</v>
      </c>
      <c r="S2042" s="156">
        <f t="shared" si="231"/>
        <v>0</v>
      </c>
      <c r="T2042" s="133"/>
      <c r="U2042" s="133"/>
      <c r="V2042" s="133"/>
      <c r="W2042" s="133"/>
      <c r="X2042" s="133"/>
      <c r="Y2042" s="133"/>
      <c r="Z2042" s="133"/>
      <c r="AA2042" s="133"/>
      <c r="AB2042" s="133"/>
      <c r="AC2042" s="133"/>
      <c r="AD2042" s="133"/>
      <c r="AE2042" s="133"/>
      <c r="AF2042" s="133"/>
      <c r="AG2042" s="133"/>
      <c r="AH2042" s="133"/>
      <c r="AI2042" s="133"/>
      <c r="AJ2042" s="133"/>
      <c r="AK2042" s="133"/>
      <c r="AL2042" s="133"/>
      <c r="AM2042" s="133"/>
      <c r="AN2042" s="133"/>
      <c r="AO2042" s="133"/>
      <c r="AP2042" s="133"/>
      <c r="AQ2042" s="133"/>
      <c r="AR2042" s="133"/>
      <c r="AS2042" s="153">
        <v>0</v>
      </c>
      <c r="AT2042" s="153">
        <v>0</v>
      </c>
      <c r="AU2042" s="153">
        <v>0</v>
      </c>
      <c r="AV2042" s="135"/>
      <c r="AW2042" s="135"/>
      <c r="AX2042" s="135"/>
      <c r="AY2042" s="135"/>
      <c r="AZ2042" s="135"/>
      <c r="BA2042" s="135"/>
      <c r="BB2042" s="135"/>
      <c r="BC2042" s="135"/>
      <c r="BD2042" s="135"/>
      <c r="BE2042" s="135"/>
      <c r="BF2042" s="135"/>
      <c r="BG2042" s="135"/>
      <c r="BH2042" s="135"/>
      <c r="BI2042" s="2"/>
      <c r="BJ2042" s="136"/>
      <c r="BK2042" s="2"/>
      <c r="BL2042" s="136"/>
      <c r="BM2042" s="136"/>
      <c r="BN2042" s="2"/>
      <c r="BO2042" s="2"/>
      <c r="BP2042" s="136"/>
      <c r="BQ2042" s="137"/>
    </row>
    <row r="2043" spans="1:69" ht="12.75" customHeight="1" x14ac:dyDescent="0.2">
      <c r="A2043" s="2">
        <v>3532</v>
      </c>
      <c r="B2043" s="2"/>
      <c r="C2043" s="2"/>
      <c r="D2043" s="2"/>
      <c r="E2043" s="2"/>
      <c r="F2043" s="132">
        <v>0</v>
      </c>
      <c r="G2043" s="132"/>
      <c r="H2043" s="132">
        <f t="shared" si="234"/>
        <v>0</v>
      </c>
      <c r="I2043" s="132"/>
      <c r="J2043" s="132">
        <f t="shared" si="232"/>
        <v>0</v>
      </c>
      <c r="K2043" s="132">
        <f t="shared" si="235"/>
        <v>0</v>
      </c>
      <c r="L2043" s="132">
        <f t="shared" si="229"/>
        <v>0</v>
      </c>
      <c r="M2043" s="133"/>
      <c r="N2043" s="133">
        <f t="shared" si="233"/>
        <v>0</v>
      </c>
      <c r="O2043" s="134"/>
      <c r="P2043" s="133"/>
      <c r="Q2043" s="2"/>
      <c r="R2043" s="156">
        <f t="shared" si="230"/>
        <v>0</v>
      </c>
      <c r="S2043" s="156">
        <f t="shared" si="231"/>
        <v>0</v>
      </c>
      <c r="T2043" s="133"/>
      <c r="U2043" s="133"/>
      <c r="V2043" s="133"/>
      <c r="W2043" s="133"/>
      <c r="X2043" s="133"/>
      <c r="Y2043" s="133"/>
      <c r="Z2043" s="133"/>
      <c r="AA2043" s="133"/>
      <c r="AB2043" s="133"/>
      <c r="AC2043" s="133"/>
      <c r="AD2043" s="133"/>
      <c r="AE2043" s="133"/>
      <c r="AF2043" s="133"/>
      <c r="AG2043" s="133"/>
      <c r="AH2043" s="133"/>
      <c r="AI2043" s="133"/>
      <c r="AJ2043" s="133"/>
      <c r="AK2043" s="133"/>
      <c r="AL2043" s="133"/>
      <c r="AM2043" s="133"/>
      <c r="AN2043" s="133"/>
      <c r="AO2043" s="133"/>
      <c r="AP2043" s="133"/>
      <c r="AQ2043" s="133"/>
      <c r="AR2043" s="133"/>
      <c r="AS2043" s="153">
        <v>0</v>
      </c>
      <c r="AT2043" s="153">
        <v>0</v>
      </c>
      <c r="AU2043" s="153">
        <v>0</v>
      </c>
      <c r="AV2043" s="135"/>
      <c r="AW2043" s="135"/>
      <c r="AX2043" s="135"/>
      <c r="AY2043" s="135"/>
      <c r="AZ2043" s="135"/>
      <c r="BA2043" s="135"/>
      <c r="BB2043" s="135"/>
      <c r="BC2043" s="135"/>
      <c r="BD2043" s="135"/>
      <c r="BE2043" s="135"/>
      <c r="BF2043" s="135"/>
      <c r="BG2043" s="135"/>
      <c r="BH2043" s="135"/>
      <c r="BI2043" s="2"/>
      <c r="BJ2043" s="136"/>
      <c r="BK2043" s="2"/>
      <c r="BL2043" s="136"/>
      <c r="BM2043" s="136"/>
      <c r="BN2043" s="2"/>
      <c r="BO2043" s="2"/>
      <c r="BP2043" s="136"/>
      <c r="BQ2043" s="137"/>
    </row>
    <row r="2044" spans="1:69" ht="12.75" customHeight="1" x14ac:dyDescent="0.2">
      <c r="A2044" s="2">
        <v>3533</v>
      </c>
      <c r="B2044" s="2"/>
      <c r="C2044" s="2"/>
      <c r="D2044" s="2"/>
      <c r="E2044" s="2"/>
      <c r="F2044" s="132">
        <v>0</v>
      </c>
      <c r="G2044" s="132"/>
      <c r="H2044" s="132">
        <f t="shared" si="234"/>
        <v>0</v>
      </c>
      <c r="I2044" s="132"/>
      <c r="J2044" s="132">
        <f t="shared" si="232"/>
        <v>0</v>
      </c>
      <c r="K2044" s="132">
        <f t="shared" si="235"/>
        <v>0</v>
      </c>
      <c r="L2044" s="132">
        <f t="shared" si="229"/>
        <v>0</v>
      </c>
      <c r="M2044" s="133"/>
      <c r="N2044" s="133">
        <f t="shared" si="233"/>
        <v>0</v>
      </c>
      <c r="O2044" s="134"/>
      <c r="P2044" s="133"/>
      <c r="Q2044" s="2"/>
      <c r="R2044" s="156">
        <f t="shared" si="230"/>
        <v>0</v>
      </c>
      <c r="S2044" s="156">
        <f t="shared" si="231"/>
        <v>0</v>
      </c>
      <c r="T2044" s="133"/>
      <c r="U2044" s="133"/>
      <c r="V2044" s="133"/>
      <c r="W2044" s="133"/>
      <c r="X2044" s="133"/>
      <c r="Y2044" s="133"/>
      <c r="Z2044" s="133"/>
      <c r="AA2044" s="133"/>
      <c r="AB2044" s="133"/>
      <c r="AC2044" s="133"/>
      <c r="AD2044" s="133"/>
      <c r="AE2044" s="133"/>
      <c r="AF2044" s="133"/>
      <c r="AG2044" s="133"/>
      <c r="AH2044" s="133"/>
      <c r="AI2044" s="133"/>
      <c r="AJ2044" s="133"/>
      <c r="AK2044" s="133"/>
      <c r="AL2044" s="133"/>
      <c r="AM2044" s="133"/>
      <c r="AN2044" s="133"/>
      <c r="AO2044" s="133"/>
      <c r="AP2044" s="133"/>
      <c r="AQ2044" s="133"/>
      <c r="AR2044" s="133"/>
      <c r="AS2044" s="153">
        <v>0</v>
      </c>
      <c r="AT2044" s="153">
        <v>0</v>
      </c>
      <c r="AU2044" s="153">
        <v>0</v>
      </c>
      <c r="AV2044" s="135"/>
      <c r="AW2044" s="135"/>
      <c r="AX2044" s="135"/>
      <c r="AY2044" s="135"/>
      <c r="AZ2044" s="135"/>
      <c r="BA2044" s="135"/>
      <c r="BB2044" s="135"/>
      <c r="BC2044" s="135"/>
      <c r="BD2044" s="135"/>
      <c r="BE2044" s="135"/>
      <c r="BF2044" s="135"/>
      <c r="BG2044" s="135"/>
      <c r="BH2044" s="135"/>
      <c r="BI2044" s="2"/>
      <c r="BJ2044" s="136"/>
      <c r="BK2044" s="2"/>
      <c r="BL2044" s="136"/>
      <c r="BM2044" s="136"/>
      <c r="BN2044" s="2"/>
      <c r="BO2044" s="2"/>
      <c r="BP2044" s="136"/>
      <c r="BQ2044" s="137"/>
    </row>
    <row r="2045" spans="1:69" ht="12.75" customHeight="1" x14ac:dyDescent="0.2">
      <c r="A2045" s="2">
        <v>3534</v>
      </c>
      <c r="B2045" s="2"/>
      <c r="C2045" s="2"/>
      <c r="D2045" s="2"/>
      <c r="E2045" s="2"/>
      <c r="F2045" s="132">
        <v>0</v>
      </c>
      <c r="G2045" s="132"/>
      <c r="H2045" s="132">
        <f t="shared" si="234"/>
        <v>0</v>
      </c>
      <c r="I2045" s="132"/>
      <c r="J2045" s="132">
        <f t="shared" si="232"/>
        <v>0</v>
      </c>
      <c r="K2045" s="132">
        <f t="shared" si="235"/>
        <v>0</v>
      </c>
      <c r="L2045" s="132">
        <f t="shared" si="229"/>
        <v>0</v>
      </c>
      <c r="M2045" s="133"/>
      <c r="N2045" s="133">
        <f t="shared" si="233"/>
        <v>0</v>
      </c>
      <c r="O2045" s="134"/>
      <c r="P2045" s="133"/>
      <c r="Q2045" s="2"/>
      <c r="R2045" s="156">
        <f t="shared" si="230"/>
        <v>0</v>
      </c>
      <c r="S2045" s="156">
        <f t="shared" si="231"/>
        <v>0</v>
      </c>
      <c r="T2045" s="133"/>
      <c r="U2045" s="133"/>
      <c r="V2045" s="133"/>
      <c r="W2045" s="133"/>
      <c r="X2045" s="133"/>
      <c r="Y2045" s="133"/>
      <c r="Z2045" s="133"/>
      <c r="AA2045" s="133"/>
      <c r="AB2045" s="133"/>
      <c r="AC2045" s="133"/>
      <c r="AD2045" s="133"/>
      <c r="AE2045" s="133"/>
      <c r="AF2045" s="133"/>
      <c r="AG2045" s="133"/>
      <c r="AH2045" s="133"/>
      <c r="AI2045" s="133"/>
      <c r="AJ2045" s="133"/>
      <c r="AK2045" s="133"/>
      <c r="AL2045" s="133"/>
      <c r="AM2045" s="133"/>
      <c r="AN2045" s="133"/>
      <c r="AO2045" s="133"/>
      <c r="AP2045" s="133"/>
      <c r="AQ2045" s="133"/>
      <c r="AR2045" s="133"/>
      <c r="AS2045" s="153">
        <v>0</v>
      </c>
      <c r="AT2045" s="153">
        <v>0</v>
      </c>
      <c r="AU2045" s="153">
        <v>0</v>
      </c>
      <c r="AV2045" s="135"/>
      <c r="AW2045" s="135"/>
      <c r="AX2045" s="135"/>
      <c r="AY2045" s="135"/>
      <c r="AZ2045" s="135"/>
      <c r="BA2045" s="135"/>
      <c r="BB2045" s="135"/>
      <c r="BC2045" s="135"/>
      <c r="BD2045" s="135"/>
      <c r="BE2045" s="135"/>
      <c r="BF2045" s="135"/>
      <c r="BG2045" s="135"/>
      <c r="BH2045" s="135"/>
      <c r="BI2045" s="2"/>
      <c r="BJ2045" s="136"/>
      <c r="BK2045" s="2"/>
      <c r="BL2045" s="136"/>
      <c r="BM2045" s="136"/>
      <c r="BN2045" s="2"/>
      <c r="BO2045" s="2"/>
      <c r="BP2045" s="136"/>
      <c r="BQ2045" s="137"/>
    </row>
    <row r="2046" spans="1:69" ht="12.75" customHeight="1" x14ac:dyDescent="0.2">
      <c r="A2046" s="2">
        <v>3535</v>
      </c>
      <c r="B2046" s="2"/>
      <c r="C2046" s="2"/>
      <c r="D2046" s="2"/>
      <c r="E2046" s="2"/>
      <c r="F2046" s="132">
        <v>0</v>
      </c>
      <c r="G2046" s="132"/>
      <c r="H2046" s="132">
        <f t="shared" si="234"/>
        <v>0</v>
      </c>
      <c r="I2046" s="132"/>
      <c r="J2046" s="132">
        <f t="shared" si="232"/>
        <v>0</v>
      </c>
      <c r="K2046" s="132">
        <f t="shared" si="235"/>
        <v>0</v>
      </c>
      <c r="L2046" s="132">
        <f t="shared" si="229"/>
        <v>0</v>
      </c>
      <c r="M2046" s="133"/>
      <c r="N2046" s="133">
        <f t="shared" si="233"/>
        <v>0</v>
      </c>
      <c r="O2046" s="134"/>
      <c r="P2046" s="133"/>
      <c r="Q2046" s="2"/>
      <c r="R2046" s="156">
        <f t="shared" si="230"/>
        <v>0</v>
      </c>
      <c r="S2046" s="156">
        <f t="shared" si="231"/>
        <v>0</v>
      </c>
      <c r="T2046" s="133"/>
      <c r="U2046" s="133"/>
      <c r="V2046" s="133"/>
      <c r="W2046" s="133"/>
      <c r="X2046" s="133"/>
      <c r="Y2046" s="133"/>
      <c r="Z2046" s="133"/>
      <c r="AA2046" s="133"/>
      <c r="AB2046" s="133"/>
      <c r="AC2046" s="133"/>
      <c r="AD2046" s="133"/>
      <c r="AE2046" s="133"/>
      <c r="AF2046" s="133"/>
      <c r="AG2046" s="133"/>
      <c r="AH2046" s="133"/>
      <c r="AI2046" s="133"/>
      <c r="AJ2046" s="133"/>
      <c r="AK2046" s="133"/>
      <c r="AL2046" s="133"/>
      <c r="AM2046" s="133"/>
      <c r="AN2046" s="133"/>
      <c r="AO2046" s="133"/>
      <c r="AP2046" s="133"/>
      <c r="AQ2046" s="133"/>
      <c r="AR2046" s="133"/>
      <c r="AS2046" s="153">
        <v>0</v>
      </c>
      <c r="AT2046" s="153">
        <v>0</v>
      </c>
      <c r="AU2046" s="153">
        <v>0</v>
      </c>
      <c r="AV2046" s="135"/>
      <c r="AW2046" s="135"/>
      <c r="AX2046" s="135"/>
      <c r="AY2046" s="135"/>
      <c r="AZ2046" s="135"/>
      <c r="BA2046" s="135"/>
      <c r="BB2046" s="135"/>
      <c r="BC2046" s="135"/>
      <c r="BD2046" s="135"/>
      <c r="BE2046" s="135"/>
      <c r="BF2046" s="135"/>
      <c r="BG2046" s="135"/>
      <c r="BH2046" s="135"/>
      <c r="BI2046" s="2"/>
      <c r="BJ2046" s="136"/>
      <c r="BK2046" s="2"/>
      <c r="BL2046" s="136"/>
      <c r="BM2046" s="136"/>
      <c r="BN2046" s="2"/>
      <c r="BO2046" s="2"/>
      <c r="BP2046" s="136"/>
      <c r="BQ2046" s="137"/>
    </row>
    <row r="2047" spans="1:69" ht="12.75" customHeight="1" x14ac:dyDescent="0.2">
      <c r="A2047" s="2">
        <v>3536</v>
      </c>
      <c r="B2047" s="2"/>
      <c r="C2047" s="2"/>
      <c r="D2047" s="2"/>
      <c r="E2047" s="2"/>
      <c r="F2047" s="132">
        <v>0</v>
      </c>
      <c r="G2047" s="132"/>
      <c r="H2047" s="132">
        <f t="shared" si="234"/>
        <v>0</v>
      </c>
      <c r="I2047" s="132"/>
      <c r="J2047" s="132">
        <f t="shared" si="232"/>
        <v>0</v>
      </c>
      <c r="K2047" s="132">
        <f t="shared" si="235"/>
        <v>0</v>
      </c>
      <c r="L2047" s="132">
        <f t="shared" si="229"/>
        <v>0</v>
      </c>
      <c r="M2047" s="133"/>
      <c r="N2047" s="133">
        <f t="shared" si="233"/>
        <v>0</v>
      </c>
      <c r="O2047" s="134"/>
      <c r="P2047" s="133"/>
      <c r="Q2047" s="2"/>
      <c r="R2047" s="156">
        <f t="shared" si="230"/>
        <v>0</v>
      </c>
      <c r="S2047" s="156">
        <f t="shared" si="231"/>
        <v>0</v>
      </c>
      <c r="T2047" s="133"/>
      <c r="U2047" s="133"/>
      <c r="V2047" s="133"/>
      <c r="W2047" s="133"/>
      <c r="X2047" s="133"/>
      <c r="Y2047" s="133"/>
      <c r="Z2047" s="133"/>
      <c r="AA2047" s="133"/>
      <c r="AB2047" s="133"/>
      <c r="AC2047" s="133"/>
      <c r="AD2047" s="133"/>
      <c r="AE2047" s="133"/>
      <c r="AF2047" s="133"/>
      <c r="AG2047" s="133"/>
      <c r="AH2047" s="133"/>
      <c r="AI2047" s="133"/>
      <c r="AJ2047" s="133"/>
      <c r="AK2047" s="133"/>
      <c r="AL2047" s="133"/>
      <c r="AM2047" s="133"/>
      <c r="AN2047" s="133"/>
      <c r="AO2047" s="133"/>
      <c r="AP2047" s="133"/>
      <c r="AQ2047" s="133"/>
      <c r="AR2047" s="133"/>
      <c r="AS2047" s="153">
        <v>0</v>
      </c>
      <c r="AT2047" s="153">
        <v>0</v>
      </c>
      <c r="AU2047" s="153">
        <v>0</v>
      </c>
      <c r="AV2047" s="135"/>
      <c r="AW2047" s="135"/>
      <c r="AX2047" s="135"/>
      <c r="AY2047" s="135"/>
      <c r="AZ2047" s="135"/>
      <c r="BA2047" s="135"/>
      <c r="BB2047" s="135"/>
      <c r="BC2047" s="135"/>
      <c r="BD2047" s="135"/>
      <c r="BE2047" s="135"/>
      <c r="BF2047" s="135"/>
      <c r="BG2047" s="135"/>
      <c r="BH2047" s="135"/>
      <c r="BI2047" s="2"/>
      <c r="BJ2047" s="136"/>
      <c r="BK2047" s="2"/>
      <c r="BL2047" s="136"/>
      <c r="BM2047" s="136"/>
      <c r="BN2047" s="2"/>
      <c r="BO2047" s="2"/>
      <c r="BP2047" s="136"/>
      <c r="BQ2047" s="137"/>
    </row>
    <row r="2048" spans="1:69" ht="12.75" customHeight="1" x14ac:dyDescent="0.2">
      <c r="A2048" s="2">
        <v>3537</v>
      </c>
      <c r="B2048" s="2"/>
      <c r="C2048" s="2"/>
      <c r="D2048" s="2"/>
      <c r="E2048" s="2"/>
      <c r="F2048" s="132">
        <v>0</v>
      </c>
      <c r="G2048" s="132"/>
      <c r="H2048" s="132">
        <f t="shared" si="234"/>
        <v>0</v>
      </c>
      <c r="I2048" s="132"/>
      <c r="J2048" s="132">
        <f t="shared" si="232"/>
        <v>0</v>
      </c>
      <c r="K2048" s="132">
        <f t="shared" si="235"/>
        <v>0</v>
      </c>
      <c r="L2048" s="132">
        <f t="shared" si="229"/>
        <v>0</v>
      </c>
      <c r="M2048" s="133"/>
      <c r="N2048" s="133">
        <f t="shared" si="233"/>
        <v>0</v>
      </c>
      <c r="O2048" s="134"/>
      <c r="P2048" s="133"/>
      <c r="Q2048" s="2"/>
      <c r="R2048" s="156">
        <f t="shared" si="230"/>
        <v>0</v>
      </c>
      <c r="S2048" s="156">
        <f t="shared" si="231"/>
        <v>0</v>
      </c>
      <c r="T2048" s="133"/>
      <c r="U2048" s="133"/>
      <c r="V2048" s="133"/>
      <c r="W2048" s="133"/>
      <c r="X2048" s="133"/>
      <c r="Y2048" s="133"/>
      <c r="Z2048" s="133"/>
      <c r="AA2048" s="133"/>
      <c r="AB2048" s="133"/>
      <c r="AC2048" s="133"/>
      <c r="AD2048" s="133"/>
      <c r="AE2048" s="133"/>
      <c r="AF2048" s="133"/>
      <c r="AG2048" s="133"/>
      <c r="AH2048" s="133"/>
      <c r="AI2048" s="133"/>
      <c r="AJ2048" s="133"/>
      <c r="AK2048" s="133"/>
      <c r="AL2048" s="133"/>
      <c r="AM2048" s="133"/>
      <c r="AN2048" s="133"/>
      <c r="AO2048" s="133"/>
      <c r="AP2048" s="133"/>
      <c r="AQ2048" s="133"/>
      <c r="AR2048" s="133"/>
      <c r="AS2048" s="153">
        <v>0</v>
      </c>
      <c r="AT2048" s="153">
        <v>0</v>
      </c>
      <c r="AU2048" s="153">
        <v>0</v>
      </c>
      <c r="AV2048" s="135"/>
      <c r="AW2048" s="135"/>
      <c r="AX2048" s="135"/>
      <c r="AY2048" s="135"/>
      <c r="AZ2048" s="135"/>
      <c r="BA2048" s="135"/>
      <c r="BB2048" s="135"/>
      <c r="BC2048" s="135"/>
      <c r="BD2048" s="135"/>
      <c r="BE2048" s="135"/>
      <c r="BF2048" s="135"/>
      <c r="BG2048" s="135"/>
      <c r="BH2048" s="135"/>
      <c r="BI2048" s="2"/>
      <c r="BJ2048" s="136"/>
      <c r="BK2048" s="2"/>
      <c r="BL2048" s="136"/>
      <c r="BM2048" s="136"/>
      <c r="BN2048" s="2"/>
      <c r="BO2048" s="2"/>
      <c r="BP2048" s="136"/>
      <c r="BQ2048" s="137"/>
    </row>
    <row r="2049" spans="1:69" ht="12.75" customHeight="1" x14ac:dyDescent="0.2">
      <c r="A2049" s="2">
        <v>3538</v>
      </c>
      <c r="B2049" s="2"/>
      <c r="C2049" s="2"/>
      <c r="D2049" s="2"/>
      <c r="E2049" s="2"/>
      <c r="F2049" s="132">
        <v>0</v>
      </c>
      <c r="G2049" s="132"/>
      <c r="H2049" s="132">
        <f t="shared" si="234"/>
        <v>0</v>
      </c>
      <c r="I2049" s="132"/>
      <c r="J2049" s="132">
        <f t="shared" si="232"/>
        <v>0</v>
      </c>
      <c r="K2049" s="132">
        <f t="shared" si="235"/>
        <v>0</v>
      </c>
      <c r="L2049" s="132">
        <f t="shared" si="229"/>
        <v>0</v>
      </c>
      <c r="M2049" s="133"/>
      <c r="N2049" s="133">
        <f t="shared" si="233"/>
        <v>0</v>
      </c>
      <c r="O2049" s="134"/>
      <c r="P2049" s="133"/>
      <c r="Q2049" s="2"/>
      <c r="R2049" s="156">
        <f t="shared" si="230"/>
        <v>0</v>
      </c>
      <c r="S2049" s="156">
        <f t="shared" si="231"/>
        <v>0</v>
      </c>
      <c r="T2049" s="133"/>
      <c r="U2049" s="133"/>
      <c r="V2049" s="133"/>
      <c r="W2049" s="133"/>
      <c r="X2049" s="133"/>
      <c r="Y2049" s="133"/>
      <c r="Z2049" s="133"/>
      <c r="AA2049" s="133"/>
      <c r="AB2049" s="133"/>
      <c r="AC2049" s="133"/>
      <c r="AD2049" s="133"/>
      <c r="AE2049" s="133"/>
      <c r="AF2049" s="133"/>
      <c r="AG2049" s="133"/>
      <c r="AH2049" s="133"/>
      <c r="AI2049" s="133"/>
      <c r="AJ2049" s="133"/>
      <c r="AK2049" s="133"/>
      <c r="AL2049" s="133"/>
      <c r="AM2049" s="133"/>
      <c r="AN2049" s="133"/>
      <c r="AO2049" s="133"/>
      <c r="AP2049" s="133"/>
      <c r="AQ2049" s="133"/>
      <c r="AR2049" s="133"/>
      <c r="AS2049" s="153">
        <v>0</v>
      </c>
      <c r="AT2049" s="153">
        <v>0</v>
      </c>
      <c r="AU2049" s="153">
        <v>0</v>
      </c>
      <c r="AV2049" s="135"/>
      <c r="AW2049" s="135"/>
      <c r="AX2049" s="135"/>
      <c r="AY2049" s="135"/>
      <c r="AZ2049" s="135"/>
      <c r="BA2049" s="135"/>
      <c r="BB2049" s="135"/>
      <c r="BC2049" s="135"/>
      <c r="BD2049" s="135"/>
      <c r="BE2049" s="135"/>
      <c r="BF2049" s="135"/>
      <c r="BG2049" s="135"/>
      <c r="BH2049" s="135"/>
      <c r="BI2049" s="2"/>
      <c r="BJ2049" s="136"/>
      <c r="BK2049" s="2"/>
      <c r="BL2049" s="136"/>
      <c r="BM2049" s="136"/>
      <c r="BN2049" s="2"/>
      <c r="BO2049" s="2"/>
      <c r="BP2049" s="136"/>
      <c r="BQ2049" s="137"/>
    </row>
    <row r="2050" spans="1:69" ht="12.75" customHeight="1" x14ac:dyDescent="0.2">
      <c r="A2050" s="2">
        <v>3539</v>
      </c>
      <c r="B2050" s="2"/>
      <c r="C2050" s="2"/>
      <c r="D2050" s="2"/>
      <c r="E2050" s="2"/>
      <c r="F2050" s="132">
        <v>0</v>
      </c>
      <c r="G2050" s="132"/>
      <c r="H2050" s="132">
        <f t="shared" si="234"/>
        <v>0</v>
      </c>
      <c r="I2050" s="132"/>
      <c r="J2050" s="132">
        <f t="shared" si="232"/>
        <v>0</v>
      </c>
      <c r="K2050" s="132">
        <f t="shared" si="235"/>
        <v>0</v>
      </c>
      <c r="L2050" s="132">
        <f t="shared" si="229"/>
        <v>0</v>
      </c>
      <c r="M2050" s="133"/>
      <c r="N2050" s="133">
        <f t="shared" si="233"/>
        <v>0</v>
      </c>
      <c r="O2050" s="134"/>
      <c r="P2050" s="133"/>
      <c r="Q2050" s="2"/>
      <c r="R2050" s="156">
        <f t="shared" si="230"/>
        <v>0</v>
      </c>
      <c r="S2050" s="156">
        <f t="shared" si="231"/>
        <v>0</v>
      </c>
      <c r="T2050" s="133"/>
      <c r="U2050" s="133"/>
      <c r="V2050" s="133"/>
      <c r="W2050" s="133"/>
      <c r="X2050" s="133"/>
      <c r="Y2050" s="133"/>
      <c r="Z2050" s="133"/>
      <c r="AA2050" s="133"/>
      <c r="AB2050" s="133"/>
      <c r="AC2050" s="133"/>
      <c r="AD2050" s="133"/>
      <c r="AE2050" s="133"/>
      <c r="AF2050" s="133"/>
      <c r="AG2050" s="133"/>
      <c r="AH2050" s="133"/>
      <c r="AI2050" s="133"/>
      <c r="AJ2050" s="133"/>
      <c r="AK2050" s="133"/>
      <c r="AL2050" s="133"/>
      <c r="AM2050" s="133"/>
      <c r="AN2050" s="133"/>
      <c r="AO2050" s="133"/>
      <c r="AP2050" s="133"/>
      <c r="AQ2050" s="133"/>
      <c r="AR2050" s="133"/>
      <c r="AS2050" s="153">
        <v>0</v>
      </c>
      <c r="AT2050" s="153">
        <v>0</v>
      </c>
      <c r="AU2050" s="153">
        <v>0</v>
      </c>
      <c r="AV2050" s="135"/>
      <c r="AW2050" s="135"/>
      <c r="AX2050" s="135"/>
      <c r="AY2050" s="135"/>
      <c r="AZ2050" s="135"/>
      <c r="BA2050" s="135"/>
      <c r="BB2050" s="135"/>
      <c r="BC2050" s="135"/>
      <c r="BD2050" s="135"/>
      <c r="BE2050" s="135"/>
      <c r="BF2050" s="135"/>
      <c r="BG2050" s="135"/>
      <c r="BH2050" s="135"/>
      <c r="BI2050" s="2"/>
      <c r="BJ2050" s="136"/>
      <c r="BK2050" s="2"/>
      <c r="BL2050" s="136"/>
      <c r="BM2050" s="136"/>
      <c r="BN2050" s="2"/>
      <c r="BO2050" s="2"/>
      <c r="BP2050" s="136"/>
      <c r="BQ2050" s="137"/>
    </row>
    <row r="2051" spans="1:69" ht="12.75" customHeight="1" x14ac:dyDescent="0.2">
      <c r="A2051" s="2">
        <v>3540</v>
      </c>
      <c r="B2051" s="2"/>
      <c r="C2051" s="2"/>
      <c r="D2051" s="2"/>
      <c r="E2051" s="2"/>
      <c r="F2051" s="132">
        <v>0</v>
      </c>
      <c r="G2051" s="132"/>
      <c r="H2051" s="132">
        <f t="shared" si="234"/>
        <v>0</v>
      </c>
      <c r="I2051" s="132"/>
      <c r="J2051" s="132">
        <f t="shared" si="232"/>
        <v>0</v>
      </c>
      <c r="K2051" s="132">
        <f t="shared" si="235"/>
        <v>0</v>
      </c>
      <c r="L2051" s="132">
        <f t="shared" si="229"/>
        <v>0</v>
      </c>
      <c r="M2051" s="133"/>
      <c r="N2051" s="133">
        <f t="shared" si="233"/>
        <v>0</v>
      </c>
      <c r="O2051" s="134"/>
      <c r="P2051" s="133"/>
      <c r="Q2051" s="2"/>
      <c r="R2051" s="156">
        <f t="shared" si="230"/>
        <v>0</v>
      </c>
      <c r="S2051" s="156">
        <f t="shared" si="231"/>
        <v>0</v>
      </c>
      <c r="T2051" s="133"/>
      <c r="U2051" s="133"/>
      <c r="V2051" s="133"/>
      <c r="W2051" s="133"/>
      <c r="X2051" s="133"/>
      <c r="Y2051" s="133"/>
      <c r="Z2051" s="133"/>
      <c r="AA2051" s="133"/>
      <c r="AB2051" s="133"/>
      <c r="AC2051" s="133"/>
      <c r="AD2051" s="133"/>
      <c r="AE2051" s="133"/>
      <c r="AF2051" s="133"/>
      <c r="AG2051" s="133"/>
      <c r="AH2051" s="133"/>
      <c r="AI2051" s="133"/>
      <c r="AJ2051" s="133"/>
      <c r="AK2051" s="133"/>
      <c r="AL2051" s="133"/>
      <c r="AM2051" s="133"/>
      <c r="AN2051" s="133"/>
      <c r="AO2051" s="133"/>
      <c r="AP2051" s="133"/>
      <c r="AQ2051" s="133"/>
      <c r="AR2051" s="133"/>
      <c r="AS2051" s="153">
        <v>0</v>
      </c>
      <c r="AT2051" s="153">
        <v>0</v>
      </c>
      <c r="AU2051" s="153">
        <v>0</v>
      </c>
      <c r="AV2051" s="135"/>
      <c r="AW2051" s="135"/>
      <c r="AX2051" s="135"/>
      <c r="AY2051" s="135"/>
      <c r="AZ2051" s="135"/>
      <c r="BA2051" s="135"/>
      <c r="BB2051" s="135"/>
      <c r="BC2051" s="135"/>
      <c r="BD2051" s="135"/>
      <c r="BE2051" s="135"/>
      <c r="BF2051" s="135"/>
      <c r="BG2051" s="135"/>
      <c r="BH2051" s="135"/>
      <c r="BI2051" s="2"/>
      <c r="BJ2051" s="136"/>
      <c r="BK2051" s="2"/>
      <c r="BL2051" s="136"/>
      <c r="BM2051" s="136"/>
      <c r="BN2051" s="2"/>
      <c r="BO2051" s="2"/>
      <c r="BP2051" s="136"/>
      <c r="BQ2051" s="137"/>
    </row>
    <row r="2052" spans="1:69" ht="12.75" customHeight="1" x14ac:dyDescent="0.2">
      <c r="A2052" s="2">
        <v>3541</v>
      </c>
      <c r="B2052" s="2"/>
      <c r="C2052" s="2"/>
      <c r="D2052" s="2"/>
      <c r="E2052" s="2"/>
      <c r="F2052" s="132">
        <v>0</v>
      </c>
      <c r="G2052" s="132"/>
      <c r="H2052" s="132">
        <f t="shared" si="234"/>
        <v>0</v>
      </c>
      <c r="I2052" s="132"/>
      <c r="J2052" s="132">
        <f t="shared" si="232"/>
        <v>0</v>
      </c>
      <c r="K2052" s="132">
        <f t="shared" si="235"/>
        <v>0</v>
      </c>
      <c r="L2052" s="132">
        <f t="shared" si="229"/>
        <v>0</v>
      </c>
      <c r="M2052" s="133"/>
      <c r="N2052" s="133">
        <f t="shared" si="233"/>
        <v>0</v>
      </c>
      <c r="O2052" s="134"/>
      <c r="P2052" s="133"/>
      <c r="Q2052" s="2"/>
      <c r="R2052" s="156">
        <f t="shared" si="230"/>
        <v>0</v>
      </c>
      <c r="S2052" s="156">
        <f t="shared" si="231"/>
        <v>0</v>
      </c>
      <c r="T2052" s="133"/>
      <c r="U2052" s="133"/>
      <c r="V2052" s="133"/>
      <c r="W2052" s="133"/>
      <c r="X2052" s="133"/>
      <c r="Y2052" s="133"/>
      <c r="Z2052" s="133"/>
      <c r="AA2052" s="133"/>
      <c r="AB2052" s="133"/>
      <c r="AC2052" s="133"/>
      <c r="AD2052" s="133"/>
      <c r="AE2052" s="133"/>
      <c r="AF2052" s="133"/>
      <c r="AG2052" s="133"/>
      <c r="AH2052" s="133"/>
      <c r="AI2052" s="133"/>
      <c r="AJ2052" s="133"/>
      <c r="AK2052" s="133"/>
      <c r="AL2052" s="133"/>
      <c r="AM2052" s="133"/>
      <c r="AN2052" s="133"/>
      <c r="AO2052" s="133"/>
      <c r="AP2052" s="133"/>
      <c r="AQ2052" s="133"/>
      <c r="AR2052" s="133"/>
      <c r="AS2052" s="153">
        <v>0</v>
      </c>
      <c r="AT2052" s="153">
        <v>0</v>
      </c>
      <c r="AU2052" s="153">
        <v>0</v>
      </c>
      <c r="AV2052" s="135"/>
      <c r="AW2052" s="135"/>
      <c r="AX2052" s="135"/>
      <c r="AY2052" s="135"/>
      <c r="AZ2052" s="135"/>
      <c r="BA2052" s="135"/>
      <c r="BB2052" s="135"/>
      <c r="BC2052" s="135"/>
      <c r="BD2052" s="135"/>
      <c r="BE2052" s="135"/>
      <c r="BF2052" s="135"/>
      <c r="BG2052" s="135"/>
      <c r="BH2052" s="135"/>
      <c r="BI2052" s="2"/>
      <c r="BJ2052" s="136"/>
      <c r="BK2052" s="2"/>
      <c r="BL2052" s="136"/>
      <c r="BM2052" s="136"/>
      <c r="BN2052" s="2"/>
      <c r="BO2052" s="2"/>
      <c r="BP2052" s="136"/>
      <c r="BQ2052" s="137"/>
    </row>
    <row r="2053" spans="1:69" ht="12.75" customHeight="1" x14ac:dyDescent="0.2">
      <c r="A2053" s="2">
        <v>3542</v>
      </c>
      <c r="B2053" s="2"/>
      <c r="C2053" s="2"/>
      <c r="D2053" s="2"/>
      <c r="E2053" s="2"/>
      <c r="F2053" s="132">
        <v>0</v>
      </c>
      <c r="G2053" s="132"/>
      <c r="H2053" s="132">
        <f t="shared" si="234"/>
        <v>0</v>
      </c>
      <c r="I2053" s="132"/>
      <c r="J2053" s="132">
        <f t="shared" si="232"/>
        <v>0</v>
      </c>
      <c r="K2053" s="132">
        <f t="shared" si="235"/>
        <v>0</v>
      </c>
      <c r="L2053" s="132">
        <f t="shared" si="229"/>
        <v>0</v>
      </c>
      <c r="M2053" s="133"/>
      <c r="N2053" s="133">
        <f t="shared" si="233"/>
        <v>0</v>
      </c>
      <c r="O2053" s="134"/>
      <c r="P2053" s="133"/>
      <c r="Q2053" s="2"/>
      <c r="R2053" s="156">
        <f t="shared" si="230"/>
        <v>0</v>
      </c>
      <c r="S2053" s="156">
        <f t="shared" si="231"/>
        <v>0</v>
      </c>
      <c r="T2053" s="133"/>
      <c r="U2053" s="133"/>
      <c r="V2053" s="133"/>
      <c r="W2053" s="133"/>
      <c r="X2053" s="133"/>
      <c r="Y2053" s="133"/>
      <c r="Z2053" s="133"/>
      <c r="AA2053" s="133"/>
      <c r="AB2053" s="133"/>
      <c r="AC2053" s="133"/>
      <c r="AD2053" s="133"/>
      <c r="AE2053" s="133"/>
      <c r="AF2053" s="133"/>
      <c r="AG2053" s="133"/>
      <c r="AH2053" s="133"/>
      <c r="AI2053" s="133"/>
      <c r="AJ2053" s="133"/>
      <c r="AK2053" s="133"/>
      <c r="AL2053" s="133"/>
      <c r="AM2053" s="133"/>
      <c r="AN2053" s="133"/>
      <c r="AO2053" s="133"/>
      <c r="AP2053" s="133"/>
      <c r="AQ2053" s="133"/>
      <c r="AR2053" s="133"/>
      <c r="AS2053" s="153">
        <v>0</v>
      </c>
      <c r="AT2053" s="153">
        <v>0</v>
      </c>
      <c r="AU2053" s="153">
        <v>0</v>
      </c>
      <c r="AV2053" s="135"/>
      <c r="AW2053" s="135"/>
      <c r="AX2053" s="135"/>
      <c r="AY2053" s="135"/>
      <c r="AZ2053" s="135"/>
      <c r="BA2053" s="135"/>
      <c r="BB2053" s="135"/>
      <c r="BC2053" s="135"/>
      <c r="BD2053" s="135"/>
      <c r="BE2053" s="135"/>
      <c r="BF2053" s="135"/>
      <c r="BG2053" s="135"/>
      <c r="BH2053" s="135"/>
      <c r="BI2053" s="2"/>
      <c r="BJ2053" s="136"/>
      <c r="BK2053" s="2"/>
      <c r="BL2053" s="136"/>
      <c r="BM2053" s="136"/>
      <c r="BN2053" s="2"/>
      <c r="BO2053" s="2"/>
      <c r="BP2053" s="136"/>
      <c r="BQ2053" s="137"/>
    </row>
    <row r="2054" spans="1:69" ht="12.75" customHeight="1" x14ac:dyDescent="0.2">
      <c r="A2054" s="2">
        <v>3543</v>
      </c>
      <c r="B2054" s="2"/>
      <c r="C2054" s="2"/>
      <c r="D2054" s="2"/>
      <c r="E2054" s="2"/>
      <c r="F2054" s="132">
        <v>0</v>
      </c>
      <c r="G2054" s="132"/>
      <c r="H2054" s="132">
        <f t="shared" si="234"/>
        <v>0</v>
      </c>
      <c r="I2054" s="132"/>
      <c r="J2054" s="132">
        <f t="shared" si="232"/>
        <v>0</v>
      </c>
      <c r="K2054" s="132">
        <f t="shared" si="235"/>
        <v>0</v>
      </c>
      <c r="L2054" s="132">
        <f t="shared" si="229"/>
        <v>0</v>
      </c>
      <c r="M2054" s="133"/>
      <c r="N2054" s="133">
        <f t="shared" si="233"/>
        <v>0</v>
      </c>
      <c r="O2054" s="134"/>
      <c r="P2054" s="133"/>
      <c r="Q2054" s="2"/>
      <c r="R2054" s="156">
        <f t="shared" si="230"/>
        <v>0</v>
      </c>
      <c r="S2054" s="156">
        <f t="shared" si="231"/>
        <v>0</v>
      </c>
      <c r="T2054" s="133"/>
      <c r="U2054" s="133"/>
      <c r="V2054" s="133"/>
      <c r="W2054" s="133"/>
      <c r="X2054" s="133"/>
      <c r="Y2054" s="133"/>
      <c r="Z2054" s="133"/>
      <c r="AA2054" s="133"/>
      <c r="AB2054" s="133"/>
      <c r="AC2054" s="133"/>
      <c r="AD2054" s="133"/>
      <c r="AE2054" s="133"/>
      <c r="AF2054" s="133"/>
      <c r="AG2054" s="133"/>
      <c r="AH2054" s="133"/>
      <c r="AI2054" s="133"/>
      <c r="AJ2054" s="133"/>
      <c r="AK2054" s="133"/>
      <c r="AL2054" s="133"/>
      <c r="AM2054" s="133"/>
      <c r="AN2054" s="133"/>
      <c r="AO2054" s="133"/>
      <c r="AP2054" s="133"/>
      <c r="AQ2054" s="133"/>
      <c r="AR2054" s="133"/>
      <c r="AS2054" s="153">
        <v>0</v>
      </c>
      <c r="AT2054" s="153">
        <v>0</v>
      </c>
      <c r="AU2054" s="153">
        <v>0</v>
      </c>
      <c r="AV2054" s="135"/>
      <c r="AW2054" s="135"/>
      <c r="AX2054" s="135"/>
      <c r="AY2054" s="135"/>
      <c r="AZ2054" s="135"/>
      <c r="BA2054" s="135"/>
      <c r="BB2054" s="135"/>
      <c r="BC2054" s="135"/>
      <c r="BD2054" s="135"/>
      <c r="BE2054" s="135"/>
      <c r="BF2054" s="135"/>
      <c r="BG2054" s="135"/>
      <c r="BH2054" s="135"/>
      <c r="BI2054" s="2"/>
      <c r="BJ2054" s="136"/>
      <c r="BK2054" s="2"/>
      <c r="BL2054" s="136"/>
      <c r="BM2054" s="136"/>
      <c r="BN2054" s="2"/>
      <c r="BO2054" s="2"/>
      <c r="BP2054" s="136"/>
      <c r="BQ2054" s="137"/>
    </row>
    <row r="2055" spans="1:69" ht="12.75" customHeight="1" x14ac:dyDescent="0.2">
      <c r="A2055" s="2">
        <v>3544</v>
      </c>
      <c r="B2055" s="2"/>
      <c r="C2055" s="2"/>
      <c r="D2055" s="2"/>
      <c r="E2055" s="2"/>
      <c r="F2055" s="132">
        <v>0</v>
      </c>
      <c r="G2055" s="132"/>
      <c r="H2055" s="132">
        <f t="shared" si="234"/>
        <v>0</v>
      </c>
      <c r="I2055" s="132"/>
      <c r="J2055" s="132">
        <f t="shared" si="232"/>
        <v>0</v>
      </c>
      <c r="K2055" s="132">
        <f t="shared" si="235"/>
        <v>0</v>
      </c>
      <c r="L2055" s="132">
        <f t="shared" si="229"/>
        <v>0</v>
      </c>
      <c r="M2055" s="133"/>
      <c r="N2055" s="133">
        <f t="shared" si="233"/>
        <v>0</v>
      </c>
      <c r="O2055" s="134"/>
      <c r="P2055" s="133"/>
      <c r="Q2055" s="2"/>
      <c r="R2055" s="156">
        <f t="shared" si="230"/>
        <v>0</v>
      </c>
      <c r="S2055" s="156">
        <f t="shared" si="231"/>
        <v>0</v>
      </c>
      <c r="T2055" s="133"/>
      <c r="U2055" s="133"/>
      <c r="V2055" s="133"/>
      <c r="W2055" s="133"/>
      <c r="X2055" s="133"/>
      <c r="Y2055" s="133"/>
      <c r="Z2055" s="133"/>
      <c r="AA2055" s="133"/>
      <c r="AB2055" s="133"/>
      <c r="AC2055" s="133"/>
      <c r="AD2055" s="133"/>
      <c r="AE2055" s="133"/>
      <c r="AF2055" s="133"/>
      <c r="AG2055" s="133"/>
      <c r="AH2055" s="133"/>
      <c r="AI2055" s="133"/>
      <c r="AJ2055" s="133"/>
      <c r="AK2055" s="133"/>
      <c r="AL2055" s="133"/>
      <c r="AM2055" s="133"/>
      <c r="AN2055" s="133"/>
      <c r="AO2055" s="133"/>
      <c r="AP2055" s="133"/>
      <c r="AQ2055" s="133"/>
      <c r="AR2055" s="133"/>
      <c r="AS2055" s="153">
        <v>0</v>
      </c>
      <c r="AT2055" s="153">
        <v>0</v>
      </c>
      <c r="AU2055" s="153">
        <v>0</v>
      </c>
      <c r="AV2055" s="135"/>
      <c r="AW2055" s="135"/>
      <c r="AX2055" s="135"/>
      <c r="AY2055" s="135"/>
      <c r="AZ2055" s="135"/>
      <c r="BA2055" s="135"/>
      <c r="BB2055" s="135"/>
      <c r="BC2055" s="135"/>
      <c r="BD2055" s="135"/>
      <c r="BE2055" s="135"/>
      <c r="BF2055" s="135"/>
      <c r="BG2055" s="135"/>
      <c r="BH2055" s="135"/>
      <c r="BI2055" s="2"/>
      <c r="BJ2055" s="136"/>
      <c r="BK2055" s="2"/>
      <c r="BL2055" s="136"/>
      <c r="BM2055" s="136"/>
      <c r="BN2055" s="2"/>
      <c r="BO2055" s="2"/>
      <c r="BP2055" s="136"/>
      <c r="BQ2055" s="137"/>
    </row>
    <row r="2056" spans="1:69" ht="12.75" customHeight="1" x14ac:dyDescent="0.2">
      <c r="A2056" s="2">
        <v>3545</v>
      </c>
      <c r="B2056" s="2"/>
      <c r="C2056" s="2"/>
      <c r="D2056" s="2"/>
      <c r="E2056" s="2"/>
      <c r="F2056" s="132">
        <v>0</v>
      </c>
      <c r="G2056" s="132"/>
      <c r="H2056" s="132">
        <f t="shared" si="234"/>
        <v>0</v>
      </c>
      <c r="I2056" s="132"/>
      <c r="J2056" s="132">
        <f t="shared" si="232"/>
        <v>0</v>
      </c>
      <c r="K2056" s="132">
        <f t="shared" si="235"/>
        <v>0</v>
      </c>
      <c r="L2056" s="132">
        <f t="shared" si="229"/>
        <v>0</v>
      </c>
      <c r="M2056" s="133"/>
      <c r="N2056" s="133">
        <f t="shared" si="233"/>
        <v>0</v>
      </c>
      <c r="O2056" s="134"/>
      <c r="P2056" s="133"/>
      <c r="Q2056" s="2"/>
      <c r="R2056" s="156">
        <f t="shared" si="230"/>
        <v>0</v>
      </c>
      <c r="S2056" s="156">
        <f t="shared" si="231"/>
        <v>0</v>
      </c>
      <c r="T2056" s="133"/>
      <c r="U2056" s="133"/>
      <c r="V2056" s="133"/>
      <c r="W2056" s="133"/>
      <c r="X2056" s="133"/>
      <c r="Y2056" s="133"/>
      <c r="Z2056" s="133"/>
      <c r="AA2056" s="133"/>
      <c r="AB2056" s="133"/>
      <c r="AC2056" s="133"/>
      <c r="AD2056" s="133"/>
      <c r="AE2056" s="133"/>
      <c r="AF2056" s="133"/>
      <c r="AG2056" s="133"/>
      <c r="AH2056" s="133"/>
      <c r="AI2056" s="133"/>
      <c r="AJ2056" s="133"/>
      <c r="AK2056" s="133"/>
      <c r="AL2056" s="133"/>
      <c r="AM2056" s="133"/>
      <c r="AN2056" s="133"/>
      <c r="AO2056" s="133"/>
      <c r="AP2056" s="133"/>
      <c r="AQ2056" s="133"/>
      <c r="AR2056" s="133"/>
      <c r="AS2056" s="153">
        <v>0</v>
      </c>
      <c r="AT2056" s="153">
        <v>0</v>
      </c>
      <c r="AU2056" s="153">
        <v>0</v>
      </c>
      <c r="AV2056" s="135"/>
      <c r="AW2056" s="135"/>
      <c r="AX2056" s="135"/>
      <c r="AY2056" s="135"/>
      <c r="AZ2056" s="135"/>
      <c r="BA2056" s="135"/>
      <c r="BB2056" s="135"/>
      <c r="BC2056" s="135"/>
      <c r="BD2056" s="135"/>
      <c r="BE2056" s="135"/>
      <c r="BF2056" s="135"/>
      <c r="BG2056" s="135"/>
      <c r="BH2056" s="135"/>
      <c r="BI2056" s="2"/>
      <c r="BJ2056" s="136"/>
      <c r="BK2056" s="2"/>
      <c r="BL2056" s="136"/>
      <c r="BM2056" s="136"/>
      <c r="BN2056" s="2"/>
      <c r="BO2056" s="2"/>
      <c r="BP2056" s="136"/>
      <c r="BQ2056" s="137"/>
    </row>
    <row r="2057" spans="1:69" ht="12.75" customHeight="1" x14ac:dyDescent="0.2">
      <c r="A2057" s="2">
        <v>3546</v>
      </c>
      <c r="B2057" s="2"/>
      <c r="C2057" s="2"/>
      <c r="D2057" s="2"/>
      <c r="E2057" s="2"/>
      <c r="F2057" s="132">
        <v>0</v>
      </c>
      <c r="G2057" s="132"/>
      <c r="H2057" s="132">
        <f t="shared" si="234"/>
        <v>0</v>
      </c>
      <c r="I2057" s="132"/>
      <c r="J2057" s="132">
        <f t="shared" si="232"/>
        <v>0</v>
      </c>
      <c r="K2057" s="132">
        <f t="shared" si="235"/>
        <v>0</v>
      </c>
      <c r="L2057" s="132">
        <f t="shared" si="229"/>
        <v>0</v>
      </c>
      <c r="M2057" s="133"/>
      <c r="N2057" s="133">
        <f t="shared" si="233"/>
        <v>0</v>
      </c>
      <c r="O2057" s="134"/>
      <c r="P2057" s="133"/>
      <c r="Q2057" s="2"/>
      <c r="R2057" s="156">
        <f t="shared" si="230"/>
        <v>0</v>
      </c>
      <c r="S2057" s="156">
        <f t="shared" si="231"/>
        <v>0</v>
      </c>
      <c r="T2057" s="133"/>
      <c r="U2057" s="133"/>
      <c r="V2057" s="133"/>
      <c r="W2057" s="133"/>
      <c r="X2057" s="133"/>
      <c r="Y2057" s="133"/>
      <c r="Z2057" s="133"/>
      <c r="AA2057" s="133"/>
      <c r="AB2057" s="133"/>
      <c r="AC2057" s="133"/>
      <c r="AD2057" s="133"/>
      <c r="AE2057" s="133"/>
      <c r="AF2057" s="133"/>
      <c r="AG2057" s="133"/>
      <c r="AH2057" s="133"/>
      <c r="AI2057" s="133"/>
      <c r="AJ2057" s="133"/>
      <c r="AK2057" s="133"/>
      <c r="AL2057" s="133"/>
      <c r="AM2057" s="133"/>
      <c r="AN2057" s="133"/>
      <c r="AO2057" s="133"/>
      <c r="AP2057" s="133"/>
      <c r="AQ2057" s="133"/>
      <c r="AR2057" s="133"/>
      <c r="AS2057" s="153">
        <v>0</v>
      </c>
      <c r="AT2057" s="153">
        <v>0</v>
      </c>
      <c r="AU2057" s="153">
        <v>0</v>
      </c>
      <c r="AV2057" s="135"/>
      <c r="AW2057" s="135"/>
      <c r="AX2057" s="135"/>
      <c r="AY2057" s="135"/>
      <c r="AZ2057" s="135"/>
      <c r="BA2057" s="135"/>
      <c r="BB2057" s="135"/>
      <c r="BC2057" s="135"/>
      <c r="BD2057" s="135"/>
      <c r="BE2057" s="135"/>
      <c r="BF2057" s="135"/>
      <c r="BG2057" s="135"/>
      <c r="BH2057" s="135"/>
      <c r="BI2057" s="2"/>
      <c r="BJ2057" s="136"/>
      <c r="BK2057" s="2"/>
      <c r="BL2057" s="136"/>
      <c r="BM2057" s="136"/>
      <c r="BN2057" s="2"/>
      <c r="BO2057" s="2"/>
      <c r="BP2057" s="136"/>
      <c r="BQ2057" s="137"/>
    </row>
    <row r="2058" spans="1:69" ht="12.75" customHeight="1" x14ac:dyDescent="0.2">
      <c r="A2058" s="2">
        <v>3547</v>
      </c>
      <c r="B2058" s="2"/>
      <c r="C2058" s="2"/>
      <c r="D2058" s="2"/>
      <c r="E2058" s="2"/>
      <c r="F2058" s="132">
        <v>0</v>
      </c>
      <c r="G2058" s="132"/>
      <c r="H2058" s="132">
        <f t="shared" si="234"/>
        <v>0</v>
      </c>
      <c r="I2058" s="132"/>
      <c r="J2058" s="132">
        <f t="shared" si="232"/>
        <v>0</v>
      </c>
      <c r="K2058" s="132">
        <f t="shared" si="235"/>
        <v>0</v>
      </c>
      <c r="L2058" s="132">
        <f t="shared" si="229"/>
        <v>0</v>
      </c>
      <c r="M2058" s="133"/>
      <c r="N2058" s="133">
        <f t="shared" si="233"/>
        <v>0</v>
      </c>
      <c r="O2058" s="134"/>
      <c r="P2058" s="133"/>
      <c r="Q2058" s="2"/>
      <c r="R2058" s="156">
        <f t="shared" si="230"/>
        <v>0</v>
      </c>
      <c r="S2058" s="156">
        <f t="shared" si="231"/>
        <v>0</v>
      </c>
      <c r="T2058" s="133"/>
      <c r="U2058" s="133"/>
      <c r="V2058" s="133"/>
      <c r="W2058" s="133"/>
      <c r="X2058" s="133"/>
      <c r="Y2058" s="133"/>
      <c r="Z2058" s="133"/>
      <c r="AA2058" s="133"/>
      <c r="AB2058" s="133"/>
      <c r="AC2058" s="133"/>
      <c r="AD2058" s="133"/>
      <c r="AE2058" s="133"/>
      <c r="AF2058" s="133"/>
      <c r="AG2058" s="133"/>
      <c r="AH2058" s="133"/>
      <c r="AI2058" s="133"/>
      <c r="AJ2058" s="133"/>
      <c r="AK2058" s="133"/>
      <c r="AL2058" s="133"/>
      <c r="AM2058" s="133"/>
      <c r="AN2058" s="133"/>
      <c r="AO2058" s="133"/>
      <c r="AP2058" s="133"/>
      <c r="AQ2058" s="133"/>
      <c r="AR2058" s="133"/>
      <c r="AS2058" s="153">
        <v>0</v>
      </c>
      <c r="AT2058" s="153">
        <v>0</v>
      </c>
      <c r="AU2058" s="153">
        <v>0</v>
      </c>
      <c r="AV2058" s="135"/>
      <c r="AW2058" s="135"/>
      <c r="AX2058" s="135"/>
      <c r="AY2058" s="135"/>
      <c r="AZ2058" s="135"/>
      <c r="BA2058" s="135"/>
      <c r="BB2058" s="135"/>
      <c r="BC2058" s="135"/>
      <c r="BD2058" s="135"/>
      <c r="BE2058" s="135"/>
      <c r="BF2058" s="135"/>
      <c r="BG2058" s="135"/>
      <c r="BH2058" s="135"/>
      <c r="BI2058" s="2"/>
      <c r="BJ2058" s="136"/>
      <c r="BK2058" s="2"/>
      <c r="BL2058" s="136"/>
      <c r="BM2058" s="136"/>
      <c r="BN2058" s="2"/>
      <c r="BO2058" s="2"/>
      <c r="BP2058" s="136"/>
      <c r="BQ2058" s="137"/>
    </row>
    <row r="2059" spans="1:69" ht="12.75" customHeight="1" x14ac:dyDescent="0.2">
      <c r="A2059" s="2">
        <v>3548</v>
      </c>
      <c r="B2059" s="2"/>
      <c r="C2059" s="2"/>
      <c r="D2059" s="2"/>
      <c r="E2059" s="2"/>
      <c r="F2059" s="132">
        <v>0</v>
      </c>
      <c r="G2059" s="132"/>
      <c r="H2059" s="132">
        <f t="shared" si="234"/>
        <v>0</v>
      </c>
      <c r="I2059" s="132"/>
      <c r="J2059" s="132">
        <f t="shared" si="232"/>
        <v>0</v>
      </c>
      <c r="K2059" s="132">
        <f t="shared" si="235"/>
        <v>0</v>
      </c>
      <c r="L2059" s="132">
        <f t="shared" ref="L2059:L2122" si="236">H2059-J2059</f>
        <v>0</v>
      </c>
      <c r="M2059" s="133"/>
      <c r="N2059" s="133">
        <f t="shared" si="233"/>
        <v>0</v>
      </c>
      <c r="O2059" s="134"/>
      <c r="P2059" s="133"/>
      <c r="Q2059" s="2"/>
      <c r="R2059" s="156">
        <f t="shared" ref="R2059:R2122" si="237">T2059+V2059+X2059+Z2059+AB2059+AD2059+AF2059+AH2059+AJ2059+AL2059+AN2059+AP2059</f>
        <v>0</v>
      </c>
      <c r="S2059" s="156">
        <f t="shared" ref="S2059:S2122" si="238">U2059+W2059+Y2059+AA2059+AC2059+AE2059+AG2059+AI2059+AK2059+AM2059+AO2059+AQ2059</f>
        <v>0</v>
      </c>
      <c r="T2059" s="133"/>
      <c r="U2059" s="133"/>
      <c r="V2059" s="133"/>
      <c r="W2059" s="133"/>
      <c r="X2059" s="133"/>
      <c r="Y2059" s="133"/>
      <c r="Z2059" s="133"/>
      <c r="AA2059" s="133"/>
      <c r="AB2059" s="133"/>
      <c r="AC2059" s="133"/>
      <c r="AD2059" s="133"/>
      <c r="AE2059" s="133"/>
      <c r="AF2059" s="133"/>
      <c r="AG2059" s="133"/>
      <c r="AH2059" s="133"/>
      <c r="AI2059" s="133"/>
      <c r="AJ2059" s="133"/>
      <c r="AK2059" s="133"/>
      <c r="AL2059" s="133"/>
      <c r="AM2059" s="133"/>
      <c r="AN2059" s="133"/>
      <c r="AO2059" s="133"/>
      <c r="AP2059" s="133"/>
      <c r="AQ2059" s="133"/>
      <c r="AR2059" s="133"/>
      <c r="AS2059" s="153">
        <v>0</v>
      </c>
      <c r="AT2059" s="153">
        <v>0</v>
      </c>
      <c r="AU2059" s="153">
        <v>0</v>
      </c>
      <c r="AV2059" s="135"/>
      <c r="AW2059" s="135"/>
      <c r="AX2059" s="135"/>
      <c r="AY2059" s="135"/>
      <c r="AZ2059" s="135"/>
      <c r="BA2059" s="135"/>
      <c r="BB2059" s="135"/>
      <c r="BC2059" s="135"/>
      <c r="BD2059" s="135"/>
      <c r="BE2059" s="135"/>
      <c r="BF2059" s="135"/>
      <c r="BG2059" s="135"/>
      <c r="BH2059" s="135"/>
      <c r="BI2059" s="2"/>
      <c r="BJ2059" s="136"/>
      <c r="BK2059" s="2"/>
      <c r="BL2059" s="136"/>
      <c r="BM2059" s="136"/>
      <c r="BN2059" s="2"/>
      <c r="BO2059" s="2"/>
      <c r="BP2059" s="136"/>
      <c r="BQ2059" s="137"/>
    </row>
    <row r="2060" spans="1:69" ht="12.75" customHeight="1" x14ac:dyDescent="0.2">
      <c r="A2060" s="2">
        <v>3549</v>
      </c>
      <c r="B2060" s="2"/>
      <c r="C2060" s="2"/>
      <c r="D2060" s="2"/>
      <c r="E2060" s="2"/>
      <c r="F2060" s="132">
        <v>0</v>
      </c>
      <c r="G2060" s="132"/>
      <c r="H2060" s="132">
        <f t="shared" si="234"/>
        <v>0</v>
      </c>
      <c r="I2060" s="132"/>
      <c r="J2060" s="132">
        <f t="shared" si="232"/>
        <v>0</v>
      </c>
      <c r="K2060" s="132">
        <f t="shared" si="235"/>
        <v>0</v>
      </c>
      <c r="L2060" s="132">
        <f t="shared" si="236"/>
        <v>0</v>
      </c>
      <c r="M2060" s="133"/>
      <c r="N2060" s="133">
        <f t="shared" si="233"/>
        <v>0</v>
      </c>
      <c r="O2060" s="134"/>
      <c r="P2060" s="133"/>
      <c r="Q2060" s="2"/>
      <c r="R2060" s="156">
        <f t="shared" si="237"/>
        <v>0</v>
      </c>
      <c r="S2060" s="156">
        <f t="shared" si="238"/>
        <v>0</v>
      </c>
      <c r="T2060" s="133"/>
      <c r="U2060" s="133"/>
      <c r="V2060" s="133"/>
      <c r="W2060" s="133"/>
      <c r="X2060" s="133"/>
      <c r="Y2060" s="133"/>
      <c r="Z2060" s="133"/>
      <c r="AA2060" s="133"/>
      <c r="AB2060" s="133"/>
      <c r="AC2060" s="133"/>
      <c r="AD2060" s="133"/>
      <c r="AE2060" s="133"/>
      <c r="AF2060" s="133"/>
      <c r="AG2060" s="133"/>
      <c r="AH2060" s="133"/>
      <c r="AI2060" s="133"/>
      <c r="AJ2060" s="133"/>
      <c r="AK2060" s="133"/>
      <c r="AL2060" s="133"/>
      <c r="AM2060" s="133"/>
      <c r="AN2060" s="133"/>
      <c r="AO2060" s="133"/>
      <c r="AP2060" s="133"/>
      <c r="AQ2060" s="133"/>
      <c r="AR2060" s="133"/>
      <c r="AS2060" s="153">
        <v>0</v>
      </c>
      <c r="AT2060" s="153">
        <v>0</v>
      </c>
      <c r="AU2060" s="153">
        <v>0</v>
      </c>
      <c r="AV2060" s="135"/>
      <c r="AW2060" s="135"/>
      <c r="AX2060" s="135"/>
      <c r="AY2060" s="135"/>
      <c r="AZ2060" s="135"/>
      <c r="BA2060" s="135"/>
      <c r="BB2060" s="135"/>
      <c r="BC2060" s="135"/>
      <c r="BD2060" s="135"/>
      <c r="BE2060" s="135"/>
      <c r="BF2060" s="135"/>
      <c r="BG2060" s="135"/>
      <c r="BH2060" s="135"/>
      <c r="BI2060" s="2"/>
      <c r="BJ2060" s="136"/>
      <c r="BK2060" s="2"/>
      <c r="BL2060" s="136"/>
      <c r="BM2060" s="136"/>
      <c r="BN2060" s="2"/>
      <c r="BO2060" s="2"/>
      <c r="BP2060" s="136"/>
      <c r="BQ2060" s="137"/>
    </row>
    <row r="2061" spans="1:69" ht="12.75" customHeight="1" x14ac:dyDescent="0.2">
      <c r="A2061" s="2">
        <v>3550</v>
      </c>
      <c r="B2061" s="2"/>
      <c r="C2061" s="2"/>
      <c r="D2061" s="2"/>
      <c r="E2061" s="2"/>
      <c r="F2061" s="132">
        <v>0</v>
      </c>
      <c r="G2061" s="132"/>
      <c r="H2061" s="132">
        <f t="shared" si="234"/>
        <v>0</v>
      </c>
      <c r="I2061" s="132"/>
      <c r="J2061" s="132">
        <f t="shared" si="232"/>
        <v>0</v>
      </c>
      <c r="K2061" s="132">
        <f t="shared" si="235"/>
        <v>0</v>
      </c>
      <c r="L2061" s="132">
        <f t="shared" si="236"/>
        <v>0</v>
      </c>
      <c r="M2061" s="133"/>
      <c r="N2061" s="133">
        <f t="shared" si="233"/>
        <v>0</v>
      </c>
      <c r="O2061" s="134"/>
      <c r="P2061" s="133"/>
      <c r="Q2061" s="2"/>
      <c r="R2061" s="156">
        <f t="shared" si="237"/>
        <v>0</v>
      </c>
      <c r="S2061" s="156">
        <f t="shared" si="238"/>
        <v>0</v>
      </c>
      <c r="T2061" s="133"/>
      <c r="U2061" s="133"/>
      <c r="V2061" s="133"/>
      <c r="W2061" s="133"/>
      <c r="X2061" s="133"/>
      <c r="Y2061" s="133"/>
      <c r="Z2061" s="133"/>
      <c r="AA2061" s="133"/>
      <c r="AB2061" s="133"/>
      <c r="AC2061" s="133"/>
      <c r="AD2061" s="133"/>
      <c r="AE2061" s="133"/>
      <c r="AF2061" s="133"/>
      <c r="AG2061" s="133"/>
      <c r="AH2061" s="133"/>
      <c r="AI2061" s="133"/>
      <c r="AJ2061" s="133"/>
      <c r="AK2061" s="133"/>
      <c r="AL2061" s="133"/>
      <c r="AM2061" s="133"/>
      <c r="AN2061" s="133"/>
      <c r="AO2061" s="133"/>
      <c r="AP2061" s="133"/>
      <c r="AQ2061" s="133"/>
      <c r="AR2061" s="133"/>
      <c r="AS2061" s="153">
        <v>0</v>
      </c>
      <c r="AT2061" s="153">
        <v>0</v>
      </c>
      <c r="AU2061" s="153">
        <v>0</v>
      </c>
      <c r="AV2061" s="135"/>
      <c r="AW2061" s="135"/>
      <c r="AX2061" s="135"/>
      <c r="AY2061" s="135"/>
      <c r="AZ2061" s="135"/>
      <c r="BA2061" s="135"/>
      <c r="BB2061" s="135"/>
      <c r="BC2061" s="135"/>
      <c r="BD2061" s="135"/>
      <c r="BE2061" s="135"/>
      <c r="BF2061" s="135"/>
      <c r="BG2061" s="135"/>
      <c r="BH2061" s="135"/>
      <c r="BI2061" s="2"/>
      <c r="BJ2061" s="136"/>
      <c r="BK2061" s="2"/>
      <c r="BL2061" s="136"/>
      <c r="BM2061" s="136"/>
      <c r="BN2061" s="2"/>
      <c r="BO2061" s="2"/>
      <c r="BP2061" s="136"/>
      <c r="BQ2061" s="137"/>
    </row>
    <row r="2062" spans="1:69" ht="12.75" customHeight="1" x14ac:dyDescent="0.2">
      <c r="A2062" s="2">
        <v>3551</v>
      </c>
      <c r="B2062" s="2"/>
      <c r="C2062" s="2"/>
      <c r="D2062" s="2"/>
      <c r="E2062" s="2"/>
      <c r="F2062" s="132">
        <v>0</v>
      </c>
      <c r="G2062" s="132"/>
      <c r="H2062" s="132">
        <f t="shared" si="234"/>
        <v>0</v>
      </c>
      <c r="I2062" s="132"/>
      <c r="J2062" s="132">
        <f t="shared" si="232"/>
        <v>0</v>
      </c>
      <c r="K2062" s="132">
        <f t="shared" si="235"/>
        <v>0</v>
      </c>
      <c r="L2062" s="132">
        <f t="shared" si="236"/>
        <v>0</v>
      </c>
      <c r="M2062" s="133"/>
      <c r="N2062" s="133">
        <f t="shared" si="233"/>
        <v>0</v>
      </c>
      <c r="O2062" s="134"/>
      <c r="P2062" s="133"/>
      <c r="Q2062" s="2"/>
      <c r="R2062" s="156">
        <f t="shared" si="237"/>
        <v>0</v>
      </c>
      <c r="S2062" s="156">
        <f t="shared" si="238"/>
        <v>0</v>
      </c>
      <c r="T2062" s="133"/>
      <c r="U2062" s="133"/>
      <c r="V2062" s="133"/>
      <c r="W2062" s="133"/>
      <c r="X2062" s="133"/>
      <c r="Y2062" s="133"/>
      <c r="Z2062" s="133"/>
      <c r="AA2062" s="133"/>
      <c r="AB2062" s="133"/>
      <c r="AC2062" s="133"/>
      <c r="AD2062" s="133"/>
      <c r="AE2062" s="133"/>
      <c r="AF2062" s="133"/>
      <c r="AG2062" s="133"/>
      <c r="AH2062" s="133"/>
      <c r="AI2062" s="133"/>
      <c r="AJ2062" s="133"/>
      <c r="AK2062" s="133"/>
      <c r="AL2062" s="133"/>
      <c r="AM2062" s="133"/>
      <c r="AN2062" s="133"/>
      <c r="AO2062" s="133"/>
      <c r="AP2062" s="133"/>
      <c r="AQ2062" s="133"/>
      <c r="AR2062" s="133"/>
      <c r="AS2062" s="153">
        <v>0</v>
      </c>
      <c r="AT2062" s="153">
        <v>0</v>
      </c>
      <c r="AU2062" s="153">
        <v>0</v>
      </c>
      <c r="AV2062" s="135"/>
      <c r="AW2062" s="135"/>
      <c r="AX2062" s="135"/>
      <c r="AY2062" s="135"/>
      <c r="AZ2062" s="135"/>
      <c r="BA2062" s="135"/>
      <c r="BB2062" s="135"/>
      <c r="BC2062" s="135"/>
      <c r="BD2062" s="135"/>
      <c r="BE2062" s="135"/>
      <c r="BF2062" s="135"/>
      <c r="BG2062" s="135"/>
      <c r="BH2062" s="135"/>
      <c r="BI2062" s="2"/>
      <c r="BJ2062" s="136"/>
      <c r="BK2062" s="2"/>
      <c r="BL2062" s="136"/>
      <c r="BM2062" s="136"/>
      <c r="BN2062" s="2"/>
      <c r="BO2062" s="2"/>
      <c r="BP2062" s="136"/>
      <c r="BQ2062" s="137"/>
    </row>
    <row r="2063" spans="1:69" ht="12.75" customHeight="1" x14ac:dyDescent="0.2">
      <c r="A2063" s="2">
        <v>3552</v>
      </c>
      <c r="B2063" s="2"/>
      <c r="C2063" s="2"/>
      <c r="D2063" s="2"/>
      <c r="E2063" s="2"/>
      <c r="F2063" s="132">
        <v>0</v>
      </c>
      <c r="G2063" s="132"/>
      <c r="H2063" s="132">
        <f t="shared" si="234"/>
        <v>0</v>
      </c>
      <c r="I2063" s="132"/>
      <c r="J2063" s="132">
        <f t="shared" si="232"/>
        <v>0</v>
      </c>
      <c r="K2063" s="132">
        <f t="shared" si="235"/>
        <v>0</v>
      </c>
      <c r="L2063" s="132">
        <f t="shared" si="236"/>
        <v>0</v>
      </c>
      <c r="M2063" s="133"/>
      <c r="N2063" s="133">
        <f t="shared" si="233"/>
        <v>0</v>
      </c>
      <c r="O2063" s="134"/>
      <c r="P2063" s="133"/>
      <c r="Q2063" s="2"/>
      <c r="R2063" s="156">
        <f t="shared" si="237"/>
        <v>0</v>
      </c>
      <c r="S2063" s="156">
        <f t="shared" si="238"/>
        <v>0</v>
      </c>
      <c r="T2063" s="133"/>
      <c r="U2063" s="133"/>
      <c r="V2063" s="133"/>
      <c r="W2063" s="133"/>
      <c r="X2063" s="133"/>
      <c r="Y2063" s="133"/>
      <c r="Z2063" s="133"/>
      <c r="AA2063" s="133"/>
      <c r="AB2063" s="133"/>
      <c r="AC2063" s="133"/>
      <c r="AD2063" s="133"/>
      <c r="AE2063" s="133"/>
      <c r="AF2063" s="133"/>
      <c r="AG2063" s="133"/>
      <c r="AH2063" s="133"/>
      <c r="AI2063" s="133"/>
      <c r="AJ2063" s="133"/>
      <c r="AK2063" s="133"/>
      <c r="AL2063" s="133"/>
      <c r="AM2063" s="133"/>
      <c r="AN2063" s="133"/>
      <c r="AO2063" s="133"/>
      <c r="AP2063" s="133"/>
      <c r="AQ2063" s="133"/>
      <c r="AR2063" s="133"/>
      <c r="AS2063" s="153">
        <v>0</v>
      </c>
      <c r="AT2063" s="153">
        <v>0</v>
      </c>
      <c r="AU2063" s="153">
        <v>0</v>
      </c>
      <c r="AV2063" s="135"/>
      <c r="AW2063" s="135"/>
      <c r="AX2063" s="135"/>
      <c r="AY2063" s="135"/>
      <c r="AZ2063" s="135"/>
      <c r="BA2063" s="135"/>
      <c r="BB2063" s="135"/>
      <c r="BC2063" s="135"/>
      <c r="BD2063" s="135"/>
      <c r="BE2063" s="135"/>
      <c r="BF2063" s="135"/>
      <c r="BG2063" s="135"/>
      <c r="BH2063" s="135"/>
      <c r="BI2063" s="2"/>
      <c r="BJ2063" s="136"/>
      <c r="BK2063" s="2"/>
      <c r="BL2063" s="136"/>
      <c r="BM2063" s="136"/>
      <c r="BN2063" s="2"/>
      <c r="BO2063" s="2"/>
      <c r="BP2063" s="136"/>
      <c r="BQ2063" s="137"/>
    </row>
    <row r="2064" spans="1:69" ht="12.75" customHeight="1" x14ac:dyDescent="0.2">
      <c r="A2064" s="2">
        <v>3553</v>
      </c>
      <c r="B2064" s="2"/>
      <c r="C2064" s="2"/>
      <c r="D2064" s="2"/>
      <c r="E2064" s="2"/>
      <c r="F2064" s="132">
        <v>0</v>
      </c>
      <c r="G2064" s="132"/>
      <c r="H2064" s="132">
        <f t="shared" si="234"/>
        <v>0</v>
      </c>
      <c r="I2064" s="132"/>
      <c r="J2064" s="132">
        <f t="shared" si="232"/>
        <v>0</v>
      </c>
      <c r="K2064" s="132">
        <f t="shared" si="235"/>
        <v>0</v>
      </c>
      <c r="L2064" s="132">
        <f t="shared" si="236"/>
        <v>0</v>
      </c>
      <c r="M2064" s="133"/>
      <c r="N2064" s="133">
        <f t="shared" si="233"/>
        <v>0</v>
      </c>
      <c r="O2064" s="134"/>
      <c r="P2064" s="133"/>
      <c r="Q2064" s="2"/>
      <c r="R2064" s="156">
        <f t="shared" si="237"/>
        <v>0</v>
      </c>
      <c r="S2064" s="156">
        <f t="shared" si="238"/>
        <v>0</v>
      </c>
      <c r="T2064" s="133"/>
      <c r="U2064" s="133"/>
      <c r="V2064" s="133"/>
      <c r="W2064" s="133"/>
      <c r="X2064" s="133"/>
      <c r="Y2064" s="133"/>
      <c r="Z2064" s="133"/>
      <c r="AA2064" s="133"/>
      <c r="AB2064" s="133"/>
      <c r="AC2064" s="133"/>
      <c r="AD2064" s="133"/>
      <c r="AE2064" s="133"/>
      <c r="AF2064" s="133"/>
      <c r="AG2064" s="133"/>
      <c r="AH2064" s="133"/>
      <c r="AI2064" s="133"/>
      <c r="AJ2064" s="133"/>
      <c r="AK2064" s="133"/>
      <c r="AL2064" s="133"/>
      <c r="AM2064" s="133"/>
      <c r="AN2064" s="133"/>
      <c r="AO2064" s="133"/>
      <c r="AP2064" s="133"/>
      <c r="AQ2064" s="133"/>
      <c r="AR2064" s="133"/>
      <c r="AS2064" s="153">
        <v>0</v>
      </c>
      <c r="AT2064" s="153">
        <v>0</v>
      </c>
      <c r="AU2064" s="153">
        <v>0</v>
      </c>
      <c r="AV2064" s="135"/>
      <c r="AW2064" s="135"/>
      <c r="AX2064" s="135"/>
      <c r="AY2064" s="135"/>
      <c r="AZ2064" s="135"/>
      <c r="BA2064" s="135"/>
      <c r="BB2064" s="135"/>
      <c r="BC2064" s="135"/>
      <c r="BD2064" s="135"/>
      <c r="BE2064" s="135"/>
      <c r="BF2064" s="135"/>
      <c r="BG2064" s="135"/>
      <c r="BH2064" s="135"/>
      <c r="BI2064" s="2"/>
      <c r="BJ2064" s="136"/>
      <c r="BK2064" s="2"/>
      <c r="BL2064" s="136"/>
      <c r="BM2064" s="136"/>
      <c r="BN2064" s="2"/>
      <c r="BO2064" s="2"/>
      <c r="BP2064" s="136"/>
      <c r="BQ2064" s="137"/>
    </row>
    <row r="2065" spans="1:69" ht="12.75" customHeight="1" x14ac:dyDescent="0.2">
      <c r="A2065" s="2">
        <v>3554</v>
      </c>
      <c r="B2065" s="2"/>
      <c r="C2065" s="2"/>
      <c r="D2065" s="2"/>
      <c r="E2065" s="2"/>
      <c r="F2065" s="132">
        <v>0</v>
      </c>
      <c r="G2065" s="132"/>
      <c r="H2065" s="132">
        <f t="shared" si="234"/>
        <v>0</v>
      </c>
      <c r="I2065" s="132"/>
      <c r="J2065" s="132">
        <f t="shared" si="232"/>
        <v>0</v>
      </c>
      <c r="K2065" s="132">
        <f t="shared" si="235"/>
        <v>0</v>
      </c>
      <c r="L2065" s="132">
        <f t="shared" si="236"/>
        <v>0</v>
      </c>
      <c r="M2065" s="133"/>
      <c r="N2065" s="133">
        <f t="shared" si="233"/>
        <v>0</v>
      </c>
      <c r="O2065" s="134"/>
      <c r="P2065" s="133"/>
      <c r="Q2065" s="2"/>
      <c r="R2065" s="156">
        <f t="shared" si="237"/>
        <v>0</v>
      </c>
      <c r="S2065" s="156">
        <f t="shared" si="238"/>
        <v>0</v>
      </c>
      <c r="T2065" s="133"/>
      <c r="U2065" s="133"/>
      <c r="V2065" s="133"/>
      <c r="W2065" s="133"/>
      <c r="X2065" s="133"/>
      <c r="Y2065" s="133"/>
      <c r="Z2065" s="133"/>
      <c r="AA2065" s="133"/>
      <c r="AB2065" s="133"/>
      <c r="AC2065" s="133"/>
      <c r="AD2065" s="133"/>
      <c r="AE2065" s="133"/>
      <c r="AF2065" s="133"/>
      <c r="AG2065" s="133"/>
      <c r="AH2065" s="133"/>
      <c r="AI2065" s="133"/>
      <c r="AJ2065" s="133"/>
      <c r="AK2065" s="133"/>
      <c r="AL2065" s="133"/>
      <c r="AM2065" s="133"/>
      <c r="AN2065" s="133"/>
      <c r="AO2065" s="133"/>
      <c r="AP2065" s="133"/>
      <c r="AQ2065" s="133"/>
      <c r="AR2065" s="133"/>
      <c r="AS2065" s="153">
        <v>0</v>
      </c>
      <c r="AT2065" s="153">
        <v>0</v>
      </c>
      <c r="AU2065" s="153">
        <v>0</v>
      </c>
      <c r="AV2065" s="135"/>
      <c r="AW2065" s="135"/>
      <c r="AX2065" s="135"/>
      <c r="AY2065" s="135"/>
      <c r="AZ2065" s="135"/>
      <c r="BA2065" s="135"/>
      <c r="BB2065" s="135"/>
      <c r="BC2065" s="135"/>
      <c r="BD2065" s="135"/>
      <c r="BE2065" s="135"/>
      <c r="BF2065" s="135"/>
      <c r="BG2065" s="135"/>
      <c r="BH2065" s="135"/>
      <c r="BI2065" s="2"/>
      <c r="BJ2065" s="136"/>
      <c r="BK2065" s="2"/>
      <c r="BL2065" s="136"/>
      <c r="BM2065" s="136"/>
      <c r="BN2065" s="2"/>
      <c r="BO2065" s="2"/>
      <c r="BP2065" s="136"/>
      <c r="BQ2065" s="137"/>
    </row>
    <row r="2066" spans="1:69" ht="12.75" customHeight="1" x14ac:dyDescent="0.2">
      <c r="A2066" s="2">
        <v>3555</v>
      </c>
      <c r="B2066" s="2"/>
      <c r="C2066" s="2"/>
      <c r="D2066" s="2"/>
      <c r="E2066" s="2"/>
      <c r="F2066" s="132">
        <v>0</v>
      </c>
      <c r="G2066" s="132"/>
      <c r="H2066" s="132">
        <f t="shared" si="234"/>
        <v>0</v>
      </c>
      <c r="I2066" s="132"/>
      <c r="J2066" s="132">
        <f t="shared" si="232"/>
        <v>0</v>
      </c>
      <c r="K2066" s="132">
        <f t="shared" si="235"/>
        <v>0</v>
      </c>
      <c r="L2066" s="132">
        <f t="shared" si="236"/>
        <v>0</v>
      </c>
      <c r="M2066" s="133"/>
      <c r="N2066" s="133">
        <f t="shared" si="233"/>
        <v>0</v>
      </c>
      <c r="O2066" s="134"/>
      <c r="P2066" s="133"/>
      <c r="Q2066" s="2"/>
      <c r="R2066" s="156">
        <f t="shared" si="237"/>
        <v>0</v>
      </c>
      <c r="S2066" s="156">
        <f t="shared" si="238"/>
        <v>0</v>
      </c>
      <c r="T2066" s="133"/>
      <c r="U2066" s="133"/>
      <c r="V2066" s="133"/>
      <c r="W2066" s="133"/>
      <c r="X2066" s="133"/>
      <c r="Y2066" s="133"/>
      <c r="Z2066" s="133"/>
      <c r="AA2066" s="133"/>
      <c r="AB2066" s="133"/>
      <c r="AC2066" s="133"/>
      <c r="AD2066" s="133"/>
      <c r="AE2066" s="133"/>
      <c r="AF2066" s="133"/>
      <c r="AG2066" s="133"/>
      <c r="AH2066" s="133"/>
      <c r="AI2066" s="133"/>
      <c r="AJ2066" s="133"/>
      <c r="AK2066" s="133"/>
      <c r="AL2066" s="133"/>
      <c r="AM2066" s="133"/>
      <c r="AN2066" s="133"/>
      <c r="AO2066" s="133"/>
      <c r="AP2066" s="133"/>
      <c r="AQ2066" s="133"/>
      <c r="AR2066" s="133"/>
      <c r="AS2066" s="153">
        <v>0</v>
      </c>
      <c r="AT2066" s="153">
        <v>0</v>
      </c>
      <c r="AU2066" s="153">
        <v>0</v>
      </c>
      <c r="AV2066" s="135"/>
      <c r="AW2066" s="135"/>
      <c r="AX2066" s="135"/>
      <c r="AY2066" s="135"/>
      <c r="AZ2066" s="135"/>
      <c r="BA2066" s="135"/>
      <c r="BB2066" s="135"/>
      <c r="BC2066" s="135"/>
      <c r="BD2066" s="135"/>
      <c r="BE2066" s="135"/>
      <c r="BF2066" s="135"/>
      <c r="BG2066" s="135"/>
      <c r="BH2066" s="135"/>
      <c r="BI2066" s="2"/>
      <c r="BJ2066" s="136"/>
      <c r="BK2066" s="2"/>
      <c r="BL2066" s="136"/>
      <c r="BM2066" s="136"/>
      <c r="BN2066" s="2"/>
      <c r="BO2066" s="2"/>
      <c r="BP2066" s="136"/>
      <c r="BQ2066" s="137"/>
    </row>
    <row r="2067" spans="1:69" ht="12.75" customHeight="1" x14ac:dyDescent="0.2">
      <c r="A2067" s="2">
        <v>3556</v>
      </c>
      <c r="B2067" s="2"/>
      <c r="C2067" s="2"/>
      <c r="D2067" s="2"/>
      <c r="E2067" s="2"/>
      <c r="F2067" s="132">
        <v>0</v>
      </c>
      <c r="G2067" s="132"/>
      <c r="H2067" s="132">
        <f t="shared" si="234"/>
        <v>0</v>
      </c>
      <c r="I2067" s="132"/>
      <c r="J2067" s="132">
        <f t="shared" si="232"/>
        <v>0</v>
      </c>
      <c r="K2067" s="132">
        <f t="shared" si="235"/>
        <v>0</v>
      </c>
      <c r="L2067" s="132">
        <f t="shared" si="236"/>
        <v>0</v>
      </c>
      <c r="M2067" s="133"/>
      <c r="N2067" s="133">
        <f t="shared" si="233"/>
        <v>0</v>
      </c>
      <c r="O2067" s="134"/>
      <c r="P2067" s="133"/>
      <c r="Q2067" s="2"/>
      <c r="R2067" s="156">
        <f t="shared" si="237"/>
        <v>0</v>
      </c>
      <c r="S2067" s="156">
        <f t="shared" si="238"/>
        <v>0</v>
      </c>
      <c r="T2067" s="133"/>
      <c r="U2067" s="133"/>
      <c r="V2067" s="133"/>
      <c r="W2067" s="133"/>
      <c r="X2067" s="133"/>
      <c r="Y2067" s="133"/>
      <c r="Z2067" s="133"/>
      <c r="AA2067" s="133"/>
      <c r="AB2067" s="133"/>
      <c r="AC2067" s="133"/>
      <c r="AD2067" s="133"/>
      <c r="AE2067" s="133"/>
      <c r="AF2067" s="133"/>
      <c r="AG2067" s="133"/>
      <c r="AH2067" s="133"/>
      <c r="AI2067" s="133"/>
      <c r="AJ2067" s="133"/>
      <c r="AK2067" s="133"/>
      <c r="AL2067" s="133"/>
      <c r="AM2067" s="133"/>
      <c r="AN2067" s="133"/>
      <c r="AO2067" s="133"/>
      <c r="AP2067" s="133"/>
      <c r="AQ2067" s="133"/>
      <c r="AR2067" s="133"/>
      <c r="AS2067" s="153">
        <v>0</v>
      </c>
      <c r="AT2067" s="153">
        <v>0</v>
      </c>
      <c r="AU2067" s="153">
        <v>0</v>
      </c>
      <c r="AV2067" s="135"/>
      <c r="AW2067" s="135"/>
      <c r="AX2067" s="135"/>
      <c r="AY2067" s="135"/>
      <c r="AZ2067" s="135"/>
      <c r="BA2067" s="135"/>
      <c r="BB2067" s="135"/>
      <c r="BC2067" s="135"/>
      <c r="BD2067" s="135"/>
      <c r="BE2067" s="135"/>
      <c r="BF2067" s="135"/>
      <c r="BG2067" s="135"/>
      <c r="BH2067" s="135"/>
      <c r="BI2067" s="2"/>
      <c r="BJ2067" s="136"/>
      <c r="BK2067" s="2"/>
      <c r="BL2067" s="136"/>
      <c r="BM2067" s="136"/>
      <c r="BN2067" s="2"/>
      <c r="BO2067" s="2"/>
      <c r="BP2067" s="136"/>
      <c r="BQ2067" s="137"/>
    </row>
    <row r="2068" spans="1:69" ht="12.75" customHeight="1" x14ac:dyDescent="0.2">
      <c r="A2068" s="2">
        <v>3557</v>
      </c>
      <c r="B2068" s="2"/>
      <c r="C2068" s="2"/>
      <c r="D2068" s="2"/>
      <c r="E2068" s="2"/>
      <c r="F2068" s="132">
        <v>0</v>
      </c>
      <c r="G2068" s="132"/>
      <c r="H2068" s="132">
        <f t="shared" si="234"/>
        <v>0</v>
      </c>
      <c r="I2068" s="132"/>
      <c r="J2068" s="132">
        <f t="shared" si="232"/>
        <v>0</v>
      </c>
      <c r="K2068" s="132">
        <f t="shared" si="235"/>
        <v>0</v>
      </c>
      <c r="L2068" s="132">
        <f t="shared" si="236"/>
        <v>0</v>
      </c>
      <c r="M2068" s="133"/>
      <c r="N2068" s="133">
        <f t="shared" si="233"/>
        <v>0</v>
      </c>
      <c r="O2068" s="134"/>
      <c r="P2068" s="133"/>
      <c r="Q2068" s="2"/>
      <c r="R2068" s="156">
        <f t="shared" si="237"/>
        <v>0</v>
      </c>
      <c r="S2068" s="156">
        <f t="shared" si="238"/>
        <v>0</v>
      </c>
      <c r="T2068" s="133"/>
      <c r="U2068" s="133"/>
      <c r="V2068" s="133"/>
      <c r="W2068" s="133"/>
      <c r="X2068" s="133"/>
      <c r="Y2068" s="133"/>
      <c r="Z2068" s="133"/>
      <c r="AA2068" s="133"/>
      <c r="AB2068" s="133"/>
      <c r="AC2068" s="133"/>
      <c r="AD2068" s="133"/>
      <c r="AE2068" s="133"/>
      <c r="AF2068" s="133"/>
      <c r="AG2068" s="133"/>
      <c r="AH2068" s="133"/>
      <c r="AI2068" s="133"/>
      <c r="AJ2068" s="133"/>
      <c r="AK2068" s="133"/>
      <c r="AL2068" s="133"/>
      <c r="AM2068" s="133"/>
      <c r="AN2068" s="133"/>
      <c r="AO2068" s="133"/>
      <c r="AP2068" s="133"/>
      <c r="AQ2068" s="133"/>
      <c r="AR2068" s="133"/>
      <c r="AS2068" s="153">
        <v>0</v>
      </c>
      <c r="AT2068" s="153">
        <v>0</v>
      </c>
      <c r="AU2068" s="153">
        <v>0</v>
      </c>
      <c r="AV2068" s="135"/>
      <c r="AW2068" s="135"/>
      <c r="AX2068" s="135"/>
      <c r="AY2068" s="135"/>
      <c r="AZ2068" s="135"/>
      <c r="BA2068" s="135"/>
      <c r="BB2068" s="135"/>
      <c r="BC2068" s="135"/>
      <c r="BD2068" s="135"/>
      <c r="BE2068" s="135"/>
      <c r="BF2068" s="135"/>
      <c r="BG2068" s="135"/>
      <c r="BH2068" s="135"/>
      <c r="BI2068" s="2"/>
      <c r="BJ2068" s="136"/>
      <c r="BK2068" s="2"/>
      <c r="BL2068" s="136"/>
      <c r="BM2068" s="136"/>
      <c r="BN2068" s="2"/>
      <c r="BO2068" s="2"/>
      <c r="BP2068" s="136"/>
      <c r="BQ2068" s="137"/>
    </row>
    <row r="2069" spans="1:69" ht="12.75" customHeight="1" x14ac:dyDescent="0.2">
      <c r="A2069" s="2">
        <v>3558</v>
      </c>
      <c r="B2069" s="2"/>
      <c r="C2069" s="2"/>
      <c r="D2069" s="2"/>
      <c r="E2069" s="2"/>
      <c r="F2069" s="132">
        <v>0</v>
      </c>
      <c r="G2069" s="132"/>
      <c r="H2069" s="132">
        <f t="shared" si="234"/>
        <v>0</v>
      </c>
      <c r="I2069" s="132"/>
      <c r="J2069" s="132">
        <f t="shared" si="232"/>
        <v>0</v>
      </c>
      <c r="K2069" s="132">
        <f t="shared" si="235"/>
        <v>0</v>
      </c>
      <c r="L2069" s="132">
        <f t="shared" si="236"/>
        <v>0</v>
      </c>
      <c r="M2069" s="133"/>
      <c r="N2069" s="133">
        <f t="shared" si="233"/>
        <v>0</v>
      </c>
      <c r="O2069" s="134"/>
      <c r="P2069" s="133"/>
      <c r="Q2069" s="2"/>
      <c r="R2069" s="156">
        <f t="shared" si="237"/>
        <v>0</v>
      </c>
      <c r="S2069" s="156">
        <f t="shared" si="238"/>
        <v>0</v>
      </c>
      <c r="T2069" s="133"/>
      <c r="U2069" s="133"/>
      <c r="V2069" s="133"/>
      <c r="W2069" s="133"/>
      <c r="X2069" s="133"/>
      <c r="Y2069" s="133"/>
      <c r="Z2069" s="133"/>
      <c r="AA2069" s="133"/>
      <c r="AB2069" s="133"/>
      <c r="AC2069" s="133"/>
      <c r="AD2069" s="133"/>
      <c r="AE2069" s="133"/>
      <c r="AF2069" s="133"/>
      <c r="AG2069" s="133"/>
      <c r="AH2069" s="133"/>
      <c r="AI2069" s="133"/>
      <c r="AJ2069" s="133"/>
      <c r="AK2069" s="133"/>
      <c r="AL2069" s="133"/>
      <c r="AM2069" s="133"/>
      <c r="AN2069" s="133"/>
      <c r="AO2069" s="133"/>
      <c r="AP2069" s="133"/>
      <c r="AQ2069" s="133"/>
      <c r="AR2069" s="133"/>
      <c r="AS2069" s="153">
        <v>0</v>
      </c>
      <c r="AT2069" s="153">
        <v>0</v>
      </c>
      <c r="AU2069" s="153">
        <v>0</v>
      </c>
      <c r="AV2069" s="135"/>
      <c r="AW2069" s="135"/>
      <c r="AX2069" s="135"/>
      <c r="AY2069" s="135"/>
      <c r="AZ2069" s="135"/>
      <c r="BA2069" s="135"/>
      <c r="BB2069" s="135"/>
      <c r="BC2069" s="135"/>
      <c r="BD2069" s="135"/>
      <c r="BE2069" s="135"/>
      <c r="BF2069" s="135"/>
      <c r="BG2069" s="135"/>
      <c r="BH2069" s="135"/>
      <c r="BI2069" s="2"/>
      <c r="BJ2069" s="136"/>
      <c r="BK2069" s="2"/>
      <c r="BL2069" s="136"/>
      <c r="BM2069" s="136"/>
      <c r="BN2069" s="2"/>
      <c r="BO2069" s="2"/>
      <c r="BP2069" s="136"/>
      <c r="BQ2069" s="137"/>
    </row>
    <row r="2070" spans="1:69" ht="12.75" customHeight="1" x14ac:dyDescent="0.2">
      <c r="A2070" s="2">
        <v>3559</v>
      </c>
      <c r="B2070" s="2"/>
      <c r="C2070" s="2"/>
      <c r="D2070" s="2"/>
      <c r="E2070" s="2"/>
      <c r="F2070" s="132">
        <v>0</v>
      </c>
      <c r="G2070" s="132"/>
      <c r="H2070" s="132">
        <f t="shared" si="234"/>
        <v>0</v>
      </c>
      <c r="I2070" s="132"/>
      <c r="J2070" s="132">
        <f t="shared" si="232"/>
        <v>0</v>
      </c>
      <c r="K2070" s="132">
        <f t="shared" si="235"/>
        <v>0</v>
      </c>
      <c r="L2070" s="132">
        <f t="shared" si="236"/>
        <v>0</v>
      </c>
      <c r="M2070" s="133"/>
      <c r="N2070" s="133">
        <f t="shared" si="233"/>
        <v>0</v>
      </c>
      <c r="O2070" s="134"/>
      <c r="P2070" s="133"/>
      <c r="Q2070" s="2"/>
      <c r="R2070" s="156">
        <f t="shared" si="237"/>
        <v>0</v>
      </c>
      <c r="S2070" s="156">
        <f t="shared" si="238"/>
        <v>0</v>
      </c>
      <c r="T2070" s="133"/>
      <c r="U2070" s="133"/>
      <c r="V2070" s="133"/>
      <c r="W2070" s="133"/>
      <c r="X2070" s="133"/>
      <c r="Y2070" s="133"/>
      <c r="Z2070" s="133"/>
      <c r="AA2070" s="133"/>
      <c r="AB2070" s="133"/>
      <c r="AC2070" s="133"/>
      <c r="AD2070" s="133"/>
      <c r="AE2070" s="133"/>
      <c r="AF2070" s="133"/>
      <c r="AG2070" s="133"/>
      <c r="AH2070" s="133"/>
      <c r="AI2070" s="133"/>
      <c r="AJ2070" s="133"/>
      <c r="AK2070" s="133"/>
      <c r="AL2070" s="133"/>
      <c r="AM2070" s="133"/>
      <c r="AN2070" s="133"/>
      <c r="AO2070" s="133"/>
      <c r="AP2070" s="133"/>
      <c r="AQ2070" s="133"/>
      <c r="AR2070" s="133"/>
      <c r="AS2070" s="153">
        <v>0</v>
      </c>
      <c r="AT2070" s="153">
        <v>0</v>
      </c>
      <c r="AU2070" s="153">
        <v>0</v>
      </c>
      <c r="AV2070" s="135"/>
      <c r="AW2070" s="135"/>
      <c r="AX2070" s="135"/>
      <c r="AY2070" s="135"/>
      <c r="AZ2070" s="135"/>
      <c r="BA2070" s="135"/>
      <c r="BB2070" s="135"/>
      <c r="BC2070" s="135"/>
      <c r="BD2070" s="135"/>
      <c r="BE2070" s="135"/>
      <c r="BF2070" s="135"/>
      <c r="BG2070" s="135"/>
      <c r="BH2070" s="135"/>
      <c r="BI2070" s="2"/>
      <c r="BJ2070" s="136"/>
      <c r="BK2070" s="2"/>
      <c r="BL2070" s="136"/>
      <c r="BM2070" s="136"/>
      <c r="BN2070" s="2"/>
      <c r="BO2070" s="2"/>
      <c r="BP2070" s="136"/>
      <c r="BQ2070" s="137"/>
    </row>
    <row r="2071" spans="1:69" ht="12.75" customHeight="1" x14ac:dyDescent="0.2">
      <c r="A2071" s="2">
        <v>3560</v>
      </c>
      <c r="B2071" s="2"/>
      <c r="C2071" s="2"/>
      <c r="D2071" s="2"/>
      <c r="E2071" s="2"/>
      <c r="F2071" s="132">
        <v>0</v>
      </c>
      <c r="G2071" s="132"/>
      <c r="H2071" s="132">
        <f t="shared" si="234"/>
        <v>0</v>
      </c>
      <c r="I2071" s="132"/>
      <c r="J2071" s="132">
        <f t="shared" si="232"/>
        <v>0</v>
      </c>
      <c r="K2071" s="132">
        <f t="shared" si="235"/>
        <v>0</v>
      </c>
      <c r="L2071" s="132">
        <f t="shared" si="236"/>
        <v>0</v>
      </c>
      <c r="M2071" s="133"/>
      <c r="N2071" s="133">
        <f t="shared" si="233"/>
        <v>0</v>
      </c>
      <c r="O2071" s="134"/>
      <c r="P2071" s="133"/>
      <c r="Q2071" s="2"/>
      <c r="R2071" s="156">
        <f t="shared" si="237"/>
        <v>0</v>
      </c>
      <c r="S2071" s="156">
        <f t="shared" si="238"/>
        <v>0</v>
      </c>
      <c r="T2071" s="133"/>
      <c r="U2071" s="133"/>
      <c r="V2071" s="133"/>
      <c r="W2071" s="133"/>
      <c r="X2071" s="133"/>
      <c r="Y2071" s="133"/>
      <c r="Z2071" s="133"/>
      <c r="AA2071" s="133"/>
      <c r="AB2071" s="133"/>
      <c r="AC2071" s="133"/>
      <c r="AD2071" s="133"/>
      <c r="AE2071" s="133"/>
      <c r="AF2071" s="133"/>
      <c r="AG2071" s="133"/>
      <c r="AH2071" s="133"/>
      <c r="AI2071" s="133"/>
      <c r="AJ2071" s="133"/>
      <c r="AK2071" s="133"/>
      <c r="AL2071" s="133"/>
      <c r="AM2071" s="133"/>
      <c r="AN2071" s="133"/>
      <c r="AO2071" s="133"/>
      <c r="AP2071" s="133"/>
      <c r="AQ2071" s="133"/>
      <c r="AR2071" s="133"/>
      <c r="AS2071" s="153">
        <v>0</v>
      </c>
      <c r="AT2071" s="153">
        <v>0</v>
      </c>
      <c r="AU2071" s="153">
        <v>0</v>
      </c>
      <c r="AV2071" s="135"/>
      <c r="AW2071" s="135"/>
      <c r="AX2071" s="135"/>
      <c r="AY2071" s="135"/>
      <c r="AZ2071" s="135"/>
      <c r="BA2071" s="135"/>
      <c r="BB2071" s="135"/>
      <c r="BC2071" s="135"/>
      <c r="BD2071" s="135"/>
      <c r="BE2071" s="135"/>
      <c r="BF2071" s="135"/>
      <c r="BG2071" s="135"/>
      <c r="BH2071" s="135"/>
      <c r="BI2071" s="2"/>
      <c r="BJ2071" s="136"/>
      <c r="BK2071" s="2"/>
      <c r="BL2071" s="136"/>
      <c r="BM2071" s="136"/>
      <c r="BN2071" s="2"/>
      <c r="BO2071" s="2"/>
      <c r="BP2071" s="136"/>
      <c r="BQ2071" s="137"/>
    </row>
    <row r="2072" spans="1:69" ht="12.75" customHeight="1" x14ac:dyDescent="0.2">
      <c r="A2072" s="2">
        <v>3561</v>
      </c>
      <c r="B2072" s="2"/>
      <c r="C2072" s="2"/>
      <c r="D2072" s="2"/>
      <c r="E2072" s="2"/>
      <c r="F2072" s="132">
        <v>0</v>
      </c>
      <c r="G2072" s="132"/>
      <c r="H2072" s="132">
        <f t="shared" si="234"/>
        <v>0</v>
      </c>
      <c r="I2072" s="132"/>
      <c r="J2072" s="132">
        <f t="shared" si="232"/>
        <v>0</v>
      </c>
      <c r="K2072" s="132">
        <f t="shared" si="235"/>
        <v>0</v>
      </c>
      <c r="L2072" s="132">
        <f t="shared" si="236"/>
        <v>0</v>
      </c>
      <c r="M2072" s="133"/>
      <c r="N2072" s="133">
        <f t="shared" si="233"/>
        <v>0</v>
      </c>
      <c r="O2072" s="134"/>
      <c r="P2072" s="133"/>
      <c r="Q2072" s="2"/>
      <c r="R2072" s="156">
        <f t="shared" si="237"/>
        <v>0</v>
      </c>
      <c r="S2072" s="156">
        <f t="shared" si="238"/>
        <v>0</v>
      </c>
      <c r="T2072" s="133"/>
      <c r="U2072" s="133"/>
      <c r="V2072" s="133"/>
      <c r="W2072" s="133"/>
      <c r="X2072" s="133"/>
      <c r="Y2072" s="133"/>
      <c r="Z2072" s="133"/>
      <c r="AA2072" s="133"/>
      <c r="AB2072" s="133"/>
      <c r="AC2072" s="133"/>
      <c r="AD2072" s="133"/>
      <c r="AE2072" s="133"/>
      <c r="AF2072" s="133"/>
      <c r="AG2072" s="133"/>
      <c r="AH2072" s="133"/>
      <c r="AI2072" s="133"/>
      <c r="AJ2072" s="133"/>
      <c r="AK2072" s="133"/>
      <c r="AL2072" s="133"/>
      <c r="AM2072" s="133"/>
      <c r="AN2072" s="133"/>
      <c r="AO2072" s="133"/>
      <c r="AP2072" s="133"/>
      <c r="AQ2072" s="133"/>
      <c r="AR2072" s="133"/>
      <c r="AS2072" s="153">
        <v>0</v>
      </c>
      <c r="AT2072" s="153">
        <v>0</v>
      </c>
      <c r="AU2072" s="153">
        <v>0</v>
      </c>
      <c r="AV2072" s="135"/>
      <c r="AW2072" s="135"/>
      <c r="AX2072" s="135"/>
      <c r="AY2072" s="135"/>
      <c r="AZ2072" s="135"/>
      <c r="BA2072" s="135"/>
      <c r="BB2072" s="135"/>
      <c r="BC2072" s="135"/>
      <c r="BD2072" s="135"/>
      <c r="BE2072" s="135"/>
      <c r="BF2072" s="135"/>
      <c r="BG2072" s="135"/>
      <c r="BH2072" s="135"/>
      <c r="BI2072" s="2"/>
      <c r="BJ2072" s="136"/>
      <c r="BK2072" s="2"/>
      <c r="BL2072" s="136"/>
      <c r="BM2072" s="136"/>
      <c r="BN2072" s="2"/>
      <c r="BO2072" s="2"/>
      <c r="BP2072" s="136"/>
      <c r="BQ2072" s="137"/>
    </row>
    <row r="2073" spans="1:69" ht="12.75" customHeight="1" x14ac:dyDescent="0.2">
      <c r="A2073" s="2">
        <v>3562</v>
      </c>
      <c r="B2073" s="2"/>
      <c r="C2073" s="2"/>
      <c r="D2073" s="2"/>
      <c r="E2073" s="2"/>
      <c r="F2073" s="132">
        <v>0</v>
      </c>
      <c r="G2073" s="132"/>
      <c r="H2073" s="132">
        <f t="shared" si="234"/>
        <v>0</v>
      </c>
      <c r="I2073" s="132"/>
      <c r="J2073" s="132">
        <f t="shared" si="232"/>
        <v>0</v>
      </c>
      <c r="K2073" s="132">
        <f t="shared" si="235"/>
        <v>0</v>
      </c>
      <c r="L2073" s="132">
        <f t="shared" si="236"/>
        <v>0</v>
      </c>
      <c r="M2073" s="133"/>
      <c r="N2073" s="133">
        <f t="shared" si="233"/>
        <v>0</v>
      </c>
      <c r="O2073" s="134"/>
      <c r="P2073" s="133"/>
      <c r="Q2073" s="2"/>
      <c r="R2073" s="156">
        <f t="shared" si="237"/>
        <v>0</v>
      </c>
      <c r="S2073" s="156">
        <f t="shared" si="238"/>
        <v>0</v>
      </c>
      <c r="T2073" s="133"/>
      <c r="U2073" s="133"/>
      <c r="V2073" s="133"/>
      <c r="W2073" s="133"/>
      <c r="X2073" s="133"/>
      <c r="Y2073" s="133"/>
      <c r="Z2073" s="133"/>
      <c r="AA2073" s="133"/>
      <c r="AB2073" s="133"/>
      <c r="AC2073" s="133"/>
      <c r="AD2073" s="133"/>
      <c r="AE2073" s="133"/>
      <c r="AF2073" s="133"/>
      <c r="AG2073" s="133"/>
      <c r="AH2073" s="133"/>
      <c r="AI2073" s="133"/>
      <c r="AJ2073" s="133"/>
      <c r="AK2073" s="133"/>
      <c r="AL2073" s="133"/>
      <c r="AM2073" s="133"/>
      <c r="AN2073" s="133"/>
      <c r="AO2073" s="133"/>
      <c r="AP2073" s="133"/>
      <c r="AQ2073" s="133"/>
      <c r="AR2073" s="133"/>
      <c r="AS2073" s="153">
        <v>0</v>
      </c>
      <c r="AT2073" s="153">
        <v>0</v>
      </c>
      <c r="AU2073" s="153">
        <v>0</v>
      </c>
      <c r="AV2073" s="135"/>
      <c r="AW2073" s="135"/>
      <c r="AX2073" s="135"/>
      <c r="AY2073" s="135"/>
      <c r="AZ2073" s="135"/>
      <c r="BA2073" s="135"/>
      <c r="BB2073" s="135"/>
      <c r="BC2073" s="135"/>
      <c r="BD2073" s="135"/>
      <c r="BE2073" s="135"/>
      <c r="BF2073" s="135"/>
      <c r="BG2073" s="135"/>
      <c r="BH2073" s="135"/>
      <c r="BI2073" s="2"/>
      <c r="BJ2073" s="136"/>
      <c r="BK2073" s="2"/>
      <c r="BL2073" s="136"/>
      <c r="BM2073" s="136"/>
      <c r="BN2073" s="2"/>
      <c r="BO2073" s="2"/>
      <c r="BP2073" s="136"/>
      <c r="BQ2073" s="137"/>
    </row>
    <row r="2074" spans="1:69" ht="12.75" customHeight="1" x14ac:dyDescent="0.2">
      <c r="A2074" s="2">
        <v>3563</v>
      </c>
      <c r="B2074" s="2"/>
      <c r="C2074" s="2"/>
      <c r="D2074" s="2"/>
      <c r="E2074" s="2"/>
      <c r="F2074" s="132">
        <v>0</v>
      </c>
      <c r="G2074" s="132"/>
      <c r="H2074" s="132">
        <f t="shared" si="234"/>
        <v>0</v>
      </c>
      <c r="I2074" s="132"/>
      <c r="J2074" s="132">
        <f t="shared" si="232"/>
        <v>0</v>
      </c>
      <c r="K2074" s="132">
        <f t="shared" si="235"/>
        <v>0</v>
      </c>
      <c r="L2074" s="132">
        <f t="shared" si="236"/>
        <v>0</v>
      </c>
      <c r="M2074" s="133"/>
      <c r="N2074" s="133">
        <f t="shared" si="233"/>
        <v>0</v>
      </c>
      <c r="O2074" s="134"/>
      <c r="P2074" s="133"/>
      <c r="Q2074" s="2"/>
      <c r="R2074" s="156">
        <f t="shared" si="237"/>
        <v>0</v>
      </c>
      <c r="S2074" s="156">
        <f t="shared" si="238"/>
        <v>0</v>
      </c>
      <c r="T2074" s="133"/>
      <c r="U2074" s="133"/>
      <c r="V2074" s="133"/>
      <c r="W2074" s="133"/>
      <c r="X2074" s="133"/>
      <c r="Y2074" s="133"/>
      <c r="Z2074" s="133"/>
      <c r="AA2074" s="133"/>
      <c r="AB2074" s="133"/>
      <c r="AC2074" s="133"/>
      <c r="AD2074" s="133"/>
      <c r="AE2074" s="133"/>
      <c r="AF2074" s="133"/>
      <c r="AG2074" s="133"/>
      <c r="AH2074" s="133"/>
      <c r="AI2074" s="133"/>
      <c r="AJ2074" s="133"/>
      <c r="AK2074" s="133"/>
      <c r="AL2074" s="133"/>
      <c r="AM2074" s="133"/>
      <c r="AN2074" s="133"/>
      <c r="AO2074" s="133"/>
      <c r="AP2074" s="133"/>
      <c r="AQ2074" s="133"/>
      <c r="AR2074" s="133"/>
      <c r="AS2074" s="153">
        <v>0</v>
      </c>
      <c r="AT2074" s="153">
        <v>0</v>
      </c>
      <c r="AU2074" s="153">
        <v>0</v>
      </c>
      <c r="AV2074" s="135"/>
      <c r="AW2074" s="135"/>
      <c r="AX2074" s="135"/>
      <c r="AY2074" s="135"/>
      <c r="AZ2074" s="135"/>
      <c r="BA2074" s="135"/>
      <c r="BB2074" s="135"/>
      <c r="BC2074" s="135"/>
      <c r="BD2074" s="135"/>
      <c r="BE2074" s="135"/>
      <c r="BF2074" s="135"/>
      <c r="BG2074" s="135"/>
      <c r="BH2074" s="135"/>
      <c r="BI2074" s="2"/>
      <c r="BJ2074" s="136"/>
      <c r="BK2074" s="2"/>
      <c r="BL2074" s="136"/>
      <c r="BM2074" s="136"/>
      <c r="BN2074" s="2"/>
      <c r="BO2074" s="2"/>
      <c r="BP2074" s="136"/>
      <c r="BQ2074" s="137"/>
    </row>
    <row r="2075" spans="1:69" ht="12.75" customHeight="1" x14ac:dyDescent="0.2">
      <c r="A2075" s="2">
        <v>3564</v>
      </c>
      <c r="B2075" s="2"/>
      <c r="C2075" s="2"/>
      <c r="D2075" s="2"/>
      <c r="E2075" s="2"/>
      <c r="F2075" s="132">
        <v>0</v>
      </c>
      <c r="G2075" s="132"/>
      <c r="H2075" s="132">
        <f t="shared" si="234"/>
        <v>0</v>
      </c>
      <c r="I2075" s="132"/>
      <c r="J2075" s="132">
        <f t="shared" si="232"/>
        <v>0</v>
      </c>
      <c r="K2075" s="132">
        <f t="shared" si="235"/>
        <v>0</v>
      </c>
      <c r="L2075" s="132">
        <f t="shared" si="236"/>
        <v>0</v>
      </c>
      <c r="M2075" s="133"/>
      <c r="N2075" s="133">
        <f t="shared" si="233"/>
        <v>0</v>
      </c>
      <c r="O2075" s="134"/>
      <c r="P2075" s="133"/>
      <c r="Q2075" s="2"/>
      <c r="R2075" s="156">
        <f t="shared" si="237"/>
        <v>0</v>
      </c>
      <c r="S2075" s="156">
        <f t="shared" si="238"/>
        <v>0</v>
      </c>
      <c r="T2075" s="133"/>
      <c r="U2075" s="133"/>
      <c r="V2075" s="133"/>
      <c r="W2075" s="133"/>
      <c r="X2075" s="133"/>
      <c r="Y2075" s="133"/>
      <c r="Z2075" s="133"/>
      <c r="AA2075" s="133"/>
      <c r="AB2075" s="133"/>
      <c r="AC2075" s="133"/>
      <c r="AD2075" s="133"/>
      <c r="AE2075" s="133"/>
      <c r="AF2075" s="133"/>
      <c r="AG2075" s="133"/>
      <c r="AH2075" s="133"/>
      <c r="AI2075" s="133"/>
      <c r="AJ2075" s="133"/>
      <c r="AK2075" s="133"/>
      <c r="AL2075" s="133"/>
      <c r="AM2075" s="133"/>
      <c r="AN2075" s="133"/>
      <c r="AO2075" s="133"/>
      <c r="AP2075" s="133"/>
      <c r="AQ2075" s="133"/>
      <c r="AR2075" s="133"/>
      <c r="AS2075" s="153">
        <v>0</v>
      </c>
      <c r="AT2075" s="153">
        <v>0</v>
      </c>
      <c r="AU2075" s="153">
        <v>0</v>
      </c>
      <c r="AV2075" s="135"/>
      <c r="AW2075" s="135"/>
      <c r="AX2075" s="135"/>
      <c r="AY2075" s="135"/>
      <c r="AZ2075" s="135"/>
      <c r="BA2075" s="135"/>
      <c r="BB2075" s="135"/>
      <c r="BC2075" s="135"/>
      <c r="BD2075" s="135"/>
      <c r="BE2075" s="135"/>
      <c r="BF2075" s="135"/>
      <c r="BG2075" s="135"/>
      <c r="BH2075" s="135"/>
      <c r="BI2075" s="2"/>
      <c r="BJ2075" s="136"/>
      <c r="BK2075" s="2"/>
      <c r="BL2075" s="136"/>
      <c r="BM2075" s="136"/>
      <c r="BN2075" s="2"/>
      <c r="BO2075" s="2"/>
      <c r="BP2075" s="136"/>
      <c r="BQ2075" s="137"/>
    </row>
    <row r="2076" spans="1:69" ht="12.75" customHeight="1" x14ac:dyDescent="0.2">
      <c r="A2076" s="2">
        <v>3565</v>
      </c>
      <c r="B2076" s="2"/>
      <c r="C2076" s="2"/>
      <c r="D2076" s="2"/>
      <c r="E2076" s="2"/>
      <c r="F2076" s="132">
        <v>0</v>
      </c>
      <c r="G2076" s="132"/>
      <c r="H2076" s="132">
        <f t="shared" si="234"/>
        <v>0</v>
      </c>
      <c r="I2076" s="132"/>
      <c r="J2076" s="132">
        <f t="shared" si="232"/>
        <v>0</v>
      </c>
      <c r="K2076" s="132">
        <f t="shared" si="235"/>
        <v>0</v>
      </c>
      <c r="L2076" s="132">
        <f t="shared" si="236"/>
        <v>0</v>
      </c>
      <c r="M2076" s="133"/>
      <c r="N2076" s="133">
        <f t="shared" si="233"/>
        <v>0</v>
      </c>
      <c r="O2076" s="134"/>
      <c r="P2076" s="133"/>
      <c r="Q2076" s="2"/>
      <c r="R2076" s="156">
        <f t="shared" si="237"/>
        <v>0</v>
      </c>
      <c r="S2076" s="156">
        <f t="shared" si="238"/>
        <v>0</v>
      </c>
      <c r="T2076" s="133"/>
      <c r="U2076" s="133"/>
      <c r="V2076" s="133"/>
      <c r="W2076" s="133"/>
      <c r="X2076" s="133"/>
      <c r="Y2076" s="133"/>
      <c r="Z2076" s="133"/>
      <c r="AA2076" s="133"/>
      <c r="AB2076" s="133"/>
      <c r="AC2076" s="133"/>
      <c r="AD2076" s="133"/>
      <c r="AE2076" s="133"/>
      <c r="AF2076" s="133"/>
      <c r="AG2076" s="133"/>
      <c r="AH2076" s="133"/>
      <c r="AI2076" s="133"/>
      <c r="AJ2076" s="133"/>
      <c r="AK2076" s="133"/>
      <c r="AL2076" s="133"/>
      <c r="AM2076" s="133"/>
      <c r="AN2076" s="133"/>
      <c r="AO2076" s="133"/>
      <c r="AP2076" s="133"/>
      <c r="AQ2076" s="133"/>
      <c r="AR2076" s="133"/>
      <c r="AS2076" s="153">
        <v>0</v>
      </c>
      <c r="AT2076" s="153">
        <v>0</v>
      </c>
      <c r="AU2076" s="153">
        <v>0</v>
      </c>
      <c r="AV2076" s="135"/>
      <c r="AW2076" s="135"/>
      <c r="AX2076" s="135"/>
      <c r="AY2076" s="135"/>
      <c r="AZ2076" s="135"/>
      <c r="BA2076" s="135"/>
      <c r="BB2076" s="135"/>
      <c r="BC2076" s="135"/>
      <c r="BD2076" s="135"/>
      <c r="BE2076" s="135"/>
      <c r="BF2076" s="135"/>
      <c r="BG2076" s="135"/>
      <c r="BH2076" s="135"/>
      <c r="BI2076" s="2"/>
      <c r="BJ2076" s="136"/>
      <c r="BK2076" s="2"/>
      <c r="BL2076" s="136"/>
      <c r="BM2076" s="136"/>
      <c r="BN2076" s="2"/>
      <c r="BO2076" s="2"/>
      <c r="BP2076" s="136"/>
      <c r="BQ2076" s="137"/>
    </row>
    <row r="2077" spans="1:69" ht="12.75" customHeight="1" x14ac:dyDescent="0.2">
      <c r="A2077" s="2">
        <v>3566</v>
      </c>
      <c r="B2077" s="2"/>
      <c r="C2077" s="2"/>
      <c r="D2077" s="2"/>
      <c r="E2077" s="2"/>
      <c r="F2077" s="132">
        <v>0</v>
      </c>
      <c r="G2077" s="132"/>
      <c r="H2077" s="132">
        <f t="shared" si="234"/>
        <v>0</v>
      </c>
      <c r="I2077" s="132"/>
      <c r="J2077" s="132">
        <f t="shared" si="232"/>
        <v>0</v>
      </c>
      <c r="K2077" s="132">
        <f t="shared" si="235"/>
        <v>0</v>
      </c>
      <c r="L2077" s="132">
        <f t="shared" si="236"/>
        <v>0</v>
      </c>
      <c r="M2077" s="133"/>
      <c r="N2077" s="133">
        <f t="shared" si="233"/>
        <v>0</v>
      </c>
      <c r="O2077" s="134"/>
      <c r="P2077" s="133"/>
      <c r="Q2077" s="2"/>
      <c r="R2077" s="156">
        <f t="shared" si="237"/>
        <v>0</v>
      </c>
      <c r="S2077" s="156">
        <f t="shared" si="238"/>
        <v>0</v>
      </c>
      <c r="T2077" s="133"/>
      <c r="U2077" s="133"/>
      <c r="V2077" s="133"/>
      <c r="W2077" s="133"/>
      <c r="X2077" s="133"/>
      <c r="Y2077" s="133"/>
      <c r="Z2077" s="133"/>
      <c r="AA2077" s="133"/>
      <c r="AB2077" s="133"/>
      <c r="AC2077" s="133"/>
      <c r="AD2077" s="133"/>
      <c r="AE2077" s="133"/>
      <c r="AF2077" s="133"/>
      <c r="AG2077" s="133"/>
      <c r="AH2077" s="133"/>
      <c r="AI2077" s="133"/>
      <c r="AJ2077" s="133"/>
      <c r="AK2077" s="133"/>
      <c r="AL2077" s="133"/>
      <c r="AM2077" s="133"/>
      <c r="AN2077" s="133"/>
      <c r="AO2077" s="133"/>
      <c r="AP2077" s="133"/>
      <c r="AQ2077" s="133"/>
      <c r="AR2077" s="133"/>
      <c r="AS2077" s="153">
        <v>0</v>
      </c>
      <c r="AT2077" s="153">
        <v>0</v>
      </c>
      <c r="AU2077" s="153">
        <v>0</v>
      </c>
      <c r="AV2077" s="135"/>
      <c r="AW2077" s="135"/>
      <c r="AX2077" s="135"/>
      <c r="AY2077" s="135"/>
      <c r="AZ2077" s="135"/>
      <c r="BA2077" s="135"/>
      <c r="BB2077" s="135"/>
      <c r="BC2077" s="135"/>
      <c r="BD2077" s="135"/>
      <c r="BE2077" s="135"/>
      <c r="BF2077" s="135"/>
      <c r="BG2077" s="135"/>
      <c r="BH2077" s="135"/>
      <c r="BI2077" s="2"/>
      <c r="BJ2077" s="136"/>
      <c r="BK2077" s="2"/>
      <c r="BL2077" s="136"/>
      <c r="BM2077" s="136"/>
      <c r="BN2077" s="2"/>
      <c r="BO2077" s="2"/>
      <c r="BP2077" s="136"/>
      <c r="BQ2077" s="137"/>
    </row>
    <row r="2078" spans="1:69" ht="12.75" customHeight="1" x14ac:dyDescent="0.2">
      <c r="A2078" s="2">
        <v>3567</v>
      </c>
      <c r="B2078" s="2"/>
      <c r="C2078" s="2"/>
      <c r="D2078" s="2"/>
      <c r="E2078" s="2"/>
      <c r="F2078" s="132">
        <v>0</v>
      </c>
      <c r="G2078" s="132"/>
      <c r="H2078" s="132">
        <f t="shared" si="234"/>
        <v>0</v>
      </c>
      <c r="I2078" s="132"/>
      <c r="J2078" s="132">
        <f t="shared" si="232"/>
        <v>0</v>
      </c>
      <c r="K2078" s="132">
        <f t="shared" si="235"/>
        <v>0</v>
      </c>
      <c r="L2078" s="132">
        <f t="shared" si="236"/>
        <v>0</v>
      </c>
      <c r="M2078" s="133"/>
      <c r="N2078" s="133">
        <f t="shared" si="233"/>
        <v>0</v>
      </c>
      <c r="O2078" s="134"/>
      <c r="P2078" s="133"/>
      <c r="Q2078" s="2"/>
      <c r="R2078" s="156">
        <f t="shared" si="237"/>
        <v>0</v>
      </c>
      <c r="S2078" s="156">
        <f t="shared" si="238"/>
        <v>0</v>
      </c>
      <c r="T2078" s="133"/>
      <c r="U2078" s="133"/>
      <c r="V2078" s="133"/>
      <c r="W2078" s="133"/>
      <c r="X2078" s="133"/>
      <c r="Y2078" s="133"/>
      <c r="Z2078" s="133"/>
      <c r="AA2078" s="133"/>
      <c r="AB2078" s="133"/>
      <c r="AC2078" s="133"/>
      <c r="AD2078" s="133"/>
      <c r="AE2078" s="133"/>
      <c r="AF2078" s="133"/>
      <c r="AG2078" s="133"/>
      <c r="AH2078" s="133"/>
      <c r="AI2078" s="133"/>
      <c r="AJ2078" s="133"/>
      <c r="AK2078" s="133"/>
      <c r="AL2078" s="133"/>
      <c r="AM2078" s="133"/>
      <c r="AN2078" s="133"/>
      <c r="AO2078" s="133"/>
      <c r="AP2078" s="133"/>
      <c r="AQ2078" s="133"/>
      <c r="AR2078" s="133"/>
      <c r="AS2078" s="153">
        <v>0</v>
      </c>
      <c r="AT2078" s="153">
        <v>0</v>
      </c>
      <c r="AU2078" s="153">
        <v>0</v>
      </c>
      <c r="AV2078" s="135"/>
      <c r="AW2078" s="135"/>
      <c r="AX2078" s="135"/>
      <c r="AY2078" s="135"/>
      <c r="AZ2078" s="135"/>
      <c r="BA2078" s="135"/>
      <c r="BB2078" s="135"/>
      <c r="BC2078" s="135"/>
      <c r="BD2078" s="135"/>
      <c r="BE2078" s="135"/>
      <c r="BF2078" s="135"/>
      <c r="BG2078" s="135"/>
      <c r="BH2078" s="135"/>
      <c r="BI2078" s="2"/>
      <c r="BJ2078" s="136"/>
      <c r="BK2078" s="2"/>
      <c r="BL2078" s="136"/>
      <c r="BM2078" s="136"/>
      <c r="BN2078" s="2"/>
      <c r="BO2078" s="2"/>
      <c r="BP2078" s="136"/>
      <c r="BQ2078" s="137"/>
    </row>
    <row r="2079" spans="1:69" ht="12.75" customHeight="1" x14ac:dyDescent="0.2">
      <c r="A2079" s="2">
        <v>3568</v>
      </c>
      <c r="B2079" s="2"/>
      <c r="C2079" s="2"/>
      <c r="D2079" s="2"/>
      <c r="E2079" s="2"/>
      <c r="F2079" s="132">
        <v>0</v>
      </c>
      <c r="G2079" s="132"/>
      <c r="H2079" s="132">
        <f t="shared" si="234"/>
        <v>0</v>
      </c>
      <c r="I2079" s="132"/>
      <c r="J2079" s="132">
        <f t="shared" si="232"/>
        <v>0</v>
      </c>
      <c r="K2079" s="132">
        <f t="shared" si="235"/>
        <v>0</v>
      </c>
      <c r="L2079" s="132">
        <f t="shared" si="236"/>
        <v>0</v>
      </c>
      <c r="M2079" s="133"/>
      <c r="N2079" s="133">
        <f t="shared" si="233"/>
        <v>0</v>
      </c>
      <c r="O2079" s="134"/>
      <c r="P2079" s="133"/>
      <c r="Q2079" s="2"/>
      <c r="R2079" s="156">
        <f t="shared" si="237"/>
        <v>0</v>
      </c>
      <c r="S2079" s="156">
        <f t="shared" si="238"/>
        <v>0</v>
      </c>
      <c r="T2079" s="133"/>
      <c r="U2079" s="133"/>
      <c r="V2079" s="133"/>
      <c r="W2079" s="133"/>
      <c r="X2079" s="133"/>
      <c r="Y2079" s="133"/>
      <c r="Z2079" s="133"/>
      <c r="AA2079" s="133"/>
      <c r="AB2079" s="133"/>
      <c r="AC2079" s="133"/>
      <c r="AD2079" s="133"/>
      <c r="AE2079" s="133"/>
      <c r="AF2079" s="133"/>
      <c r="AG2079" s="133"/>
      <c r="AH2079" s="133"/>
      <c r="AI2079" s="133"/>
      <c r="AJ2079" s="133"/>
      <c r="AK2079" s="133"/>
      <c r="AL2079" s="133"/>
      <c r="AM2079" s="133"/>
      <c r="AN2079" s="133"/>
      <c r="AO2079" s="133"/>
      <c r="AP2079" s="133"/>
      <c r="AQ2079" s="133"/>
      <c r="AR2079" s="133"/>
      <c r="AS2079" s="153">
        <v>0</v>
      </c>
      <c r="AT2079" s="153">
        <v>0</v>
      </c>
      <c r="AU2079" s="153">
        <v>0</v>
      </c>
      <c r="AV2079" s="135"/>
      <c r="AW2079" s="135"/>
      <c r="AX2079" s="135"/>
      <c r="AY2079" s="135"/>
      <c r="AZ2079" s="135"/>
      <c r="BA2079" s="135"/>
      <c r="BB2079" s="135"/>
      <c r="BC2079" s="135"/>
      <c r="BD2079" s="135"/>
      <c r="BE2079" s="135"/>
      <c r="BF2079" s="135"/>
      <c r="BG2079" s="135"/>
      <c r="BH2079" s="135"/>
      <c r="BI2079" s="2"/>
      <c r="BJ2079" s="136"/>
      <c r="BK2079" s="2"/>
      <c r="BL2079" s="136"/>
      <c r="BM2079" s="136"/>
      <c r="BN2079" s="2"/>
      <c r="BO2079" s="2"/>
      <c r="BP2079" s="136"/>
      <c r="BQ2079" s="137"/>
    </row>
    <row r="2080" spans="1:69" ht="12.75" customHeight="1" x14ac:dyDescent="0.2">
      <c r="A2080" s="2">
        <v>3569</v>
      </c>
      <c r="B2080" s="2"/>
      <c r="C2080" s="2"/>
      <c r="D2080" s="2"/>
      <c r="E2080" s="2"/>
      <c r="F2080" s="132">
        <v>0</v>
      </c>
      <c r="G2080" s="132"/>
      <c r="H2080" s="132">
        <f t="shared" si="234"/>
        <v>0</v>
      </c>
      <c r="I2080" s="132"/>
      <c r="J2080" s="132">
        <f t="shared" si="232"/>
        <v>0</v>
      </c>
      <c r="K2080" s="132">
        <f t="shared" si="235"/>
        <v>0</v>
      </c>
      <c r="L2080" s="132">
        <f t="shared" si="236"/>
        <v>0</v>
      </c>
      <c r="M2080" s="133"/>
      <c r="N2080" s="133">
        <f t="shared" si="233"/>
        <v>0</v>
      </c>
      <c r="O2080" s="134"/>
      <c r="P2080" s="133"/>
      <c r="Q2080" s="2"/>
      <c r="R2080" s="156">
        <f t="shared" si="237"/>
        <v>0</v>
      </c>
      <c r="S2080" s="156">
        <f t="shared" si="238"/>
        <v>0</v>
      </c>
      <c r="T2080" s="133"/>
      <c r="U2080" s="133"/>
      <c r="V2080" s="133"/>
      <c r="W2080" s="133"/>
      <c r="X2080" s="133"/>
      <c r="Y2080" s="133"/>
      <c r="Z2080" s="133"/>
      <c r="AA2080" s="133"/>
      <c r="AB2080" s="133"/>
      <c r="AC2080" s="133"/>
      <c r="AD2080" s="133"/>
      <c r="AE2080" s="133"/>
      <c r="AF2080" s="133"/>
      <c r="AG2080" s="133"/>
      <c r="AH2080" s="133"/>
      <c r="AI2080" s="133"/>
      <c r="AJ2080" s="133"/>
      <c r="AK2080" s="133"/>
      <c r="AL2080" s="133"/>
      <c r="AM2080" s="133"/>
      <c r="AN2080" s="133"/>
      <c r="AO2080" s="133"/>
      <c r="AP2080" s="133"/>
      <c r="AQ2080" s="133"/>
      <c r="AR2080" s="133"/>
      <c r="AS2080" s="153">
        <v>0</v>
      </c>
      <c r="AT2080" s="153">
        <v>0</v>
      </c>
      <c r="AU2080" s="153">
        <v>0</v>
      </c>
      <c r="AV2080" s="135"/>
      <c r="AW2080" s="135"/>
      <c r="AX2080" s="135"/>
      <c r="AY2080" s="135"/>
      <c r="AZ2080" s="135"/>
      <c r="BA2080" s="135"/>
      <c r="BB2080" s="135"/>
      <c r="BC2080" s="135"/>
      <c r="BD2080" s="135"/>
      <c r="BE2080" s="135"/>
      <c r="BF2080" s="135"/>
      <c r="BG2080" s="135"/>
      <c r="BH2080" s="135"/>
      <c r="BI2080" s="2"/>
      <c r="BJ2080" s="136"/>
      <c r="BK2080" s="2"/>
      <c r="BL2080" s="136"/>
      <c r="BM2080" s="136"/>
      <c r="BN2080" s="2"/>
      <c r="BO2080" s="2"/>
      <c r="BP2080" s="136"/>
      <c r="BQ2080" s="137"/>
    </row>
    <row r="2081" spans="1:69" ht="12.75" customHeight="1" x14ac:dyDescent="0.2">
      <c r="A2081" s="2">
        <v>3570</v>
      </c>
      <c r="B2081" s="2"/>
      <c r="C2081" s="2"/>
      <c r="D2081" s="2"/>
      <c r="E2081" s="2"/>
      <c r="F2081" s="132">
        <v>0</v>
      </c>
      <c r="G2081" s="132"/>
      <c r="H2081" s="132">
        <f t="shared" si="234"/>
        <v>0</v>
      </c>
      <c r="I2081" s="132"/>
      <c r="J2081" s="132">
        <f t="shared" si="232"/>
        <v>0</v>
      </c>
      <c r="K2081" s="132">
        <f t="shared" si="235"/>
        <v>0</v>
      </c>
      <c r="L2081" s="132">
        <f t="shared" si="236"/>
        <v>0</v>
      </c>
      <c r="M2081" s="133"/>
      <c r="N2081" s="133">
        <f t="shared" si="233"/>
        <v>0</v>
      </c>
      <c r="O2081" s="134"/>
      <c r="P2081" s="133"/>
      <c r="Q2081" s="2"/>
      <c r="R2081" s="156">
        <f t="shared" si="237"/>
        <v>0</v>
      </c>
      <c r="S2081" s="156">
        <f t="shared" si="238"/>
        <v>0</v>
      </c>
      <c r="T2081" s="133"/>
      <c r="U2081" s="133"/>
      <c r="V2081" s="133"/>
      <c r="W2081" s="133"/>
      <c r="X2081" s="133"/>
      <c r="Y2081" s="133"/>
      <c r="Z2081" s="133"/>
      <c r="AA2081" s="133"/>
      <c r="AB2081" s="133"/>
      <c r="AC2081" s="133"/>
      <c r="AD2081" s="133"/>
      <c r="AE2081" s="133"/>
      <c r="AF2081" s="133"/>
      <c r="AG2081" s="133"/>
      <c r="AH2081" s="133"/>
      <c r="AI2081" s="133"/>
      <c r="AJ2081" s="133"/>
      <c r="AK2081" s="133"/>
      <c r="AL2081" s="133"/>
      <c r="AM2081" s="133"/>
      <c r="AN2081" s="133"/>
      <c r="AO2081" s="133"/>
      <c r="AP2081" s="133"/>
      <c r="AQ2081" s="133"/>
      <c r="AR2081" s="133"/>
      <c r="AS2081" s="153">
        <v>0</v>
      </c>
      <c r="AT2081" s="153">
        <v>0</v>
      </c>
      <c r="AU2081" s="153">
        <v>0</v>
      </c>
      <c r="AV2081" s="135"/>
      <c r="AW2081" s="135"/>
      <c r="AX2081" s="135"/>
      <c r="AY2081" s="135"/>
      <c r="AZ2081" s="135"/>
      <c r="BA2081" s="135"/>
      <c r="BB2081" s="135"/>
      <c r="BC2081" s="135"/>
      <c r="BD2081" s="135"/>
      <c r="BE2081" s="135"/>
      <c r="BF2081" s="135"/>
      <c r="BG2081" s="135"/>
      <c r="BH2081" s="135"/>
      <c r="BI2081" s="2"/>
      <c r="BJ2081" s="136"/>
      <c r="BK2081" s="2"/>
      <c r="BL2081" s="136"/>
      <c r="BM2081" s="136"/>
      <c r="BN2081" s="2"/>
      <c r="BO2081" s="2"/>
      <c r="BP2081" s="136"/>
      <c r="BQ2081" s="137"/>
    </row>
    <row r="2082" spans="1:69" ht="12.75" customHeight="1" x14ac:dyDescent="0.2">
      <c r="A2082" s="2">
        <v>3571</v>
      </c>
      <c r="B2082" s="2"/>
      <c r="C2082" s="2"/>
      <c r="D2082" s="2"/>
      <c r="E2082" s="2"/>
      <c r="F2082" s="132">
        <v>0</v>
      </c>
      <c r="G2082" s="132"/>
      <c r="H2082" s="132">
        <f t="shared" si="234"/>
        <v>0</v>
      </c>
      <c r="I2082" s="132"/>
      <c r="J2082" s="132">
        <f t="shared" si="232"/>
        <v>0</v>
      </c>
      <c r="K2082" s="132">
        <f t="shared" si="235"/>
        <v>0</v>
      </c>
      <c r="L2082" s="132">
        <f t="shared" si="236"/>
        <v>0</v>
      </c>
      <c r="M2082" s="133"/>
      <c r="N2082" s="133">
        <f t="shared" si="233"/>
        <v>0</v>
      </c>
      <c r="O2082" s="134"/>
      <c r="P2082" s="133"/>
      <c r="Q2082" s="2"/>
      <c r="R2082" s="156">
        <f t="shared" si="237"/>
        <v>0</v>
      </c>
      <c r="S2082" s="156">
        <f t="shared" si="238"/>
        <v>0</v>
      </c>
      <c r="T2082" s="133"/>
      <c r="U2082" s="133"/>
      <c r="V2082" s="133"/>
      <c r="W2082" s="133"/>
      <c r="X2082" s="133"/>
      <c r="Y2082" s="133"/>
      <c r="Z2082" s="133"/>
      <c r="AA2082" s="133"/>
      <c r="AB2082" s="133"/>
      <c r="AC2082" s="133"/>
      <c r="AD2082" s="133"/>
      <c r="AE2082" s="133"/>
      <c r="AF2082" s="133"/>
      <c r="AG2082" s="133"/>
      <c r="AH2082" s="133"/>
      <c r="AI2082" s="133"/>
      <c r="AJ2082" s="133"/>
      <c r="AK2082" s="133"/>
      <c r="AL2082" s="133"/>
      <c r="AM2082" s="133"/>
      <c r="AN2082" s="133"/>
      <c r="AO2082" s="133"/>
      <c r="AP2082" s="133"/>
      <c r="AQ2082" s="133"/>
      <c r="AR2082" s="133"/>
      <c r="AS2082" s="153">
        <v>0</v>
      </c>
      <c r="AT2082" s="153">
        <v>0</v>
      </c>
      <c r="AU2082" s="153">
        <v>0</v>
      </c>
      <c r="AV2082" s="135"/>
      <c r="AW2082" s="135"/>
      <c r="AX2082" s="135"/>
      <c r="AY2082" s="135"/>
      <c r="AZ2082" s="135"/>
      <c r="BA2082" s="135"/>
      <c r="BB2082" s="135"/>
      <c r="BC2082" s="135"/>
      <c r="BD2082" s="135"/>
      <c r="BE2082" s="135"/>
      <c r="BF2082" s="135"/>
      <c r="BG2082" s="135"/>
      <c r="BH2082" s="135"/>
      <c r="BI2082" s="2"/>
      <c r="BJ2082" s="136"/>
      <c r="BK2082" s="2"/>
      <c r="BL2082" s="136"/>
      <c r="BM2082" s="136"/>
      <c r="BN2082" s="2"/>
      <c r="BO2082" s="2"/>
      <c r="BP2082" s="136"/>
      <c r="BQ2082" s="137"/>
    </row>
    <row r="2083" spans="1:69" ht="12.75" customHeight="1" x14ac:dyDescent="0.2">
      <c r="A2083" s="2">
        <v>3572</v>
      </c>
      <c r="B2083" s="2"/>
      <c r="C2083" s="2"/>
      <c r="D2083" s="2"/>
      <c r="E2083" s="2"/>
      <c r="F2083" s="132">
        <v>0</v>
      </c>
      <c r="G2083" s="132"/>
      <c r="H2083" s="132">
        <f t="shared" si="234"/>
        <v>0</v>
      </c>
      <c r="I2083" s="132"/>
      <c r="J2083" s="132">
        <f t="shared" si="232"/>
        <v>0</v>
      </c>
      <c r="K2083" s="132">
        <f t="shared" si="235"/>
        <v>0</v>
      </c>
      <c r="L2083" s="132">
        <f t="shared" si="236"/>
        <v>0</v>
      </c>
      <c r="M2083" s="133"/>
      <c r="N2083" s="133">
        <f t="shared" si="233"/>
        <v>0</v>
      </c>
      <c r="O2083" s="134"/>
      <c r="P2083" s="133"/>
      <c r="Q2083" s="2"/>
      <c r="R2083" s="156">
        <f t="shared" si="237"/>
        <v>0</v>
      </c>
      <c r="S2083" s="156">
        <f t="shared" si="238"/>
        <v>0</v>
      </c>
      <c r="T2083" s="133"/>
      <c r="U2083" s="133"/>
      <c r="V2083" s="133"/>
      <c r="W2083" s="133"/>
      <c r="X2083" s="133"/>
      <c r="Y2083" s="133"/>
      <c r="Z2083" s="133"/>
      <c r="AA2083" s="133"/>
      <c r="AB2083" s="133"/>
      <c r="AC2083" s="133"/>
      <c r="AD2083" s="133"/>
      <c r="AE2083" s="133"/>
      <c r="AF2083" s="133"/>
      <c r="AG2083" s="133"/>
      <c r="AH2083" s="133"/>
      <c r="AI2083" s="133"/>
      <c r="AJ2083" s="133"/>
      <c r="AK2083" s="133"/>
      <c r="AL2083" s="133"/>
      <c r="AM2083" s="133"/>
      <c r="AN2083" s="133"/>
      <c r="AO2083" s="133"/>
      <c r="AP2083" s="133"/>
      <c r="AQ2083" s="133"/>
      <c r="AR2083" s="133"/>
      <c r="AS2083" s="153">
        <v>0</v>
      </c>
      <c r="AT2083" s="153">
        <v>0</v>
      </c>
      <c r="AU2083" s="153">
        <v>0</v>
      </c>
      <c r="AV2083" s="135"/>
      <c r="AW2083" s="135"/>
      <c r="AX2083" s="135"/>
      <c r="AY2083" s="135"/>
      <c r="AZ2083" s="135"/>
      <c r="BA2083" s="135"/>
      <c r="BB2083" s="135"/>
      <c r="BC2083" s="135"/>
      <c r="BD2083" s="135"/>
      <c r="BE2083" s="135"/>
      <c r="BF2083" s="135"/>
      <c r="BG2083" s="135"/>
      <c r="BH2083" s="135"/>
      <c r="BI2083" s="2"/>
      <c r="BJ2083" s="136"/>
      <c r="BK2083" s="2"/>
      <c r="BL2083" s="136"/>
      <c r="BM2083" s="136"/>
      <c r="BN2083" s="2"/>
      <c r="BO2083" s="2"/>
      <c r="BP2083" s="136"/>
      <c r="BQ2083" s="137"/>
    </row>
    <row r="2084" spans="1:69" ht="12.75" customHeight="1" x14ac:dyDescent="0.2">
      <c r="A2084" s="2">
        <v>3573</v>
      </c>
      <c r="B2084" s="2"/>
      <c r="C2084" s="2"/>
      <c r="D2084" s="2"/>
      <c r="E2084" s="2"/>
      <c r="F2084" s="132">
        <v>0</v>
      </c>
      <c r="G2084" s="132"/>
      <c r="H2084" s="132">
        <f t="shared" si="234"/>
        <v>0</v>
      </c>
      <c r="I2084" s="132"/>
      <c r="J2084" s="132">
        <f t="shared" ref="J2084:J2147" si="239">S2084</f>
        <v>0</v>
      </c>
      <c r="K2084" s="132">
        <f t="shared" si="235"/>
        <v>0</v>
      </c>
      <c r="L2084" s="132">
        <f t="shared" si="236"/>
        <v>0</v>
      </c>
      <c r="M2084" s="133"/>
      <c r="N2084" s="133">
        <f t="shared" si="233"/>
        <v>0</v>
      </c>
      <c r="O2084" s="134"/>
      <c r="P2084" s="133"/>
      <c r="Q2084" s="2"/>
      <c r="R2084" s="156">
        <f t="shared" si="237"/>
        <v>0</v>
      </c>
      <c r="S2084" s="156">
        <f t="shared" si="238"/>
        <v>0</v>
      </c>
      <c r="T2084" s="133"/>
      <c r="U2084" s="133"/>
      <c r="V2084" s="133"/>
      <c r="W2084" s="133"/>
      <c r="X2084" s="133"/>
      <c r="Y2084" s="133"/>
      <c r="Z2084" s="133"/>
      <c r="AA2084" s="133"/>
      <c r="AB2084" s="133"/>
      <c r="AC2084" s="133"/>
      <c r="AD2084" s="133"/>
      <c r="AE2084" s="133"/>
      <c r="AF2084" s="133"/>
      <c r="AG2084" s="133"/>
      <c r="AH2084" s="133"/>
      <c r="AI2084" s="133"/>
      <c r="AJ2084" s="133"/>
      <c r="AK2084" s="133"/>
      <c r="AL2084" s="133"/>
      <c r="AM2084" s="133"/>
      <c r="AN2084" s="133"/>
      <c r="AO2084" s="133"/>
      <c r="AP2084" s="133"/>
      <c r="AQ2084" s="133"/>
      <c r="AR2084" s="133"/>
      <c r="AS2084" s="153">
        <v>0</v>
      </c>
      <c r="AT2084" s="153">
        <v>0</v>
      </c>
      <c r="AU2084" s="153">
        <v>0</v>
      </c>
      <c r="AV2084" s="135"/>
      <c r="AW2084" s="135"/>
      <c r="AX2084" s="135"/>
      <c r="AY2084" s="135"/>
      <c r="AZ2084" s="135"/>
      <c r="BA2084" s="135"/>
      <c r="BB2084" s="135"/>
      <c r="BC2084" s="135"/>
      <c r="BD2084" s="135"/>
      <c r="BE2084" s="135"/>
      <c r="BF2084" s="135"/>
      <c r="BG2084" s="135"/>
      <c r="BH2084" s="135"/>
      <c r="BI2084" s="2"/>
      <c r="BJ2084" s="136"/>
      <c r="BK2084" s="2"/>
      <c r="BL2084" s="136"/>
      <c r="BM2084" s="136"/>
      <c r="BN2084" s="2"/>
      <c r="BO2084" s="2"/>
      <c r="BP2084" s="136"/>
      <c r="BQ2084" s="137"/>
    </row>
    <row r="2085" spans="1:69" ht="12.75" customHeight="1" x14ac:dyDescent="0.2">
      <c r="A2085" s="2">
        <v>3574</v>
      </c>
      <c r="B2085" s="2"/>
      <c r="C2085" s="2"/>
      <c r="D2085" s="2"/>
      <c r="E2085" s="2"/>
      <c r="F2085" s="132">
        <v>0</v>
      </c>
      <c r="G2085" s="132"/>
      <c r="H2085" s="132">
        <f t="shared" si="234"/>
        <v>0</v>
      </c>
      <c r="I2085" s="132"/>
      <c r="J2085" s="132">
        <f t="shared" si="239"/>
        <v>0</v>
      </c>
      <c r="K2085" s="132">
        <f t="shared" si="235"/>
        <v>0</v>
      </c>
      <c r="L2085" s="132">
        <f t="shared" si="236"/>
        <v>0</v>
      </c>
      <c r="M2085" s="133"/>
      <c r="N2085" s="133">
        <f t="shared" si="233"/>
        <v>0</v>
      </c>
      <c r="O2085" s="134"/>
      <c r="P2085" s="133"/>
      <c r="Q2085" s="2"/>
      <c r="R2085" s="156">
        <f t="shared" si="237"/>
        <v>0</v>
      </c>
      <c r="S2085" s="156">
        <f t="shared" si="238"/>
        <v>0</v>
      </c>
      <c r="T2085" s="133"/>
      <c r="U2085" s="133"/>
      <c r="V2085" s="133"/>
      <c r="W2085" s="133"/>
      <c r="X2085" s="133"/>
      <c r="Y2085" s="133"/>
      <c r="Z2085" s="133"/>
      <c r="AA2085" s="133"/>
      <c r="AB2085" s="133"/>
      <c r="AC2085" s="133"/>
      <c r="AD2085" s="133"/>
      <c r="AE2085" s="133"/>
      <c r="AF2085" s="133"/>
      <c r="AG2085" s="133"/>
      <c r="AH2085" s="133"/>
      <c r="AI2085" s="133"/>
      <c r="AJ2085" s="133"/>
      <c r="AK2085" s="133"/>
      <c r="AL2085" s="133"/>
      <c r="AM2085" s="133"/>
      <c r="AN2085" s="133"/>
      <c r="AO2085" s="133"/>
      <c r="AP2085" s="133"/>
      <c r="AQ2085" s="133"/>
      <c r="AR2085" s="133"/>
      <c r="AS2085" s="153">
        <v>0</v>
      </c>
      <c r="AT2085" s="153">
        <v>0</v>
      </c>
      <c r="AU2085" s="153">
        <v>0</v>
      </c>
      <c r="AV2085" s="135"/>
      <c r="AW2085" s="135"/>
      <c r="AX2085" s="135"/>
      <c r="AY2085" s="135"/>
      <c r="AZ2085" s="135"/>
      <c r="BA2085" s="135"/>
      <c r="BB2085" s="135"/>
      <c r="BC2085" s="135"/>
      <c r="BD2085" s="135"/>
      <c r="BE2085" s="135"/>
      <c r="BF2085" s="135"/>
      <c r="BG2085" s="135"/>
      <c r="BH2085" s="135"/>
      <c r="BI2085" s="2"/>
      <c r="BJ2085" s="136"/>
      <c r="BK2085" s="2"/>
      <c r="BL2085" s="136"/>
      <c r="BM2085" s="136"/>
      <c r="BN2085" s="2"/>
      <c r="BO2085" s="2"/>
      <c r="BP2085" s="136"/>
      <c r="BQ2085" s="137"/>
    </row>
    <row r="2086" spans="1:69" ht="12.75" customHeight="1" x14ac:dyDescent="0.2">
      <c r="A2086" s="2">
        <v>3575</v>
      </c>
      <c r="B2086" s="2"/>
      <c r="C2086" s="2"/>
      <c r="D2086" s="2"/>
      <c r="E2086" s="2"/>
      <c r="F2086" s="132">
        <v>0</v>
      </c>
      <c r="G2086" s="132"/>
      <c r="H2086" s="132">
        <f t="shared" si="234"/>
        <v>0</v>
      </c>
      <c r="I2086" s="132"/>
      <c r="J2086" s="132">
        <f t="shared" si="239"/>
        <v>0</v>
      </c>
      <c r="K2086" s="132">
        <f t="shared" si="235"/>
        <v>0</v>
      </c>
      <c r="L2086" s="132">
        <f t="shared" si="236"/>
        <v>0</v>
      </c>
      <c r="M2086" s="133"/>
      <c r="N2086" s="133">
        <f t="shared" si="233"/>
        <v>0</v>
      </c>
      <c r="O2086" s="134"/>
      <c r="P2086" s="133"/>
      <c r="Q2086" s="2"/>
      <c r="R2086" s="156">
        <f t="shared" si="237"/>
        <v>0</v>
      </c>
      <c r="S2086" s="156">
        <f t="shared" si="238"/>
        <v>0</v>
      </c>
      <c r="T2086" s="133"/>
      <c r="U2086" s="133"/>
      <c r="V2086" s="133"/>
      <c r="W2086" s="133"/>
      <c r="X2086" s="133"/>
      <c r="Y2086" s="133"/>
      <c r="Z2086" s="133"/>
      <c r="AA2086" s="133"/>
      <c r="AB2086" s="133"/>
      <c r="AC2086" s="133"/>
      <c r="AD2086" s="133"/>
      <c r="AE2086" s="133"/>
      <c r="AF2086" s="133"/>
      <c r="AG2086" s="133"/>
      <c r="AH2086" s="133"/>
      <c r="AI2086" s="133"/>
      <c r="AJ2086" s="133"/>
      <c r="AK2086" s="133"/>
      <c r="AL2086" s="133"/>
      <c r="AM2086" s="133"/>
      <c r="AN2086" s="133"/>
      <c r="AO2086" s="133"/>
      <c r="AP2086" s="133"/>
      <c r="AQ2086" s="133"/>
      <c r="AR2086" s="133"/>
      <c r="AS2086" s="153">
        <v>0</v>
      </c>
      <c r="AT2086" s="153">
        <v>0</v>
      </c>
      <c r="AU2086" s="153">
        <v>0</v>
      </c>
      <c r="AV2086" s="135"/>
      <c r="AW2086" s="135"/>
      <c r="AX2086" s="135"/>
      <c r="AY2086" s="135"/>
      <c r="AZ2086" s="135"/>
      <c r="BA2086" s="135"/>
      <c r="BB2086" s="135"/>
      <c r="BC2086" s="135"/>
      <c r="BD2086" s="135"/>
      <c r="BE2086" s="135"/>
      <c r="BF2086" s="135"/>
      <c r="BG2086" s="135"/>
      <c r="BH2086" s="135"/>
      <c r="BI2086" s="2"/>
      <c r="BJ2086" s="136"/>
      <c r="BK2086" s="2"/>
      <c r="BL2086" s="136"/>
      <c r="BM2086" s="136"/>
      <c r="BN2086" s="2"/>
      <c r="BO2086" s="2"/>
      <c r="BP2086" s="136"/>
      <c r="BQ2086" s="137"/>
    </row>
    <row r="2087" spans="1:69" ht="12.75" customHeight="1" x14ac:dyDescent="0.2">
      <c r="A2087" s="2">
        <v>3576</v>
      </c>
      <c r="B2087" s="2"/>
      <c r="C2087" s="2"/>
      <c r="D2087" s="2"/>
      <c r="E2087" s="2"/>
      <c r="F2087" s="132">
        <v>0</v>
      </c>
      <c r="G2087" s="132"/>
      <c r="H2087" s="132">
        <f t="shared" si="234"/>
        <v>0</v>
      </c>
      <c r="I2087" s="132"/>
      <c r="J2087" s="132">
        <f t="shared" si="239"/>
        <v>0</v>
      </c>
      <c r="K2087" s="132">
        <f t="shared" si="235"/>
        <v>0</v>
      </c>
      <c r="L2087" s="132">
        <f t="shared" si="236"/>
        <v>0</v>
      </c>
      <c r="M2087" s="133"/>
      <c r="N2087" s="133">
        <f t="shared" si="233"/>
        <v>0</v>
      </c>
      <c r="O2087" s="134"/>
      <c r="P2087" s="133"/>
      <c r="Q2087" s="2"/>
      <c r="R2087" s="156">
        <f t="shared" si="237"/>
        <v>0</v>
      </c>
      <c r="S2087" s="156">
        <f t="shared" si="238"/>
        <v>0</v>
      </c>
      <c r="T2087" s="133"/>
      <c r="U2087" s="133"/>
      <c r="V2087" s="133"/>
      <c r="W2087" s="133"/>
      <c r="X2087" s="133"/>
      <c r="Y2087" s="133"/>
      <c r="Z2087" s="133"/>
      <c r="AA2087" s="133"/>
      <c r="AB2087" s="133"/>
      <c r="AC2087" s="133"/>
      <c r="AD2087" s="133"/>
      <c r="AE2087" s="133"/>
      <c r="AF2087" s="133"/>
      <c r="AG2087" s="133"/>
      <c r="AH2087" s="133"/>
      <c r="AI2087" s="133"/>
      <c r="AJ2087" s="133"/>
      <c r="AK2087" s="133"/>
      <c r="AL2087" s="133"/>
      <c r="AM2087" s="133"/>
      <c r="AN2087" s="133"/>
      <c r="AO2087" s="133"/>
      <c r="AP2087" s="133"/>
      <c r="AQ2087" s="133"/>
      <c r="AR2087" s="133"/>
      <c r="AS2087" s="153">
        <v>0</v>
      </c>
      <c r="AT2087" s="153">
        <v>0</v>
      </c>
      <c r="AU2087" s="153">
        <v>0</v>
      </c>
      <c r="AV2087" s="135"/>
      <c r="AW2087" s="135"/>
      <c r="AX2087" s="135"/>
      <c r="AY2087" s="135"/>
      <c r="AZ2087" s="135"/>
      <c r="BA2087" s="135"/>
      <c r="BB2087" s="135"/>
      <c r="BC2087" s="135"/>
      <c r="BD2087" s="135"/>
      <c r="BE2087" s="135"/>
      <c r="BF2087" s="135"/>
      <c r="BG2087" s="135"/>
      <c r="BH2087" s="135"/>
      <c r="BI2087" s="2"/>
      <c r="BJ2087" s="136"/>
      <c r="BK2087" s="2"/>
      <c r="BL2087" s="136"/>
      <c r="BM2087" s="136"/>
      <c r="BN2087" s="2"/>
      <c r="BO2087" s="2"/>
      <c r="BP2087" s="136"/>
      <c r="BQ2087" s="137"/>
    </row>
    <row r="2088" spans="1:69" ht="12.75" customHeight="1" x14ac:dyDescent="0.2">
      <c r="A2088" s="2">
        <v>3577</v>
      </c>
      <c r="B2088" s="2"/>
      <c r="C2088" s="2"/>
      <c r="D2088" s="2"/>
      <c r="E2088" s="2"/>
      <c r="F2088" s="132">
        <v>0</v>
      </c>
      <c r="G2088" s="132"/>
      <c r="H2088" s="132">
        <f t="shared" si="234"/>
        <v>0</v>
      </c>
      <c r="I2088" s="132"/>
      <c r="J2088" s="132">
        <f t="shared" si="239"/>
        <v>0</v>
      </c>
      <c r="K2088" s="132">
        <f t="shared" si="235"/>
        <v>0</v>
      </c>
      <c r="L2088" s="132">
        <f t="shared" si="236"/>
        <v>0</v>
      </c>
      <c r="M2088" s="133"/>
      <c r="N2088" s="133">
        <f t="shared" si="233"/>
        <v>0</v>
      </c>
      <c r="O2088" s="134"/>
      <c r="P2088" s="133"/>
      <c r="Q2088" s="2"/>
      <c r="R2088" s="156">
        <f t="shared" si="237"/>
        <v>0</v>
      </c>
      <c r="S2088" s="156">
        <f t="shared" si="238"/>
        <v>0</v>
      </c>
      <c r="T2088" s="133"/>
      <c r="U2088" s="133"/>
      <c r="V2088" s="133"/>
      <c r="W2088" s="133"/>
      <c r="X2088" s="133"/>
      <c r="Y2088" s="133"/>
      <c r="Z2088" s="133"/>
      <c r="AA2088" s="133"/>
      <c r="AB2088" s="133"/>
      <c r="AC2088" s="133"/>
      <c r="AD2088" s="133"/>
      <c r="AE2088" s="133"/>
      <c r="AF2088" s="133"/>
      <c r="AG2088" s="133"/>
      <c r="AH2088" s="133"/>
      <c r="AI2088" s="133"/>
      <c r="AJ2088" s="133"/>
      <c r="AK2088" s="133"/>
      <c r="AL2088" s="133"/>
      <c r="AM2088" s="133"/>
      <c r="AN2088" s="133"/>
      <c r="AO2088" s="133"/>
      <c r="AP2088" s="133"/>
      <c r="AQ2088" s="133"/>
      <c r="AR2088" s="133"/>
      <c r="AS2088" s="153">
        <v>0</v>
      </c>
      <c r="AT2088" s="153">
        <v>0</v>
      </c>
      <c r="AU2088" s="153">
        <v>0</v>
      </c>
      <c r="AV2088" s="135"/>
      <c r="AW2088" s="135"/>
      <c r="AX2088" s="135"/>
      <c r="AY2088" s="135"/>
      <c r="AZ2088" s="135"/>
      <c r="BA2088" s="135"/>
      <c r="BB2088" s="135"/>
      <c r="BC2088" s="135"/>
      <c r="BD2088" s="135"/>
      <c r="BE2088" s="135"/>
      <c r="BF2088" s="135"/>
      <c r="BG2088" s="135"/>
      <c r="BH2088" s="135"/>
      <c r="BI2088" s="2"/>
      <c r="BJ2088" s="136"/>
      <c r="BK2088" s="2"/>
      <c r="BL2088" s="136"/>
      <c r="BM2088" s="136"/>
      <c r="BN2088" s="2"/>
      <c r="BO2088" s="2"/>
      <c r="BP2088" s="136"/>
      <c r="BQ2088" s="137"/>
    </row>
    <row r="2089" spans="1:69" ht="12.75" customHeight="1" x14ac:dyDescent="0.2">
      <c r="A2089" s="2">
        <v>3578</v>
      </c>
      <c r="B2089" s="2"/>
      <c r="C2089" s="2"/>
      <c r="D2089" s="2"/>
      <c r="E2089" s="2"/>
      <c r="F2089" s="132">
        <v>0</v>
      </c>
      <c r="G2089" s="132"/>
      <c r="H2089" s="132">
        <f t="shared" si="234"/>
        <v>0</v>
      </c>
      <c r="I2089" s="132"/>
      <c r="J2089" s="132">
        <f t="shared" si="239"/>
        <v>0</v>
      </c>
      <c r="K2089" s="132">
        <f t="shared" si="235"/>
        <v>0</v>
      </c>
      <c r="L2089" s="132">
        <f t="shared" si="236"/>
        <v>0</v>
      </c>
      <c r="M2089" s="133"/>
      <c r="N2089" s="133">
        <f t="shared" si="233"/>
        <v>0</v>
      </c>
      <c r="O2089" s="134"/>
      <c r="P2089" s="133"/>
      <c r="Q2089" s="2"/>
      <c r="R2089" s="156">
        <f t="shared" si="237"/>
        <v>0</v>
      </c>
      <c r="S2089" s="156">
        <f t="shared" si="238"/>
        <v>0</v>
      </c>
      <c r="T2089" s="133"/>
      <c r="U2089" s="133"/>
      <c r="V2089" s="133"/>
      <c r="W2089" s="133"/>
      <c r="X2089" s="133"/>
      <c r="Y2089" s="133"/>
      <c r="Z2089" s="133"/>
      <c r="AA2089" s="133"/>
      <c r="AB2089" s="133"/>
      <c r="AC2089" s="133"/>
      <c r="AD2089" s="133"/>
      <c r="AE2089" s="133"/>
      <c r="AF2089" s="133"/>
      <c r="AG2089" s="133"/>
      <c r="AH2089" s="133"/>
      <c r="AI2089" s="133"/>
      <c r="AJ2089" s="133"/>
      <c r="AK2089" s="133"/>
      <c r="AL2089" s="133"/>
      <c r="AM2089" s="133"/>
      <c r="AN2089" s="133"/>
      <c r="AO2089" s="133"/>
      <c r="AP2089" s="133"/>
      <c r="AQ2089" s="133"/>
      <c r="AR2089" s="133"/>
      <c r="AS2089" s="153">
        <v>0</v>
      </c>
      <c r="AT2089" s="153">
        <v>0</v>
      </c>
      <c r="AU2089" s="153">
        <v>0</v>
      </c>
      <c r="AV2089" s="135"/>
      <c r="AW2089" s="135"/>
      <c r="AX2089" s="135"/>
      <c r="AY2089" s="135"/>
      <c r="AZ2089" s="135"/>
      <c r="BA2089" s="135"/>
      <c r="BB2089" s="135"/>
      <c r="BC2089" s="135"/>
      <c r="BD2089" s="135"/>
      <c r="BE2089" s="135"/>
      <c r="BF2089" s="135"/>
      <c r="BG2089" s="135"/>
      <c r="BH2089" s="135"/>
      <c r="BI2089" s="2"/>
      <c r="BJ2089" s="136"/>
      <c r="BK2089" s="2"/>
      <c r="BL2089" s="136"/>
      <c r="BM2089" s="136"/>
      <c r="BN2089" s="2"/>
      <c r="BO2089" s="2"/>
      <c r="BP2089" s="136"/>
      <c r="BQ2089" s="137"/>
    </row>
    <row r="2090" spans="1:69" ht="12.75" customHeight="1" x14ac:dyDescent="0.2">
      <c r="A2090" s="2">
        <v>3579</v>
      </c>
      <c r="B2090" s="2"/>
      <c r="C2090" s="2"/>
      <c r="D2090" s="2"/>
      <c r="E2090" s="2"/>
      <c r="F2090" s="132">
        <v>0</v>
      </c>
      <c r="G2090" s="132"/>
      <c r="H2090" s="132">
        <f t="shared" si="234"/>
        <v>0</v>
      </c>
      <c r="I2090" s="132"/>
      <c r="J2090" s="132">
        <f t="shared" si="239"/>
        <v>0</v>
      </c>
      <c r="K2090" s="132">
        <f t="shared" si="235"/>
        <v>0</v>
      </c>
      <c r="L2090" s="132">
        <f t="shared" si="236"/>
        <v>0</v>
      </c>
      <c r="M2090" s="133"/>
      <c r="N2090" s="133">
        <f t="shared" ref="N2090:N2153" si="240">IF(OR(BK2090="принят",BK2090="Завершено",BK2090="ПриПро"),H2090-J2090,F2090-J2090)</f>
        <v>0</v>
      </c>
      <c r="O2090" s="134"/>
      <c r="P2090" s="133"/>
      <c r="Q2090" s="2"/>
      <c r="R2090" s="156">
        <f t="shared" si="237"/>
        <v>0</v>
      </c>
      <c r="S2090" s="156">
        <f t="shared" si="238"/>
        <v>0</v>
      </c>
      <c r="T2090" s="133"/>
      <c r="U2090" s="133"/>
      <c r="V2090" s="133"/>
      <c r="W2090" s="133"/>
      <c r="X2090" s="133"/>
      <c r="Y2090" s="133"/>
      <c r="Z2090" s="133"/>
      <c r="AA2090" s="133"/>
      <c r="AB2090" s="133"/>
      <c r="AC2090" s="133"/>
      <c r="AD2090" s="133"/>
      <c r="AE2090" s="133"/>
      <c r="AF2090" s="133"/>
      <c r="AG2090" s="133"/>
      <c r="AH2090" s="133"/>
      <c r="AI2090" s="133"/>
      <c r="AJ2090" s="133"/>
      <c r="AK2090" s="133"/>
      <c r="AL2090" s="133"/>
      <c r="AM2090" s="133"/>
      <c r="AN2090" s="133"/>
      <c r="AO2090" s="133"/>
      <c r="AP2090" s="133"/>
      <c r="AQ2090" s="133"/>
      <c r="AR2090" s="133"/>
      <c r="AS2090" s="153">
        <v>0</v>
      </c>
      <c r="AT2090" s="153">
        <v>0</v>
      </c>
      <c r="AU2090" s="153">
        <v>0</v>
      </c>
      <c r="AV2090" s="135"/>
      <c r="AW2090" s="135"/>
      <c r="AX2090" s="135"/>
      <c r="AY2090" s="135"/>
      <c r="AZ2090" s="135"/>
      <c r="BA2090" s="135"/>
      <c r="BB2090" s="135"/>
      <c r="BC2090" s="135"/>
      <c r="BD2090" s="135"/>
      <c r="BE2090" s="135"/>
      <c r="BF2090" s="135"/>
      <c r="BG2090" s="135"/>
      <c r="BH2090" s="135"/>
      <c r="BI2090" s="2"/>
      <c r="BJ2090" s="136"/>
      <c r="BK2090" s="2"/>
      <c r="BL2090" s="136"/>
      <c r="BM2090" s="136"/>
      <c r="BN2090" s="2"/>
      <c r="BO2090" s="2"/>
      <c r="BP2090" s="136"/>
      <c r="BQ2090" s="137"/>
    </row>
    <row r="2091" spans="1:69" ht="12.75" customHeight="1" x14ac:dyDescent="0.2">
      <c r="A2091" s="2">
        <v>3580</v>
      </c>
      <c r="B2091" s="2"/>
      <c r="C2091" s="2"/>
      <c r="D2091" s="2"/>
      <c r="E2091" s="2"/>
      <c r="F2091" s="132">
        <v>0</v>
      </c>
      <c r="G2091" s="132"/>
      <c r="H2091" s="132">
        <f t="shared" si="234"/>
        <v>0</v>
      </c>
      <c r="I2091" s="132"/>
      <c r="J2091" s="132">
        <f t="shared" si="239"/>
        <v>0</v>
      </c>
      <c r="K2091" s="132">
        <f t="shared" si="235"/>
        <v>0</v>
      </c>
      <c r="L2091" s="132">
        <f t="shared" si="236"/>
        <v>0</v>
      </c>
      <c r="M2091" s="133"/>
      <c r="N2091" s="133">
        <f t="shared" si="240"/>
        <v>0</v>
      </c>
      <c r="O2091" s="134"/>
      <c r="P2091" s="133"/>
      <c r="Q2091" s="2"/>
      <c r="R2091" s="156">
        <f t="shared" si="237"/>
        <v>0</v>
      </c>
      <c r="S2091" s="156">
        <f t="shared" si="238"/>
        <v>0</v>
      </c>
      <c r="T2091" s="133"/>
      <c r="U2091" s="133"/>
      <c r="V2091" s="133"/>
      <c r="W2091" s="133"/>
      <c r="X2091" s="133"/>
      <c r="Y2091" s="133"/>
      <c r="Z2091" s="133"/>
      <c r="AA2091" s="133"/>
      <c r="AB2091" s="133"/>
      <c r="AC2091" s="133"/>
      <c r="AD2091" s="133"/>
      <c r="AE2091" s="133"/>
      <c r="AF2091" s="133"/>
      <c r="AG2091" s="133"/>
      <c r="AH2091" s="133"/>
      <c r="AI2091" s="133"/>
      <c r="AJ2091" s="133"/>
      <c r="AK2091" s="133"/>
      <c r="AL2091" s="133"/>
      <c r="AM2091" s="133"/>
      <c r="AN2091" s="133"/>
      <c r="AO2091" s="133"/>
      <c r="AP2091" s="133"/>
      <c r="AQ2091" s="133"/>
      <c r="AR2091" s="133"/>
      <c r="AS2091" s="153">
        <v>0</v>
      </c>
      <c r="AT2091" s="153">
        <v>0</v>
      </c>
      <c r="AU2091" s="153">
        <v>0</v>
      </c>
      <c r="AV2091" s="135"/>
      <c r="AW2091" s="135"/>
      <c r="AX2091" s="135"/>
      <c r="AY2091" s="135"/>
      <c r="AZ2091" s="135"/>
      <c r="BA2091" s="135"/>
      <c r="BB2091" s="135"/>
      <c r="BC2091" s="135"/>
      <c r="BD2091" s="135"/>
      <c r="BE2091" s="135"/>
      <c r="BF2091" s="135"/>
      <c r="BG2091" s="135"/>
      <c r="BH2091" s="135"/>
      <c r="BI2091" s="2"/>
      <c r="BJ2091" s="136"/>
      <c r="BK2091" s="2"/>
      <c r="BL2091" s="136"/>
      <c r="BM2091" s="136"/>
      <c r="BN2091" s="2"/>
      <c r="BO2091" s="2"/>
      <c r="BP2091" s="136"/>
      <c r="BQ2091" s="137"/>
    </row>
    <row r="2092" spans="1:69" ht="12.75" customHeight="1" x14ac:dyDescent="0.2">
      <c r="A2092" s="2">
        <v>3581</v>
      </c>
      <c r="B2092" s="2"/>
      <c r="C2092" s="2"/>
      <c r="D2092" s="2"/>
      <c r="E2092" s="2"/>
      <c r="F2092" s="132">
        <v>0</v>
      </c>
      <c r="G2092" s="132"/>
      <c r="H2092" s="132">
        <f t="shared" si="234"/>
        <v>0</v>
      </c>
      <c r="I2092" s="132"/>
      <c r="J2092" s="132">
        <f t="shared" si="239"/>
        <v>0</v>
      </c>
      <c r="K2092" s="132">
        <f t="shared" si="235"/>
        <v>0</v>
      </c>
      <c r="L2092" s="132">
        <f t="shared" si="236"/>
        <v>0</v>
      </c>
      <c r="M2092" s="133"/>
      <c r="N2092" s="133">
        <f t="shared" si="240"/>
        <v>0</v>
      </c>
      <c r="O2092" s="134"/>
      <c r="P2092" s="133"/>
      <c r="Q2092" s="2"/>
      <c r="R2092" s="156">
        <f t="shared" si="237"/>
        <v>0</v>
      </c>
      <c r="S2092" s="156">
        <f t="shared" si="238"/>
        <v>0</v>
      </c>
      <c r="T2092" s="133"/>
      <c r="U2092" s="133"/>
      <c r="V2092" s="133"/>
      <c r="W2092" s="133"/>
      <c r="X2092" s="133"/>
      <c r="Y2092" s="133"/>
      <c r="Z2092" s="133"/>
      <c r="AA2092" s="133"/>
      <c r="AB2092" s="133"/>
      <c r="AC2092" s="133"/>
      <c r="AD2092" s="133"/>
      <c r="AE2092" s="133"/>
      <c r="AF2092" s="133"/>
      <c r="AG2092" s="133"/>
      <c r="AH2092" s="133"/>
      <c r="AI2092" s="133"/>
      <c r="AJ2092" s="133"/>
      <c r="AK2092" s="133"/>
      <c r="AL2092" s="133"/>
      <c r="AM2092" s="133"/>
      <c r="AN2092" s="133"/>
      <c r="AO2092" s="133"/>
      <c r="AP2092" s="133"/>
      <c r="AQ2092" s="133"/>
      <c r="AR2092" s="133"/>
      <c r="AS2092" s="153">
        <v>0</v>
      </c>
      <c r="AT2092" s="153">
        <v>0</v>
      </c>
      <c r="AU2092" s="153">
        <v>0</v>
      </c>
      <c r="AV2092" s="135"/>
      <c r="AW2092" s="135"/>
      <c r="AX2092" s="135"/>
      <c r="AY2092" s="135"/>
      <c r="AZ2092" s="135"/>
      <c r="BA2092" s="135"/>
      <c r="BB2092" s="135"/>
      <c r="BC2092" s="135"/>
      <c r="BD2092" s="135"/>
      <c r="BE2092" s="135"/>
      <c r="BF2092" s="135"/>
      <c r="BG2092" s="135"/>
      <c r="BH2092" s="135"/>
      <c r="BI2092" s="2"/>
      <c r="BJ2092" s="136"/>
      <c r="BK2092" s="2"/>
      <c r="BL2092" s="136"/>
      <c r="BM2092" s="136"/>
      <c r="BN2092" s="2"/>
      <c r="BO2092" s="2"/>
      <c r="BP2092" s="136"/>
      <c r="BQ2092" s="137"/>
    </row>
    <row r="2093" spans="1:69" ht="12.75" customHeight="1" x14ac:dyDescent="0.2">
      <c r="A2093" s="2">
        <v>3582</v>
      </c>
      <c r="B2093" s="2"/>
      <c r="C2093" s="2"/>
      <c r="D2093" s="2"/>
      <c r="E2093" s="2"/>
      <c r="F2093" s="132">
        <v>0</v>
      </c>
      <c r="G2093" s="132"/>
      <c r="H2093" s="132">
        <f t="shared" si="234"/>
        <v>0</v>
      </c>
      <c r="I2093" s="132"/>
      <c r="J2093" s="132">
        <f t="shared" si="239"/>
        <v>0</v>
      </c>
      <c r="K2093" s="132">
        <f t="shared" si="235"/>
        <v>0</v>
      </c>
      <c r="L2093" s="132">
        <f t="shared" si="236"/>
        <v>0</v>
      </c>
      <c r="M2093" s="133"/>
      <c r="N2093" s="133">
        <f t="shared" si="240"/>
        <v>0</v>
      </c>
      <c r="O2093" s="134"/>
      <c r="P2093" s="133"/>
      <c r="Q2093" s="2"/>
      <c r="R2093" s="156">
        <f t="shared" si="237"/>
        <v>0</v>
      </c>
      <c r="S2093" s="156">
        <f t="shared" si="238"/>
        <v>0</v>
      </c>
      <c r="T2093" s="133"/>
      <c r="U2093" s="133"/>
      <c r="V2093" s="133"/>
      <c r="W2093" s="133"/>
      <c r="X2093" s="133"/>
      <c r="Y2093" s="133"/>
      <c r="Z2093" s="133"/>
      <c r="AA2093" s="133"/>
      <c r="AB2093" s="133"/>
      <c r="AC2093" s="133"/>
      <c r="AD2093" s="133"/>
      <c r="AE2093" s="133"/>
      <c r="AF2093" s="133"/>
      <c r="AG2093" s="133"/>
      <c r="AH2093" s="133"/>
      <c r="AI2093" s="133"/>
      <c r="AJ2093" s="133"/>
      <c r="AK2093" s="133"/>
      <c r="AL2093" s="133"/>
      <c r="AM2093" s="133"/>
      <c r="AN2093" s="133"/>
      <c r="AO2093" s="133"/>
      <c r="AP2093" s="133"/>
      <c r="AQ2093" s="133"/>
      <c r="AR2093" s="133"/>
      <c r="AS2093" s="153">
        <v>0</v>
      </c>
      <c r="AT2093" s="153">
        <v>0</v>
      </c>
      <c r="AU2093" s="153">
        <v>0</v>
      </c>
      <c r="AV2093" s="135"/>
      <c r="AW2093" s="135"/>
      <c r="AX2093" s="135"/>
      <c r="AY2093" s="135"/>
      <c r="AZ2093" s="135"/>
      <c r="BA2093" s="135"/>
      <c r="BB2093" s="135"/>
      <c r="BC2093" s="135"/>
      <c r="BD2093" s="135"/>
      <c r="BE2093" s="135"/>
      <c r="BF2093" s="135"/>
      <c r="BG2093" s="135"/>
      <c r="BH2093" s="135"/>
      <c r="BI2093" s="2"/>
      <c r="BJ2093" s="136"/>
      <c r="BK2093" s="2"/>
      <c r="BL2093" s="136"/>
      <c r="BM2093" s="136"/>
      <c r="BN2093" s="2"/>
      <c r="BO2093" s="2"/>
      <c r="BP2093" s="136"/>
      <c r="BQ2093" s="137"/>
    </row>
    <row r="2094" spans="1:69" ht="12.75" customHeight="1" x14ac:dyDescent="0.2">
      <c r="A2094" s="2">
        <v>3583</v>
      </c>
      <c r="B2094" s="2"/>
      <c r="C2094" s="2"/>
      <c r="D2094" s="2"/>
      <c r="E2094" s="2"/>
      <c r="F2094" s="132">
        <v>0</v>
      </c>
      <c r="G2094" s="132"/>
      <c r="H2094" s="132">
        <f t="shared" ref="H2094:H2157" si="241">R2094</f>
        <v>0</v>
      </c>
      <c r="I2094" s="132"/>
      <c r="J2094" s="132">
        <f t="shared" si="239"/>
        <v>0</v>
      </c>
      <c r="K2094" s="132">
        <f t="shared" si="235"/>
        <v>0</v>
      </c>
      <c r="L2094" s="132">
        <f t="shared" si="236"/>
        <v>0</v>
      </c>
      <c r="M2094" s="133"/>
      <c r="N2094" s="133">
        <f t="shared" si="240"/>
        <v>0</v>
      </c>
      <c r="O2094" s="134"/>
      <c r="P2094" s="133"/>
      <c r="Q2094" s="2"/>
      <c r="R2094" s="156">
        <f t="shared" si="237"/>
        <v>0</v>
      </c>
      <c r="S2094" s="156">
        <f t="shared" si="238"/>
        <v>0</v>
      </c>
      <c r="T2094" s="133"/>
      <c r="U2094" s="133"/>
      <c r="V2094" s="133"/>
      <c r="W2094" s="133"/>
      <c r="X2094" s="133"/>
      <c r="Y2094" s="133"/>
      <c r="Z2094" s="133"/>
      <c r="AA2094" s="133"/>
      <c r="AB2094" s="133"/>
      <c r="AC2094" s="133"/>
      <c r="AD2094" s="133"/>
      <c r="AE2094" s="133"/>
      <c r="AF2094" s="133"/>
      <c r="AG2094" s="133"/>
      <c r="AH2094" s="133"/>
      <c r="AI2094" s="133"/>
      <c r="AJ2094" s="133"/>
      <c r="AK2094" s="133"/>
      <c r="AL2094" s="133"/>
      <c r="AM2094" s="133"/>
      <c r="AN2094" s="133"/>
      <c r="AO2094" s="133"/>
      <c r="AP2094" s="133"/>
      <c r="AQ2094" s="133"/>
      <c r="AR2094" s="133"/>
      <c r="AS2094" s="153">
        <v>0</v>
      </c>
      <c r="AT2094" s="153">
        <v>0</v>
      </c>
      <c r="AU2094" s="153">
        <v>0</v>
      </c>
      <c r="AV2094" s="135"/>
      <c r="AW2094" s="135"/>
      <c r="AX2094" s="135"/>
      <c r="AY2094" s="135"/>
      <c r="AZ2094" s="135"/>
      <c r="BA2094" s="135"/>
      <c r="BB2094" s="135"/>
      <c r="BC2094" s="135"/>
      <c r="BD2094" s="135"/>
      <c r="BE2094" s="135"/>
      <c r="BF2094" s="135"/>
      <c r="BG2094" s="135"/>
      <c r="BH2094" s="135"/>
      <c r="BI2094" s="2"/>
      <c r="BJ2094" s="136"/>
      <c r="BK2094" s="2"/>
      <c r="BL2094" s="136"/>
      <c r="BM2094" s="136"/>
      <c r="BN2094" s="2"/>
      <c r="BO2094" s="2"/>
      <c r="BP2094" s="136"/>
      <c r="BQ2094" s="137"/>
    </row>
    <row r="2095" spans="1:69" ht="12.75" customHeight="1" x14ac:dyDescent="0.2">
      <c r="A2095" s="2">
        <v>3584</v>
      </c>
      <c r="B2095" s="2"/>
      <c r="C2095" s="2"/>
      <c r="D2095" s="2"/>
      <c r="E2095" s="2"/>
      <c r="F2095" s="132">
        <v>0</v>
      </c>
      <c r="G2095" s="132"/>
      <c r="H2095" s="132">
        <f t="shared" si="241"/>
        <v>0</v>
      </c>
      <c r="I2095" s="132"/>
      <c r="J2095" s="132">
        <f t="shared" si="239"/>
        <v>0</v>
      </c>
      <c r="K2095" s="132">
        <f t="shared" si="235"/>
        <v>0</v>
      </c>
      <c r="L2095" s="132">
        <f t="shared" si="236"/>
        <v>0</v>
      </c>
      <c r="M2095" s="133"/>
      <c r="N2095" s="133">
        <f t="shared" si="240"/>
        <v>0</v>
      </c>
      <c r="O2095" s="134"/>
      <c r="P2095" s="133"/>
      <c r="Q2095" s="2"/>
      <c r="R2095" s="156">
        <f t="shared" si="237"/>
        <v>0</v>
      </c>
      <c r="S2095" s="156">
        <f t="shared" si="238"/>
        <v>0</v>
      </c>
      <c r="T2095" s="133"/>
      <c r="U2095" s="133"/>
      <c r="V2095" s="133"/>
      <c r="W2095" s="133"/>
      <c r="X2095" s="133"/>
      <c r="Y2095" s="133"/>
      <c r="Z2095" s="133"/>
      <c r="AA2095" s="133"/>
      <c r="AB2095" s="133"/>
      <c r="AC2095" s="133"/>
      <c r="AD2095" s="133"/>
      <c r="AE2095" s="133"/>
      <c r="AF2095" s="133"/>
      <c r="AG2095" s="133"/>
      <c r="AH2095" s="133"/>
      <c r="AI2095" s="133"/>
      <c r="AJ2095" s="133"/>
      <c r="AK2095" s="133"/>
      <c r="AL2095" s="133"/>
      <c r="AM2095" s="133"/>
      <c r="AN2095" s="133"/>
      <c r="AO2095" s="133"/>
      <c r="AP2095" s="133"/>
      <c r="AQ2095" s="133"/>
      <c r="AR2095" s="133"/>
      <c r="AS2095" s="153">
        <v>0</v>
      </c>
      <c r="AT2095" s="153">
        <v>0</v>
      </c>
      <c r="AU2095" s="153">
        <v>0</v>
      </c>
      <c r="AV2095" s="135"/>
      <c r="AW2095" s="135"/>
      <c r="AX2095" s="135"/>
      <c r="AY2095" s="135"/>
      <c r="AZ2095" s="135"/>
      <c r="BA2095" s="135"/>
      <c r="BB2095" s="135"/>
      <c r="BC2095" s="135"/>
      <c r="BD2095" s="135"/>
      <c r="BE2095" s="135"/>
      <c r="BF2095" s="135"/>
      <c r="BG2095" s="135"/>
      <c r="BH2095" s="135"/>
      <c r="BI2095" s="2"/>
      <c r="BJ2095" s="136"/>
      <c r="BK2095" s="2"/>
      <c r="BL2095" s="136"/>
      <c r="BM2095" s="136"/>
      <c r="BN2095" s="2"/>
      <c r="BO2095" s="2"/>
      <c r="BP2095" s="136"/>
      <c r="BQ2095" s="137"/>
    </row>
    <row r="2096" spans="1:69" ht="12.75" customHeight="1" x14ac:dyDescent="0.2">
      <c r="A2096" s="2">
        <v>3585</v>
      </c>
      <c r="B2096" s="2"/>
      <c r="C2096" s="2"/>
      <c r="D2096" s="2"/>
      <c r="E2096" s="2"/>
      <c r="F2096" s="132">
        <v>0</v>
      </c>
      <c r="G2096" s="132"/>
      <c r="H2096" s="132">
        <f t="shared" si="241"/>
        <v>0</v>
      </c>
      <c r="I2096" s="132"/>
      <c r="J2096" s="132">
        <f t="shared" si="239"/>
        <v>0</v>
      </c>
      <c r="K2096" s="132">
        <f t="shared" si="235"/>
        <v>0</v>
      </c>
      <c r="L2096" s="132">
        <f t="shared" si="236"/>
        <v>0</v>
      </c>
      <c r="M2096" s="133"/>
      <c r="N2096" s="133">
        <f t="shared" si="240"/>
        <v>0</v>
      </c>
      <c r="O2096" s="134"/>
      <c r="P2096" s="133"/>
      <c r="Q2096" s="2"/>
      <c r="R2096" s="156">
        <f t="shared" si="237"/>
        <v>0</v>
      </c>
      <c r="S2096" s="156">
        <f t="shared" si="238"/>
        <v>0</v>
      </c>
      <c r="T2096" s="133"/>
      <c r="U2096" s="133"/>
      <c r="V2096" s="133"/>
      <c r="W2096" s="133"/>
      <c r="X2096" s="133"/>
      <c r="Y2096" s="133"/>
      <c r="Z2096" s="133"/>
      <c r="AA2096" s="133"/>
      <c r="AB2096" s="133"/>
      <c r="AC2096" s="133"/>
      <c r="AD2096" s="133"/>
      <c r="AE2096" s="133"/>
      <c r="AF2096" s="133"/>
      <c r="AG2096" s="133"/>
      <c r="AH2096" s="133"/>
      <c r="AI2096" s="133"/>
      <c r="AJ2096" s="133"/>
      <c r="AK2096" s="133"/>
      <c r="AL2096" s="133"/>
      <c r="AM2096" s="133"/>
      <c r="AN2096" s="133"/>
      <c r="AO2096" s="133"/>
      <c r="AP2096" s="133"/>
      <c r="AQ2096" s="133"/>
      <c r="AR2096" s="133"/>
      <c r="AS2096" s="153">
        <v>0</v>
      </c>
      <c r="AT2096" s="153">
        <v>0</v>
      </c>
      <c r="AU2096" s="153">
        <v>0</v>
      </c>
      <c r="AV2096" s="135"/>
      <c r="AW2096" s="135"/>
      <c r="AX2096" s="135"/>
      <c r="AY2096" s="135"/>
      <c r="AZ2096" s="135"/>
      <c r="BA2096" s="135"/>
      <c r="BB2096" s="135"/>
      <c r="BC2096" s="135"/>
      <c r="BD2096" s="135"/>
      <c r="BE2096" s="135"/>
      <c r="BF2096" s="135"/>
      <c r="BG2096" s="135"/>
      <c r="BH2096" s="135"/>
      <c r="BI2096" s="2"/>
      <c r="BJ2096" s="136"/>
      <c r="BK2096" s="2"/>
      <c r="BL2096" s="136"/>
      <c r="BM2096" s="136"/>
      <c r="BN2096" s="2"/>
      <c r="BO2096" s="2"/>
      <c r="BP2096" s="136"/>
      <c r="BQ2096" s="137"/>
    </row>
    <row r="2097" spans="1:69" ht="12.75" customHeight="1" x14ac:dyDescent="0.2">
      <c r="A2097" s="2">
        <v>3586</v>
      </c>
      <c r="B2097" s="2"/>
      <c r="C2097" s="2"/>
      <c r="D2097" s="2"/>
      <c r="E2097" s="2"/>
      <c r="F2097" s="132">
        <v>0</v>
      </c>
      <c r="G2097" s="132"/>
      <c r="H2097" s="132">
        <f t="shared" si="241"/>
        <v>0</v>
      </c>
      <c r="I2097" s="132"/>
      <c r="J2097" s="132">
        <f t="shared" si="239"/>
        <v>0</v>
      </c>
      <c r="K2097" s="132">
        <f t="shared" si="235"/>
        <v>0</v>
      </c>
      <c r="L2097" s="132">
        <f t="shared" si="236"/>
        <v>0</v>
      </c>
      <c r="M2097" s="133"/>
      <c r="N2097" s="133">
        <f t="shared" si="240"/>
        <v>0</v>
      </c>
      <c r="O2097" s="134"/>
      <c r="P2097" s="133"/>
      <c r="Q2097" s="2"/>
      <c r="R2097" s="156">
        <f t="shared" si="237"/>
        <v>0</v>
      </c>
      <c r="S2097" s="156">
        <f t="shared" si="238"/>
        <v>0</v>
      </c>
      <c r="T2097" s="133"/>
      <c r="U2097" s="133"/>
      <c r="V2097" s="133"/>
      <c r="W2097" s="133"/>
      <c r="X2097" s="133"/>
      <c r="Y2097" s="133"/>
      <c r="Z2097" s="133"/>
      <c r="AA2097" s="133"/>
      <c r="AB2097" s="133"/>
      <c r="AC2097" s="133"/>
      <c r="AD2097" s="133"/>
      <c r="AE2097" s="133"/>
      <c r="AF2097" s="133"/>
      <c r="AG2097" s="133"/>
      <c r="AH2097" s="133"/>
      <c r="AI2097" s="133"/>
      <c r="AJ2097" s="133"/>
      <c r="AK2097" s="133"/>
      <c r="AL2097" s="133"/>
      <c r="AM2097" s="133"/>
      <c r="AN2097" s="133"/>
      <c r="AO2097" s="133"/>
      <c r="AP2097" s="133"/>
      <c r="AQ2097" s="133"/>
      <c r="AR2097" s="133"/>
      <c r="AS2097" s="153">
        <v>0</v>
      </c>
      <c r="AT2097" s="153">
        <v>0</v>
      </c>
      <c r="AU2097" s="153">
        <v>0</v>
      </c>
      <c r="AV2097" s="135"/>
      <c r="AW2097" s="135"/>
      <c r="AX2097" s="135"/>
      <c r="AY2097" s="135"/>
      <c r="AZ2097" s="135"/>
      <c r="BA2097" s="135"/>
      <c r="BB2097" s="135"/>
      <c r="BC2097" s="135"/>
      <c r="BD2097" s="135"/>
      <c r="BE2097" s="135"/>
      <c r="BF2097" s="135"/>
      <c r="BG2097" s="135"/>
      <c r="BH2097" s="135"/>
      <c r="BI2097" s="2"/>
      <c r="BJ2097" s="136"/>
      <c r="BK2097" s="2"/>
      <c r="BL2097" s="136"/>
      <c r="BM2097" s="136"/>
      <c r="BN2097" s="2"/>
      <c r="BO2097" s="2"/>
      <c r="BP2097" s="136"/>
      <c r="BQ2097" s="137"/>
    </row>
    <row r="2098" spans="1:69" ht="12.75" customHeight="1" x14ac:dyDescent="0.2">
      <c r="A2098" s="2">
        <v>3587</v>
      </c>
      <c r="B2098" s="2"/>
      <c r="C2098" s="2"/>
      <c r="D2098" s="2"/>
      <c r="E2098" s="2"/>
      <c r="F2098" s="132">
        <v>0</v>
      </c>
      <c r="G2098" s="132"/>
      <c r="H2098" s="132">
        <f t="shared" si="241"/>
        <v>0</v>
      </c>
      <c r="I2098" s="132"/>
      <c r="J2098" s="132">
        <f t="shared" si="239"/>
        <v>0</v>
      </c>
      <c r="K2098" s="132">
        <f t="shared" si="235"/>
        <v>0</v>
      </c>
      <c r="L2098" s="132">
        <f t="shared" si="236"/>
        <v>0</v>
      </c>
      <c r="M2098" s="133"/>
      <c r="N2098" s="133">
        <f t="shared" si="240"/>
        <v>0</v>
      </c>
      <c r="O2098" s="134"/>
      <c r="P2098" s="133"/>
      <c r="Q2098" s="2"/>
      <c r="R2098" s="156">
        <f t="shared" si="237"/>
        <v>0</v>
      </c>
      <c r="S2098" s="156">
        <f t="shared" si="238"/>
        <v>0</v>
      </c>
      <c r="T2098" s="133"/>
      <c r="U2098" s="133"/>
      <c r="V2098" s="133"/>
      <c r="W2098" s="133"/>
      <c r="X2098" s="133"/>
      <c r="Y2098" s="133"/>
      <c r="Z2098" s="133"/>
      <c r="AA2098" s="133"/>
      <c r="AB2098" s="133"/>
      <c r="AC2098" s="133"/>
      <c r="AD2098" s="133"/>
      <c r="AE2098" s="133"/>
      <c r="AF2098" s="133"/>
      <c r="AG2098" s="133"/>
      <c r="AH2098" s="133"/>
      <c r="AI2098" s="133"/>
      <c r="AJ2098" s="133"/>
      <c r="AK2098" s="133"/>
      <c r="AL2098" s="133"/>
      <c r="AM2098" s="133"/>
      <c r="AN2098" s="133"/>
      <c r="AO2098" s="133"/>
      <c r="AP2098" s="133"/>
      <c r="AQ2098" s="133"/>
      <c r="AR2098" s="133"/>
      <c r="AS2098" s="153">
        <v>0</v>
      </c>
      <c r="AT2098" s="153">
        <v>0</v>
      </c>
      <c r="AU2098" s="153">
        <v>0</v>
      </c>
      <c r="AV2098" s="135"/>
      <c r="AW2098" s="135"/>
      <c r="AX2098" s="135"/>
      <c r="AY2098" s="135"/>
      <c r="AZ2098" s="135"/>
      <c r="BA2098" s="135"/>
      <c r="BB2098" s="135"/>
      <c r="BC2098" s="135"/>
      <c r="BD2098" s="135"/>
      <c r="BE2098" s="135"/>
      <c r="BF2098" s="135"/>
      <c r="BG2098" s="135"/>
      <c r="BH2098" s="135"/>
      <c r="BI2098" s="2"/>
      <c r="BJ2098" s="136"/>
      <c r="BK2098" s="2"/>
      <c r="BL2098" s="136"/>
      <c r="BM2098" s="136"/>
      <c r="BN2098" s="2"/>
      <c r="BO2098" s="2"/>
      <c r="BP2098" s="136"/>
      <c r="BQ2098" s="137"/>
    </row>
    <row r="2099" spans="1:69" ht="12.75" customHeight="1" x14ac:dyDescent="0.2">
      <c r="A2099" s="2">
        <v>3588</v>
      </c>
      <c r="B2099" s="2"/>
      <c r="C2099" s="2"/>
      <c r="D2099" s="2"/>
      <c r="E2099" s="2"/>
      <c r="F2099" s="132">
        <v>0</v>
      </c>
      <c r="G2099" s="132"/>
      <c r="H2099" s="132">
        <f t="shared" si="241"/>
        <v>0</v>
      </c>
      <c r="I2099" s="132"/>
      <c r="J2099" s="132">
        <f t="shared" si="239"/>
        <v>0</v>
      </c>
      <c r="K2099" s="132">
        <f t="shared" si="235"/>
        <v>0</v>
      </c>
      <c r="L2099" s="132">
        <f t="shared" si="236"/>
        <v>0</v>
      </c>
      <c r="M2099" s="133"/>
      <c r="N2099" s="133">
        <f t="shared" si="240"/>
        <v>0</v>
      </c>
      <c r="O2099" s="134"/>
      <c r="P2099" s="133"/>
      <c r="Q2099" s="2"/>
      <c r="R2099" s="156">
        <f t="shared" si="237"/>
        <v>0</v>
      </c>
      <c r="S2099" s="156">
        <f t="shared" si="238"/>
        <v>0</v>
      </c>
      <c r="T2099" s="133"/>
      <c r="U2099" s="133"/>
      <c r="V2099" s="133"/>
      <c r="W2099" s="133"/>
      <c r="X2099" s="133"/>
      <c r="Y2099" s="133"/>
      <c r="Z2099" s="133"/>
      <c r="AA2099" s="133"/>
      <c r="AB2099" s="133"/>
      <c r="AC2099" s="133"/>
      <c r="AD2099" s="133"/>
      <c r="AE2099" s="133"/>
      <c r="AF2099" s="133"/>
      <c r="AG2099" s="133"/>
      <c r="AH2099" s="133"/>
      <c r="AI2099" s="133"/>
      <c r="AJ2099" s="133"/>
      <c r="AK2099" s="133"/>
      <c r="AL2099" s="133"/>
      <c r="AM2099" s="133"/>
      <c r="AN2099" s="133"/>
      <c r="AO2099" s="133"/>
      <c r="AP2099" s="133"/>
      <c r="AQ2099" s="133"/>
      <c r="AR2099" s="133"/>
      <c r="AS2099" s="153">
        <v>0</v>
      </c>
      <c r="AT2099" s="153">
        <v>0</v>
      </c>
      <c r="AU2099" s="153">
        <v>0</v>
      </c>
      <c r="AV2099" s="135"/>
      <c r="AW2099" s="135"/>
      <c r="AX2099" s="135"/>
      <c r="AY2099" s="135"/>
      <c r="AZ2099" s="135"/>
      <c r="BA2099" s="135"/>
      <c r="BB2099" s="135"/>
      <c r="BC2099" s="135"/>
      <c r="BD2099" s="135"/>
      <c r="BE2099" s="135"/>
      <c r="BF2099" s="135"/>
      <c r="BG2099" s="135"/>
      <c r="BH2099" s="135"/>
      <c r="BI2099" s="2"/>
      <c r="BJ2099" s="136"/>
      <c r="BK2099" s="2"/>
      <c r="BL2099" s="136"/>
      <c r="BM2099" s="136"/>
      <c r="BN2099" s="2"/>
      <c r="BO2099" s="2"/>
      <c r="BP2099" s="136"/>
      <c r="BQ2099" s="137"/>
    </row>
    <row r="2100" spans="1:69" ht="12.75" customHeight="1" x14ac:dyDescent="0.2">
      <c r="A2100" s="2">
        <v>3589</v>
      </c>
      <c r="B2100" s="2"/>
      <c r="C2100" s="2"/>
      <c r="D2100" s="2"/>
      <c r="E2100" s="2"/>
      <c r="F2100" s="132">
        <v>0</v>
      </c>
      <c r="G2100" s="132"/>
      <c r="H2100" s="132">
        <f t="shared" si="241"/>
        <v>0</v>
      </c>
      <c r="I2100" s="132"/>
      <c r="J2100" s="132">
        <f t="shared" si="239"/>
        <v>0</v>
      </c>
      <c r="K2100" s="132">
        <f t="shared" si="235"/>
        <v>0</v>
      </c>
      <c r="L2100" s="132">
        <f t="shared" si="236"/>
        <v>0</v>
      </c>
      <c r="M2100" s="133"/>
      <c r="N2100" s="133">
        <f t="shared" si="240"/>
        <v>0</v>
      </c>
      <c r="O2100" s="134"/>
      <c r="P2100" s="133"/>
      <c r="Q2100" s="2"/>
      <c r="R2100" s="156">
        <f t="shared" si="237"/>
        <v>0</v>
      </c>
      <c r="S2100" s="156">
        <f t="shared" si="238"/>
        <v>0</v>
      </c>
      <c r="T2100" s="133"/>
      <c r="U2100" s="133"/>
      <c r="V2100" s="133"/>
      <c r="W2100" s="133"/>
      <c r="X2100" s="133"/>
      <c r="Y2100" s="133"/>
      <c r="Z2100" s="133"/>
      <c r="AA2100" s="133"/>
      <c r="AB2100" s="133"/>
      <c r="AC2100" s="133"/>
      <c r="AD2100" s="133"/>
      <c r="AE2100" s="133"/>
      <c r="AF2100" s="133"/>
      <c r="AG2100" s="133"/>
      <c r="AH2100" s="133"/>
      <c r="AI2100" s="133"/>
      <c r="AJ2100" s="133"/>
      <c r="AK2100" s="133"/>
      <c r="AL2100" s="133"/>
      <c r="AM2100" s="133"/>
      <c r="AN2100" s="133"/>
      <c r="AO2100" s="133"/>
      <c r="AP2100" s="133"/>
      <c r="AQ2100" s="133"/>
      <c r="AR2100" s="133"/>
      <c r="AS2100" s="153">
        <v>0</v>
      </c>
      <c r="AT2100" s="153">
        <v>0</v>
      </c>
      <c r="AU2100" s="153">
        <v>0</v>
      </c>
      <c r="AV2100" s="135"/>
      <c r="AW2100" s="135"/>
      <c r="AX2100" s="135"/>
      <c r="AY2100" s="135"/>
      <c r="AZ2100" s="135"/>
      <c r="BA2100" s="135"/>
      <c r="BB2100" s="135"/>
      <c r="BC2100" s="135"/>
      <c r="BD2100" s="135"/>
      <c r="BE2100" s="135"/>
      <c r="BF2100" s="135"/>
      <c r="BG2100" s="135"/>
      <c r="BH2100" s="135"/>
      <c r="BI2100" s="2"/>
      <c r="BJ2100" s="136"/>
      <c r="BK2100" s="2"/>
      <c r="BL2100" s="136"/>
      <c r="BM2100" s="136"/>
      <c r="BN2100" s="2"/>
      <c r="BO2100" s="2"/>
      <c r="BP2100" s="136"/>
      <c r="BQ2100" s="137"/>
    </row>
    <row r="2101" spans="1:69" ht="12.75" customHeight="1" x14ac:dyDescent="0.2">
      <c r="A2101" s="2">
        <v>3590</v>
      </c>
      <c r="B2101" s="2"/>
      <c r="C2101" s="2"/>
      <c r="D2101" s="2"/>
      <c r="E2101" s="2"/>
      <c r="F2101" s="132">
        <v>0</v>
      </c>
      <c r="G2101" s="132"/>
      <c r="H2101" s="132">
        <f t="shared" si="241"/>
        <v>0</v>
      </c>
      <c r="I2101" s="132"/>
      <c r="J2101" s="132">
        <f t="shared" si="239"/>
        <v>0</v>
      </c>
      <c r="K2101" s="132">
        <f t="shared" si="235"/>
        <v>0</v>
      </c>
      <c r="L2101" s="132">
        <f t="shared" si="236"/>
        <v>0</v>
      </c>
      <c r="M2101" s="133"/>
      <c r="N2101" s="133">
        <f t="shared" si="240"/>
        <v>0</v>
      </c>
      <c r="O2101" s="134"/>
      <c r="P2101" s="133"/>
      <c r="Q2101" s="2"/>
      <c r="R2101" s="156">
        <f t="shared" si="237"/>
        <v>0</v>
      </c>
      <c r="S2101" s="156">
        <f t="shared" si="238"/>
        <v>0</v>
      </c>
      <c r="T2101" s="133"/>
      <c r="U2101" s="133"/>
      <c r="V2101" s="133"/>
      <c r="W2101" s="133"/>
      <c r="X2101" s="133"/>
      <c r="Y2101" s="133"/>
      <c r="Z2101" s="133"/>
      <c r="AA2101" s="133"/>
      <c r="AB2101" s="133"/>
      <c r="AC2101" s="133"/>
      <c r="AD2101" s="133"/>
      <c r="AE2101" s="133"/>
      <c r="AF2101" s="133"/>
      <c r="AG2101" s="133"/>
      <c r="AH2101" s="133"/>
      <c r="AI2101" s="133"/>
      <c r="AJ2101" s="133"/>
      <c r="AK2101" s="133"/>
      <c r="AL2101" s="133"/>
      <c r="AM2101" s="133"/>
      <c r="AN2101" s="133"/>
      <c r="AO2101" s="133"/>
      <c r="AP2101" s="133"/>
      <c r="AQ2101" s="133"/>
      <c r="AR2101" s="133"/>
      <c r="AS2101" s="153">
        <v>0</v>
      </c>
      <c r="AT2101" s="153">
        <v>0</v>
      </c>
      <c r="AU2101" s="153">
        <v>0</v>
      </c>
      <c r="AV2101" s="135"/>
      <c r="AW2101" s="135"/>
      <c r="AX2101" s="135"/>
      <c r="AY2101" s="135"/>
      <c r="AZ2101" s="135"/>
      <c r="BA2101" s="135"/>
      <c r="BB2101" s="135"/>
      <c r="BC2101" s="135"/>
      <c r="BD2101" s="135"/>
      <c r="BE2101" s="135"/>
      <c r="BF2101" s="135"/>
      <c r="BG2101" s="135"/>
      <c r="BH2101" s="135"/>
      <c r="BI2101" s="2"/>
      <c r="BJ2101" s="136"/>
      <c r="BK2101" s="2"/>
      <c r="BL2101" s="136"/>
      <c r="BM2101" s="136"/>
      <c r="BN2101" s="2"/>
      <c r="BO2101" s="2"/>
      <c r="BP2101" s="136"/>
      <c r="BQ2101" s="137"/>
    </row>
    <row r="2102" spans="1:69" ht="12.75" customHeight="1" x14ac:dyDescent="0.2">
      <c r="A2102" s="2">
        <v>3591</v>
      </c>
      <c r="B2102" s="2"/>
      <c r="C2102" s="2"/>
      <c r="D2102" s="2"/>
      <c r="E2102" s="2"/>
      <c r="F2102" s="132">
        <v>0</v>
      </c>
      <c r="G2102" s="132"/>
      <c r="H2102" s="132">
        <f t="shared" si="241"/>
        <v>0</v>
      </c>
      <c r="I2102" s="132"/>
      <c r="J2102" s="132">
        <f t="shared" si="239"/>
        <v>0</v>
      </c>
      <c r="K2102" s="132">
        <f t="shared" ref="K2102:K2165" si="242">F2102-J2102</f>
        <v>0</v>
      </c>
      <c r="L2102" s="132">
        <f t="shared" si="236"/>
        <v>0</v>
      </c>
      <c r="M2102" s="133"/>
      <c r="N2102" s="133">
        <f t="shared" si="240"/>
        <v>0</v>
      </c>
      <c r="O2102" s="134"/>
      <c r="P2102" s="133"/>
      <c r="Q2102" s="2"/>
      <c r="R2102" s="156">
        <f t="shared" si="237"/>
        <v>0</v>
      </c>
      <c r="S2102" s="156">
        <f t="shared" si="238"/>
        <v>0</v>
      </c>
      <c r="T2102" s="133"/>
      <c r="U2102" s="133"/>
      <c r="V2102" s="133"/>
      <c r="W2102" s="133"/>
      <c r="X2102" s="133"/>
      <c r="Y2102" s="133"/>
      <c r="Z2102" s="133"/>
      <c r="AA2102" s="133"/>
      <c r="AB2102" s="133"/>
      <c r="AC2102" s="133"/>
      <c r="AD2102" s="133"/>
      <c r="AE2102" s="133"/>
      <c r="AF2102" s="133"/>
      <c r="AG2102" s="133"/>
      <c r="AH2102" s="133"/>
      <c r="AI2102" s="133"/>
      <c r="AJ2102" s="133"/>
      <c r="AK2102" s="133"/>
      <c r="AL2102" s="133"/>
      <c r="AM2102" s="133"/>
      <c r="AN2102" s="133"/>
      <c r="AO2102" s="133"/>
      <c r="AP2102" s="133"/>
      <c r="AQ2102" s="133"/>
      <c r="AR2102" s="133"/>
      <c r="AS2102" s="153">
        <v>0</v>
      </c>
      <c r="AT2102" s="153">
        <v>0</v>
      </c>
      <c r="AU2102" s="153">
        <v>0</v>
      </c>
      <c r="AV2102" s="135"/>
      <c r="AW2102" s="135"/>
      <c r="AX2102" s="135"/>
      <c r="AY2102" s="135"/>
      <c r="AZ2102" s="135"/>
      <c r="BA2102" s="135"/>
      <c r="BB2102" s="135"/>
      <c r="BC2102" s="135"/>
      <c r="BD2102" s="135"/>
      <c r="BE2102" s="135"/>
      <c r="BF2102" s="135"/>
      <c r="BG2102" s="135"/>
      <c r="BH2102" s="135"/>
      <c r="BI2102" s="2"/>
      <c r="BJ2102" s="136"/>
      <c r="BK2102" s="2"/>
      <c r="BL2102" s="136"/>
      <c r="BM2102" s="136"/>
      <c r="BN2102" s="2"/>
      <c r="BO2102" s="2"/>
      <c r="BP2102" s="136"/>
      <c r="BQ2102" s="137"/>
    </row>
    <row r="2103" spans="1:69" ht="12.75" customHeight="1" x14ac:dyDescent="0.2">
      <c r="A2103" s="2">
        <v>3592</v>
      </c>
      <c r="B2103" s="2"/>
      <c r="C2103" s="2"/>
      <c r="D2103" s="2"/>
      <c r="E2103" s="2"/>
      <c r="F2103" s="132">
        <v>0</v>
      </c>
      <c r="G2103" s="132"/>
      <c r="H2103" s="132">
        <f t="shared" si="241"/>
        <v>0</v>
      </c>
      <c r="I2103" s="132"/>
      <c r="J2103" s="132">
        <f t="shared" si="239"/>
        <v>0</v>
      </c>
      <c r="K2103" s="132">
        <f t="shared" si="242"/>
        <v>0</v>
      </c>
      <c r="L2103" s="132">
        <f t="shared" si="236"/>
        <v>0</v>
      </c>
      <c r="M2103" s="133"/>
      <c r="N2103" s="133">
        <f t="shared" si="240"/>
        <v>0</v>
      </c>
      <c r="O2103" s="134"/>
      <c r="P2103" s="133"/>
      <c r="Q2103" s="2"/>
      <c r="R2103" s="156">
        <f t="shared" si="237"/>
        <v>0</v>
      </c>
      <c r="S2103" s="156">
        <f t="shared" si="238"/>
        <v>0</v>
      </c>
      <c r="T2103" s="133"/>
      <c r="U2103" s="133"/>
      <c r="V2103" s="133"/>
      <c r="W2103" s="133"/>
      <c r="X2103" s="133"/>
      <c r="Y2103" s="133"/>
      <c r="Z2103" s="133"/>
      <c r="AA2103" s="133"/>
      <c r="AB2103" s="133"/>
      <c r="AC2103" s="133"/>
      <c r="AD2103" s="133"/>
      <c r="AE2103" s="133"/>
      <c r="AF2103" s="133"/>
      <c r="AG2103" s="133"/>
      <c r="AH2103" s="133"/>
      <c r="AI2103" s="133"/>
      <c r="AJ2103" s="133"/>
      <c r="AK2103" s="133"/>
      <c r="AL2103" s="133"/>
      <c r="AM2103" s="133"/>
      <c r="AN2103" s="133"/>
      <c r="AO2103" s="133"/>
      <c r="AP2103" s="133"/>
      <c r="AQ2103" s="133"/>
      <c r="AR2103" s="133"/>
      <c r="AS2103" s="153">
        <v>0</v>
      </c>
      <c r="AT2103" s="153">
        <v>0</v>
      </c>
      <c r="AU2103" s="153">
        <v>0</v>
      </c>
      <c r="AV2103" s="135"/>
      <c r="AW2103" s="135"/>
      <c r="AX2103" s="135"/>
      <c r="AY2103" s="135"/>
      <c r="AZ2103" s="135"/>
      <c r="BA2103" s="135"/>
      <c r="BB2103" s="135"/>
      <c r="BC2103" s="135"/>
      <c r="BD2103" s="135"/>
      <c r="BE2103" s="135"/>
      <c r="BF2103" s="135"/>
      <c r="BG2103" s="135"/>
      <c r="BH2103" s="135"/>
      <c r="BI2103" s="2"/>
      <c r="BJ2103" s="136"/>
      <c r="BK2103" s="2"/>
      <c r="BL2103" s="136"/>
      <c r="BM2103" s="136"/>
      <c r="BN2103" s="2"/>
      <c r="BO2103" s="2"/>
      <c r="BP2103" s="136"/>
      <c r="BQ2103" s="137"/>
    </row>
    <row r="2104" spans="1:69" ht="12.75" customHeight="1" x14ac:dyDescent="0.2">
      <c r="A2104" s="2">
        <v>3593</v>
      </c>
      <c r="B2104" s="2"/>
      <c r="C2104" s="2"/>
      <c r="D2104" s="2"/>
      <c r="E2104" s="2"/>
      <c r="F2104" s="132">
        <v>0</v>
      </c>
      <c r="G2104" s="132"/>
      <c r="H2104" s="132">
        <f t="shared" si="241"/>
        <v>0</v>
      </c>
      <c r="I2104" s="132"/>
      <c r="J2104" s="132">
        <f t="shared" si="239"/>
        <v>0</v>
      </c>
      <c r="K2104" s="132">
        <f t="shared" si="242"/>
        <v>0</v>
      </c>
      <c r="L2104" s="132">
        <f t="shared" si="236"/>
        <v>0</v>
      </c>
      <c r="M2104" s="133"/>
      <c r="N2104" s="133">
        <f t="shared" si="240"/>
        <v>0</v>
      </c>
      <c r="O2104" s="134"/>
      <c r="P2104" s="133"/>
      <c r="Q2104" s="2"/>
      <c r="R2104" s="156">
        <f t="shared" si="237"/>
        <v>0</v>
      </c>
      <c r="S2104" s="156">
        <f t="shared" si="238"/>
        <v>0</v>
      </c>
      <c r="T2104" s="133"/>
      <c r="U2104" s="133"/>
      <c r="V2104" s="133"/>
      <c r="W2104" s="133"/>
      <c r="X2104" s="133"/>
      <c r="Y2104" s="133"/>
      <c r="Z2104" s="133"/>
      <c r="AA2104" s="133"/>
      <c r="AB2104" s="133"/>
      <c r="AC2104" s="133"/>
      <c r="AD2104" s="133"/>
      <c r="AE2104" s="133"/>
      <c r="AF2104" s="133"/>
      <c r="AG2104" s="133"/>
      <c r="AH2104" s="133"/>
      <c r="AI2104" s="133"/>
      <c r="AJ2104" s="133"/>
      <c r="AK2104" s="133"/>
      <c r="AL2104" s="133"/>
      <c r="AM2104" s="133"/>
      <c r="AN2104" s="133"/>
      <c r="AO2104" s="133"/>
      <c r="AP2104" s="133"/>
      <c r="AQ2104" s="133"/>
      <c r="AR2104" s="133"/>
      <c r="AS2104" s="153">
        <v>0</v>
      </c>
      <c r="AT2104" s="153">
        <v>0</v>
      </c>
      <c r="AU2104" s="153">
        <v>0</v>
      </c>
      <c r="AV2104" s="135"/>
      <c r="AW2104" s="135"/>
      <c r="AX2104" s="135"/>
      <c r="AY2104" s="135"/>
      <c r="AZ2104" s="135"/>
      <c r="BA2104" s="135"/>
      <c r="BB2104" s="135"/>
      <c r="BC2104" s="135"/>
      <c r="BD2104" s="135"/>
      <c r="BE2104" s="135"/>
      <c r="BF2104" s="135"/>
      <c r="BG2104" s="135"/>
      <c r="BH2104" s="135"/>
      <c r="BI2104" s="2"/>
      <c r="BJ2104" s="136"/>
      <c r="BK2104" s="2"/>
      <c r="BL2104" s="136"/>
      <c r="BM2104" s="136"/>
      <c r="BN2104" s="2"/>
      <c r="BO2104" s="2"/>
      <c r="BP2104" s="136"/>
      <c r="BQ2104" s="137"/>
    </row>
    <row r="2105" spans="1:69" ht="12.75" customHeight="1" x14ac:dyDescent="0.2">
      <c r="A2105" s="2">
        <v>3594</v>
      </c>
      <c r="B2105" s="2"/>
      <c r="C2105" s="2"/>
      <c r="D2105" s="2"/>
      <c r="E2105" s="2"/>
      <c r="F2105" s="132">
        <v>0</v>
      </c>
      <c r="G2105" s="132"/>
      <c r="H2105" s="132">
        <f t="shared" si="241"/>
        <v>0</v>
      </c>
      <c r="I2105" s="132"/>
      <c r="J2105" s="132">
        <f t="shared" si="239"/>
        <v>0</v>
      </c>
      <c r="K2105" s="132">
        <f t="shared" si="242"/>
        <v>0</v>
      </c>
      <c r="L2105" s="132">
        <f t="shared" si="236"/>
        <v>0</v>
      </c>
      <c r="M2105" s="133"/>
      <c r="N2105" s="133">
        <f t="shared" si="240"/>
        <v>0</v>
      </c>
      <c r="O2105" s="134"/>
      <c r="P2105" s="133"/>
      <c r="Q2105" s="2"/>
      <c r="R2105" s="156">
        <f t="shared" si="237"/>
        <v>0</v>
      </c>
      <c r="S2105" s="156">
        <f t="shared" si="238"/>
        <v>0</v>
      </c>
      <c r="T2105" s="133"/>
      <c r="U2105" s="133"/>
      <c r="V2105" s="133"/>
      <c r="W2105" s="133"/>
      <c r="X2105" s="133"/>
      <c r="Y2105" s="133"/>
      <c r="Z2105" s="133"/>
      <c r="AA2105" s="133"/>
      <c r="AB2105" s="133"/>
      <c r="AC2105" s="133"/>
      <c r="AD2105" s="133"/>
      <c r="AE2105" s="133"/>
      <c r="AF2105" s="133"/>
      <c r="AG2105" s="133"/>
      <c r="AH2105" s="133"/>
      <c r="AI2105" s="133"/>
      <c r="AJ2105" s="133"/>
      <c r="AK2105" s="133"/>
      <c r="AL2105" s="133"/>
      <c r="AM2105" s="133"/>
      <c r="AN2105" s="133"/>
      <c r="AO2105" s="133"/>
      <c r="AP2105" s="133"/>
      <c r="AQ2105" s="133"/>
      <c r="AR2105" s="133"/>
      <c r="AS2105" s="153">
        <v>0</v>
      </c>
      <c r="AT2105" s="153">
        <v>0</v>
      </c>
      <c r="AU2105" s="153">
        <v>0</v>
      </c>
      <c r="AV2105" s="135"/>
      <c r="AW2105" s="135"/>
      <c r="AX2105" s="135"/>
      <c r="AY2105" s="135"/>
      <c r="AZ2105" s="135"/>
      <c r="BA2105" s="135"/>
      <c r="BB2105" s="135"/>
      <c r="BC2105" s="135"/>
      <c r="BD2105" s="135"/>
      <c r="BE2105" s="135"/>
      <c r="BF2105" s="135"/>
      <c r="BG2105" s="135"/>
      <c r="BH2105" s="135"/>
      <c r="BI2105" s="2"/>
      <c r="BJ2105" s="136"/>
      <c r="BK2105" s="2"/>
      <c r="BL2105" s="136"/>
      <c r="BM2105" s="136"/>
      <c r="BN2105" s="2"/>
      <c r="BO2105" s="2"/>
      <c r="BP2105" s="136"/>
      <c r="BQ2105" s="137"/>
    </row>
    <row r="2106" spans="1:69" ht="12.75" customHeight="1" x14ac:dyDescent="0.2">
      <c r="A2106" s="2">
        <v>3595</v>
      </c>
      <c r="B2106" s="2"/>
      <c r="C2106" s="2"/>
      <c r="D2106" s="2"/>
      <c r="E2106" s="2"/>
      <c r="F2106" s="132">
        <v>0</v>
      </c>
      <c r="G2106" s="132"/>
      <c r="H2106" s="132">
        <f t="shared" si="241"/>
        <v>0</v>
      </c>
      <c r="I2106" s="132"/>
      <c r="J2106" s="132">
        <f t="shared" si="239"/>
        <v>0</v>
      </c>
      <c r="K2106" s="132">
        <f t="shared" si="242"/>
        <v>0</v>
      </c>
      <c r="L2106" s="132">
        <f t="shared" si="236"/>
        <v>0</v>
      </c>
      <c r="M2106" s="133"/>
      <c r="N2106" s="133">
        <f t="shared" si="240"/>
        <v>0</v>
      </c>
      <c r="O2106" s="134"/>
      <c r="P2106" s="133"/>
      <c r="Q2106" s="2"/>
      <c r="R2106" s="156">
        <f t="shared" si="237"/>
        <v>0</v>
      </c>
      <c r="S2106" s="156">
        <f t="shared" si="238"/>
        <v>0</v>
      </c>
      <c r="T2106" s="133"/>
      <c r="U2106" s="133"/>
      <c r="V2106" s="133"/>
      <c r="W2106" s="133"/>
      <c r="X2106" s="133"/>
      <c r="Y2106" s="133"/>
      <c r="Z2106" s="133"/>
      <c r="AA2106" s="133"/>
      <c r="AB2106" s="133"/>
      <c r="AC2106" s="133"/>
      <c r="AD2106" s="133"/>
      <c r="AE2106" s="133"/>
      <c r="AF2106" s="133"/>
      <c r="AG2106" s="133"/>
      <c r="AH2106" s="133"/>
      <c r="AI2106" s="133"/>
      <c r="AJ2106" s="133"/>
      <c r="AK2106" s="133"/>
      <c r="AL2106" s="133"/>
      <c r="AM2106" s="133"/>
      <c r="AN2106" s="133"/>
      <c r="AO2106" s="133"/>
      <c r="AP2106" s="133"/>
      <c r="AQ2106" s="133"/>
      <c r="AR2106" s="133"/>
      <c r="AS2106" s="153">
        <v>0</v>
      </c>
      <c r="AT2106" s="153">
        <v>0</v>
      </c>
      <c r="AU2106" s="153">
        <v>0</v>
      </c>
      <c r="AV2106" s="135"/>
      <c r="AW2106" s="135"/>
      <c r="AX2106" s="135"/>
      <c r="AY2106" s="135"/>
      <c r="AZ2106" s="135"/>
      <c r="BA2106" s="135"/>
      <c r="BB2106" s="135"/>
      <c r="BC2106" s="135"/>
      <c r="BD2106" s="135"/>
      <c r="BE2106" s="135"/>
      <c r="BF2106" s="135"/>
      <c r="BG2106" s="135"/>
      <c r="BH2106" s="135"/>
      <c r="BI2106" s="2"/>
      <c r="BJ2106" s="136"/>
      <c r="BK2106" s="2"/>
      <c r="BL2106" s="136"/>
      <c r="BM2106" s="136"/>
      <c r="BN2106" s="2"/>
      <c r="BO2106" s="2"/>
      <c r="BP2106" s="136"/>
      <c r="BQ2106" s="137"/>
    </row>
    <row r="2107" spans="1:69" ht="12.75" customHeight="1" x14ac:dyDescent="0.2">
      <c r="A2107" s="2">
        <v>3596</v>
      </c>
      <c r="B2107" s="2"/>
      <c r="C2107" s="2"/>
      <c r="D2107" s="2"/>
      <c r="E2107" s="2"/>
      <c r="F2107" s="132">
        <v>0</v>
      </c>
      <c r="G2107" s="132"/>
      <c r="H2107" s="132">
        <f t="shared" si="241"/>
        <v>0</v>
      </c>
      <c r="I2107" s="132"/>
      <c r="J2107" s="132">
        <f t="shared" si="239"/>
        <v>0</v>
      </c>
      <c r="K2107" s="132">
        <f t="shared" si="242"/>
        <v>0</v>
      </c>
      <c r="L2107" s="132">
        <f t="shared" si="236"/>
        <v>0</v>
      </c>
      <c r="M2107" s="133"/>
      <c r="N2107" s="133">
        <f t="shared" si="240"/>
        <v>0</v>
      </c>
      <c r="O2107" s="134"/>
      <c r="P2107" s="133"/>
      <c r="Q2107" s="2"/>
      <c r="R2107" s="156">
        <f t="shared" si="237"/>
        <v>0</v>
      </c>
      <c r="S2107" s="156">
        <f t="shared" si="238"/>
        <v>0</v>
      </c>
      <c r="T2107" s="133"/>
      <c r="U2107" s="133"/>
      <c r="V2107" s="133"/>
      <c r="W2107" s="133"/>
      <c r="X2107" s="133"/>
      <c r="Y2107" s="133"/>
      <c r="Z2107" s="133"/>
      <c r="AA2107" s="133"/>
      <c r="AB2107" s="133"/>
      <c r="AC2107" s="133"/>
      <c r="AD2107" s="133"/>
      <c r="AE2107" s="133"/>
      <c r="AF2107" s="133"/>
      <c r="AG2107" s="133"/>
      <c r="AH2107" s="133"/>
      <c r="AI2107" s="133"/>
      <c r="AJ2107" s="133"/>
      <c r="AK2107" s="133"/>
      <c r="AL2107" s="133"/>
      <c r="AM2107" s="133"/>
      <c r="AN2107" s="133"/>
      <c r="AO2107" s="133"/>
      <c r="AP2107" s="133"/>
      <c r="AQ2107" s="133"/>
      <c r="AR2107" s="133"/>
      <c r="AS2107" s="153">
        <v>0</v>
      </c>
      <c r="AT2107" s="153">
        <v>0</v>
      </c>
      <c r="AU2107" s="153">
        <v>0</v>
      </c>
      <c r="AV2107" s="135"/>
      <c r="AW2107" s="135"/>
      <c r="AX2107" s="135"/>
      <c r="AY2107" s="135"/>
      <c r="AZ2107" s="135"/>
      <c r="BA2107" s="135"/>
      <c r="BB2107" s="135"/>
      <c r="BC2107" s="135"/>
      <c r="BD2107" s="135"/>
      <c r="BE2107" s="135"/>
      <c r="BF2107" s="135"/>
      <c r="BG2107" s="135"/>
      <c r="BH2107" s="135"/>
      <c r="BI2107" s="2"/>
      <c r="BJ2107" s="136"/>
      <c r="BK2107" s="2"/>
      <c r="BL2107" s="136"/>
      <c r="BM2107" s="136"/>
      <c r="BN2107" s="2"/>
      <c r="BO2107" s="2"/>
      <c r="BP2107" s="136"/>
      <c r="BQ2107" s="137"/>
    </row>
    <row r="2108" spans="1:69" ht="12.75" customHeight="1" x14ac:dyDescent="0.2">
      <c r="A2108" s="2">
        <v>3597</v>
      </c>
      <c r="B2108" s="2"/>
      <c r="C2108" s="2"/>
      <c r="D2108" s="2"/>
      <c r="E2108" s="2"/>
      <c r="F2108" s="132">
        <v>0</v>
      </c>
      <c r="G2108" s="132"/>
      <c r="H2108" s="132">
        <f t="shared" si="241"/>
        <v>0</v>
      </c>
      <c r="I2108" s="132"/>
      <c r="J2108" s="132">
        <f t="shared" si="239"/>
        <v>0</v>
      </c>
      <c r="K2108" s="132">
        <f t="shared" si="242"/>
        <v>0</v>
      </c>
      <c r="L2108" s="132">
        <f t="shared" si="236"/>
        <v>0</v>
      </c>
      <c r="M2108" s="133"/>
      <c r="N2108" s="133">
        <f t="shared" si="240"/>
        <v>0</v>
      </c>
      <c r="O2108" s="134"/>
      <c r="P2108" s="133"/>
      <c r="Q2108" s="2"/>
      <c r="R2108" s="156">
        <f t="shared" si="237"/>
        <v>0</v>
      </c>
      <c r="S2108" s="156">
        <f t="shared" si="238"/>
        <v>0</v>
      </c>
      <c r="T2108" s="133"/>
      <c r="U2108" s="133"/>
      <c r="V2108" s="133"/>
      <c r="W2108" s="133"/>
      <c r="X2108" s="133"/>
      <c r="Y2108" s="133"/>
      <c r="Z2108" s="133"/>
      <c r="AA2108" s="133"/>
      <c r="AB2108" s="133"/>
      <c r="AC2108" s="133"/>
      <c r="AD2108" s="133"/>
      <c r="AE2108" s="133"/>
      <c r="AF2108" s="133"/>
      <c r="AG2108" s="133"/>
      <c r="AH2108" s="133"/>
      <c r="AI2108" s="133"/>
      <c r="AJ2108" s="133"/>
      <c r="AK2108" s="133"/>
      <c r="AL2108" s="133"/>
      <c r="AM2108" s="133"/>
      <c r="AN2108" s="133"/>
      <c r="AO2108" s="133"/>
      <c r="AP2108" s="133"/>
      <c r="AQ2108" s="133"/>
      <c r="AR2108" s="133"/>
      <c r="AS2108" s="153">
        <v>0</v>
      </c>
      <c r="AT2108" s="153">
        <v>0</v>
      </c>
      <c r="AU2108" s="153">
        <v>0</v>
      </c>
      <c r="AV2108" s="135"/>
      <c r="AW2108" s="135"/>
      <c r="AX2108" s="135"/>
      <c r="AY2108" s="135"/>
      <c r="AZ2108" s="135"/>
      <c r="BA2108" s="135"/>
      <c r="BB2108" s="135"/>
      <c r="BC2108" s="135"/>
      <c r="BD2108" s="135"/>
      <c r="BE2108" s="135"/>
      <c r="BF2108" s="135"/>
      <c r="BG2108" s="135"/>
      <c r="BH2108" s="135"/>
      <c r="BI2108" s="2"/>
      <c r="BJ2108" s="136"/>
      <c r="BK2108" s="2"/>
      <c r="BL2108" s="136"/>
      <c r="BM2108" s="136"/>
      <c r="BN2108" s="2"/>
      <c r="BO2108" s="2"/>
      <c r="BP2108" s="136"/>
      <c r="BQ2108" s="137"/>
    </row>
    <row r="2109" spans="1:69" ht="12.75" customHeight="1" x14ac:dyDescent="0.2">
      <c r="A2109" s="2">
        <v>3598</v>
      </c>
      <c r="B2109" s="2"/>
      <c r="C2109" s="2"/>
      <c r="D2109" s="2"/>
      <c r="E2109" s="2"/>
      <c r="F2109" s="132">
        <v>0</v>
      </c>
      <c r="G2109" s="132"/>
      <c r="H2109" s="132">
        <f t="shared" si="241"/>
        <v>0</v>
      </c>
      <c r="I2109" s="132"/>
      <c r="J2109" s="132">
        <f t="shared" si="239"/>
        <v>0</v>
      </c>
      <c r="K2109" s="132">
        <f t="shared" si="242"/>
        <v>0</v>
      </c>
      <c r="L2109" s="132">
        <f t="shared" si="236"/>
        <v>0</v>
      </c>
      <c r="M2109" s="133"/>
      <c r="N2109" s="133">
        <f t="shared" si="240"/>
        <v>0</v>
      </c>
      <c r="O2109" s="134"/>
      <c r="P2109" s="133"/>
      <c r="Q2109" s="2"/>
      <c r="R2109" s="156">
        <f t="shared" si="237"/>
        <v>0</v>
      </c>
      <c r="S2109" s="156">
        <f t="shared" si="238"/>
        <v>0</v>
      </c>
      <c r="T2109" s="133"/>
      <c r="U2109" s="133"/>
      <c r="V2109" s="133"/>
      <c r="W2109" s="133"/>
      <c r="X2109" s="133"/>
      <c r="Y2109" s="133"/>
      <c r="Z2109" s="133"/>
      <c r="AA2109" s="133"/>
      <c r="AB2109" s="133"/>
      <c r="AC2109" s="133"/>
      <c r="AD2109" s="133"/>
      <c r="AE2109" s="133"/>
      <c r="AF2109" s="133"/>
      <c r="AG2109" s="133"/>
      <c r="AH2109" s="133"/>
      <c r="AI2109" s="133"/>
      <c r="AJ2109" s="133"/>
      <c r="AK2109" s="133"/>
      <c r="AL2109" s="133"/>
      <c r="AM2109" s="133"/>
      <c r="AN2109" s="133"/>
      <c r="AO2109" s="133"/>
      <c r="AP2109" s="133"/>
      <c r="AQ2109" s="133"/>
      <c r="AR2109" s="133"/>
      <c r="AS2109" s="153">
        <v>0</v>
      </c>
      <c r="AT2109" s="153">
        <v>0</v>
      </c>
      <c r="AU2109" s="153">
        <v>0</v>
      </c>
      <c r="AV2109" s="135"/>
      <c r="AW2109" s="135"/>
      <c r="AX2109" s="135"/>
      <c r="AY2109" s="135"/>
      <c r="AZ2109" s="135"/>
      <c r="BA2109" s="135"/>
      <c r="BB2109" s="135"/>
      <c r="BC2109" s="135"/>
      <c r="BD2109" s="135"/>
      <c r="BE2109" s="135"/>
      <c r="BF2109" s="135"/>
      <c r="BG2109" s="135"/>
      <c r="BH2109" s="135"/>
      <c r="BI2109" s="2"/>
      <c r="BJ2109" s="136"/>
      <c r="BK2109" s="2"/>
      <c r="BL2109" s="136"/>
      <c r="BM2109" s="136"/>
      <c r="BN2109" s="2"/>
      <c r="BO2109" s="2"/>
      <c r="BP2109" s="136"/>
      <c r="BQ2109" s="137"/>
    </row>
    <row r="2110" spans="1:69" ht="12.75" customHeight="1" x14ac:dyDescent="0.2">
      <c r="A2110" s="2">
        <v>3599</v>
      </c>
      <c r="B2110" s="2"/>
      <c r="C2110" s="2"/>
      <c r="D2110" s="2"/>
      <c r="E2110" s="2"/>
      <c r="F2110" s="132">
        <v>0</v>
      </c>
      <c r="G2110" s="132"/>
      <c r="H2110" s="132">
        <f t="shared" si="241"/>
        <v>0</v>
      </c>
      <c r="I2110" s="132"/>
      <c r="J2110" s="132">
        <f t="shared" si="239"/>
        <v>0</v>
      </c>
      <c r="K2110" s="132">
        <f t="shared" si="242"/>
        <v>0</v>
      </c>
      <c r="L2110" s="132">
        <f t="shared" si="236"/>
        <v>0</v>
      </c>
      <c r="M2110" s="133"/>
      <c r="N2110" s="133">
        <f t="shared" si="240"/>
        <v>0</v>
      </c>
      <c r="O2110" s="134"/>
      <c r="P2110" s="133"/>
      <c r="Q2110" s="2"/>
      <c r="R2110" s="156">
        <f t="shared" si="237"/>
        <v>0</v>
      </c>
      <c r="S2110" s="156">
        <f t="shared" si="238"/>
        <v>0</v>
      </c>
      <c r="T2110" s="133"/>
      <c r="U2110" s="133"/>
      <c r="V2110" s="133"/>
      <c r="W2110" s="133"/>
      <c r="X2110" s="133"/>
      <c r="Y2110" s="133"/>
      <c r="Z2110" s="133"/>
      <c r="AA2110" s="133"/>
      <c r="AB2110" s="133"/>
      <c r="AC2110" s="133"/>
      <c r="AD2110" s="133"/>
      <c r="AE2110" s="133"/>
      <c r="AF2110" s="133"/>
      <c r="AG2110" s="133"/>
      <c r="AH2110" s="133"/>
      <c r="AI2110" s="133"/>
      <c r="AJ2110" s="133"/>
      <c r="AK2110" s="133"/>
      <c r="AL2110" s="133"/>
      <c r="AM2110" s="133"/>
      <c r="AN2110" s="133"/>
      <c r="AO2110" s="133"/>
      <c r="AP2110" s="133"/>
      <c r="AQ2110" s="133"/>
      <c r="AR2110" s="133"/>
      <c r="AS2110" s="153">
        <v>0</v>
      </c>
      <c r="AT2110" s="153">
        <v>0</v>
      </c>
      <c r="AU2110" s="153">
        <v>0</v>
      </c>
      <c r="AV2110" s="135"/>
      <c r="AW2110" s="135"/>
      <c r="AX2110" s="135"/>
      <c r="AY2110" s="135"/>
      <c r="AZ2110" s="135"/>
      <c r="BA2110" s="135"/>
      <c r="BB2110" s="135"/>
      <c r="BC2110" s="135"/>
      <c r="BD2110" s="135"/>
      <c r="BE2110" s="135"/>
      <c r="BF2110" s="135"/>
      <c r="BG2110" s="135"/>
      <c r="BH2110" s="135"/>
      <c r="BI2110" s="2"/>
      <c r="BJ2110" s="136"/>
      <c r="BK2110" s="2"/>
      <c r="BL2110" s="136"/>
      <c r="BM2110" s="136"/>
      <c r="BN2110" s="2"/>
      <c r="BO2110" s="2"/>
      <c r="BP2110" s="136"/>
      <c r="BQ2110" s="137"/>
    </row>
    <row r="2111" spans="1:69" ht="12.75" customHeight="1" x14ac:dyDescent="0.2">
      <c r="A2111" s="2">
        <v>3600</v>
      </c>
      <c r="B2111" s="2"/>
      <c r="C2111" s="2"/>
      <c r="D2111" s="2"/>
      <c r="E2111" s="2"/>
      <c r="F2111" s="132">
        <v>0</v>
      </c>
      <c r="G2111" s="132"/>
      <c r="H2111" s="132">
        <f t="shared" si="241"/>
        <v>0</v>
      </c>
      <c r="I2111" s="132"/>
      <c r="J2111" s="132">
        <f t="shared" si="239"/>
        <v>0</v>
      </c>
      <c r="K2111" s="132">
        <f t="shared" si="242"/>
        <v>0</v>
      </c>
      <c r="L2111" s="132">
        <f t="shared" si="236"/>
        <v>0</v>
      </c>
      <c r="M2111" s="133"/>
      <c r="N2111" s="133">
        <f t="shared" si="240"/>
        <v>0</v>
      </c>
      <c r="O2111" s="134"/>
      <c r="P2111" s="133"/>
      <c r="Q2111" s="2"/>
      <c r="R2111" s="156">
        <f t="shared" si="237"/>
        <v>0</v>
      </c>
      <c r="S2111" s="156">
        <f t="shared" si="238"/>
        <v>0</v>
      </c>
      <c r="T2111" s="133"/>
      <c r="U2111" s="133"/>
      <c r="V2111" s="133"/>
      <c r="W2111" s="133"/>
      <c r="X2111" s="133"/>
      <c r="Y2111" s="133"/>
      <c r="Z2111" s="133"/>
      <c r="AA2111" s="133"/>
      <c r="AB2111" s="133"/>
      <c r="AC2111" s="133"/>
      <c r="AD2111" s="133"/>
      <c r="AE2111" s="133"/>
      <c r="AF2111" s="133"/>
      <c r="AG2111" s="133"/>
      <c r="AH2111" s="133"/>
      <c r="AI2111" s="133"/>
      <c r="AJ2111" s="133"/>
      <c r="AK2111" s="133"/>
      <c r="AL2111" s="133"/>
      <c r="AM2111" s="133"/>
      <c r="AN2111" s="133"/>
      <c r="AO2111" s="133"/>
      <c r="AP2111" s="133"/>
      <c r="AQ2111" s="133"/>
      <c r="AR2111" s="133"/>
      <c r="AS2111" s="153">
        <v>0</v>
      </c>
      <c r="AT2111" s="153">
        <v>0</v>
      </c>
      <c r="AU2111" s="153">
        <v>0</v>
      </c>
      <c r="AV2111" s="135"/>
      <c r="AW2111" s="135"/>
      <c r="AX2111" s="135"/>
      <c r="AY2111" s="135"/>
      <c r="AZ2111" s="135"/>
      <c r="BA2111" s="135"/>
      <c r="BB2111" s="135"/>
      <c r="BC2111" s="135"/>
      <c r="BD2111" s="135"/>
      <c r="BE2111" s="135"/>
      <c r="BF2111" s="135"/>
      <c r="BG2111" s="135"/>
      <c r="BH2111" s="135"/>
      <c r="BI2111" s="2"/>
      <c r="BJ2111" s="136"/>
      <c r="BK2111" s="2"/>
      <c r="BL2111" s="136"/>
      <c r="BM2111" s="136"/>
      <c r="BN2111" s="2"/>
      <c r="BO2111" s="2"/>
      <c r="BP2111" s="136"/>
      <c r="BQ2111" s="137"/>
    </row>
    <row r="2112" spans="1:69" ht="12.75" customHeight="1" x14ac:dyDescent="0.2">
      <c r="A2112" s="2">
        <v>3601</v>
      </c>
      <c r="B2112" s="2"/>
      <c r="C2112" s="2"/>
      <c r="D2112" s="2"/>
      <c r="E2112" s="2"/>
      <c r="F2112" s="132">
        <v>0</v>
      </c>
      <c r="G2112" s="132"/>
      <c r="H2112" s="132">
        <f t="shared" si="241"/>
        <v>0</v>
      </c>
      <c r="I2112" s="132"/>
      <c r="J2112" s="132">
        <f t="shared" si="239"/>
        <v>0</v>
      </c>
      <c r="K2112" s="132">
        <f t="shared" si="242"/>
        <v>0</v>
      </c>
      <c r="L2112" s="132">
        <f t="shared" si="236"/>
        <v>0</v>
      </c>
      <c r="M2112" s="133"/>
      <c r="N2112" s="133">
        <f t="shared" si="240"/>
        <v>0</v>
      </c>
      <c r="O2112" s="134"/>
      <c r="P2112" s="133"/>
      <c r="Q2112" s="2"/>
      <c r="R2112" s="156">
        <f t="shared" si="237"/>
        <v>0</v>
      </c>
      <c r="S2112" s="156">
        <f t="shared" si="238"/>
        <v>0</v>
      </c>
      <c r="T2112" s="133"/>
      <c r="U2112" s="133"/>
      <c r="V2112" s="133"/>
      <c r="W2112" s="133"/>
      <c r="X2112" s="133"/>
      <c r="Y2112" s="133"/>
      <c r="Z2112" s="133"/>
      <c r="AA2112" s="133"/>
      <c r="AB2112" s="133"/>
      <c r="AC2112" s="133"/>
      <c r="AD2112" s="133"/>
      <c r="AE2112" s="133"/>
      <c r="AF2112" s="133"/>
      <c r="AG2112" s="133"/>
      <c r="AH2112" s="133"/>
      <c r="AI2112" s="133"/>
      <c r="AJ2112" s="133"/>
      <c r="AK2112" s="133"/>
      <c r="AL2112" s="133"/>
      <c r="AM2112" s="133"/>
      <c r="AN2112" s="133"/>
      <c r="AO2112" s="133"/>
      <c r="AP2112" s="133"/>
      <c r="AQ2112" s="133"/>
      <c r="AR2112" s="133"/>
      <c r="AS2112" s="153">
        <v>0</v>
      </c>
      <c r="AT2112" s="153">
        <v>0</v>
      </c>
      <c r="AU2112" s="153">
        <v>0</v>
      </c>
      <c r="AV2112" s="135"/>
      <c r="AW2112" s="135"/>
      <c r="AX2112" s="135"/>
      <c r="AY2112" s="135"/>
      <c r="AZ2112" s="135"/>
      <c r="BA2112" s="135"/>
      <c r="BB2112" s="135"/>
      <c r="BC2112" s="135"/>
      <c r="BD2112" s="135"/>
      <c r="BE2112" s="135"/>
      <c r="BF2112" s="135"/>
      <c r="BG2112" s="135"/>
      <c r="BH2112" s="135"/>
      <c r="BI2112" s="2"/>
      <c r="BJ2112" s="136"/>
      <c r="BK2112" s="2"/>
      <c r="BL2112" s="136"/>
      <c r="BM2112" s="136"/>
      <c r="BN2112" s="2"/>
      <c r="BO2112" s="2"/>
      <c r="BP2112" s="136"/>
      <c r="BQ2112" s="137"/>
    </row>
    <row r="2113" spans="1:69" ht="12.75" customHeight="1" x14ac:dyDescent="0.2">
      <c r="A2113" s="2">
        <v>3602</v>
      </c>
      <c r="B2113" s="2"/>
      <c r="C2113" s="2"/>
      <c r="D2113" s="2"/>
      <c r="E2113" s="2"/>
      <c r="F2113" s="132">
        <v>0</v>
      </c>
      <c r="G2113" s="132"/>
      <c r="H2113" s="132">
        <f t="shared" si="241"/>
        <v>0</v>
      </c>
      <c r="I2113" s="132"/>
      <c r="J2113" s="132">
        <f t="shared" si="239"/>
        <v>0</v>
      </c>
      <c r="K2113" s="132">
        <f t="shared" si="242"/>
        <v>0</v>
      </c>
      <c r="L2113" s="132">
        <f t="shared" si="236"/>
        <v>0</v>
      </c>
      <c r="M2113" s="133"/>
      <c r="N2113" s="133">
        <f t="shared" si="240"/>
        <v>0</v>
      </c>
      <c r="O2113" s="134"/>
      <c r="P2113" s="133"/>
      <c r="Q2113" s="2"/>
      <c r="R2113" s="156">
        <f t="shared" si="237"/>
        <v>0</v>
      </c>
      <c r="S2113" s="156">
        <f t="shared" si="238"/>
        <v>0</v>
      </c>
      <c r="T2113" s="133"/>
      <c r="U2113" s="133"/>
      <c r="V2113" s="133"/>
      <c r="W2113" s="133"/>
      <c r="X2113" s="133"/>
      <c r="Y2113" s="133"/>
      <c r="Z2113" s="133"/>
      <c r="AA2113" s="133"/>
      <c r="AB2113" s="133"/>
      <c r="AC2113" s="133"/>
      <c r="AD2113" s="133"/>
      <c r="AE2113" s="133"/>
      <c r="AF2113" s="133"/>
      <c r="AG2113" s="133"/>
      <c r="AH2113" s="133"/>
      <c r="AI2113" s="133"/>
      <c r="AJ2113" s="133"/>
      <c r="AK2113" s="133"/>
      <c r="AL2113" s="133"/>
      <c r="AM2113" s="133"/>
      <c r="AN2113" s="133"/>
      <c r="AO2113" s="133"/>
      <c r="AP2113" s="133"/>
      <c r="AQ2113" s="133"/>
      <c r="AR2113" s="133"/>
      <c r="AS2113" s="153">
        <v>0</v>
      </c>
      <c r="AT2113" s="153">
        <v>0</v>
      </c>
      <c r="AU2113" s="153">
        <v>0</v>
      </c>
      <c r="AV2113" s="135"/>
      <c r="AW2113" s="135"/>
      <c r="AX2113" s="135"/>
      <c r="AY2113" s="135"/>
      <c r="AZ2113" s="135"/>
      <c r="BA2113" s="135"/>
      <c r="BB2113" s="135"/>
      <c r="BC2113" s="135"/>
      <c r="BD2113" s="135"/>
      <c r="BE2113" s="135"/>
      <c r="BF2113" s="135"/>
      <c r="BG2113" s="135"/>
      <c r="BH2113" s="135"/>
      <c r="BI2113" s="2"/>
      <c r="BJ2113" s="136"/>
      <c r="BK2113" s="2"/>
      <c r="BL2113" s="136"/>
      <c r="BM2113" s="136"/>
      <c r="BN2113" s="2"/>
      <c r="BO2113" s="2"/>
      <c r="BP2113" s="136"/>
      <c r="BQ2113" s="137"/>
    </row>
    <row r="2114" spans="1:69" ht="12.75" customHeight="1" x14ac:dyDescent="0.2">
      <c r="A2114" s="2">
        <v>3603</v>
      </c>
      <c r="B2114" s="2"/>
      <c r="C2114" s="2"/>
      <c r="D2114" s="2"/>
      <c r="E2114" s="2"/>
      <c r="F2114" s="132">
        <v>0</v>
      </c>
      <c r="G2114" s="132"/>
      <c r="H2114" s="132">
        <f t="shared" si="241"/>
        <v>0</v>
      </c>
      <c r="I2114" s="132"/>
      <c r="J2114" s="132">
        <f t="shared" si="239"/>
        <v>0</v>
      </c>
      <c r="K2114" s="132">
        <f t="shared" si="242"/>
        <v>0</v>
      </c>
      <c r="L2114" s="132">
        <f t="shared" si="236"/>
        <v>0</v>
      </c>
      <c r="M2114" s="133"/>
      <c r="N2114" s="133">
        <f t="shared" si="240"/>
        <v>0</v>
      </c>
      <c r="O2114" s="134"/>
      <c r="P2114" s="133"/>
      <c r="Q2114" s="2"/>
      <c r="R2114" s="156">
        <f t="shared" si="237"/>
        <v>0</v>
      </c>
      <c r="S2114" s="156">
        <f t="shared" si="238"/>
        <v>0</v>
      </c>
      <c r="T2114" s="133"/>
      <c r="U2114" s="133"/>
      <c r="V2114" s="133"/>
      <c r="W2114" s="133"/>
      <c r="X2114" s="133"/>
      <c r="Y2114" s="133"/>
      <c r="Z2114" s="133"/>
      <c r="AA2114" s="133"/>
      <c r="AB2114" s="133"/>
      <c r="AC2114" s="133"/>
      <c r="AD2114" s="133"/>
      <c r="AE2114" s="133"/>
      <c r="AF2114" s="133"/>
      <c r="AG2114" s="133"/>
      <c r="AH2114" s="133"/>
      <c r="AI2114" s="133"/>
      <c r="AJ2114" s="133"/>
      <c r="AK2114" s="133"/>
      <c r="AL2114" s="133"/>
      <c r="AM2114" s="133"/>
      <c r="AN2114" s="133"/>
      <c r="AO2114" s="133"/>
      <c r="AP2114" s="133"/>
      <c r="AQ2114" s="133"/>
      <c r="AR2114" s="133"/>
      <c r="AS2114" s="153">
        <v>0</v>
      </c>
      <c r="AT2114" s="153">
        <v>0</v>
      </c>
      <c r="AU2114" s="153">
        <v>0</v>
      </c>
      <c r="AV2114" s="135"/>
      <c r="AW2114" s="135"/>
      <c r="AX2114" s="135"/>
      <c r="AY2114" s="135"/>
      <c r="AZ2114" s="135"/>
      <c r="BA2114" s="135"/>
      <c r="BB2114" s="135"/>
      <c r="BC2114" s="135"/>
      <c r="BD2114" s="135"/>
      <c r="BE2114" s="135"/>
      <c r="BF2114" s="135"/>
      <c r="BG2114" s="135"/>
      <c r="BH2114" s="135"/>
      <c r="BI2114" s="2"/>
      <c r="BJ2114" s="136"/>
      <c r="BK2114" s="2"/>
      <c r="BL2114" s="136"/>
      <c r="BM2114" s="136"/>
      <c r="BN2114" s="2"/>
      <c r="BO2114" s="2"/>
      <c r="BP2114" s="136"/>
      <c r="BQ2114" s="137"/>
    </row>
    <row r="2115" spans="1:69" ht="12.75" customHeight="1" x14ac:dyDescent="0.2">
      <c r="A2115" s="2">
        <v>3604</v>
      </c>
      <c r="B2115" s="2"/>
      <c r="C2115" s="2"/>
      <c r="D2115" s="2"/>
      <c r="E2115" s="2"/>
      <c r="F2115" s="132">
        <v>0</v>
      </c>
      <c r="G2115" s="132"/>
      <c r="H2115" s="132">
        <f t="shared" si="241"/>
        <v>0</v>
      </c>
      <c r="I2115" s="132"/>
      <c r="J2115" s="132">
        <f t="shared" si="239"/>
        <v>0</v>
      </c>
      <c r="K2115" s="132">
        <f t="shared" si="242"/>
        <v>0</v>
      </c>
      <c r="L2115" s="132">
        <f t="shared" si="236"/>
        <v>0</v>
      </c>
      <c r="M2115" s="133"/>
      <c r="N2115" s="133">
        <f t="shared" si="240"/>
        <v>0</v>
      </c>
      <c r="O2115" s="134"/>
      <c r="P2115" s="133"/>
      <c r="Q2115" s="2"/>
      <c r="R2115" s="156">
        <f t="shared" si="237"/>
        <v>0</v>
      </c>
      <c r="S2115" s="156">
        <f t="shared" si="238"/>
        <v>0</v>
      </c>
      <c r="T2115" s="133"/>
      <c r="U2115" s="133"/>
      <c r="V2115" s="133"/>
      <c r="W2115" s="133"/>
      <c r="X2115" s="133"/>
      <c r="Y2115" s="133"/>
      <c r="Z2115" s="133"/>
      <c r="AA2115" s="133"/>
      <c r="AB2115" s="133"/>
      <c r="AC2115" s="133"/>
      <c r="AD2115" s="133"/>
      <c r="AE2115" s="133"/>
      <c r="AF2115" s="133"/>
      <c r="AG2115" s="133"/>
      <c r="AH2115" s="133"/>
      <c r="AI2115" s="133"/>
      <c r="AJ2115" s="133"/>
      <c r="AK2115" s="133"/>
      <c r="AL2115" s="133"/>
      <c r="AM2115" s="133"/>
      <c r="AN2115" s="133"/>
      <c r="AO2115" s="133"/>
      <c r="AP2115" s="133"/>
      <c r="AQ2115" s="133"/>
      <c r="AR2115" s="133"/>
      <c r="AS2115" s="153">
        <v>0</v>
      </c>
      <c r="AT2115" s="153">
        <v>0</v>
      </c>
      <c r="AU2115" s="153">
        <v>0</v>
      </c>
      <c r="AV2115" s="135"/>
      <c r="AW2115" s="135"/>
      <c r="AX2115" s="135"/>
      <c r="AY2115" s="135"/>
      <c r="AZ2115" s="135"/>
      <c r="BA2115" s="135"/>
      <c r="BB2115" s="135"/>
      <c r="BC2115" s="135"/>
      <c r="BD2115" s="135"/>
      <c r="BE2115" s="135"/>
      <c r="BF2115" s="135"/>
      <c r="BG2115" s="135"/>
      <c r="BH2115" s="135"/>
      <c r="BI2115" s="2"/>
      <c r="BJ2115" s="136"/>
      <c r="BK2115" s="2"/>
      <c r="BL2115" s="136"/>
      <c r="BM2115" s="136"/>
      <c r="BN2115" s="2"/>
      <c r="BO2115" s="2"/>
      <c r="BP2115" s="136"/>
      <c r="BQ2115" s="137"/>
    </row>
    <row r="2116" spans="1:69" ht="12.75" customHeight="1" x14ac:dyDescent="0.2">
      <c r="A2116" s="2">
        <v>3605</v>
      </c>
      <c r="B2116" s="2"/>
      <c r="C2116" s="2"/>
      <c r="D2116" s="2"/>
      <c r="E2116" s="2"/>
      <c r="F2116" s="132">
        <v>0</v>
      </c>
      <c r="G2116" s="132"/>
      <c r="H2116" s="132">
        <f t="shared" si="241"/>
        <v>0</v>
      </c>
      <c r="I2116" s="132"/>
      <c r="J2116" s="132">
        <f t="shared" si="239"/>
        <v>0</v>
      </c>
      <c r="K2116" s="132">
        <f t="shared" si="242"/>
        <v>0</v>
      </c>
      <c r="L2116" s="132">
        <f t="shared" si="236"/>
        <v>0</v>
      </c>
      <c r="M2116" s="133"/>
      <c r="N2116" s="133">
        <f t="shared" si="240"/>
        <v>0</v>
      </c>
      <c r="O2116" s="134"/>
      <c r="P2116" s="133"/>
      <c r="Q2116" s="2"/>
      <c r="R2116" s="156">
        <f t="shared" si="237"/>
        <v>0</v>
      </c>
      <c r="S2116" s="156">
        <f t="shared" si="238"/>
        <v>0</v>
      </c>
      <c r="T2116" s="133"/>
      <c r="U2116" s="133"/>
      <c r="V2116" s="133"/>
      <c r="W2116" s="133"/>
      <c r="X2116" s="133"/>
      <c r="Y2116" s="133"/>
      <c r="Z2116" s="133"/>
      <c r="AA2116" s="133"/>
      <c r="AB2116" s="133"/>
      <c r="AC2116" s="133"/>
      <c r="AD2116" s="133"/>
      <c r="AE2116" s="133"/>
      <c r="AF2116" s="133"/>
      <c r="AG2116" s="133"/>
      <c r="AH2116" s="133"/>
      <c r="AI2116" s="133"/>
      <c r="AJ2116" s="133"/>
      <c r="AK2116" s="133"/>
      <c r="AL2116" s="133"/>
      <c r="AM2116" s="133"/>
      <c r="AN2116" s="133"/>
      <c r="AO2116" s="133"/>
      <c r="AP2116" s="133"/>
      <c r="AQ2116" s="133"/>
      <c r="AR2116" s="133"/>
      <c r="AS2116" s="153">
        <v>0</v>
      </c>
      <c r="AT2116" s="153">
        <v>0</v>
      </c>
      <c r="AU2116" s="153">
        <v>0</v>
      </c>
      <c r="AV2116" s="135"/>
      <c r="AW2116" s="135"/>
      <c r="AX2116" s="135"/>
      <c r="AY2116" s="135"/>
      <c r="AZ2116" s="135"/>
      <c r="BA2116" s="135"/>
      <c r="BB2116" s="135"/>
      <c r="BC2116" s="135"/>
      <c r="BD2116" s="135"/>
      <c r="BE2116" s="135"/>
      <c r="BF2116" s="135"/>
      <c r="BG2116" s="135"/>
      <c r="BH2116" s="135"/>
      <c r="BI2116" s="2"/>
      <c r="BJ2116" s="136"/>
      <c r="BK2116" s="2"/>
      <c r="BL2116" s="136"/>
      <c r="BM2116" s="136"/>
      <c r="BN2116" s="2"/>
      <c r="BO2116" s="2"/>
      <c r="BP2116" s="136"/>
      <c r="BQ2116" s="137"/>
    </row>
    <row r="2117" spans="1:69" ht="12.75" customHeight="1" x14ac:dyDescent="0.2">
      <c r="A2117" s="2">
        <v>3606</v>
      </c>
      <c r="B2117" s="2"/>
      <c r="C2117" s="2"/>
      <c r="D2117" s="2"/>
      <c r="E2117" s="2"/>
      <c r="F2117" s="132">
        <v>0</v>
      </c>
      <c r="G2117" s="132"/>
      <c r="H2117" s="132">
        <f t="shared" si="241"/>
        <v>0</v>
      </c>
      <c r="I2117" s="132"/>
      <c r="J2117" s="132">
        <f t="shared" si="239"/>
        <v>0</v>
      </c>
      <c r="K2117" s="132">
        <f t="shared" si="242"/>
        <v>0</v>
      </c>
      <c r="L2117" s="132">
        <f t="shared" si="236"/>
        <v>0</v>
      </c>
      <c r="M2117" s="133"/>
      <c r="N2117" s="133">
        <f t="shared" si="240"/>
        <v>0</v>
      </c>
      <c r="O2117" s="134"/>
      <c r="P2117" s="133"/>
      <c r="Q2117" s="2"/>
      <c r="R2117" s="156">
        <f t="shared" si="237"/>
        <v>0</v>
      </c>
      <c r="S2117" s="156">
        <f t="shared" si="238"/>
        <v>0</v>
      </c>
      <c r="T2117" s="133"/>
      <c r="U2117" s="133"/>
      <c r="V2117" s="133"/>
      <c r="W2117" s="133"/>
      <c r="X2117" s="133"/>
      <c r="Y2117" s="133"/>
      <c r="Z2117" s="133"/>
      <c r="AA2117" s="133"/>
      <c r="AB2117" s="133"/>
      <c r="AC2117" s="133"/>
      <c r="AD2117" s="133"/>
      <c r="AE2117" s="133"/>
      <c r="AF2117" s="133"/>
      <c r="AG2117" s="133"/>
      <c r="AH2117" s="133"/>
      <c r="AI2117" s="133"/>
      <c r="AJ2117" s="133"/>
      <c r="AK2117" s="133"/>
      <c r="AL2117" s="133"/>
      <c r="AM2117" s="133"/>
      <c r="AN2117" s="133"/>
      <c r="AO2117" s="133"/>
      <c r="AP2117" s="133"/>
      <c r="AQ2117" s="133"/>
      <c r="AR2117" s="133"/>
      <c r="AS2117" s="153">
        <v>0</v>
      </c>
      <c r="AT2117" s="153">
        <v>0</v>
      </c>
      <c r="AU2117" s="153">
        <v>0</v>
      </c>
      <c r="AV2117" s="135"/>
      <c r="AW2117" s="135"/>
      <c r="AX2117" s="135"/>
      <c r="AY2117" s="135"/>
      <c r="AZ2117" s="135"/>
      <c r="BA2117" s="135"/>
      <c r="BB2117" s="135"/>
      <c r="BC2117" s="135"/>
      <c r="BD2117" s="135"/>
      <c r="BE2117" s="135"/>
      <c r="BF2117" s="135"/>
      <c r="BG2117" s="135"/>
      <c r="BH2117" s="135"/>
      <c r="BI2117" s="2"/>
      <c r="BJ2117" s="136"/>
      <c r="BK2117" s="2"/>
      <c r="BL2117" s="136"/>
      <c r="BM2117" s="136"/>
      <c r="BN2117" s="2"/>
      <c r="BO2117" s="2"/>
      <c r="BP2117" s="136"/>
      <c r="BQ2117" s="137"/>
    </row>
    <row r="2118" spans="1:69" ht="12.75" customHeight="1" x14ac:dyDescent="0.2">
      <c r="A2118" s="2">
        <v>3607</v>
      </c>
      <c r="B2118" s="2"/>
      <c r="C2118" s="2"/>
      <c r="D2118" s="2"/>
      <c r="E2118" s="2"/>
      <c r="F2118" s="132">
        <v>0</v>
      </c>
      <c r="G2118" s="132"/>
      <c r="H2118" s="132">
        <f t="shared" si="241"/>
        <v>0</v>
      </c>
      <c r="I2118" s="132"/>
      <c r="J2118" s="132">
        <f t="shared" si="239"/>
        <v>0</v>
      </c>
      <c r="K2118" s="132">
        <f t="shared" si="242"/>
        <v>0</v>
      </c>
      <c r="L2118" s="132">
        <f t="shared" si="236"/>
        <v>0</v>
      </c>
      <c r="M2118" s="133"/>
      <c r="N2118" s="133">
        <f t="shared" si="240"/>
        <v>0</v>
      </c>
      <c r="O2118" s="134"/>
      <c r="P2118" s="133"/>
      <c r="Q2118" s="2"/>
      <c r="R2118" s="156">
        <f t="shared" si="237"/>
        <v>0</v>
      </c>
      <c r="S2118" s="156">
        <f t="shared" si="238"/>
        <v>0</v>
      </c>
      <c r="T2118" s="133"/>
      <c r="U2118" s="133"/>
      <c r="V2118" s="133"/>
      <c r="W2118" s="133"/>
      <c r="X2118" s="133"/>
      <c r="Y2118" s="133"/>
      <c r="Z2118" s="133"/>
      <c r="AA2118" s="133"/>
      <c r="AB2118" s="133"/>
      <c r="AC2118" s="133"/>
      <c r="AD2118" s="133"/>
      <c r="AE2118" s="133"/>
      <c r="AF2118" s="133"/>
      <c r="AG2118" s="133"/>
      <c r="AH2118" s="133"/>
      <c r="AI2118" s="133"/>
      <c r="AJ2118" s="133"/>
      <c r="AK2118" s="133"/>
      <c r="AL2118" s="133"/>
      <c r="AM2118" s="133"/>
      <c r="AN2118" s="133"/>
      <c r="AO2118" s="133"/>
      <c r="AP2118" s="133"/>
      <c r="AQ2118" s="133"/>
      <c r="AR2118" s="133"/>
      <c r="AS2118" s="153">
        <v>0</v>
      </c>
      <c r="AT2118" s="153">
        <v>0</v>
      </c>
      <c r="AU2118" s="153">
        <v>0</v>
      </c>
      <c r="AV2118" s="135"/>
      <c r="AW2118" s="135"/>
      <c r="AX2118" s="135"/>
      <c r="AY2118" s="135"/>
      <c r="AZ2118" s="135"/>
      <c r="BA2118" s="135"/>
      <c r="BB2118" s="135"/>
      <c r="BC2118" s="135"/>
      <c r="BD2118" s="135"/>
      <c r="BE2118" s="135"/>
      <c r="BF2118" s="135"/>
      <c r="BG2118" s="135"/>
      <c r="BH2118" s="135"/>
      <c r="BI2118" s="2"/>
      <c r="BJ2118" s="136"/>
      <c r="BK2118" s="2"/>
      <c r="BL2118" s="136"/>
      <c r="BM2118" s="136"/>
      <c r="BN2118" s="2"/>
      <c r="BO2118" s="2"/>
      <c r="BP2118" s="136"/>
      <c r="BQ2118" s="137"/>
    </row>
    <row r="2119" spans="1:69" ht="12.75" customHeight="1" x14ac:dyDescent="0.2">
      <c r="A2119" s="2">
        <v>3608</v>
      </c>
      <c r="B2119" s="2"/>
      <c r="C2119" s="2"/>
      <c r="D2119" s="2"/>
      <c r="E2119" s="2"/>
      <c r="F2119" s="132">
        <v>0</v>
      </c>
      <c r="G2119" s="132"/>
      <c r="H2119" s="132">
        <f t="shared" si="241"/>
        <v>0</v>
      </c>
      <c r="I2119" s="132"/>
      <c r="J2119" s="132">
        <f t="shared" si="239"/>
        <v>0</v>
      </c>
      <c r="K2119" s="132">
        <f t="shared" si="242"/>
        <v>0</v>
      </c>
      <c r="L2119" s="132">
        <f t="shared" si="236"/>
        <v>0</v>
      </c>
      <c r="M2119" s="133"/>
      <c r="N2119" s="133">
        <f t="shared" si="240"/>
        <v>0</v>
      </c>
      <c r="O2119" s="134"/>
      <c r="P2119" s="133"/>
      <c r="Q2119" s="2"/>
      <c r="R2119" s="156">
        <f t="shared" si="237"/>
        <v>0</v>
      </c>
      <c r="S2119" s="156">
        <f t="shared" si="238"/>
        <v>0</v>
      </c>
      <c r="T2119" s="133"/>
      <c r="U2119" s="133"/>
      <c r="V2119" s="133"/>
      <c r="W2119" s="133"/>
      <c r="X2119" s="133"/>
      <c r="Y2119" s="133"/>
      <c r="Z2119" s="133"/>
      <c r="AA2119" s="133"/>
      <c r="AB2119" s="133"/>
      <c r="AC2119" s="133"/>
      <c r="AD2119" s="133"/>
      <c r="AE2119" s="133"/>
      <c r="AF2119" s="133"/>
      <c r="AG2119" s="133"/>
      <c r="AH2119" s="133"/>
      <c r="AI2119" s="133"/>
      <c r="AJ2119" s="133"/>
      <c r="AK2119" s="133"/>
      <c r="AL2119" s="133"/>
      <c r="AM2119" s="133"/>
      <c r="AN2119" s="133"/>
      <c r="AO2119" s="133"/>
      <c r="AP2119" s="133"/>
      <c r="AQ2119" s="133"/>
      <c r="AR2119" s="133"/>
      <c r="AS2119" s="153">
        <v>0</v>
      </c>
      <c r="AT2119" s="153">
        <v>0</v>
      </c>
      <c r="AU2119" s="153">
        <v>0</v>
      </c>
      <c r="AV2119" s="135"/>
      <c r="AW2119" s="135"/>
      <c r="AX2119" s="135"/>
      <c r="AY2119" s="135"/>
      <c r="AZ2119" s="135"/>
      <c r="BA2119" s="135"/>
      <c r="BB2119" s="135"/>
      <c r="BC2119" s="135"/>
      <c r="BD2119" s="135"/>
      <c r="BE2119" s="135"/>
      <c r="BF2119" s="135"/>
      <c r="BG2119" s="135"/>
      <c r="BH2119" s="135"/>
      <c r="BI2119" s="2"/>
      <c r="BJ2119" s="136"/>
      <c r="BK2119" s="2"/>
      <c r="BL2119" s="136"/>
      <c r="BM2119" s="136"/>
      <c r="BN2119" s="2"/>
      <c r="BO2119" s="2"/>
      <c r="BP2119" s="136"/>
      <c r="BQ2119" s="137"/>
    </row>
    <row r="2120" spans="1:69" ht="12.75" customHeight="1" x14ac:dyDescent="0.2">
      <c r="A2120" s="2">
        <v>3609</v>
      </c>
      <c r="B2120" s="2"/>
      <c r="C2120" s="2"/>
      <c r="D2120" s="2"/>
      <c r="E2120" s="2"/>
      <c r="F2120" s="132">
        <v>0</v>
      </c>
      <c r="G2120" s="132"/>
      <c r="H2120" s="132">
        <f t="shared" si="241"/>
        <v>0</v>
      </c>
      <c r="I2120" s="132"/>
      <c r="J2120" s="132">
        <f t="shared" si="239"/>
        <v>0</v>
      </c>
      <c r="K2120" s="132">
        <f t="shared" si="242"/>
        <v>0</v>
      </c>
      <c r="L2120" s="132">
        <f t="shared" si="236"/>
        <v>0</v>
      </c>
      <c r="M2120" s="133"/>
      <c r="N2120" s="133">
        <f t="shared" si="240"/>
        <v>0</v>
      </c>
      <c r="O2120" s="134"/>
      <c r="P2120" s="133"/>
      <c r="Q2120" s="2"/>
      <c r="R2120" s="156">
        <f t="shared" si="237"/>
        <v>0</v>
      </c>
      <c r="S2120" s="156">
        <f t="shared" si="238"/>
        <v>0</v>
      </c>
      <c r="T2120" s="133"/>
      <c r="U2120" s="133"/>
      <c r="V2120" s="133"/>
      <c r="W2120" s="133"/>
      <c r="X2120" s="133"/>
      <c r="Y2120" s="133"/>
      <c r="Z2120" s="133"/>
      <c r="AA2120" s="133"/>
      <c r="AB2120" s="133"/>
      <c r="AC2120" s="133"/>
      <c r="AD2120" s="133"/>
      <c r="AE2120" s="133"/>
      <c r="AF2120" s="133"/>
      <c r="AG2120" s="133"/>
      <c r="AH2120" s="133"/>
      <c r="AI2120" s="133"/>
      <c r="AJ2120" s="133"/>
      <c r="AK2120" s="133"/>
      <c r="AL2120" s="133"/>
      <c r="AM2120" s="133"/>
      <c r="AN2120" s="133"/>
      <c r="AO2120" s="133"/>
      <c r="AP2120" s="133"/>
      <c r="AQ2120" s="133"/>
      <c r="AR2120" s="133"/>
      <c r="AS2120" s="153">
        <v>0</v>
      </c>
      <c r="AT2120" s="153">
        <v>0</v>
      </c>
      <c r="AU2120" s="153">
        <v>0</v>
      </c>
      <c r="AV2120" s="135"/>
      <c r="AW2120" s="135"/>
      <c r="AX2120" s="135"/>
      <c r="AY2120" s="135"/>
      <c r="AZ2120" s="135"/>
      <c r="BA2120" s="135"/>
      <c r="BB2120" s="135"/>
      <c r="BC2120" s="135"/>
      <c r="BD2120" s="135"/>
      <c r="BE2120" s="135"/>
      <c r="BF2120" s="135"/>
      <c r="BG2120" s="135"/>
      <c r="BH2120" s="135"/>
      <c r="BI2120" s="2"/>
      <c r="BJ2120" s="136"/>
      <c r="BK2120" s="2"/>
      <c r="BL2120" s="136"/>
      <c r="BM2120" s="136"/>
      <c r="BN2120" s="2"/>
      <c r="BO2120" s="2"/>
      <c r="BP2120" s="136"/>
      <c r="BQ2120" s="137"/>
    </row>
    <row r="2121" spans="1:69" ht="12.75" customHeight="1" x14ac:dyDescent="0.2">
      <c r="A2121" s="2">
        <v>3610</v>
      </c>
      <c r="B2121" s="2"/>
      <c r="C2121" s="2"/>
      <c r="D2121" s="2"/>
      <c r="E2121" s="2"/>
      <c r="F2121" s="132">
        <v>0</v>
      </c>
      <c r="G2121" s="132"/>
      <c r="H2121" s="132">
        <f t="shared" si="241"/>
        <v>0</v>
      </c>
      <c r="I2121" s="132"/>
      <c r="J2121" s="132">
        <f t="shared" si="239"/>
        <v>0</v>
      </c>
      <c r="K2121" s="132">
        <f t="shared" si="242"/>
        <v>0</v>
      </c>
      <c r="L2121" s="132">
        <f t="shared" si="236"/>
        <v>0</v>
      </c>
      <c r="M2121" s="133"/>
      <c r="N2121" s="133">
        <f t="shared" si="240"/>
        <v>0</v>
      </c>
      <c r="O2121" s="134"/>
      <c r="P2121" s="133"/>
      <c r="Q2121" s="2"/>
      <c r="R2121" s="156">
        <f t="shared" si="237"/>
        <v>0</v>
      </c>
      <c r="S2121" s="156">
        <f t="shared" si="238"/>
        <v>0</v>
      </c>
      <c r="T2121" s="133"/>
      <c r="U2121" s="133"/>
      <c r="V2121" s="133"/>
      <c r="W2121" s="133"/>
      <c r="X2121" s="133"/>
      <c r="Y2121" s="133"/>
      <c r="Z2121" s="133"/>
      <c r="AA2121" s="133"/>
      <c r="AB2121" s="133"/>
      <c r="AC2121" s="133"/>
      <c r="AD2121" s="133"/>
      <c r="AE2121" s="133"/>
      <c r="AF2121" s="133"/>
      <c r="AG2121" s="133"/>
      <c r="AH2121" s="133"/>
      <c r="AI2121" s="133"/>
      <c r="AJ2121" s="133"/>
      <c r="AK2121" s="133"/>
      <c r="AL2121" s="133"/>
      <c r="AM2121" s="133"/>
      <c r="AN2121" s="133"/>
      <c r="AO2121" s="133"/>
      <c r="AP2121" s="133"/>
      <c r="AQ2121" s="133"/>
      <c r="AR2121" s="133"/>
      <c r="AS2121" s="153">
        <v>0</v>
      </c>
      <c r="AT2121" s="153">
        <v>0</v>
      </c>
      <c r="AU2121" s="153">
        <v>0</v>
      </c>
      <c r="AV2121" s="135"/>
      <c r="AW2121" s="135"/>
      <c r="AX2121" s="135"/>
      <c r="AY2121" s="135"/>
      <c r="AZ2121" s="135"/>
      <c r="BA2121" s="135"/>
      <c r="BB2121" s="135"/>
      <c r="BC2121" s="135"/>
      <c r="BD2121" s="135"/>
      <c r="BE2121" s="135"/>
      <c r="BF2121" s="135"/>
      <c r="BG2121" s="135"/>
      <c r="BH2121" s="135"/>
      <c r="BI2121" s="2"/>
      <c r="BJ2121" s="136"/>
      <c r="BK2121" s="2"/>
      <c r="BL2121" s="136"/>
      <c r="BM2121" s="136"/>
      <c r="BN2121" s="2"/>
      <c r="BO2121" s="2"/>
      <c r="BP2121" s="136"/>
      <c r="BQ2121" s="137"/>
    </row>
    <row r="2122" spans="1:69" ht="12.75" customHeight="1" x14ac:dyDescent="0.2">
      <c r="A2122" s="2">
        <v>3611</v>
      </c>
      <c r="B2122" s="2"/>
      <c r="C2122" s="2"/>
      <c r="D2122" s="2"/>
      <c r="E2122" s="2"/>
      <c r="F2122" s="132">
        <v>0</v>
      </c>
      <c r="G2122" s="132"/>
      <c r="H2122" s="132">
        <f t="shared" si="241"/>
        <v>0</v>
      </c>
      <c r="I2122" s="132"/>
      <c r="J2122" s="132">
        <f t="shared" si="239"/>
        <v>0</v>
      </c>
      <c r="K2122" s="132">
        <f t="shared" si="242"/>
        <v>0</v>
      </c>
      <c r="L2122" s="132">
        <f t="shared" si="236"/>
        <v>0</v>
      </c>
      <c r="M2122" s="133"/>
      <c r="N2122" s="133">
        <f t="shared" si="240"/>
        <v>0</v>
      </c>
      <c r="O2122" s="134"/>
      <c r="P2122" s="133"/>
      <c r="Q2122" s="2"/>
      <c r="R2122" s="156">
        <f t="shared" si="237"/>
        <v>0</v>
      </c>
      <c r="S2122" s="156">
        <f t="shared" si="238"/>
        <v>0</v>
      </c>
      <c r="T2122" s="133"/>
      <c r="U2122" s="133"/>
      <c r="V2122" s="133"/>
      <c r="W2122" s="133"/>
      <c r="X2122" s="133"/>
      <c r="Y2122" s="133"/>
      <c r="Z2122" s="133"/>
      <c r="AA2122" s="133"/>
      <c r="AB2122" s="133"/>
      <c r="AC2122" s="133"/>
      <c r="AD2122" s="133"/>
      <c r="AE2122" s="133"/>
      <c r="AF2122" s="133"/>
      <c r="AG2122" s="133"/>
      <c r="AH2122" s="133"/>
      <c r="AI2122" s="133"/>
      <c r="AJ2122" s="133"/>
      <c r="AK2122" s="133"/>
      <c r="AL2122" s="133"/>
      <c r="AM2122" s="133"/>
      <c r="AN2122" s="133"/>
      <c r="AO2122" s="133"/>
      <c r="AP2122" s="133"/>
      <c r="AQ2122" s="133"/>
      <c r="AR2122" s="133"/>
      <c r="AS2122" s="153">
        <v>0</v>
      </c>
      <c r="AT2122" s="153">
        <v>0</v>
      </c>
      <c r="AU2122" s="153">
        <v>0</v>
      </c>
      <c r="AV2122" s="135"/>
      <c r="AW2122" s="135"/>
      <c r="AX2122" s="135"/>
      <c r="AY2122" s="135"/>
      <c r="AZ2122" s="135"/>
      <c r="BA2122" s="135"/>
      <c r="BB2122" s="135"/>
      <c r="BC2122" s="135"/>
      <c r="BD2122" s="135"/>
      <c r="BE2122" s="135"/>
      <c r="BF2122" s="135"/>
      <c r="BG2122" s="135"/>
      <c r="BH2122" s="135"/>
      <c r="BI2122" s="2"/>
      <c r="BJ2122" s="136"/>
      <c r="BK2122" s="2"/>
      <c r="BL2122" s="136"/>
      <c r="BM2122" s="136"/>
      <c r="BN2122" s="2"/>
      <c r="BO2122" s="2"/>
      <c r="BP2122" s="136"/>
      <c r="BQ2122" s="137"/>
    </row>
    <row r="2123" spans="1:69" ht="12.75" customHeight="1" x14ac:dyDescent="0.2">
      <c r="A2123" s="2">
        <v>3612</v>
      </c>
      <c r="B2123" s="2"/>
      <c r="C2123" s="2"/>
      <c r="D2123" s="2"/>
      <c r="E2123" s="2"/>
      <c r="F2123" s="132">
        <v>0</v>
      </c>
      <c r="G2123" s="132"/>
      <c r="H2123" s="132">
        <f t="shared" si="241"/>
        <v>0</v>
      </c>
      <c r="I2123" s="132"/>
      <c r="J2123" s="132">
        <f t="shared" si="239"/>
        <v>0</v>
      </c>
      <c r="K2123" s="132">
        <f t="shared" si="242"/>
        <v>0</v>
      </c>
      <c r="L2123" s="132">
        <f t="shared" ref="L2123:L2186" si="243">H2123-J2123</f>
        <v>0</v>
      </c>
      <c r="M2123" s="133"/>
      <c r="N2123" s="133">
        <f t="shared" si="240"/>
        <v>0</v>
      </c>
      <c r="O2123" s="134"/>
      <c r="P2123" s="133"/>
      <c r="Q2123" s="2"/>
      <c r="R2123" s="156">
        <f t="shared" ref="R2123:R2186" si="244">T2123+V2123+X2123+Z2123+AB2123+AD2123+AF2123+AH2123+AJ2123+AL2123+AN2123+AP2123</f>
        <v>0</v>
      </c>
      <c r="S2123" s="156">
        <f t="shared" ref="S2123:S2186" si="245">U2123+W2123+Y2123+AA2123+AC2123+AE2123+AG2123+AI2123+AK2123+AM2123+AO2123+AQ2123</f>
        <v>0</v>
      </c>
      <c r="T2123" s="133"/>
      <c r="U2123" s="133"/>
      <c r="V2123" s="133"/>
      <c r="W2123" s="133"/>
      <c r="X2123" s="133"/>
      <c r="Y2123" s="133"/>
      <c r="Z2123" s="133"/>
      <c r="AA2123" s="133"/>
      <c r="AB2123" s="133"/>
      <c r="AC2123" s="133"/>
      <c r="AD2123" s="133"/>
      <c r="AE2123" s="133"/>
      <c r="AF2123" s="133"/>
      <c r="AG2123" s="133"/>
      <c r="AH2123" s="133"/>
      <c r="AI2123" s="133"/>
      <c r="AJ2123" s="133"/>
      <c r="AK2123" s="133"/>
      <c r="AL2123" s="133"/>
      <c r="AM2123" s="133"/>
      <c r="AN2123" s="133"/>
      <c r="AO2123" s="133"/>
      <c r="AP2123" s="133"/>
      <c r="AQ2123" s="133"/>
      <c r="AR2123" s="133"/>
      <c r="AS2123" s="153">
        <v>0</v>
      </c>
      <c r="AT2123" s="153">
        <v>0</v>
      </c>
      <c r="AU2123" s="153">
        <v>0</v>
      </c>
      <c r="AV2123" s="135"/>
      <c r="AW2123" s="135"/>
      <c r="AX2123" s="135"/>
      <c r="AY2123" s="135"/>
      <c r="AZ2123" s="135"/>
      <c r="BA2123" s="135"/>
      <c r="BB2123" s="135"/>
      <c r="BC2123" s="135"/>
      <c r="BD2123" s="135"/>
      <c r="BE2123" s="135"/>
      <c r="BF2123" s="135"/>
      <c r="BG2123" s="135"/>
      <c r="BH2123" s="135"/>
      <c r="BI2123" s="2"/>
      <c r="BJ2123" s="136"/>
      <c r="BK2123" s="2"/>
      <c r="BL2123" s="136"/>
      <c r="BM2123" s="136"/>
      <c r="BN2123" s="2"/>
      <c r="BO2123" s="2"/>
      <c r="BP2123" s="136"/>
      <c r="BQ2123" s="137"/>
    </row>
    <row r="2124" spans="1:69" ht="12.75" customHeight="1" x14ac:dyDescent="0.2">
      <c r="A2124" s="2">
        <v>3613</v>
      </c>
      <c r="B2124" s="2"/>
      <c r="C2124" s="2"/>
      <c r="D2124" s="2"/>
      <c r="E2124" s="2"/>
      <c r="F2124" s="132">
        <v>0</v>
      </c>
      <c r="G2124" s="132"/>
      <c r="H2124" s="132">
        <f t="shared" si="241"/>
        <v>0</v>
      </c>
      <c r="I2124" s="132"/>
      <c r="J2124" s="132">
        <f t="shared" si="239"/>
        <v>0</v>
      </c>
      <c r="K2124" s="132">
        <f t="shared" si="242"/>
        <v>0</v>
      </c>
      <c r="L2124" s="132">
        <f t="shared" si="243"/>
        <v>0</v>
      </c>
      <c r="M2124" s="133"/>
      <c r="N2124" s="133">
        <f t="shared" si="240"/>
        <v>0</v>
      </c>
      <c r="O2124" s="134"/>
      <c r="P2124" s="133"/>
      <c r="Q2124" s="2"/>
      <c r="R2124" s="156">
        <f t="shared" si="244"/>
        <v>0</v>
      </c>
      <c r="S2124" s="156">
        <f t="shared" si="245"/>
        <v>0</v>
      </c>
      <c r="T2124" s="133"/>
      <c r="U2124" s="133"/>
      <c r="V2124" s="133"/>
      <c r="W2124" s="133"/>
      <c r="X2124" s="133"/>
      <c r="Y2124" s="133"/>
      <c r="Z2124" s="133"/>
      <c r="AA2124" s="133"/>
      <c r="AB2124" s="133"/>
      <c r="AC2124" s="133"/>
      <c r="AD2124" s="133"/>
      <c r="AE2124" s="133"/>
      <c r="AF2124" s="133"/>
      <c r="AG2124" s="133"/>
      <c r="AH2124" s="133"/>
      <c r="AI2124" s="133"/>
      <c r="AJ2124" s="133"/>
      <c r="AK2124" s="133"/>
      <c r="AL2124" s="133"/>
      <c r="AM2124" s="133"/>
      <c r="AN2124" s="133"/>
      <c r="AO2124" s="133"/>
      <c r="AP2124" s="133"/>
      <c r="AQ2124" s="133"/>
      <c r="AR2124" s="133"/>
      <c r="AS2124" s="153">
        <v>0</v>
      </c>
      <c r="AT2124" s="153">
        <v>0</v>
      </c>
      <c r="AU2124" s="153">
        <v>0</v>
      </c>
      <c r="AV2124" s="135"/>
      <c r="AW2124" s="135"/>
      <c r="AX2124" s="135"/>
      <c r="AY2124" s="135"/>
      <c r="AZ2124" s="135"/>
      <c r="BA2124" s="135"/>
      <c r="BB2124" s="135"/>
      <c r="BC2124" s="135"/>
      <c r="BD2124" s="135"/>
      <c r="BE2124" s="135"/>
      <c r="BF2124" s="135"/>
      <c r="BG2124" s="135"/>
      <c r="BH2124" s="135"/>
      <c r="BI2124" s="2"/>
      <c r="BJ2124" s="136"/>
      <c r="BK2124" s="2"/>
      <c r="BL2124" s="136"/>
      <c r="BM2124" s="136"/>
      <c r="BN2124" s="2"/>
      <c r="BO2124" s="2"/>
      <c r="BP2124" s="136"/>
      <c r="BQ2124" s="137"/>
    </row>
    <row r="2125" spans="1:69" ht="12.75" customHeight="1" x14ac:dyDescent="0.2">
      <c r="A2125" s="2">
        <v>3614</v>
      </c>
      <c r="B2125" s="2"/>
      <c r="C2125" s="2"/>
      <c r="D2125" s="2"/>
      <c r="E2125" s="2"/>
      <c r="F2125" s="132">
        <v>0</v>
      </c>
      <c r="G2125" s="132"/>
      <c r="H2125" s="132">
        <f t="shared" si="241"/>
        <v>0</v>
      </c>
      <c r="I2125" s="132"/>
      <c r="J2125" s="132">
        <f t="shared" si="239"/>
        <v>0</v>
      </c>
      <c r="K2125" s="132">
        <f t="shared" si="242"/>
        <v>0</v>
      </c>
      <c r="L2125" s="132">
        <f t="shared" si="243"/>
        <v>0</v>
      </c>
      <c r="M2125" s="133"/>
      <c r="N2125" s="133">
        <f t="shared" si="240"/>
        <v>0</v>
      </c>
      <c r="O2125" s="134"/>
      <c r="P2125" s="133"/>
      <c r="Q2125" s="2"/>
      <c r="R2125" s="156">
        <f t="shared" si="244"/>
        <v>0</v>
      </c>
      <c r="S2125" s="156">
        <f t="shared" si="245"/>
        <v>0</v>
      </c>
      <c r="T2125" s="133"/>
      <c r="U2125" s="133"/>
      <c r="V2125" s="133"/>
      <c r="W2125" s="133"/>
      <c r="X2125" s="133"/>
      <c r="Y2125" s="133"/>
      <c r="Z2125" s="133"/>
      <c r="AA2125" s="133"/>
      <c r="AB2125" s="133"/>
      <c r="AC2125" s="133"/>
      <c r="AD2125" s="133"/>
      <c r="AE2125" s="133"/>
      <c r="AF2125" s="133"/>
      <c r="AG2125" s="133"/>
      <c r="AH2125" s="133"/>
      <c r="AI2125" s="133"/>
      <c r="AJ2125" s="133"/>
      <c r="AK2125" s="133"/>
      <c r="AL2125" s="133"/>
      <c r="AM2125" s="133"/>
      <c r="AN2125" s="133"/>
      <c r="AO2125" s="133"/>
      <c r="AP2125" s="133"/>
      <c r="AQ2125" s="133"/>
      <c r="AR2125" s="133"/>
      <c r="AS2125" s="153">
        <v>0</v>
      </c>
      <c r="AT2125" s="153">
        <v>0</v>
      </c>
      <c r="AU2125" s="153">
        <v>0</v>
      </c>
      <c r="AV2125" s="135"/>
      <c r="AW2125" s="135"/>
      <c r="AX2125" s="135"/>
      <c r="AY2125" s="135"/>
      <c r="AZ2125" s="135"/>
      <c r="BA2125" s="135"/>
      <c r="BB2125" s="135"/>
      <c r="BC2125" s="135"/>
      <c r="BD2125" s="135"/>
      <c r="BE2125" s="135"/>
      <c r="BF2125" s="135"/>
      <c r="BG2125" s="135"/>
      <c r="BH2125" s="135"/>
      <c r="BI2125" s="2"/>
      <c r="BJ2125" s="136"/>
      <c r="BK2125" s="2"/>
      <c r="BL2125" s="136"/>
      <c r="BM2125" s="136"/>
      <c r="BN2125" s="2"/>
      <c r="BO2125" s="2"/>
      <c r="BP2125" s="136"/>
      <c r="BQ2125" s="137"/>
    </row>
    <row r="2126" spans="1:69" ht="12.75" customHeight="1" x14ac:dyDescent="0.2">
      <c r="A2126" s="2">
        <v>3615</v>
      </c>
      <c r="B2126" s="2"/>
      <c r="C2126" s="2"/>
      <c r="D2126" s="2"/>
      <c r="E2126" s="2"/>
      <c r="F2126" s="132">
        <v>0</v>
      </c>
      <c r="G2126" s="132"/>
      <c r="H2126" s="132">
        <f t="shared" si="241"/>
        <v>0</v>
      </c>
      <c r="I2126" s="132"/>
      <c r="J2126" s="132">
        <f t="shared" si="239"/>
        <v>0</v>
      </c>
      <c r="K2126" s="132">
        <f t="shared" si="242"/>
        <v>0</v>
      </c>
      <c r="L2126" s="132">
        <f t="shared" si="243"/>
        <v>0</v>
      </c>
      <c r="M2126" s="133"/>
      <c r="N2126" s="133">
        <f t="shared" si="240"/>
        <v>0</v>
      </c>
      <c r="O2126" s="134"/>
      <c r="P2126" s="133"/>
      <c r="Q2126" s="2"/>
      <c r="R2126" s="156">
        <f t="shared" si="244"/>
        <v>0</v>
      </c>
      <c r="S2126" s="156">
        <f t="shared" si="245"/>
        <v>0</v>
      </c>
      <c r="T2126" s="133"/>
      <c r="U2126" s="133"/>
      <c r="V2126" s="133"/>
      <c r="W2126" s="133"/>
      <c r="X2126" s="133"/>
      <c r="Y2126" s="133"/>
      <c r="Z2126" s="133"/>
      <c r="AA2126" s="133"/>
      <c r="AB2126" s="133"/>
      <c r="AC2126" s="133"/>
      <c r="AD2126" s="133"/>
      <c r="AE2126" s="133"/>
      <c r="AF2126" s="133"/>
      <c r="AG2126" s="133"/>
      <c r="AH2126" s="133"/>
      <c r="AI2126" s="133"/>
      <c r="AJ2126" s="133"/>
      <c r="AK2126" s="133"/>
      <c r="AL2126" s="133"/>
      <c r="AM2126" s="133"/>
      <c r="AN2126" s="133"/>
      <c r="AO2126" s="133"/>
      <c r="AP2126" s="133"/>
      <c r="AQ2126" s="133"/>
      <c r="AR2126" s="133"/>
      <c r="AS2126" s="153">
        <v>0</v>
      </c>
      <c r="AT2126" s="153">
        <v>0</v>
      </c>
      <c r="AU2126" s="153">
        <v>0</v>
      </c>
      <c r="AV2126" s="135"/>
      <c r="AW2126" s="135"/>
      <c r="AX2126" s="135"/>
      <c r="AY2126" s="135"/>
      <c r="AZ2126" s="135"/>
      <c r="BA2126" s="135"/>
      <c r="BB2126" s="135"/>
      <c r="BC2126" s="135"/>
      <c r="BD2126" s="135"/>
      <c r="BE2126" s="135"/>
      <c r="BF2126" s="135"/>
      <c r="BG2126" s="135"/>
      <c r="BH2126" s="135"/>
      <c r="BI2126" s="2"/>
      <c r="BJ2126" s="136"/>
      <c r="BK2126" s="2"/>
      <c r="BL2126" s="136"/>
      <c r="BM2126" s="136"/>
      <c r="BN2126" s="2"/>
      <c r="BO2126" s="2"/>
      <c r="BP2126" s="136"/>
      <c r="BQ2126" s="137"/>
    </row>
    <row r="2127" spans="1:69" ht="12.75" customHeight="1" x14ac:dyDescent="0.2">
      <c r="A2127" s="2">
        <v>3616</v>
      </c>
      <c r="B2127" s="2"/>
      <c r="C2127" s="2"/>
      <c r="D2127" s="2"/>
      <c r="E2127" s="2"/>
      <c r="F2127" s="132">
        <v>0</v>
      </c>
      <c r="G2127" s="132"/>
      <c r="H2127" s="132">
        <f t="shared" si="241"/>
        <v>0</v>
      </c>
      <c r="I2127" s="132"/>
      <c r="J2127" s="132">
        <f t="shared" si="239"/>
        <v>0</v>
      </c>
      <c r="K2127" s="132">
        <f t="shared" si="242"/>
        <v>0</v>
      </c>
      <c r="L2127" s="132">
        <f t="shared" si="243"/>
        <v>0</v>
      </c>
      <c r="M2127" s="133"/>
      <c r="N2127" s="133">
        <f t="shared" si="240"/>
        <v>0</v>
      </c>
      <c r="O2127" s="134"/>
      <c r="P2127" s="133"/>
      <c r="Q2127" s="2"/>
      <c r="R2127" s="156">
        <f t="shared" si="244"/>
        <v>0</v>
      </c>
      <c r="S2127" s="156">
        <f t="shared" si="245"/>
        <v>0</v>
      </c>
      <c r="T2127" s="133"/>
      <c r="U2127" s="133"/>
      <c r="V2127" s="133"/>
      <c r="W2127" s="133"/>
      <c r="X2127" s="133"/>
      <c r="Y2127" s="133"/>
      <c r="Z2127" s="133"/>
      <c r="AA2127" s="133"/>
      <c r="AB2127" s="133"/>
      <c r="AC2127" s="133"/>
      <c r="AD2127" s="133"/>
      <c r="AE2127" s="133"/>
      <c r="AF2127" s="133"/>
      <c r="AG2127" s="133"/>
      <c r="AH2127" s="133"/>
      <c r="AI2127" s="133"/>
      <c r="AJ2127" s="133"/>
      <c r="AK2127" s="133"/>
      <c r="AL2127" s="133"/>
      <c r="AM2127" s="133"/>
      <c r="AN2127" s="133"/>
      <c r="AO2127" s="133"/>
      <c r="AP2127" s="133"/>
      <c r="AQ2127" s="133"/>
      <c r="AR2127" s="133"/>
      <c r="AS2127" s="153">
        <v>0</v>
      </c>
      <c r="AT2127" s="153">
        <v>0</v>
      </c>
      <c r="AU2127" s="153">
        <v>0</v>
      </c>
      <c r="AV2127" s="135"/>
      <c r="AW2127" s="135"/>
      <c r="AX2127" s="135"/>
      <c r="AY2127" s="135"/>
      <c r="AZ2127" s="135"/>
      <c r="BA2127" s="135"/>
      <c r="BB2127" s="135"/>
      <c r="BC2127" s="135"/>
      <c r="BD2127" s="135"/>
      <c r="BE2127" s="135"/>
      <c r="BF2127" s="135"/>
      <c r="BG2127" s="135"/>
      <c r="BH2127" s="135"/>
      <c r="BI2127" s="2"/>
      <c r="BJ2127" s="136"/>
      <c r="BK2127" s="2"/>
      <c r="BL2127" s="136"/>
      <c r="BM2127" s="136"/>
      <c r="BN2127" s="2"/>
      <c r="BO2127" s="2"/>
      <c r="BP2127" s="136"/>
      <c r="BQ2127" s="137"/>
    </row>
    <row r="2128" spans="1:69" ht="12.75" customHeight="1" x14ac:dyDescent="0.2">
      <c r="A2128" s="2">
        <v>3617</v>
      </c>
      <c r="B2128" s="2"/>
      <c r="C2128" s="2"/>
      <c r="D2128" s="2"/>
      <c r="E2128" s="2"/>
      <c r="F2128" s="132">
        <v>0</v>
      </c>
      <c r="G2128" s="132"/>
      <c r="H2128" s="132">
        <f t="shared" si="241"/>
        <v>0</v>
      </c>
      <c r="I2128" s="132"/>
      <c r="J2128" s="132">
        <f t="shared" si="239"/>
        <v>0</v>
      </c>
      <c r="K2128" s="132">
        <f t="shared" si="242"/>
        <v>0</v>
      </c>
      <c r="L2128" s="132">
        <f t="shared" si="243"/>
        <v>0</v>
      </c>
      <c r="M2128" s="133"/>
      <c r="N2128" s="133">
        <f t="shared" si="240"/>
        <v>0</v>
      </c>
      <c r="O2128" s="134"/>
      <c r="P2128" s="133"/>
      <c r="Q2128" s="2"/>
      <c r="R2128" s="156">
        <f t="shared" si="244"/>
        <v>0</v>
      </c>
      <c r="S2128" s="156">
        <f t="shared" si="245"/>
        <v>0</v>
      </c>
      <c r="T2128" s="133"/>
      <c r="U2128" s="133"/>
      <c r="V2128" s="133"/>
      <c r="W2128" s="133"/>
      <c r="X2128" s="133"/>
      <c r="Y2128" s="133"/>
      <c r="Z2128" s="133"/>
      <c r="AA2128" s="133"/>
      <c r="AB2128" s="133"/>
      <c r="AC2128" s="133"/>
      <c r="AD2128" s="133"/>
      <c r="AE2128" s="133"/>
      <c r="AF2128" s="133"/>
      <c r="AG2128" s="133"/>
      <c r="AH2128" s="133"/>
      <c r="AI2128" s="133"/>
      <c r="AJ2128" s="133"/>
      <c r="AK2128" s="133"/>
      <c r="AL2128" s="133"/>
      <c r="AM2128" s="133"/>
      <c r="AN2128" s="133"/>
      <c r="AO2128" s="133"/>
      <c r="AP2128" s="133"/>
      <c r="AQ2128" s="133"/>
      <c r="AR2128" s="133"/>
      <c r="AS2128" s="153">
        <v>0</v>
      </c>
      <c r="AT2128" s="153">
        <v>0</v>
      </c>
      <c r="AU2128" s="153">
        <v>0</v>
      </c>
      <c r="AV2128" s="135"/>
      <c r="AW2128" s="135"/>
      <c r="AX2128" s="135"/>
      <c r="AY2128" s="135"/>
      <c r="AZ2128" s="135"/>
      <c r="BA2128" s="135"/>
      <c r="BB2128" s="135"/>
      <c r="BC2128" s="135"/>
      <c r="BD2128" s="135"/>
      <c r="BE2128" s="135"/>
      <c r="BF2128" s="135"/>
      <c r="BG2128" s="135"/>
      <c r="BH2128" s="135"/>
      <c r="BI2128" s="2"/>
      <c r="BJ2128" s="136"/>
      <c r="BK2128" s="2"/>
      <c r="BL2128" s="136"/>
      <c r="BM2128" s="136"/>
      <c r="BN2128" s="2"/>
      <c r="BO2128" s="2"/>
      <c r="BP2128" s="136"/>
      <c r="BQ2128" s="137"/>
    </row>
    <row r="2129" spans="1:69" ht="12.75" customHeight="1" x14ac:dyDescent="0.2">
      <c r="A2129" s="2">
        <v>3618</v>
      </c>
      <c r="B2129" s="2"/>
      <c r="C2129" s="2"/>
      <c r="D2129" s="2"/>
      <c r="E2129" s="2"/>
      <c r="F2129" s="132">
        <v>0</v>
      </c>
      <c r="G2129" s="132"/>
      <c r="H2129" s="132">
        <f t="shared" si="241"/>
        <v>0</v>
      </c>
      <c r="I2129" s="132"/>
      <c r="J2129" s="132">
        <f t="shared" si="239"/>
        <v>0</v>
      </c>
      <c r="K2129" s="132">
        <f t="shared" si="242"/>
        <v>0</v>
      </c>
      <c r="L2129" s="132">
        <f t="shared" si="243"/>
        <v>0</v>
      </c>
      <c r="M2129" s="133"/>
      <c r="N2129" s="133">
        <f t="shared" si="240"/>
        <v>0</v>
      </c>
      <c r="O2129" s="134"/>
      <c r="P2129" s="133"/>
      <c r="Q2129" s="2"/>
      <c r="R2129" s="156">
        <f t="shared" si="244"/>
        <v>0</v>
      </c>
      <c r="S2129" s="156">
        <f t="shared" si="245"/>
        <v>0</v>
      </c>
      <c r="T2129" s="133"/>
      <c r="U2129" s="133"/>
      <c r="V2129" s="133"/>
      <c r="W2129" s="133"/>
      <c r="X2129" s="133"/>
      <c r="Y2129" s="133"/>
      <c r="Z2129" s="133"/>
      <c r="AA2129" s="133"/>
      <c r="AB2129" s="133"/>
      <c r="AC2129" s="133"/>
      <c r="AD2129" s="133"/>
      <c r="AE2129" s="133"/>
      <c r="AF2129" s="133"/>
      <c r="AG2129" s="133"/>
      <c r="AH2129" s="133"/>
      <c r="AI2129" s="133"/>
      <c r="AJ2129" s="133"/>
      <c r="AK2129" s="133"/>
      <c r="AL2129" s="133"/>
      <c r="AM2129" s="133"/>
      <c r="AN2129" s="133"/>
      <c r="AO2129" s="133"/>
      <c r="AP2129" s="133"/>
      <c r="AQ2129" s="133"/>
      <c r="AR2129" s="133"/>
      <c r="AS2129" s="153">
        <v>0</v>
      </c>
      <c r="AT2129" s="153">
        <v>0</v>
      </c>
      <c r="AU2129" s="153">
        <v>0</v>
      </c>
      <c r="AV2129" s="135"/>
      <c r="AW2129" s="135"/>
      <c r="AX2129" s="135"/>
      <c r="AY2129" s="135"/>
      <c r="AZ2129" s="135"/>
      <c r="BA2129" s="135"/>
      <c r="BB2129" s="135"/>
      <c r="BC2129" s="135"/>
      <c r="BD2129" s="135"/>
      <c r="BE2129" s="135"/>
      <c r="BF2129" s="135"/>
      <c r="BG2129" s="135"/>
      <c r="BH2129" s="135"/>
      <c r="BI2129" s="2"/>
      <c r="BJ2129" s="136"/>
      <c r="BK2129" s="2"/>
      <c r="BL2129" s="136"/>
      <c r="BM2129" s="136"/>
      <c r="BN2129" s="2"/>
      <c r="BO2129" s="2"/>
      <c r="BP2129" s="136"/>
      <c r="BQ2129" s="137"/>
    </row>
    <row r="2130" spans="1:69" ht="12.75" customHeight="1" x14ac:dyDescent="0.2">
      <c r="A2130" s="2">
        <v>3619</v>
      </c>
      <c r="B2130" s="2"/>
      <c r="C2130" s="2"/>
      <c r="D2130" s="2"/>
      <c r="E2130" s="2"/>
      <c r="F2130" s="132">
        <v>0</v>
      </c>
      <c r="G2130" s="132"/>
      <c r="H2130" s="132">
        <f t="shared" si="241"/>
        <v>0</v>
      </c>
      <c r="I2130" s="132"/>
      <c r="J2130" s="132">
        <f t="shared" si="239"/>
        <v>0</v>
      </c>
      <c r="K2130" s="132">
        <f t="shared" si="242"/>
        <v>0</v>
      </c>
      <c r="L2130" s="132">
        <f t="shared" si="243"/>
        <v>0</v>
      </c>
      <c r="M2130" s="133"/>
      <c r="N2130" s="133">
        <f t="shared" si="240"/>
        <v>0</v>
      </c>
      <c r="O2130" s="134"/>
      <c r="P2130" s="133"/>
      <c r="Q2130" s="2"/>
      <c r="R2130" s="156">
        <f t="shared" si="244"/>
        <v>0</v>
      </c>
      <c r="S2130" s="156">
        <f t="shared" si="245"/>
        <v>0</v>
      </c>
      <c r="T2130" s="133"/>
      <c r="U2130" s="133"/>
      <c r="V2130" s="133"/>
      <c r="W2130" s="133"/>
      <c r="X2130" s="133"/>
      <c r="Y2130" s="133"/>
      <c r="Z2130" s="133"/>
      <c r="AA2130" s="133"/>
      <c r="AB2130" s="133"/>
      <c r="AC2130" s="133"/>
      <c r="AD2130" s="133"/>
      <c r="AE2130" s="133"/>
      <c r="AF2130" s="133"/>
      <c r="AG2130" s="133"/>
      <c r="AH2130" s="133"/>
      <c r="AI2130" s="133"/>
      <c r="AJ2130" s="133"/>
      <c r="AK2130" s="133"/>
      <c r="AL2130" s="133"/>
      <c r="AM2130" s="133"/>
      <c r="AN2130" s="133"/>
      <c r="AO2130" s="133"/>
      <c r="AP2130" s="133"/>
      <c r="AQ2130" s="133"/>
      <c r="AR2130" s="133"/>
      <c r="AS2130" s="153">
        <v>0</v>
      </c>
      <c r="AT2130" s="153">
        <v>0</v>
      </c>
      <c r="AU2130" s="153">
        <v>0</v>
      </c>
      <c r="AV2130" s="135"/>
      <c r="AW2130" s="135"/>
      <c r="AX2130" s="135"/>
      <c r="AY2130" s="135"/>
      <c r="AZ2130" s="135"/>
      <c r="BA2130" s="135"/>
      <c r="BB2130" s="135"/>
      <c r="BC2130" s="135"/>
      <c r="BD2130" s="135"/>
      <c r="BE2130" s="135"/>
      <c r="BF2130" s="135"/>
      <c r="BG2130" s="135"/>
      <c r="BH2130" s="135"/>
      <c r="BI2130" s="2"/>
      <c r="BJ2130" s="136"/>
      <c r="BK2130" s="2"/>
      <c r="BL2130" s="136"/>
      <c r="BM2130" s="136"/>
      <c r="BN2130" s="2"/>
      <c r="BO2130" s="2"/>
      <c r="BP2130" s="136"/>
      <c r="BQ2130" s="137"/>
    </row>
    <row r="2131" spans="1:69" ht="12.75" customHeight="1" x14ac:dyDescent="0.2">
      <c r="A2131" s="2">
        <v>3620</v>
      </c>
      <c r="B2131" s="2"/>
      <c r="C2131" s="2"/>
      <c r="D2131" s="2"/>
      <c r="E2131" s="2"/>
      <c r="F2131" s="132">
        <v>0</v>
      </c>
      <c r="G2131" s="132"/>
      <c r="H2131" s="132">
        <f t="shared" si="241"/>
        <v>0</v>
      </c>
      <c r="I2131" s="132"/>
      <c r="J2131" s="132">
        <f t="shared" si="239"/>
        <v>0</v>
      </c>
      <c r="K2131" s="132">
        <f t="shared" si="242"/>
        <v>0</v>
      </c>
      <c r="L2131" s="132">
        <f t="shared" si="243"/>
        <v>0</v>
      </c>
      <c r="M2131" s="133"/>
      <c r="N2131" s="133">
        <f t="shared" si="240"/>
        <v>0</v>
      </c>
      <c r="O2131" s="134"/>
      <c r="P2131" s="133"/>
      <c r="Q2131" s="2"/>
      <c r="R2131" s="156">
        <f t="shared" si="244"/>
        <v>0</v>
      </c>
      <c r="S2131" s="156">
        <f t="shared" si="245"/>
        <v>0</v>
      </c>
      <c r="T2131" s="133"/>
      <c r="U2131" s="133"/>
      <c r="V2131" s="133"/>
      <c r="W2131" s="133"/>
      <c r="X2131" s="133"/>
      <c r="Y2131" s="133"/>
      <c r="Z2131" s="133"/>
      <c r="AA2131" s="133"/>
      <c r="AB2131" s="133"/>
      <c r="AC2131" s="133"/>
      <c r="AD2131" s="133"/>
      <c r="AE2131" s="133"/>
      <c r="AF2131" s="133"/>
      <c r="AG2131" s="133"/>
      <c r="AH2131" s="133"/>
      <c r="AI2131" s="133"/>
      <c r="AJ2131" s="133"/>
      <c r="AK2131" s="133"/>
      <c r="AL2131" s="133"/>
      <c r="AM2131" s="133"/>
      <c r="AN2131" s="133"/>
      <c r="AO2131" s="133"/>
      <c r="AP2131" s="133"/>
      <c r="AQ2131" s="133"/>
      <c r="AR2131" s="133"/>
      <c r="AS2131" s="153">
        <v>0</v>
      </c>
      <c r="AT2131" s="153">
        <v>0</v>
      </c>
      <c r="AU2131" s="153">
        <v>0</v>
      </c>
      <c r="AV2131" s="135"/>
      <c r="AW2131" s="135"/>
      <c r="AX2131" s="135"/>
      <c r="AY2131" s="135"/>
      <c r="AZ2131" s="135"/>
      <c r="BA2131" s="135"/>
      <c r="BB2131" s="135"/>
      <c r="BC2131" s="135"/>
      <c r="BD2131" s="135"/>
      <c r="BE2131" s="135"/>
      <c r="BF2131" s="135"/>
      <c r="BG2131" s="135"/>
      <c r="BH2131" s="135"/>
      <c r="BI2131" s="2"/>
      <c r="BJ2131" s="136"/>
      <c r="BK2131" s="2"/>
      <c r="BL2131" s="136"/>
      <c r="BM2131" s="136"/>
      <c r="BN2131" s="2"/>
      <c r="BO2131" s="2"/>
      <c r="BP2131" s="136"/>
      <c r="BQ2131" s="137"/>
    </row>
    <row r="2132" spans="1:69" ht="12.75" customHeight="1" x14ac:dyDescent="0.2">
      <c r="A2132" s="2">
        <v>3621</v>
      </c>
      <c r="B2132" s="2"/>
      <c r="C2132" s="2"/>
      <c r="D2132" s="2"/>
      <c r="E2132" s="2"/>
      <c r="F2132" s="132">
        <v>0</v>
      </c>
      <c r="G2132" s="132"/>
      <c r="H2132" s="132">
        <f t="shared" si="241"/>
        <v>0</v>
      </c>
      <c r="I2132" s="132"/>
      <c r="J2132" s="132">
        <f t="shared" si="239"/>
        <v>0</v>
      </c>
      <c r="K2132" s="132">
        <f t="shared" si="242"/>
        <v>0</v>
      </c>
      <c r="L2132" s="132">
        <f t="shared" si="243"/>
        <v>0</v>
      </c>
      <c r="M2132" s="133"/>
      <c r="N2132" s="133">
        <f t="shared" si="240"/>
        <v>0</v>
      </c>
      <c r="O2132" s="134"/>
      <c r="P2132" s="133"/>
      <c r="Q2132" s="2"/>
      <c r="R2132" s="156">
        <f t="shared" si="244"/>
        <v>0</v>
      </c>
      <c r="S2132" s="156">
        <f t="shared" si="245"/>
        <v>0</v>
      </c>
      <c r="T2132" s="133"/>
      <c r="U2132" s="133"/>
      <c r="V2132" s="133"/>
      <c r="W2132" s="133"/>
      <c r="X2132" s="133"/>
      <c r="Y2132" s="133"/>
      <c r="Z2132" s="133"/>
      <c r="AA2132" s="133"/>
      <c r="AB2132" s="133"/>
      <c r="AC2132" s="133"/>
      <c r="AD2132" s="133"/>
      <c r="AE2132" s="133"/>
      <c r="AF2132" s="133"/>
      <c r="AG2132" s="133"/>
      <c r="AH2132" s="133"/>
      <c r="AI2132" s="133"/>
      <c r="AJ2132" s="133"/>
      <c r="AK2132" s="133"/>
      <c r="AL2132" s="133"/>
      <c r="AM2132" s="133"/>
      <c r="AN2132" s="133"/>
      <c r="AO2132" s="133"/>
      <c r="AP2132" s="133"/>
      <c r="AQ2132" s="133"/>
      <c r="AR2132" s="133"/>
      <c r="AS2132" s="153">
        <v>0</v>
      </c>
      <c r="AT2132" s="153">
        <v>0</v>
      </c>
      <c r="AU2132" s="153">
        <v>0</v>
      </c>
      <c r="AV2132" s="135"/>
      <c r="AW2132" s="135"/>
      <c r="AX2132" s="135"/>
      <c r="AY2132" s="135"/>
      <c r="AZ2132" s="135"/>
      <c r="BA2132" s="135"/>
      <c r="BB2132" s="135"/>
      <c r="BC2132" s="135"/>
      <c r="BD2132" s="135"/>
      <c r="BE2132" s="135"/>
      <c r="BF2132" s="135"/>
      <c r="BG2132" s="135"/>
      <c r="BH2132" s="135"/>
      <c r="BI2132" s="2"/>
      <c r="BJ2132" s="136"/>
      <c r="BK2132" s="2"/>
      <c r="BL2132" s="136"/>
      <c r="BM2132" s="136"/>
      <c r="BN2132" s="2"/>
      <c r="BO2132" s="2"/>
      <c r="BP2132" s="136"/>
      <c r="BQ2132" s="137"/>
    </row>
    <row r="2133" spans="1:69" ht="12.75" customHeight="1" x14ac:dyDescent="0.2">
      <c r="A2133" s="2">
        <v>3622</v>
      </c>
      <c r="B2133" s="2"/>
      <c r="C2133" s="2"/>
      <c r="D2133" s="2"/>
      <c r="E2133" s="2"/>
      <c r="F2133" s="132">
        <v>0</v>
      </c>
      <c r="G2133" s="132"/>
      <c r="H2133" s="132">
        <f t="shared" si="241"/>
        <v>0</v>
      </c>
      <c r="I2133" s="132"/>
      <c r="J2133" s="132">
        <f t="shared" si="239"/>
        <v>0</v>
      </c>
      <c r="K2133" s="132">
        <f t="shared" si="242"/>
        <v>0</v>
      </c>
      <c r="L2133" s="132">
        <f t="shared" si="243"/>
        <v>0</v>
      </c>
      <c r="M2133" s="133"/>
      <c r="N2133" s="133">
        <f t="shared" si="240"/>
        <v>0</v>
      </c>
      <c r="O2133" s="134"/>
      <c r="P2133" s="133"/>
      <c r="Q2133" s="2"/>
      <c r="R2133" s="156">
        <f t="shared" si="244"/>
        <v>0</v>
      </c>
      <c r="S2133" s="156">
        <f t="shared" si="245"/>
        <v>0</v>
      </c>
      <c r="T2133" s="133"/>
      <c r="U2133" s="133"/>
      <c r="V2133" s="133"/>
      <c r="W2133" s="133"/>
      <c r="X2133" s="133"/>
      <c r="Y2133" s="133"/>
      <c r="Z2133" s="133"/>
      <c r="AA2133" s="133"/>
      <c r="AB2133" s="133"/>
      <c r="AC2133" s="133"/>
      <c r="AD2133" s="133"/>
      <c r="AE2133" s="133"/>
      <c r="AF2133" s="133"/>
      <c r="AG2133" s="133"/>
      <c r="AH2133" s="133"/>
      <c r="AI2133" s="133"/>
      <c r="AJ2133" s="133"/>
      <c r="AK2133" s="133"/>
      <c r="AL2133" s="133"/>
      <c r="AM2133" s="133"/>
      <c r="AN2133" s="133"/>
      <c r="AO2133" s="133"/>
      <c r="AP2133" s="133"/>
      <c r="AQ2133" s="133"/>
      <c r="AR2133" s="133"/>
      <c r="AS2133" s="153">
        <v>0</v>
      </c>
      <c r="AT2133" s="153">
        <v>0</v>
      </c>
      <c r="AU2133" s="153">
        <v>0</v>
      </c>
      <c r="AV2133" s="135"/>
      <c r="AW2133" s="135"/>
      <c r="AX2133" s="135"/>
      <c r="AY2133" s="135"/>
      <c r="AZ2133" s="135"/>
      <c r="BA2133" s="135"/>
      <c r="BB2133" s="135"/>
      <c r="BC2133" s="135"/>
      <c r="BD2133" s="135"/>
      <c r="BE2133" s="135"/>
      <c r="BF2133" s="135"/>
      <c r="BG2133" s="135"/>
      <c r="BH2133" s="135"/>
      <c r="BI2133" s="2"/>
      <c r="BJ2133" s="136"/>
      <c r="BK2133" s="2"/>
      <c r="BL2133" s="136"/>
      <c r="BM2133" s="136"/>
      <c r="BN2133" s="2"/>
      <c r="BO2133" s="2"/>
      <c r="BP2133" s="136"/>
      <c r="BQ2133" s="137"/>
    </row>
    <row r="2134" spans="1:69" ht="12.75" customHeight="1" x14ac:dyDescent="0.2">
      <c r="A2134" s="2">
        <v>3623</v>
      </c>
      <c r="B2134" s="2"/>
      <c r="C2134" s="2"/>
      <c r="D2134" s="2"/>
      <c r="E2134" s="2"/>
      <c r="F2134" s="132">
        <v>0</v>
      </c>
      <c r="G2134" s="132"/>
      <c r="H2134" s="132">
        <f t="shared" si="241"/>
        <v>0</v>
      </c>
      <c r="I2134" s="132"/>
      <c r="J2134" s="132">
        <f t="shared" si="239"/>
        <v>0</v>
      </c>
      <c r="K2134" s="132">
        <f t="shared" si="242"/>
        <v>0</v>
      </c>
      <c r="L2134" s="132">
        <f t="shared" si="243"/>
        <v>0</v>
      </c>
      <c r="M2134" s="133"/>
      <c r="N2134" s="133">
        <f t="shared" si="240"/>
        <v>0</v>
      </c>
      <c r="O2134" s="134"/>
      <c r="P2134" s="133"/>
      <c r="Q2134" s="2"/>
      <c r="R2134" s="156">
        <f t="shared" si="244"/>
        <v>0</v>
      </c>
      <c r="S2134" s="156">
        <f t="shared" si="245"/>
        <v>0</v>
      </c>
      <c r="T2134" s="133"/>
      <c r="U2134" s="133"/>
      <c r="V2134" s="133"/>
      <c r="W2134" s="133"/>
      <c r="X2134" s="133"/>
      <c r="Y2134" s="133"/>
      <c r="Z2134" s="133"/>
      <c r="AA2134" s="133"/>
      <c r="AB2134" s="133"/>
      <c r="AC2134" s="133"/>
      <c r="AD2134" s="133"/>
      <c r="AE2134" s="133"/>
      <c r="AF2134" s="133"/>
      <c r="AG2134" s="133"/>
      <c r="AH2134" s="133"/>
      <c r="AI2134" s="133"/>
      <c r="AJ2134" s="133"/>
      <c r="AK2134" s="133"/>
      <c r="AL2134" s="133"/>
      <c r="AM2134" s="133"/>
      <c r="AN2134" s="133"/>
      <c r="AO2134" s="133"/>
      <c r="AP2134" s="133"/>
      <c r="AQ2134" s="133"/>
      <c r="AR2134" s="133"/>
      <c r="AS2134" s="153">
        <v>0</v>
      </c>
      <c r="AT2134" s="153">
        <v>0</v>
      </c>
      <c r="AU2134" s="153">
        <v>0</v>
      </c>
      <c r="AV2134" s="135"/>
      <c r="AW2134" s="135"/>
      <c r="AX2134" s="135"/>
      <c r="AY2134" s="135"/>
      <c r="AZ2134" s="135"/>
      <c r="BA2134" s="135"/>
      <c r="BB2134" s="135"/>
      <c r="BC2134" s="135"/>
      <c r="BD2134" s="135"/>
      <c r="BE2134" s="135"/>
      <c r="BF2134" s="135"/>
      <c r="BG2134" s="135"/>
      <c r="BH2134" s="135"/>
      <c r="BI2134" s="2"/>
      <c r="BJ2134" s="136"/>
      <c r="BK2134" s="2"/>
      <c r="BL2134" s="136"/>
      <c r="BM2134" s="136"/>
      <c r="BN2134" s="2"/>
      <c r="BO2134" s="2"/>
      <c r="BP2134" s="136"/>
      <c r="BQ2134" s="137"/>
    </row>
    <row r="2135" spans="1:69" ht="12.75" customHeight="1" x14ac:dyDescent="0.2">
      <c r="A2135" s="2">
        <v>3624</v>
      </c>
      <c r="B2135" s="2"/>
      <c r="C2135" s="2"/>
      <c r="D2135" s="2"/>
      <c r="E2135" s="2"/>
      <c r="F2135" s="132">
        <v>0</v>
      </c>
      <c r="G2135" s="132"/>
      <c r="H2135" s="132">
        <f t="shared" si="241"/>
        <v>0</v>
      </c>
      <c r="I2135" s="132"/>
      <c r="J2135" s="132">
        <f t="shared" si="239"/>
        <v>0</v>
      </c>
      <c r="K2135" s="132">
        <f t="shared" si="242"/>
        <v>0</v>
      </c>
      <c r="L2135" s="132">
        <f t="shared" si="243"/>
        <v>0</v>
      </c>
      <c r="M2135" s="133"/>
      <c r="N2135" s="133">
        <f t="shared" si="240"/>
        <v>0</v>
      </c>
      <c r="O2135" s="134"/>
      <c r="P2135" s="133"/>
      <c r="Q2135" s="2"/>
      <c r="R2135" s="156">
        <f t="shared" si="244"/>
        <v>0</v>
      </c>
      <c r="S2135" s="156">
        <f t="shared" si="245"/>
        <v>0</v>
      </c>
      <c r="T2135" s="133"/>
      <c r="U2135" s="133"/>
      <c r="V2135" s="133"/>
      <c r="W2135" s="133"/>
      <c r="X2135" s="133"/>
      <c r="Y2135" s="133"/>
      <c r="Z2135" s="133"/>
      <c r="AA2135" s="133"/>
      <c r="AB2135" s="133"/>
      <c r="AC2135" s="133"/>
      <c r="AD2135" s="133"/>
      <c r="AE2135" s="133"/>
      <c r="AF2135" s="133"/>
      <c r="AG2135" s="133"/>
      <c r="AH2135" s="133"/>
      <c r="AI2135" s="133"/>
      <c r="AJ2135" s="133"/>
      <c r="AK2135" s="133"/>
      <c r="AL2135" s="133"/>
      <c r="AM2135" s="133"/>
      <c r="AN2135" s="133"/>
      <c r="AO2135" s="133"/>
      <c r="AP2135" s="133"/>
      <c r="AQ2135" s="133"/>
      <c r="AR2135" s="133"/>
      <c r="AS2135" s="153">
        <v>0</v>
      </c>
      <c r="AT2135" s="153">
        <v>0</v>
      </c>
      <c r="AU2135" s="153">
        <v>0</v>
      </c>
      <c r="AV2135" s="135"/>
      <c r="AW2135" s="135"/>
      <c r="AX2135" s="135"/>
      <c r="AY2135" s="135"/>
      <c r="AZ2135" s="135"/>
      <c r="BA2135" s="135"/>
      <c r="BB2135" s="135"/>
      <c r="BC2135" s="135"/>
      <c r="BD2135" s="135"/>
      <c r="BE2135" s="135"/>
      <c r="BF2135" s="135"/>
      <c r="BG2135" s="135"/>
      <c r="BH2135" s="135"/>
      <c r="BI2135" s="2"/>
      <c r="BJ2135" s="136"/>
      <c r="BK2135" s="2"/>
      <c r="BL2135" s="136"/>
      <c r="BM2135" s="136"/>
      <c r="BN2135" s="2"/>
      <c r="BO2135" s="2"/>
      <c r="BP2135" s="136"/>
      <c r="BQ2135" s="137"/>
    </row>
    <row r="2136" spans="1:69" ht="12.75" customHeight="1" x14ac:dyDescent="0.2">
      <c r="A2136" s="2">
        <v>3625</v>
      </c>
      <c r="B2136" s="2"/>
      <c r="C2136" s="2"/>
      <c r="D2136" s="2"/>
      <c r="E2136" s="2"/>
      <c r="F2136" s="132">
        <v>0</v>
      </c>
      <c r="G2136" s="132"/>
      <c r="H2136" s="132">
        <f t="shared" si="241"/>
        <v>0</v>
      </c>
      <c r="I2136" s="132"/>
      <c r="J2136" s="132">
        <f t="shared" si="239"/>
        <v>0</v>
      </c>
      <c r="K2136" s="132">
        <f t="shared" si="242"/>
        <v>0</v>
      </c>
      <c r="L2136" s="132">
        <f t="shared" si="243"/>
        <v>0</v>
      </c>
      <c r="M2136" s="133"/>
      <c r="N2136" s="133">
        <f t="shared" si="240"/>
        <v>0</v>
      </c>
      <c r="O2136" s="134"/>
      <c r="P2136" s="133"/>
      <c r="Q2136" s="2"/>
      <c r="R2136" s="156">
        <f t="shared" si="244"/>
        <v>0</v>
      </c>
      <c r="S2136" s="156">
        <f t="shared" si="245"/>
        <v>0</v>
      </c>
      <c r="T2136" s="133"/>
      <c r="U2136" s="133"/>
      <c r="V2136" s="133"/>
      <c r="W2136" s="133"/>
      <c r="X2136" s="133"/>
      <c r="Y2136" s="133"/>
      <c r="Z2136" s="133"/>
      <c r="AA2136" s="133"/>
      <c r="AB2136" s="133"/>
      <c r="AC2136" s="133"/>
      <c r="AD2136" s="133"/>
      <c r="AE2136" s="133"/>
      <c r="AF2136" s="133"/>
      <c r="AG2136" s="133"/>
      <c r="AH2136" s="133"/>
      <c r="AI2136" s="133"/>
      <c r="AJ2136" s="133"/>
      <c r="AK2136" s="133"/>
      <c r="AL2136" s="133"/>
      <c r="AM2136" s="133"/>
      <c r="AN2136" s="133"/>
      <c r="AO2136" s="133"/>
      <c r="AP2136" s="133"/>
      <c r="AQ2136" s="133"/>
      <c r="AR2136" s="133"/>
      <c r="AS2136" s="153">
        <v>0</v>
      </c>
      <c r="AT2136" s="153">
        <v>0</v>
      </c>
      <c r="AU2136" s="153">
        <v>0</v>
      </c>
      <c r="AV2136" s="135"/>
      <c r="AW2136" s="135"/>
      <c r="AX2136" s="135"/>
      <c r="AY2136" s="135"/>
      <c r="AZ2136" s="135"/>
      <c r="BA2136" s="135"/>
      <c r="BB2136" s="135"/>
      <c r="BC2136" s="135"/>
      <c r="BD2136" s="135"/>
      <c r="BE2136" s="135"/>
      <c r="BF2136" s="135"/>
      <c r="BG2136" s="135"/>
      <c r="BH2136" s="135"/>
      <c r="BI2136" s="2"/>
      <c r="BJ2136" s="136"/>
      <c r="BK2136" s="2"/>
      <c r="BL2136" s="136"/>
      <c r="BM2136" s="136"/>
      <c r="BN2136" s="2"/>
      <c r="BO2136" s="2"/>
      <c r="BP2136" s="136"/>
      <c r="BQ2136" s="137"/>
    </row>
    <row r="2137" spans="1:69" ht="12.75" customHeight="1" x14ac:dyDescent="0.2">
      <c r="A2137" s="2">
        <v>3626</v>
      </c>
      <c r="B2137" s="2"/>
      <c r="C2137" s="2"/>
      <c r="D2137" s="2"/>
      <c r="E2137" s="2"/>
      <c r="F2137" s="132">
        <v>0</v>
      </c>
      <c r="G2137" s="132"/>
      <c r="H2137" s="132">
        <f t="shared" si="241"/>
        <v>0</v>
      </c>
      <c r="I2137" s="132"/>
      <c r="J2137" s="132">
        <f t="shared" si="239"/>
        <v>0</v>
      </c>
      <c r="K2137" s="132">
        <f t="shared" si="242"/>
        <v>0</v>
      </c>
      <c r="L2137" s="132">
        <f t="shared" si="243"/>
        <v>0</v>
      </c>
      <c r="M2137" s="133"/>
      <c r="N2137" s="133">
        <f t="shared" si="240"/>
        <v>0</v>
      </c>
      <c r="O2137" s="134"/>
      <c r="P2137" s="133"/>
      <c r="Q2137" s="2"/>
      <c r="R2137" s="156">
        <f t="shared" si="244"/>
        <v>0</v>
      </c>
      <c r="S2137" s="156">
        <f t="shared" si="245"/>
        <v>0</v>
      </c>
      <c r="T2137" s="133"/>
      <c r="U2137" s="133"/>
      <c r="V2137" s="133"/>
      <c r="W2137" s="133"/>
      <c r="X2137" s="133"/>
      <c r="Y2137" s="133"/>
      <c r="Z2137" s="133"/>
      <c r="AA2137" s="133"/>
      <c r="AB2137" s="133"/>
      <c r="AC2137" s="133"/>
      <c r="AD2137" s="133"/>
      <c r="AE2137" s="133"/>
      <c r="AF2137" s="133"/>
      <c r="AG2137" s="133"/>
      <c r="AH2137" s="133"/>
      <c r="AI2137" s="133"/>
      <c r="AJ2137" s="133"/>
      <c r="AK2137" s="133"/>
      <c r="AL2137" s="133"/>
      <c r="AM2137" s="133"/>
      <c r="AN2137" s="133"/>
      <c r="AO2137" s="133"/>
      <c r="AP2137" s="133"/>
      <c r="AQ2137" s="133"/>
      <c r="AR2137" s="133"/>
      <c r="AS2137" s="153">
        <v>0</v>
      </c>
      <c r="AT2137" s="153">
        <v>0</v>
      </c>
      <c r="AU2137" s="153">
        <v>0</v>
      </c>
      <c r="AV2137" s="135"/>
      <c r="AW2137" s="135"/>
      <c r="AX2137" s="135"/>
      <c r="AY2137" s="135"/>
      <c r="AZ2137" s="135"/>
      <c r="BA2137" s="135"/>
      <c r="BB2137" s="135"/>
      <c r="BC2137" s="135"/>
      <c r="BD2137" s="135"/>
      <c r="BE2137" s="135"/>
      <c r="BF2137" s="135"/>
      <c r="BG2137" s="135"/>
      <c r="BH2137" s="135"/>
      <c r="BI2137" s="2"/>
      <c r="BJ2137" s="136"/>
      <c r="BK2137" s="2"/>
      <c r="BL2137" s="136"/>
      <c r="BM2137" s="136"/>
      <c r="BN2137" s="2"/>
      <c r="BO2137" s="2"/>
      <c r="BP2137" s="136"/>
      <c r="BQ2137" s="137"/>
    </row>
    <row r="2138" spans="1:69" ht="12.75" customHeight="1" x14ac:dyDescent="0.2">
      <c r="A2138" s="2">
        <v>3627</v>
      </c>
      <c r="B2138" s="2"/>
      <c r="C2138" s="2"/>
      <c r="D2138" s="2"/>
      <c r="E2138" s="2"/>
      <c r="F2138" s="132">
        <v>0</v>
      </c>
      <c r="G2138" s="132"/>
      <c r="H2138" s="132">
        <f t="shared" si="241"/>
        <v>0</v>
      </c>
      <c r="I2138" s="132"/>
      <c r="J2138" s="132">
        <f t="shared" si="239"/>
        <v>0</v>
      </c>
      <c r="K2138" s="132">
        <f t="shared" si="242"/>
        <v>0</v>
      </c>
      <c r="L2138" s="132">
        <f t="shared" si="243"/>
        <v>0</v>
      </c>
      <c r="M2138" s="133"/>
      <c r="N2138" s="133">
        <f t="shared" si="240"/>
        <v>0</v>
      </c>
      <c r="O2138" s="134"/>
      <c r="P2138" s="133"/>
      <c r="Q2138" s="2"/>
      <c r="R2138" s="156">
        <f t="shared" si="244"/>
        <v>0</v>
      </c>
      <c r="S2138" s="156">
        <f t="shared" si="245"/>
        <v>0</v>
      </c>
      <c r="T2138" s="133"/>
      <c r="U2138" s="133"/>
      <c r="V2138" s="133"/>
      <c r="W2138" s="133"/>
      <c r="X2138" s="133"/>
      <c r="Y2138" s="133"/>
      <c r="Z2138" s="133"/>
      <c r="AA2138" s="133"/>
      <c r="AB2138" s="133"/>
      <c r="AC2138" s="133"/>
      <c r="AD2138" s="133"/>
      <c r="AE2138" s="133"/>
      <c r="AF2138" s="133"/>
      <c r="AG2138" s="133"/>
      <c r="AH2138" s="133"/>
      <c r="AI2138" s="133"/>
      <c r="AJ2138" s="133"/>
      <c r="AK2138" s="133"/>
      <c r="AL2138" s="133"/>
      <c r="AM2138" s="133"/>
      <c r="AN2138" s="133"/>
      <c r="AO2138" s="133"/>
      <c r="AP2138" s="133"/>
      <c r="AQ2138" s="133"/>
      <c r="AR2138" s="133"/>
      <c r="AS2138" s="153">
        <v>0</v>
      </c>
      <c r="AT2138" s="153">
        <v>0</v>
      </c>
      <c r="AU2138" s="153">
        <v>0</v>
      </c>
      <c r="AV2138" s="135"/>
      <c r="AW2138" s="135"/>
      <c r="AX2138" s="135"/>
      <c r="AY2138" s="135"/>
      <c r="AZ2138" s="135"/>
      <c r="BA2138" s="135"/>
      <c r="BB2138" s="135"/>
      <c r="BC2138" s="135"/>
      <c r="BD2138" s="135"/>
      <c r="BE2138" s="135"/>
      <c r="BF2138" s="135"/>
      <c r="BG2138" s="135"/>
      <c r="BH2138" s="135"/>
      <c r="BI2138" s="2"/>
      <c r="BJ2138" s="136"/>
      <c r="BK2138" s="2"/>
      <c r="BL2138" s="136"/>
      <c r="BM2138" s="136"/>
      <c r="BN2138" s="2"/>
      <c r="BO2138" s="2"/>
      <c r="BP2138" s="136"/>
      <c r="BQ2138" s="137"/>
    </row>
    <row r="2139" spans="1:69" ht="12.75" customHeight="1" x14ac:dyDescent="0.2">
      <c r="A2139" s="2">
        <v>3628</v>
      </c>
      <c r="B2139" s="2"/>
      <c r="C2139" s="2"/>
      <c r="D2139" s="2"/>
      <c r="E2139" s="2"/>
      <c r="F2139" s="132">
        <v>0</v>
      </c>
      <c r="G2139" s="132"/>
      <c r="H2139" s="132">
        <f t="shared" si="241"/>
        <v>0</v>
      </c>
      <c r="I2139" s="132"/>
      <c r="J2139" s="132">
        <f t="shared" si="239"/>
        <v>0</v>
      </c>
      <c r="K2139" s="132">
        <f t="shared" si="242"/>
        <v>0</v>
      </c>
      <c r="L2139" s="132">
        <f t="shared" si="243"/>
        <v>0</v>
      </c>
      <c r="M2139" s="133"/>
      <c r="N2139" s="133">
        <f t="shared" si="240"/>
        <v>0</v>
      </c>
      <c r="O2139" s="134"/>
      <c r="P2139" s="133"/>
      <c r="Q2139" s="2"/>
      <c r="R2139" s="156">
        <f t="shared" si="244"/>
        <v>0</v>
      </c>
      <c r="S2139" s="156">
        <f t="shared" si="245"/>
        <v>0</v>
      </c>
      <c r="T2139" s="133"/>
      <c r="U2139" s="133"/>
      <c r="V2139" s="133"/>
      <c r="W2139" s="133"/>
      <c r="X2139" s="133"/>
      <c r="Y2139" s="133"/>
      <c r="Z2139" s="133"/>
      <c r="AA2139" s="133"/>
      <c r="AB2139" s="133"/>
      <c r="AC2139" s="133"/>
      <c r="AD2139" s="133"/>
      <c r="AE2139" s="133"/>
      <c r="AF2139" s="133"/>
      <c r="AG2139" s="133"/>
      <c r="AH2139" s="133"/>
      <c r="AI2139" s="133"/>
      <c r="AJ2139" s="133"/>
      <c r="AK2139" s="133"/>
      <c r="AL2139" s="133"/>
      <c r="AM2139" s="133"/>
      <c r="AN2139" s="133"/>
      <c r="AO2139" s="133"/>
      <c r="AP2139" s="133"/>
      <c r="AQ2139" s="133"/>
      <c r="AR2139" s="133"/>
      <c r="AS2139" s="153">
        <v>0</v>
      </c>
      <c r="AT2139" s="153">
        <v>0</v>
      </c>
      <c r="AU2139" s="153">
        <v>0</v>
      </c>
      <c r="AV2139" s="135"/>
      <c r="AW2139" s="135"/>
      <c r="AX2139" s="135"/>
      <c r="AY2139" s="135"/>
      <c r="AZ2139" s="135"/>
      <c r="BA2139" s="135"/>
      <c r="BB2139" s="135"/>
      <c r="BC2139" s="135"/>
      <c r="BD2139" s="135"/>
      <c r="BE2139" s="135"/>
      <c r="BF2139" s="135"/>
      <c r="BG2139" s="135"/>
      <c r="BH2139" s="135"/>
      <c r="BI2139" s="2"/>
      <c r="BJ2139" s="136"/>
      <c r="BK2139" s="2"/>
      <c r="BL2139" s="136"/>
      <c r="BM2139" s="136"/>
      <c r="BN2139" s="2"/>
      <c r="BO2139" s="2"/>
      <c r="BP2139" s="136"/>
      <c r="BQ2139" s="137"/>
    </row>
    <row r="2140" spans="1:69" ht="12.75" customHeight="1" x14ac:dyDescent="0.2">
      <c r="A2140" s="2">
        <v>3629</v>
      </c>
      <c r="B2140" s="2"/>
      <c r="C2140" s="2"/>
      <c r="D2140" s="2"/>
      <c r="E2140" s="2"/>
      <c r="F2140" s="132">
        <v>0</v>
      </c>
      <c r="G2140" s="132"/>
      <c r="H2140" s="132">
        <f t="shared" si="241"/>
        <v>0</v>
      </c>
      <c r="I2140" s="132"/>
      <c r="J2140" s="132">
        <f t="shared" si="239"/>
        <v>0</v>
      </c>
      <c r="K2140" s="132">
        <f t="shared" si="242"/>
        <v>0</v>
      </c>
      <c r="L2140" s="132">
        <f t="shared" si="243"/>
        <v>0</v>
      </c>
      <c r="M2140" s="133"/>
      <c r="N2140" s="133">
        <f t="shared" si="240"/>
        <v>0</v>
      </c>
      <c r="O2140" s="134"/>
      <c r="P2140" s="133"/>
      <c r="Q2140" s="2"/>
      <c r="R2140" s="156">
        <f t="shared" si="244"/>
        <v>0</v>
      </c>
      <c r="S2140" s="156">
        <f t="shared" si="245"/>
        <v>0</v>
      </c>
      <c r="T2140" s="133"/>
      <c r="U2140" s="133"/>
      <c r="V2140" s="133"/>
      <c r="W2140" s="133"/>
      <c r="X2140" s="133"/>
      <c r="Y2140" s="133"/>
      <c r="Z2140" s="133"/>
      <c r="AA2140" s="133"/>
      <c r="AB2140" s="133"/>
      <c r="AC2140" s="133"/>
      <c r="AD2140" s="133"/>
      <c r="AE2140" s="133"/>
      <c r="AF2140" s="133"/>
      <c r="AG2140" s="133"/>
      <c r="AH2140" s="133"/>
      <c r="AI2140" s="133"/>
      <c r="AJ2140" s="133"/>
      <c r="AK2140" s="133"/>
      <c r="AL2140" s="133"/>
      <c r="AM2140" s="133"/>
      <c r="AN2140" s="133"/>
      <c r="AO2140" s="133"/>
      <c r="AP2140" s="133"/>
      <c r="AQ2140" s="133"/>
      <c r="AR2140" s="133"/>
      <c r="AS2140" s="153">
        <v>0</v>
      </c>
      <c r="AT2140" s="153">
        <v>0</v>
      </c>
      <c r="AU2140" s="153">
        <v>0</v>
      </c>
      <c r="AV2140" s="135"/>
      <c r="AW2140" s="135"/>
      <c r="AX2140" s="135"/>
      <c r="AY2140" s="135"/>
      <c r="AZ2140" s="135"/>
      <c r="BA2140" s="135"/>
      <c r="BB2140" s="135"/>
      <c r="BC2140" s="135"/>
      <c r="BD2140" s="135"/>
      <c r="BE2140" s="135"/>
      <c r="BF2140" s="135"/>
      <c r="BG2140" s="135"/>
      <c r="BH2140" s="135"/>
      <c r="BI2140" s="2"/>
      <c r="BJ2140" s="136"/>
      <c r="BK2140" s="2"/>
      <c r="BL2140" s="136"/>
      <c r="BM2140" s="136"/>
      <c r="BN2140" s="2"/>
      <c r="BO2140" s="2"/>
      <c r="BP2140" s="136"/>
      <c r="BQ2140" s="137"/>
    </row>
    <row r="2141" spans="1:69" ht="12.75" customHeight="1" x14ac:dyDescent="0.2">
      <c r="A2141" s="2">
        <v>3630</v>
      </c>
      <c r="B2141" s="2"/>
      <c r="C2141" s="2"/>
      <c r="D2141" s="2"/>
      <c r="E2141" s="2"/>
      <c r="F2141" s="132">
        <v>0</v>
      </c>
      <c r="G2141" s="132"/>
      <c r="H2141" s="132">
        <f t="shared" si="241"/>
        <v>0</v>
      </c>
      <c r="I2141" s="132"/>
      <c r="J2141" s="132">
        <f t="shared" si="239"/>
        <v>0</v>
      </c>
      <c r="K2141" s="132">
        <f t="shared" si="242"/>
        <v>0</v>
      </c>
      <c r="L2141" s="132">
        <f t="shared" si="243"/>
        <v>0</v>
      </c>
      <c r="M2141" s="133"/>
      <c r="N2141" s="133">
        <f t="shared" si="240"/>
        <v>0</v>
      </c>
      <c r="O2141" s="134"/>
      <c r="P2141" s="133"/>
      <c r="Q2141" s="2"/>
      <c r="R2141" s="156">
        <f t="shared" si="244"/>
        <v>0</v>
      </c>
      <c r="S2141" s="156">
        <f t="shared" si="245"/>
        <v>0</v>
      </c>
      <c r="T2141" s="133"/>
      <c r="U2141" s="133"/>
      <c r="V2141" s="133"/>
      <c r="W2141" s="133"/>
      <c r="X2141" s="133"/>
      <c r="Y2141" s="133"/>
      <c r="Z2141" s="133"/>
      <c r="AA2141" s="133"/>
      <c r="AB2141" s="133"/>
      <c r="AC2141" s="133"/>
      <c r="AD2141" s="133"/>
      <c r="AE2141" s="133"/>
      <c r="AF2141" s="133"/>
      <c r="AG2141" s="133"/>
      <c r="AH2141" s="133"/>
      <c r="AI2141" s="133"/>
      <c r="AJ2141" s="133"/>
      <c r="AK2141" s="133"/>
      <c r="AL2141" s="133"/>
      <c r="AM2141" s="133"/>
      <c r="AN2141" s="133"/>
      <c r="AO2141" s="133"/>
      <c r="AP2141" s="133"/>
      <c r="AQ2141" s="133"/>
      <c r="AR2141" s="133"/>
      <c r="AS2141" s="153">
        <v>0</v>
      </c>
      <c r="AT2141" s="153">
        <v>0</v>
      </c>
      <c r="AU2141" s="153">
        <v>0</v>
      </c>
      <c r="AV2141" s="135"/>
      <c r="AW2141" s="135"/>
      <c r="AX2141" s="135"/>
      <c r="AY2141" s="135"/>
      <c r="AZ2141" s="135"/>
      <c r="BA2141" s="135"/>
      <c r="BB2141" s="135"/>
      <c r="BC2141" s="135"/>
      <c r="BD2141" s="135"/>
      <c r="BE2141" s="135"/>
      <c r="BF2141" s="135"/>
      <c r="BG2141" s="135"/>
      <c r="BH2141" s="135"/>
      <c r="BI2141" s="2"/>
      <c r="BJ2141" s="136"/>
      <c r="BK2141" s="2"/>
      <c r="BL2141" s="136"/>
      <c r="BM2141" s="136"/>
      <c r="BN2141" s="2"/>
      <c r="BO2141" s="2"/>
      <c r="BP2141" s="136"/>
      <c r="BQ2141" s="137"/>
    </row>
    <row r="2142" spans="1:69" ht="12.75" customHeight="1" x14ac:dyDescent="0.2">
      <c r="A2142" s="2">
        <v>3631</v>
      </c>
      <c r="B2142" s="2"/>
      <c r="C2142" s="2"/>
      <c r="D2142" s="2"/>
      <c r="E2142" s="2"/>
      <c r="F2142" s="132">
        <v>0</v>
      </c>
      <c r="G2142" s="132"/>
      <c r="H2142" s="132">
        <f t="shared" si="241"/>
        <v>0</v>
      </c>
      <c r="I2142" s="132"/>
      <c r="J2142" s="132">
        <f t="shared" si="239"/>
        <v>0</v>
      </c>
      <c r="K2142" s="132">
        <f t="shared" si="242"/>
        <v>0</v>
      </c>
      <c r="L2142" s="132">
        <f t="shared" si="243"/>
        <v>0</v>
      </c>
      <c r="M2142" s="133"/>
      <c r="N2142" s="133">
        <f t="shared" si="240"/>
        <v>0</v>
      </c>
      <c r="O2142" s="134"/>
      <c r="P2142" s="133"/>
      <c r="Q2142" s="2"/>
      <c r="R2142" s="156">
        <f t="shared" si="244"/>
        <v>0</v>
      </c>
      <c r="S2142" s="156">
        <f t="shared" si="245"/>
        <v>0</v>
      </c>
      <c r="T2142" s="133"/>
      <c r="U2142" s="133"/>
      <c r="V2142" s="133"/>
      <c r="W2142" s="133"/>
      <c r="X2142" s="133"/>
      <c r="Y2142" s="133"/>
      <c r="Z2142" s="133"/>
      <c r="AA2142" s="133"/>
      <c r="AB2142" s="133"/>
      <c r="AC2142" s="133"/>
      <c r="AD2142" s="133"/>
      <c r="AE2142" s="133"/>
      <c r="AF2142" s="133"/>
      <c r="AG2142" s="133"/>
      <c r="AH2142" s="133"/>
      <c r="AI2142" s="133"/>
      <c r="AJ2142" s="133"/>
      <c r="AK2142" s="133"/>
      <c r="AL2142" s="133"/>
      <c r="AM2142" s="133"/>
      <c r="AN2142" s="133"/>
      <c r="AO2142" s="133"/>
      <c r="AP2142" s="133"/>
      <c r="AQ2142" s="133"/>
      <c r="AR2142" s="133"/>
      <c r="AS2142" s="153">
        <v>0</v>
      </c>
      <c r="AT2142" s="153">
        <v>0</v>
      </c>
      <c r="AU2142" s="153">
        <v>0</v>
      </c>
      <c r="AV2142" s="135"/>
      <c r="AW2142" s="135"/>
      <c r="AX2142" s="135"/>
      <c r="AY2142" s="135"/>
      <c r="AZ2142" s="135"/>
      <c r="BA2142" s="135"/>
      <c r="BB2142" s="135"/>
      <c r="BC2142" s="135"/>
      <c r="BD2142" s="135"/>
      <c r="BE2142" s="135"/>
      <c r="BF2142" s="135"/>
      <c r="BG2142" s="135"/>
      <c r="BH2142" s="135"/>
      <c r="BI2142" s="2"/>
      <c r="BJ2142" s="136"/>
      <c r="BK2142" s="2"/>
      <c r="BL2142" s="136"/>
      <c r="BM2142" s="136"/>
      <c r="BN2142" s="2"/>
      <c r="BO2142" s="2"/>
      <c r="BP2142" s="136"/>
      <c r="BQ2142" s="137"/>
    </row>
    <row r="2143" spans="1:69" ht="12.75" customHeight="1" x14ac:dyDescent="0.2">
      <c r="A2143" s="2">
        <v>3632</v>
      </c>
      <c r="B2143" s="2"/>
      <c r="C2143" s="2"/>
      <c r="D2143" s="2"/>
      <c r="E2143" s="2"/>
      <c r="F2143" s="132">
        <v>0</v>
      </c>
      <c r="G2143" s="132"/>
      <c r="H2143" s="132">
        <f t="shared" si="241"/>
        <v>0</v>
      </c>
      <c r="I2143" s="132"/>
      <c r="J2143" s="132">
        <f t="shared" si="239"/>
        <v>0</v>
      </c>
      <c r="K2143" s="132">
        <f t="shared" si="242"/>
        <v>0</v>
      </c>
      <c r="L2143" s="132">
        <f t="shared" si="243"/>
        <v>0</v>
      </c>
      <c r="M2143" s="133"/>
      <c r="N2143" s="133">
        <f t="shared" si="240"/>
        <v>0</v>
      </c>
      <c r="O2143" s="134"/>
      <c r="P2143" s="133"/>
      <c r="Q2143" s="2"/>
      <c r="R2143" s="156">
        <f t="shared" si="244"/>
        <v>0</v>
      </c>
      <c r="S2143" s="156">
        <f t="shared" si="245"/>
        <v>0</v>
      </c>
      <c r="T2143" s="133"/>
      <c r="U2143" s="133"/>
      <c r="V2143" s="133"/>
      <c r="W2143" s="133"/>
      <c r="X2143" s="133"/>
      <c r="Y2143" s="133"/>
      <c r="Z2143" s="133"/>
      <c r="AA2143" s="133"/>
      <c r="AB2143" s="133"/>
      <c r="AC2143" s="133"/>
      <c r="AD2143" s="133"/>
      <c r="AE2143" s="133"/>
      <c r="AF2143" s="133"/>
      <c r="AG2143" s="133"/>
      <c r="AH2143" s="133"/>
      <c r="AI2143" s="133"/>
      <c r="AJ2143" s="133"/>
      <c r="AK2143" s="133"/>
      <c r="AL2143" s="133"/>
      <c r="AM2143" s="133"/>
      <c r="AN2143" s="133"/>
      <c r="AO2143" s="133"/>
      <c r="AP2143" s="133"/>
      <c r="AQ2143" s="133"/>
      <c r="AR2143" s="133"/>
      <c r="AS2143" s="153">
        <v>0</v>
      </c>
      <c r="AT2143" s="153">
        <v>0</v>
      </c>
      <c r="AU2143" s="153">
        <v>0</v>
      </c>
      <c r="AV2143" s="135"/>
      <c r="AW2143" s="135"/>
      <c r="AX2143" s="135"/>
      <c r="AY2143" s="135"/>
      <c r="AZ2143" s="135"/>
      <c r="BA2143" s="135"/>
      <c r="BB2143" s="135"/>
      <c r="BC2143" s="135"/>
      <c r="BD2143" s="135"/>
      <c r="BE2143" s="135"/>
      <c r="BF2143" s="135"/>
      <c r="BG2143" s="135"/>
      <c r="BH2143" s="135"/>
      <c r="BI2143" s="2"/>
      <c r="BJ2143" s="136"/>
      <c r="BK2143" s="2"/>
      <c r="BL2143" s="136"/>
      <c r="BM2143" s="136"/>
      <c r="BN2143" s="2"/>
      <c r="BO2143" s="2"/>
      <c r="BP2143" s="136"/>
      <c r="BQ2143" s="137"/>
    </row>
    <row r="2144" spans="1:69" ht="12.75" customHeight="1" x14ac:dyDescent="0.2">
      <c r="A2144" s="2">
        <v>3633</v>
      </c>
      <c r="B2144" s="2"/>
      <c r="C2144" s="2"/>
      <c r="D2144" s="2"/>
      <c r="E2144" s="2"/>
      <c r="F2144" s="132">
        <v>0</v>
      </c>
      <c r="G2144" s="132"/>
      <c r="H2144" s="132">
        <f t="shared" si="241"/>
        <v>0</v>
      </c>
      <c r="I2144" s="132"/>
      <c r="J2144" s="132">
        <f t="shared" si="239"/>
        <v>0</v>
      </c>
      <c r="K2144" s="132">
        <f t="shared" si="242"/>
        <v>0</v>
      </c>
      <c r="L2144" s="132">
        <f t="shared" si="243"/>
        <v>0</v>
      </c>
      <c r="M2144" s="133"/>
      <c r="N2144" s="133">
        <f t="shared" si="240"/>
        <v>0</v>
      </c>
      <c r="O2144" s="134"/>
      <c r="P2144" s="133"/>
      <c r="Q2144" s="2"/>
      <c r="R2144" s="156">
        <f t="shared" si="244"/>
        <v>0</v>
      </c>
      <c r="S2144" s="156">
        <f t="shared" si="245"/>
        <v>0</v>
      </c>
      <c r="T2144" s="133"/>
      <c r="U2144" s="133"/>
      <c r="V2144" s="133"/>
      <c r="W2144" s="133"/>
      <c r="X2144" s="133"/>
      <c r="Y2144" s="133"/>
      <c r="Z2144" s="133"/>
      <c r="AA2144" s="133"/>
      <c r="AB2144" s="133"/>
      <c r="AC2144" s="133"/>
      <c r="AD2144" s="133"/>
      <c r="AE2144" s="133"/>
      <c r="AF2144" s="133"/>
      <c r="AG2144" s="133"/>
      <c r="AH2144" s="133"/>
      <c r="AI2144" s="133"/>
      <c r="AJ2144" s="133"/>
      <c r="AK2144" s="133"/>
      <c r="AL2144" s="133"/>
      <c r="AM2144" s="133"/>
      <c r="AN2144" s="133"/>
      <c r="AO2144" s="133"/>
      <c r="AP2144" s="133"/>
      <c r="AQ2144" s="133"/>
      <c r="AR2144" s="133"/>
      <c r="AS2144" s="153">
        <v>0</v>
      </c>
      <c r="AT2144" s="153">
        <v>0</v>
      </c>
      <c r="AU2144" s="153">
        <v>0</v>
      </c>
      <c r="AV2144" s="135"/>
      <c r="AW2144" s="135"/>
      <c r="AX2144" s="135"/>
      <c r="AY2144" s="135"/>
      <c r="AZ2144" s="135"/>
      <c r="BA2144" s="135"/>
      <c r="BB2144" s="135"/>
      <c r="BC2144" s="135"/>
      <c r="BD2144" s="135"/>
      <c r="BE2144" s="135"/>
      <c r="BF2144" s="135"/>
      <c r="BG2144" s="135"/>
      <c r="BH2144" s="135"/>
      <c r="BI2144" s="2"/>
      <c r="BJ2144" s="136"/>
      <c r="BK2144" s="2"/>
      <c r="BL2144" s="136"/>
      <c r="BM2144" s="136"/>
      <c r="BN2144" s="2"/>
      <c r="BO2144" s="2"/>
      <c r="BP2144" s="136"/>
      <c r="BQ2144" s="137"/>
    </row>
    <row r="2145" spans="1:69" ht="12.75" customHeight="1" x14ac:dyDescent="0.2">
      <c r="A2145" s="2">
        <v>3634</v>
      </c>
      <c r="B2145" s="2"/>
      <c r="C2145" s="2"/>
      <c r="D2145" s="2"/>
      <c r="E2145" s="2"/>
      <c r="F2145" s="132">
        <v>0</v>
      </c>
      <c r="G2145" s="132"/>
      <c r="H2145" s="132">
        <f t="shared" si="241"/>
        <v>0</v>
      </c>
      <c r="I2145" s="132"/>
      <c r="J2145" s="132">
        <f t="shared" si="239"/>
        <v>0</v>
      </c>
      <c r="K2145" s="132">
        <f t="shared" si="242"/>
        <v>0</v>
      </c>
      <c r="L2145" s="132">
        <f t="shared" si="243"/>
        <v>0</v>
      </c>
      <c r="M2145" s="133"/>
      <c r="N2145" s="133">
        <f t="shared" si="240"/>
        <v>0</v>
      </c>
      <c r="O2145" s="134"/>
      <c r="P2145" s="133"/>
      <c r="Q2145" s="2"/>
      <c r="R2145" s="156">
        <f t="shared" si="244"/>
        <v>0</v>
      </c>
      <c r="S2145" s="156">
        <f t="shared" si="245"/>
        <v>0</v>
      </c>
      <c r="T2145" s="133"/>
      <c r="U2145" s="133"/>
      <c r="V2145" s="133"/>
      <c r="W2145" s="133"/>
      <c r="X2145" s="133"/>
      <c r="Y2145" s="133"/>
      <c r="Z2145" s="133"/>
      <c r="AA2145" s="133"/>
      <c r="AB2145" s="133"/>
      <c r="AC2145" s="133"/>
      <c r="AD2145" s="133"/>
      <c r="AE2145" s="133"/>
      <c r="AF2145" s="133"/>
      <c r="AG2145" s="133"/>
      <c r="AH2145" s="133"/>
      <c r="AI2145" s="133"/>
      <c r="AJ2145" s="133"/>
      <c r="AK2145" s="133"/>
      <c r="AL2145" s="133"/>
      <c r="AM2145" s="133"/>
      <c r="AN2145" s="133"/>
      <c r="AO2145" s="133"/>
      <c r="AP2145" s="133"/>
      <c r="AQ2145" s="133"/>
      <c r="AR2145" s="133"/>
      <c r="AS2145" s="153">
        <v>0</v>
      </c>
      <c r="AT2145" s="153">
        <v>0</v>
      </c>
      <c r="AU2145" s="153">
        <v>0</v>
      </c>
      <c r="AV2145" s="135"/>
      <c r="AW2145" s="135"/>
      <c r="AX2145" s="135"/>
      <c r="AY2145" s="135"/>
      <c r="AZ2145" s="135"/>
      <c r="BA2145" s="135"/>
      <c r="BB2145" s="135"/>
      <c r="BC2145" s="135"/>
      <c r="BD2145" s="135"/>
      <c r="BE2145" s="135"/>
      <c r="BF2145" s="135"/>
      <c r="BG2145" s="135"/>
      <c r="BH2145" s="135"/>
      <c r="BI2145" s="2"/>
      <c r="BJ2145" s="136"/>
      <c r="BK2145" s="2"/>
      <c r="BL2145" s="136"/>
      <c r="BM2145" s="136"/>
      <c r="BN2145" s="2"/>
      <c r="BO2145" s="2"/>
      <c r="BP2145" s="136"/>
      <c r="BQ2145" s="137"/>
    </row>
    <row r="2146" spans="1:69" ht="12.75" customHeight="1" x14ac:dyDescent="0.2">
      <c r="A2146" s="2">
        <v>3635</v>
      </c>
      <c r="B2146" s="2"/>
      <c r="C2146" s="2"/>
      <c r="D2146" s="2"/>
      <c r="E2146" s="2"/>
      <c r="F2146" s="132">
        <v>0</v>
      </c>
      <c r="G2146" s="132"/>
      <c r="H2146" s="132">
        <f t="shared" si="241"/>
        <v>0</v>
      </c>
      <c r="I2146" s="132"/>
      <c r="J2146" s="132">
        <f t="shared" si="239"/>
        <v>0</v>
      </c>
      <c r="K2146" s="132">
        <f t="shared" si="242"/>
        <v>0</v>
      </c>
      <c r="L2146" s="132">
        <f t="shared" si="243"/>
        <v>0</v>
      </c>
      <c r="M2146" s="133"/>
      <c r="N2146" s="133">
        <f t="shared" si="240"/>
        <v>0</v>
      </c>
      <c r="O2146" s="134"/>
      <c r="P2146" s="133"/>
      <c r="Q2146" s="2"/>
      <c r="R2146" s="156">
        <f t="shared" si="244"/>
        <v>0</v>
      </c>
      <c r="S2146" s="156">
        <f t="shared" si="245"/>
        <v>0</v>
      </c>
      <c r="T2146" s="133"/>
      <c r="U2146" s="133"/>
      <c r="V2146" s="133"/>
      <c r="W2146" s="133"/>
      <c r="X2146" s="133"/>
      <c r="Y2146" s="133"/>
      <c r="Z2146" s="133"/>
      <c r="AA2146" s="133"/>
      <c r="AB2146" s="133"/>
      <c r="AC2146" s="133"/>
      <c r="AD2146" s="133"/>
      <c r="AE2146" s="133"/>
      <c r="AF2146" s="133"/>
      <c r="AG2146" s="133"/>
      <c r="AH2146" s="133"/>
      <c r="AI2146" s="133"/>
      <c r="AJ2146" s="133"/>
      <c r="AK2146" s="133"/>
      <c r="AL2146" s="133"/>
      <c r="AM2146" s="133"/>
      <c r="AN2146" s="133"/>
      <c r="AO2146" s="133"/>
      <c r="AP2146" s="133"/>
      <c r="AQ2146" s="133"/>
      <c r="AR2146" s="133"/>
      <c r="AS2146" s="153">
        <v>0</v>
      </c>
      <c r="AT2146" s="153">
        <v>0</v>
      </c>
      <c r="AU2146" s="153">
        <v>0</v>
      </c>
      <c r="AV2146" s="135"/>
      <c r="AW2146" s="135"/>
      <c r="AX2146" s="135"/>
      <c r="AY2146" s="135"/>
      <c r="AZ2146" s="135"/>
      <c r="BA2146" s="135"/>
      <c r="BB2146" s="135"/>
      <c r="BC2146" s="135"/>
      <c r="BD2146" s="135"/>
      <c r="BE2146" s="135"/>
      <c r="BF2146" s="135"/>
      <c r="BG2146" s="135"/>
      <c r="BH2146" s="135"/>
      <c r="BI2146" s="2"/>
      <c r="BJ2146" s="136"/>
      <c r="BK2146" s="2"/>
      <c r="BL2146" s="136"/>
      <c r="BM2146" s="136"/>
      <c r="BN2146" s="2"/>
      <c r="BO2146" s="2"/>
      <c r="BP2146" s="136"/>
      <c r="BQ2146" s="137"/>
    </row>
    <row r="2147" spans="1:69" ht="12.75" customHeight="1" x14ac:dyDescent="0.2">
      <c r="A2147" s="2">
        <v>3636</v>
      </c>
      <c r="B2147" s="2"/>
      <c r="C2147" s="2"/>
      <c r="D2147" s="2"/>
      <c r="E2147" s="2"/>
      <c r="F2147" s="132">
        <v>0</v>
      </c>
      <c r="G2147" s="132"/>
      <c r="H2147" s="132">
        <f t="shared" si="241"/>
        <v>0</v>
      </c>
      <c r="I2147" s="132"/>
      <c r="J2147" s="132">
        <f t="shared" si="239"/>
        <v>0</v>
      </c>
      <c r="K2147" s="132">
        <f t="shared" si="242"/>
        <v>0</v>
      </c>
      <c r="L2147" s="132">
        <f t="shared" si="243"/>
        <v>0</v>
      </c>
      <c r="M2147" s="133"/>
      <c r="N2147" s="133">
        <f t="shared" si="240"/>
        <v>0</v>
      </c>
      <c r="O2147" s="134"/>
      <c r="P2147" s="133"/>
      <c r="Q2147" s="2"/>
      <c r="R2147" s="156">
        <f t="shared" si="244"/>
        <v>0</v>
      </c>
      <c r="S2147" s="156">
        <f t="shared" si="245"/>
        <v>0</v>
      </c>
      <c r="T2147" s="133"/>
      <c r="U2147" s="133"/>
      <c r="V2147" s="133"/>
      <c r="W2147" s="133"/>
      <c r="X2147" s="133"/>
      <c r="Y2147" s="133"/>
      <c r="Z2147" s="133"/>
      <c r="AA2147" s="133"/>
      <c r="AB2147" s="133"/>
      <c r="AC2147" s="133"/>
      <c r="AD2147" s="133"/>
      <c r="AE2147" s="133"/>
      <c r="AF2147" s="133"/>
      <c r="AG2147" s="133"/>
      <c r="AH2147" s="133"/>
      <c r="AI2147" s="133"/>
      <c r="AJ2147" s="133"/>
      <c r="AK2147" s="133"/>
      <c r="AL2147" s="133"/>
      <c r="AM2147" s="133"/>
      <c r="AN2147" s="133"/>
      <c r="AO2147" s="133"/>
      <c r="AP2147" s="133"/>
      <c r="AQ2147" s="133"/>
      <c r="AR2147" s="133"/>
      <c r="AS2147" s="153">
        <v>0</v>
      </c>
      <c r="AT2147" s="153">
        <v>0</v>
      </c>
      <c r="AU2147" s="153">
        <v>0</v>
      </c>
      <c r="AV2147" s="135"/>
      <c r="AW2147" s="135"/>
      <c r="AX2147" s="135"/>
      <c r="AY2147" s="135"/>
      <c r="AZ2147" s="135"/>
      <c r="BA2147" s="135"/>
      <c r="BB2147" s="135"/>
      <c r="BC2147" s="135"/>
      <c r="BD2147" s="135"/>
      <c r="BE2147" s="135"/>
      <c r="BF2147" s="135"/>
      <c r="BG2147" s="135"/>
      <c r="BH2147" s="135"/>
      <c r="BI2147" s="2"/>
      <c r="BJ2147" s="136"/>
      <c r="BK2147" s="2"/>
      <c r="BL2147" s="136"/>
      <c r="BM2147" s="136"/>
      <c r="BN2147" s="2"/>
      <c r="BO2147" s="2"/>
      <c r="BP2147" s="136"/>
      <c r="BQ2147" s="137"/>
    </row>
    <row r="2148" spans="1:69" ht="12.75" customHeight="1" x14ac:dyDescent="0.2">
      <c r="A2148" s="2">
        <v>3637</v>
      </c>
      <c r="B2148" s="2"/>
      <c r="C2148" s="2"/>
      <c r="D2148" s="2"/>
      <c r="E2148" s="2"/>
      <c r="F2148" s="132">
        <v>0</v>
      </c>
      <c r="G2148" s="132"/>
      <c r="H2148" s="132">
        <f t="shared" si="241"/>
        <v>0</v>
      </c>
      <c r="I2148" s="132"/>
      <c r="J2148" s="132">
        <f t="shared" ref="J2148:J2211" si="246">S2148</f>
        <v>0</v>
      </c>
      <c r="K2148" s="132">
        <f t="shared" si="242"/>
        <v>0</v>
      </c>
      <c r="L2148" s="132">
        <f t="shared" si="243"/>
        <v>0</v>
      </c>
      <c r="M2148" s="133"/>
      <c r="N2148" s="133">
        <f t="shared" si="240"/>
        <v>0</v>
      </c>
      <c r="O2148" s="134"/>
      <c r="P2148" s="133"/>
      <c r="Q2148" s="2"/>
      <c r="R2148" s="156">
        <f t="shared" si="244"/>
        <v>0</v>
      </c>
      <c r="S2148" s="156">
        <f t="shared" si="245"/>
        <v>0</v>
      </c>
      <c r="T2148" s="133"/>
      <c r="U2148" s="133"/>
      <c r="V2148" s="133"/>
      <c r="W2148" s="133"/>
      <c r="X2148" s="133"/>
      <c r="Y2148" s="133"/>
      <c r="Z2148" s="133"/>
      <c r="AA2148" s="133"/>
      <c r="AB2148" s="133"/>
      <c r="AC2148" s="133"/>
      <c r="AD2148" s="133"/>
      <c r="AE2148" s="133"/>
      <c r="AF2148" s="133"/>
      <c r="AG2148" s="133"/>
      <c r="AH2148" s="133"/>
      <c r="AI2148" s="133"/>
      <c r="AJ2148" s="133"/>
      <c r="AK2148" s="133"/>
      <c r="AL2148" s="133"/>
      <c r="AM2148" s="133"/>
      <c r="AN2148" s="133"/>
      <c r="AO2148" s="133"/>
      <c r="AP2148" s="133"/>
      <c r="AQ2148" s="133"/>
      <c r="AR2148" s="133"/>
      <c r="AS2148" s="153">
        <v>0</v>
      </c>
      <c r="AT2148" s="153">
        <v>0</v>
      </c>
      <c r="AU2148" s="153">
        <v>0</v>
      </c>
      <c r="AV2148" s="135"/>
      <c r="AW2148" s="135"/>
      <c r="AX2148" s="135"/>
      <c r="AY2148" s="135"/>
      <c r="AZ2148" s="135"/>
      <c r="BA2148" s="135"/>
      <c r="BB2148" s="135"/>
      <c r="BC2148" s="135"/>
      <c r="BD2148" s="135"/>
      <c r="BE2148" s="135"/>
      <c r="BF2148" s="135"/>
      <c r="BG2148" s="135"/>
      <c r="BH2148" s="135"/>
      <c r="BI2148" s="2"/>
      <c r="BJ2148" s="136"/>
      <c r="BK2148" s="2"/>
      <c r="BL2148" s="136"/>
      <c r="BM2148" s="136"/>
      <c r="BN2148" s="2"/>
      <c r="BO2148" s="2"/>
      <c r="BP2148" s="136"/>
      <c r="BQ2148" s="137"/>
    </row>
    <row r="2149" spans="1:69" ht="12.75" customHeight="1" x14ac:dyDescent="0.2">
      <c r="A2149" s="2">
        <v>3638</v>
      </c>
      <c r="B2149" s="2"/>
      <c r="C2149" s="2"/>
      <c r="D2149" s="2"/>
      <c r="E2149" s="2"/>
      <c r="F2149" s="132">
        <v>0</v>
      </c>
      <c r="G2149" s="132"/>
      <c r="H2149" s="132">
        <f t="shared" si="241"/>
        <v>0</v>
      </c>
      <c r="I2149" s="132"/>
      <c r="J2149" s="132">
        <f t="shared" si="246"/>
        <v>0</v>
      </c>
      <c r="K2149" s="132">
        <f t="shared" si="242"/>
        <v>0</v>
      </c>
      <c r="L2149" s="132">
        <f t="shared" si="243"/>
        <v>0</v>
      </c>
      <c r="M2149" s="133"/>
      <c r="N2149" s="133">
        <f t="shared" si="240"/>
        <v>0</v>
      </c>
      <c r="O2149" s="134"/>
      <c r="P2149" s="133"/>
      <c r="Q2149" s="2"/>
      <c r="R2149" s="156">
        <f t="shared" si="244"/>
        <v>0</v>
      </c>
      <c r="S2149" s="156">
        <f t="shared" si="245"/>
        <v>0</v>
      </c>
      <c r="T2149" s="133"/>
      <c r="U2149" s="133"/>
      <c r="V2149" s="133"/>
      <c r="W2149" s="133"/>
      <c r="X2149" s="133"/>
      <c r="Y2149" s="133"/>
      <c r="Z2149" s="133"/>
      <c r="AA2149" s="133"/>
      <c r="AB2149" s="133"/>
      <c r="AC2149" s="133"/>
      <c r="AD2149" s="133"/>
      <c r="AE2149" s="133"/>
      <c r="AF2149" s="133"/>
      <c r="AG2149" s="133"/>
      <c r="AH2149" s="133"/>
      <c r="AI2149" s="133"/>
      <c r="AJ2149" s="133"/>
      <c r="AK2149" s="133"/>
      <c r="AL2149" s="133"/>
      <c r="AM2149" s="133"/>
      <c r="AN2149" s="133"/>
      <c r="AO2149" s="133"/>
      <c r="AP2149" s="133"/>
      <c r="AQ2149" s="133"/>
      <c r="AR2149" s="133"/>
      <c r="AS2149" s="153">
        <v>0</v>
      </c>
      <c r="AT2149" s="153">
        <v>0</v>
      </c>
      <c r="AU2149" s="153">
        <v>0</v>
      </c>
      <c r="AV2149" s="135"/>
      <c r="AW2149" s="135"/>
      <c r="AX2149" s="135"/>
      <c r="AY2149" s="135"/>
      <c r="AZ2149" s="135"/>
      <c r="BA2149" s="135"/>
      <c r="BB2149" s="135"/>
      <c r="BC2149" s="135"/>
      <c r="BD2149" s="135"/>
      <c r="BE2149" s="135"/>
      <c r="BF2149" s="135"/>
      <c r="BG2149" s="135"/>
      <c r="BH2149" s="135"/>
      <c r="BI2149" s="2"/>
      <c r="BJ2149" s="136"/>
      <c r="BK2149" s="2"/>
      <c r="BL2149" s="136"/>
      <c r="BM2149" s="136"/>
      <c r="BN2149" s="2"/>
      <c r="BO2149" s="2"/>
      <c r="BP2149" s="136"/>
      <c r="BQ2149" s="137"/>
    </row>
    <row r="2150" spans="1:69" ht="12.75" customHeight="1" x14ac:dyDescent="0.2">
      <c r="A2150" s="2">
        <v>3639</v>
      </c>
      <c r="B2150" s="2"/>
      <c r="C2150" s="2"/>
      <c r="D2150" s="2"/>
      <c r="E2150" s="2"/>
      <c r="F2150" s="132">
        <v>0</v>
      </c>
      <c r="G2150" s="132"/>
      <c r="H2150" s="132">
        <f t="shared" si="241"/>
        <v>0</v>
      </c>
      <c r="I2150" s="132"/>
      <c r="J2150" s="132">
        <f t="shared" si="246"/>
        <v>0</v>
      </c>
      <c r="K2150" s="132">
        <f t="shared" si="242"/>
        <v>0</v>
      </c>
      <c r="L2150" s="132">
        <f t="shared" si="243"/>
        <v>0</v>
      </c>
      <c r="M2150" s="133"/>
      <c r="N2150" s="133">
        <f t="shared" si="240"/>
        <v>0</v>
      </c>
      <c r="O2150" s="134"/>
      <c r="P2150" s="133"/>
      <c r="Q2150" s="2"/>
      <c r="R2150" s="156">
        <f t="shared" si="244"/>
        <v>0</v>
      </c>
      <c r="S2150" s="156">
        <f t="shared" si="245"/>
        <v>0</v>
      </c>
      <c r="T2150" s="133"/>
      <c r="U2150" s="133"/>
      <c r="V2150" s="133"/>
      <c r="W2150" s="133"/>
      <c r="X2150" s="133"/>
      <c r="Y2150" s="133"/>
      <c r="Z2150" s="133"/>
      <c r="AA2150" s="133"/>
      <c r="AB2150" s="133"/>
      <c r="AC2150" s="133"/>
      <c r="AD2150" s="133"/>
      <c r="AE2150" s="133"/>
      <c r="AF2150" s="133"/>
      <c r="AG2150" s="133"/>
      <c r="AH2150" s="133"/>
      <c r="AI2150" s="133"/>
      <c r="AJ2150" s="133"/>
      <c r="AK2150" s="133"/>
      <c r="AL2150" s="133"/>
      <c r="AM2150" s="133"/>
      <c r="AN2150" s="133"/>
      <c r="AO2150" s="133"/>
      <c r="AP2150" s="133"/>
      <c r="AQ2150" s="133"/>
      <c r="AR2150" s="133"/>
      <c r="AS2150" s="153">
        <v>0</v>
      </c>
      <c r="AT2150" s="153">
        <v>0</v>
      </c>
      <c r="AU2150" s="153">
        <v>0</v>
      </c>
      <c r="AV2150" s="135"/>
      <c r="AW2150" s="135"/>
      <c r="AX2150" s="135"/>
      <c r="AY2150" s="135"/>
      <c r="AZ2150" s="135"/>
      <c r="BA2150" s="135"/>
      <c r="BB2150" s="135"/>
      <c r="BC2150" s="135"/>
      <c r="BD2150" s="135"/>
      <c r="BE2150" s="135"/>
      <c r="BF2150" s="135"/>
      <c r="BG2150" s="135"/>
      <c r="BH2150" s="135"/>
      <c r="BI2150" s="2"/>
      <c r="BJ2150" s="136"/>
      <c r="BK2150" s="2"/>
      <c r="BL2150" s="136"/>
      <c r="BM2150" s="136"/>
      <c r="BN2150" s="2"/>
      <c r="BO2150" s="2"/>
      <c r="BP2150" s="136"/>
      <c r="BQ2150" s="137"/>
    </row>
    <row r="2151" spans="1:69" ht="12.75" customHeight="1" x14ac:dyDescent="0.2">
      <c r="A2151" s="2">
        <v>3640</v>
      </c>
      <c r="B2151" s="2"/>
      <c r="C2151" s="2"/>
      <c r="D2151" s="2"/>
      <c r="E2151" s="2"/>
      <c r="F2151" s="132">
        <v>0</v>
      </c>
      <c r="G2151" s="132"/>
      <c r="H2151" s="132">
        <f t="shared" si="241"/>
        <v>0</v>
      </c>
      <c r="I2151" s="132"/>
      <c r="J2151" s="132">
        <f t="shared" si="246"/>
        <v>0</v>
      </c>
      <c r="K2151" s="132">
        <f t="shared" si="242"/>
        <v>0</v>
      </c>
      <c r="L2151" s="132">
        <f t="shared" si="243"/>
        <v>0</v>
      </c>
      <c r="M2151" s="133"/>
      <c r="N2151" s="133">
        <f t="shared" si="240"/>
        <v>0</v>
      </c>
      <c r="O2151" s="134"/>
      <c r="P2151" s="133"/>
      <c r="Q2151" s="2"/>
      <c r="R2151" s="156">
        <f t="shared" si="244"/>
        <v>0</v>
      </c>
      <c r="S2151" s="156">
        <f t="shared" si="245"/>
        <v>0</v>
      </c>
      <c r="T2151" s="133"/>
      <c r="U2151" s="133"/>
      <c r="V2151" s="133"/>
      <c r="W2151" s="133"/>
      <c r="X2151" s="133"/>
      <c r="Y2151" s="133"/>
      <c r="Z2151" s="133"/>
      <c r="AA2151" s="133"/>
      <c r="AB2151" s="133"/>
      <c r="AC2151" s="133"/>
      <c r="AD2151" s="133"/>
      <c r="AE2151" s="133"/>
      <c r="AF2151" s="133"/>
      <c r="AG2151" s="133"/>
      <c r="AH2151" s="133"/>
      <c r="AI2151" s="133"/>
      <c r="AJ2151" s="133"/>
      <c r="AK2151" s="133"/>
      <c r="AL2151" s="133"/>
      <c r="AM2151" s="133"/>
      <c r="AN2151" s="133"/>
      <c r="AO2151" s="133"/>
      <c r="AP2151" s="133"/>
      <c r="AQ2151" s="133"/>
      <c r="AR2151" s="133"/>
      <c r="AS2151" s="153">
        <v>0</v>
      </c>
      <c r="AT2151" s="153">
        <v>0</v>
      </c>
      <c r="AU2151" s="153">
        <v>0</v>
      </c>
      <c r="AV2151" s="135"/>
      <c r="AW2151" s="135"/>
      <c r="AX2151" s="135"/>
      <c r="AY2151" s="135"/>
      <c r="AZ2151" s="135"/>
      <c r="BA2151" s="135"/>
      <c r="BB2151" s="135"/>
      <c r="BC2151" s="135"/>
      <c r="BD2151" s="135"/>
      <c r="BE2151" s="135"/>
      <c r="BF2151" s="135"/>
      <c r="BG2151" s="135"/>
      <c r="BH2151" s="135"/>
      <c r="BI2151" s="2"/>
      <c r="BJ2151" s="136"/>
      <c r="BK2151" s="2"/>
      <c r="BL2151" s="136"/>
      <c r="BM2151" s="136"/>
      <c r="BN2151" s="2"/>
      <c r="BO2151" s="2"/>
      <c r="BP2151" s="136"/>
      <c r="BQ2151" s="137"/>
    </row>
    <row r="2152" spans="1:69" ht="12.75" customHeight="1" x14ac:dyDescent="0.2">
      <c r="A2152" s="2">
        <v>3641</v>
      </c>
      <c r="B2152" s="2"/>
      <c r="C2152" s="2"/>
      <c r="D2152" s="2"/>
      <c r="E2152" s="2"/>
      <c r="F2152" s="132">
        <v>0</v>
      </c>
      <c r="G2152" s="132"/>
      <c r="H2152" s="132">
        <f t="shared" si="241"/>
        <v>0</v>
      </c>
      <c r="I2152" s="132"/>
      <c r="J2152" s="132">
        <f t="shared" si="246"/>
        <v>0</v>
      </c>
      <c r="K2152" s="132">
        <f t="shared" si="242"/>
        <v>0</v>
      </c>
      <c r="L2152" s="132">
        <f t="shared" si="243"/>
        <v>0</v>
      </c>
      <c r="M2152" s="133"/>
      <c r="N2152" s="133">
        <f t="shared" si="240"/>
        <v>0</v>
      </c>
      <c r="O2152" s="134"/>
      <c r="P2152" s="133"/>
      <c r="Q2152" s="2"/>
      <c r="R2152" s="156">
        <f t="shared" si="244"/>
        <v>0</v>
      </c>
      <c r="S2152" s="156">
        <f t="shared" si="245"/>
        <v>0</v>
      </c>
      <c r="T2152" s="133"/>
      <c r="U2152" s="133"/>
      <c r="V2152" s="133"/>
      <c r="W2152" s="133"/>
      <c r="X2152" s="133"/>
      <c r="Y2152" s="133"/>
      <c r="Z2152" s="133"/>
      <c r="AA2152" s="133"/>
      <c r="AB2152" s="133"/>
      <c r="AC2152" s="133"/>
      <c r="AD2152" s="133"/>
      <c r="AE2152" s="133"/>
      <c r="AF2152" s="133"/>
      <c r="AG2152" s="133"/>
      <c r="AH2152" s="133"/>
      <c r="AI2152" s="133"/>
      <c r="AJ2152" s="133"/>
      <c r="AK2152" s="133"/>
      <c r="AL2152" s="133"/>
      <c r="AM2152" s="133"/>
      <c r="AN2152" s="133"/>
      <c r="AO2152" s="133"/>
      <c r="AP2152" s="133"/>
      <c r="AQ2152" s="133"/>
      <c r="AR2152" s="133"/>
      <c r="AS2152" s="153">
        <v>0</v>
      </c>
      <c r="AT2152" s="153">
        <v>0</v>
      </c>
      <c r="AU2152" s="153">
        <v>0</v>
      </c>
      <c r="AV2152" s="135"/>
      <c r="AW2152" s="135"/>
      <c r="AX2152" s="135"/>
      <c r="AY2152" s="135"/>
      <c r="AZ2152" s="135"/>
      <c r="BA2152" s="135"/>
      <c r="BB2152" s="135"/>
      <c r="BC2152" s="135"/>
      <c r="BD2152" s="135"/>
      <c r="BE2152" s="135"/>
      <c r="BF2152" s="135"/>
      <c r="BG2152" s="135"/>
      <c r="BH2152" s="135"/>
      <c r="BI2152" s="2"/>
      <c r="BJ2152" s="136"/>
      <c r="BK2152" s="2"/>
      <c r="BL2152" s="136"/>
      <c r="BM2152" s="136"/>
      <c r="BN2152" s="2"/>
      <c r="BO2152" s="2"/>
      <c r="BP2152" s="136"/>
      <c r="BQ2152" s="137"/>
    </row>
    <row r="2153" spans="1:69" ht="12.75" customHeight="1" x14ac:dyDescent="0.2">
      <c r="A2153" s="2">
        <v>3642</v>
      </c>
      <c r="B2153" s="2"/>
      <c r="C2153" s="2"/>
      <c r="D2153" s="2"/>
      <c r="E2153" s="2"/>
      <c r="F2153" s="132">
        <v>0</v>
      </c>
      <c r="G2153" s="132"/>
      <c r="H2153" s="132">
        <f t="shared" si="241"/>
        <v>0</v>
      </c>
      <c r="I2153" s="132"/>
      <c r="J2153" s="132">
        <f t="shared" si="246"/>
        <v>0</v>
      </c>
      <c r="K2153" s="132">
        <f t="shared" si="242"/>
        <v>0</v>
      </c>
      <c r="L2153" s="132">
        <f t="shared" si="243"/>
        <v>0</v>
      </c>
      <c r="M2153" s="133"/>
      <c r="N2153" s="133">
        <f t="shared" si="240"/>
        <v>0</v>
      </c>
      <c r="O2153" s="134"/>
      <c r="P2153" s="133"/>
      <c r="Q2153" s="2"/>
      <c r="R2153" s="156">
        <f t="shared" si="244"/>
        <v>0</v>
      </c>
      <c r="S2153" s="156">
        <f t="shared" si="245"/>
        <v>0</v>
      </c>
      <c r="T2153" s="133"/>
      <c r="U2153" s="133"/>
      <c r="V2153" s="133"/>
      <c r="W2153" s="133"/>
      <c r="X2153" s="133"/>
      <c r="Y2153" s="133"/>
      <c r="Z2153" s="133"/>
      <c r="AA2153" s="133"/>
      <c r="AB2153" s="133"/>
      <c r="AC2153" s="133"/>
      <c r="AD2153" s="133"/>
      <c r="AE2153" s="133"/>
      <c r="AF2153" s="133"/>
      <c r="AG2153" s="133"/>
      <c r="AH2153" s="133"/>
      <c r="AI2153" s="133"/>
      <c r="AJ2153" s="133"/>
      <c r="AK2153" s="133"/>
      <c r="AL2153" s="133"/>
      <c r="AM2153" s="133"/>
      <c r="AN2153" s="133"/>
      <c r="AO2153" s="133"/>
      <c r="AP2153" s="133"/>
      <c r="AQ2153" s="133"/>
      <c r="AR2153" s="133"/>
      <c r="AS2153" s="153">
        <v>0</v>
      </c>
      <c r="AT2153" s="153">
        <v>0</v>
      </c>
      <c r="AU2153" s="153">
        <v>0</v>
      </c>
      <c r="AV2153" s="135"/>
      <c r="AW2153" s="135"/>
      <c r="AX2153" s="135"/>
      <c r="AY2153" s="135"/>
      <c r="AZ2153" s="135"/>
      <c r="BA2153" s="135"/>
      <c r="BB2153" s="135"/>
      <c r="BC2153" s="135"/>
      <c r="BD2153" s="135"/>
      <c r="BE2153" s="135"/>
      <c r="BF2153" s="135"/>
      <c r="BG2153" s="135"/>
      <c r="BH2153" s="135"/>
      <c r="BI2153" s="2"/>
      <c r="BJ2153" s="136"/>
      <c r="BK2153" s="2"/>
      <c r="BL2153" s="136"/>
      <c r="BM2153" s="136"/>
      <c r="BN2153" s="2"/>
      <c r="BO2153" s="2"/>
      <c r="BP2153" s="136"/>
      <c r="BQ2153" s="137"/>
    </row>
    <row r="2154" spans="1:69" ht="12.75" customHeight="1" x14ac:dyDescent="0.2">
      <c r="A2154" s="2">
        <v>3643</v>
      </c>
      <c r="B2154" s="2"/>
      <c r="C2154" s="2"/>
      <c r="D2154" s="2"/>
      <c r="E2154" s="2"/>
      <c r="F2154" s="132">
        <v>0</v>
      </c>
      <c r="G2154" s="132"/>
      <c r="H2154" s="132">
        <f t="shared" si="241"/>
        <v>0</v>
      </c>
      <c r="I2154" s="132"/>
      <c r="J2154" s="132">
        <f t="shared" si="246"/>
        <v>0</v>
      </c>
      <c r="K2154" s="132">
        <f t="shared" si="242"/>
        <v>0</v>
      </c>
      <c r="L2154" s="132">
        <f t="shared" si="243"/>
        <v>0</v>
      </c>
      <c r="M2154" s="133"/>
      <c r="N2154" s="133">
        <f t="shared" ref="N2154:N2217" si="247">IF(OR(BK2154="принят",BK2154="Завершено",BK2154="ПриПро"),H2154-J2154,F2154-J2154)</f>
        <v>0</v>
      </c>
      <c r="O2154" s="134"/>
      <c r="P2154" s="133"/>
      <c r="Q2154" s="2"/>
      <c r="R2154" s="156">
        <f t="shared" si="244"/>
        <v>0</v>
      </c>
      <c r="S2154" s="156">
        <f t="shared" si="245"/>
        <v>0</v>
      </c>
      <c r="T2154" s="133"/>
      <c r="U2154" s="133"/>
      <c r="V2154" s="133"/>
      <c r="W2154" s="133"/>
      <c r="X2154" s="133"/>
      <c r="Y2154" s="133"/>
      <c r="Z2154" s="133"/>
      <c r="AA2154" s="133"/>
      <c r="AB2154" s="133"/>
      <c r="AC2154" s="133"/>
      <c r="AD2154" s="133"/>
      <c r="AE2154" s="133"/>
      <c r="AF2154" s="133"/>
      <c r="AG2154" s="133"/>
      <c r="AH2154" s="133"/>
      <c r="AI2154" s="133"/>
      <c r="AJ2154" s="133"/>
      <c r="AK2154" s="133"/>
      <c r="AL2154" s="133"/>
      <c r="AM2154" s="133"/>
      <c r="AN2154" s="133"/>
      <c r="AO2154" s="133"/>
      <c r="AP2154" s="133"/>
      <c r="AQ2154" s="133"/>
      <c r="AR2154" s="133"/>
      <c r="AS2154" s="153">
        <v>0</v>
      </c>
      <c r="AT2154" s="153">
        <v>0</v>
      </c>
      <c r="AU2154" s="153">
        <v>0</v>
      </c>
      <c r="AV2154" s="135"/>
      <c r="AW2154" s="135"/>
      <c r="AX2154" s="135"/>
      <c r="AY2154" s="135"/>
      <c r="AZ2154" s="135"/>
      <c r="BA2154" s="135"/>
      <c r="BB2154" s="135"/>
      <c r="BC2154" s="135"/>
      <c r="BD2154" s="135"/>
      <c r="BE2154" s="135"/>
      <c r="BF2154" s="135"/>
      <c r="BG2154" s="135"/>
      <c r="BH2154" s="135"/>
      <c r="BI2154" s="2"/>
      <c r="BJ2154" s="136"/>
      <c r="BK2154" s="2"/>
      <c r="BL2154" s="136"/>
      <c r="BM2154" s="136"/>
      <c r="BN2154" s="2"/>
      <c r="BO2154" s="2"/>
      <c r="BP2154" s="136"/>
      <c r="BQ2154" s="137"/>
    </row>
    <row r="2155" spans="1:69" ht="12.75" customHeight="1" x14ac:dyDescent="0.2">
      <c r="A2155" s="2">
        <v>3644</v>
      </c>
      <c r="B2155" s="2"/>
      <c r="C2155" s="2"/>
      <c r="D2155" s="2"/>
      <c r="E2155" s="2"/>
      <c r="F2155" s="132">
        <v>0</v>
      </c>
      <c r="G2155" s="132"/>
      <c r="H2155" s="132">
        <f t="shared" si="241"/>
        <v>0</v>
      </c>
      <c r="I2155" s="132"/>
      <c r="J2155" s="132">
        <f t="shared" si="246"/>
        <v>0</v>
      </c>
      <c r="K2155" s="132">
        <f t="shared" si="242"/>
        <v>0</v>
      </c>
      <c r="L2155" s="132">
        <f t="shared" si="243"/>
        <v>0</v>
      </c>
      <c r="M2155" s="133"/>
      <c r="N2155" s="133">
        <f t="shared" si="247"/>
        <v>0</v>
      </c>
      <c r="O2155" s="134"/>
      <c r="P2155" s="133"/>
      <c r="Q2155" s="2"/>
      <c r="R2155" s="156">
        <f t="shared" si="244"/>
        <v>0</v>
      </c>
      <c r="S2155" s="156">
        <f t="shared" si="245"/>
        <v>0</v>
      </c>
      <c r="T2155" s="133"/>
      <c r="U2155" s="133"/>
      <c r="V2155" s="133"/>
      <c r="W2155" s="133"/>
      <c r="X2155" s="133"/>
      <c r="Y2155" s="133"/>
      <c r="Z2155" s="133"/>
      <c r="AA2155" s="133"/>
      <c r="AB2155" s="133"/>
      <c r="AC2155" s="133"/>
      <c r="AD2155" s="133"/>
      <c r="AE2155" s="133"/>
      <c r="AF2155" s="133"/>
      <c r="AG2155" s="133"/>
      <c r="AH2155" s="133"/>
      <c r="AI2155" s="133"/>
      <c r="AJ2155" s="133"/>
      <c r="AK2155" s="133"/>
      <c r="AL2155" s="133"/>
      <c r="AM2155" s="133"/>
      <c r="AN2155" s="133"/>
      <c r="AO2155" s="133"/>
      <c r="AP2155" s="133"/>
      <c r="AQ2155" s="133"/>
      <c r="AR2155" s="133"/>
      <c r="AS2155" s="153">
        <v>0</v>
      </c>
      <c r="AT2155" s="153">
        <v>0</v>
      </c>
      <c r="AU2155" s="153">
        <v>0</v>
      </c>
      <c r="AV2155" s="135"/>
      <c r="AW2155" s="135"/>
      <c r="AX2155" s="135"/>
      <c r="AY2155" s="135"/>
      <c r="AZ2155" s="135"/>
      <c r="BA2155" s="135"/>
      <c r="BB2155" s="135"/>
      <c r="BC2155" s="135"/>
      <c r="BD2155" s="135"/>
      <c r="BE2155" s="135"/>
      <c r="BF2155" s="135"/>
      <c r="BG2155" s="135"/>
      <c r="BH2155" s="135"/>
      <c r="BI2155" s="2"/>
      <c r="BJ2155" s="136"/>
      <c r="BK2155" s="2"/>
      <c r="BL2155" s="136"/>
      <c r="BM2155" s="136"/>
      <c r="BN2155" s="2"/>
      <c r="BO2155" s="2"/>
      <c r="BP2155" s="136"/>
      <c r="BQ2155" s="137"/>
    </row>
    <row r="2156" spans="1:69" ht="12.75" customHeight="1" x14ac:dyDescent="0.2">
      <c r="A2156" s="2">
        <v>3645</v>
      </c>
      <c r="B2156" s="2"/>
      <c r="C2156" s="2"/>
      <c r="D2156" s="2"/>
      <c r="E2156" s="2"/>
      <c r="F2156" s="132">
        <v>0</v>
      </c>
      <c r="G2156" s="132"/>
      <c r="H2156" s="132">
        <f t="shared" si="241"/>
        <v>0</v>
      </c>
      <c r="I2156" s="132"/>
      <c r="J2156" s="132">
        <f t="shared" si="246"/>
        <v>0</v>
      </c>
      <c r="K2156" s="132">
        <f t="shared" si="242"/>
        <v>0</v>
      </c>
      <c r="L2156" s="132">
        <f t="shared" si="243"/>
        <v>0</v>
      </c>
      <c r="M2156" s="133"/>
      <c r="N2156" s="133">
        <f t="shared" si="247"/>
        <v>0</v>
      </c>
      <c r="O2156" s="134"/>
      <c r="P2156" s="133"/>
      <c r="Q2156" s="2"/>
      <c r="R2156" s="156">
        <f t="shared" si="244"/>
        <v>0</v>
      </c>
      <c r="S2156" s="156">
        <f t="shared" si="245"/>
        <v>0</v>
      </c>
      <c r="T2156" s="133"/>
      <c r="U2156" s="133"/>
      <c r="V2156" s="133"/>
      <c r="W2156" s="133"/>
      <c r="X2156" s="133"/>
      <c r="Y2156" s="133"/>
      <c r="Z2156" s="133"/>
      <c r="AA2156" s="133"/>
      <c r="AB2156" s="133"/>
      <c r="AC2156" s="133"/>
      <c r="AD2156" s="133"/>
      <c r="AE2156" s="133"/>
      <c r="AF2156" s="133"/>
      <c r="AG2156" s="133"/>
      <c r="AH2156" s="133"/>
      <c r="AI2156" s="133"/>
      <c r="AJ2156" s="133"/>
      <c r="AK2156" s="133"/>
      <c r="AL2156" s="133"/>
      <c r="AM2156" s="133"/>
      <c r="AN2156" s="133"/>
      <c r="AO2156" s="133"/>
      <c r="AP2156" s="133"/>
      <c r="AQ2156" s="133"/>
      <c r="AR2156" s="133"/>
      <c r="AS2156" s="153">
        <v>0</v>
      </c>
      <c r="AT2156" s="153">
        <v>0</v>
      </c>
      <c r="AU2156" s="153">
        <v>0</v>
      </c>
      <c r="AV2156" s="135"/>
      <c r="AW2156" s="135"/>
      <c r="AX2156" s="135"/>
      <c r="AY2156" s="135"/>
      <c r="AZ2156" s="135"/>
      <c r="BA2156" s="135"/>
      <c r="BB2156" s="135"/>
      <c r="BC2156" s="135"/>
      <c r="BD2156" s="135"/>
      <c r="BE2156" s="135"/>
      <c r="BF2156" s="135"/>
      <c r="BG2156" s="135"/>
      <c r="BH2156" s="135"/>
      <c r="BI2156" s="2"/>
      <c r="BJ2156" s="136"/>
      <c r="BK2156" s="2"/>
      <c r="BL2156" s="136"/>
      <c r="BM2156" s="136"/>
      <c r="BN2156" s="2"/>
      <c r="BO2156" s="2"/>
      <c r="BP2156" s="136"/>
      <c r="BQ2156" s="137"/>
    </row>
    <row r="2157" spans="1:69" ht="12.75" customHeight="1" x14ac:dyDescent="0.2">
      <c r="A2157" s="2">
        <v>3646</v>
      </c>
      <c r="B2157" s="2"/>
      <c r="C2157" s="2"/>
      <c r="D2157" s="2"/>
      <c r="E2157" s="2"/>
      <c r="F2157" s="132">
        <v>0</v>
      </c>
      <c r="G2157" s="132"/>
      <c r="H2157" s="132">
        <f t="shared" si="241"/>
        <v>0</v>
      </c>
      <c r="I2157" s="132"/>
      <c r="J2157" s="132">
        <f t="shared" si="246"/>
        <v>0</v>
      </c>
      <c r="K2157" s="132">
        <f t="shared" si="242"/>
        <v>0</v>
      </c>
      <c r="L2157" s="132">
        <f t="shared" si="243"/>
        <v>0</v>
      </c>
      <c r="M2157" s="133"/>
      <c r="N2157" s="133">
        <f t="shared" si="247"/>
        <v>0</v>
      </c>
      <c r="O2157" s="134"/>
      <c r="P2157" s="133"/>
      <c r="Q2157" s="2"/>
      <c r="R2157" s="156">
        <f t="shared" si="244"/>
        <v>0</v>
      </c>
      <c r="S2157" s="156">
        <f t="shared" si="245"/>
        <v>0</v>
      </c>
      <c r="T2157" s="133"/>
      <c r="U2157" s="133"/>
      <c r="V2157" s="133"/>
      <c r="W2157" s="133"/>
      <c r="X2157" s="133"/>
      <c r="Y2157" s="133"/>
      <c r="Z2157" s="133"/>
      <c r="AA2157" s="133"/>
      <c r="AB2157" s="133"/>
      <c r="AC2157" s="133"/>
      <c r="AD2157" s="133"/>
      <c r="AE2157" s="133"/>
      <c r="AF2157" s="133"/>
      <c r="AG2157" s="133"/>
      <c r="AH2157" s="133"/>
      <c r="AI2157" s="133"/>
      <c r="AJ2157" s="133"/>
      <c r="AK2157" s="133"/>
      <c r="AL2157" s="133"/>
      <c r="AM2157" s="133"/>
      <c r="AN2157" s="133"/>
      <c r="AO2157" s="133"/>
      <c r="AP2157" s="133"/>
      <c r="AQ2157" s="133"/>
      <c r="AR2157" s="133"/>
      <c r="AS2157" s="153">
        <v>0</v>
      </c>
      <c r="AT2157" s="153">
        <v>0</v>
      </c>
      <c r="AU2157" s="153">
        <v>0</v>
      </c>
      <c r="AV2157" s="135"/>
      <c r="AW2157" s="135"/>
      <c r="AX2157" s="135"/>
      <c r="AY2157" s="135"/>
      <c r="AZ2157" s="135"/>
      <c r="BA2157" s="135"/>
      <c r="BB2157" s="135"/>
      <c r="BC2157" s="135"/>
      <c r="BD2157" s="135"/>
      <c r="BE2157" s="135"/>
      <c r="BF2157" s="135"/>
      <c r="BG2157" s="135"/>
      <c r="BH2157" s="135"/>
      <c r="BI2157" s="2"/>
      <c r="BJ2157" s="136"/>
      <c r="BK2157" s="2"/>
      <c r="BL2157" s="136"/>
      <c r="BM2157" s="136"/>
      <c r="BN2157" s="2"/>
      <c r="BO2157" s="2"/>
      <c r="BP2157" s="136"/>
      <c r="BQ2157" s="137"/>
    </row>
    <row r="2158" spans="1:69" ht="12.75" customHeight="1" x14ac:dyDescent="0.2">
      <c r="A2158" s="2">
        <v>3647</v>
      </c>
      <c r="B2158" s="2"/>
      <c r="C2158" s="2"/>
      <c r="D2158" s="2"/>
      <c r="E2158" s="2"/>
      <c r="F2158" s="132">
        <v>0</v>
      </c>
      <c r="G2158" s="132"/>
      <c r="H2158" s="132">
        <f t="shared" ref="H2158:H2221" si="248">R2158</f>
        <v>0</v>
      </c>
      <c r="I2158" s="132"/>
      <c r="J2158" s="132">
        <f t="shared" si="246"/>
        <v>0</v>
      </c>
      <c r="K2158" s="132">
        <f t="shared" si="242"/>
        <v>0</v>
      </c>
      <c r="L2158" s="132">
        <f t="shared" si="243"/>
        <v>0</v>
      </c>
      <c r="M2158" s="133"/>
      <c r="N2158" s="133">
        <f t="shared" si="247"/>
        <v>0</v>
      </c>
      <c r="O2158" s="134"/>
      <c r="P2158" s="133"/>
      <c r="Q2158" s="2"/>
      <c r="R2158" s="156">
        <f t="shared" si="244"/>
        <v>0</v>
      </c>
      <c r="S2158" s="156">
        <f t="shared" si="245"/>
        <v>0</v>
      </c>
      <c r="T2158" s="133"/>
      <c r="U2158" s="133"/>
      <c r="V2158" s="133"/>
      <c r="W2158" s="133"/>
      <c r="X2158" s="133"/>
      <c r="Y2158" s="133"/>
      <c r="Z2158" s="133"/>
      <c r="AA2158" s="133"/>
      <c r="AB2158" s="133"/>
      <c r="AC2158" s="133"/>
      <c r="AD2158" s="133"/>
      <c r="AE2158" s="133"/>
      <c r="AF2158" s="133"/>
      <c r="AG2158" s="133"/>
      <c r="AH2158" s="133"/>
      <c r="AI2158" s="133"/>
      <c r="AJ2158" s="133"/>
      <c r="AK2158" s="133"/>
      <c r="AL2158" s="133"/>
      <c r="AM2158" s="133"/>
      <c r="AN2158" s="133"/>
      <c r="AO2158" s="133"/>
      <c r="AP2158" s="133"/>
      <c r="AQ2158" s="133"/>
      <c r="AR2158" s="133"/>
      <c r="AS2158" s="153">
        <v>0</v>
      </c>
      <c r="AT2158" s="153">
        <v>0</v>
      </c>
      <c r="AU2158" s="153">
        <v>0</v>
      </c>
      <c r="AV2158" s="135"/>
      <c r="AW2158" s="135"/>
      <c r="AX2158" s="135"/>
      <c r="AY2158" s="135"/>
      <c r="AZ2158" s="135"/>
      <c r="BA2158" s="135"/>
      <c r="BB2158" s="135"/>
      <c r="BC2158" s="135"/>
      <c r="BD2158" s="135"/>
      <c r="BE2158" s="135"/>
      <c r="BF2158" s="135"/>
      <c r="BG2158" s="135"/>
      <c r="BH2158" s="135"/>
      <c r="BI2158" s="2"/>
      <c r="BJ2158" s="136"/>
      <c r="BK2158" s="2"/>
      <c r="BL2158" s="136"/>
      <c r="BM2158" s="136"/>
      <c r="BN2158" s="2"/>
      <c r="BO2158" s="2"/>
      <c r="BP2158" s="136"/>
      <c r="BQ2158" s="137"/>
    </row>
    <row r="2159" spans="1:69" ht="12.75" customHeight="1" x14ac:dyDescent="0.2">
      <c r="A2159" s="2">
        <v>3648</v>
      </c>
      <c r="B2159" s="2"/>
      <c r="C2159" s="2"/>
      <c r="D2159" s="2"/>
      <c r="E2159" s="2"/>
      <c r="F2159" s="132">
        <v>0</v>
      </c>
      <c r="G2159" s="132"/>
      <c r="H2159" s="132">
        <f t="shared" si="248"/>
        <v>0</v>
      </c>
      <c r="I2159" s="132"/>
      <c r="J2159" s="132">
        <f t="shared" si="246"/>
        <v>0</v>
      </c>
      <c r="K2159" s="132">
        <f t="shared" si="242"/>
        <v>0</v>
      </c>
      <c r="L2159" s="132">
        <f t="shared" si="243"/>
        <v>0</v>
      </c>
      <c r="M2159" s="133"/>
      <c r="N2159" s="133">
        <f t="shared" si="247"/>
        <v>0</v>
      </c>
      <c r="O2159" s="134"/>
      <c r="P2159" s="133"/>
      <c r="Q2159" s="2"/>
      <c r="R2159" s="156">
        <f t="shared" si="244"/>
        <v>0</v>
      </c>
      <c r="S2159" s="156">
        <f t="shared" si="245"/>
        <v>0</v>
      </c>
      <c r="T2159" s="133"/>
      <c r="U2159" s="133"/>
      <c r="V2159" s="133"/>
      <c r="W2159" s="133"/>
      <c r="X2159" s="133"/>
      <c r="Y2159" s="133"/>
      <c r="Z2159" s="133"/>
      <c r="AA2159" s="133"/>
      <c r="AB2159" s="133"/>
      <c r="AC2159" s="133"/>
      <c r="AD2159" s="133"/>
      <c r="AE2159" s="133"/>
      <c r="AF2159" s="133"/>
      <c r="AG2159" s="133"/>
      <c r="AH2159" s="133"/>
      <c r="AI2159" s="133"/>
      <c r="AJ2159" s="133"/>
      <c r="AK2159" s="133"/>
      <c r="AL2159" s="133"/>
      <c r="AM2159" s="133"/>
      <c r="AN2159" s="133"/>
      <c r="AO2159" s="133"/>
      <c r="AP2159" s="133"/>
      <c r="AQ2159" s="133"/>
      <c r="AR2159" s="133"/>
      <c r="AS2159" s="153">
        <v>0</v>
      </c>
      <c r="AT2159" s="153">
        <v>0</v>
      </c>
      <c r="AU2159" s="153">
        <v>0</v>
      </c>
      <c r="AV2159" s="135"/>
      <c r="AW2159" s="135"/>
      <c r="AX2159" s="135"/>
      <c r="AY2159" s="135"/>
      <c r="AZ2159" s="135"/>
      <c r="BA2159" s="135"/>
      <c r="BB2159" s="135"/>
      <c r="BC2159" s="135"/>
      <c r="BD2159" s="135"/>
      <c r="BE2159" s="135"/>
      <c r="BF2159" s="135"/>
      <c r="BG2159" s="135"/>
      <c r="BH2159" s="135"/>
      <c r="BI2159" s="2"/>
      <c r="BJ2159" s="136"/>
      <c r="BK2159" s="2"/>
      <c r="BL2159" s="136"/>
      <c r="BM2159" s="136"/>
      <c r="BN2159" s="2"/>
      <c r="BO2159" s="2"/>
      <c r="BP2159" s="136"/>
      <c r="BQ2159" s="137"/>
    </row>
    <row r="2160" spans="1:69" ht="12.75" customHeight="1" x14ac:dyDescent="0.2">
      <c r="A2160" s="2">
        <v>3649</v>
      </c>
      <c r="B2160" s="2"/>
      <c r="C2160" s="2"/>
      <c r="D2160" s="2"/>
      <c r="E2160" s="2"/>
      <c r="F2160" s="132">
        <v>0</v>
      </c>
      <c r="G2160" s="132"/>
      <c r="H2160" s="132">
        <f t="shared" si="248"/>
        <v>0</v>
      </c>
      <c r="I2160" s="132"/>
      <c r="J2160" s="132">
        <f t="shared" si="246"/>
        <v>0</v>
      </c>
      <c r="K2160" s="132">
        <f t="shared" si="242"/>
        <v>0</v>
      </c>
      <c r="L2160" s="132">
        <f t="shared" si="243"/>
        <v>0</v>
      </c>
      <c r="M2160" s="133"/>
      <c r="N2160" s="133">
        <f t="shared" si="247"/>
        <v>0</v>
      </c>
      <c r="O2160" s="134"/>
      <c r="P2160" s="133"/>
      <c r="Q2160" s="2"/>
      <c r="R2160" s="156">
        <f t="shared" si="244"/>
        <v>0</v>
      </c>
      <c r="S2160" s="156">
        <f t="shared" si="245"/>
        <v>0</v>
      </c>
      <c r="T2160" s="133"/>
      <c r="U2160" s="133"/>
      <c r="V2160" s="133"/>
      <c r="W2160" s="133"/>
      <c r="X2160" s="133"/>
      <c r="Y2160" s="133"/>
      <c r="Z2160" s="133"/>
      <c r="AA2160" s="133"/>
      <c r="AB2160" s="133"/>
      <c r="AC2160" s="133"/>
      <c r="AD2160" s="133"/>
      <c r="AE2160" s="133"/>
      <c r="AF2160" s="133"/>
      <c r="AG2160" s="133"/>
      <c r="AH2160" s="133"/>
      <c r="AI2160" s="133"/>
      <c r="AJ2160" s="133"/>
      <c r="AK2160" s="133"/>
      <c r="AL2160" s="133"/>
      <c r="AM2160" s="133"/>
      <c r="AN2160" s="133"/>
      <c r="AO2160" s="133"/>
      <c r="AP2160" s="133"/>
      <c r="AQ2160" s="133"/>
      <c r="AR2160" s="133"/>
      <c r="AS2160" s="153">
        <v>0</v>
      </c>
      <c r="AT2160" s="153">
        <v>0</v>
      </c>
      <c r="AU2160" s="153">
        <v>0</v>
      </c>
      <c r="AV2160" s="135"/>
      <c r="AW2160" s="135"/>
      <c r="AX2160" s="135"/>
      <c r="AY2160" s="135"/>
      <c r="AZ2160" s="135"/>
      <c r="BA2160" s="135"/>
      <c r="BB2160" s="135"/>
      <c r="BC2160" s="135"/>
      <c r="BD2160" s="135"/>
      <c r="BE2160" s="135"/>
      <c r="BF2160" s="135"/>
      <c r="BG2160" s="135"/>
      <c r="BH2160" s="135"/>
      <c r="BI2160" s="2"/>
      <c r="BJ2160" s="136"/>
      <c r="BK2160" s="2"/>
      <c r="BL2160" s="136"/>
      <c r="BM2160" s="136"/>
      <c r="BN2160" s="2"/>
      <c r="BO2160" s="2"/>
      <c r="BP2160" s="136"/>
      <c r="BQ2160" s="137"/>
    </row>
    <row r="2161" spans="1:69" ht="12.75" customHeight="1" x14ac:dyDescent="0.2">
      <c r="A2161" s="2">
        <v>3650</v>
      </c>
      <c r="B2161" s="2"/>
      <c r="C2161" s="2"/>
      <c r="D2161" s="2"/>
      <c r="E2161" s="2"/>
      <c r="F2161" s="132">
        <v>0</v>
      </c>
      <c r="G2161" s="132"/>
      <c r="H2161" s="132">
        <f t="shared" si="248"/>
        <v>0</v>
      </c>
      <c r="I2161" s="132"/>
      <c r="J2161" s="132">
        <f t="shared" si="246"/>
        <v>0</v>
      </c>
      <c r="K2161" s="132">
        <f t="shared" si="242"/>
        <v>0</v>
      </c>
      <c r="L2161" s="132">
        <f t="shared" si="243"/>
        <v>0</v>
      </c>
      <c r="M2161" s="133"/>
      <c r="N2161" s="133">
        <f t="shared" si="247"/>
        <v>0</v>
      </c>
      <c r="O2161" s="134"/>
      <c r="P2161" s="133"/>
      <c r="Q2161" s="2"/>
      <c r="R2161" s="156">
        <f t="shared" si="244"/>
        <v>0</v>
      </c>
      <c r="S2161" s="156">
        <f t="shared" si="245"/>
        <v>0</v>
      </c>
      <c r="T2161" s="133"/>
      <c r="U2161" s="133"/>
      <c r="V2161" s="133"/>
      <c r="W2161" s="133"/>
      <c r="X2161" s="133"/>
      <c r="Y2161" s="133"/>
      <c r="Z2161" s="133"/>
      <c r="AA2161" s="133"/>
      <c r="AB2161" s="133"/>
      <c r="AC2161" s="133"/>
      <c r="AD2161" s="133"/>
      <c r="AE2161" s="133"/>
      <c r="AF2161" s="133"/>
      <c r="AG2161" s="133"/>
      <c r="AH2161" s="133"/>
      <c r="AI2161" s="133"/>
      <c r="AJ2161" s="133"/>
      <c r="AK2161" s="133"/>
      <c r="AL2161" s="133"/>
      <c r="AM2161" s="133"/>
      <c r="AN2161" s="133"/>
      <c r="AO2161" s="133"/>
      <c r="AP2161" s="133"/>
      <c r="AQ2161" s="133"/>
      <c r="AR2161" s="133"/>
      <c r="AS2161" s="153">
        <v>0</v>
      </c>
      <c r="AT2161" s="153">
        <v>0</v>
      </c>
      <c r="AU2161" s="153">
        <v>0</v>
      </c>
      <c r="AV2161" s="135"/>
      <c r="AW2161" s="135"/>
      <c r="AX2161" s="135"/>
      <c r="AY2161" s="135"/>
      <c r="AZ2161" s="135"/>
      <c r="BA2161" s="135"/>
      <c r="BB2161" s="135"/>
      <c r="BC2161" s="135"/>
      <c r="BD2161" s="135"/>
      <c r="BE2161" s="135"/>
      <c r="BF2161" s="135"/>
      <c r="BG2161" s="135"/>
      <c r="BH2161" s="135"/>
      <c r="BI2161" s="2"/>
      <c r="BJ2161" s="136"/>
      <c r="BK2161" s="2"/>
      <c r="BL2161" s="136"/>
      <c r="BM2161" s="136"/>
      <c r="BN2161" s="2"/>
      <c r="BO2161" s="2"/>
      <c r="BP2161" s="136"/>
      <c r="BQ2161" s="137"/>
    </row>
    <row r="2162" spans="1:69" ht="12.75" customHeight="1" x14ac:dyDescent="0.2">
      <c r="A2162" s="2">
        <v>3651</v>
      </c>
      <c r="B2162" s="2"/>
      <c r="C2162" s="2"/>
      <c r="D2162" s="2"/>
      <c r="E2162" s="2"/>
      <c r="F2162" s="132">
        <v>0</v>
      </c>
      <c r="G2162" s="132"/>
      <c r="H2162" s="132">
        <f t="shared" si="248"/>
        <v>0</v>
      </c>
      <c r="I2162" s="132"/>
      <c r="J2162" s="132">
        <f t="shared" si="246"/>
        <v>0</v>
      </c>
      <c r="K2162" s="132">
        <f t="shared" si="242"/>
        <v>0</v>
      </c>
      <c r="L2162" s="132">
        <f t="shared" si="243"/>
        <v>0</v>
      </c>
      <c r="M2162" s="133"/>
      <c r="N2162" s="133">
        <f t="shared" si="247"/>
        <v>0</v>
      </c>
      <c r="O2162" s="134"/>
      <c r="P2162" s="133"/>
      <c r="Q2162" s="2"/>
      <c r="R2162" s="156">
        <f t="shared" si="244"/>
        <v>0</v>
      </c>
      <c r="S2162" s="156">
        <f t="shared" si="245"/>
        <v>0</v>
      </c>
      <c r="T2162" s="133"/>
      <c r="U2162" s="133"/>
      <c r="V2162" s="133"/>
      <c r="W2162" s="133"/>
      <c r="X2162" s="133"/>
      <c r="Y2162" s="133"/>
      <c r="Z2162" s="133"/>
      <c r="AA2162" s="133"/>
      <c r="AB2162" s="133"/>
      <c r="AC2162" s="133"/>
      <c r="AD2162" s="133"/>
      <c r="AE2162" s="133"/>
      <c r="AF2162" s="133"/>
      <c r="AG2162" s="133"/>
      <c r="AH2162" s="133"/>
      <c r="AI2162" s="133"/>
      <c r="AJ2162" s="133"/>
      <c r="AK2162" s="133"/>
      <c r="AL2162" s="133"/>
      <c r="AM2162" s="133"/>
      <c r="AN2162" s="133"/>
      <c r="AO2162" s="133"/>
      <c r="AP2162" s="133"/>
      <c r="AQ2162" s="133"/>
      <c r="AR2162" s="133"/>
      <c r="AS2162" s="153">
        <v>0</v>
      </c>
      <c r="AT2162" s="153">
        <v>0</v>
      </c>
      <c r="AU2162" s="153">
        <v>0</v>
      </c>
      <c r="AV2162" s="135"/>
      <c r="AW2162" s="135"/>
      <c r="AX2162" s="135"/>
      <c r="AY2162" s="135"/>
      <c r="AZ2162" s="135"/>
      <c r="BA2162" s="135"/>
      <c r="BB2162" s="135"/>
      <c r="BC2162" s="135"/>
      <c r="BD2162" s="135"/>
      <c r="BE2162" s="135"/>
      <c r="BF2162" s="135"/>
      <c r="BG2162" s="135"/>
      <c r="BH2162" s="135"/>
      <c r="BI2162" s="2"/>
      <c r="BJ2162" s="136"/>
      <c r="BK2162" s="2"/>
      <c r="BL2162" s="136"/>
      <c r="BM2162" s="136"/>
      <c r="BN2162" s="2"/>
      <c r="BO2162" s="2"/>
      <c r="BP2162" s="136"/>
      <c r="BQ2162" s="137"/>
    </row>
    <row r="2163" spans="1:69" ht="12.75" customHeight="1" x14ac:dyDescent="0.2">
      <c r="A2163" s="2">
        <v>3652</v>
      </c>
      <c r="B2163" s="2"/>
      <c r="C2163" s="2"/>
      <c r="D2163" s="2"/>
      <c r="E2163" s="2"/>
      <c r="F2163" s="132">
        <v>0</v>
      </c>
      <c r="G2163" s="132"/>
      <c r="H2163" s="132">
        <f t="shared" si="248"/>
        <v>0</v>
      </c>
      <c r="I2163" s="132"/>
      <c r="J2163" s="132">
        <f t="shared" si="246"/>
        <v>0</v>
      </c>
      <c r="K2163" s="132">
        <f t="shared" si="242"/>
        <v>0</v>
      </c>
      <c r="L2163" s="132">
        <f t="shared" si="243"/>
        <v>0</v>
      </c>
      <c r="M2163" s="133"/>
      <c r="N2163" s="133">
        <f t="shared" si="247"/>
        <v>0</v>
      </c>
      <c r="O2163" s="134"/>
      <c r="P2163" s="133"/>
      <c r="Q2163" s="2"/>
      <c r="R2163" s="156">
        <f t="shared" si="244"/>
        <v>0</v>
      </c>
      <c r="S2163" s="156">
        <f t="shared" si="245"/>
        <v>0</v>
      </c>
      <c r="T2163" s="133"/>
      <c r="U2163" s="133"/>
      <c r="V2163" s="133"/>
      <c r="W2163" s="133"/>
      <c r="X2163" s="133"/>
      <c r="Y2163" s="133"/>
      <c r="Z2163" s="133"/>
      <c r="AA2163" s="133"/>
      <c r="AB2163" s="133"/>
      <c r="AC2163" s="133"/>
      <c r="AD2163" s="133"/>
      <c r="AE2163" s="133"/>
      <c r="AF2163" s="133"/>
      <c r="AG2163" s="133"/>
      <c r="AH2163" s="133"/>
      <c r="AI2163" s="133"/>
      <c r="AJ2163" s="133"/>
      <c r="AK2163" s="133"/>
      <c r="AL2163" s="133"/>
      <c r="AM2163" s="133"/>
      <c r="AN2163" s="133"/>
      <c r="AO2163" s="133"/>
      <c r="AP2163" s="133"/>
      <c r="AQ2163" s="133"/>
      <c r="AR2163" s="133"/>
      <c r="AS2163" s="153">
        <v>0</v>
      </c>
      <c r="AT2163" s="153">
        <v>0</v>
      </c>
      <c r="AU2163" s="153">
        <v>0</v>
      </c>
      <c r="AV2163" s="135"/>
      <c r="AW2163" s="135"/>
      <c r="AX2163" s="135"/>
      <c r="AY2163" s="135"/>
      <c r="AZ2163" s="135"/>
      <c r="BA2163" s="135"/>
      <c r="BB2163" s="135"/>
      <c r="BC2163" s="135"/>
      <c r="BD2163" s="135"/>
      <c r="BE2163" s="135"/>
      <c r="BF2163" s="135"/>
      <c r="BG2163" s="135"/>
      <c r="BH2163" s="135"/>
      <c r="BI2163" s="2"/>
      <c r="BJ2163" s="136"/>
      <c r="BK2163" s="2"/>
      <c r="BL2163" s="136"/>
      <c r="BM2163" s="136"/>
      <c r="BN2163" s="2"/>
      <c r="BO2163" s="2"/>
      <c r="BP2163" s="136"/>
      <c r="BQ2163" s="137"/>
    </row>
    <row r="2164" spans="1:69" ht="12.75" customHeight="1" x14ac:dyDescent="0.2">
      <c r="A2164" s="2">
        <v>3653</v>
      </c>
      <c r="B2164" s="2"/>
      <c r="C2164" s="2"/>
      <c r="D2164" s="2"/>
      <c r="E2164" s="2"/>
      <c r="F2164" s="132">
        <v>0</v>
      </c>
      <c r="G2164" s="132"/>
      <c r="H2164" s="132">
        <f t="shared" si="248"/>
        <v>0</v>
      </c>
      <c r="I2164" s="132"/>
      <c r="J2164" s="132">
        <f t="shared" si="246"/>
        <v>0</v>
      </c>
      <c r="K2164" s="132">
        <f t="shared" si="242"/>
        <v>0</v>
      </c>
      <c r="L2164" s="132">
        <f t="shared" si="243"/>
        <v>0</v>
      </c>
      <c r="M2164" s="133"/>
      <c r="N2164" s="133">
        <f t="shared" si="247"/>
        <v>0</v>
      </c>
      <c r="O2164" s="134"/>
      <c r="P2164" s="133"/>
      <c r="Q2164" s="2"/>
      <c r="R2164" s="156">
        <f t="shared" si="244"/>
        <v>0</v>
      </c>
      <c r="S2164" s="156">
        <f t="shared" si="245"/>
        <v>0</v>
      </c>
      <c r="T2164" s="133"/>
      <c r="U2164" s="133"/>
      <c r="V2164" s="133"/>
      <c r="W2164" s="133"/>
      <c r="X2164" s="133"/>
      <c r="Y2164" s="133"/>
      <c r="Z2164" s="133"/>
      <c r="AA2164" s="133"/>
      <c r="AB2164" s="133"/>
      <c r="AC2164" s="133"/>
      <c r="AD2164" s="133"/>
      <c r="AE2164" s="133"/>
      <c r="AF2164" s="133"/>
      <c r="AG2164" s="133"/>
      <c r="AH2164" s="133"/>
      <c r="AI2164" s="133"/>
      <c r="AJ2164" s="133"/>
      <c r="AK2164" s="133"/>
      <c r="AL2164" s="133"/>
      <c r="AM2164" s="133"/>
      <c r="AN2164" s="133"/>
      <c r="AO2164" s="133"/>
      <c r="AP2164" s="133"/>
      <c r="AQ2164" s="133"/>
      <c r="AR2164" s="133"/>
      <c r="AS2164" s="153">
        <v>0</v>
      </c>
      <c r="AT2164" s="153">
        <v>0</v>
      </c>
      <c r="AU2164" s="153">
        <v>0</v>
      </c>
      <c r="AV2164" s="135"/>
      <c r="AW2164" s="135"/>
      <c r="AX2164" s="135"/>
      <c r="AY2164" s="135"/>
      <c r="AZ2164" s="135"/>
      <c r="BA2164" s="135"/>
      <c r="BB2164" s="135"/>
      <c r="BC2164" s="135"/>
      <c r="BD2164" s="135"/>
      <c r="BE2164" s="135"/>
      <c r="BF2164" s="135"/>
      <c r="BG2164" s="135"/>
      <c r="BH2164" s="135"/>
      <c r="BI2164" s="2"/>
      <c r="BJ2164" s="136"/>
      <c r="BK2164" s="2"/>
      <c r="BL2164" s="136"/>
      <c r="BM2164" s="136"/>
      <c r="BN2164" s="2"/>
      <c r="BO2164" s="2"/>
      <c r="BP2164" s="136"/>
      <c r="BQ2164" s="137"/>
    </row>
    <row r="2165" spans="1:69" ht="12.75" customHeight="1" x14ac:dyDescent="0.2">
      <c r="A2165" s="2">
        <v>3654</v>
      </c>
      <c r="B2165" s="2"/>
      <c r="C2165" s="2"/>
      <c r="D2165" s="2"/>
      <c r="E2165" s="2"/>
      <c r="F2165" s="132">
        <v>0</v>
      </c>
      <c r="G2165" s="132"/>
      <c r="H2165" s="132">
        <f t="shared" si="248"/>
        <v>0</v>
      </c>
      <c r="I2165" s="132"/>
      <c r="J2165" s="132">
        <f t="shared" si="246"/>
        <v>0</v>
      </c>
      <c r="K2165" s="132">
        <f t="shared" si="242"/>
        <v>0</v>
      </c>
      <c r="L2165" s="132">
        <f t="shared" si="243"/>
        <v>0</v>
      </c>
      <c r="M2165" s="133"/>
      <c r="N2165" s="133">
        <f t="shared" si="247"/>
        <v>0</v>
      </c>
      <c r="O2165" s="134"/>
      <c r="P2165" s="133"/>
      <c r="Q2165" s="2"/>
      <c r="R2165" s="156">
        <f t="shared" si="244"/>
        <v>0</v>
      </c>
      <c r="S2165" s="156">
        <f t="shared" si="245"/>
        <v>0</v>
      </c>
      <c r="T2165" s="133"/>
      <c r="U2165" s="133"/>
      <c r="V2165" s="133"/>
      <c r="W2165" s="133"/>
      <c r="X2165" s="133"/>
      <c r="Y2165" s="133"/>
      <c r="Z2165" s="133"/>
      <c r="AA2165" s="133"/>
      <c r="AB2165" s="133"/>
      <c r="AC2165" s="133"/>
      <c r="AD2165" s="133"/>
      <c r="AE2165" s="133"/>
      <c r="AF2165" s="133"/>
      <c r="AG2165" s="133"/>
      <c r="AH2165" s="133"/>
      <c r="AI2165" s="133"/>
      <c r="AJ2165" s="133"/>
      <c r="AK2165" s="133"/>
      <c r="AL2165" s="133"/>
      <c r="AM2165" s="133"/>
      <c r="AN2165" s="133"/>
      <c r="AO2165" s="133"/>
      <c r="AP2165" s="133"/>
      <c r="AQ2165" s="133"/>
      <c r="AR2165" s="133"/>
      <c r="AS2165" s="153">
        <v>0</v>
      </c>
      <c r="AT2165" s="153">
        <v>0</v>
      </c>
      <c r="AU2165" s="153">
        <v>0</v>
      </c>
      <c r="AV2165" s="135"/>
      <c r="AW2165" s="135"/>
      <c r="AX2165" s="135"/>
      <c r="AY2165" s="135"/>
      <c r="AZ2165" s="135"/>
      <c r="BA2165" s="135"/>
      <c r="BB2165" s="135"/>
      <c r="BC2165" s="135"/>
      <c r="BD2165" s="135"/>
      <c r="BE2165" s="135"/>
      <c r="BF2165" s="135"/>
      <c r="BG2165" s="135"/>
      <c r="BH2165" s="135"/>
      <c r="BI2165" s="2"/>
      <c r="BJ2165" s="136"/>
      <c r="BK2165" s="2"/>
      <c r="BL2165" s="136"/>
      <c r="BM2165" s="136"/>
      <c r="BN2165" s="2"/>
      <c r="BO2165" s="2"/>
      <c r="BP2165" s="136"/>
      <c r="BQ2165" s="137"/>
    </row>
    <row r="2166" spans="1:69" ht="12.75" customHeight="1" x14ac:dyDescent="0.2">
      <c r="A2166" s="2">
        <v>3655</v>
      </c>
      <c r="B2166" s="2"/>
      <c r="C2166" s="2"/>
      <c r="D2166" s="2"/>
      <c r="E2166" s="2"/>
      <c r="F2166" s="132">
        <v>0</v>
      </c>
      <c r="G2166" s="132"/>
      <c r="H2166" s="132">
        <f t="shared" si="248"/>
        <v>0</v>
      </c>
      <c r="I2166" s="132"/>
      <c r="J2166" s="132">
        <f t="shared" si="246"/>
        <v>0</v>
      </c>
      <c r="K2166" s="132">
        <f t="shared" ref="K2166:K2229" si="249">F2166-J2166</f>
        <v>0</v>
      </c>
      <c r="L2166" s="132">
        <f t="shared" si="243"/>
        <v>0</v>
      </c>
      <c r="M2166" s="133"/>
      <c r="N2166" s="133">
        <f t="shared" si="247"/>
        <v>0</v>
      </c>
      <c r="O2166" s="134"/>
      <c r="P2166" s="133"/>
      <c r="Q2166" s="2"/>
      <c r="R2166" s="156">
        <f t="shared" si="244"/>
        <v>0</v>
      </c>
      <c r="S2166" s="156">
        <f t="shared" si="245"/>
        <v>0</v>
      </c>
      <c r="T2166" s="133"/>
      <c r="U2166" s="133"/>
      <c r="V2166" s="133"/>
      <c r="W2166" s="133"/>
      <c r="X2166" s="133"/>
      <c r="Y2166" s="133"/>
      <c r="Z2166" s="133"/>
      <c r="AA2166" s="133"/>
      <c r="AB2166" s="133"/>
      <c r="AC2166" s="133"/>
      <c r="AD2166" s="133"/>
      <c r="AE2166" s="133"/>
      <c r="AF2166" s="133"/>
      <c r="AG2166" s="133"/>
      <c r="AH2166" s="133"/>
      <c r="AI2166" s="133"/>
      <c r="AJ2166" s="133"/>
      <c r="AK2166" s="133"/>
      <c r="AL2166" s="133"/>
      <c r="AM2166" s="133"/>
      <c r="AN2166" s="133"/>
      <c r="AO2166" s="133"/>
      <c r="AP2166" s="133"/>
      <c r="AQ2166" s="133"/>
      <c r="AR2166" s="133"/>
      <c r="AS2166" s="153">
        <v>0</v>
      </c>
      <c r="AT2166" s="153">
        <v>0</v>
      </c>
      <c r="AU2166" s="153">
        <v>0</v>
      </c>
      <c r="AV2166" s="135"/>
      <c r="AW2166" s="135"/>
      <c r="AX2166" s="135"/>
      <c r="AY2166" s="135"/>
      <c r="AZ2166" s="135"/>
      <c r="BA2166" s="135"/>
      <c r="BB2166" s="135"/>
      <c r="BC2166" s="135"/>
      <c r="BD2166" s="135"/>
      <c r="BE2166" s="135"/>
      <c r="BF2166" s="135"/>
      <c r="BG2166" s="135"/>
      <c r="BH2166" s="135"/>
      <c r="BI2166" s="2"/>
      <c r="BJ2166" s="136"/>
      <c r="BK2166" s="2"/>
      <c r="BL2166" s="136"/>
      <c r="BM2166" s="136"/>
      <c r="BN2166" s="2"/>
      <c r="BO2166" s="2"/>
      <c r="BP2166" s="136"/>
      <c r="BQ2166" s="137"/>
    </row>
    <row r="2167" spans="1:69" ht="12.75" customHeight="1" x14ac:dyDescent="0.2">
      <c r="A2167" s="2">
        <v>3656</v>
      </c>
      <c r="B2167" s="2"/>
      <c r="C2167" s="2"/>
      <c r="D2167" s="2"/>
      <c r="E2167" s="2"/>
      <c r="F2167" s="132">
        <v>0</v>
      </c>
      <c r="G2167" s="132"/>
      <c r="H2167" s="132">
        <f t="shared" si="248"/>
        <v>0</v>
      </c>
      <c r="I2167" s="132"/>
      <c r="J2167" s="132">
        <f t="shared" si="246"/>
        <v>0</v>
      </c>
      <c r="K2167" s="132">
        <f t="shared" si="249"/>
        <v>0</v>
      </c>
      <c r="L2167" s="132">
        <f t="shared" si="243"/>
        <v>0</v>
      </c>
      <c r="M2167" s="133"/>
      <c r="N2167" s="133">
        <f t="shared" si="247"/>
        <v>0</v>
      </c>
      <c r="O2167" s="134"/>
      <c r="P2167" s="133"/>
      <c r="Q2167" s="2"/>
      <c r="R2167" s="156">
        <f t="shared" si="244"/>
        <v>0</v>
      </c>
      <c r="S2167" s="156">
        <f t="shared" si="245"/>
        <v>0</v>
      </c>
      <c r="T2167" s="133"/>
      <c r="U2167" s="133"/>
      <c r="V2167" s="133"/>
      <c r="W2167" s="133"/>
      <c r="X2167" s="133"/>
      <c r="Y2167" s="133"/>
      <c r="Z2167" s="133"/>
      <c r="AA2167" s="133"/>
      <c r="AB2167" s="133"/>
      <c r="AC2167" s="133"/>
      <c r="AD2167" s="133"/>
      <c r="AE2167" s="133"/>
      <c r="AF2167" s="133"/>
      <c r="AG2167" s="133"/>
      <c r="AH2167" s="133"/>
      <c r="AI2167" s="133"/>
      <c r="AJ2167" s="133"/>
      <c r="AK2167" s="133"/>
      <c r="AL2167" s="133"/>
      <c r="AM2167" s="133"/>
      <c r="AN2167" s="133"/>
      <c r="AO2167" s="133"/>
      <c r="AP2167" s="133"/>
      <c r="AQ2167" s="133"/>
      <c r="AR2167" s="133"/>
      <c r="AS2167" s="153">
        <v>0</v>
      </c>
      <c r="AT2167" s="153">
        <v>0</v>
      </c>
      <c r="AU2167" s="153">
        <v>0</v>
      </c>
      <c r="AV2167" s="135"/>
      <c r="AW2167" s="135"/>
      <c r="AX2167" s="135"/>
      <c r="AY2167" s="135"/>
      <c r="AZ2167" s="135"/>
      <c r="BA2167" s="135"/>
      <c r="BB2167" s="135"/>
      <c r="BC2167" s="135"/>
      <c r="BD2167" s="135"/>
      <c r="BE2167" s="135"/>
      <c r="BF2167" s="135"/>
      <c r="BG2167" s="135"/>
      <c r="BH2167" s="135"/>
      <c r="BI2167" s="2"/>
      <c r="BJ2167" s="136"/>
      <c r="BK2167" s="2"/>
      <c r="BL2167" s="136"/>
      <c r="BM2167" s="136"/>
      <c r="BN2167" s="2"/>
      <c r="BO2167" s="2"/>
      <c r="BP2167" s="136"/>
      <c r="BQ2167" s="137"/>
    </row>
    <row r="2168" spans="1:69" ht="12.75" customHeight="1" x14ac:dyDescent="0.2">
      <c r="A2168" s="2">
        <v>3657</v>
      </c>
      <c r="B2168" s="2"/>
      <c r="C2168" s="2"/>
      <c r="D2168" s="2"/>
      <c r="E2168" s="2"/>
      <c r="F2168" s="132">
        <v>0</v>
      </c>
      <c r="G2168" s="132"/>
      <c r="H2168" s="132">
        <f t="shared" si="248"/>
        <v>0</v>
      </c>
      <c r="I2168" s="132"/>
      <c r="J2168" s="132">
        <f t="shared" si="246"/>
        <v>0</v>
      </c>
      <c r="K2168" s="132">
        <f t="shared" si="249"/>
        <v>0</v>
      </c>
      <c r="L2168" s="132">
        <f t="shared" si="243"/>
        <v>0</v>
      </c>
      <c r="M2168" s="133"/>
      <c r="N2168" s="133">
        <f t="shared" si="247"/>
        <v>0</v>
      </c>
      <c r="O2168" s="134"/>
      <c r="P2168" s="133"/>
      <c r="Q2168" s="2"/>
      <c r="R2168" s="156">
        <f t="shared" si="244"/>
        <v>0</v>
      </c>
      <c r="S2168" s="156">
        <f t="shared" si="245"/>
        <v>0</v>
      </c>
      <c r="T2168" s="133"/>
      <c r="U2168" s="133"/>
      <c r="V2168" s="133"/>
      <c r="W2168" s="133"/>
      <c r="X2168" s="133"/>
      <c r="Y2168" s="133"/>
      <c r="Z2168" s="133"/>
      <c r="AA2168" s="133"/>
      <c r="AB2168" s="133"/>
      <c r="AC2168" s="133"/>
      <c r="AD2168" s="133"/>
      <c r="AE2168" s="133"/>
      <c r="AF2168" s="133"/>
      <c r="AG2168" s="133"/>
      <c r="AH2168" s="133"/>
      <c r="AI2168" s="133"/>
      <c r="AJ2168" s="133"/>
      <c r="AK2168" s="133"/>
      <c r="AL2168" s="133"/>
      <c r="AM2168" s="133"/>
      <c r="AN2168" s="133"/>
      <c r="AO2168" s="133"/>
      <c r="AP2168" s="133"/>
      <c r="AQ2168" s="133"/>
      <c r="AR2168" s="133"/>
      <c r="AS2168" s="153">
        <v>0</v>
      </c>
      <c r="AT2168" s="153">
        <v>0</v>
      </c>
      <c r="AU2168" s="153">
        <v>0</v>
      </c>
      <c r="AV2168" s="135"/>
      <c r="AW2168" s="135"/>
      <c r="AX2168" s="135"/>
      <c r="AY2168" s="135"/>
      <c r="AZ2168" s="135"/>
      <c r="BA2168" s="135"/>
      <c r="BB2168" s="135"/>
      <c r="BC2168" s="135"/>
      <c r="BD2168" s="135"/>
      <c r="BE2168" s="135"/>
      <c r="BF2168" s="135"/>
      <c r="BG2168" s="135"/>
      <c r="BH2168" s="135"/>
      <c r="BI2168" s="2"/>
      <c r="BJ2168" s="136"/>
      <c r="BK2168" s="2"/>
      <c r="BL2168" s="136"/>
      <c r="BM2168" s="136"/>
      <c r="BN2168" s="2"/>
      <c r="BO2168" s="2"/>
      <c r="BP2168" s="136"/>
      <c r="BQ2168" s="137"/>
    </row>
    <row r="2169" spans="1:69" ht="12.75" customHeight="1" x14ac:dyDescent="0.2">
      <c r="A2169" s="2">
        <v>3658</v>
      </c>
      <c r="B2169" s="2"/>
      <c r="C2169" s="2"/>
      <c r="D2169" s="2"/>
      <c r="E2169" s="2"/>
      <c r="F2169" s="132">
        <v>0</v>
      </c>
      <c r="G2169" s="132"/>
      <c r="H2169" s="132">
        <f t="shared" si="248"/>
        <v>0</v>
      </c>
      <c r="I2169" s="132"/>
      <c r="J2169" s="132">
        <f t="shared" si="246"/>
        <v>0</v>
      </c>
      <c r="K2169" s="132">
        <f t="shared" si="249"/>
        <v>0</v>
      </c>
      <c r="L2169" s="132">
        <f t="shared" si="243"/>
        <v>0</v>
      </c>
      <c r="M2169" s="133"/>
      <c r="N2169" s="133">
        <f t="shared" si="247"/>
        <v>0</v>
      </c>
      <c r="O2169" s="134"/>
      <c r="P2169" s="133"/>
      <c r="Q2169" s="2"/>
      <c r="R2169" s="156">
        <f t="shared" si="244"/>
        <v>0</v>
      </c>
      <c r="S2169" s="156">
        <f t="shared" si="245"/>
        <v>0</v>
      </c>
      <c r="T2169" s="133"/>
      <c r="U2169" s="133"/>
      <c r="V2169" s="133"/>
      <c r="W2169" s="133"/>
      <c r="X2169" s="133"/>
      <c r="Y2169" s="133"/>
      <c r="Z2169" s="133"/>
      <c r="AA2169" s="133"/>
      <c r="AB2169" s="133"/>
      <c r="AC2169" s="133"/>
      <c r="AD2169" s="133"/>
      <c r="AE2169" s="133"/>
      <c r="AF2169" s="133"/>
      <c r="AG2169" s="133"/>
      <c r="AH2169" s="133"/>
      <c r="AI2169" s="133"/>
      <c r="AJ2169" s="133"/>
      <c r="AK2169" s="133"/>
      <c r="AL2169" s="133"/>
      <c r="AM2169" s="133"/>
      <c r="AN2169" s="133"/>
      <c r="AO2169" s="133"/>
      <c r="AP2169" s="133"/>
      <c r="AQ2169" s="133"/>
      <c r="AR2169" s="133"/>
      <c r="AS2169" s="153">
        <v>0</v>
      </c>
      <c r="AT2169" s="153">
        <v>0</v>
      </c>
      <c r="AU2169" s="153">
        <v>0</v>
      </c>
      <c r="AV2169" s="135"/>
      <c r="AW2169" s="135"/>
      <c r="AX2169" s="135"/>
      <c r="AY2169" s="135"/>
      <c r="AZ2169" s="135"/>
      <c r="BA2169" s="135"/>
      <c r="BB2169" s="135"/>
      <c r="BC2169" s="135"/>
      <c r="BD2169" s="135"/>
      <c r="BE2169" s="135"/>
      <c r="BF2169" s="135"/>
      <c r="BG2169" s="135"/>
      <c r="BH2169" s="135"/>
      <c r="BI2169" s="2"/>
      <c r="BJ2169" s="136"/>
      <c r="BK2169" s="2"/>
      <c r="BL2169" s="136"/>
      <c r="BM2169" s="136"/>
      <c r="BN2169" s="2"/>
      <c r="BO2169" s="2"/>
      <c r="BP2169" s="136"/>
      <c r="BQ2169" s="137"/>
    </row>
    <row r="2170" spans="1:69" ht="12.75" customHeight="1" x14ac:dyDescent="0.2">
      <c r="A2170" s="2">
        <v>3659</v>
      </c>
      <c r="B2170" s="2"/>
      <c r="C2170" s="2"/>
      <c r="D2170" s="2"/>
      <c r="E2170" s="2"/>
      <c r="F2170" s="132">
        <v>0</v>
      </c>
      <c r="G2170" s="132"/>
      <c r="H2170" s="132">
        <f t="shared" si="248"/>
        <v>0</v>
      </c>
      <c r="I2170" s="132"/>
      <c r="J2170" s="132">
        <f t="shared" si="246"/>
        <v>0</v>
      </c>
      <c r="K2170" s="132">
        <f t="shared" si="249"/>
        <v>0</v>
      </c>
      <c r="L2170" s="132">
        <f t="shared" si="243"/>
        <v>0</v>
      </c>
      <c r="M2170" s="133"/>
      <c r="N2170" s="133">
        <f t="shared" si="247"/>
        <v>0</v>
      </c>
      <c r="O2170" s="134"/>
      <c r="P2170" s="133"/>
      <c r="Q2170" s="2"/>
      <c r="R2170" s="156">
        <f t="shared" si="244"/>
        <v>0</v>
      </c>
      <c r="S2170" s="156">
        <f t="shared" si="245"/>
        <v>0</v>
      </c>
      <c r="T2170" s="133"/>
      <c r="U2170" s="133"/>
      <c r="V2170" s="133"/>
      <c r="W2170" s="133"/>
      <c r="X2170" s="133"/>
      <c r="Y2170" s="133"/>
      <c r="Z2170" s="133"/>
      <c r="AA2170" s="133"/>
      <c r="AB2170" s="133"/>
      <c r="AC2170" s="133"/>
      <c r="AD2170" s="133"/>
      <c r="AE2170" s="133"/>
      <c r="AF2170" s="133"/>
      <c r="AG2170" s="133"/>
      <c r="AH2170" s="133"/>
      <c r="AI2170" s="133"/>
      <c r="AJ2170" s="133"/>
      <c r="AK2170" s="133"/>
      <c r="AL2170" s="133"/>
      <c r="AM2170" s="133"/>
      <c r="AN2170" s="133"/>
      <c r="AO2170" s="133"/>
      <c r="AP2170" s="133"/>
      <c r="AQ2170" s="133"/>
      <c r="AR2170" s="133"/>
      <c r="AS2170" s="153">
        <v>0</v>
      </c>
      <c r="AT2170" s="153">
        <v>0</v>
      </c>
      <c r="AU2170" s="153">
        <v>0</v>
      </c>
      <c r="AV2170" s="135"/>
      <c r="AW2170" s="135"/>
      <c r="AX2170" s="135"/>
      <c r="AY2170" s="135"/>
      <c r="AZ2170" s="135"/>
      <c r="BA2170" s="135"/>
      <c r="BB2170" s="135"/>
      <c r="BC2170" s="135"/>
      <c r="BD2170" s="135"/>
      <c r="BE2170" s="135"/>
      <c r="BF2170" s="135"/>
      <c r="BG2170" s="135"/>
      <c r="BH2170" s="135"/>
      <c r="BI2170" s="2"/>
      <c r="BJ2170" s="136"/>
      <c r="BK2170" s="2"/>
      <c r="BL2170" s="136"/>
      <c r="BM2170" s="136"/>
      <c r="BN2170" s="2"/>
      <c r="BO2170" s="2"/>
      <c r="BP2170" s="136"/>
      <c r="BQ2170" s="137"/>
    </row>
    <row r="2171" spans="1:69" ht="12.75" customHeight="1" x14ac:dyDescent="0.2">
      <c r="A2171" s="2">
        <v>3660</v>
      </c>
      <c r="B2171" s="2"/>
      <c r="C2171" s="2"/>
      <c r="D2171" s="2"/>
      <c r="E2171" s="2"/>
      <c r="F2171" s="132">
        <v>0</v>
      </c>
      <c r="G2171" s="132"/>
      <c r="H2171" s="132">
        <f t="shared" si="248"/>
        <v>0</v>
      </c>
      <c r="I2171" s="132"/>
      <c r="J2171" s="132">
        <f t="shared" si="246"/>
        <v>0</v>
      </c>
      <c r="K2171" s="132">
        <f t="shared" si="249"/>
        <v>0</v>
      </c>
      <c r="L2171" s="132">
        <f t="shared" si="243"/>
        <v>0</v>
      </c>
      <c r="M2171" s="133"/>
      <c r="N2171" s="133">
        <f t="shared" si="247"/>
        <v>0</v>
      </c>
      <c r="O2171" s="134"/>
      <c r="P2171" s="133"/>
      <c r="Q2171" s="2"/>
      <c r="R2171" s="156">
        <f t="shared" si="244"/>
        <v>0</v>
      </c>
      <c r="S2171" s="156">
        <f t="shared" si="245"/>
        <v>0</v>
      </c>
      <c r="T2171" s="133"/>
      <c r="U2171" s="133"/>
      <c r="V2171" s="133"/>
      <c r="W2171" s="133"/>
      <c r="X2171" s="133"/>
      <c r="Y2171" s="133"/>
      <c r="Z2171" s="133"/>
      <c r="AA2171" s="133"/>
      <c r="AB2171" s="133"/>
      <c r="AC2171" s="133"/>
      <c r="AD2171" s="133"/>
      <c r="AE2171" s="133"/>
      <c r="AF2171" s="133"/>
      <c r="AG2171" s="133"/>
      <c r="AH2171" s="133"/>
      <c r="AI2171" s="133"/>
      <c r="AJ2171" s="133"/>
      <c r="AK2171" s="133"/>
      <c r="AL2171" s="133"/>
      <c r="AM2171" s="133"/>
      <c r="AN2171" s="133"/>
      <c r="AO2171" s="133"/>
      <c r="AP2171" s="133"/>
      <c r="AQ2171" s="133"/>
      <c r="AR2171" s="133"/>
      <c r="AS2171" s="153">
        <v>0</v>
      </c>
      <c r="AT2171" s="153">
        <v>0</v>
      </c>
      <c r="AU2171" s="153">
        <v>0</v>
      </c>
      <c r="AV2171" s="135"/>
      <c r="AW2171" s="135"/>
      <c r="AX2171" s="135"/>
      <c r="AY2171" s="135"/>
      <c r="AZ2171" s="135"/>
      <c r="BA2171" s="135"/>
      <c r="BB2171" s="135"/>
      <c r="BC2171" s="135"/>
      <c r="BD2171" s="135"/>
      <c r="BE2171" s="135"/>
      <c r="BF2171" s="135"/>
      <c r="BG2171" s="135"/>
      <c r="BH2171" s="135"/>
      <c r="BI2171" s="2"/>
      <c r="BJ2171" s="136"/>
      <c r="BK2171" s="2"/>
      <c r="BL2171" s="136"/>
      <c r="BM2171" s="136"/>
      <c r="BN2171" s="2"/>
      <c r="BO2171" s="2"/>
      <c r="BP2171" s="136"/>
      <c r="BQ2171" s="137"/>
    </row>
    <row r="2172" spans="1:69" ht="12.75" customHeight="1" x14ac:dyDescent="0.2">
      <c r="A2172" s="2">
        <v>3661</v>
      </c>
      <c r="B2172" s="2"/>
      <c r="C2172" s="2"/>
      <c r="D2172" s="2"/>
      <c r="E2172" s="2"/>
      <c r="F2172" s="132">
        <v>0</v>
      </c>
      <c r="G2172" s="132"/>
      <c r="H2172" s="132">
        <f t="shared" si="248"/>
        <v>0</v>
      </c>
      <c r="I2172" s="132"/>
      <c r="J2172" s="132">
        <f t="shared" si="246"/>
        <v>0</v>
      </c>
      <c r="K2172" s="132">
        <f t="shared" si="249"/>
        <v>0</v>
      </c>
      <c r="L2172" s="132">
        <f t="shared" si="243"/>
        <v>0</v>
      </c>
      <c r="M2172" s="133"/>
      <c r="N2172" s="133">
        <f t="shared" si="247"/>
        <v>0</v>
      </c>
      <c r="O2172" s="134"/>
      <c r="P2172" s="133"/>
      <c r="Q2172" s="2"/>
      <c r="R2172" s="156">
        <f t="shared" si="244"/>
        <v>0</v>
      </c>
      <c r="S2172" s="156">
        <f t="shared" si="245"/>
        <v>0</v>
      </c>
      <c r="T2172" s="133"/>
      <c r="U2172" s="133"/>
      <c r="V2172" s="133"/>
      <c r="W2172" s="133"/>
      <c r="X2172" s="133"/>
      <c r="Y2172" s="133"/>
      <c r="Z2172" s="133"/>
      <c r="AA2172" s="133"/>
      <c r="AB2172" s="133"/>
      <c r="AC2172" s="133"/>
      <c r="AD2172" s="133"/>
      <c r="AE2172" s="133"/>
      <c r="AF2172" s="133"/>
      <c r="AG2172" s="133"/>
      <c r="AH2172" s="133"/>
      <c r="AI2172" s="133"/>
      <c r="AJ2172" s="133"/>
      <c r="AK2172" s="133"/>
      <c r="AL2172" s="133"/>
      <c r="AM2172" s="133"/>
      <c r="AN2172" s="133"/>
      <c r="AO2172" s="133"/>
      <c r="AP2172" s="133"/>
      <c r="AQ2172" s="133"/>
      <c r="AR2172" s="133"/>
      <c r="AS2172" s="153">
        <v>0</v>
      </c>
      <c r="AT2172" s="153">
        <v>0</v>
      </c>
      <c r="AU2172" s="153">
        <v>0</v>
      </c>
      <c r="AV2172" s="135"/>
      <c r="AW2172" s="135"/>
      <c r="AX2172" s="135"/>
      <c r="AY2172" s="135"/>
      <c r="AZ2172" s="135"/>
      <c r="BA2172" s="135"/>
      <c r="BB2172" s="135"/>
      <c r="BC2172" s="135"/>
      <c r="BD2172" s="135"/>
      <c r="BE2172" s="135"/>
      <c r="BF2172" s="135"/>
      <c r="BG2172" s="135"/>
      <c r="BH2172" s="135"/>
      <c r="BI2172" s="2"/>
      <c r="BJ2172" s="136"/>
      <c r="BK2172" s="2"/>
      <c r="BL2172" s="136"/>
      <c r="BM2172" s="136"/>
      <c r="BN2172" s="2"/>
      <c r="BO2172" s="2"/>
      <c r="BP2172" s="136"/>
      <c r="BQ2172" s="137"/>
    </row>
    <row r="2173" spans="1:69" ht="12.75" customHeight="1" x14ac:dyDescent="0.2">
      <c r="A2173" s="2">
        <v>3662</v>
      </c>
      <c r="B2173" s="2"/>
      <c r="C2173" s="2"/>
      <c r="D2173" s="2"/>
      <c r="E2173" s="2"/>
      <c r="F2173" s="132">
        <v>0</v>
      </c>
      <c r="G2173" s="132"/>
      <c r="H2173" s="132">
        <f t="shared" si="248"/>
        <v>0</v>
      </c>
      <c r="I2173" s="132"/>
      <c r="J2173" s="132">
        <f t="shared" si="246"/>
        <v>0</v>
      </c>
      <c r="K2173" s="132">
        <f t="shared" si="249"/>
        <v>0</v>
      </c>
      <c r="L2173" s="132">
        <f t="shared" si="243"/>
        <v>0</v>
      </c>
      <c r="M2173" s="133"/>
      <c r="N2173" s="133">
        <f t="shared" si="247"/>
        <v>0</v>
      </c>
      <c r="O2173" s="134"/>
      <c r="P2173" s="133"/>
      <c r="Q2173" s="2"/>
      <c r="R2173" s="156">
        <f t="shared" si="244"/>
        <v>0</v>
      </c>
      <c r="S2173" s="156">
        <f t="shared" si="245"/>
        <v>0</v>
      </c>
      <c r="T2173" s="133"/>
      <c r="U2173" s="133"/>
      <c r="V2173" s="133"/>
      <c r="W2173" s="133"/>
      <c r="X2173" s="133"/>
      <c r="Y2173" s="133"/>
      <c r="Z2173" s="133"/>
      <c r="AA2173" s="133"/>
      <c r="AB2173" s="133"/>
      <c r="AC2173" s="133"/>
      <c r="AD2173" s="133"/>
      <c r="AE2173" s="133"/>
      <c r="AF2173" s="133"/>
      <c r="AG2173" s="133"/>
      <c r="AH2173" s="133"/>
      <c r="AI2173" s="133"/>
      <c r="AJ2173" s="133"/>
      <c r="AK2173" s="133"/>
      <c r="AL2173" s="133"/>
      <c r="AM2173" s="133"/>
      <c r="AN2173" s="133"/>
      <c r="AO2173" s="133"/>
      <c r="AP2173" s="133"/>
      <c r="AQ2173" s="133"/>
      <c r="AR2173" s="133"/>
      <c r="AS2173" s="153">
        <v>0</v>
      </c>
      <c r="AT2173" s="153">
        <v>0</v>
      </c>
      <c r="AU2173" s="153">
        <v>0</v>
      </c>
      <c r="AV2173" s="135"/>
      <c r="AW2173" s="135"/>
      <c r="AX2173" s="135"/>
      <c r="AY2173" s="135"/>
      <c r="AZ2173" s="135"/>
      <c r="BA2173" s="135"/>
      <c r="BB2173" s="135"/>
      <c r="BC2173" s="135"/>
      <c r="BD2173" s="135"/>
      <c r="BE2173" s="135"/>
      <c r="BF2173" s="135"/>
      <c r="BG2173" s="135"/>
      <c r="BH2173" s="135"/>
      <c r="BI2173" s="2"/>
      <c r="BJ2173" s="136"/>
      <c r="BK2173" s="2"/>
      <c r="BL2173" s="136"/>
      <c r="BM2173" s="136"/>
      <c r="BN2173" s="2"/>
      <c r="BO2173" s="2"/>
      <c r="BP2173" s="136"/>
      <c r="BQ2173" s="137"/>
    </row>
    <row r="2174" spans="1:69" ht="12.75" customHeight="1" x14ac:dyDescent="0.2">
      <c r="A2174" s="2">
        <v>3663</v>
      </c>
      <c r="B2174" s="2"/>
      <c r="C2174" s="2"/>
      <c r="D2174" s="2"/>
      <c r="E2174" s="2"/>
      <c r="F2174" s="132">
        <v>0</v>
      </c>
      <c r="G2174" s="132"/>
      <c r="H2174" s="132">
        <f t="shared" si="248"/>
        <v>0</v>
      </c>
      <c r="I2174" s="132"/>
      <c r="J2174" s="132">
        <f t="shared" si="246"/>
        <v>0</v>
      </c>
      <c r="K2174" s="132">
        <f t="shared" si="249"/>
        <v>0</v>
      </c>
      <c r="L2174" s="132">
        <f t="shared" si="243"/>
        <v>0</v>
      </c>
      <c r="M2174" s="133"/>
      <c r="N2174" s="133">
        <f t="shared" si="247"/>
        <v>0</v>
      </c>
      <c r="O2174" s="134"/>
      <c r="P2174" s="133"/>
      <c r="Q2174" s="2"/>
      <c r="R2174" s="156">
        <f t="shared" si="244"/>
        <v>0</v>
      </c>
      <c r="S2174" s="156">
        <f t="shared" si="245"/>
        <v>0</v>
      </c>
      <c r="T2174" s="133"/>
      <c r="U2174" s="133"/>
      <c r="V2174" s="133"/>
      <c r="W2174" s="133"/>
      <c r="X2174" s="133"/>
      <c r="Y2174" s="133"/>
      <c r="Z2174" s="133"/>
      <c r="AA2174" s="133"/>
      <c r="AB2174" s="133"/>
      <c r="AC2174" s="133"/>
      <c r="AD2174" s="133"/>
      <c r="AE2174" s="133"/>
      <c r="AF2174" s="133"/>
      <c r="AG2174" s="133"/>
      <c r="AH2174" s="133"/>
      <c r="AI2174" s="133"/>
      <c r="AJ2174" s="133"/>
      <c r="AK2174" s="133"/>
      <c r="AL2174" s="133"/>
      <c r="AM2174" s="133"/>
      <c r="AN2174" s="133"/>
      <c r="AO2174" s="133"/>
      <c r="AP2174" s="133"/>
      <c r="AQ2174" s="133"/>
      <c r="AR2174" s="133"/>
      <c r="AS2174" s="153">
        <v>0</v>
      </c>
      <c r="AT2174" s="153">
        <v>0</v>
      </c>
      <c r="AU2174" s="153">
        <v>0</v>
      </c>
      <c r="AV2174" s="135"/>
      <c r="AW2174" s="135"/>
      <c r="AX2174" s="135"/>
      <c r="AY2174" s="135"/>
      <c r="AZ2174" s="135"/>
      <c r="BA2174" s="135"/>
      <c r="BB2174" s="135"/>
      <c r="BC2174" s="135"/>
      <c r="BD2174" s="135"/>
      <c r="BE2174" s="135"/>
      <c r="BF2174" s="135"/>
      <c r="BG2174" s="135"/>
      <c r="BH2174" s="135"/>
      <c r="BI2174" s="2"/>
      <c r="BJ2174" s="136"/>
      <c r="BK2174" s="2"/>
      <c r="BL2174" s="136"/>
      <c r="BM2174" s="136"/>
      <c r="BN2174" s="2"/>
      <c r="BO2174" s="2"/>
      <c r="BP2174" s="136"/>
      <c r="BQ2174" s="137"/>
    </row>
    <row r="2175" spans="1:69" ht="12.75" customHeight="1" x14ac:dyDescent="0.2">
      <c r="A2175" s="2">
        <v>3664</v>
      </c>
      <c r="B2175" s="2"/>
      <c r="C2175" s="2"/>
      <c r="D2175" s="2"/>
      <c r="E2175" s="2"/>
      <c r="F2175" s="132">
        <v>0</v>
      </c>
      <c r="G2175" s="132"/>
      <c r="H2175" s="132">
        <f t="shared" si="248"/>
        <v>0</v>
      </c>
      <c r="I2175" s="132"/>
      <c r="J2175" s="132">
        <f t="shared" si="246"/>
        <v>0</v>
      </c>
      <c r="K2175" s="132">
        <f t="shared" si="249"/>
        <v>0</v>
      </c>
      <c r="L2175" s="132">
        <f t="shared" si="243"/>
        <v>0</v>
      </c>
      <c r="M2175" s="133"/>
      <c r="N2175" s="133">
        <f t="shared" si="247"/>
        <v>0</v>
      </c>
      <c r="O2175" s="134"/>
      <c r="P2175" s="133"/>
      <c r="Q2175" s="2"/>
      <c r="R2175" s="156">
        <f t="shared" si="244"/>
        <v>0</v>
      </c>
      <c r="S2175" s="156">
        <f t="shared" si="245"/>
        <v>0</v>
      </c>
      <c r="T2175" s="133"/>
      <c r="U2175" s="133"/>
      <c r="V2175" s="133"/>
      <c r="W2175" s="133"/>
      <c r="X2175" s="133"/>
      <c r="Y2175" s="133"/>
      <c r="Z2175" s="133"/>
      <c r="AA2175" s="133"/>
      <c r="AB2175" s="133"/>
      <c r="AC2175" s="133"/>
      <c r="AD2175" s="133"/>
      <c r="AE2175" s="133"/>
      <c r="AF2175" s="133"/>
      <c r="AG2175" s="133"/>
      <c r="AH2175" s="133"/>
      <c r="AI2175" s="133"/>
      <c r="AJ2175" s="133"/>
      <c r="AK2175" s="133"/>
      <c r="AL2175" s="133"/>
      <c r="AM2175" s="133"/>
      <c r="AN2175" s="133"/>
      <c r="AO2175" s="133"/>
      <c r="AP2175" s="133"/>
      <c r="AQ2175" s="133"/>
      <c r="AR2175" s="133"/>
      <c r="AS2175" s="153">
        <v>0</v>
      </c>
      <c r="AT2175" s="153">
        <v>0</v>
      </c>
      <c r="AU2175" s="153">
        <v>0</v>
      </c>
      <c r="AV2175" s="135"/>
      <c r="AW2175" s="135"/>
      <c r="AX2175" s="135"/>
      <c r="AY2175" s="135"/>
      <c r="AZ2175" s="135"/>
      <c r="BA2175" s="135"/>
      <c r="BB2175" s="135"/>
      <c r="BC2175" s="135"/>
      <c r="BD2175" s="135"/>
      <c r="BE2175" s="135"/>
      <c r="BF2175" s="135"/>
      <c r="BG2175" s="135"/>
      <c r="BH2175" s="135"/>
      <c r="BI2175" s="2"/>
      <c r="BJ2175" s="136"/>
      <c r="BK2175" s="2"/>
      <c r="BL2175" s="136"/>
      <c r="BM2175" s="136"/>
      <c r="BN2175" s="2"/>
      <c r="BO2175" s="2"/>
      <c r="BP2175" s="136"/>
      <c r="BQ2175" s="137"/>
    </row>
    <row r="2176" spans="1:69" ht="12.75" customHeight="1" x14ac:dyDescent="0.2">
      <c r="A2176" s="2">
        <v>3665</v>
      </c>
      <c r="B2176" s="2"/>
      <c r="C2176" s="2"/>
      <c r="D2176" s="2"/>
      <c r="E2176" s="2"/>
      <c r="F2176" s="132">
        <v>0</v>
      </c>
      <c r="G2176" s="132"/>
      <c r="H2176" s="132">
        <f t="shared" si="248"/>
        <v>0</v>
      </c>
      <c r="I2176" s="132"/>
      <c r="J2176" s="132">
        <f t="shared" si="246"/>
        <v>0</v>
      </c>
      <c r="K2176" s="132">
        <f t="shared" si="249"/>
        <v>0</v>
      </c>
      <c r="L2176" s="132">
        <f t="shared" si="243"/>
        <v>0</v>
      </c>
      <c r="M2176" s="133"/>
      <c r="N2176" s="133">
        <f t="shared" si="247"/>
        <v>0</v>
      </c>
      <c r="O2176" s="134"/>
      <c r="P2176" s="133"/>
      <c r="Q2176" s="2"/>
      <c r="R2176" s="156">
        <f t="shared" si="244"/>
        <v>0</v>
      </c>
      <c r="S2176" s="156">
        <f t="shared" si="245"/>
        <v>0</v>
      </c>
      <c r="T2176" s="133"/>
      <c r="U2176" s="133"/>
      <c r="V2176" s="133"/>
      <c r="W2176" s="133"/>
      <c r="X2176" s="133"/>
      <c r="Y2176" s="133"/>
      <c r="Z2176" s="133"/>
      <c r="AA2176" s="133"/>
      <c r="AB2176" s="133"/>
      <c r="AC2176" s="133"/>
      <c r="AD2176" s="133"/>
      <c r="AE2176" s="133"/>
      <c r="AF2176" s="133"/>
      <c r="AG2176" s="133"/>
      <c r="AH2176" s="133"/>
      <c r="AI2176" s="133"/>
      <c r="AJ2176" s="133"/>
      <c r="AK2176" s="133"/>
      <c r="AL2176" s="133"/>
      <c r="AM2176" s="133"/>
      <c r="AN2176" s="133"/>
      <c r="AO2176" s="133"/>
      <c r="AP2176" s="133"/>
      <c r="AQ2176" s="133"/>
      <c r="AR2176" s="133"/>
      <c r="AS2176" s="153">
        <v>0</v>
      </c>
      <c r="AT2176" s="153">
        <v>0</v>
      </c>
      <c r="AU2176" s="153">
        <v>0</v>
      </c>
      <c r="AV2176" s="135"/>
      <c r="AW2176" s="135"/>
      <c r="AX2176" s="135"/>
      <c r="AY2176" s="135"/>
      <c r="AZ2176" s="135"/>
      <c r="BA2176" s="135"/>
      <c r="BB2176" s="135"/>
      <c r="BC2176" s="135"/>
      <c r="BD2176" s="135"/>
      <c r="BE2176" s="135"/>
      <c r="BF2176" s="135"/>
      <c r="BG2176" s="135"/>
      <c r="BH2176" s="135"/>
      <c r="BI2176" s="2"/>
      <c r="BJ2176" s="136"/>
      <c r="BK2176" s="2"/>
      <c r="BL2176" s="136"/>
      <c r="BM2176" s="136"/>
      <c r="BN2176" s="2"/>
      <c r="BO2176" s="2"/>
      <c r="BP2176" s="136"/>
      <c r="BQ2176" s="137"/>
    </row>
    <row r="2177" spans="1:69" ht="12.75" customHeight="1" x14ac:dyDescent="0.2">
      <c r="A2177" s="2">
        <v>3666</v>
      </c>
      <c r="B2177" s="2"/>
      <c r="C2177" s="2"/>
      <c r="D2177" s="2"/>
      <c r="E2177" s="2"/>
      <c r="F2177" s="132">
        <v>0</v>
      </c>
      <c r="G2177" s="132"/>
      <c r="H2177" s="132">
        <f t="shared" si="248"/>
        <v>0</v>
      </c>
      <c r="I2177" s="132"/>
      <c r="J2177" s="132">
        <f t="shared" si="246"/>
        <v>0</v>
      </c>
      <c r="K2177" s="132">
        <f t="shared" si="249"/>
        <v>0</v>
      </c>
      <c r="L2177" s="132">
        <f t="shared" si="243"/>
        <v>0</v>
      </c>
      <c r="M2177" s="133"/>
      <c r="N2177" s="133">
        <f t="shared" si="247"/>
        <v>0</v>
      </c>
      <c r="O2177" s="134"/>
      <c r="P2177" s="133"/>
      <c r="Q2177" s="2"/>
      <c r="R2177" s="156">
        <f t="shared" si="244"/>
        <v>0</v>
      </c>
      <c r="S2177" s="156">
        <f t="shared" si="245"/>
        <v>0</v>
      </c>
      <c r="T2177" s="133"/>
      <c r="U2177" s="133"/>
      <c r="V2177" s="133"/>
      <c r="W2177" s="133"/>
      <c r="X2177" s="133"/>
      <c r="Y2177" s="133"/>
      <c r="Z2177" s="133"/>
      <c r="AA2177" s="133"/>
      <c r="AB2177" s="133"/>
      <c r="AC2177" s="133"/>
      <c r="AD2177" s="133"/>
      <c r="AE2177" s="133"/>
      <c r="AF2177" s="133"/>
      <c r="AG2177" s="133"/>
      <c r="AH2177" s="133"/>
      <c r="AI2177" s="133"/>
      <c r="AJ2177" s="133"/>
      <c r="AK2177" s="133"/>
      <c r="AL2177" s="133"/>
      <c r="AM2177" s="133"/>
      <c r="AN2177" s="133"/>
      <c r="AO2177" s="133"/>
      <c r="AP2177" s="133"/>
      <c r="AQ2177" s="133"/>
      <c r="AR2177" s="133"/>
      <c r="AS2177" s="153">
        <v>0</v>
      </c>
      <c r="AT2177" s="153">
        <v>0</v>
      </c>
      <c r="AU2177" s="153">
        <v>0</v>
      </c>
      <c r="AV2177" s="135"/>
      <c r="AW2177" s="135"/>
      <c r="AX2177" s="135"/>
      <c r="AY2177" s="135"/>
      <c r="AZ2177" s="135"/>
      <c r="BA2177" s="135"/>
      <c r="BB2177" s="135"/>
      <c r="BC2177" s="135"/>
      <c r="BD2177" s="135"/>
      <c r="BE2177" s="135"/>
      <c r="BF2177" s="135"/>
      <c r="BG2177" s="135"/>
      <c r="BH2177" s="135"/>
      <c r="BI2177" s="2"/>
      <c r="BJ2177" s="136"/>
      <c r="BK2177" s="2"/>
      <c r="BL2177" s="136"/>
      <c r="BM2177" s="136"/>
      <c r="BN2177" s="2"/>
      <c r="BO2177" s="2"/>
      <c r="BP2177" s="136"/>
      <c r="BQ2177" s="137"/>
    </row>
    <row r="2178" spans="1:69" ht="12.75" customHeight="1" x14ac:dyDescent="0.2">
      <c r="A2178" s="2">
        <v>3667</v>
      </c>
      <c r="B2178" s="2"/>
      <c r="C2178" s="2"/>
      <c r="D2178" s="2"/>
      <c r="E2178" s="2"/>
      <c r="F2178" s="132">
        <v>0</v>
      </c>
      <c r="G2178" s="132"/>
      <c r="H2178" s="132">
        <f t="shared" si="248"/>
        <v>0</v>
      </c>
      <c r="I2178" s="132"/>
      <c r="J2178" s="132">
        <f t="shared" si="246"/>
        <v>0</v>
      </c>
      <c r="K2178" s="132">
        <f t="shared" si="249"/>
        <v>0</v>
      </c>
      <c r="L2178" s="132">
        <f t="shared" si="243"/>
        <v>0</v>
      </c>
      <c r="M2178" s="133"/>
      <c r="N2178" s="133">
        <f t="shared" si="247"/>
        <v>0</v>
      </c>
      <c r="O2178" s="134"/>
      <c r="P2178" s="133"/>
      <c r="Q2178" s="2"/>
      <c r="R2178" s="156">
        <f t="shared" si="244"/>
        <v>0</v>
      </c>
      <c r="S2178" s="156">
        <f t="shared" si="245"/>
        <v>0</v>
      </c>
      <c r="T2178" s="133"/>
      <c r="U2178" s="133"/>
      <c r="V2178" s="133"/>
      <c r="W2178" s="133"/>
      <c r="X2178" s="133"/>
      <c r="Y2178" s="133"/>
      <c r="Z2178" s="133"/>
      <c r="AA2178" s="133"/>
      <c r="AB2178" s="133"/>
      <c r="AC2178" s="133"/>
      <c r="AD2178" s="133"/>
      <c r="AE2178" s="133"/>
      <c r="AF2178" s="133"/>
      <c r="AG2178" s="133"/>
      <c r="AH2178" s="133"/>
      <c r="AI2178" s="133"/>
      <c r="AJ2178" s="133"/>
      <c r="AK2178" s="133"/>
      <c r="AL2178" s="133"/>
      <c r="AM2178" s="133"/>
      <c r="AN2178" s="133"/>
      <c r="AO2178" s="133"/>
      <c r="AP2178" s="133"/>
      <c r="AQ2178" s="133"/>
      <c r="AR2178" s="133"/>
      <c r="AS2178" s="153">
        <v>0</v>
      </c>
      <c r="AT2178" s="153">
        <v>0</v>
      </c>
      <c r="AU2178" s="153">
        <v>0</v>
      </c>
      <c r="AV2178" s="135"/>
      <c r="AW2178" s="135"/>
      <c r="AX2178" s="135"/>
      <c r="AY2178" s="135"/>
      <c r="AZ2178" s="135"/>
      <c r="BA2178" s="135"/>
      <c r="BB2178" s="135"/>
      <c r="BC2178" s="135"/>
      <c r="BD2178" s="135"/>
      <c r="BE2178" s="135"/>
      <c r="BF2178" s="135"/>
      <c r="BG2178" s="135"/>
      <c r="BH2178" s="135"/>
      <c r="BI2178" s="2"/>
      <c r="BJ2178" s="136"/>
      <c r="BK2178" s="2"/>
      <c r="BL2178" s="136"/>
      <c r="BM2178" s="136"/>
      <c r="BN2178" s="2"/>
      <c r="BO2178" s="2"/>
      <c r="BP2178" s="136"/>
      <c r="BQ2178" s="137"/>
    </row>
    <row r="2179" spans="1:69" ht="12.75" customHeight="1" x14ac:dyDescent="0.2">
      <c r="A2179" s="2">
        <v>3668</v>
      </c>
      <c r="B2179" s="2"/>
      <c r="C2179" s="2"/>
      <c r="D2179" s="2"/>
      <c r="E2179" s="2"/>
      <c r="F2179" s="132">
        <v>0</v>
      </c>
      <c r="G2179" s="132"/>
      <c r="H2179" s="132">
        <f t="shared" si="248"/>
        <v>0</v>
      </c>
      <c r="I2179" s="132"/>
      <c r="J2179" s="132">
        <f t="shared" si="246"/>
        <v>0</v>
      </c>
      <c r="K2179" s="132">
        <f t="shared" si="249"/>
        <v>0</v>
      </c>
      <c r="L2179" s="132">
        <f t="shared" si="243"/>
        <v>0</v>
      </c>
      <c r="M2179" s="133"/>
      <c r="N2179" s="133">
        <f t="shared" si="247"/>
        <v>0</v>
      </c>
      <c r="O2179" s="134"/>
      <c r="P2179" s="133"/>
      <c r="Q2179" s="2"/>
      <c r="R2179" s="156">
        <f t="shared" si="244"/>
        <v>0</v>
      </c>
      <c r="S2179" s="156">
        <f t="shared" si="245"/>
        <v>0</v>
      </c>
      <c r="T2179" s="133"/>
      <c r="U2179" s="133"/>
      <c r="V2179" s="133"/>
      <c r="W2179" s="133"/>
      <c r="X2179" s="133"/>
      <c r="Y2179" s="133"/>
      <c r="Z2179" s="133"/>
      <c r="AA2179" s="133"/>
      <c r="AB2179" s="133"/>
      <c r="AC2179" s="133"/>
      <c r="AD2179" s="133"/>
      <c r="AE2179" s="133"/>
      <c r="AF2179" s="133"/>
      <c r="AG2179" s="133"/>
      <c r="AH2179" s="133"/>
      <c r="AI2179" s="133"/>
      <c r="AJ2179" s="133"/>
      <c r="AK2179" s="133"/>
      <c r="AL2179" s="133"/>
      <c r="AM2179" s="133"/>
      <c r="AN2179" s="133"/>
      <c r="AO2179" s="133"/>
      <c r="AP2179" s="133"/>
      <c r="AQ2179" s="133"/>
      <c r="AR2179" s="133"/>
      <c r="AS2179" s="153">
        <v>0</v>
      </c>
      <c r="AT2179" s="153">
        <v>0</v>
      </c>
      <c r="AU2179" s="153">
        <v>0</v>
      </c>
      <c r="AV2179" s="135"/>
      <c r="AW2179" s="135"/>
      <c r="AX2179" s="135"/>
      <c r="AY2179" s="135"/>
      <c r="AZ2179" s="135"/>
      <c r="BA2179" s="135"/>
      <c r="BB2179" s="135"/>
      <c r="BC2179" s="135"/>
      <c r="BD2179" s="135"/>
      <c r="BE2179" s="135"/>
      <c r="BF2179" s="135"/>
      <c r="BG2179" s="135"/>
      <c r="BH2179" s="135"/>
      <c r="BI2179" s="2"/>
      <c r="BJ2179" s="136"/>
      <c r="BK2179" s="2"/>
      <c r="BL2179" s="136"/>
      <c r="BM2179" s="136"/>
      <c r="BN2179" s="2"/>
      <c r="BO2179" s="2"/>
      <c r="BP2179" s="136"/>
      <c r="BQ2179" s="137"/>
    </row>
    <row r="2180" spans="1:69" ht="12.75" customHeight="1" x14ac:dyDescent="0.2">
      <c r="A2180" s="2">
        <v>3669</v>
      </c>
      <c r="B2180" s="2"/>
      <c r="C2180" s="2"/>
      <c r="D2180" s="2"/>
      <c r="E2180" s="2"/>
      <c r="F2180" s="132">
        <v>0</v>
      </c>
      <c r="G2180" s="132"/>
      <c r="H2180" s="132">
        <f t="shared" si="248"/>
        <v>0</v>
      </c>
      <c r="I2180" s="132"/>
      <c r="J2180" s="132">
        <f t="shared" si="246"/>
        <v>0</v>
      </c>
      <c r="K2180" s="132">
        <f t="shared" si="249"/>
        <v>0</v>
      </c>
      <c r="L2180" s="132">
        <f t="shared" si="243"/>
        <v>0</v>
      </c>
      <c r="M2180" s="133"/>
      <c r="N2180" s="133">
        <f t="shared" si="247"/>
        <v>0</v>
      </c>
      <c r="O2180" s="134"/>
      <c r="P2180" s="133"/>
      <c r="Q2180" s="2"/>
      <c r="R2180" s="156">
        <f t="shared" si="244"/>
        <v>0</v>
      </c>
      <c r="S2180" s="156">
        <f t="shared" si="245"/>
        <v>0</v>
      </c>
      <c r="T2180" s="133"/>
      <c r="U2180" s="133"/>
      <c r="V2180" s="133"/>
      <c r="W2180" s="133"/>
      <c r="X2180" s="133"/>
      <c r="Y2180" s="133"/>
      <c r="Z2180" s="133"/>
      <c r="AA2180" s="133"/>
      <c r="AB2180" s="133"/>
      <c r="AC2180" s="133"/>
      <c r="AD2180" s="133"/>
      <c r="AE2180" s="133"/>
      <c r="AF2180" s="133"/>
      <c r="AG2180" s="133"/>
      <c r="AH2180" s="133"/>
      <c r="AI2180" s="133"/>
      <c r="AJ2180" s="133"/>
      <c r="AK2180" s="133"/>
      <c r="AL2180" s="133"/>
      <c r="AM2180" s="133"/>
      <c r="AN2180" s="133"/>
      <c r="AO2180" s="133"/>
      <c r="AP2180" s="133"/>
      <c r="AQ2180" s="133"/>
      <c r="AR2180" s="133"/>
      <c r="AS2180" s="153">
        <v>0</v>
      </c>
      <c r="AT2180" s="153">
        <v>0</v>
      </c>
      <c r="AU2180" s="153">
        <v>0</v>
      </c>
      <c r="AV2180" s="135"/>
      <c r="AW2180" s="135"/>
      <c r="AX2180" s="135"/>
      <c r="AY2180" s="135"/>
      <c r="AZ2180" s="135"/>
      <c r="BA2180" s="135"/>
      <c r="BB2180" s="135"/>
      <c r="BC2180" s="135"/>
      <c r="BD2180" s="135"/>
      <c r="BE2180" s="135"/>
      <c r="BF2180" s="135"/>
      <c r="BG2180" s="135"/>
      <c r="BH2180" s="135"/>
      <c r="BI2180" s="2"/>
      <c r="BJ2180" s="136"/>
      <c r="BK2180" s="2"/>
      <c r="BL2180" s="136"/>
      <c r="BM2180" s="136"/>
      <c r="BN2180" s="2"/>
      <c r="BO2180" s="2"/>
      <c r="BP2180" s="136"/>
      <c r="BQ2180" s="137"/>
    </row>
    <row r="2181" spans="1:69" ht="12.75" customHeight="1" x14ac:dyDescent="0.2">
      <c r="A2181" s="2">
        <v>3670</v>
      </c>
      <c r="B2181" s="2"/>
      <c r="C2181" s="2"/>
      <c r="D2181" s="2"/>
      <c r="E2181" s="2"/>
      <c r="F2181" s="132">
        <v>0</v>
      </c>
      <c r="G2181" s="132"/>
      <c r="H2181" s="132">
        <f t="shared" si="248"/>
        <v>0</v>
      </c>
      <c r="I2181" s="132"/>
      <c r="J2181" s="132">
        <f t="shared" si="246"/>
        <v>0</v>
      </c>
      <c r="K2181" s="132">
        <f t="shared" si="249"/>
        <v>0</v>
      </c>
      <c r="L2181" s="132">
        <f t="shared" si="243"/>
        <v>0</v>
      </c>
      <c r="M2181" s="133"/>
      <c r="N2181" s="133">
        <f t="shared" si="247"/>
        <v>0</v>
      </c>
      <c r="O2181" s="134"/>
      <c r="P2181" s="133"/>
      <c r="Q2181" s="2"/>
      <c r="R2181" s="156">
        <f t="shared" si="244"/>
        <v>0</v>
      </c>
      <c r="S2181" s="156">
        <f t="shared" si="245"/>
        <v>0</v>
      </c>
      <c r="T2181" s="133"/>
      <c r="U2181" s="133"/>
      <c r="V2181" s="133"/>
      <c r="W2181" s="133"/>
      <c r="X2181" s="133"/>
      <c r="Y2181" s="133"/>
      <c r="Z2181" s="133"/>
      <c r="AA2181" s="133"/>
      <c r="AB2181" s="133"/>
      <c r="AC2181" s="133"/>
      <c r="AD2181" s="133"/>
      <c r="AE2181" s="133"/>
      <c r="AF2181" s="133"/>
      <c r="AG2181" s="133"/>
      <c r="AH2181" s="133"/>
      <c r="AI2181" s="133"/>
      <c r="AJ2181" s="133"/>
      <c r="AK2181" s="133"/>
      <c r="AL2181" s="133"/>
      <c r="AM2181" s="133"/>
      <c r="AN2181" s="133"/>
      <c r="AO2181" s="133"/>
      <c r="AP2181" s="133"/>
      <c r="AQ2181" s="133"/>
      <c r="AR2181" s="133"/>
      <c r="AS2181" s="153">
        <v>0</v>
      </c>
      <c r="AT2181" s="153">
        <v>0</v>
      </c>
      <c r="AU2181" s="153">
        <v>0</v>
      </c>
      <c r="AV2181" s="135"/>
      <c r="AW2181" s="135"/>
      <c r="AX2181" s="135"/>
      <c r="AY2181" s="135"/>
      <c r="AZ2181" s="135"/>
      <c r="BA2181" s="135"/>
      <c r="BB2181" s="135"/>
      <c r="BC2181" s="135"/>
      <c r="BD2181" s="135"/>
      <c r="BE2181" s="135"/>
      <c r="BF2181" s="135"/>
      <c r="BG2181" s="135"/>
      <c r="BH2181" s="135"/>
      <c r="BI2181" s="2"/>
      <c r="BJ2181" s="136"/>
      <c r="BK2181" s="2"/>
      <c r="BL2181" s="136"/>
      <c r="BM2181" s="136"/>
      <c r="BN2181" s="2"/>
      <c r="BO2181" s="2"/>
      <c r="BP2181" s="136"/>
      <c r="BQ2181" s="137"/>
    </row>
    <row r="2182" spans="1:69" ht="12.75" customHeight="1" x14ac:dyDescent="0.2">
      <c r="A2182" s="2">
        <v>3671</v>
      </c>
      <c r="B2182" s="2"/>
      <c r="C2182" s="2"/>
      <c r="D2182" s="2"/>
      <c r="E2182" s="2"/>
      <c r="F2182" s="132">
        <v>0</v>
      </c>
      <c r="G2182" s="132"/>
      <c r="H2182" s="132">
        <f t="shared" si="248"/>
        <v>0</v>
      </c>
      <c r="I2182" s="132"/>
      <c r="J2182" s="132">
        <f t="shared" si="246"/>
        <v>0</v>
      </c>
      <c r="K2182" s="132">
        <f t="shared" si="249"/>
        <v>0</v>
      </c>
      <c r="L2182" s="132">
        <f t="shared" si="243"/>
        <v>0</v>
      </c>
      <c r="M2182" s="133"/>
      <c r="N2182" s="133">
        <f t="shared" si="247"/>
        <v>0</v>
      </c>
      <c r="O2182" s="134"/>
      <c r="P2182" s="133"/>
      <c r="Q2182" s="2"/>
      <c r="R2182" s="156">
        <f t="shared" si="244"/>
        <v>0</v>
      </c>
      <c r="S2182" s="156">
        <f t="shared" si="245"/>
        <v>0</v>
      </c>
      <c r="T2182" s="133"/>
      <c r="U2182" s="133"/>
      <c r="V2182" s="133"/>
      <c r="W2182" s="133"/>
      <c r="X2182" s="133"/>
      <c r="Y2182" s="133"/>
      <c r="Z2182" s="133"/>
      <c r="AA2182" s="133"/>
      <c r="AB2182" s="133"/>
      <c r="AC2182" s="133"/>
      <c r="AD2182" s="133"/>
      <c r="AE2182" s="133"/>
      <c r="AF2182" s="133"/>
      <c r="AG2182" s="133"/>
      <c r="AH2182" s="133"/>
      <c r="AI2182" s="133"/>
      <c r="AJ2182" s="133"/>
      <c r="AK2182" s="133"/>
      <c r="AL2182" s="133"/>
      <c r="AM2182" s="133"/>
      <c r="AN2182" s="133"/>
      <c r="AO2182" s="133"/>
      <c r="AP2182" s="133"/>
      <c r="AQ2182" s="133"/>
      <c r="AR2182" s="133"/>
      <c r="AS2182" s="153">
        <v>0</v>
      </c>
      <c r="AT2182" s="153">
        <v>0</v>
      </c>
      <c r="AU2182" s="153">
        <v>0</v>
      </c>
      <c r="AV2182" s="135"/>
      <c r="AW2182" s="135"/>
      <c r="AX2182" s="135"/>
      <c r="AY2182" s="135"/>
      <c r="AZ2182" s="135"/>
      <c r="BA2182" s="135"/>
      <c r="BB2182" s="135"/>
      <c r="BC2182" s="135"/>
      <c r="BD2182" s="135"/>
      <c r="BE2182" s="135"/>
      <c r="BF2182" s="135"/>
      <c r="BG2182" s="135"/>
      <c r="BH2182" s="135"/>
      <c r="BI2182" s="2"/>
      <c r="BJ2182" s="136"/>
      <c r="BK2182" s="2"/>
      <c r="BL2182" s="136"/>
      <c r="BM2182" s="136"/>
      <c r="BN2182" s="2"/>
      <c r="BO2182" s="2"/>
      <c r="BP2182" s="136"/>
      <c r="BQ2182" s="137"/>
    </row>
    <row r="2183" spans="1:69" ht="12.75" customHeight="1" x14ac:dyDescent="0.2">
      <c r="A2183" s="2">
        <v>3672</v>
      </c>
      <c r="B2183" s="2"/>
      <c r="C2183" s="2"/>
      <c r="D2183" s="2"/>
      <c r="E2183" s="2"/>
      <c r="F2183" s="132">
        <v>0</v>
      </c>
      <c r="G2183" s="132"/>
      <c r="H2183" s="132">
        <f t="shared" si="248"/>
        <v>0</v>
      </c>
      <c r="I2183" s="132"/>
      <c r="J2183" s="132">
        <f t="shared" si="246"/>
        <v>0</v>
      </c>
      <c r="K2183" s="132">
        <f t="shared" si="249"/>
        <v>0</v>
      </c>
      <c r="L2183" s="132">
        <f t="shared" si="243"/>
        <v>0</v>
      </c>
      <c r="M2183" s="133"/>
      <c r="N2183" s="133">
        <f t="shared" si="247"/>
        <v>0</v>
      </c>
      <c r="O2183" s="134"/>
      <c r="P2183" s="133"/>
      <c r="Q2183" s="2"/>
      <c r="R2183" s="156">
        <f t="shared" si="244"/>
        <v>0</v>
      </c>
      <c r="S2183" s="156">
        <f t="shared" si="245"/>
        <v>0</v>
      </c>
      <c r="T2183" s="133"/>
      <c r="U2183" s="133"/>
      <c r="V2183" s="133"/>
      <c r="W2183" s="133"/>
      <c r="X2183" s="133"/>
      <c r="Y2183" s="133"/>
      <c r="Z2183" s="133"/>
      <c r="AA2183" s="133"/>
      <c r="AB2183" s="133"/>
      <c r="AC2183" s="133"/>
      <c r="AD2183" s="133"/>
      <c r="AE2183" s="133"/>
      <c r="AF2183" s="133"/>
      <c r="AG2183" s="133"/>
      <c r="AH2183" s="133"/>
      <c r="AI2183" s="133"/>
      <c r="AJ2183" s="133"/>
      <c r="AK2183" s="133"/>
      <c r="AL2183" s="133"/>
      <c r="AM2183" s="133"/>
      <c r="AN2183" s="133"/>
      <c r="AO2183" s="133"/>
      <c r="AP2183" s="133"/>
      <c r="AQ2183" s="133"/>
      <c r="AR2183" s="133"/>
      <c r="AS2183" s="153">
        <v>0</v>
      </c>
      <c r="AT2183" s="153">
        <v>0</v>
      </c>
      <c r="AU2183" s="153">
        <v>0</v>
      </c>
      <c r="AV2183" s="135"/>
      <c r="AW2183" s="135"/>
      <c r="AX2183" s="135"/>
      <c r="AY2183" s="135"/>
      <c r="AZ2183" s="135"/>
      <c r="BA2183" s="135"/>
      <c r="BB2183" s="135"/>
      <c r="BC2183" s="135"/>
      <c r="BD2183" s="135"/>
      <c r="BE2183" s="135"/>
      <c r="BF2183" s="135"/>
      <c r="BG2183" s="135"/>
      <c r="BH2183" s="135"/>
      <c r="BI2183" s="2"/>
      <c r="BJ2183" s="136"/>
      <c r="BK2183" s="2"/>
      <c r="BL2183" s="136"/>
      <c r="BM2183" s="136"/>
      <c r="BN2183" s="2"/>
      <c r="BO2183" s="2"/>
      <c r="BP2183" s="136"/>
      <c r="BQ2183" s="137"/>
    </row>
    <row r="2184" spans="1:69" ht="12.75" customHeight="1" x14ac:dyDescent="0.2">
      <c r="A2184" s="2">
        <v>3673</v>
      </c>
      <c r="B2184" s="2"/>
      <c r="C2184" s="2"/>
      <c r="D2184" s="2"/>
      <c r="E2184" s="2"/>
      <c r="F2184" s="132">
        <v>0</v>
      </c>
      <c r="G2184" s="132"/>
      <c r="H2184" s="132">
        <f t="shared" si="248"/>
        <v>0</v>
      </c>
      <c r="I2184" s="132"/>
      <c r="J2184" s="132">
        <f t="shared" si="246"/>
        <v>0</v>
      </c>
      <c r="K2184" s="132">
        <f t="shared" si="249"/>
        <v>0</v>
      </c>
      <c r="L2184" s="132">
        <f t="shared" si="243"/>
        <v>0</v>
      </c>
      <c r="M2184" s="133"/>
      <c r="N2184" s="133">
        <f t="shared" si="247"/>
        <v>0</v>
      </c>
      <c r="O2184" s="134"/>
      <c r="P2184" s="133"/>
      <c r="Q2184" s="2"/>
      <c r="R2184" s="156">
        <f t="shared" si="244"/>
        <v>0</v>
      </c>
      <c r="S2184" s="156">
        <f t="shared" si="245"/>
        <v>0</v>
      </c>
      <c r="T2184" s="133"/>
      <c r="U2184" s="133"/>
      <c r="V2184" s="133"/>
      <c r="W2184" s="133"/>
      <c r="X2184" s="133"/>
      <c r="Y2184" s="133"/>
      <c r="Z2184" s="133"/>
      <c r="AA2184" s="133"/>
      <c r="AB2184" s="133"/>
      <c r="AC2184" s="133"/>
      <c r="AD2184" s="133"/>
      <c r="AE2184" s="133"/>
      <c r="AF2184" s="133"/>
      <c r="AG2184" s="133"/>
      <c r="AH2184" s="133"/>
      <c r="AI2184" s="133"/>
      <c r="AJ2184" s="133"/>
      <c r="AK2184" s="133"/>
      <c r="AL2184" s="133"/>
      <c r="AM2184" s="133"/>
      <c r="AN2184" s="133"/>
      <c r="AO2184" s="133"/>
      <c r="AP2184" s="133"/>
      <c r="AQ2184" s="133"/>
      <c r="AR2184" s="133"/>
      <c r="AS2184" s="153">
        <v>0</v>
      </c>
      <c r="AT2184" s="153">
        <v>0</v>
      </c>
      <c r="AU2184" s="153">
        <v>0</v>
      </c>
      <c r="AV2184" s="135"/>
      <c r="AW2184" s="135"/>
      <c r="AX2184" s="135"/>
      <c r="AY2184" s="135"/>
      <c r="AZ2184" s="135"/>
      <c r="BA2184" s="135"/>
      <c r="BB2184" s="135"/>
      <c r="BC2184" s="135"/>
      <c r="BD2184" s="135"/>
      <c r="BE2184" s="135"/>
      <c r="BF2184" s="135"/>
      <c r="BG2184" s="135"/>
      <c r="BH2184" s="135"/>
      <c r="BI2184" s="2"/>
      <c r="BJ2184" s="136"/>
      <c r="BK2184" s="2"/>
      <c r="BL2184" s="136"/>
      <c r="BM2184" s="136"/>
      <c r="BN2184" s="2"/>
      <c r="BO2184" s="2"/>
      <c r="BP2184" s="136"/>
      <c r="BQ2184" s="137"/>
    </row>
    <row r="2185" spans="1:69" ht="12.75" customHeight="1" x14ac:dyDescent="0.2">
      <c r="A2185" s="2">
        <v>3674</v>
      </c>
      <c r="B2185" s="2"/>
      <c r="C2185" s="2"/>
      <c r="D2185" s="2"/>
      <c r="E2185" s="2"/>
      <c r="F2185" s="132">
        <v>0</v>
      </c>
      <c r="G2185" s="132"/>
      <c r="H2185" s="132">
        <f t="shared" si="248"/>
        <v>0</v>
      </c>
      <c r="I2185" s="132"/>
      <c r="J2185" s="132">
        <f t="shared" si="246"/>
        <v>0</v>
      </c>
      <c r="K2185" s="132">
        <f t="shared" si="249"/>
        <v>0</v>
      </c>
      <c r="L2185" s="132">
        <f t="shared" si="243"/>
        <v>0</v>
      </c>
      <c r="M2185" s="133"/>
      <c r="N2185" s="133">
        <f t="shared" si="247"/>
        <v>0</v>
      </c>
      <c r="O2185" s="134"/>
      <c r="P2185" s="133"/>
      <c r="Q2185" s="2"/>
      <c r="R2185" s="156">
        <f t="shared" si="244"/>
        <v>0</v>
      </c>
      <c r="S2185" s="156">
        <f t="shared" si="245"/>
        <v>0</v>
      </c>
      <c r="T2185" s="133"/>
      <c r="U2185" s="133"/>
      <c r="V2185" s="133"/>
      <c r="W2185" s="133"/>
      <c r="X2185" s="133"/>
      <c r="Y2185" s="133"/>
      <c r="Z2185" s="133"/>
      <c r="AA2185" s="133"/>
      <c r="AB2185" s="133"/>
      <c r="AC2185" s="133"/>
      <c r="AD2185" s="133"/>
      <c r="AE2185" s="133"/>
      <c r="AF2185" s="133"/>
      <c r="AG2185" s="133"/>
      <c r="AH2185" s="133"/>
      <c r="AI2185" s="133"/>
      <c r="AJ2185" s="133"/>
      <c r="AK2185" s="133"/>
      <c r="AL2185" s="133"/>
      <c r="AM2185" s="133"/>
      <c r="AN2185" s="133"/>
      <c r="AO2185" s="133"/>
      <c r="AP2185" s="133"/>
      <c r="AQ2185" s="133"/>
      <c r="AR2185" s="133"/>
      <c r="AS2185" s="153">
        <v>0</v>
      </c>
      <c r="AT2185" s="153">
        <v>0</v>
      </c>
      <c r="AU2185" s="153">
        <v>0</v>
      </c>
      <c r="AV2185" s="135"/>
      <c r="AW2185" s="135"/>
      <c r="AX2185" s="135"/>
      <c r="AY2185" s="135"/>
      <c r="AZ2185" s="135"/>
      <c r="BA2185" s="135"/>
      <c r="BB2185" s="135"/>
      <c r="BC2185" s="135"/>
      <c r="BD2185" s="135"/>
      <c r="BE2185" s="135"/>
      <c r="BF2185" s="135"/>
      <c r="BG2185" s="135"/>
      <c r="BH2185" s="135"/>
      <c r="BI2185" s="2"/>
      <c r="BJ2185" s="136"/>
      <c r="BK2185" s="2"/>
      <c r="BL2185" s="136"/>
      <c r="BM2185" s="136"/>
      <c r="BN2185" s="2"/>
      <c r="BO2185" s="2"/>
      <c r="BP2185" s="136"/>
      <c r="BQ2185" s="137"/>
    </row>
    <row r="2186" spans="1:69" ht="12.75" customHeight="1" x14ac:dyDescent="0.2">
      <c r="A2186" s="2">
        <v>3675</v>
      </c>
      <c r="B2186" s="2"/>
      <c r="C2186" s="2"/>
      <c r="D2186" s="2"/>
      <c r="E2186" s="2"/>
      <c r="F2186" s="132">
        <v>0</v>
      </c>
      <c r="G2186" s="132"/>
      <c r="H2186" s="132">
        <f t="shared" si="248"/>
        <v>0</v>
      </c>
      <c r="I2186" s="132"/>
      <c r="J2186" s="132">
        <f t="shared" si="246"/>
        <v>0</v>
      </c>
      <c r="K2186" s="132">
        <f t="shared" si="249"/>
        <v>0</v>
      </c>
      <c r="L2186" s="132">
        <f t="shared" si="243"/>
        <v>0</v>
      </c>
      <c r="M2186" s="133"/>
      <c r="N2186" s="133">
        <f t="shared" si="247"/>
        <v>0</v>
      </c>
      <c r="O2186" s="134"/>
      <c r="P2186" s="133"/>
      <c r="Q2186" s="2"/>
      <c r="R2186" s="156">
        <f t="shared" si="244"/>
        <v>0</v>
      </c>
      <c r="S2186" s="156">
        <f t="shared" si="245"/>
        <v>0</v>
      </c>
      <c r="T2186" s="133"/>
      <c r="U2186" s="133"/>
      <c r="V2186" s="133"/>
      <c r="W2186" s="133"/>
      <c r="X2186" s="133"/>
      <c r="Y2186" s="133"/>
      <c r="Z2186" s="133"/>
      <c r="AA2186" s="133"/>
      <c r="AB2186" s="133"/>
      <c r="AC2186" s="133"/>
      <c r="AD2186" s="133"/>
      <c r="AE2186" s="133"/>
      <c r="AF2186" s="133"/>
      <c r="AG2186" s="133"/>
      <c r="AH2186" s="133"/>
      <c r="AI2186" s="133"/>
      <c r="AJ2186" s="133"/>
      <c r="AK2186" s="133"/>
      <c r="AL2186" s="133"/>
      <c r="AM2186" s="133"/>
      <c r="AN2186" s="133"/>
      <c r="AO2186" s="133"/>
      <c r="AP2186" s="133"/>
      <c r="AQ2186" s="133"/>
      <c r="AR2186" s="133"/>
      <c r="AS2186" s="153">
        <v>0</v>
      </c>
      <c r="AT2186" s="153">
        <v>0</v>
      </c>
      <c r="AU2186" s="153">
        <v>0</v>
      </c>
      <c r="AV2186" s="135"/>
      <c r="AW2186" s="135"/>
      <c r="AX2186" s="135"/>
      <c r="AY2186" s="135"/>
      <c r="AZ2186" s="135"/>
      <c r="BA2186" s="135"/>
      <c r="BB2186" s="135"/>
      <c r="BC2186" s="135"/>
      <c r="BD2186" s="135"/>
      <c r="BE2186" s="135"/>
      <c r="BF2186" s="135"/>
      <c r="BG2186" s="135"/>
      <c r="BH2186" s="135"/>
      <c r="BI2186" s="2"/>
      <c r="BJ2186" s="136"/>
      <c r="BK2186" s="2"/>
      <c r="BL2186" s="136"/>
      <c r="BM2186" s="136"/>
      <c r="BN2186" s="2"/>
      <c r="BO2186" s="2"/>
      <c r="BP2186" s="136"/>
      <c r="BQ2186" s="137"/>
    </row>
    <row r="2187" spans="1:69" ht="12.75" customHeight="1" x14ac:dyDescent="0.2">
      <c r="A2187" s="2">
        <v>3676</v>
      </c>
      <c r="B2187" s="2"/>
      <c r="C2187" s="2"/>
      <c r="D2187" s="2"/>
      <c r="E2187" s="2"/>
      <c r="F2187" s="132">
        <v>0</v>
      </c>
      <c r="G2187" s="132"/>
      <c r="H2187" s="132">
        <f t="shared" si="248"/>
        <v>0</v>
      </c>
      <c r="I2187" s="132"/>
      <c r="J2187" s="132">
        <f t="shared" si="246"/>
        <v>0</v>
      </c>
      <c r="K2187" s="132">
        <f t="shared" si="249"/>
        <v>0</v>
      </c>
      <c r="L2187" s="132">
        <f t="shared" ref="L2187:L2250" si="250">H2187-J2187</f>
        <v>0</v>
      </c>
      <c r="M2187" s="133"/>
      <c r="N2187" s="133">
        <f t="shared" si="247"/>
        <v>0</v>
      </c>
      <c r="O2187" s="134"/>
      <c r="P2187" s="133"/>
      <c r="Q2187" s="2"/>
      <c r="R2187" s="156">
        <f t="shared" ref="R2187:R2250" si="251">T2187+V2187+X2187+Z2187+AB2187+AD2187+AF2187+AH2187+AJ2187+AL2187+AN2187+AP2187</f>
        <v>0</v>
      </c>
      <c r="S2187" s="156">
        <f t="shared" ref="S2187:S2250" si="252">U2187+W2187+Y2187+AA2187+AC2187+AE2187+AG2187+AI2187+AK2187+AM2187+AO2187+AQ2187</f>
        <v>0</v>
      </c>
      <c r="T2187" s="133"/>
      <c r="U2187" s="133"/>
      <c r="V2187" s="133"/>
      <c r="W2187" s="133"/>
      <c r="X2187" s="133"/>
      <c r="Y2187" s="133"/>
      <c r="Z2187" s="133"/>
      <c r="AA2187" s="133"/>
      <c r="AB2187" s="133"/>
      <c r="AC2187" s="133"/>
      <c r="AD2187" s="133"/>
      <c r="AE2187" s="133"/>
      <c r="AF2187" s="133"/>
      <c r="AG2187" s="133"/>
      <c r="AH2187" s="133"/>
      <c r="AI2187" s="133"/>
      <c r="AJ2187" s="133"/>
      <c r="AK2187" s="133"/>
      <c r="AL2187" s="133"/>
      <c r="AM2187" s="133"/>
      <c r="AN2187" s="133"/>
      <c r="AO2187" s="133"/>
      <c r="AP2187" s="133"/>
      <c r="AQ2187" s="133"/>
      <c r="AR2187" s="133"/>
      <c r="AS2187" s="153">
        <v>0</v>
      </c>
      <c r="AT2187" s="153">
        <v>0</v>
      </c>
      <c r="AU2187" s="153">
        <v>0</v>
      </c>
      <c r="AV2187" s="135"/>
      <c r="AW2187" s="135"/>
      <c r="AX2187" s="135"/>
      <c r="AY2187" s="135"/>
      <c r="AZ2187" s="135"/>
      <c r="BA2187" s="135"/>
      <c r="BB2187" s="135"/>
      <c r="BC2187" s="135"/>
      <c r="BD2187" s="135"/>
      <c r="BE2187" s="135"/>
      <c r="BF2187" s="135"/>
      <c r="BG2187" s="135"/>
      <c r="BH2187" s="135"/>
      <c r="BI2187" s="2"/>
      <c r="BJ2187" s="136"/>
      <c r="BK2187" s="2"/>
      <c r="BL2187" s="136"/>
      <c r="BM2187" s="136"/>
      <c r="BN2187" s="2"/>
      <c r="BO2187" s="2"/>
      <c r="BP2187" s="136"/>
      <c r="BQ2187" s="137"/>
    </row>
    <row r="2188" spans="1:69" ht="12.75" customHeight="1" x14ac:dyDescent="0.2">
      <c r="A2188" s="2">
        <v>3677</v>
      </c>
      <c r="B2188" s="2"/>
      <c r="C2188" s="2"/>
      <c r="D2188" s="2"/>
      <c r="E2188" s="2"/>
      <c r="F2188" s="132">
        <v>0</v>
      </c>
      <c r="G2188" s="132"/>
      <c r="H2188" s="132">
        <f t="shared" si="248"/>
        <v>0</v>
      </c>
      <c r="I2188" s="132"/>
      <c r="J2188" s="132">
        <f t="shared" si="246"/>
        <v>0</v>
      </c>
      <c r="K2188" s="132">
        <f t="shared" si="249"/>
        <v>0</v>
      </c>
      <c r="L2188" s="132">
        <f t="shared" si="250"/>
        <v>0</v>
      </c>
      <c r="M2188" s="133"/>
      <c r="N2188" s="133">
        <f t="shared" si="247"/>
        <v>0</v>
      </c>
      <c r="O2188" s="134"/>
      <c r="P2188" s="133"/>
      <c r="Q2188" s="2"/>
      <c r="R2188" s="156">
        <f t="shared" si="251"/>
        <v>0</v>
      </c>
      <c r="S2188" s="156">
        <f t="shared" si="252"/>
        <v>0</v>
      </c>
      <c r="T2188" s="133"/>
      <c r="U2188" s="133"/>
      <c r="V2188" s="133"/>
      <c r="W2188" s="133"/>
      <c r="X2188" s="133"/>
      <c r="Y2188" s="133"/>
      <c r="Z2188" s="133"/>
      <c r="AA2188" s="133"/>
      <c r="AB2188" s="133"/>
      <c r="AC2188" s="133"/>
      <c r="AD2188" s="133"/>
      <c r="AE2188" s="133"/>
      <c r="AF2188" s="133"/>
      <c r="AG2188" s="133"/>
      <c r="AH2188" s="133"/>
      <c r="AI2188" s="133"/>
      <c r="AJ2188" s="133"/>
      <c r="AK2188" s="133"/>
      <c r="AL2188" s="133"/>
      <c r="AM2188" s="133"/>
      <c r="AN2188" s="133"/>
      <c r="AO2188" s="133"/>
      <c r="AP2188" s="133"/>
      <c r="AQ2188" s="133"/>
      <c r="AR2188" s="133"/>
      <c r="AS2188" s="153">
        <v>0</v>
      </c>
      <c r="AT2188" s="153">
        <v>0</v>
      </c>
      <c r="AU2188" s="153">
        <v>0</v>
      </c>
      <c r="AV2188" s="135"/>
      <c r="AW2188" s="135"/>
      <c r="AX2188" s="135"/>
      <c r="AY2188" s="135"/>
      <c r="AZ2188" s="135"/>
      <c r="BA2188" s="135"/>
      <c r="BB2188" s="135"/>
      <c r="BC2188" s="135"/>
      <c r="BD2188" s="135"/>
      <c r="BE2188" s="135"/>
      <c r="BF2188" s="135"/>
      <c r="BG2188" s="135"/>
      <c r="BH2188" s="135"/>
      <c r="BI2188" s="2"/>
      <c r="BJ2188" s="136"/>
      <c r="BK2188" s="2"/>
      <c r="BL2188" s="136"/>
      <c r="BM2188" s="136"/>
      <c r="BN2188" s="2"/>
      <c r="BO2188" s="2"/>
      <c r="BP2188" s="136"/>
      <c r="BQ2188" s="137"/>
    </row>
    <row r="2189" spans="1:69" ht="12.75" customHeight="1" x14ac:dyDescent="0.2">
      <c r="A2189" s="2">
        <v>3678</v>
      </c>
      <c r="B2189" s="2"/>
      <c r="C2189" s="2"/>
      <c r="D2189" s="2"/>
      <c r="E2189" s="2"/>
      <c r="F2189" s="132">
        <v>0</v>
      </c>
      <c r="G2189" s="132"/>
      <c r="H2189" s="132">
        <f t="shared" si="248"/>
        <v>0</v>
      </c>
      <c r="I2189" s="132"/>
      <c r="J2189" s="132">
        <f t="shared" si="246"/>
        <v>0</v>
      </c>
      <c r="K2189" s="132">
        <f t="shared" si="249"/>
        <v>0</v>
      </c>
      <c r="L2189" s="132">
        <f t="shared" si="250"/>
        <v>0</v>
      </c>
      <c r="M2189" s="133"/>
      <c r="N2189" s="133">
        <f t="shared" si="247"/>
        <v>0</v>
      </c>
      <c r="O2189" s="134"/>
      <c r="P2189" s="133"/>
      <c r="Q2189" s="2"/>
      <c r="R2189" s="156">
        <f t="shared" si="251"/>
        <v>0</v>
      </c>
      <c r="S2189" s="156">
        <f t="shared" si="252"/>
        <v>0</v>
      </c>
      <c r="T2189" s="133"/>
      <c r="U2189" s="133"/>
      <c r="V2189" s="133"/>
      <c r="W2189" s="133"/>
      <c r="X2189" s="133"/>
      <c r="Y2189" s="133"/>
      <c r="Z2189" s="133"/>
      <c r="AA2189" s="133"/>
      <c r="AB2189" s="133"/>
      <c r="AC2189" s="133"/>
      <c r="AD2189" s="133"/>
      <c r="AE2189" s="133"/>
      <c r="AF2189" s="133"/>
      <c r="AG2189" s="133"/>
      <c r="AH2189" s="133"/>
      <c r="AI2189" s="133"/>
      <c r="AJ2189" s="133"/>
      <c r="AK2189" s="133"/>
      <c r="AL2189" s="133"/>
      <c r="AM2189" s="133"/>
      <c r="AN2189" s="133"/>
      <c r="AO2189" s="133"/>
      <c r="AP2189" s="133"/>
      <c r="AQ2189" s="133"/>
      <c r="AR2189" s="133"/>
      <c r="AS2189" s="153">
        <v>0</v>
      </c>
      <c r="AT2189" s="153">
        <v>0</v>
      </c>
      <c r="AU2189" s="153">
        <v>0</v>
      </c>
      <c r="AV2189" s="135"/>
      <c r="AW2189" s="135"/>
      <c r="AX2189" s="135"/>
      <c r="AY2189" s="135"/>
      <c r="AZ2189" s="135"/>
      <c r="BA2189" s="135"/>
      <c r="BB2189" s="135"/>
      <c r="BC2189" s="135"/>
      <c r="BD2189" s="135"/>
      <c r="BE2189" s="135"/>
      <c r="BF2189" s="135"/>
      <c r="BG2189" s="135"/>
      <c r="BH2189" s="135"/>
      <c r="BI2189" s="2"/>
      <c r="BJ2189" s="136"/>
      <c r="BK2189" s="2"/>
      <c r="BL2189" s="136"/>
      <c r="BM2189" s="136"/>
      <c r="BN2189" s="2"/>
      <c r="BO2189" s="2"/>
      <c r="BP2189" s="136"/>
      <c r="BQ2189" s="137"/>
    </row>
    <row r="2190" spans="1:69" ht="12.75" customHeight="1" x14ac:dyDescent="0.2">
      <c r="A2190" s="2">
        <v>3679</v>
      </c>
      <c r="B2190" s="2"/>
      <c r="C2190" s="2"/>
      <c r="D2190" s="2"/>
      <c r="E2190" s="2"/>
      <c r="F2190" s="132">
        <v>0</v>
      </c>
      <c r="G2190" s="132"/>
      <c r="H2190" s="132">
        <f t="shared" si="248"/>
        <v>0</v>
      </c>
      <c r="I2190" s="132"/>
      <c r="J2190" s="132">
        <f t="shared" si="246"/>
        <v>0</v>
      </c>
      <c r="K2190" s="132">
        <f t="shared" si="249"/>
        <v>0</v>
      </c>
      <c r="L2190" s="132">
        <f t="shared" si="250"/>
        <v>0</v>
      </c>
      <c r="M2190" s="133"/>
      <c r="N2190" s="133">
        <f t="shared" si="247"/>
        <v>0</v>
      </c>
      <c r="O2190" s="134"/>
      <c r="P2190" s="133"/>
      <c r="Q2190" s="2"/>
      <c r="R2190" s="156">
        <f t="shared" si="251"/>
        <v>0</v>
      </c>
      <c r="S2190" s="156">
        <f t="shared" si="252"/>
        <v>0</v>
      </c>
      <c r="T2190" s="133"/>
      <c r="U2190" s="133"/>
      <c r="V2190" s="133"/>
      <c r="W2190" s="133"/>
      <c r="X2190" s="133"/>
      <c r="Y2190" s="133"/>
      <c r="Z2190" s="133"/>
      <c r="AA2190" s="133"/>
      <c r="AB2190" s="133"/>
      <c r="AC2190" s="133"/>
      <c r="AD2190" s="133"/>
      <c r="AE2190" s="133"/>
      <c r="AF2190" s="133"/>
      <c r="AG2190" s="133"/>
      <c r="AH2190" s="133"/>
      <c r="AI2190" s="133"/>
      <c r="AJ2190" s="133"/>
      <c r="AK2190" s="133"/>
      <c r="AL2190" s="133"/>
      <c r="AM2190" s="133"/>
      <c r="AN2190" s="133"/>
      <c r="AO2190" s="133"/>
      <c r="AP2190" s="133"/>
      <c r="AQ2190" s="133"/>
      <c r="AR2190" s="133"/>
      <c r="AS2190" s="153">
        <v>0</v>
      </c>
      <c r="AT2190" s="153">
        <v>0</v>
      </c>
      <c r="AU2190" s="153">
        <v>0</v>
      </c>
      <c r="AV2190" s="135"/>
      <c r="AW2190" s="135"/>
      <c r="AX2190" s="135"/>
      <c r="AY2190" s="135"/>
      <c r="AZ2190" s="135"/>
      <c r="BA2190" s="135"/>
      <c r="BB2190" s="135"/>
      <c r="BC2190" s="135"/>
      <c r="BD2190" s="135"/>
      <c r="BE2190" s="135"/>
      <c r="BF2190" s="135"/>
      <c r="BG2190" s="135"/>
      <c r="BH2190" s="135"/>
      <c r="BI2190" s="2"/>
      <c r="BJ2190" s="136"/>
      <c r="BK2190" s="2"/>
      <c r="BL2190" s="136"/>
      <c r="BM2190" s="136"/>
      <c r="BN2190" s="2"/>
      <c r="BO2190" s="2"/>
      <c r="BP2190" s="136"/>
      <c r="BQ2190" s="137"/>
    </row>
    <row r="2191" spans="1:69" ht="12.75" customHeight="1" x14ac:dyDescent="0.2">
      <c r="A2191" s="2">
        <v>3680</v>
      </c>
      <c r="B2191" s="2"/>
      <c r="C2191" s="2"/>
      <c r="D2191" s="2"/>
      <c r="E2191" s="2"/>
      <c r="F2191" s="132">
        <v>0</v>
      </c>
      <c r="G2191" s="132"/>
      <c r="H2191" s="132">
        <f t="shared" si="248"/>
        <v>0</v>
      </c>
      <c r="I2191" s="132"/>
      <c r="J2191" s="132">
        <f t="shared" si="246"/>
        <v>0</v>
      </c>
      <c r="K2191" s="132">
        <f t="shared" si="249"/>
        <v>0</v>
      </c>
      <c r="L2191" s="132">
        <f t="shared" si="250"/>
        <v>0</v>
      </c>
      <c r="M2191" s="133"/>
      <c r="N2191" s="133">
        <f t="shared" si="247"/>
        <v>0</v>
      </c>
      <c r="O2191" s="134"/>
      <c r="P2191" s="133"/>
      <c r="Q2191" s="2"/>
      <c r="R2191" s="156">
        <f t="shared" si="251"/>
        <v>0</v>
      </c>
      <c r="S2191" s="156">
        <f t="shared" si="252"/>
        <v>0</v>
      </c>
      <c r="T2191" s="133"/>
      <c r="U2191" s="133"/>
      <c r="V2191" s="133"/>
      <c r="W2191" s="133"/>
      <c r="X2191" s="133"/>
      <c r="Y2191" s="133"/>
      <c r="Z2191" s="133"/>
      <c r="AA2191" s="133"/>
      <c r="AB2191" s="133"/>
      <c r="AC2191" s="133"/>
      <c r="AD2191" s="133"/>
      <c r="AE2191" s="133"/>
      <c r="AF2191" s="133"/>
      <c r="AG2191" s="133"/>
      <c r="AH2191" s="133"/>
      <c r="AI2191" s="133"/>
      <c r="AJ2191" s="133"/>
      <c r="AK2191" s="133"/>
      <c r="AL2191" s="133"/>
      <c r="AM2191" s="133"/>
      <c r="AN2191" s="133"/>
      <c r="AO2191" s="133"/>
      <c r="AP2191" s="133"/>
      <c r="AQ2191" s="133"/>
      <c r="AR2191" s="133"/>
      <c r="AS2191" s="153">
        <v>0</v>
      </c>
      <c r="AT2191" s="153">
        <v>0</v>
      </c>
      <c r="AU2191" s="153">
        <v>0</v>
      </c>
      <c r="AV2191" s="135"/>
      <c r="AW2191" s="135"/>
      <c r="AX2191" s="135"/>
      <c r="AY2191" s="135"/>
      <c r="AZ2191" s="135"/>
      <c r="BA2191" s="135"/>
      <c r="BB2191" s="135"/>
      <c r="BC2191" s="135"/>
      <c r="BD2191" s="135"/>
      <c r="BE2191" s="135"/>
      <c r="BF2191" s="135"/>
      <c r="BG2191" s="135"/>
      <c r="BH2191" s="135"/>
      <c r="BI2191" s="2"/>
      <c r="BJ2191" s="136"/>
      <c r="BK2191" s="2"/>
      <c r="BL2191" s="136"/>
      <c r="BM2191" s="136"/>
      <c r="BN2191" s="2"/>
      <c r="BO2191" s="2"/>
      <c r="BP2191" s="136"/>
      <c r="BQ2191" s="137"/>
    </row>
    <row r="2192" spans="1:69" ht="12.75" customHeight="1" x14ac:dyDescent="0.2">
      <c r="A2192" s="2">
        <v>3681</v>
      </c>
      <c r="B2192" s="2"/>
      <c r="C2192" s="2"/>
      <c r="D2192" s="2"/>
      <c r="E2192" s="2"/>
      <c r="F2192" s="132">
        <v>0</v>
      </c>
      <c r="G2192" s="132"/>
      <c r="H2192" s="132">
        <f t="shared" si="248"/>
        <v>0</v>
      </c>
      <c r="I2192" s="132"/>
      <c r="J2192" s="132">
        <f t="shared" si="246"/>
        <v>0</v>
      </c>
      <c r="K2192" s="132">
        <f t="shared" si="249"/>
        <v>0</v>
      </c>
      <c r="L2192" s="132">
        <f t="shared" si="250"/>
        <v>0</v>
      </c>
      <c r="M2192" s="133"/>
      <c r="N2192" s="133">
        <f t="shared" si="247"/>
        <v>0</v>
      </c>
      <c r="O2192" s="134"/>
      <c r="P2192" s="133"/>
      <c r="Q2192" s="2"/>
      <c r="R2192" s="156">
        <f t="shared" si="251"/>
        <v>0</v>
      </c>
      <c r="S2192" s="156">
        <f t="shared" si="252"/>
        <v>0</v>
      </c>
      <c r="T2192" s="133"/>
      <c r="U2192" s="133"/>
      <c r="V2192" s="133"/>
      <c r="W2192" s="133"/>
      <c r="X2192" s="133"/>
      <c r="Y2192" s="133"/>
      <c r="Z2192" s="133"/>
      <c r="AA2192" s="133"/>
      <c r="AB2192" s="133"/>
      <c r="AC2192" s="133"/>
      <c r="AD2192" s="133"/>
      <c r="AE2192" s="133"/>
      <c r="AF2192" s="133"/>
      <c r="AG2192" s="133"/>
      <c r="AH2192" s="133"/>
      <c r="AI2192" s="133"/>
      <c r="AJ2192" s="133"/>
      <c r="AK2192" s="133"/>
      <c r="AL2192" s="133"/>
      <c r="AM2192" s="133"/>
      <c r="AN2192" s="133"/>
      <c r="AO2192" s="133"/>
      <c r="AP2192" s="133"/>
      <c r="AQ2192" s="133"/>
      <c r="AR2192" s="133"/>
      <c r="AS2192" s="153">
        <v>0</v>
      </c>
      <c r="AT2192" s="153">
        <v>0</v>
      </c>
      <c r="AU2192" s="153">
        <v>0</v>
      </c>
      <c r="AV2192" s="135"/>
      <c r="AW2192" s="135"/>
      <c r="AX2192" s="135"/>
      <c r="AY2192" s="135"/>
      <c r="AZ2192" s="135"/>
      <c r="BA2192" s="135"/>
      <c r="BB2192" s="135"/>
      <c r="BC2192" s="135"/>
      <c r="BD2192" s="135"/>
      <c r="BE2192" s="135"/>
      <c r="BF2192" s="135"/>
      <c r="BG2192" s="135"/>
      <c r="BH2192" s="135"/>
      <c r="BI2192" s="2"/>
      <c r="BJ2192" s="136"/>
      <c r="BK2192" s="2"/>
      <c r="BL2192" s="136"/>
      <c r="BM2192" s="136"/>
      <c r="BN2192" s="2"/>
      <c r="BO2192" s="2"/>
      <c r="BP2192" s="136"/>
      <c r="BQ2192" s="137"/>
    </row>
    <row r="2193" spans="1:69" ht="12.75" customHeight="1" x14ac:dyDescent="0.2">
      <c r="A2193" s="2">
        <v>3682</v>
      </c>
      <c r="B2193" s="2"/>
      <c r="C2193" s="2"/>
      <c r="D2193" s="2"/>
      <c r="E2193" s="2"/>
      <c r="F2193" s="132">
        <v>0</v>
      </c>
      <c r="G2193" s="132"/>
      <c r="H2193" s="132">
        <f t="shared" si="248"/>
        <v>0</v>
      </c>
      <c r="I2193" s="132"/>
      <c r="J2193" s="132">
        <f t="shared" si="246"/>
        <v>0</v>
      </c>
      <c r="K2193" s="132">
        <f t="shared" si="249"/>
        <v>0</v>
      </c>
      <c r="L2193" s="132">
        <f t="shared" si="250"/>
        <v>0</v>
      </c>
      <c r="M2193" s="133"/>
      <c r="N2193" s="133">
        <f t="shared" si="247"/>
        <v>0</v>
      </c>
      <c r="O2193" s="134"/>
      <c r="P2193" s="133"/>
      <c r="Q2193" s="2"/>
      <c r="R2193" s="156">
        <f t="shared" si="251"/>
        <v>0</v>
      </c>
      <c r="S2193" s="156">
        <f t="shared" si="252"/>
        <v>0</v>
      </c>
      <c r="T2193" s="133"/>
      <c r="U2193" s="133"/>
      <c r="V2193" s="133"/>
      <c r="W2193" s="133"/>
      <c r="X2193" s="133"/>
      <c r="Y2193" s="133"/>
      <c r="Z2193" s="133"/>
      <c r="AA2193" s="133"/>
      <c r="AB2193" s="133"/>
      <c r="AC2193" s="133"/>
      <c r="AD2193" s="133"/>
      <c r="AE2193" s="133"/>
      <c r="AF2193" s="133"/>
      <c r="AG2193" s="133"/>
      <c r="AH2193" s="133"/>
      <c r="AI2193" s="133"/>
      <c r="AJ2193" s="133"/>
      <c r="AK2193" s="133"/>
      <c r="AL2193" s="133"/>
      <c r="AM2193" s="133"/>
      <c r="AN2193" s="133"/>
      <c r="AO2193" s="133"/>
      <c r="AP2193" s="133"/>
      <c r="AQ2193" s="133"/>
      <c r="AR2193" s="133"/>
      <c r="AS2193" s="153">
        <v>0</v>
      </c>
      <c r="AT2193" s="153">
        <v>0</v>
      </c>
      <c r="AU2193" s="153">
        <v>0</v>
      </c>
      <c r="AV2193" s="135"/>
      <c r="AW2193" s="135"/>
      <c r="AX2193" s="135"/>
      <c r="AY2193" s="135"/>
      <c r="AZ2193" s="135"/>
      <c r="BA2193" s="135"/>
      <c r="BB2193" s="135"/>
      <c r="BC2193" s="135"/>
      <c r="BD2193" s="135"/>
      <c r="BE2193" s="135"/>
      <c r="BF2193" s="135"/>
      <c r="BG2193" s="135"/>
      <c r="BH2193" s="135"/>
      <c r="BI2193" s="2"/>
      <c r="BJ2193" s="136"/>
      <c r="BK2193" s="2"/>
      <c r="BL2193" s="136"/>
      <c r="BM2193" s="136"/>
      <c r="BN2193" s="2"/>
      <c r="BO2193" s="2"/>
      <c r="BP2193" s="136"/>
      <c r="BQ2193" s="137"/>
    </row>
    <row r="2194" spans="1:69" ht="12.75" customHeight="1" x14ac:dyDescent="0.2">
      <c r="A2194" s="2">
        <v>3683</v>
      </c>
      <c r="B2194" s="2"/>
      <c r="C2194" s="2"/>
      <c r="D2194" s="2"/>
      <c r="E2194" s="2"/>
      <c r="F2194" s="132">
        <v>0</v>
      </c>
      <c r="G2194" s="132"/>
      <c r="H2194" s="132">
        <f t="shared" si="248"/>
        <v>0</v>
      </c>
      <c r="I2194" s="132"/>
      <c r="J2194" s="132">
        <f t="shared" si="246"/>
        <v>0</v>
      </c>
      <c r="K2194" s="132">
        <f t="shared" si="249"/>
        <v>0</v>
      </c>
      <c r="L2194" s="132">
        <f t="shared" si="250"/>
        <v>0</v>
      </c>
      <c r="M2194" s="133"/>
      <c r="N2194" s="133">
        <f t="shared" si="247"/>
        <v>0</v>
      </c>
      <c r="O2194" s="134"/>
      <c r="P2194" s="133"/>
      <c r="Q2194" s="2"/>
      <c r="R2194" s="156">
        <f t="shared" si="251"/>
        <v>0</v>
      </c>
      <c r="S2194" s="156">
        <f t="shared" si="252"/>
        <v>0</v>
      </c>
      <c r="T2194" s="133"/>
      <c r="U2194" s="133"/>
      <c r="V2194" s="133"/>
      <c r="W2194" s="133"/>
      <c r="X2194" s="133"/>
      <c r="Y2194" s="133"/>
      <c r="Z2194" s="133"/>
      <c r="AA2194" s="133"/>
      <c r="AB2194" s="133"/>
      <c r="AC2194" s="133"/>
      <c r="AD2194" s="133"/>
      <c r="AE2194" s="133"/>
      <c r="AF2194" s="133"/>
      <c r="AG2194" s="133"/>
      <c r="AH2194" s="133"/>
      <c r="AI2194" s="133"/>
      <c r="AJ2194" s="133"/>
      <c r="AK2194" s="133"/>
      <c r="AL2194" s="133"/>
      <c r="AM2194" s="133"/>
      <c r="AN2194" s="133"/>
      <c r="AO2194" s="133"/>
      <c r="AP2194" s="133"/>
      <c r="AQ2194" s="133"/>
      <c r="AR2194" s="133"/>
      <c r="AS2194" s="153">
        <v>0</v>
      </c>
      <c r="AT2194" s="153">
        <v>0</v>
      </c>
      <c r="AU2194" s="153">
        <v>0</v>
      </c>
      <c r="AV2194" s="135"/>
      <c r="AW2194" s="135"/>
      <c r="AX2194" s="135"/>
      <c r="AY2194" s="135"/>
      <c r="AZ2194" s="135"/>
      <c r="BA2194" s="135"/>
      <c r="BB2194" s="135"/>
      <c r="BC2194" s="135"/>
      <c r="BD2194" s="135"/>
      <c r="BE2194" s="135"/>
      <c r="BF2194" s="135"/>
      <c r="BG2194" s="135"/>
      <c r="BH2194" s="135"/>
      <c r="BI2194" s="2"/>
      <c r="BJ2194" s="136"/>
      <c r="BK2194" s="2"/>
      <c r="BL2194" s="136"/>
      <c r="BM2194" s="136"/>
      <c r="BN2194" s="2"/>
      <c r="BO2194" s="2"/>
      <c r="BP2194" s="136"/>
      <c r="BQ2194" s="137"/>
    </row>
    <row r="2195" spans="1:69" ht="12.75" customHeight="1" x14ac:dyDescent="0.2">
      <c r="A2195" s="2">
        <v>3684</v>
      </c>
      <c r="B2195" s="2"/>
      <c r="C2195" s="2"/>
      <c r="D2195" s="2"/>
      <c r="E2195" s="2"/>
      <c r="F2195" s="132">
        <v>0</v>
      </c>
      <c r="G2195" s="132"/>
      <c r="H2195" s="132">
        <f t="shared" si="248"/>
        <v>0</v>
      </c>
      <c r="I2195" s="132"/>
      <c r="J2195" s="132">
        <f t="shared" si="246"/>
        <v>0</v>
      </c>
      <c r="K2195" s="132">
        <f t="shared" si="249"/>
        <v>0</v>
      </c>
      <c r="L2195" s="132">
        <f t="shared" si="250"/>
        <v>0</v>
      </c>
      <c r="M2195" s="133"/>
      <c r="N2195" s="133">
        <f t="shared" si="247"/>
        <v>0</v>
      </c>
      <c r="O2195" s="134"/>
      <c r="P2195" s="133"/>
      <c r="Q2195" s="2"/>
      <c r="R2195" s="156">
        <f t="shared" si="251"/>
        <v>0</v>
      </c>
      <c r="S2195" s="156">
        <f t="shared" si="252"/>
        <v>0</v>
      </c>
      <c r="T2195" s="133"/>
      <c r="U2195" s="133"/>
      <c r="V2195" s="133"/>
      <c r="W2195" s="133"/>
      <c r="X2195" s="133"/>
      <c r="Y2195" s="133"/>
      <c r="Z2195" s="133"/>
      <c r="AA2195" s="133"/>
      <c r="AB2195" s="133"/>
      <c r="AC2195" s="133"/>
      <c r="AD2195" s="133"/>
      <c r="AE2195" s="133"/>
      <c r="AF2195" s="133"/>
      <c r="AG2195" s="133"/>
      <c r="AH2195" s="133"/>
      <c r="AI2195" s="133"/>
      <c r="AJ2195" s="133"/>
      <c r="AK2195" s="133"/>
      <c r="AL2195" s="133"/>
      <c r="AM2195" s="133"/>
      <c r="AN2195" s="133"/>
      <c r="AO2195" s="133"/>
      <c r="AP2195" s="133"/>
      <c r="AQ2195" s="133"/>
      <c r="AR2195" s="133"/>
      <c r="AS2195" s="153">
        <v>0</v>
      </c>
      <c r="AT2195" s="153">
        <v>0</v>
      </c>
      <c r="AU2195" s="153">
        <v>0</v>
      </c>
      <c r="AV2195" s="135"/>
      <c r="AW2195" s="135"/>
      <c r="AX2195" s="135"/>
      <c r="AY2195" s="135"/>
      <c r="AZ2195" s="135"/>
      <c r="BA2195" s="135"/>
      <c r="BB2195" s="135"/>
      <c r="BC2195" s="135"/>
      <c r="BD2195" s="135"/>
      <c r="BE2195" s="135"/>
      <c r="BF2195" s="135"/>
      <c r="BG2195" s="135"/>
      <c r="BH2195" s="135"/>
      <c r="BI2195" s="2"/>
      <c r="BJ2195" s="136"/>
      <c r="BK2195" s="2"/>
      <c r="BL2195" s="136"/>
      <c r="BM2195" s="136"/>
      <c r="BN2195" s="2"/>
      <c r="BO2195" s="2"/>
      <c r="BP2195" s="136"/>
      <c r="BQ2195" s="137"/>
    </row>
    <row r="2196" spans="1:69" ht="12.75" customHeight="1" x14ac:dyDescent="0.2">
      <c r="A2196" s="2">
        <v>3685</v>
      </c>
      <c r="B2196" s="2"/>
      <c r="C2196" s="2"/>
      <c r="D2196" s="2"/>
      <c r="E2196" s="2"/>
      <c r="F2196" s="132">
        <v>0</v>
      </c>
      <c r="G2196" s="132"/>
      <c r="H2196" s="132">
        <f t="shared" si="248"/>
        <v>0</v>
      </c>
      <c r="I2196" s="132"/>
      <c r="J2196" s="132">
        <f t="shared" si="246"/>
        <v>0</v>
      </c>
      <c r="K2196" s="132">
        <f t="shared" si="249"/>
        <v>0</v>
      </c>
      <c r="L2196" s="132">
        <f t="shared" si="250"/>
        <v>0</v>
      </c>
      <c r="M2196" s="133"/>
      <c r="N2196" s="133">
        <f t="shared" si="247"/>
        <v>0</v>
      </c>
      <c r="O2196" s="134"/>
      <c r="P2196" s="133"/>
      <c r="Q2196" s="2"/>
      <c r="R2196" s="156">
        <f t="shared" si="251"/>
        <v>0</v>
      </c>
      <c r="S2196" s="156">
        <f t="shared" si="252"/>
        <v>0</v>
      </c>
      <c r="T2196" s="133"/>
      <c r="U2196" s="133"/>
      <c r="V2196" s="133"/>
      <c r="W2196" s="133"/>
      <c r="X2196" s="133"/>
      <c r="Y2196" s="133"/>
      <c r="Z2196" s="133"/>
      <c r="AA2196" s="133"/>
      <c r="AB2196" s="133"/>
      <c r="AC2196" s="133"/>
      <c r="AD2196" s="133"/>
      <c r="AE2196" s="133"/>
      <c r="AF2196" s="133"/>
      <c r="AG2196" s="133"/>
      <c r="AH2196" s="133"/>
      <c r="AI2196" s="133"/>
      <c r="AJ2196" s="133"/>
      <c r="AK2196" s="133"/>
      <c r="AL2196" s="133"/>
      <c r="AM2196" s="133"/>
      <c r="AN2196" s="133"/>
      <c r="AO2196" s="133"/>
      <c r="AP2196" s="133"/>
      <c r="AQ2196" s="133"/>
      <c r="AR2196" s="133"/>
      <c r="AS2196" s="153">
        <v>0</v>
      </c>
      <c r="AT2196" s="153">
        <v>0</v>
      </c>
      <c r="AU2196" s="153">
        <v>0</v>
      </c>
      <c r="AV2196" s="135"/>
      <c r="AW2196" s="135"/>
      <c r="AX2196" s="135"/>
      <c r="AY2196" s="135"/>
      <c r="AZ2196" s="135"/>
      <c r="BA2196" s="135"/>
      <c r="BB2196" s="135"/>
      <c r="BC2196" s="135"/>
      <c r="BD2196" s="135"/>
      <c r="BE2196" s="135"/>
      <c r="BF2196" s="135"/>
      <c r="BG2196" s="135"/>
      <c r="BH2196" s="135"/>
      <c r="BI2196" s="2"/>
      <c r="BJ2196" s="136"/>
      <c r="BK2196" s="2"/>
      <c r="BL2196" s="136"/>
      <c r="BM2196" s="136"/>
      <c r="BN2196" s="2"/>
      <c r="BO2196" s="2"/>
      <c r="BP2196" s="136"/>
      <c r="BQ2196" s="137"/>
    </row>
    <row r="2197" spans="1:69" ht="12.75" customHeight="1" x14ac:dyDescent="0.2">
      <c r="A2197" s="2">
        <v>3686</v>
      </c>
      <c r="B2197" s="2"/>
      <c r="C2197" s="2"/>
      <c r="D2197" s="2"/>
      <c r="E2197" s="2"/>
      <c r="F2197" s="132">
        <v>0</v>
      </c>
      <c r="G2197" s="132"/>
      <c r="H2197" s="132">
        <f t="shared" si="248"/>
        <v>0</v>
      </c>
      <c r="I2197" s="132"/>
      <c r="J2197" s="132">
        <f t="shared" si="246"/>
        <v>0</v>
      </c>
      <c r="K2197" s="132">
        <f t="shared" si="249"/>
        <v>0</v>
      </c>
      <c r="L2197" s="132">
        <f t="shared" si="250"/>
        <v>0</v>
      </c>
      <c r="M2197" s="133"/>
      <c r="N2197" s="133">
        <f t="shared" si="247"/>
        <v>0</v>
      </c>
      <c r="O2197" s="134"/>
      <c r="P2197" s="133"/>
      <c r="Q2197" s="2"/>
      <c r="R2197" s="156">
        <f t="shared" si="251"/>
        <v>0</v>
      </c>
      <c r="S2197" s="156">
        <f t="shared" si="252"/>
        <v>0</v>
      </c>
      <c r="T2197" s="133"/>
      <c r="U2197" s="133"/>
      <c r="V2197" s="133"/>
      <c r="W2197" s="133"/>
      <c r="X2197" s="133"/>
      <c r="Y2197" s="133"/>
      <c r="Z2197" s="133"/>
      <c r="AA2197" s="133"/>
      <c r="AB2197" s="133"/>
      <c r="AC2197" s="133"/>
      <c r="AD2197" s="133"/>
      <c r="AE2197" s="133"/>
      <c r="AF2197" s="133"/>
      <c r="AG2197" s="133"/>
      <c r="AH2197" s="133"/>
      <c r="AI2197" s="133"/>
      <c r="AJ2197" s="133"/>
      <c r="AK2197" s="133"/>
      <c r="AL2197" s="133"/>
      <c r="AM2197" s="133"/>
      <c r="AN2197" s="133"/>
      <c r="AO2197" s="133"/>
      <c r="AP2197" s="133"/>
      <c r="AQ2197" s="133"/>
      <c r="AR2197" s="133"/>
      <c r="AS2197" s="153">
        <v>0</v>
      </c>
      <c r="AT2197" s="153">
        <v>0</v>
      </c>
      <c r="AU2197" s="153">
        <v>0</v>
      </c>
      <c r="AV2197" s="135"/>
      <c r="AW2197" s="135"/>
      <c r="AX2197" s="135"/>
      <c r="AY2197" s="135"/>
      <c r="AZ2197" s="135"/>
      <c r="BA2197" s="135"/>
      <c r="BB2197" s="135"/>
      <c r="BC2197" s="135"/>
      <c r="BD2197" s="135"/>
      <c r="BE2197" s="135"/>
      <c r="BF2197" s="135"/>
      <c r="BG2197" s="135"/>
      <c r="BH2197" s="135"/>
      <c r="BI2197" s="2"/>
      <c r="BJ2197" s="136"/>
      <c r="BK2197" s="2"/>
      <c r="BL2197" s="136"/>
      <c r="BM2197" s="136"/>
      <c r="BN2197" s="2"/>
      <c r="BO2197" s="2"/>
      <c r="BP2197" s="136"/>
      <c r="BQ2197" s="137"/>
    </row>
    <row r="2198" spans="1:69" ht="12.75" customHeight="1" x14ac:dyDescent="0.2">
      <c r="A2198" s="2">
        <v>3687</v>
      </c>
      <c r="B2198" s="2"/>
      <c r="C2198" s="2"/>
      <c r="D2198" s="2"/>
      <c r="E2198" s="2"/>
      <c r="F2198" s="132">
        <v>0</v>
      </c>
      <c r="G2198" s="132"/>
      <c r="H2198" s="132">
        <f t="shared" si="248"/>
        <v>0</v>
      </c>
      <c r="I2198" s="132"/>
      <c r="J2198" s="132">
        <f t="shared" si="246"/>
        <v>0</v>
      </c>
      <c r="K2198" s="132">
        <f t="shared" si="249"/>
        <v>0</v>
      </c>
      <c r="L2198" s="132">
        <f t="shared" si="250"/>
        <v>0</v>
      </c>
      <c r="M2198" s="133"/>
      <c r="N2198" s="133">
        <f t="shared" si="247"/>
        <v>0</v>
      </c>
      <c r="O2198" s="134"/>
      <c r="P2198" s="133"/>
      <c r="Q2198" s="2"/>
      <c r="R2198" s="156">
        <f t="shared" si="251"/>
        <v>0</v>
      </c>
      <c r="S2198" s="156">
        <f t="shared" si="252"/>
        <v>0</v>
      </c>
      <c r="T2198" s="133"/>
      <c r="U2198" s="133"/>
      <c r="V2198" s="133"/>
      <c r="W2198" s="133"/>
      <c r="X2198" s="133"/>
      <c r="Y2198" s="133"/>
      <c r="Z2198" s="133"/>
      <c r="AA2198" s="133"/>
      <c r="AB2198" s="133"/>
      <c r="AC2198" s="133"/>
      <c r="AD2198" s="133"/>
      <c r="AE2198" s="133"/>
      <c r="AF2198" s="133"/>
      <c r="AG2198" s="133"/>
      <c r="AH2198" s="133"/>
      <c r="AI2198" s="133"/>
      <c r="AJ2198" s="133"/>
      <c r="AK2198" s="133"/>
      <c r="AL2198" s="133"/>
      <c r="AM2198" s="133"/>
      <c r="AN2198" s="133"/>
      <c r="AO2198" s="133"/>
      <c r="AP2198" s="133"/>
      <c r="AQ2198" s="133"/>
      <c r="AR2198" s="133"/>
      <c r="AS2198" s="153">
        <v>0</v>
      </c>
      <c r="AT2198" s="153">
        <v>0</v>
      </c>
      <c r="AU2198" s="153">
        <v>0</v>
      </c>
      <c r="AV2198" s="135"/>
      <c r="AW2198" s="135"/>
      <c r="AX2198" s="135"/>
      <c r="AY2198" s="135"/>
      <c r="AZ2198" s="135"/>
      <c r="BA2198" s="135"/>
      <c r="BB2198" s="135"/>
      <c r="BC2198" s="135"/>
      <c r="BD2198" s="135"/>
      <c r="BE2198" s="135"/>
      <c r="BF2198" s="135"/>
      <c r="BG2198" s="135"/>
      <c r="BH2198" s="135"/>
      <c r="BI2198" s="2"/>
      <c r="BJ2198" s="136"/>
      <c r="BK2198" s="2"/>
      <c r="BL2198" s="136"/>
      <c r="BM2198" s="136"/>
      <c r="BN2198" s="2"/>
      <c r="BO2198" s="2"/>
      <c r="BP2198" s="136"/>
      <c r="BQ2198" s="137"/>
    </row>
    <row r="2199" spans="1:69" ht="12.75" customHeight="1" x14ac:dyDescent="0.2">
      <c r="A2199" s="2">
        <v>3688</v>
      </c>
      <c r="B2199" s="2"/>
      <c r="C2199" s="2"/>
      <c r="D2199" s="2"/>
      <c r="E2199" s="2"/>
      <c r="F2199" s="132">
        <v>0</v>
      </c>
      <c r="G2199" s="132"/>
      <c r="H2199" s="132">
        <f t="shared" si="248"/>
        <v>0</v>
      </c>
      <c r="I2199" s="132"/>
      <c r="J2199" s="132">
        <f t="shared" si="246"/>
        <v>0</v>
      </c>
      <c r="K2199" s="132">
        <f t="shared" si="249"/>
        <v>0</v>
      </c>
      <c r="L2199" s="132">
        <f t="shared" si="250"/>
        <v>0</v>
      </c>
      <c r="M2199" s="133"/>
      <c r="N2199" s="133">
        <f t="shared" si="247"/>
        <v>0</v>
      </c>
      <c r="O2199" s="134"/>
      <c r="P2199" s="133"/>
      <c r="Q2199" s="2"/>
      <c r="R2199" s="156">
        <f t="shared" si="251"/>
        <v>0</v>
      </c>
      <c r="S2199" s="156">
        <f t="shared" si="252"/>
        <v>0</v>
      </c>
      <c r="T2199" s="133"/>
      <c r="U2199" s="133"/>
      <c r="V2199" s="133"/>
      <c r="W2199" s="133"/>
      <c r="X2199" s="133"/>
      <c r="Y2199" s="133"/>
      <c r="Z2199" s="133"/>
      <c r="AA2199" s="133"/>
      <c r="AB2199" s="133"/>
      <c r="AC2199" s="133"/>
      <c r="AD2199" s="133"/>
      <c r="AE2199" s="133"/>
      <c r="AF2199" s="133"/>
      <c r="AG2199" s="133"/>
      <c r="AH2199" s="133"/>
      <c r="AI2199" s="133"/>
      <c r="AJ2199" s="133"/>
      <c r="AK2199" s="133"/>
      <c r="AL2199" s="133"/>
      <c r="AM2199" s="133"/>
      <c r="AN2199" s="133"/>
      <c r="AO2199" s="133"/>
      <c r="AP2199" s="133"/>
      <c r="AQ2199" s="133"/>
      <c r="AR2199" s="133"/>
      <c r="AS2199" s="153">
        <v>0</v>
      </c>
      <c r="AT2199" s="153">
        <v>0</v>
      </c>
      <c r="AU2199" s="153">
        <v>0</v>
      </c>
      <c r="AV2199" s="135"/>
      <c r="AW2199" s="135"/>
      <c r="AX2199" s="135"/>
      <c r="AY2199" s="135"/>
      <c r="AZ2199" s="135"/>
      <c r="BA2199" s="135"/>
      <c r="BB2199" s="135"/>
      <c r="BC2199" s="135"/>
      <c r="BD2199" s="135"/>
      <c r="BE2199" s="135"/>
      <c r="BF2199" s="135"/>
      <c r="BG2199" s="135"/>
      <c r="BH2199" s="135"/>
      <c r="BI2199" s="2"/>
      <c r="BJ2199" s="136"/>
      <c r="BK2199" s="2"/>
      <c r="BL2199" s="136"/>
      <c r="BM2199" s="136"/>
      <c r="BN2199" s="2"/>
      <c r="BO2199" s="2"/>
      <c r="BP2199" s="136"/>
      <c r="BQ2199" s="137"/>
    </row>
    <row r="2200" spans="1:69" ht="12.75" customHeight="1" x14ac:dyDescent="0.2">
      <c r="A2200" s="2">
        <v>3689</v>
      </c>
      <c r="B2200" s="2"/>
      <c r="C2200" s="2"/>
      <c r="D2200" s="2"/>
      <c r="E2200" s="2"/>
      <c r="F2200" s="132">
        <v>0</v>
      </c>
      <c r="G2200" s="132"/>
      <c r="H2200" s="132">
        <f t="shared" si="248"/>
        <v>0</v>
      </c>
      <c r="I2200" s="132"/>
      <c r="J2200" s="132">
        <f t="shared" si="246"/>
        <v>0</v>
      </c>
      <c r="K2200" s="132">
        <f t="shared" si="249"/>
        <v>0</v>
      </c>
      <c r="L2200" s="132">
        <f t="shared" si="250"/>
        <v>0</v>
      </c>
      <c r="M2200" s="133"/>
      <c r="N2200" s="133">
        <f t="shared" si="247"/>
        <v>0</v>
      </c>
      <c r="O2200" s="134"/>
      <c r="P2200" s="133"/>
      <c r="Q2200" s="2"/>
      <c r="R2200" s="156">
        <f t="shared" si="251"/>
        <v>0</v>
      </c>
      <c r="S2200" s="156">
        <f t="shared" si="252"/>
        <v>0</v>
      </c>
      <c r="T2200" s="133"/>
      <c r="U2200" s="133"/>
      <c r="V2200" s="133"/>
      <c r="W2200" s="133"/>
      <c r="X2200" s="133"/>
      <c r="Y2200" s="133"/>
      <c r="Z2200" s="133"/>
      <c r="AA2200" s="133"/>
      <c r="AB2200" s="133"/>
      <c r="AC2200" s="133"/>
      <c r="AD2200" s="133"/>
      <c r="AE2200" s="133"/>
      <c r="AF2200" s="133"/>
      <c r="AG2200" s="133"/>
      <c r="AH2200" s="133"/>
      <c r="AI2200" s="133"/>
      <c r="AJ2200" s="133"/>
      <c r="AK2200" s="133"/>
      <c r="AL2200" s="133"/>
      <c r="AM2200" s="133"/>
      <c r="AN2200" s="133"/>
      <c r="AO2200" s="133"/>
      <c r="AP2200" s="133"/>
      <c r="AQ2200" s="133"/>
      <c r="AR2200" s="133"/>
      <c r="AS2200" s="153">
        <v>0</v>
      </c>
      <c r="AT2200" s="153">
        <v>0</v>
      </c>
      <c r="AU2200" s="153">
        <v>0</v>
      </c>
      <c r="AV2200" s="135"/>
      <c r="AW2200" s="135"/>
      <c r="AX2200" s="135"/>
      <c r="AY2200" s="135"/>
      <c r="AZ2200" s="135"/>
      <c r="BA2200" s="135"/>
      <c r="BB2200" s="135"/>
      <c r="BC2200" s="135"/>
      <c r="BD2200" s="135"/>
      <c r="BE2200" s="135"/>
      <c r="BF2200" s="135"/>
      <c r="BG2200" s="135"/>
      <c r="BH2200" s="135"/>
      <c r="BI2200" s="2"/>
      <c r="BJ2200" s="136"/>
      <c r="BK2200" s="2"/>
      <c r="BL2200" s="136"/>
      <c r="BM2200" s="136"/>
      <c r="BN2200" s="2"/>
      <c r="BO2200" s="2"/>
      <c r="BP2200" s="136"/>
      <c r="BQ2200" s="137"/>
    </row>
    <row r="2201" spans="1:69" ht="12.75" customHeight="1" x14ac:dyDescent="0.2">
      <c r="A2201" s="2">
        <v>3690</v>
      </c>
      <c r="B2201" s="2"/>
      <c r="C2201" s="2"/>
      <c r="D2201" s="2"/>
      <c r="E2201" s="2"/>
      <c r="F2201" s="132">
        <v>0</v>
      </c>
      <c r="G2201" s="132"/>
      <c r="H2201" s="132">
        <f t="shared" si="248"/>
        <v>0</v>
      </c>
      <c r="I2201" s="132"/>
      <c r="J2201" s="132">
        <f t="shared" si="246"/>
        <v>0</v>
      </c>
      <c r="K2201" s="132">
        <f t="shared" si="249"/>
        <v>0</v>
      </c>
      <c r="L2201" s="132">
        <f t="shared" si="250"/>
        <v>0</v>
      </c>
      <c r="M2201" s="133"/>
      <c r="N2201" s="133">
        <f t="shared" si="247"/>
        <v>0</v>
      </c>
      <c r="O2201" s="134"/>
      <c r="P2201" s="133"/>
      <c r="Q2201" s="2"/>
      <c r="R2201" s="156">
        <f t="shared" si="251"/>
        <v>0</v>
      </c>
      <c r="S2201" s="156">
        <f t="shared" si="252"/>
        <v>0</v>
      </c>
      <c r="T2201" s="133"/>
      <c r="U2201" s="133"/>
      <c r="V2201" s="133"/>
      <c r="W2201" s="133"/>
      <c r="X2201" s="133"/>
      <c r="Y2201" s="133"/>
      <c r="Z2201" s="133"/>
      <c r="AA2201" s="133"/>
      <c r="AB2201" s="133"/>
      <c r="AC2201" s="133"/>
      <c r="AD2201" s="133"/>
      <c r="AE2201" s="133"/>
      <c r="AF2201" s="133"/>
      <c r="AG2201" s="133"/>
      <c r="AH2201" s="133"/>
      <c r="AI2201" s="133"/>
      <c r="AJ2201" s="133"/>
      <c r="AK2201" s="133"/>
      <c r="AL2201" s="133"/>
      <c r="AM2201" s="133"/>
      <c r="AN2201" s="133"/>
      <c r="AO2201" s="133"/>
      <c r="AP2201" s="133"/>
      <c r="AQ2201" s="133"/>
      <c r="AR2201" s="133"/>
      <c r="AS2201" s="153">
        <v>0</v>
      </c>
      <c r="AT2201" s="153">
        <v>0</v>
      </c>
      <c r="AU2201" s="153">
        <v>0</v>
      </c>
      <c r="AV2201" s="135"/>
      <c r="AW2201" s="135"/>
      <c r="AX2201" s="135"/>
      <c r="AY2201" s="135"/>
      <c r="AZ2201" s="135"/>
      <c r="BA2201" s="135"/>
      <c r="BB2201" s="135"/>
      <c r="BC2201" s="135"/>
      <c r="BD2201" s="135"/>
      <c r="BE2201" s="135"/>
      <c r="BF2201" s="135"/>
      <c r="BG2201" s="135"/>
      <c r="BH2201" s="135"/>
      <c r="BI2201" s="2"/>
      <c r="BJ2201" s="136"/>
      <c r="BK2201" s="2"/>
      <c r="BL2201" s="136"/>
      <c r="BM2201" s="136"/>
      <c r="BN2201" s="2"/>
      <c r="BO2201" s="2"/>
      <c r="BP2201" s="136"/>
      <c r="BQ2201" s="137"/>
    </row>
    <row r="2202" spans="1:69" ht="12.75" customHeight="1" x14ac:dyDescent="0.2">
      <c r="A2202" s="2">
        <v>3691</v>
      </c>
      <c r="B2202" s="2"/>
      <c r="C2202" s="2"/>
      <c r="D2202" s="2"/>
      <c r="E2202" s="2"/>
      <c r="F2202" s="132">
        <v>0</v>
      </c>
      <c r="G2202" s="132"/>
      <c r="H2202" s="132">
        <f t="shared" si="248"/>
        <v>0</v>
      </c>
      <c r="I2202" s="132"/>
      <c r="J2202" s="132">
        <f t="shared" si="246"/>
        <v>0</v>
      </c>
      <c r="K2202" s="132">
        <f t="shared" si="249"/>
        <v>0</v>
      </c>
      <c r="L2202" s="132">
        <f t="shared" si="250"/>
        <v>0</v>
      </c>
      <c r="M2202" s="133"/>
      <c r="N2202" s="133">
        <f t="shared" si="247"/>
        <v>0</v>
      </c>
      <c r="O2202" s="134"/>
      <c r="P2202" s="133"/>
      <c r="Q2202" s="2"/>
      <c r="R2202" s="156">
        <f t="shared" si="251"/>
        <v>0</v>
      </c>
      <c r="S2202" s="156">
        <f t="shared" si="252"/>
        <v>0</v>
      </c>
      <c r="T2202" s="133"/>
      <c r="U2202" s="133"/>
      <c r="V2202" s="133"/>
      <c r="W2202" s="133"/>
      <c r="X2202" s="133"/>
      <c r="Y2202" s="133"/>
      <c r="Z2202" s="133"/>
      <c r="AA2202" s="133"/>
      <c r="AB2202" s="133"/>
      <c r="AC2202" s="133"/>
      <c r="AD2202" s="133"/>
      <c r="AE2202" s="133"/>
      <c r="AF2202" s="133"/>
      <c r="AG2202" s="133"/>
      <c r="AH2202" s="133"/>
      <c r="AI2202" s="133"/>
      <c r="AJ2202" s="133"/>
      <c r="AK2202" s="133"/>
      <c r="AL2202" s="133"/>
      <c r="AM2202" s="133"/>
      <c r="AN2202" s="133"/>
      <c r="AO2202" s="133"/>
      <c r="AP2202" s="133"/>
      <c r="AQ2202" s="133"/>
      <c r="AR2202" s="133"/>
      <c r="AS2202" s="153">
        <v>0</v>
      </c>
      <c r="AT2202" s="153">
        <v>0</v>
      </c>
      <c r="AU2202" s="153">
        <v>0</v>
      </c>
      <c r="AV2202" s="135"/>
      <c r="AW2202" s="135"/>
      <c r="AX2202" s="135"/>
      <c r="AY2202" s="135"/>
      <c r="AZ2202" s="135"/>
      <c r="BA2202" s="135"/>
      <c r="BB2202" s="135"/>
      <c r="BC2202" s="135"/>
      <c r="BD2202" s="135"/>
      <c r="BE2202" s="135"/>
      <c r="BF2202" s="135"/>
      <c r="BG2202" s="135"/>
      <c r="BH2202" s="135"/>
      <c r="BI2202" s="2"/>
      <c r="BJ2202" s="136"/>
      <c r="BK2202" s="2"/>
      <c r="BL2202" s="136"/>
      <c r="BM2202" s="136"/>
      <c r="BN2202" s="2"/>
      <c r="BO2202" s="2"/>
      <c r="BP2202" s="136"/>
      <c r="BQ2202" s="137"/>
    </row>
    <row r="2203" spans="1:69" ht="12.75" customHeight="1" x14ac:dyDescent="0.2">
      <c r="A2203" s="2">
        <v>3692</v>
      </c>
      <c r="B2203" s="2"/>
      <c r="C2203" s="2"/>
      <c r="D2203" s="2"/>
      <c r="E2203" s="2"/>
      <c r="F2203" s="132">
        <v>0</v>
      </c>
      <c r="G2203" s="132"/>
      <c r="H2203" s="132">
        <f t="shared" si="248"/>
        <v>0</v>
      </c>
      <c r="I2203" s="132"/>
      <c r="J2203" s="132">
        <f t="shared" si="246"/>
        <v>0</v>
      </c>
      <c r="K2203" s="132">
        <f t="shared" si="249"/>
        <v>0</v>
      </c>
      <c r="L2203" s="132">
        <f t="shared" si="250"/>
        <v>0</v>
      </c>
      <c r="M2203" s="133"/>
      <c r="N2203" s="133">
        <f t="shared" si="247"/>
        <v>0</v>
      </c>
      <c r="O2203" s="134"/>
      <c r="P2203" s="133"/>
      <c r="Q2203" s="2"/>
      <c r="R2203" s="156">
        <f t="shared" si="251"/>
        <v>0</v>
      </c>
      <c r="S2203" s="156">
        <f t="shared" si="252"/>
        <v>0</v>
      </c>
      <c r="T2203" s="133"/>
      <c r="U2203" s="133"/>
      <c r="V2203" s="133"/>
      <c r="W2203" s="133"/>
      <c r="X2203" s="133"/>
      <c r="Y2203" s="133"/>
      <c r="Z2203" s="133"/>
      <c r="AA2203" s="133"/>
      <c r="AB2203" s="133"/>
      <c r="AC2203" s="133"/>
      <c r="AD2203" s="133"/>
      <c r="AE2203" s="133"/>
      <c r="AF2203" s="133"/>
      <c r="AG2203" s="133"/>
      <c r="AH2203" s="133"/>
      <c r="AI2203" s="133"/>
      <c r="AJ2203" s="133"/>
      <c r="AK2203" s="133"/>
      <c r="AL2203" s="133"/>
      <c r="AM2203" s="133"/>
      <c r="AN2203" s="133"/>
      <c r="AO2203" s="133"/>
      <c r="AP2203" s="133"/>
      <c r="AQ2203" s="133"/>
      <c r="AR2203" s="133"/>
      <c r="AS2203" s="153">
        <v>0</v>
      </c>
      <c r="AT2203" s="153">
        <v>0</v>
      </c>
      <c r="AU2203" s="153">
        <v>0</v>
      </c>
      <c r="AV2203" s="135"/>
      <c r="AW2203" s="135"/>
      <c r="AX2203" s="135"/>
      <c r="AY2203" s="135"/>
      <c r="AZ2203" s="135"/>
      <c r="BA2203" s="135"/>
      <c r="BB2203" s="135"/>
      <c r="BC2203" s="135"/>
      <c r="BD2203" s="135"/>
      <c r="BE2203" s="135"/>
      <c r="BF2203" s="135"/>
      <c r="BG2203" s="135"/>
      <c r="BH2203" s="135"/>
      <c r="BI2203" s="2"/>
      <c r="BJ2203" s="136"/>
      <c r="BK2203" s="2"/>
      <c r="BL2203" s="136"/>
      <c r="BM2203" s="136"/>
      <c r="BN2203" s="2"/>
      <c r="BO2203" s="2"/>
      <c r="BP2203" s="136"/>
      <c r="BQ2203" s="137"/>
    </row>
    <row r="2204" spans="1:69" ht="12.75" customHeight="1" x14ac:dyDescent="0.2">
      <c r="A2204" s="2">
        <v>3693</v>
      </c>
      <c r="B2204" s="2"/>
      <c r="C2204" s="2"/>
      <c r="D2204" s="2"/>
      <c r="E2204" s="2"/>
      <c r="F2204" s="132">
        <v>0</v>
      </c>
      <c r="G2204" s="132"/>
      <c r="H2204" s="132">
        <f t="shared" si="248"/>
        <v>0</v>
      </c>
      <c r="I2204" s="132"/>
      <c r="J2204" s="132">
        <f t="shared" si="246"/>
        <v>0</v>
      </c>
      <c r="K2204" s="132">
        <f t="shared" si="249"/>
        <v>0</v>
      </c>
      <c r="L2204" s="132">
        <f t="shared" si="250"/>
        <v>0</v>
      </c>
      <c r="M2204" s="133"/>
      <c r="N2204" s="133">
        <f t="shared" si="247"/>
        <v>0</v>
      </c>
      <c r="O2204" s="134"/>
      <c r="P2204" s="133"/>
      <c r="Q2204" s="2"/>
      <c r="R2204" s="156">
        <f t="shared" si="251"/>
        <v>0</v>
      </c>
      <c r="S2204" s="156">
        <f t="shared" si="252"/>
        <v>0</v>
      </c>
      <c r="T2204" s="133"/>
      <c r="U2204" s="133"/>
      <c r="V2204" s="133"/>
      <c r="W2204" s="133"/>
      <c r="X2204" s="133"/>
      <c r="Y2204" s="133"/>
      <c r="Z2204" s="133"/>
      <c r="AA2204" s="133"/>
      <c r="AB2204" s="133"/>
      <c r="AC2204" s="133"/>
      <c r="AD2204" s="133"/>
      <c r="AE2204" s="133"/>
      <c r="AF2204" s="133"/>
      <c r="AG2204" s="133"/>
      <c r="AH2204" s="133"/>
      <c r="AI2204" s="133"/>
      <c r="AJ2204" s="133"/>
      <c r="AK2204" s="133"/>
      <c r="AL2204" s="133"/>
      <c r="AM2204" s="133"/>
      <c r="AN2204" s="133"/>
      <c r="AO2204" s="133"/>
      <c r="AP2204" s="133"/>
      <c r="AQ2204" s="133"/>
      <c r="AR2204" s="133"/>
      <c r="AS2204" s="153">
        <v>0</v>
      </c>
      <c r="AT2204" s="153">
        <v>0</v>
      </c>
      <c r="AU2204" s="153">
        <v>0</v>
      </c>
      <c r="AV2204" s="135"/>
      <c r="AW2204" s="135"/>
      <c r="AX2204" s="135"/>
      <c r="AY2204" s="135"/>
      <c r="AZ2204" s="135"/>
      <c r="BA2204" s="135"/>
      <c r="BB2204" s="135"/>
      <c r="BC2204" s="135"/>
      <c r="BD2204" s="135"/>
      <c r="BE2204" s="135"/>
      <c r="BF2204" s="135"/>
      <c r="BG2204" s="135"/>
      <c r="BH2204" s="135"/>
      <c r="BI2204" s="2"/>
      <c r="BJ2204" s="136"/>
      <c r="BK2204" s="2"/>
      <c r="BL2204" s="136"/>
      <c r="BM2204" s="136"/>
      <c r="BN2204" s="2"/>
      <c r="BO2204" s="2"/>
      <c r="BP2204" s="136"/>
      <c r="BQ2204" s="137"/>
    </row>
    <row r="2205" spans="1:69" ht="12.75" customHeight="1" x14ac:dyDescent="0.2">
      <c r="A2205" s="2">
        <v>3694</v>
      </c>
      <c r="B2205" s="2"/>
      <c r="C2205" s="2"/>
      <c r="D2205" s="2"/>
      <c r="E2205" s="2"/>
      <c r="F2205" s="132">
        <v>0</v>
      </c>
      <c r="G2205" s="132"/>
      <c r="H2205" s="132">
        <f t="shared" si="248"/>
        <v>0</v>
      </c>
      <c r="I2205" s="132"/>
      <c r="J2205" s="132">
        <f t="shared" si="246"/>
        <v>0</v>
      </c>
      <c r="K2205" s="132">
        <f t="shared" si="249"/>
        <v>0</v>
      </c>
      <c r="L2205" s="132">
        <f t="shared" si="250"/>
        <v>0</v>
      </c>
      <c r="M2205" s="133"/>
      <c r="N2205" s="133">
        <f t="shared" si="247"/>
        <v>0</v>
      </c>
      <c r="O2205" s="134"/>
      <c r="P2205" s="133"/>
      <c r="Q2205" s="2"/>
      <c r="R2205" s="156">
        <f t="shared" si="251"/>
        <v>0</v>
      </c>
      <c r="S2205" s="156">
        <f t="shared" si="252"/>
        <v>0</v>
      </c>
      <c r="T2205" s="133"/>
      <c r="U2205" s="133"/>
      <c r="V2205" s="133"/>
      <c r="W2205" s="133"/>
      <c r="X2205" s="133"/>
      <c r="Y2205" s="133"/>
      <c r="Z2205" s="133"/>
      <c r="AA2205" s="133"/>
      <c r="AB2205" s="133"/>
      <c r="AC2205" s="133"/>
      <c r="AD2205" s="133"/>
      <c r="AE2205" s="133"/>
      <c r="AF2205" s="133"/>
      <c r="AG2205" s="133"/>
      <c r="AH2205" s="133"/>
      <c r="AI2205" s="133"/>
      <c r="AJ2205" s="133"/>
      <c r="AK2205" s="133"/>
      <c r="AL2205" s="133"/>
      <c r="AM2205" s="133"/>
      <c r="AN2205" s="133"/>
      <c r="AO2205" s="133"/>
      <c r="AP2205" s="133"/>
      <c r="AQ2205" s="133"/>
      <c r="AR2205" s="133"/>
      <c r="AS2205" s="153">
        <v>0</v>
      </c>
      <c r="AT2205" s="153">
        <v>0</v>
      </c>
      <c r="AU2205" s="153">
        <v>0</v>
      </c>
      <c r="AV2205" s="135"/>
      <c r="AW2205" s="135"/>
      <c r="AX2205" s="135"/>
      <c r="AY2205" s="135"/>
      <c r="AZ2205" s="135"/>
      <c r="BA2205" s="135"/>
      <c r="BB2205" s="135"/>
      <c r="BC2205" s="135"/>
      <c r="BD2205" s="135"/>
      <c r="BE2205" s="135"/>
      <c r="BF2205" s="135"/>
      <c r="BG2205" s="135"/>
      <c r="BH2205" s="135"/>
      <c r="BI2205" s="2"/>
      <c r="BJ2205" s="136"/>
      <c r="BK2205" s="2"/>
      <c r="BL2205" s="136"/>
      <c r="BM2205" s="136"/>
      <c r="BN2205" s="2"/>
      <c r="BO2205" s="2"/>
      <c r="BP2205" s="136"/>
      <c r="BQ2205" s="137"/>
    </row>
    <row r="2206" spans="1:69" ht="12.75" customHeight="1" x14ac:dyDescent="0.2">
      <c r="A2206" s="2">
        <v>3695</v>
      </c>
      <c r="B2206" s="2"/>
      <c r="C2206" s="2"/>
      <c r="D2206" s="2"/>
      <c r="E2206" s="2"/>
      <c r="F2206" s="132">
        <v>0</v>
      </c>
      <c r="G2206" s="132"/>
      <c r="H2206" s="132">
        <f t="shared" si="248"/>
        <v>0</v>
      </c>
      <c r="I2206" s="132"/>
      <c r="J2206" s="132">
        <f t="shared" si="246"/>
        <v>0</v>
      </c>
      <c r="K2206" s="132">
        <f t="shared" si="249"/>
        <v>0</v>
      </c>
      <c r="L2206" s="132">
        <f t="shared" si="250"/>
        <v>0</v>
      </c>
      <c r="M2206" s="133"/>
      <c r="N2206" s="133">
        <f t="shared" si="247"/>
        <v>0</v>
      </c>
      <c r="O2206" s="134"/>
      <c r="P2206" s="133"/>
      <c r="Q2206" s="2"/>
      <c r="R2206" s="156">
        <f t="shared" si="251"/>
        <v>0</v>
      </c>
      <c r="S2206" s="156">
        <f t="shared" si="252"/>
        <v>0</v>
      </c>
      <c r="T2206" s="133"/>
      <c r="U2206" s="133"/>
      <c r="V2206" s="133"/>
      <c r="W2206" s="133"/>
      <c r="X2206" s="133"/>
      <c r="Y2206" s="133"/>
      <c r="Z2206" s="133"/>
      <c r="AA2206" s="133"/>
      <c r="AB2206" s="133"/>
      <c r="AC2206" s="133"/>
      <c r="AD2206" s="133"/>
      <c r="AE2206" s="133"/>
      <c r="AF2206" s="133"/>
      <c r="AG2206" s="133"/>
      <c r="AH2206" s="133"/>
      <c r="AI2206" s="133"/>
      <c r="AJ2206" s="133"/>
      <c r="AK2206" s="133"/>
      <c r="AL2206" s="133"/>
      <c r="AM2206" s="133"/>
      <c r="AN2206" s="133"/>
      <c r="AO2206" s="133"/>
      <c r="AP2206" s="133"/>
      <c r="AQ2206" s="133"/>
      <c r="AR2206" s="133"/>
      <c r="AS2206" s="153">
        <v>0</v>
      </c>
      <c r="AT2206" s="153">
        <v>0</v>
      </c>
      <c r="AU2206" s="153">
        <v>0</v>
      </c>
      <c r="AV2206" s="135"/>
      <c r="AW2206" s="135"/>
      <c r="AX2206" s="135"/>
      <c r="AY2206" s="135"/>
      <c r="AZ2206" s="135"/>
      <c r="BA2206" s="135"/>
      <c r="BB2206" s="135"/>
      <c r="BC2206" s="135"/>
      <c r="BD2206" s="135"/>
      <c r="BE2206" s="135"/>
      <c r="BF2206" s="135"/>
      <c r="BG2206" s="135"/>
      <c r="BH2206" s="135"/>
      <c r="BI2206" s="2"/>
      <c r="BJ2206" s="136"/>
      <c r="BK2206" s="2"/>
      <c r="BL2206" s="136"/>
      <c r="BM2206" s="136"/>
      <c r="BN2206" s="2"/>
      <c r="BO2206" s="2"/>
      <c r="BP2206" s="136"/>
      <c r="BQ2206" s="137"/>
    </row>
    <row r="2207" spans="1:69" ht="12.75" customHeight="1" x14ac:dyDescent="0.2">
      <c r="A2207" s="2">
        <v>3696</v>
      </c>
      <c r="B2207" s="2"/>
      <c r="C2207" s="2"/>
      <c r="D2207" s="2"/>
      <c r="E2207" s="2"/>
      <c r="F2207" s="132">
        <v>0</v>
      </c>
      <c r="G2207" s="132"/>
      <c r="H2207" s="132">
        <f t="shared" si="248"/>
        <v>0</v>
      </c>
      <c r="I2207" s="132"/>
      <c r="J2207" s="132">
        <f t="shared" si="246"/>
        <v>0</v>
      </c>
      <c r="K2207" s="132">
        <f t="shared" si="249"/>
        <v>0</v>
      </c>
      <c r="L2207" s="132">
        <f t="shared" si="250"/>
        <v>0</v>
      </c>
      <c r="M2207" s="133"/>
      <c r="N2207" s="133">
        <f t="shared" si="247"/>
        <v>0</v>
      </c>
      <c r="O2207" s="134"/>
      <c r="P2207" s="133"/>
      <c r="Q2207" s="2"/>
      <c r="R2207" s="156">
        <f t="shared" si="251"/>
        <v>0</v>
      </c>
      <c r="S2207" s="156">
        <f t="shared" si="252"/>
        <v>0</v>
      </c>
      <c r="T2207" s="133"/>
      <c r="U2207" s="133"/>
      <c r="V2207" s="133"/>
      <c r="W2207" s="133"/>
      <c r="X2207" s="133"/>
      <c r="Y2207" s="133"/>
      <c r="Z2207" s="133"/>
      <c r="AA2207" s="133"/>
      <c r="AB2207" s="133"/>
      <c r="AC2207" s="133"/>
      <c r="AD2207" s="133"/>
      <c r="AE2207" s="133"/>
      <c r="AF2207" s="133"/>
      <c r="AG2207" s="133"/>
      <c r="AH2207" s="133"/>
      <c r="AI2207" s="133"/>
      <c r="AJ2207" s="133"/>
      <c r="AK2207" s="133"/>
      <c r="AL2207" s="133"/>
      <c r="AM2207" s="133"/>
      <c r="AN2207" s="133"/>
      <c r="AO2207" s="133"/>
      <c r="AP2207" s="133"/>
      <c r="AQ2207" s="133"/>
      <c r="AR2207" s="133"/>
      <c r="AS2207" s="153">
        <v>0</v>
      </c>
      <c r="AT2207" s="153">
        <v>0</v>
      </c>
      <c r="AU2207" s="153">
        <v>0</v>
      </c>
      <c r="AV2207" s="135"/>
      <c r="AW2207" s="135"/>
      <c r="AX2207" s="135"/>
      <c r="AY2207" s="135"/>
      <c r="AZ2207" s="135"/>
      <c r="BA2207" s="135"/>
      <c r="BB2207" s="135"/>
      <c r="BC2207" s="135"/>
      <c r="BD2207" s="135"/>
      <c r="BE2207" s="135"/>
      <c r="BF2207" s="135"/>
      <c r="BG2207" s="135"/>
      <c r="BH2207" s="135"/>
      <c r="BI2207" s="2"/>
      <c r="BJ2207" s="136"/>
      <c r="BK2207" s="2"/>
      <c r="BL2207" s="136"/>
      <c r="BM2207" s="136"/>
      <c r="BN2207" s="2"/>
      <c r="BO2207" s="2"/>
      <c r="BP2207" s="136"/>
      <c r="BQ2207" s="137"/>
    </row>
    <row r="2208" spans="1:69" ht="12.75" customHeight="1" x14ac:dyDescent="0.2">
      <c r="A2208" s="2">
        <v>3697</v>
      </c>
      <c r="B2208" s="2"/>
      <c r="C2208" s="2"/>
      <c r="D2208" s="2"/>
      <c r="E2208" s="2"/>
      <c r="F2208" s="132">
        <v>0</v>
      </c>
      <c r="G2208" s="132"/>
      <c r="H2208" s="132">
        <f t="shared" si="248"/>
        <v>0</v>
      </c>
      <c r="I2208" s="132"/>
      <c r="J2208" s="132">
        <f t="shared" si="246"/>
        <v>0</v>
      </c>
      <c r="K2208" s="132">
        <f t="shared" si="249"/>
        <v>0</v>
      </c>
      <c r="L2208" s="132">
        <f t="shared" si="250"/>
        <v>0</v>
      </c>
      <c r="M2208" s="133"/>
      <c r="N2208" s="133">
        <f t="shared" si="247"/>
        <v>0</v>
      </c>
      <c r="O2208" s="134"/>
      <c r="P2208" s="133"/>
      <c r="Q2208" s="2"/>
      <c r="R2208" s="156">
        <f t="shared" si="251"/>
        <v>0</v>
      </c>
      <c r="S2208" s="156">
        <f t="shared" si="252"/>
        <v>0</v>
      </c>
      <c r="T2208" s="133"/>
      <c r="U2208" s="133"/>
      <c r="V2208" s="133"/>
      <c r="W2208" s="133"/>
      <c r="X2208" s="133"/>
      <c r="Y2208" s="133"/>
      <c r="Z2208" s="133"/>
      <c r="AA2208" s="133"/>
      <c r="AB2208" s="133"/>
      <c r="AC2208" s="133"/>
      <c r="AD2208" s="133"/>
      <c r="AE2208" s="133"/>
      <c r="AF2208" s="133"/>
      <c r="AG2208" s="133"/>
      <c r="AH2208" s="133"/>
      <c r="AI2208" s="133"/>
      <c r="AJ2208" s="133"/>
      <c r="AK2208" s="133"/>
      <c r="AL2208" s="133"/>
      <c r="AM2208" s="133"/>
      <c r="AN2208" s="133"/>
      <c r="AO2208" s="133"/>
      <c r="AP2208" s="133"/>
      <c r="AQ2208" s="133"/>
      <c r="AR2208" s="133"/>
      <c r="AS2208" s="153">
        <v>0</v>
      </c>
      <c r="AT2208" s="153">
        <v>0</v>
      </c>
      <c r="AU2208" s="153">
        <v>0</v>
      </c>
      <c r="AV2208" s="135"/>
      <c r="AW2208" s="135"/>
      <c r="AX2208" s="135"/>
      <c r="AY2208" s="135"/>
      <c r="AZ2208" s="135"/>
      <c r="BA2208" s="135"/>
      <c r="BB2208" s="135"/>
      <c r="BC2208" s="135"/>
      <c r="BD2208" s="135"/>
      <c r="BE2208" s="135"/>
      <c r="BF2208" s="135"/>
      <c r="BG2208" s="135"/>
      <c r="BH2208" s="135"/>
      <c r="BI2208" s="2"/>
      <c r="BJ2208" s="136"/>
      <c r="BK2208" s="2"/>
      <c r="BL2208" s="136"/>
      <c r="BM2208" s="136"/>
      <c r="BN2208" s="2"/>
      <c r="BO2208" s="2"/>
      <c r="BP2208" s="136"/>
      <c r="BQ2208" s="137"/>
    </row>
    <row r="2209" spans="1:69" ht="12.75" customHeight="1" x14ac:dyDescent="0.2">
      <c r="A2209" s="2">
        <v>3698</v>
      </c>
      <c r="B2209" s="2"/>
      <c r="C2209" s="2"/>
      <c r="D2209" s="2"/>
      <c r="E2209" s="2"/>
      <c r="F2209" s="132">
        <v>0</v>
      </c>
      <c r="G2209" s="132"/>
      <c r="H2209" s="132">
        <f t="shared" si="248"/>
        <v>0</v>
      </c>
      <c r="I2209" s="132"/>
      <c r="J2209" s="132">
        <f t="shared" si="246"/>
        <v>0</v>
      </c>
      <c r="K2209" s="132">
        <f t="shared" si="249"/>
        <v>0</v>
      </c>
      <c r="L2209" s="132">
        <f t="shared" si="250"/>
        <v>0</v>
      </c>
      <c r="M2209" s="133"/>
      <c r="N2209" s="133">
        <f t="shared" si="247"/>
        <v>0</v>
      </c>
      <c r="O2209" s="134"/>
      <c r="P2209" s="133"/>
      <c r="Q2209" s="2"/>
      <c r="R2209" s="156">
        <f t="shared" si="251"/>
        <v>0</v>
      </c>
      <c r="S2209" s="156">
        <f t="shared" si="252"/>
        <v>0</v>
      </c>
      <c r="T2209" s="133"/>
      <c r="U2209" s="133"/>
      <c r="V2209" s="133"/>
      <c r="W2209" s="133"/>
      <c r="X2209" s="133"/>
      <c r="Y2209" s="133"/>
      <c r="Z2209" s="133"/>
      <c r="AA2209" s="133"/>
      <c r="AB2209" s="133"/>
      <c r="AC2209" s="133"/>
      <c r="AD2209" s="133"/>
      <c r="AE2209" s="133"/>
      <c r="AF2209" s="133"/>
      <c r="AG2209" s="133"/>
      <c r="AH2209" s="133"/>
      <c r="AI2209" s="133"/>
      <c r="AJ2209" s="133"/>
      <c r="AK2209" s="133"/>
      <c r="AL2209" s="133"/>
      <c r="AM2209" s="133"/>
      <c r="AN2209" s="133"/>
      <c r="AO2209" s="133"/>
      <c r="AP2209" s="133"/>
      <c r="AQ2209" s="133"/>
      <c r="AR2209" s="133"/>
      <c r="AS2209" s="153">
        <v>0</v>
      </c>
      <c r="AT2209" s="153">
        <v>0</v>
      </c>
      <c r="AU2209" s="153">
        <v>0</v>
      </c>
      <c r="AV2209" s="135"/>
      <c r="AW2209" s="135"/>
      <c r="AX2209" s="135"/>
      <c r="AY2209" s="135"/>
      <c r="AZ2209" s="135"/>
      <c r="BA2209" s="135"/>
      <c r="BB2209" s="135"/>
      <c r="BC2209" s="135"/>
      <c r="BD2209" s="135"/>
      <c r="BE2209" s="135"/>
      <c r="BF2209" s="135"/>
      <c r="BG2209" s="135"/>
      <c r="BH2209" s="135"/>
      <c r="BI2209" s="2"/>
      <c r="BJ2209" s="136"/>
      <c r="BK2209" s="2"/>
      <c r="BL2209" s="136"/>
      <c r="BM2209" s="136"/>
      <c r="BN2209" s="2"/>
      <c r="BO2209" s="2"/>
      <c r="BP2209" s="136"/>
      <c r="BQ2209" s="137"/>
    </row>
    <row r="2210" spans="1:69" ht="12.75" customHeight="1" x14ac:dyDescent="0.2">
      <c r="A2210" s="2">
        <v>3699</v>
      </c>
      <c r="B2210" s="2"/>
      <c r="C2210" s="2"/>
      <c r="D2210" s="2"/>
      <c r="E2210" s="2"/>
      <c r="F2210" s="132">
        <v>0</v>
      </c>
      <c r="G2210" s="132"/>
      <c r="H2210" s="132">
        <f t="shared" si="248"/>
        <v>0</v>
      </c>
      <c r="I2210" s="132"/>
      <c r="J2210" s="132">
        <f t="shared" si="246"/>
        <v>0</v>
      </c>
      <c r="K2210" s="132">
        <f t="shared" si="249"/>
        <v>0</v>
      </c>
      <c r="L2210" s="132">
        <f t="shared" si="250"/>
        <v>0</v>
      </c>
      <c r="M2210" s="133"/>
      <c r="N2210" s="133">
        <f t="shared" si="247"/>
        <v>0</v>
      </c>
      <c r="O2210" s="134"/>
      <c r="P2210" s="133"/>
      <c r="Q2210" s="2"/>
      <c r="R2210" s="156">
        <f t="shared" si="251"/>
        <v>0</v>
      </c>
      <c r="S2210" s="156">
        <f t="shared" si="252"/>
        <v>0</v>
      </c>
      <c r="T2210" s="133"/>
      <c r="U2210" s="133"/>
      <c r="V2210" s="133"/>
      <c r="W2210" s="133"/>
      <c r="X2210" s="133"/>
      <c r="Y2210" s="133"/>
      <c r="Z2210" s="133"/>
      <c r="AA2210" s="133"/>
      <c r="AB2210" s="133"/>
      <c r="AC2210" s="133"/>
      <c r="AD2210" s="133"/>
      <c r="AE2210" s="133"/>
      <c r="AF2210" s="133"/>
      <c r="AG2210" s="133"/>
      <c r="AH2210" s="133"/>
      <c r="AI2210" s="133"/>
      <c r="AJ2210" s="133"/>
      <c r="AK2210" s="133"/>
      <c r="AL2210" s="133"/>
      <c r="AM2210" s="133"/>
      <c r="AN2210" s="133"/>
      <c r="AO2210" s="133"/>
      <c r="AP2210" s="133"/>
      <c r="AQ2210" s="133"/>
      <c r="AR2210" s="133"/>
      <c r="AS2210" s="153">
        <v>0</v>
      </c>
      <c r="AT2210" s="153">
        <v>0</v>
      </c>
      <c r="AU2210" s="153">
        <v>0</v>
      </c>
      <c r="AV2210" s="135"/>
      <c r="AW2210" s="135"/>
      <c r="AX2210" s="135"/>
      <c r="AY2210" s="135"/>
      <c r="AZ2210" s="135"/>
      <c r="BA2210" s="135"/>
      <c r="BB2210" s="135"/>
      <c r="BC2210" s="135"/>
      <c r="BD2210" s="135"/>
      <c r="BE2210" s="135"/>
      <c r="BF2210" s="135"/>
      <c r="BG2210" s="135"/>
      <c r="BH2210" s="135"/>
      <c r="BI2210" s="2"/>
      <c r="BJ2210" s="136"/>
      <c r="BK2210" s="2"/>
      <c r="BL2210" s="136"/>
      <c r="BM2210" s="136"/>
      <c r="BN2210" s="2"/>
      <c r="BO2210" s="2"/>
      <c r="BP2210" s="136"/>
      <c r="BQ2210" s="137"/>
    </row>
    <row r="2211" spans="1:69" ht="12.75" customHeight="1" x14ac:dyDescent="0.2">
      <c r="A2211" s="2">
        <v>3700</v>
      </c>
      <c r="B2211" s="2"/>
      <c r="C2211" s="2"/>
      <c r="D2211" s="2"/>
      <c r="E2211" s="2"/>
      <c r="F2211" s="132">
        <v>0</v>
      </c>
      <c r="G2211" s="132"/>
      <c r="H2211" s="132">
        <f t="shared" si="248"/>
        <v>0</v>
      </c>
      <c r="I2211" s="132"/>
      <c r="J2211" s="132">
        <f t="shared" si="246"/>
        <v>0</v>
      </c>
      <c r="K2211" s="132">
        <f t="shared" si="249"/>
        <v>0</v>
      </c>
      <c r="L2211" s="132">
        <f t="shared" si="250"/>
        <v>0</v>
      </c>
      <c r="M2211" s="133"/>
      <c r="N2211" s="133">
        <f t="shared" si="247"/>
        <v>0</v>
      </c>
      <c r="O2211" s="134"/>
      <c r="P2211" s="133"/>
      <c r="Q2211" s="2"/>
      <c r="R2211" s="156">
        <f t="shared" si="251"/>
        <v>0</v>
      </c>
      <c r="S2211" s="156">
        <f t="shared" si="252"/>
        <v>0</v>
      </c>
      <c r="T2211" s="133"/>
      <c r="U2211" s="133"/>
      <c r="V2211" s="133"/>
      <c r="W2211" s="133"/>
      <c r="X2211" s="133"/>
      <c r="Y2211" s="133"/>
      <c r="Z2211" s="133"/>
      <c r="AA2211" s="133"/>
      <c r="AB2211" s="133"/>
      <c r="AC2211" s="133"/>
      <c r="AD2211" s="133"/>
      <c r="AE2211" s="133"/>
      <c r="AF2211" s="133"/>
      <c r="AG2211" s="133"/>
      <c r="AH2211" s="133"/>
      <c r="AI2211" s="133"/>
      <c r="AJ2211" s="133"/>
      <c r="AK2211" s="133"/>
      <c r="AL2211" s="133"/>
      <c r="AM2211" s="133"/>
      <c r="AN2211" s="133"/>
      <c r="AO2211" s="133"/>
      <c r="AP2211" s="133"/>
      <c r="AQ2211" s="133"/>
      <c r="AR2211" s="133"/>
      <c r="AS2211" s="153">
        <v>0</v>
      </c>
      <c r="AT2211" s="153">
        <v>0</v>
      </c>
      <c r="AU2211" s="153">
        <v>0</v>
      </c>
      <c r="AV2211" s="135"/>
      <c r="AW2211" s="135"/>
      <c r="AX2211" s="135"/>
      <c r="AY2211" s="135"/>
      <c r="AZ2211" s="135"/>
      <c r="BA2211" s="135"/>
      <c r="BB2211" s="135"/>
      <c r="BC2211" s="135"/>
      <c r="BD2211" s="135"/>
      <c r="BE2211" s="135"/>
      <c r="BF2211" s="135"/>
      <c r="BG2211" s="135"/>
      <c r="BH2211" s="135"/>
      <c r="BI2211" s="2"/>
      <c r="BJ2211" s="136"/>
      <c r="BK2211" s="2"/>
      <c r="BL2211" s="136"/>
      <c r="BM2211" s="136"/>
      <c r="BN2211" s="2"/>
      <c r="BO2211" s="2"/>
      <c r="BP2211" s="136"/>
      <c r="BQ2211" s="137"/>
    </row>
    <row r="2212" spans="1:69" ht="12.75" customHeight="1" x14ac:dyDescent="0.2">
      <c r="A2212" s="2">
        <v>3701</v>
      </c>
      <c r="B2212" s="2"/>
      <c r="C2212" s="2"/>
      <c r="D2212" s="2"/>
      <c r="E2212" s="2"/>
      <c r="F2212" s="132">
        <v>0</v>
      </c>
      <c r="G2212" s="132"/>
      <c r="H2212" s="132">
        <f t="shared" si="248"/>
        <v>0</v>
      </c>
      <c r="I2212" s="132"/>
      <c r="J2212" s="132">
        <f t="shared" ref="J2212:J2275" si="253">S2212</f>
        <v>0</v>
      </c>
      <c r="K2212" s="132">
        <f t="shared" si="249"/>
        <v>0</v>
      </c>
      <c r="L2212" s="132">
        <f t="shared" si="250"/>
        <v>0</v>
      </c>
      <c r="M2212" s="133"/>
      <c r="N2212" s="133">
        <f t="shared" si="247"/>
        <v>0</v>
      </c>
      <c r="O2212" s="134"/>
      <c r="P2212" s="133"/>
      <c r="Q2212" s="2"/>
      <c r="R2212" s="156">
        <f t="shared" si="251"/>
        <v>0</v>
      </c>
      <c r="S2212" s="156">
        <f t="shared" si="252"/>
        <v>0</v>
      </c>
      <c r="T2212" s="133"/>
      <c r="U2212" s="133"/>
      <c r="V2212" s="133"/>
      <c r="W2212" s="133"/>
      <c r="X2212" s="133"/>
      <c r="Y2212" s="133"/>
      <c r="Z2212" s="133"/>
      <c r="AA2212" s="133"/>
      <c r="AB2212" s="133"/>
      <c r="AC2212" s="133"/>
      <c r="AD2212" s="133"/>
      <c r="AE2212" s="133"/>
      <c r="AF2212" s="133"/>
      <c r="AG2212" s="133"/>
      <c r="AH2212" s="133"/>
      <c r="AI2212" s="133"/>
      <c r="AJ2212" s="133"/>
      <c r="AK2212" s="133"/>
      <c r="AL2212" s="133"/>
      <c r="AM2212" s="133"/>
      <c r="AN2212" s="133"/>
      <c r="AO2212" s="133"/>
      <c r="AP2212" s="133"/>
      <c r="AQ2212" s="133"/>
      <c r="AR2212" s="133"/>
      <c r="AS2212" s="153">
        <v>0</v>
      </c>
      <c r="AT2212" s="153">
        <v>0</v>
      </c>
      <c r="AU2212" s="153">
        <v>0</v>
      </c>
      <c r="AV2212" s="135"/>
      <c r="AW2212" s="135"/>
      <c r="AX2212" s="135"/>
      <c r="AY2212" s="135"/>
      <c r="AZ2212" s="135"/>
      <c r="BA2212" s="135"/>
      <c r="BB2212" s="135"/>
      <c r="BC2212" s="135"/>
      <c r="BD2212" s="135"/>
      <c r="BE2212" s="135"/>
      <c r="BF2212" s="135"/>
      <c r="BG2212" s="135"/>
      <c r="BH2212" s="135"/>
      <c r="BI2212" s="2"/>
      <c r="BJ2212" s="136"/>
      <c r="BK2212" s="2"/>
      <c r="BL2212" s="136"/>
      <c r="BM2212" s="136"/>
      <c r="BN2212" s="2"/>
      <c r="BO2212" s="2"/>
      <c r="BP2212" s="136"/>
      <c r="BQ2212" s="137"/>
    </row>
    <row r="2213" spans="1:69" ht="12.75" customHeight="1" x14ac:dyDescent="0.2">
      <c r="A2213" s="2">
        <v>3702</v>
      </c>
      <c r="B2213" s="2"/>
      <c r="C2213" s="2"/>
      <c r="D2213" s="2"/>
      <c r="E2213" s="2"/>
      <c r="F2213" s="132">
        <v>0</v>
      </c>
      <c r="G2213" s="132"/>
      <c r="H2213" s="132">
        <f t="shared" si="248"/>
        <v>0</v>
      </c>
      <c r="I2213" s="132"/>
      <c r="J2213" s="132">
        <f t="shared" si="253"/>
        <v>0</v>
      </c>
      <c r="K2213" s="132">
        <f t="shared" si="249"/>
        <v>0</v>
      </c>
      <c r="L2213" s="132">
        <f t="shared" si="250"/>
        <v>0</v>
      </c>
      <c r="M2213" s="133"/>
      <c r="N2213" s="133">
        <f t="shared" si="247"/>
        <v>0</v>
      </c>
      <c r="O2213" s="134"/>
      <c r="P2213" s="133"/>
      <c r="Q2213" s="2"/>
      <c r="R2213" s="156">
        <f t="shared" si="251"/>
        <v>0</v>
      </c>
      <c r="S2213" s="156">
        <f t="shared" si="252"/>
        <v>0</v>
      </c>
      <c r="T2213" s="133"/>
      <c r="U2213" s="133"/>
      <c r="V2213" s="133"/>
      <c r="W2213" s="133"/>
      <c r="X2213" s="133"/>
      <c r="Y2213" s="133"/>
      <c r="Z2213" s="133"/>
      <c r="AA2213" s="133"/>
      <c r="AB2213" s="133"/>
      <c r="AC2213" s="133"/>
      <c r="AD2213" s="133"/>
      <c r="AE2213" s="133"/>
      <c r="AF2213" s="133"/>
      <c r="AG2213" s="133"/>
      <c r="AH2213" s="133"/>
      <c r="AI2213" s="133"/>
      <c r="AJ2213" s="133"/>
      <c r="AK2213" s="133"/>
      <c r="AL2213" s="133"/>
      <c r="AM2213" s="133"/>
      <c r="AN2213" s="133"/>
      <c r="AO2213" s="133"/>
      <c r="AP2213" s="133"/>
      <c r="AQ2213" s="133"/>
      <c r="AR2213" s="133"/>
      <c r="AS2213" s="153">
        <v>0</v>
      </c>
      <c r="AT2213" s="153">
        <v>0</v>
      </c>
      <c r="AU2213" s="153">
        <v>0</v>
      </c>
      <c r="AV2213" s="135"/>
      <c r="AW2213" s="135"/>
      <c r="AX2213" s="135"/>
      <c r="AY2213" s="135"/>
      <c r="AZ2213" s="135"/>
      <c r="BA2213" s="135"/>
      <c r="BB2213" s="135"/>
      <c r="BC2213" s="135"/>
      <c r="BD2213" s="135"/>
      <c r="BE2213" s="135"/>
      <c r="BF2213" s="135"/>
      <c r="BG2213" s="135"/>
      <c r="BH2213" s="135"/>
      <c r="BI2213" s="2"/>
      <c r="BJ2213" s="136"/>
      <c r="BK2213" s="2"/>
      <c r="BL2213" s="136"/>
      <c r="BM2213" s="136"/>
      <c r="BN2213" s="2"/>
      <c r="BO2213" s="2"/>
      <c r="BP2213" s="136"/>
      <c r="BQ2213" s="137"/>
    </row>
    <row r="2214" spans="1:69" ht="12.75" customHeight="1" x14ac:dyDescent="0.2">
      <c r="A2214" s="2">
        <v>3703</v>
      </c>
      <c r="B2214" s="2"/>
      <c r="C2214" s="2"/>
      <c r="D2214" s="2"/>
      <c r="E2214" s="2"/>
      <c r="F2214" s="132">
        <v>0</v>
      </c>
      <c r="G2214" s="132"/>
      <c r="H2214" s="132">
        <f t="shared" si="248"/>
        <v>0</v>
      </c>
      <c r="I2214" s="132"/>
      <c r="J2214" s="132">
        <f t="shared" si="253"/>
        <v>0</v>
      </c>
      <c r="K2214" s="132">
        <f t="shared" si="249"/>
        <v>0</v>
      </c>
      <c r="L2214" s="132">
        <f t="shared" si="250"/>
        <v>0</v>
      </c>
      <c r="M2214" s="133"/>
      <c r="N2214" s="133">
        <f t="shared" si="247"/>
        <v>0</v>
      </c>
      <c r="O2214" s="134"/>
      <c r="P2214" s="133"/>
      <c r="Q2214" s="2"/>
      <c r="R2214" s="156">
        <f t="shared" si="251"/>
        <v>0</v>
      </c>
      <c r="S2214" s="156">
        <f t="shared" si="252"/>
        <v>0</v>
      </c>
      <c r="T2214" s="133"/>
      <c r="U2214" s="133"/>
      <c r="V2214" s="133"/>
      <c r="W2214" s="133"/>
      <c r="X2214" s="133"/>
      <c r="Y2214" s="133"/>
      <c r="Z2214" s="133"/>
      <c r="AA2214" s="133"/>
      <c r="AB2214" s="133"/>
      <c r="AC2214" s="133"/>
      <c r="AD2214" s="133"/>
      <c r="AE2214" s="133"/>
      <c r="AF2214" s="133"/>
      <c r="AG2214" s="133"/>
      <c r="AH2214" s="133"/>
      <c r="AI2214" s="133"/>
      <c r="AJ2214" s="133"/>
      <c r="AK2214" s="133"/>
      <c r="AL2214" s="133"/>
      <c r="AM2214" s="133"/>
      <c r="AN2214" s="133"/>
      <c r="AO2214" s="133"/>
      <c r="AP2214" s="133"/>
      <c r="AQ2214" s="133"/>
      <c r="AR2214" s="133"/>
      <c r="AS2214" s="153">
        <v>0</v>
      </c>
      <c r="AT2214" s="153">
        <v>0</v>
      </c>
      <c r="AU2214" s="153">
        <v>0</v>
      </c>
      <c r="AV2214" s="135"/>
      <c r="AW2214" s="135"/>
      <c r="AX2214" s="135"/>
      <c r="AY2214" s="135"/>
      <c r="AZ2214" s="135"/>
      <c r="BA2214" s="135"/>
      <c r="BB2214" s="135"/>
      <c r="BC2214" s="135"/>
      <c r="BD2214" s="135"/>
      <c r="BE2214" s="135"/>
      <c r="BF2214" s="135"/>
      <c r="BG2214" s="135"/>
      <c r="BH2214" s="135"/>
      <c r="BI2214" s="2"/>
      <c r="BJ2214" s="136"/>
      <c r="BK2214" s="2"/>
      <c r="BL2214" s="136"/>
      <c r="BM2214" s="136"/>
      <c r="BN2214" s="2"/>
      <c r="BO2214" s="2"/>
      <c r="BP2214" s="136"/>
      <c r="BQ2214" s="137"/>
    </row>
    <row r="2215" spans="1:69" ht="12.75" customHeight="1" x14ac:dyDescent="0.2">
      <c r="A2215" s="2">
        <v>3704</v>
      </c>
      <c r="B2215" s="2"/>
      <c r="C2215" s="2"/>
      <c r="D2215" s="2"/>
      <c r="E2215" s="2"/>
      <c r="F2215" s="132">
        <v>0</v>
      </c>
      <c r="G2215" s="132"/>
      <c r="H2215" s="132">
        <f t="shared" si="248"/>
        <v>0</v>
      </c>
      <c r="I2215" s="132"/>
      <c r="J2215" s="132">
        <f t="shared" si="253"/>
        <v>0</v>
      </c>
      <c r="K2215" s="132">
        <f t="shared" si="249"/>
        <v>0</v>
      </c>
      <c r="L2215" s="132">
        <f t="shared" si="250"/>
        <v>0</v>
      </c>
      <c r="M2215" s="133"/>
      <c r="N2215" s="133">
        <f t="shared" si="247"/>
        <v>0</v>
      </c>
      <c r="O2215" s="134"/>
      <c r="P2215" s="133"/>
      <c r="Q2215" s="2"/>
      <c r="R2215" s="156">
        <f t="shared" si="251"/>
        <v>0</v>
      </c>
      <c r="S2215" s="156">
        <f t="shared" si="252"/>
        <v>0</v>
      </c>
      <c r="T2215" s="133"/>
      <c r="U2215" s="133"/>
      <c r="V2215" s="133"/>
      <c r="W2215" s="133"/>
      <c r="X2215" s="133"/>
      <c r="Y2215" s="133"/>
      <c r="Z2215" s="133"/>
      <c r="AA2215" s="133"/>
      <c r="AB2215" s="133"/>
      <c r="AC2215" s="133"/>
      <c r="AD2215" s="133"/>
      <c r="AE2215" s="133"/>
      <c r="AF2215" s="133"/>
      <c r="AG2215" s="133"/>
      <c r="AH2215" s="133"/>
      <c r="AI2215" s="133"/>
      <c r="AJ2215" s="133"/>
      <c r="AK2215" s="133"/>
      <c r="AL2215" s="133"/>
      <c r="AM2215" s="133"/>
      <c r="AN2215" s="133"/>
      <c r="AO2215" s="133"/>
      <c r="AP2215" s="133"/>
      <c r="AQ2215" s="133"/>
      <c r="AR2215" s="133"/>
      <c r="AS2215" s="153">
        <v>0</v>
      </c>
      <c r="AT2215" s="153">
        <v>0</v>
      </c>
      <c r="AU2215" s="153">
        <v>0</v>
      </c>
      <c r="AV2215" s="135"/>
      <c r="AW2215" s="135"/>
      <c r="AX2215" s="135"/>
      <c r="AY2215" s="135"/>
      <c r="AZ2215" s="135"/>
      <c r="BA2215" s="135"/>
      <c r="BB2215" s="135"/>
      <c r="BC2215" s="135"/>
      <c r="BD2215" s="135"/>
      <c r="BE2215" s="135"/>
      <c r="BF2215" s="135"/>
      <c r="BG2215" s="135"/>
      <c r="BH2215" s="135"/>
      <c r="BI2215" s="2"/>
      <c r="BJ2215" s="136"/>
      <c r="BK2215" s="2"/>
      <c r="BL2215" s="136"/>
      <c r="BM2215" s="136"/>
      <c r="BN2215" s="2"/>
      <c r="BO2215" s="2"/>
      <c r="BP2215" s="136"/>
      <c r="BQ2215" s="137"/>
    </row>
    <row r="2216" spans="1:69" ht="12.75" customHeight="1" x14ac:dyDescent="0.2">
      <c r="A2216" s="2">
        <v>3705</v>
      </c>
      <c r="B2216" s="2"/>
      <c r="C2216" s="2"/>
      <c r="D2216" s="2"/>
      <c r="E2216" s="2"/>
      <c r="F2216" s="132">
        <v>0</v>
      </c>
      <c r="G2216" s="132"/>
      <c r="H2216" s="132">
        <f t="shared" si="248"/>
        <v>0</v>
      </c>
      <c r="I2216" s="132"/>
      <c r="J2216" s="132">
        <f t="shared" si="253"/>
        <v>0</v>
      </c>
      <c r="K2216" s="132">
        <f t="shared" si="249"/>
        <v>0</v>
      </c>
      <c r="L2216" s="132">
        <f t="shared" si="250"/>
        <v>0</v>
      </c>
      <c r="M2216" s="133"/>
      <c r="N2216" s="133">
        <f t="shared" si="247"/>
        <v>0</v>
      </c>
      <c r="O2216" s="134"/>
      <c r="P2216" s="133"/>
      <c r="Q2216" s="2"/>
      <c r="R2216" s="156">
        <f t="shared" si="251"/>
        <v>0</v>
      </c>
      <c r="S2216" s="156">
        <f t="shared" si="252"/>
        <v>0</v>
      </c>
      <c r="T2216" s="133"/>
      <c r="U2216" s="133"/>
      <c r="V2216" s="133"/>
      <c r="W2216" s="133"/>
      <c r="X2216" s="133"/>
      <c r="Y2216" s="133"/>
      <c r="Z2216" s="133"/>
      <c r="AA2216" s="133"/>
      <c r="AB2216" s="133"/>
      <c r="AC2216" s="133"/>
      <c r="AD2216" s="133"/>
      <c r="AE2216" s="133"/>
      <c r="AF2216" s="133"/>
      <c r="AG2216" s="133"/>
      <c r="AH2216" s="133"/>
      <c r="AI2216" s="133"/>
      <c r="AJ2216" s="133"/>
      <c r="AK2216" s="133"/>
      <c r="AL2216" s="133"/>
      <c r="AM2216" s="133"/>
      <c r="AN2216" s="133"/>
      <c r="AO2216" s="133"/>
      <c r="AP2216" s="133"/>
      <c r="AQ2216" s="133"/>
      <c r="AR2216" s="133"/>
      <c r="AS2216" s="153">
        <v>0</v>
      </c>
      <c r="AT2216" s="153">
        <v>0</v>
      </c>
      <c r="AU2216" s="153">
        <v>0</v>
      </c>
      <c r="AV2216" s="135"/>
      <c r="AW2216" s="135"/>
      <c r="AX2216" s="135"/>
      <c r="AY2216" s="135"/>
      <c r="AZ2216" s="135"/>
      <c r="BA2216" s="135"/>
      <c r="BB2216" s="135"/>
      <c r="BC2216" s="135"/>
      <c r="BD2216" s="135"/>
      <c r="BE2216" s="135"/>
      <c r="BF2216" s="135"/>
      <c r="BG2216" s="135"/>
      <c r="BH2216" s="135"/>
      <c r="BI2216" s="2"/>
      <c r="BJ2216" s="136"/>
      <c r="BK2216" s="2"/>
      <c r="BL2216" s="136"/>
      <c r="BM2216" s="136"/>
      <c r="BN2216" s="2"/>
      <c r="BO2216" s="2"/>
      <c r="BP2216" s="136"/>
      <c r="BQ2216" s="137"/>
    </row>
    <row r="2217" spans="1:69" ht="12.75" customHeight="1" x14ac:dyDescent="0.2">
      <c r="A2217" s="2">
        <v>3706</v>
      </c>
      <c r="B2217" s="2"/>
      <c r="C2217" s="2"/>
      <c r="D2217" s="2"/>
      <c r="E2217" s="2"/>
      <c r="F2217" s="132">
        <v>0</v>
      </c>
      <c r="G2217" s="132"/>
      <c r="H2217" s="132">
        <f t="shared" si="248"/>
        <v>0</v>
      </c>
      <c r="I2217" s="132"/>
      <c r="J2217" s="132">
        <f t="shared" si="253"/>
        <v>0</v>
      </c>
      <c r="K2217" s="132">
        <f t="shared" si="249"/>
        <v>0</v>
      </c>
      <c r="L2217" s="132">
        <f t="shared" si="250"/>
        <v>0</v>
      </c>
      <c r="M2217" s="133"/>
      <c r="N2217" s="133">
        <f t="shared" si="247"/>
        <v>0</v>
      </c>
      <c r="O2217" s="134"/>
      <c r="P2217" s="133"/>
      <c r="Q2217" s="2"/>
      <c r="R2217" s="156">
        <f t="shared" si="251"/>
        <v>0</v>
      </c>
      <c r="S2217" s="156">
        <f t="shared" si="252"/>
        <v>0</v>
      </c>
      <c r="T2217" s="133"/>
      <c r="U2217" s="133"/>
      <c r="V2217" s="133"/>
      <c r="W2217" s="133"/>
      <c r="X2217" s="133"/>
      <c r="Y2217" s="133"/>
      <c r="Z2217" s="133"/>
      <c r="AA2217" s="133"/>
      <c r="AB2217" s="133"/>
      <c r="AC2217" s="133"/>
      <c r="AD2217" s="133"/>
      <c r="AE2217" s="133"/>
      <c r="AF2217" s="133"/>
      <c r="AG2217" s="133"/>
      <c r="AH2217" s="133"/>
      <c r="AI2217" s="133"/>
      <c r="AJ2217" s="133"/>
      <c r="AK2217" s="133"/>
      <c r="AL2217" s="133"/>
      <c r="AM2217" s="133"/>
      <c r="AN2217" s="133"/>
      <c r="AO2217" s="133"/>
      <c r="AP2217" s="133"/>
      <c r="AQ2217" s="133"/>
      <c r="AR2217" s="133"/>
      <c r="AS2217" s="153">
        <v>0</v>
      </c>
      <c r="AT2217" s="153">
        <v>0</v>
      </c>
      <c r="AU2217" s="153">
        <v>0</v>
      </c>
      <c r="AV2217" s="135"/>
      <c r="AW2217" s="135"/>
      <c r="AX2217" s="135"/>
      <c r="AY2217" s="135"/>
      <c r="AZ2217" s="135"/>
      <c r="BA2217" s="135"/>
      <c r="BB2217" s="135"/>
      <c r="BC2217" s="135"/>
      <c r="BD2217" s="135"/>
      <c r="BE2217" s="135"/>
      <c r="BF2217" s="135"/>
      <c r="BG2217" s="135"/>
      <c r="BH2217" s="135"/>
      <c r="BI2217" s="2"/>
      <c r="BJ2217" s="136"/>
      <c r="BK2217" s="2"/>
      <c r="BL2217" s="136"/>
      <c r="BM2217" s="136"/>
      <c r="BN2217" s="2"/>
      <c r="BO2217" s="2"/>
      <c r="BP2217" s="136"/>
      <c r="BQ2217" s="137"/>
    </row>
    <row r="2218" spans="1:69" ht="12.75" customHeight="1" x14ac:dyDescent="0.2">
      <c r="A2218" s="2">
        <v>3707</v>
      </c>
      <c r="B2218" s="2"/>
      <c r="C2218" s="2"/>
      <c r="D2218" s="2"/>
      <c r="E2218" s="2"/>
      <c r="F2218" s="132">
        <v>0</v>
      </c>
      <c r="G2218" s="132"/>
      <c r="H2218" s="132">
        <f t="shared" si="248"/>
        <v>0</v>
      </c>
      <c r="I2218" s="132"/>
      <c r="J2218" s="132">
        <f t="shared" si="253"/>
        <v>0</v>
      </c>
      <c r="K2218" s="132">
        <f t="shared" si="249"/>
        <v>0</v>
      </c>
      <c r="L2218" s="132">
        <f t="shared" si="250"/>
        <v>0</v>
      </c>
      <c r="M2218" s="133"/>
      <c r="N2218" s="133">
        <f t="shared" ref="N2218:N2281" si="254">IF(OR(BK2218="принят",BK2218="Завершено",BK2218="ПриПро"),H2218-J2218,F2218-J2218)</f>
        <v>0</v>
      </c>
      <c r="O2218" s="134"/>
      <c r="P2218" s="133"/>
      <c r="Q2218" s="2"/>
      <c r="R2218" s="156">
        <f t="shared" si="251"/>
        <v>0</v>
      </c>
      <c r="S2218" s="156">
        <f t="shared" si="252"/>
        <v>0</v>
      </c>
      <c r="T2218" s="133"/>
      <c r="U2218" s="133"/>
      <c r="V2218" s="133"/>
      <c r="W2218" s="133"/>
      <c r="X2218" s="133"/>
      <c r="Y2218" s="133"/>
      <c r="Z2218" s="133"/>
      <c r="AA2218" s="133"/>
      <c r="AB2218" s="133"/>
      <c r="AC2218" s="133"/>
      <c r="AD2218" s="133"/>
      <c r="AE2218" s="133"/>
      <c r="AF2218" s="133"/>
      <c r="AG2218" s="133"/>
      <c r="AH2218" s="133"/>
      <c r="AI2218" s="133"/>
      <c r="AJ2218" s="133"/>
      <c r="AK2218" s="133"/>
      <c r="AL2218" s="133"/>
      <c r="AM2218" s="133"/>
      <c r="AN2218" s="133"/>
      <c r="AO2218" s="133"/>
      <c r="AP2218" s="133"/>
      <c r="AQ2218" s="133"/>
      <c r="AR2218" s="133"/>
      <c r="AS2218" s="153">
        <v>0</v>
      </c>
      <c r="AT2218" s="153">
        <v>0</v>
      </c>
      <c r="AU2218" s="153">
        <v>0</v>
      </c>
      <c r="AV2218" s="135"/>
      <c r="AW2218" s="135"/>
      <c r="AX2218" s="135"/>
      <c r="AY2218" s="135"/>
      <c r="AZ2218" s="135"/>
      <c r="BA2218" s="135"/>
      <c r="BB2218" s="135"/>
      <c r="BC2218" s="135"/>
      <c r="BD2218" s="135"/>
      <c r="BE2218" s="135"/>
      <c r="BF2218" s="135"/>
      <c r="BG2218" s="135"/>
      <c r="BH2218" s="135"/>
      <c r="BI2218" s="2"/>
      <c r="BJ2218" s="136"/>
      <c r="BK2218" s="2"/>
      <c r="BL2218" s="136"/>
      <c r="BM2218" s="136"/>
      <c r="BN2218" s="2"/>
      <c r="BO2218" s="2"/>
      <c r="BP2218" s="136"/>
      <c r="BQ2218" s="137"/>
    </row>
    <row r="2219" spans="1:69" ht="12.75" customHeight="1" x14ac:dyDescent="0.2">
      <c r="A2219" s="2">
        <v>3708</v>
      </c>
      <c r="B2219" s="2"/>
      <c r="C2219" s="2"/>
      <c r="D2219" s="2"/>
      <c r="E2219" s="2"/>
      <c r="F2219" s="132">
        <v>0</v>
      </c>
      <c r="G2219" s="132"/>
      <c r="H2219" s="132">
        <f t="shared" si="248"/>
        <v>0</v>
      </c>
      <c r="I2219" s="132"/>
      <c r="J2219" s="132">
        <f t="shared" si="253"/>
        <v>0</v>
      </c>
      <c r="K2219" s="132">
        <f t="shared" si="249"/>
        <v>0</v>
      </c>
      <c r="L2219" s="132">
        <f t="shared" si="250"/>
        <v>0</v>
      </c>
      <c r="M2219" s="133"/>
      <c r="N2219" s="133">
        <f t="shared" si="254"/>
        <v>0</v>
      </c>
      <c r="O2219" s="134"/>
      <c r="P2219" s="133"/>
      <c r="Q2219" s="2"/>
      <c r="R2219" s="156">
        <f t="shared" si="251"/>
        <v>0</v>
      </c>
      <c r="S2219" s="156">
        <f t="shared" si="252"/>
        <v>0</v>
      </c>
      <c r="T2219" s="133"/>
      <c r="U2219" s="133"/>
      <c r="V2219" s="133"/>
      <c r="W2219" s="133"/>
      <c r="X2219" s="133"/>
      <c r="Y2219" s="133"/>
      <c r="Z2219" s="133"/>
      <c r="AA2219" s="133"/>
      <c r="AB2219" s="133"/>
      <c r="AC2219" s="133"/>
      <c r="AD2219" s="133"/>
      <c r="AE2219" s="133"/>
      <c r="AF2219" s="133"/>
      <c r="AG2219" s="133"/>
      <c r="AH2219" s="133"/>
      <c r="AI2219" s="133"/>
      <c r="AJ2219" s="133"/>
      <c r="AK2219" s="133"/>
      <c r="AL2219" s="133"/>
      <c r="AM2219" s="133"/>
      <c r="AN2219" s="133"/>
      <c r="AO2219" s="133"/>
      <c r="AP2219" s="133"/>
      <c r="AQ2219" s="133"/>
      <c r="AR2219" s="133"/>
      <c r="AS2219" s="153">
        <v>0</v>
      </c>
      <c r="AT2219" s="153">
        <v>0</v>
      </c>
      <c r="AU2219" s="153">
        <v>0</v>
      </c>
      <c r="AV2219" s="135"/>
      <c r="AW2219" s="135"/>
      <c r="AX2219" s="135"/>
      <c r="AY2219" s="135"/>
      <c r="AZ2219" s="135"/>
      <c r="BA2219" s="135"/>
      <c r="BB2219" s="135"/>
      <c r="BC2219" s="135"/>
      <c r="BD2219" s="135"/>
      <c r="BE2219" s="135"/>
      <c r="BF2219" s="135"/>
      <c r="BG2219" s="135"/>
      <c r="BH2219" s="135"/>
      <c r="BI2219" s="2"/>
      <c r="BJ2219" s="136"/>
      <c r="BK2219" s="2"/>
      <c r="BL2219" s="136"/>
      <c r="BM2219" s="136"/>
      <c r="BN2219" s="2"/>
      <c r="BO2219" s="2"/>
      <c r="BP2219" s="136"/>
      <c r="BQ2219" s="137"/>
    </row>
    <row r="2220" spans="1:69" ht="12.75" customHeight="1" x14ac:dyDescent="0.2">
      <c r="A2220" s="2">
        <v>3709</v>
      </c>
      <c r="B2220" s="2"/>
      <c r="C2220" s="2"/>
      <c r="D2220" s="2"/>
      <c r="E2220" s="2"/>
      <c r="F2220" s="132">
        <v>0</v>
      </c>
      <c r="G2220" s="132"/>
      <c r="H2220" s="132">
        <f t="shared" si="248"/>
        <v>0</v>
      </c>
      <c r="I2220" s="132"/>
      <c r="J2220" s="132">
        <f t="shared" si="253"/>
        <v>0</v>
      </c>
      <c r="K2220" s="132">
        <f t="shared" si="249"/>
        <v>0</v>
      </c>
      <c r="L2220" s="132">
        <f t="shared" si="250"/>
        <v>0</v>
      </c>
      <c r="M2220" s="133"/>
      <c r="N2220" s="133">
        <f t="shared" si="254"/>
        <v>0</v>
      </c>
      <c r="O2220" s="134"/>
      <c r="P2220" s="133"/>
      <c r="Q2220" s="2"/>
      <c r="R2220" s="156">
        <f t="shared" si="251"/>
        <v>0</v>
      </c>
      <c r="S2220" s="156">
        <f t="shared" si="252"/>
        <v>0</v>
      </c>
      <c r="T2220" s="133"/>
      <c r="U2220" s="133"/>
      <c r="V2220" s="133"/>
      <c r="W2220" s="133"/>
      <c r="X2220" s="133"/>
      <c r="Y2220" s="133"/>
      <c r="Z2220" s="133"/>
      <c r="AA2220" s="133"/>
      <c r="AB2220" s="133"/>
      <c r="AC2220" s="133"/>
      <c r="AD2220" s="133"/>
      <c r="AE2220" s="133"/>
      <c r="AF2220" s="133"/>
      <c r="AG2220" s="133"/>
      <c r="AH2220" s="133"/>
      <c r="AI2220" s="133"/>
      <c r="AJ2220" s="133"/>
      <c r="AK2220" s="133"/>
      <c r="AL2220" s="133"/>
      <c r="AM2220" s="133"/>
      <c r="AN2220" s="133"/>
      <c r="AO2220" s="133"/>
      <c r="AP2220" s="133"/>
      <c r="AQ2220" s="133"/>
      <c r="AR2220" s="133"/>
      <c r="AS2220" s="153">
        <v>0</v>
      </c>
      <c r="AT2220" s="153">
        <v>0</v>
      </c>
      <c r="AU2220" s="153">
        <v>0</v>
      </c>
      <c r="AV2220" s="135"/>
      <c r="AW2220" s="135"/>
      <c r="AX2220" s="135"/>
      <c r="AY2220" s="135"/>
      <c r="AZ2220" s="135"/>
      <c r="BA2220" s="135"/>
      <c r="BB2220" s="135"/>
      <c r="BC2220" s="135"/>
      <c r="BD2220" s="135"/>
      <c r="BE2220" s="135"/>
      <c r="BF2220" s="135"/>
      <c r="BG2220" s="135"/>
      <c r="BH2220" s="135"/>
      <c r="BI2220" s="2"/>
      <c r="BJ2220" s="136"/>
      <c r="BK2220" s="2"/>
      <c r="BL2220" s="136"/>
      <c r="BM2220" s="136"/>
      <c r="BN2220" s="2"/>
      <c r="BO2220" s="2"/>
      <c r="BP2220" s="136"/>
      <c r="BQ2220" s="137"/>
    </row>
    <row r="2221" spans="1:69" ht="12.75" customHeight="1" x14ac:dyDescent="0.2">
      <c r="A2221" s="2">
        <v>3710</v>
      </c>
      <c r="B2221" s="2"/>
      <c r="C2221" s="2"/>
      <c r="D2221" s="2"/>
      <c r="E2221" s="2"/>
      <c r="F2221" s="132">
        <v>0</v>
      </c>
      <c r="G2221" s="132"/>
      <c r="H2221" s="132">
        <f t="shared" si="248"/>
        <v>0</v>
      </c>
      <c r="I2221" s="132"/>
      <c r="J2221" s="132">
        <f t="shared" si="253"/>
        <v>0</v>
      </c>
      <c r="K2221" s="132">
        <f t="shared" si="249"/>
        <v>0</v>
      </c>
      <c r="L2221" s="132">
        <f t="shared" si="250"/>
        <v>0</v>
      </c>
      <c r="M2221" s="133"/>
      <c r="N2221" s="133">
        <f t="shared" si="254"/>
        <v>0</v>
      </c>
      <c r="O2221" s="134"/>
      <c r="P2221" s="133"/>
      <c r="Q2221" s="2"/>
      <c r="R2221" s="156">
        <f t="shared" si="251"/>
        <v>0</v>
      </c>
      <c r="S2221" s="156">
        <f t="shared" si="252"/>
        <v>0</v>
      </c>
      <c r="T2221" s="133"/>
      <c r="U2221" s="133"/>
      <c r="V2221" s="133"/>
      <c r="W2221" s="133"/>
      <c r="X2221" s="133"/>
      <c r="Y2221" s="133"/>
      <c r="Z2221" s="133"/>
      <c r="AA2221" s="133"/>
      <c r="AB2221" s="133"/>
      <c r="AC2221" s="133"/>
      <c r="AD2221" s="133"/>
      <c r="AE2221" s="133"/>
      <c r="AF2221" s="133"/>
      <c r="AG2221" s="133"/>
      <c r="AH2221" s="133"/>
      <c r="AI2221" s="133"/>
      <c r="AJ2221" s="133"/>
      <c r="AK2221" s="133"/>
      <c r="AL2221" s="133"/>
      <c r="AM2221" s="133"/>
      <c r="AN2221" s="133"/>
      <c r="AO2221" s="133"/>
      <c r="AP2221" s="133"/>
      <c r="AQ2221" s="133"/>
      <c r="AR2221" s="133"/>
      <c r="AS2221" s="153">
        <v>0</v>
      </c>
      <c r="AT2221" s="153">
        <v>0</v>
      </c>
      <c r="AU2221" s="153">
        <v>0</v>
      </c>
      <c r="AV2221" s="135"/>
      <c r="AW2221" s="135"/>
      <c r="AX2221" s="135"/>
      <c r="AY2221" s="135"/>
      <c r="AZ2221" s="135"/>
      <c r="BA2221" s="135"/>
      <c r="BB2221" s="135"/>
      <c r="BC2221" s="135"/>
      <c r="BD2221" s="135"/>
      <c r="BE2221" s="135"/>
      <c r="BF2221" s="135"/>
      <c r="BG2221" s="135"/>
      <c r="BH2221" s="135"/>
      <c r="BI2221" s="2"/>
      <c r="BJ2221" s="136"/>
      <c r="BK2221" s="2"/>
      <c r="BL2221" s="136"/>
      <c r="BM2221" s="136"/>
      <c r="BN2221" s="2"/>
      <c r="BO2221" s="2"/>
      <c r="BP2221" s="136"/>
      <c r="BQ2221" s="137"/>
    </row>
    <row r="2222" spans="1:69" ht="12.75" customHeight="1" x14ac:dyDescent="0.2">
      <c r="A2222" s="2">
        <v>3711</v>
      </c>
      <c r="B2222" s="2"/>
      <c r="C2222" s="2"/>
      <c r="D2222" s="2"/>
      <c r="E2222" s="2"/>
      <c r="F2222" s="132">
        <v>0</v>
      </c>
      <c r="G2222" s="132"/>
      <c r="H2222" s="132">
        <f t="shared" ref="H2222:H2285" si="255">R2222</f>
        <v>0</v>
      </c>
      <c r="I2222" s="132"/>
      <c r="J2222" s="132">
        <f t="shared" si="253"/>
        <v>0</v>
      </c>
      <c r="K2222" s="132">
        <f t="shared" si="249"/>
        <v>0</v>
      </c>
      <c r="L2222" s="132">
        <f t="shared" si="250"/>
        <v>0</v>
      </c>
      <c r="M2222" s="133"/>
      <c r="N2222" s="133">
        <f t="shared" si="254"/>
        <v>0</v>
      </c>
      <c r="O2222" s="134"/>
      <c r="P2222" s="133"/>
      <c r="Q2222" s="2"/>
      <c r="R2222" s="156">
        <f t="shared" si="251"/>
        <v>0</v>
      </c>
      <c r="S2222" s="156">
        <f t="shared" si="252"/>
        <v>0</v>
      </c>
      <c r="T2222" s="133"/>
      <c r="U2222" s="133"/>
      <c r="V2222" s="133"/>
      <c r="W2222" s="133"/>
      <c r="X2222" s="133"/>
      <c r="Y2222" s="133"/>
      <c r="Z2222" s="133"/>
      <c r="AA2222" s="133"/>
      <c r="AB2222" s="133"/>
      <c r="AC2222" s="133"/>
      <c r="AD2222" s="133"/>
      <c r="AE2222" s="133"/>
      <c r="AF2222" s="133"/>
      <c r="AG2222" s="133"/>
      <c r="AH2222" s="133"/>
      <c r="AI2222" s="133"/>
      <c r="AJ2222" s="133"/>
      <c r="AK2222" s="133"/>
      <c r="AL2222" s="133"/>
      <c r="AM2222" s="133"/>
      <c r="AN2222" s="133"/>
      <c r="AO2222" s="133"/>
      <c r="AP2222" s="133"/>
      <c r="AQ2222" s="133"/>
      <c r="AR2222" s="133"/>
      <c r="AS2222" s="153">
        <v>0</v>
      </c>
      <c r="AT2222" s="153">
        <v>0</v>
      </c>
      <c r="AU2222" s="153">
        <v>0</v>
      </c>
      <c r="AV2222" s="135"/>
      <c r="AW2222" s="135"/>
      <c r="AX2222" s="135"/>
      <c r="AY2222" s="135"/>
      <c r="AZ2222" s="135"/>
      <c r="BA2222" s="135"/>
      <c r="BB2222" s="135"/>
      <c r="BC2222" s="135"/>
      <c r="BD2222" s="135"/>
      <c r="BE2222" s="135"/>
      <c r="BF2222" s="135"/>
      <c r="BG2222" s="135"/>
      <c r="BH2222" s="135"/>
      <c r="BI2222" s="2"/>
      <c r="BJ2222" s="136"/>
      <c r="BK2222" s="2"/>
      <c r="BL2222" s="136"/>
      <c r="BM2222" s="136"/>
      <c r="BN2222" s="2"/>
      <c r="BO2222" s="2"/>
      <c r="BP2222" s="136"/>
      <c r="BQ2222" s="137"/>
    </row>
    <row r="2223" spans="1:69" ht="12.75" customHeight="1" x14ac:dyDescent="0.2">
      <c r="A2223" s="2">
        <v>3712</v>
      </c>
      <c r="B2223" s="2"/>
      <c r="C2223" s="2"/>
      <c r="D2223" s="2"/>
      <c r="E2223" s="2"/>
      <c r="F2223" s="132">
        <v>0</v>
      </c>
      <c r="G2223" s="132"/>
      <c r="H2223" s="132">
        <f t="shared" si="255"/>
        <v>0</v>
      </c>
      <c r="I2223" s="132"/>
      <c r="J2223" s="132">
        <f t="shared" si="253"/>
        <v>0</v>
      </c>
      <c r="K2223" s="132">
        <f t="shared" si="249"/>
        <v>0</v>
      </c>
      <c r="L2223" s="132">
        <f t="shared" si="250"/>
        <v>0</v>
      </c>
      <c r="M2223" s="133"/>
      <c r="N2223" s="133">
        <f t="shared" si="254"/>
        <v>0</v>
      </c>
      <c r="O2223" s="134"/>
      <c r="P2223" s="133"/>
      <c r="Q2223" s="2"/>
      <c r="R2223" s="156">
        <f t="shared" si="251"/>
        <v>0</v>
      </c>
      <c r="S2223" s="156">
        <f t="shared" si="252"/>
        <v>0</v>
      </c>
      <c r="T2223" s="133"/>
      <c r="U2223" s="133"/>
      <c r="V2223" s="133"/>
      <c r="W2223" s="133"/>
      <c r="X2223" s="133"/>
      <c r="Y2223" s="133"/>
      <c r="Z2223" s="133"/>
      <c r="AA2223" s="133"/>
      <c r="AB2223" s="133"/>
      <c r="AC2223" s="133"/>
      <c r="AD2223" s="133"/>
      <c r="AE2223" s="133"/>
      <c r="AF2223" s="133"/>
      <c r="AG2223" s="133"/>
      <c r="AH2223" s="133"/>
      <c r="AI2223" s="133"/>
      <c r="AJ2223" s="133"/>
      <c r="AK2223" s="133"/>
      <c r="AL2223" s="133"/>
      <c r="AM2223" s="133"/>
      <c r="AN2223" s="133"/>
      <c r="AO2223" s="133"/>
      <c r="AP2223" s="133"/>
      <c r="AQ2223" s="133"/>
      <c r="AR2223" s="133"/>
      <c r="AS2223" s="153">
        <v>0</v>
      </c>
      <c r="AT2223" s="153">
        <v>0</v>
      </c>
      <c r="AU2223" s="153">
        <v>0</v>
      </c>
      <c r="AV2223" s="135"/>
      <c r="AW2223" s="135"/>
      <c r="AX2223" s="135"/>
      <c r="AY2223" s="135"/>
      <c r="AZ2223" s="135"/>
      <c r="BA2223" s="135"/>
      <c r="BB2223" s="135"/>
      <c r="BC2223" s="135"/>
      <c r="BD2223" s="135"/>
      <c r="BE2223" s="135"/>
      <c r="BF2223" s="135"/>
      <c r="BG2223" s="135"/>
      <c r="BH2223" s="135"/>
      <c r="BI2223" s="2"/>
      <c r="BJ2223" s="136"/>
      <c r="BK2223" s="2"/>
      <c r="BL2223" s="136"/>
      <c r="BM2223" s="136"/>
      <c r="BN2223" s="2"/>
      <c r="BO2223" s="2"/>
      <c r="BP2223" s="136"/>
      <c r="BQ2223" s="137"/>
    </row>
    <row r="2224" spans="1:69" ht="12.75" customHeight="1" x14ac:dyDescent="0.2">
      <c r="A2224" s="2">
        <v>3713</v>
      </c>
      <c r="B2224" s="2"/>
      <c r="C2224" s="2"/>
      <c r="D2224" s="2"/>
      <c r="E2224" s="2"/>
      <c r="F2224" s="132">
        <v>0</v>
      </c>
      <c r="G2224" s="132"/>
      <c r="H2224" s="132">
        <f t="shared" si="255"/>
        <v>0</v>
      </c>
      <c r="I2224" s="132"/>
      <c r="J2224" s="132">
        <f t="shared" si="253"/>
        <v>0</v>
      </c>
      <c r="K2224" s="132">
        <f t="shared" si="249"/>
        <v>0</v>
      </c>
      <c r="L2224" s="132">
        <f t="shared" si="250"/>
        <v>0</v>
      </c>
      <c r="M2224" s="133"/>
      <c r="N2224" s="133">
        <f t="shared" si="254"/>
        <v>0</v>
      </c>
      <c r="O2224" s="134"/>
      <c r="P2224" s="133"/>
      <c r="Q2224" s="2"/>
      <c r="R2224" s="156">
        <f t="shared" si="251"/>
        <v>0</v>
      </c>
      <c r="S2224" s="156">
        <f t="shared" si="252"/>
        <v>0</v>
      </c>
      <c r="T2224" s="133"/>
      <c r="U2224" s="133"/>
      <c r="V2224" s="133"/>
      <c r="W2224" s="133"/>
      <c r="X2224" s="133"/>
      <c r="Y2224" s="133"/>
      <c r="Z2224" s="133"/>
      <c r="AA2224" s="133"/>
      <c r="AB2224" s="133"/>
      <c r="AC2224" s="133"/>
      <c r="AD2224" s="133"/>
      <c r="AE2224" s="133"/>
      <c r="AF2224" s="133"/>
      <c r="AG2224" s="133"/>
      <c r="AH2224" s="133"/>
      <c r="AI2224" s="133"/>
      <c r="AJ2224" s="133"/>
      <c r="AK2224" s="133"/>
      <c r="AL2224" s="133"/>
      <c r="AM2224" s="133"/>
      <c r="AN2224" s="133"/>
      <c r="AO2224" s="133"/>
      <c r="AP2224" s="133"/>
      <c r="AQ2224" s="133"/>
      <c r="AR2224" s="133"/>
      <c r="AS2224" s="153">
        <v>0</v>
      </c>
      <c r="AT2224" s="153">
        <v>0</v>
      </c>
      <c r="AU2224" s="153">
        <v>0</v>
      </c>
      <c r="AV2224" s="135"/>
      <c r="AW2224" s="135"/>
      <c r="AX2224" s="135"/>
      <c r="AY2224" s="135"/>
      <c r="AZ2224" s="135"/>
      <c r="BA2224" s="135"/>
      <c r="BB2224" s="135"/>
      <c r="BC2224" s="135"/>
      <c r="BD2224" s="135"/>
      <c r="BE2224" s="135"/>
      <c r="BF2224" s="135"/>
      <c r="BG2224" s="135"/>
      <c r="BH2224" s="135"/>
      <c r="BI2224" s="2"/>
      <c r="BJ2224" s="136"/>
      <c r="BK2224" s="2"/>
      <c r="BL2224" s="136"/>
      <c r="BM2224" s="136"/>
      <c r="BN2224" s="2"/>
      <c r="BO2224" s="2"/>
      <c r="BP2224" s="136"/>
      <c r="BQ2224" s="137"/>
    </row>
    <row r="2225" spans="1:69" ht="12.75" customHeight="1" x14ac:dyDescent="0.2">
      <c r="A2225" s="2">
        <v>3714</v>
      </c>
      <c r="B2225" s="2"/>
      <c r="C2225" s="2"/>
      <c r="D2225" s="2"/>
      <c r="E2225" s="2"/>
      <c r="F2225" s="132">
        <v>0</v>
      </c>
      <c r="G2225" s="132"/>
      <c r="H2225" s="132">
        <f t="shared" si="255"/>
        <v>0</v>
      </c>
      <c r="I2225" s="132"/>
      <c r="J2225" s="132">
        <f t="shared" si="253"/>
        <v>0</v>
      </c>
      <c r="K2225" s="132">
        <f t="shared" si="249"/>
        <v>0</v>
      </c>
      <c r="L2225" s="132">
        <f t="shared" si="250"/>
        <v>0</v>
      </c>
      <c r="M2225" s="133"/>
      <c r="N2225" s="133">
        <f t="shared" si="254"/>
        <v>0</v>
      </c>
      <c r="O2225" s="134"/>
      <c r="P2225" s="133"/>
      <c r="Q2225" s="2"/>
      <c r="R2225" s="156">
        <f t="shared" si="251"/>
        <v>0</v>
      </c>
      <c r="S2225" s="156">
        <f t="shared" si="252"/>
        <v>0</v>
      </c>
      <c r="T2225" s="133"/>
      <c r="U2225" s="133"/>
      <c r="V2225" s="133"/>
      <c r="W2225" s="133"/>
      <c r="X2225" s="133"/>
      <c r="Y2225" s="133"/>
      <c r="Z2225" s="133"/>
      <c r="AA2225" s="133"/>
      <c r="AB2225" s="133"/>
      <c r="AC2225" s="133"/>
      <c r="AD2225" s="133"/>
      <c r="AE2225" s="133"/>
      <c r="AF2225" s="133"/>
      <c r="AG2225" s="133"/>
      <c r="AH2225" s="133"/>
      <c r="AI2225" s="133"/>
      <c r="AJ2225" s="133"/>
      <c r="AK2225" s="133"/>
      <c r="AL2225" s="133"/>
      <c r="AM2225" s="133"/>
      <c r="AN2225" s="133"/>
      <c r="AO2225" s="133"/>
      <c r="AP2225" s="133"/>
      <c r="AQ2225" s="133"/>
      <c r="AR2225" s="133"/>
      <c r="AS2225" s="153">
        <v>0</v>
      </c>
      <c r="AT2225" s="153">
        <v>0</v>
      </c>
      <c r="AU2225" s="153">
        <v>0</v>
      </c>
      <c r="AV2225" s="135"/>
      <c r="AW2225" s="135"/>
      <c r="AX2225" s="135"/>
      <c r="AY2225" s="135"/>
      <c r="AZ2225" s="135"/>
      <c r="BA2225" s="135"/>
      <c r="BB2225" s="135"/>
      <c r="BC2225" s="135"/>
      <c r="BD2225" s="135"/>
      <c r="BE2225" s="135"/>
      <c r="BF2225" s="135"/>
      <c r="BG2225" s="135"/>
      <c r="BH2225" s="135"/>
      <c r="BI2225" s="2"/>
      <c r="BJ2225" s="136"/>
      <c r="BK2225" s="2"/>
      <c r="BL2225" s="136"/>
      <c r="BM2225" s="136"/>
      <c r="BN2225" s="2"/>
      <c r="BO2225" s="2"/>
      <c r="BP2225" s="136"/>
      <c r="BQ2225" s="137"/>
    </row>
    <row r="2226" spans="1:69" ht="12.75" customHeight="1" x14ac:dyDescent="0.2">
      <c r="A2226" s="2">
        <v>3715</v>
      </c>
      <c r="B2226" s="2"/>
      <c r="C2226" s="2"/>
      <c r="D2226" s="2"/>
      <c r="E2226" s="2"/>
      <c r="F2226" s="132">
        <v>0</v>
      </c>
      <c r="G2226" s="132"/>
      <c r="H2226" s="132">
        <f t="shared" si="255"/>
        <v>0</v>
      </c>
      <c r="I2226" s="132"/>
      <c r="J2226" s="132">
        <f t="shared" si="253"/>
        <v>0</v>
      </c>
      <c r="K2226" s="132">
        <f t="shared" si="249"/>
        <v>0</v>
      </c>
      <c r="L2226" s="132">
        <f t="shared" si="250"/>
        <v>0</v>
      </c>
      <c r="M2226" s="133"/>
      <c r="N2226" s="133">
        <f t="shared" si="254"/>
        <v>0</v>
      </c>
      <c r="O2226" s="134"/>
      <c r="P2226" s="133"/>
      <c r="Q2226" s="2"/>
      <c r="R2226" s="156">
        <f t="shared" si="251"/>
        <v>0</v>
      </c>
      <c r="S2226" s="156">
        <f t="shared" si="252"/>
        <v>0</v>
      </c>
      <c r="T2226" s="133"/>
      <c r="U2226" s="133"/>
      <c r="V2226" s="133"/>
      <c r="W2226" s="133"/>
      <c r="X2226" s="133"/>
      <c r="Y2226" s="133"/>
      <c r="Z2226" s="133"/>
      <c r="AA2226" s="133"/>
      <c r="AB2226" s="133"/>
      <c r="AC2226" s="133"/>
      <c r="AD2226" s="133"/>
      <c r="AE2226" s="133"/>
      <c r="AF2226" s="133"/>
      <c r="AG2226" s="133"/>
      <c r="AH2226" s="133"/>
      <c r="AI2226" s="133"/>
      <c r="AJ2226" s="133"/>
      <c r="AK2226" s="133"/>
      <c r="AL2226" s="133"/>
      <c r="AM2226" s="133"/>
      <c r="AN2226" s="133"/>
      <c r="AO2226" s="133"/>
      <c r="AP2226" s="133"/>
      <c r="AQ2226" s="133"/>
      <c r="AR2226" s="133"/>
      <c r="AS2226" s="153">
        <v>0</v>
      </c>
      <c r="AT2226" s="153">
        <v>0</v>
      </c>
      <c r="AU2226" s="153">
        <v>0</v>
      </c>
      <c r="AV2226" s="135"/>
      <c r="AW2226" s="135"/>
      <c r="AX2226" s="135"/>
      <c r="AY2226" s="135"/>
      <c r="AZ2226" s="135"/>
      <c r="BA2226" s="135"/>
      <c r="BB2226" s="135"/>
      <c r="BC2226" s="135"/>
      <c r="BD2226" s="135"/>
      <c r="BE2226" s="135"/>
      <c r="BF2226" s="135"/>
      <c r="BG2226" s="135"/>
      <c r="BH2226" s="135"/>
      <c r="BI2226" s="2"/>
      <c r="BJ2226" s="136"/>
      <c r="BK2226" s="2"/>
      <c r="BL2226" s="136"/>
      <c r="BM2226" s="136"/>
      <c r="BN2226" s="2"/>
      <c r="BO2226" s="2"/>
      <c r="BP2226" s="136"/>
      <c r="BQ2226" s="137"/>
    </row>
    <row r="2227" spans="1:69" ht="12.75" customHeight="1" x14ac:dyDescent="0.2">
      <c r="A2227" s="2">
        <v>3716</v>
      </c>
      <c r="B2227" s="2"/>
      <c r="C2227" s="2"/>
      <c r="D2227" s="2"/>
      <c r="E2227" s="2"/>
      <c r="F2227" s="132">
        <v>0</v>
      </c>
      <c r="G2227" s="132"/>
      <c r="H2227" s="132">
        <f t="shared" si="255"/>
        <v>0</v>
      </c>
      <c r="I2227" s="132"/>
      <c r="J2227" s="132">
        <f t="shared" si="253"/>
        <v>0</v>
      </c>
      <c r="K2227" s="132">
        <f t="shared" si="249"/>
        <v>0</v>
      </c>
      <c r="L2227" s="132">
        <f t="shared" si="250"/>
        <v>0</v>
      </c>
      <c r="M2227" s="133"/>
      <c r="N2227" s="133">
        <f t="shared" si="254"/>
        <v>0</v>
      </c>
      <c r="O2227" s="134"/>
      <c r="P2227" s="133"/>
      <c r="Q2227" s="2"/>
      <c r="R2227" s="156">
        <f t="shared" si="251"/>
        <v>0</v>
      </c>
      <c r="S2227" s="156">
        <f t="shared" si="252"/>
        <v>0</v>
      </c>
      <c r="T2227" s="133"/>
      <c r="U2227" s="133"/>
      <c r="V2227" s="133"/>
      <c r="W2227" s="133"/>
      <c r="X2227" s="133"/>
      <c r="Y2227" s="133"/>
      <c r="Z2227" s="133"/>
      <c r="AA2227" s="133"/>
      <c r="AB2227" s="133"/>
      <c r="AC2227" s="133"/>
      <c r="AD2227" s="133"/>
      <c r="AE2227" s="133"/>
      <c r="AF2227" s="133"/>
      <c r="AG2227" s="133"/>
      <c r="AH2227" s="133"/>
      <c r="AI2227" s="133"/>
      <c r="AJ2227" s="133"/>
      <c r="AK2227" s="133"/>
      <c r="AL2227" s="133"/>
      <c r="AM2227" s="133"/>
      <c r="AN2227" s="133"/>
      <c r="AO2227" s="133"/>
      <c r="AP2227" s="133"/>
      <c r="AQ2227" s="133"/>
      <c r="AR2227" s="133"/>
      <c r="AS2227" s="153">
        <v>0</v>
      </c>
      <c r="AT2227" s="153">
        <v>0</v>
      </c>
      <c r="AU2227" s="153">
        <v>0</v>
      </c>
      <c r="AV2227" s="135"/>
      <c r="AW2227" s="135"/>
      <c r="AX2227" s="135"/>
      <c r="AY2227" s="135"/>
      <c r="AZ2227" s="135"/>
      <c r="BA2227" s="135"/>
      <c r="BB2227" s="135"/>
      <c r="BC2227" s="135"/>
      <c r="BD2227" s="135"/>
      <c r="BE2227" s="135"/>
      <c r="BF2227" s="135"/>
      <c r="BG2227" s="135"/>
      <c r="BH2227" s="135"/>
      <c r="BI2227" s="2"/>
      <c r="BJ2227" s="136"/>
      <c r="BK2227" s="2"/>
      <c r="BL2227" s="136"/>
      <c r="BM2227" s="136"/>
      <c r="BN2227" s="2"/>
      <c r="BO2227" s="2"/>
      <c r="BP2227" s="136"/>
      <c r="BQ2227" s="137"/>
    </row>
    <row r="2228" spans="1:69" ht="12.75" customHeight="1" x14ac:dyDescent="0.2">
      <c r="A2228" s="2">
        <v>3717</v>
      </c>
      <c r="B2228" s="2"/>
      <c r="C2228" s="2"/>
      <c r="D2228" s="2"/>
      <c r="E2228" s="2"/>
      <c r="F2228" s="132">
        <v>0</v>
      </c>
      <c r="G2228" s="132"/>
      <c r="H2228" s="132">
        <f t="shared" si="255"/>
        <v>0</v>
      </c>
      <c r="I2228" s="132"/>
      <c r="J2228" s="132">
        <f t="shared" si="253"/>
        <v>0</v>
      </c>
      <c r="K2228" s="132">
        <f t="shared" si="249"/>
        <v>0</v>
      </c>
      <c r="L2228" s="132">
        <f t="shared" si="250"/>
        <v>0</v>
      </c>
      <c r="M2228" s="133"/>
      <c r="N2228" s="133">
        <f t="shared" si="254"/>
        <v>0</v>
      </c>
      <c r="O2228" s="134"/>
      <c r="P2228" s="133"/>
      <c r="Q2228" s="2"/>
      <c r="R2228" s="156">
        <f t="shared" si="251"/>
        <v>0</v>
      </c>
      <c r="S2228" s="156">
        <f t="shared" si="252"/>
        <v>0</v>
      </c>
      <c r="T2228" s="133"/>
      <c r="U2228" s="133"/>
      <c r="V2228" s="133"/>
      <c r="W2228" s="133"/>
      <c r="X2228" s="133"/>
      <c r="Y2228" s="133"/>
      <c r="Z2228" s="133"/>
      <c r="AA2228" s="133"/>
      <c r="AB2228" s="133"/>
      <c r="AC2228" s="133"/>
      <c r="AD2228" s="133"/>
      <c r="AE2228" s="133"/>
      <c r="AF2228" s="133"/>
      <c r="AG2228" s="133"/>
      <c r="AH2228" s="133"/>
      <c r="AI2228" s="133"/>
      <c r="AJ2228" s="133"/>
      <c r="AK2228" s="133"/>
      <c r="AL2228" s="133"/>
      <c r="AM2228" s="133"/>
      <c r="AN2228" s="133"/>
      <c r="AO2228" s="133"/>
      <c r="AP2228" s="133"/>
      <c r="AQ2228" s="133"/>
      <c r="AR2228" s="133"/>
      <c r="AS2228" s="153">
        <v>0</v>
      </c>
      <c r="AT2228" s="153">
        <v>0</v>
      </c>
      <c r="AU2228" s="153">
        <v>0</v>
      </c>
      <c r="AV2228" s="135"/>
      <c r="AW2228" s="135"/>
      <c r="AX2228" s="135"/>
      <c r="AY2228" s="135"/>
      <c r="AZ2228" s="135"/>
      <c r="BA2228" s="135"/>
      <c r="BB2228" s="135"/>
      <c r="BC2228" s="135"/>
      <c r="BD2228" s="135"/>
      <c r="BE2228" s="135"/>
      <c r="BF2228" s="135"/>
      <c r="BG2228" s="135"/>
      <c r="BH2228" s="135"/>
      <c r="BI2228" s="2"/>
      <c r="BJ2228" s="136"/>
      <c r="BK2228" s="2"/>
      <c r="BL2228" s="136"/>
      <c r="BM2228" s="136"/>
      <c r="BN2228" s="2"/>
      <c r="BO2228" s="2"/>
      <c r="BP2228" s="136"/>
      <c r="BQ2228" s="137"/>
    </row>
    <row r="2229" spans="1:69" ht="12.75" customHeight="1" x14ac:dyDescent="0.2">
      <c r="A2229" s="2">
        <v>3718</v>
      </c>
      <c r="B2229" s="2"/>
      <c r="C2229" s="2"/>
      <c r="D2229" s="2"/>
      <c r="E2229" s="2"/>
      <c r="F2229" s="132">
        <v>0</v>
      </c>
      <c r="G2229" s="132"/>
      <c r="H2229" s="132">
        <f t="shared" si="255"/>
        <v>0</v>
      </c>
      <c r="I2229" s="132"/>
      <c r="J2229" s="132">
        <f t="shared" si="253"/>
        <v>0</v>
      </c>
      <c r="K2229" s="132">
        <f t="shared" si="249"/>
        <v>0</v>
      </c>
      <c r="L2229" s="132">
        <f t="shared" si="250"/>
        <v>0</v>
      </c>
      <c r="M2229" s="133"/>
      <c r="N2229" s="133">
        <f t="shared" si="254"/>
        <v>0</v>
      </c>
      <c r="O2229" s="134"/>
      <c r="P2229" s="133"/>
      <c r="Q2229" s="2"/>
      <c r="R2229" s="156">
        <f t="shared" si="251"/>
        <v>0</v>
      </c>
      <c r="S2229" s="156">
        <f t="shared" si="252"/>
        <v>0</v>
      </c>
      <c r="T2229" s="133"/>
      <c r="U2229" s="133"/>
      <c r="V2229" s="133"/>
      <c r="W2229" s="133"/>
      <c r="X2229" s="133"/>
      <c r="Y2229" s="133"/>
      <c r="Z2229" s="133"/>
      <c r="AA2229" s="133"/>
      <c r="AB2229" s="133"/>
      <c r="AC2229" s="133"/>
      <c r="AD2229" s="133"/>
      <c r="AE2229" s="133"/>
      <c r="AF2229" s="133"/>
      <c r="AG2229" s="133"/>
      <c r="AH2229" s="133"/>
      <c r="AI2229" s="133"/>
      <c r="AJ2229" s="133"/>
      <c r="AK2229" s="133"/>
      <c r="AL2229" s="133"/>
      <c r="AM2229" s="133"/>
      <c r="AN2229" s="133"/>
      <c r="AO2229" s="133"/>
      <c r="AP2229" s="133"/>
      <c r="AQ2229" s="133"/>
      <c r="AR2229" s="133"/>
      <c r="AS2229" s="153">
        <v>0</v>
      </c>
      <c r="AT2229" s="153">
        <v>0</v>
      </c>
      <c r="AU2229" s="153">
        <v>0</v>
      </c>
      <c r="AV2229" s="135"/>
      <c r="AW2229" s="135"/>
      <c r="AX2229" s="135"/>
      <c r="AY2229" s="135"/>
      <c r="AZ2229" s="135"/>
      <c r="BA2229" s="135"/>
      <c r="BB2229" s="135"/>
      <c r="BC2229" s="135"/>
      <c r="BD2229" s="135"/>
      <c r="BE2229" s="135"/>
      <c r="BF2229" s="135"/>
      <c r="BG2229" s="135"/>
      <c r="BH2229" s="135"/>
      <c r="BI2229" s="2"/>
      <c r="BJ2229" s="136"/>
      <c r="BK2229" s="2"/>
      <c r="BL2229" s="136"/>
      <c r="BM2229" s="136"/>
      <c r="BN2229" s="2"/>
      <c r="BO2229" s="2"/>
      <c r="BP2229" s="136"/>
      <c r="BQ2229" s="137"/>
    </row>
    <row r="2230" spans="1:69" ht="12.75" customHeight="1" x14ac:dyDescent="0.2">
      <c r="A2230" s="2">
        <v>3719</v>
      </c>
      <c r="B2230" s="2"/>
      <c r="C2230" s="2"/>
      <c r="D2230" s="2"/>
      <c r="E2230" s="2"/>
      <c r="F2230" s="132">
        <v>0</v>
      </c>
      <c r="G2230" s="132"/>
      <c r="H2230" s="132">
        <f t="shared" si="255"/>
        <v>0</v>
      </c>
      <c r="I2230" s="132"/>
      <c r="J2230" s="132">
        <f t="shared" si="253"/>
        <v>0</v>
      </c>
      <c r="K2230" s="132">
        <f t="shared" ref="K2230:K2293" si="256">F2230-J2230</f>
        <v>0</v>
      </c>
      <c r="L2230" s="132">
        <f t="shared" si="250"/>
        <v>0</v>
      </c>
      <c r="M2230" s="133"/>
      <c r="N2230" s="133">
        <f t="shared" si="254"/>
        <v>0</v>
      </c>
      <c r="O2230" s="134"/>
      <c r="P2230" s="133"/>
      <c r="Q2230" s="2"/>
      <c r="R2230" s="156">
        <f t="shared" si="251"/>
        <v>0</v>
      </c>
      <c r="S2230" s="156">
        <f t="shared" si="252"/>
        <v>0</v>
      </c>
      <c r="T2230" s="133"/>
      <c r="U2230" s="133"/>
      <c r="V2230" s="133"/>
      <c r="W2230" s="133"/>
      <c r="X2230" s="133"/>
      <c r="Y2230" s="133"/>
      <c r="Z2230" s="133"/>
      <c r="AA2230" s="133"/>
      <c r="AB2230" s="133"/>
      <c r="AC2230" s="133"/>
      <c r="AD2230" s="133"/>
      <c r="AE2230" s="133"/>
      <c r="AF2230" s="133"/>
      <c r="AG2230" s="133"/>
      <c r="AH2230" s="133"/>
      <c r="AI2230" s="133"/>
      <c r="AJ2230" s="133"/>
      <c r="AK2230" s="133"/>
      <c r="AL2230" s="133"/>
      <c r="AM2230" s="133"/>
      <c r="AN2230" s="133"/>
      <c r="AO2230" s="133"/>
      <c r="AP2230" s="133"/>
      <c r="AQ2230" s="133"/>
      <c r="AR2230" s="133"/>
      <c r="AS2230" s="153">
        <v>0</v>
      </c>
      <c r="AT2230" s="153">
        <v>0</v>
      </c>
      <c r="AU2230" s="153">
        <v>0</v>
      </c>
      <c r="AV2230" s="135"/>
      <c r="AW2230" s="135"/>
      <c r="AX2230" s="135"/>
      <c r="AY2230" s="135"/>
      <c r="AZ2230" s="135"/>
      <c r="BA2230" s="135"/>
      <c r="BB2230" s="135"/>
      <c r="BC2230" s="135"/>
      <c r="BD2230" s="135"/>
      <c r="BE2230" s="135"/>
      <c r="BF2230" s="135"/>
      <c r="BG2230" s="135"/>
      <c r="BH2230" s="135"/>
      <c r="BI2230" s="2"/>
      <c r="BJ2230" s="136"/>
      <c r="BK2230" s="2"/>
      <c r="BL2230" s="136"/>
      <c r="BM2230" s="136"/>
      <c r="BN2230" s="2"/>
      <c r="BO2230" s="2"/>
      <c r="BP2230" s="136"/>
      <c r="BQ2230" s="137"/>
    </row>
    <row r="2231" spans="1:69" ht="12.75" customHeight="1" x14ac:dyDescent="0.2">
      <c r="A2231" s="2">
        <v>3720</v>
      </c>
      <c r="B2231" s="2"/>
      <c r="C2231" s="2"/>
      <c r="D2231" s="2"/>
      <c r="E2231" s="2"/>
      <c r="F2231" s="132">
        <v>0</v>
      </c>
      <c r="G2231" s="132"/>
      <c r="H2231" s="132">
        <f t="shared" si="255"/>
        <v>0</v>
      </c>
      <c r="I2231" s="132"/>
      <c r="J2231" s="132">
        <f t="shared" si="253"/>
        <v>0</v>
      </c>
      <c r="K2231" s="132">
        <f t="shared" si="256"/>
        <v>0</v>
      </c>
      <c r="L2231" s="132">
        <f t="shared" si="250"/>
        <v>0</v>
      </c>
      <c r="M2231" s="133"/>
      <c r="N2231" s="133">
        <f t="shared" si="254"/>
        <v>0</v>
      </c>
      <c r="O2231" s="134"/>
      <c r="P2231" s="133"/>
      <c r="Q2231" s="2"/>
      <c r="R2231" s="156">
        <f t="shared" si="251"/>
        <v>0</v>
      </c>
      <c r="S2231" s="156">
        <f t="shared" si="252"/>
        <v>0</v>
      </c>
      <c r="T2231" s="133"/>
      <c r="U2231" s="133"/>
      <c r="V2231" s="133"/>
      <c r="W2231" s="133"/>
      <c r="X2231" s="133"/>
      <c r="Y2231" s="133"/>
      <c r="Z2231" s="133"/>
      <c r="AA2231" s="133"/>
      <c r="AB2231" s="133"/>
      <c r="AC2231" s="133"/>
      <c r="AD2231" s="133"/>
      <c r="AE2231" s="133"/>
      <c r="AF2231" s="133"/>
      <c r="AG2231" s="133"/>
      <c r="AH2231" s="133"/>
      <c r="AI2231" s="133"/>
      <c r="AJ2231" s="133"/>
      <c r="AK2231" s="133"/>
      <c r="AL2231" s="133"/>
      <c r="AM2231" s="133"/>
      <c r="AN2231" s="133"/>
      <c r="AO2231" s="133"/>
      <c r="AP2231" s="133"/>
      <c r="AQ2231" s="133"/>
      <c r="AR2231" s="133"/>
      <c r="AS2231" s="153">
        <v>0</v>
      </c>
      <c r="AT2231" s="153">
        <v>0</v>
      </c>
      <c r="AU2231" s="153">
        <v>0</v>
      </c>
      <c r="AV2231" s="135"/>
      <c r="AW2231" s="135"/>
      <c r="AX2231" s="135"/>
      <c r="AY2231" s="135"/>
      <c r="AZ2231" s="135"/>
      <c r="BA2231" s="135"/>
      <c r="BB2231" s="135"/>
      <c r="BC2231" s="135"/>
      <c r="BD2231" s="135"/>
      <c r="BE2231" s="135"/>
      <c r="BF2231" s="135"/>
      <c r="BG2231" s="135"/>
      <c r="BH2231" s="135"/>
      <c r="BI2231" s="2"/>
      <c r="BJ2231" s="136"/>
      <c r="BK2231" s="2"/>
      <c r="BL2231" s="136"/>
      <c r="BM2231" s="136"/>
      <c r="BN2231" s="2"/>
      <c r="BO2231" s="2"/>
      <c r="BP2231" s="136"/>
      <c r="BQ2231" s="137"/>
    </row>
    <row r="2232" spans="1:69" ht="12.75" customHeight="1" x14ac:dyDescent="0.2">
      <c r="A2232" s="2">
        <v>3721</v>
      </c>
      <c r="B2232" s="2"/>
      <c r="C2232" s="2"/>
      <c r="D2232" s="2"/>
      <c r="E2232" s="2"/>
      <c r="F2232" s="132">
        <v>0</v>
      </c>
      <c r="G2232" s="132"/>
      <c r="H2232" s="132">
        <f t="shared" si="255"/>
        <v>0</v>
      </c>
      <c r="I2232" s="132"/>
      <c r="J2232" s="132">
        <f t="shared" si="253"/>
        <v>0</v>
      </c>
      <c r="K2232" s="132">
        <f t="shared" si="256"/>
        <v>0</v>
      </c>
      <c r="L2232" s="132">
        <f t="shared" si="250"/>
        <v>0</v>
      </c>
      <c r="M2232" s="133"/>
      <c r="N2232" s="133">
        <f t="shared" si="254"/>
        <v>0</v>
      </c>
      <c r="O2232" s="134"/>
      <c r="P2232" s="133"/>
      <c r="Q2232" s="2"/>
      <c r="R2232" s="156">
        <f t="shared" si="251"/>
        <v>0</v>
      </c>
      <c r="S2232" s="156">
        <f t="shared" si="252"/>
        <v>0</v>
      </c>
      <c r="T2232" s="133"/>
      <c r="U2232" s="133"/>
      <c r="V2232" s="133"/>
      <c r="W2232" s="133"/>
      <c r="X2232" s="133"/>
      <c r="Y2232" s="133"/>
      <c r="Z2232" s="133"/>
      <c r="AA2232" s="133"/>
      <c r="AB2232" s="133"/>
      <c r="AC2232" s="133"/>
      <c r="AD2232" s="133"/>
      <c r="AE2232" s="133"/>
      <c r="AF2232" s="133"/>
      <c r="AG2232" s="133"/>
      <c r="AH2232" s="133"/>
      <c r="AI2232" s="133"/>
      <c r="AJ2232" s="133"/>
      <c r="AK2232" s="133"/>
      <c r="AL2232" s="133"/>
      <c r="AM2232" s="133"/>
      <c r="AN2232" s="133"/>
      <c r="AO2232" s="133"/>
      <c r="AP2232" s="133"/>
      <c r="AQ2232" s="133"/>
      <c r="AR2232" s="133"/>
      <c r="AS2232" s="153">
        <v>0</v>
      </c>
      <c r="AT2232" s="153">
        <v>0</v>
      </c>
      <c r="AU2232" s="153">
        <v>0</v>
      </c>
      <c r="AV2232" s="135"/>
      <c r="AW2232" s="135"/>
      <c r="AX2232" s="135"/>
      <c r="AY2232" s="135"/>
      <c r="AZ2232" s="135"/>
      <c r="BA2232" s="135"/>
      <c r="BB2232" s="135"/>
      <c r="BC2232" s="135"/>
      <c r="BD2232" s="135"/>
      <c r="BE2232" s="135"/>
      <c r="BF2232" s="135"/>
      <c r="BG2232" s="135"/>
      <c r="BH2232" s="135"/>
      <c r="BI2232" s="2"/>
      <c r="BJ2232" s="136"/>
      <c r="BK2232" s="2"/>
      <c r="BL2232" s="136"/>
      <c r="BM2232" s="136"/>
      <c r="BN2232" s="2"/>
      <c r="BO2232" s="2"/>
      <c r="BP2232" s="136"/>
      <c r="BQ2232" s="137"/>
    </row>
    <row r="2233" spans="1:69" ht="12.75" customHeight="1" x14ac:dyDescent="0.2">
      <c r="A2233" s="2">
        <v>3722</v>
      </c>
      <c r="B2233" s="2"/>
      <c r="C2233" s="2"/>
      <c r="D2233" s="2"/>
      <c r="E2233" s="2"/>
      <c r="F2233" s="132">
        <v>0</v>
      </c>
      <c r="G2233" s="132"/>
      <c r="H2233" s="132">
        <f t="shared" si="255"/>
        <v>0</v>
      </c>
      <c r="I2233" s="132"/>
      <c r="J2233" s="132">
        <f t="shared" si="253"/>
        <v>0</v>
      </c>
      <c r="K2233" s="132">
        <f t="shared" si="256"/>
        <v>0</v>
      </c>
      <c r="L2233" s="132">
        <f t="shared" si="250"/>
        <v>0</v>
      </c>
      <c r="M2233" s="133"/>
      <c r="N2233" s="133">
        <f t="shared" si="254"/>
        <v>0</v>
      </c>
      <c r="O2233" s="134"/>
      <c r="P2233" s="133"/>
      <c r="Q2233" s="2"/>
      <c r="R2233" s="156">
        <f t="shared" si="251"/>
        <v>0</v>
      </c>
      <c r="S2233" s="156">
        <f t="shared" si="252"/>
        <v>0</v>
      </c>
      <c r="T2233" s="133"/>
      <c r="U2233" s="133"/>
      <c r="V2233" s="133"/>
      <c r="W2233" s="133"/>
      <c r="X2233" s="133"/>
      <c r="Y2233" s="133"/>
      <c r="Z2233" s="133"/>
      <c r="AA2233" s="133"/>
      <c r="AB2233" s="133"/>
      <c r="AC2233" s="133"/>
      <c r="AD2233" s="133"/>
      <c r="AE2233" s="133"/>
      <c r="AF2233" s="133"/>
      <c r="AG2233" s="133"/>
      <c r="AH2233" s="133"/>
      <c r="AI2233" s="133"/>
      <c r="AJ2233" s="133"/>
      <c r="AK2233" s="133"/>
      <c r="AL2233" s="133"/>
      <c r="AM2233" s="133"/>
      <c r="AN2233" s="133"/>
      <c r="AO2233" s="133"/>
      <c r="AP2233" s="133"/>
      <c r="AQ2233" s="133"/>
      <c r="AR2233" s="133"/>
      <c r="AS2233" s="153">
        <v>0</v>
      </c>
      <c r="AT2233" s="153">
        <v>0</v>
      </c>
      <c r="AU2233" s="153">
        <v>0</v>
      </c>
      <c r="AV2233" s="135"/>
      <c r="AW2233" s="135"/>
      <c r="AX2233" s="135"/>
      <c r="AY2233" s="135"/>
      <c r="AZ2233" s="135"/>
      <c r="BA2233" s="135"/>
      <c r="BB2233" s="135"/>
      <c r="BC2233" s="135"/>
      <c r="BD2233" s="135"/>
      <c r="BE2233" s="135"/>
      <c r="BF2233" s="135"/>
      <c r="BG2233" s="135"/>
      <c r="BH2233" s="135"/>
      <c r="BI2233" s="2"/>
      <c r="BJ2233" s="136"/>
      <c r="BK2233" s="2"/>
      <c r="BL2233" s="136"/>
      <c r="BM2233" s="136"/>
      <c r="BN2233" s="2"/>
      <c r="BO2233" s="2"/>
      <c r="BP2233" s="136"/>
      <c r="BQ2233" s="137"/>
    </row>
    <row r="2234" spans="1:69" ht="12.75" customHeight="1" x14ac:dyDescent="0.2">
      <c r="A2234" s="2">
        <v>3723</v>
      </c>
      <c r="B2234" s="2"/>
      <c r="C2234" s="2"/>
      <c r="D2234" s="2"/>
      <c r="E2234" s="2"/>
      <c r="F2234" s="132">
        <v>0</v>
      </c>
      <c r="G2234" s="132"/>
      <c r="H2234" s="132">
        <f t="shared" si="255"/>
        <v>0</v>
      </c>
      <c r="I2234" s="132"/>
      <c r="J2234" s="132">
        <f t="shared" si="253"/>
        <v>0</v>
      </c>
      <c r="K2234" s="132">
        <f t="shared" si="256"/>
        <v>0</v>
      </c>
      <c r="L2234" s="132">
        <f t="shared" si="250"/>
        <v>0</v>
      </c>
      <c r="M2234" s="133"/>
      <c r="N2234" s="133">
        <f t="shared" si="254"/>
        <v>0</v>
      </c>
      <c r="O2234" s="134"/>
      <c r="P2234" s="133"/>
      <c r="Q2234" s="2"/>
      <c r="R2234" s="156">
        <f t="shared" si="251"/>
        <v>0</v>
      </c>
      <c r="S2234" s="156">
        <f t="shared" si="252"/>
        <v>0</v>
      </c>
      <c r="T2234" s="133"/>
      <c r="U2234" s="133"/>
      <c r="V2234" s="133"/>
      <c r="W2234" s="133"/>
      <c r="X2234" s="133"/>
      <c r="Y2234" s="133"/>
      <c r="Z2234" s="133"/>
      <c r="AA2234" s="133"/>
      <c r="AB2234" s="133"/>
      <c r="AC2234" s="133"/>
      <c r="AD2234" s="133"/>
      <c r="AE2234" s="133"/>
      <c r="AF2234" s="133"/>
      <c r="AG2234" s="133"/>
      <c r="AH2234" s="133"/>
      <c r="AI2234" s="133"/>
      <c r="AJ2234" s="133"/>
      <c r="AK2234" s="133"/>
      <c r="AL2234" s="133"/>
      <c r="AM2234" s="133"/>
      <c r="AN2234" s="133"/>
      <c r="AO2234" s="133"/>
      <c r="AP2234" s="133"/>
      <c r="AQ2234" s="133"/>
      <c r="AR2234" s="133"/>
      <c r="AS2234" s="153">
        <v>0</v>
      </c>
      <c r="AT2234" s="153">
        <v>0</v>
      </c>
      <c r="AU2234" s="153">
        <v>0</v>
      </c>
      <c r="AV2234" s="135"/>
      <c r="AW2234" s="135"/>
      <c r="AX2234" s="135"/>
      <c r="AY2234" s="135"/>
      <c r="AZ2234" s="135"/>
      <c r="BA2234" s="135"/>
      <c r="BB2234" s="135"/>
      <c r="BC2234" s="135"/>
      <c r="BD2234" s="135"/>
      <c r="BE2234" s="135"/>
      <c r="BF2234" s="135"/>
      <c r="BG2234" s="135"/>
      <c r="BH2234" s="135"/>
      <c r="BI2234" s="2"/>
      <c r="BJ2234" s="136"/>
      <c r="BK2234" s="2"/>
      <c r="BL2234" s="136"/>
      <c r="BM2234" s="136"/>
      <c r="BN2234" s="2"/>
      <c r="BO2234" s="2"/>
      <c r="BP2234" s="136"/>
      <c r="BQ2234" s="137"/>
    </row>
    <row r="2235" spans="1:69" ht="12.75" customHeight="1" x14ac:dyDescent="0.2">
      <c r="A2235" s="2">
        <v>3724</v>
      </c>
      <c r="B2235" s="2"/>
      <c r="C2235" s="2"/>
      <c r="D2235" s="2"/>
      <c r="E2235" s="2"/>
      <c r="F2235" s="132">
        <v>0</v>
      </c>
      <c r="G2235" s="132"/>
      <c r="H2235" s="132">
        <f t="shared" si="255"/>
        <v>0</v>
      </c>
      <c r="I2235" s="132"/>
      <c r="J2235" s="132">
        <f t="shared" si="253"/>
        <v>0</v>
      </c>
      <c r="K2235" s="132">
        <f t="shared" si="256"/>
        <v>0</v>
      </c>
      <c r="L2235" s="132">
        <f t="shared" si="250"/>
        <v>0</v>
      </c>
      <c r="M2235" s="133"/>
      <c r="N2235" s="133">
        <f t="shared" si="254"/>
        <v>0</v>
      </c>
      <c r="O2235" s="134"/>
      <c r="P2235" s="133"/>
      <c r="Q2235" s="2"/>
      <c r="R2235" s="156">
        <f t="shared" si="251"/>
        <v>0</v>
      </c>
      <c r="S2235" s="156">
        <f t="shared" si="252"/>
        <v>0</v>
      </c>
      <c r="T2235" s="133"/>
      <c r="U2235" s="133"/>
      <c r="V2235" s="133"/>
      <c r="W2235" s="133"/>
      <c r="X2235" s="133"/>
      <c r="Y2235" s="133"/>
      <c r="Z2235" s="133"/>
      <c r="AA2235" s="133"/>
      <c r="AB2235" s="133"/>
      <c r="AC2235" s="133"/>
      <c r="AD2235" s="133"/>
      <c r="AE2235" s="133"/>
      <c r="AF2235" s="133"/>
      <c r="AG2235" s="133"/>
      <c r="AH2235" s="133"/>
      <c r="AI2235" s="133"/>
      <c r="AJ2235" s="133"/>
      <c r="AK2235" s="133"/>
      <c r="AL2235" s="133"/>
      <c r="AM2235" s="133"/>
      <c r="AN2235" s="133"/>
      <c r="AO2235" s="133"/>
      <c r="AP2235" s="133"/>
      <c r="AQ2235" s="133"/>
      <c r="AR2235" s="133"/>
      <c r="AS2235" s="153">
        <v>0</v>
      </c>
      <c r="AT2235" s="153">
        <v>0</v>
      </c>
      <c r="AU2235" s="153">
        <v>0</v>
      </c>
      <c r="AV2235" s="135"/>
      <c r="AW2235" s="135"/>
      <c r="AX2235" s="135"/>
      <c r="AY2235" s="135"/>
      <c r="AZ2235" s="135"/>
      <c r="BA2235" s="135"/>
      <c r="BB2235" s="135"/>
      <c r="BC2235" s="135"/>
      <c r="BD2235" s="135"/>
      <c r="BE2235" s="135"/>
      <c r="BF2235" s="135"/>
      <c r="BG2235" s="135"/>
      <c r="BH2235" s="135"/>
      <c r="BI2235" s="2"/>
      <c r="BJ2235" s="136"/>
      <c r="BK2235" s="2"/>
      <c r="BL2235" s="136"/>
      <c r="BM2235" s="136"/>
      <c r="BN2235" s="2"/>
      <c r="BO2235" s="2"/>
      <c r="BP2235" s="136"/>
      <c r="BQ2235" s="137"/>
    </row>
    <row r="2236" spans="1:69" ht="12.75" customHeight="1" x14ac:dyDescent="0.2">
      <c r="A2236" s="2">
        <v>3725</v>
      </c>
      <c r="B2236" s="2"/>
      <c r="C2236" s="2"/>
      <c r="D2236" s="2"/>
      <c r="E2236" s="2"/>
      <c r="F2236" s="132">
        <v>0</v>
      </c>
      <c r="G2236" s="132"/>
      <c r="H2236" s="132">
        <f t="shared" si="255"/>
        <v>0</v>
      </c>
      <c r="I2236" s="132"/>
      <c r="J2236" s="132">
        <f t="shared" si="253"/>
        <v>0</v>
      </c>
      <c r="K2236" s="132">
        <f t="shared" si="256"/>
        <v>0</v>
      </c>
      <c r="L2236" s="132">
        <f t="shared" si="250"/>
        <v>0</v>
      </c>
      <c r="M2236" s="133"/>
      <c r="N2236" s="133">
        <f t="shared" si="254"/>
        <v>0</v>
      </c>
      <c r="O2236" s="134"/>
      <c r="P2236" s="133"/>
      <c r="Q2236" s="2"/>
      <c r="R2236" s="156">
        <f t="shared" si="251"/>
        <v>0</v>
      </c>
      <c r="S2236" s="156">
        <f t="shared" si="252"/>
        <v>0</v>
      </c>
      <c r="T2236" s="133"/>
      <c r="U2236" s="133"/>
      <c r="V2236" s="133"/>
      <c r="W2236" s="133"/>
      <c r="X2236" s="133"/>
      <c r="Y2236" s="133"/>
      <c r="Z2236" s="133"/>
      <c r="AA2236" s="133"/>
      <c r="AB2236" s="133"/>
      <c r="AC2236" s="133"/>
      <c r="AD2236" s="133"/>
      <c r="AE2236" s="133"/>
      <c r="AF2236" s="133"/>
      <c r="AG2236" s="133"/>
      <c r="AH2236" s="133"/>
      <c r="AI2236" s="133"/>
      <c r="AJ2236" s="133"/>
      <c r="AK2236" s="133"/>
      <c r="AL2236" s="133"/>
      <c r="AM2236" s="133"/>
      <c r="AN2236" s="133"/>
      <c r="AO2236" s="133"/>
      <c r="AP2236" s="133"/>
      <c r="AQ2236" s="133"/>
      <c r="AR2236" s="133"/>
      <c r="AS2236" s="153">
        <v>0</v>
      </c>
      <c r="AT2236" s="153">
        <v>0</v>
      </c>
      <c r="AU2236" s="153">
        <v>0</v>
      </c>
      <c r="AV2236" s="135"/>
      <c r="AW2236" s="135"/>
      <c r="AX2236" s="135"/>
      <c r="AY2236" s="135"/>
      <c r="AZ2236" s="135"/>
      <c r="BA2236" s="135"/>
      <c r="BB2236" s="135"/>
      <c r="BC2236" s="135"/>
      <c r="BD2236" s="135"/>
      <c r="BE2236" s="135"/>
      <c r="BF2236" s="135"/>
      <c r="BG2236" s="135"/>
      <c r="BH2236" s="135"/>
      <c r="BI2236" s="2"/>
      <c r="BJ2236" s="136"/>
      <c r="BK2236" s="2"/>
      <c r="BL2236" s="136"/>
      <c r="BM2236" s="136"/>
      <c r="BN2236" s="2"/>
      <c r="BO2236" s="2"/>
      <c r="BP2236" s="136"/>
      <c r="BQ2236" s="137"/>
    </row>
    <row r="2237" spans="1:69" ht="12.75" customHeight="1" x14ac:dyDescent="0.2">
      <c r="A2237" s="2">
        <v>3726</v>
      </c>
      <c r="B2237" s="2"/>
      <c r="C2237" s="2"/>
      <c r="D2237" s="2"/>
      <c r="E2237" s="2"/>
      <c r="F2237" s="132">
        <v>0</v>
      </c>
      <c r="G2237" s="132"/>
      <c r="H2237" s="132">
        <f t="shared" si="255"/>
        <v>0</v>
      </c>
      <c r="I2237" s="132"/>
      <c r="J2237" s="132">
        <f t="shared" si="253"/>
        <v>0</v>
      </c>
      <c r="K2237" s="132">
        <f t="shared" si="256"/>
        <v>0</v>
      </c>
      <c r="L2237" s="132">
        <f t="shared" si="250"/>
        <v>0</v>
      </c>
      <c r="M2237" s="133"/>
      <c r="N2237" s="133">
        <f t="shared" si="254"/>
        <v>0</v>
      </c>
      <c r="O2237" s="134"/>
      <c r="P2237" s="133"/>
      <c r="Q2237" s="2"/>
      <c r="R2237" s="156">
        <f t="shared" si="251"/>
        <v>0</v>
      </c>
      <c r="S2237" s="156">
        <f t="shared" si="252"/>
        <v>0</v>
      </c>
      <c r="T2237" s="133"/>
      <c r="U2237" s="133"/>
      <c r="V2237" s="133"/>
      <c r="W2237" s="133"/>
      <c r="X2237" s="133"/>
      <c r="Y2237" s="133"/>
      <c r="Z2237" s="133"/>
      <c r="AA2237" s="133"/>
      <c r="AB2237" s="133"/>
      <c r="AC2237" s="133"/>
      <c r="AD2237" s="133"/>
      <c r="AE2237" s="133"/>
      <c r="AF2237" s="133"/>
      <c r="AG2237" s="133"/>
      <c r="AH2237" s="133"/>
      <c r="AI2237" s="133"/>
      <c r="AJ2237" s="133"/>
      <c r="AK2237" s="133"/>
      <c r="AL2237" s="133"/>
      <c r="AM2237" s="133"/>
      <c r="AN2237" s="133"/>
      <c r="AO2237" s="133"/>
      <c r="AP2237" s="133"/>
      <c r="AQ2237" s="133"/>
      <c r="AR2237" s="133"/>
      <c r="AS2237" s="153">
        <v>0</v>
      </c>
      <c r="AT2237" s="153">
        <v>0</v>
      </c>
      <c r="AU2237" s="153">
        <v>0</v>
      </c>
      <c r="AV2237" s="135"/>
      <c r="AW2237" s="135"/>
      <c r="AX2237" s="135"/>
      <c r="AY2237" s="135"/>
      <c r="AZ2237" s="135"/>
      <c r="BA2237" s="135"/>
      <c r="BB2237" s="135"/>
      <c r="BC2237" s="135"/>
      <c r="BD2237" s="135"/>
      <c r="BE2237" s="135"/>
      <c r="BF2237" s="135"/>
      <c r="BG2237" s="135"/>
      <c r="BH2237" s="135"/>
      <c r="BI2237" s="2"/>
      <c r="BJ2237" s="136"/>
      <c r="BK2237" s="2"/>
      <c r="BL2237" s="136"/>
      <c r="BM2237" s="136"/>
      <c r="BN2237" s="2"/>
      <c r="BO2237" s="2"/>
      <c r="BP2237" s="136"/>
      <c r="BQ2237" s="137"/>
    </row>
    <row r="2238" spans="1:69" ht="12.75" customHeight="1" x14ac:dyDescent="0.2">
      <c r="A2238" s="2">
        <v>3727</v>
      </c>
      <c r="B2238" s="2"/>
      <c r="C2238" s="2"/>
      <c r="D2238" s="2"/>
      <c r="E2238" s="2"/>
      <c r="F2238" s="132">
        <v>0</v>
      </c>
      <c r="G2238" s="132"/>
      <c r="H2238" s="132">
        <f t="shared" si="255"/>
        <v>0</v>
      </c>
      <c r="I2238" s="132"/>
      <c r="J2238" s="132">
        <f t="shared" si="253"/>
        <v>0</v>
      </c>
      <c r="K2238" s="132">
        <f t="shared" si="256"/>
        <v>0</v>
      </c>
      <c r="L2238" s="132">
        <f t="shared" si="250"/>
        <v>0</v>
      </c>
      <c r="M2238" s="133"/>
      <c r="N2238" s="133">
        <f t="shared" si="254"/>
        <v>0</v>
      </c>
      <c r="O2238" s="134"/>
      <c r="P2238" s="133"/>
      <c r="Q2238" s="2"/>
      <c r="R2238" s="156">
        <f t="shared" si="251"/>
        <v>0</v>
      </c>
      <c r="S2238" s="156">
        <f t="shared" si="252"/>
        <v>0</v>
      </c>
      <c r="T2238" s="133"/>
      <c r="U2238" s="133"/>
      <c r="V2238" s="133"/>
      <c r="W2238" s="133"/>
      <c r="X2238" s="133"/>
      <c r="Y2238" s="133"/>
      <c r="Z2238" s="133"/>
      <c r="AA2238" s="133"/>
      <c r="AB2238" s="133"/>
      <c r="AC2238" s="133"/>
      <c r="AD2238" s="133"/>
      <c r="AE2238" s="133"/>
      <c r="AF2238" s="133"/>
      <c r="AG2238" s="133"/>
      <c r="AH2238" s="133"/>
      <c r="AI2238" s="133"/>
      <c r="AJ2238" s="133"/>
      <c r="AK2238" s="133"/>
      <c r="AL2238" s="133"/>
      <c r="AM2238" s="133"/>
      <c r="AN2238" s="133"/>
      <c r="AO2238" s="133"/>
      <c r="AP2238" s="133"/>
      <c r="AQ2238" s="133"/>
      <c r="AR2238" s="133"/>
      <c r="AS2238" s="153">
        <v>0</v>
      </c>
      <c r="AT2238" s="153">
        <v>0</v>
      </c>
      <c r="AU2238" s="153">
        <v>0</v>
      </c>
      <c r="AV2238" s="135"/>
      <c r="AW2238" s="135"/>
      <c r="AX2238" s="135"/>
      <c r="AY2238" s="135"/>
      <c r="AZ2238" s="135"/>
      <c r="BA2238" s="135"/>
      <c r="BB2238" s="135"/>
      <c r="BC2238" s="135"/>
      <c r="BD2238" s="135"/>
      <c r="BE2238" s="135"/>
      <c r="BF2238" s="135"/>
      <c r="BG2238" s="135"/>
      <c r="BH2238" s="135"/>
      <c r="BI2238" s="2"/>
      <c r="BJ2238" s="136"/>
      <c r="BK2238" s="2"/>
      <c r="BL2238" s="136"/>
      <c r="BM2238" s="136"/>
      <c r="BN2238" s="2"/>
      <c r="BO2238" s="2"/>
      <c r="BP2238" s="136"/>
      <c r="BQ2238" s="137"/>
    </row>
    <row r="2239" spans="1:69" ht="12.75" customHeight="1" x14ac:dyDescent="0.2">
      <c r="A2239" s="2">
        <v>3728</v>
      </c>
      <c r="B2239" s="2"/>
      <c r="C2239" s="2"/>
      <c r="D2239" s="2"/>
      <c r="E2239" s="2"/>
      <c r="F2239" s="132">
        <v>0</v>
      </c>
      <c r="G2239" s="132"/>
      <c r="H2239" s="132">
        <f t="shared" si="255"/>
        <v>0</v>
      </c>
      <c r="I2239" s="132"/>
      <c r="J2239" s="132">
        <f t="shared" si="253"/>
        <v>0</v>
      </c>
      <c r="K2239" s="132">
        <f t="shared" si="256"/>
        <v>0</v>
      </c>
      <c r="L2239" s="132">
        <f t="shared" si="250"/>
        <v>0</v>
      </c>
      <c r="M2239" s="133"/>
      <c r="N2239" s="133">
        <f t="shared" si="254"/>
        <v>0</v>
      </c>
      <c r="O2239" s="134"/>
      <c r="P2239" s="133"/>
      <c r="Q2239" s="2"/>
      <c r="R2239" s="156">
        <f t="shared" si="251"/>
        <v>0</v>
      </c>
      <c r="S2239" s="156">
        <f t="shared" si="252"/>
        <v>0</v>
      </c>
      <c r="T2239" s="133"/>
      <c r="U2239" s="133"/>
      <c r="V2239" s="133"/>
      <c r="W2239" s="133"/>
      <c r="X2239" s="133"/>
      <c r="Y2239" s="133"/>
      <c r="Z2239" s="133"/>
      <c r="AA2239" s="133"/>
      <c r="AB2239" s="133"/>
      <c r="AC2239" s="133"/>
      <c r="AD2239" s="133"/>
      <c r="AE2239" s="133"/>
      <c r="AF2239" s="133"/>
      <c r="AG2239" s="133"/>
      <c r="AH2239" s="133"/>
      <c r="AI2239" s="133"/>
      <c r="AJ2239" s="133"/>
      <c r="AK2239" s="133"/>
      <c r="AL2239" s="133"/>
      <c r="AM2239" s="133"/>
      <c r="AN2239" s="133"/>
      <c r="AO2239" s="133"/>
      <c r="AP2239" s="133"/>
      <c r="AQ2239" s="133"/>
      <c r="AR2239" s="133"/>
      <c r="AS2239" s="153">
        <v>0</v>
      </c>
      <c r="AT2239" s="153">
        <v>0</v>
      </c>
      <c r="AU2239" s="153">
        <v>0</v>
      </c>
      <c r="AV2239" s="135"/>
      <c r="AW2239" s="135"/>
      <c r="AX2239" s="135"/>
      <c r="AY2239" s="135"/>
      <c r="AZ2239" s="135"/>
      <c r="BA2239" s="135"/>
      <c r="BB2239" s="135"/>
      <c r="BC2239" s="135"/>
      <c r="BD2239" s="135"/>
      <c r="BE2239" s="135"/>
      <c r="BF2239" s="135"/>
      <c r="BG2239" s="135"/>
      <c r="BH2239" s="135"/>
      <c r="BI2239" s="2"/>
      <c r="BJ2239" s="136"/>
      <c r="BK2239" s="2"/>
      <c r="BL2239" s="136"/>
      <c r="BM2239" s="136"/>
      <c r="BN2239" s="2"/>
      <c r="BO2239" s="2"/>
      <c r="BP2239" s="136"/>
      <c r="BQ2239" s="137"/>
    </row>
    <row r="2240" spans="1:69" ht="12.75" customHeight="1" x14ac:dyDescent="0.2">
      <c r="A2240" s="2">
        <v>3729</v>
      </c>
      <c r="B2240" s="2"/>
      <c r="C2240" s="2"/>
      <c r="D2240" s="2"/>
      <c r="E2240" s="2"/>
      <c r="F2240" s="132">
        <v>0</v>
      </c>
      <c r="G2240" s="132"/>
      <c r="H2240" s="132">
        <f t="shared" si="255"/>
        <v>0</v>
      </c>
      <c r="I2240" s="132"/>
      <c r="J2240" s="132">
        <f t="shared" si="253"/>
        <v>0</v>
      </c>
      <c r="K2240" s="132">
        <f t="shared" si="256"/>
        <v>0</v>
      </c>
      <c r="L2240" s="132">
        <f t="shared" si="250"/>
        <v>0</v>
      </c>
      <c r="M2240" s="133"/>
      <c r="N2240" s="133">
        <f t="shared" si="254"/>
        <v>0</v>
      </c>
      <c r="O2240" s="134"/>
      <c r="P2240" s="133"/>
      <c r="Q2240" s="2"/>
      <c r="R2240" s="156">
        <f t="shared" si="251"/>
        <v>0</v>
      </c>
      <c r="S2240" s="156">
        <f t="shared" si="252"/>
        <v>0</v>
      </c>
      <c r="T2240" s="133"/>
      <c r="U2240" s="133"/>
      <c r="V2240" s="133"/>
      <c r="W2240" s="133"/>
      <c r="X2240" s="133"/>
      <c r="Y2240" s="133"/>
      <c r="Z2240" s="133"/>
      <c r="AA2240" s="133"/>
      <c r="AB2240" s="133"/>
      <c r="AC2240" s="133"/>
      <c r="AD2240" s="133"/>
      <c r="AE2240" s="133"/>
      <c r="AF2240" s="133"/>
      <c r="AG2240" s="133"/>
      <c r="AH2240" s="133"/>
      <c r="AI2240" s="133"/>
      <c r="AJ2240" s="133"/>
      <c r="AK2240" s="133"/>
      <c r="AL2240" s="133"/>
      <c r="AM2240" s="133"/>
      <c r="AN2240" s="133"/>
      <c r="AO2240" s="133"/>
      <c r="AP2240" s="133"/>
      <c r="AQ2240" s="133"/>
      <c r="AR2240" s="133"/>
      <c r="AS2240" s="153">
        <v>0</v>
      </c>
      <c r="AT2240" s="153">
        <v>0</v>
      </c>
      <c r="AU2240" s="153">
        <v>0</v>
      </c>
      <c r="AV2240" s="135"/>
      <c r="AW2240" s="135"/>
      <c r="AX2240" s="135"/>
      <c r="AY2240" s="135"/>
      <c r="AZ2240" s="135"/>
      <c r="BA2240" s="135"/>
      <c r="BB2240" s="135"/>
      <c r="BC2240" s="135"/>
      <c r="BD2240" s="135"/>
      <c r="BE2240" s="135"/>
      <c r="BF2240" s="135"/>
      <c r="BG2240" s="135"/>
      <c r="BH2240" s="135"/>
      <c r="BI2240" s="2"/>
      <c r="BJ2240" s="136"/>
      <c r="BK2240" s="2"/>
      <c r="BL2240" s="136"/>
      <c r="BM2240" s="136"/>
      <c r="BN2240" s="2"/>
      <c r="BO2240" s="2"/>
      <c r="BP2240" s="136"/>
      <c r="BQ2240" s="137"/>
    </row>
    <row r="2241" spans="1:69" ht="12.75" customHeight="1" x14ac:dyDescent="0.2">
      <c r="A2241" s="2">
        <v>3730</v>
      </c>
      <c r="B2241" s="2"/>
      <c r="C2241" s="2"/>
      <c r="D2241" s="2"/>
      <c r="E2241" s="2"/>
      <c r="F2241" s="132">
        <v>0</v>
      </c>
      <c r="G2241" s="132"/>
      <c r="H2241" s="132">
        <f t="shared" si="255"/>
        <v>0</v>
      </c>
      <c r="I2241" s="132"/>
      <c r="J2241" s="132">
        <f t="shared" si="253"/>
        <v>0</v>
      </c>
      <c r="K2241" s="132">
        <f t="shared" si="256"/>
        <v>0</v>
      </c>
      <c r="L2241" s="132">
        <f t="shared" si="250"/>
        <v>0</v>
      </c>
      <c r="M2241" s="133"/>
      <c r="N2241" s="133">
        <f t="shared" si="254"/>
        <v>0</v>
      </c>
      <c r="O2241" s="134"/>
      <c r="P2241" s="133"/>
      <c r="Q2241" s="2"/>
      <c r="R2241" s="156">
        <f t="shared" si="251"/>
        <v>0</v>
      </c>
      <c r="S2241" s="156">
        <f t="shared" si="252"/>
        <v>0</v>
      </c>
      <c r="T2241" s="133"/>
      <c r="U2241" s="133"/>
      <c r="V2241" s="133"/>
      <c r="W2241" s="133"/>
      <c r="X2241" s="133"/>
      <c r="Y2241" s="133"/>
      <c r="Z2241" s="133"/>
      <c r="AA2241" s="133"/>
      <c r="AB2241" s="133"/>
      <c r="AC2241" s="133"/>
      <c r="AD2241" s="133"/>
      <c r="AE2241" s="133"/>
      <c r="AF2241" s="133"/>
      <c r="AG2241" s="133"/>
      <c r="AH2241" s="133"/>
      <c r="AI2241" s="133"/>
      <c r="AJ2241" s="133"/>
      <c r="AK2241" s="133"/>
      <c r="AL2241" s="133"/>
      <c r="AM2241" s="133"/>
      <c r="AN2241" s="133"/>
      <c r="AO2241" s="133"/>
      <c r="AP2241" s="133"/>
      <c r="AQ2241" s="133"/>
      <c r="AR2241" s="133"/>
      <c r="AS2241" s="153">
        <v>0</v>
      </c>
      <c r="AT2241" s="153">
        <v>0</v>
      </c>
      <c r="AU2241" s="153">
        <v>0</v>
      </c>
      <c r="AV2241" s="135"/>
      <c r="AW2241" s="135"/>
      <c r="AX2241" s="135"/>
      <c r="AY2241" s="135"/>
      <c r="AZ2241" s="135"/>
      <c r="BA2241" s="135"/>
      <c r="BB2241" s="135"/>
      <c r="BC2241" s="135"/>
      <c r="BD2241" s="135"/>
      <c r="BE2241" s="135"/>
      <c r="BF2241" s="135"/>
      <c r="BG2241" s="135"/>
      <c r="BH2241" s="135"/>
      <c r="BI2241" s="2"/>
      <c r="BJ2241" s="136"/>
      <c r="BK2241" s="2"/>
      <c r="BL2241" s="136"/>
      <c r="BM2241" s="136"/>
      <c r="BN2241" s="2"/>
      <c r="BO2241" s="2"/>
      <c r="BP2241" s="136"/>
      <c r="BQ2241" s="137"/>
    </row>
    <row r="2242" spans="1:69" ht="12.75" customHeight="1" x14ac:dyDescent="0.2">
      <c r="A2242" s="2">
        <v>3731</v>
      </c>
      <c r="B2242" s="2"/>
      <c r="C2242" s="2"/>
      <c r="D2242" s="2"/>
      <c r="E2242" s="2"/>
      <c r="F2242" s="132">
        <v>0</v>
      </c>
      <c r="G2242" s="132"/>
      <c r="H2242" s="132">
        <f t="shared" si="255"/>
        <v>0</v>
      </c>
      <c r="I2242" s="132"/>
      <c r="J2242" s="132">
        <f t="shared" si="253"/>
        <v>0</v>
      </c>
      <c r="K2242" s="132">
        <f t="shared" si="256"/>
        <v>0</v>
      </c>
      <c r="L2242" s="132">
        <f t="shared" si="250"/>
        <v>0</v>
      </c>
      <c r="M2242" s="133"/>
      <c r="N2242" s="133">
        <f t="shared" si="254"/>
        <v>0</v>
      </c>
      <c r="O2242" s="134"/>
      <c r="P2242" s="133"/>
      <c r="Q2242" s="2"/>
      <c r="R2242" s="156">
        <f t="shared" si="251"/>
        <v>0</v>
      </c>
      <c r="S2242" s="156">
        <f t="shared" si="252"/>
        <v>0</v>
      </c>
      <c r="T2242" s="133"/>
      <c r="U2242" s="133"/>
      <c r="V2242" s="133"/>
      <c r="W2242" s="133"/>
      <c r="X2242" s="133"/>
      <c r="Y2242" s="133"/>
      <c r="Z2242" s="133"/>
      <c r="AA2242" s="133"/>
      <c r="AB2242" s="133"/>
      <c r="AC2242" s="133"/>
      <c r="AD2242" s="133"/>
      <c r="AE2242" s="133"/>
      <c r="AF2242" s="133"/>
      <c r="AG2242" s="133"/>
      <c r="AH2242" s="133"/>
      <c r="AI2242" s="133"/>
      <c r="AJ2242" s="133"/>
      <c r="AK2242" s="133"/>
      <c r="AL2242" s="133"/>
      <c r="AM2242" s="133"/>
      <c r="AN2242" s="133"/>
      <c r="AO2242" s="133"/>
      <c r="AP2242" s="133"/>
      <c r="AQ2242" s="133"/>
      <c r="AR2242" s="133"/>
      <c r="AS2242" s="153">
        <v>0</v>
      </c>
      <c r="AT2242" s="153">
        <v>0</v>
      </c>
      <c r="AU2242" s="153">
        <v>0</v>
      </c>
      <c r="AV2242" s="135"/>
      <c r="AW2242" s="135"/>
      <c r="AX2242" s="135"/>
      <c r="AY2242" s="135"/>
      <c r="AZ2242" s="135"/>
      <c r="BA2242" s="135"/>
      <c r="BB2242" s="135"/>
      <c r="BC2242" s="135"/>
      <c r="BD2242" s="135"/>
      <c r="BE2242" s="135"/>
      <c r="BF2242" s="135"/>
      <c r="BG2242" s="135"/>
      <c r="BH2242" s="135"/>
      <c r="BI2242" s="2"/>
      <c r="BJ2242" s="136"/>
      <c r="BK2242" s="2"/>
      <c r="BL2242" s="136"/>
      <c r="BM2242" s="136"/>
      <c r="BN2242" s="2"/>
      <c r="BO2242" s="2"/>
      <c r="BP2242" s="136"/>
      <c r="BQ2242" s="137"/>
    </row>
    <row r="2243" spans="1:69" ht="12.75" customHeight="1" x14ac:dyDescent="0.2">
      <c r="A2243" s="2">
        <v>3732</v>
      </c>
      <c r="B2243" s="2"/>
      <c r="C2243" s="2"/>
      <c r="D2243" s="2"/>
      <c r="E2243" s="2"/>
      <c r="F2243" s="132">
        <v>0</v>
      </c>
      <c r="G2243" s="132"/>
      <c r="H2243" s="132">
        <f t="shared" si="255"/>
        <v>0</v>
      </c>
      <c r="I2243" s="132"/>
      <c r="J2243" s="132">
        <f t="shared" si="253"/>
        <v>0</v>
      </c>
      <c r="K2243" s="132">
        <f t="shared" si="256"/>
        <v>0</v>
      </c>
      <c r="L2243" s="132">
        <f t="shared" si="250"/>
        <v>0</v>
      </c>
      <c r="M2243" s="133"/>
      <c r="N2243" s="133">
        <f t="shared" si="254"/>
        <v>0</v>
      </c>
      <c r="O2243" s="134"/>
      <c r="P2243" s="133"/>
      <c r="Q2243" s="2"/>
      <c r="R2243" s="156">
        <f t="shared" si="251"/>
        <v>0</v>
      </c>
      <c r="S2243" s="156">
        <f t="shared" si="252"/>
        <v>0</v>
      </c>
      <c r="T2243" s="133"/>
      <c r="U2243" s="133"/>
      <c r="V2243" s="133"/>
      <c r="W2243" s="133"/>
      <c r="X2243" s="133"/>
      <c r="Y2243" s="133"/>
      <c r="Z2243" s="133"/>
      <c r="AA2243" s="133"/>
      <c r="AB2243" s="133"/>
      <c r="AC2243" s="133"/>
      <c r="AD2243" s="133"/>
      <c r="AE2243" s="133"/>
      <c r="AF2243" s="133"/>
      <c r="AG2243" s="133"/>
      <c r="AH2243" s="133"/>
      <c r="AI2243" s="133"/>
      <c r="AJ2243" s="133"/>
      <c r="AK2243" s="133"/>
      <c r="AL2243" s="133"/>
      <c r="AM2243" s="133"/>
      <c r="AN2243" s="133"/>
      <c r="AO2243" s="133"/>
      <c r="AP2243" s="133"/>
      <c r="AQ2243" s="133"/>
      <c r="AR2243" s="133"/>
      <c r="AS2243" s="153">
        <v>0</v>
      </c>
      <c r="AT2243" s="153">
        <v>0</v>
      </c>
      <c r="AU2243" s="153">
        <v>0</v>
      </c>
      <c r="AV2243" s="135"/>
      <c r="AW2243" s="135"/>
      <c r="AX2243" s="135"/>
      <c r="AY2243" s="135"/>
      <c r="AZ2243" s="135"/>
      <c r="BA2243" s="135"/>
      <c r="BB2243" s="135"/>
      <c r="BC2243" s="135"/>
      <c r="BD2243" s="135"/>
      <c r="BE2243" s="135"/>
      <c r="BF2243" s="135"/>
      <c r="BG2243" s="135"/>
      <c r="BH2243" s="135"/>
      <c r="BI2243" s="2"/>
      <c r="BJ2243" s="136"/>
      <c r="BK2243" s="2"/>
      <c r="BL2243" s="136"/>
      <c r="BM2243" s="136"/>
      <c r="BN2243" s="2"/>
      <c r="BO2243" s="2"/>
      <c r="BP2243" s="136"/>
      <c r="BQ2243" s="137"/>
    </row>
    <row r="2244" spans="1:69" ht="12.75" customHeight="1" x14ac:dyDescent="0.2">
      <c r="A2244" s="2">
        <v>3733</v>
      </c>
      <c r="B2244" s="2"/>
      <c r="C2244" s="2"/>
      <c r="D2244" s="2"/>
      <c r="E2244" s="2"/>
      <c r="F2244" s="132">
        <v>0</v>
      </c>
      <c r="G2244" s="132"/>
      <c r="H2244" s="132">
        <f t="shared" si="255"/>
        <v>0</v>
      </c>
      <c r="I2244" s="132"/>
      <c r="J2244" s="132">
        <f t="shared" si="253"/>
        <v>0</v>
      </c>
      <c r="K2244" s="132">
        <f t="shared" si="256"/>
        <v>0</v>
      </c>
      <c r="L2244" s="132">
        <f t="shared" si="250"/>
        <v>0</v>
      </c>
      <c r="M2244" s="133"/>
      <c r="N2244" s="133">
        <f t="shared" si="254"/>
        <v>0</v>
      </c>
      <c r="O2244" s="134"/>
      <c r="P2244" s="133"/>
      <c r="Q2244" s="2"/>
      <c r="R2244" s="156">
        <f t="shared" si="251"/>
        <v>0</v>
      </c>
      <c r="S2244" s="156">
        <f t="shared" si="252"/>
        <v>0</v>
      </c>
      <c r="T2244" s="133"/>
      <c r="U2244" s="133"/>
      <c r="V2244" s="133"/>
      <c r="W2244" s="133"/>
      <c r="X2244" s="133"/>
      <c r="Y2244" s="133"/>
      <c r="Z2244" s="133"/>
      <c r="AA2244" s="133"/>
      <c r="AB2244" s="133"/>
      <c r="AC2244" s="133"/>
      <c r="AD2244" s="133"/>
      <c r="AE2244" s="133"/>
      <c r="AF2244" s="133"/>
      <c r="AG2244" s="133"/>
      <c r="AH2244" s="133"/>
      <c r="AI2244" s="133"/>
      <c r="AJ2244" s="133"/>
      <c r="AK2244" s="133"/>
      <c r="AL2244" s="133"/>
      <c r="AM2244" s="133"/>
      <c r="AN2244" s="133"/>
      <c r="AO2244" s="133"/>
      <c r="AP2244" s="133"/>
      <c r="AQ2244" s="133"/>
      <c r="AR2244" s="133"/>
      <c r="AS2244" s="153">
        <v>0</v>
      </c>
      <c r="AT2244" s="153">
        <v>0</v>
      </c>
      <c r="AU2244" s="153">
        <v>0</v>
      </c>
      <c r="AV2244" s="135"/>
      <c r="AW2244" s="135"/>
      <c r="AX2244" s="135"/>
      <c r="AY2244" s="135"/>
      <c r="AZ2244" s="135"/>
      <c r="BA2244" s="135"/>
      <c r="BB2244" s="135"/>
      <c r="BC2244" s="135"/>
      <c r="BD2244" s="135"/>
      <c r="BE2244" s="135"/>
      <c r="BF2244" s="135"/>
      <c r="BG2244" s="135"/>
      <c r="BH2244" s="135"/>
      <c r="BI2244" s="2"/>
      <c r="BJ2244" s="136"/>
      <c r="BK2244" s="2"/>
      <c r="BL2244" s="136"/>
      <c r="BM2244" s="136"/>
      <c r="BN2244" s="2"/>
      <c r="BO2244" s="2"/>
      <c r="BP2244" s="136"/>
      <c r="BQ2244" s="137"/>
    </row>
    <row r="2245" spans="1:69" ht="12.75" customHeight="1" x14ac:dyDescent="0.2">
      <c r="A2245" s="2">
        <v>3734</v>
      </c>
      <c r="B2245" s="2"/>
      <c r="C2245" s="2"/>
      <c r="D2245" s="2"/>
      <c r="E2245" s="2"/>
      <c r="F2245" s="132">
        <v>0</v>
      </c>
      <c r="G2245" s="132"/>
      <c r="H2245" s="132">
        <f t="shared" si="255"/>
        <v>0</v>
      </c>
      <c r="I2245" s="132"/>
      <c r="J2245" s="132">
        <f t="shared" si="253"/>
        <v>0</v>
      </c>
      <c r="K2245" s="132">
        <f t="shared" si="256"/>
        <v>0</v>
      </c>
      <c r="L2245" s="132">
        <f t="shared" si="250"/>
        <v>0</v>
      </c>
      <c r="M2245" s="133"/>
      <c r="N2245" s="133">
        <f t="shared" si="254"/>
        <v>0</v>
      </c>
      <c r="O2245" s="134"/>
      <c r="P2245" s="133"/>
      <c r="Q2245" s="2"/>
      <c r="R2245" s="156">
        <f t="shared" si="251"/>
        <v>0</v>
      </c>
      <c r="S2245" s="156">
        <f t="shared" si="252"/>
        <v>0</v>
      </c>
      <c r="T2245" s="133"/>
      <c r="U2245" s="133"/>
      <c r="V2245" s="133"/>
      <c r="W2245" s="133"/>
      <c r="X2245" s="133"/>
      <c r="Y2245" s="133"/>
      <c r="Z2245" s="133"/>
      <c r="AA2245" s="133"/>
      <c r="AB2245" s="133"/>
      <c r="AC2245" s="133"/>
      <c r="AD2245" s="133"/>
      <c r="AE2245" s="133"/>
      <c r="AF2245" s="133"/>
      <c r="AG2245" s="133"/>
      <c r="AH2245" s="133"/>
      <c r="AI2245" s="133"/>
      <c r="AJ2245" s="133"/>
      <c r="AK2245" s="133"/>
      <c r="AL2245" s="133"/>
      <c r="AM2245" s="133"/>
      <c r="AN2245" s="133"/>
      <c r="AO2245" s="133"/>
      <c r="AP2245" s="133"/>
      <c r="AQ2245" s="133"/>
      <c r="AR2245" s="133"/>
      <c r="AS2245" s="153">
        <v>0</v>
      </c>
      <c r="AT2245" s="153">
        <v>0</v>
      </c>
      <c r="AU2245" s="153">
        <v>0</v>
      </c>
      <c r="AV2245" s="135"/>
      <c r="AW2245" s="135"/>
      <c r="AX2245" s="135"/>
      <c r="AY2245" s="135"/>
      <c r="AZ2245" s="135"/>
      <c r="BA2245" s="135"/>
      <c r="BB2245" s="135"/>
      <c r="BC2245" s="135"/>
      <c r="BD2245" s="135"/>
      <c r="BE2245" s="135"/>
      <c r="BF2245" s="135"/>
      <c r="BG2245" s="135"/>
      <c r="BH2245" s="135"/>
      <c r="BI2245" s="2"/>
      <c r="BJ2245" s="136"/>
      <c r="BK2245" s="2"/>
      <c r="BL2245" s="136"/>
      <c r="BM2245" s="136"/>
      <c r="BN2245" s="2"/>
      <c r="BO2245" s="2"/>
      <c r="BP2245" s="136"/>
      <c r="BQ2245" s="137"/>
    </row>
    <row r="2246" spans="1:69" ht="12.75" customHeight="1" x14ac:dyDescent="0.2">
      <c r="A2246" s="2">
        <v>3735</v>
      </c>
      <c r="B2246" s="2"/>
      <c r="C2246" s="2"/>
      <c r="D2246" s="2"/>
      <c r="E2246" s="2"/>
      <c r="F2246" s="132">
        <v>0</v>
      </c>
      <c r="G2246" s="132"/>
      <c r="H2246" s="132">
        <f t="shared" si="255"/>
        <v>0</v>
      </c>
      <c r="I2246" s="132"/>
      <c r="J2246" s="132">
        <f t="shared" si="253"/>
        <v>0</v>
      </c>
      <c r="K2246" s="132">
        <f t="shared" si="256"/>
        <v>0</v>
      </c>
      <c r="L2246" s="132">
        <f t="shared" si="250"/>
        <v>0</v>
      </c>
      <c r="M2246" s="133"/>
      <c r="N2246" s="133">
        <f t="shared" si="254"/>
        <v>0</v>
      </c>
      <c r="O2246" s="134"/>
      <c r="P2246" s="133"/>
      <c r="Q2246" s="2"/>
      <c r="R2246" s="156">
        <f t="shared" si="251"/>
        <v>0</v>
      </c>
      <c r="S2246" s="156">
        <f t="shared" si="252"/>
        <v>0</v>
      </c>
      <c r="T2246" s="133"/>
      <c r="U2246" s="133"/>
      <c r="V2246" s="133"/>
      <c r="W2246" s="133"/>
      <c r="X2246" s="133"/>
      <c r="Y2246" s="133"/>
      <c r="Z2246" s="133"/>
      <c r="AA2246" s="133"/>
      <c r="AB2246" s="133"/>
      <c r="AC2246" s="133"/>
      <c r="AD2246" s="133"/>
      <c r="AE2246" s="133"/>
      <c r="AF2246" s="133"/>
      <c r="AG2246" s="133"/>
      <c r="AH2246" s="133"/>
      <c r="AI2246" s="133"/>
      <c r="AJ2246" s="133"/>
      <c r="AK2246" s="133"/>
      <c r="AL2246" s="133"/>
      <c r="AM2246" s="133"/>
      <c r="AN2246" s="133"/>
      <c r="AO2246" s="133"/>
      <c r="AP2246" s="133"/>
      <c r="AQ2246" s="133"/>
      <c r="AR2246" s="133"/>
      <c r="AS2246" s="153">
        <v>0</v>
      </c>
      <c r="AT2246" s="153">
        <v>0</v>
      </c>
      <c r="AU2246" s="153">
        <v>0</v>
      </c>
      <c r="AV2246" s="135"/>
      <c r="AW2246" s="135"/>
      <c r="AX2246" s="135"/>
      <c r="AY2246" s="135"/>
      <c r="AZ2246" s="135"/>
      <c r="BA2246" s="135"/>
      <c r="BB2246" s="135"/>
      <c r="BC2246" s="135"/>
      <c r="BD2246" s="135"/>
      <c r="BE2246" s="135"/>
      <c r="BF2246" s="135"/>
      <c r="BG2246" s="135"/>
      <c r="BH2246" s="135"/>
      <c r="BI2246" s="2"/>
      <c r="BJ2246" s="136"/>
      <c r="BK2246" s="2"/>
      <c r="BL2246" s="136"/>
      <c r="BM2246" s="136"/>
      <c r="BN2246" s="2"/>
      <c r="BO2246" s="2"/>
      <c r="BP2246" s="136"/>
      <c r="BQ2246" s="137"/>
    </row>
    <row r="2247" spans="1:69" ht="12.75" customHeight="1" x14ac:dyDescent="0.2">
      <c r="A2247" s="2">
        <v>3736</v>
      </c>
      <c r="B2247" s="2"/>
      <c r="C2247" s="2"/>
      <c r="D2247" s="2"/>
      <c r="E2247" s="2"/>
      <c r="F2247" s="132">
        <v>0</v>
      </c>
      <c r="G2247" s="132"/>
      <c r="H2247" s="132">
        <f t="shared" si="255"/>
        <v>0</v>
      </c>
      <c r="I2247" s="132"/>
      <c r="J2247" s="132">
        <f t="shared" si="253"/>
        <v>0</v>
      </c>
      <c r="K2247" s="132">
        <f t="shared" si="256"/>
        <v>0</v>
      </c>
      <c r="L2247" s="132">
        <f t="shared" si="250"/>
        <v>0</v>
      </c>
      <c r="M2247" s="133"/>
      <c r="N2247" s="133">
        <f t="shared" si="254"/>
        <v>0</v>
      </c>
      <c r="O2247" s="134"/>
      <c r="P2247" s="133"/>
      <c r="Q2247" s="2"/>
      <c r="R2247" s="156">
        <f t="shared" si="251"/>
        <v>0</v>
      </c>
      <c r="S2247" s="156">
        <f t="shared" si="252"/>
        <v>0</v>
      </c>
      <c r="T2247" s="133"/>
      <c r="U2247" s="133"/>
      <c r="V2247" s="133"/>
      <c r="W2247" s="133"/>
      <c r="X2247" s="133"/>
      <c r="Y2247" s="133"/>
      <c r="Z2247" s="133"/>
      <c r="AA2247" s="133"/>
      <c r="AB2247" s="133"/>
      <c r="AC2247" s="133"/>
      <c r="AD2247" s="133"/>
      <c r="AE2247" s="133"/>
      <c r="AF2247" s="133"/>
      <c r="AG2247" s="133"/>
      <c r="AH2247" s="133"/>
      <c r="AI2247" s="133"/>
      <c r="AJ2247" s="133"/>
      <c r="AK2247" s="133"/>
      <c r="AL2247" s="133"/>
      <c r="AM2247" s="133"/>
      <c r="AN2247" s="133"/>
      <c r="AO2247" s="133"/>
      <c r="AP2247" s="133"/>
      <c r="AQ2247" s="133"/>
      <c r="AR2247" s="133"/>
      <c r="AS2247" s="153">
        <v>0</v>
      </c>
      <c r="AT2247" s="153">
        <v>0</v>
      </c>
      <c r="AU2247" s="153">
        <v>0</v>
      </c>
      <c r="AV2247" s="135"/>
      <c r="AW2247" s="135"/>
      <c r="AX2247" s="135"/>
      <c r="AY2247" s="135"/>
      <c r="AZ2247" s="135"/>
      <c r="BA2247" s="135"/>
      <c r="BB2247" s="135"/>
      <c r="BC2247" s="135"/>
      <c r="BD2247" s="135"/>
      <c r="BE2247" s="135"/>
      <c r="BF2247" s="135"/>
      <c r="BG2247" s="135"/>
      <c r="BH2247" s="135"/>
      <c r="BI2247" s="2"/>
      <c r="BJ2247" s="136"/>
      <c r="BK2247" s="2"/>
      <c r="BL2247" s="136"/>
      <c r="BM2247" s="136"/>
      <c r="BN2247" s="2"/>
      <c r="BO2247" s="2"/>
      <c r="BP2247" s="136"/>
      <c r="BQ2247" s="137"/>
    </row>
    <row r="2248" spans="1:69" ht="12.75" customHeight="1" x14ac:dyDescent="0.2">
      <c r="A2248" s="2">
        <v>3737</v>
      </c>
      <c r="B2248" s="2"/>
      <c r="C2248" s="2"/>
      <c r="D2248" s="2"/>
      <c r="E2248" s="2"/>
      <c r="F2248" s="132">
        <v>0</v>
      </c>
      <c r="G2248" s="132"/>
      <c r="H2248" s="132">
        <f t="shared" si="255"/>
        <v>0</v>
      </c>
      <c r="I2248" s="132"/>
      <c r="J2248" s="132">
        <f t="shared" si="253"/>
        <v>0</v>
      </c>
      <c r="K2248" s="132">
        <f t="shared" si="256"/>
        <v>0</v>
      </c>
      <c r="L2248" s="132">
        <f t="shared" si="250"/>
        <v>0</v>
      </c>
      <c r="M2248" s="133"/>
      <c r="N2248" s="133">
        <f t="shared" si="254"/>
        <v>0</v>
      </c>
      <c r="O2248" s="134"/>
      <c r="P2248" s="133"/>
      <c r="Q2248" s="2"/>
      <c r="R2248" s="156">
        <f t="shared" si="251"/>
        <v>0</v>
      </c>
      <c r="S2248" s="156">
        <f t="shared" si="252"/>
        <v>0</v>
      </c>
      <c r="T2248" s="133"/>
      <c r="U2248" s="133"/>
      <c r="V2248" s="133"/>
      <c r="W2248" s="133"/>
      <c r="X2248" s="133"/>
      <c r="Y2248" s="133"/>
      <c r="Z2248" s="133"/>
      <c r="AA2248" s="133"/>
      <c r="AB2248" s="133"/>
      <c r="AC2248" s="133"/>
      <c r="AD2248" s="133"/>
      <c r="AE2248" s="133"/>
      <c r="AF2248" s="133"/>
      <c r="AG2248" s="133"/>
      <c r="AH2248" s="133"/>
      <c r="AI2248" s="133"/>
      <c r="AJ2248" s="133"/>
      <c r="AK2248" s="133"/>
      <c r="AL2248" s="133"/>
      <c r="AM2248" s="133"/>
      <c r="AN2248" s="133"/>
      <c r="AO2248" s="133"/>
      <c r="AP2248" s="133"/>
      <c r="AQ2248" s="133"/>
      <c r="AR2248" s="133"/>
      <c r="AS2248" s="153">
        <v>0</v>
      </c>
      <c r="AT2248" s="153">
        <v>0</v>
      </c>
      <c r="AU2248" s="153">
        <v>0</v>
      </c>
      <c r="AV2248" s="135"/>
      <c r="AW2248" s="135"/>
      <c r="AX2248" s="135"/>
      <c r="AY2248" s="135"/>
      <c r="AZ2248" s="135"/>
      <c r="BA2248" s="135"/>
      <c r="BB2248" s="135"/>
      <c r="BC2248" s="135"/>
      <c r="BD2248" s="135"/>
      <c r="BE2248" s="135"/>
      <c r="BF2248" s="135"/>
      <c r="BG2248" s="135"/>
      <c r="BH2248" s="135"/>
      <c r="BI2248" s="2"/>
      <c r="BJ2248" s="136"/>
      <c r="BK2248" s="2"/>
      <c r="BL2248" s="136"/>
      <c r="BM2248" s="136"/>
      <c r="BN2248" s="2"/>
      <c r="BO2248" s="2"/>
      <c r="BP2248" s="136"/>
      <c r="BQ2248" s="137"/>
    </row>
    <row r="2249" spans="1:69" ht="12.75" customHeight="1" x14ac:dyDescent="0.2">
      <c r="A2249" s="2">
        <v>3738</v>
      </c>
      <c r="B2249" s="2"/>
      <c r="C2249" s="2"/>
      <c r="D2249" s="2"/>
      <c r="E2249" s="2"/>
      <c r="F2249" s="132">
        <v>0</v>
      </c>
      <c r="G2249" s="132"/>
      <c r="H2249" s="132">
        <f t="shared" si="255"/>
        <v>0</v>
      </c>
      <c r="I2249" s="132"/>
      <c r="J2249" s="132">
        <f t="shared" si="253"/>
        <v>0</v>
      </c>
      <c r="K2249" s="132">
        <f t="shared" si="256"/>
        <v>0</v>
      </c>
      <c r="L2249" s="132">
        <f t="shared" si="250"/>
        <v>0</v>
      </c>
      <c r="M2249" s="133"/>
      <c r="N2249" s="133">
        <f t="shared" si="254"/>
        <v>0</v>
      </c>
      <c r="O2249" s="134"/>
      <c r="P2249" s="133"/>
      <c r="Q2249" s="2"/>
      <c r="R2249" s="156">
        <f t="shared" si="251"/>
        <v>0</v>
      </c>
      <c r="S2249" s="156">
        <f t="shared" si="252"/>
        <v>0</v>
      </c>
      <c r="T2249" s="133"/>
      <c r="U2249" s="133"/>
      <c r="V2249" s="133"/>
      <c r="W2249" s="133"/>
      <c r="X2249" s="133"/>
      <c r="Y2249" s="133"/>
      <c r="Z2249" s="133"/>
      <c r="AA2249" s="133"/>
      <c r="AB2249" s="133"/>
      <c r="AC2249" s="133"/>
      <c r="AD2249" s="133"/>
      <c r="AE2249" s="133"/>
      <c r="AF2249" s="133"/>
      <c r="AG2249" s="133"/>
      <c r="AH2249" s="133"/>
      <c r="AI2249" s="133"/>
      <c r="AJ2249" s="133"/>
      <c r="AK2249" s="133"/>
      <c r="AL2249" s="133"/>
      <c r="AM2249" s="133"/>
      <c r="AN2249" s="133"/>
      <c r="AO2249" s="133"/>
      <c r="AP2249" s="133"/>
      <c r="AQ2249" s="133"/>
      <c r="AR2249" s="133"/>
      <c r="AS2249" s="153">
        <v>0</v>
      </c>
      <c r="AT2249" s="153">
        <v>0</v>
      </c>
      <c r="AU2249" s="153">
        <v>0</v>
      </c>
      <c r="AV2249" s="135"/>
      <c r="AW2249" s="135"/>
      <c r="AX2249" s="135"/>
      <c r="AY2249" s="135"/>
      <c r="AZ2249" s="135"/>
      <c r="BA2249" s="135"/>
      <c r="BB2249" s="135"/>
      <c r="BC2249" s="135"/>
      <c r="BD2249" s="135"/>
      <c r="BE2249" s="135"/>
      <c r="BF2249" s="135"/>
      <c r="BG2249" s="135"/>
      <c r="BH2249" s="135"/>
      <c r="BI2249" s="2"/>
      <c r="BJ2249" s="136"/>
      <c r="BK2249" s="2"/>
      <c r="BL2249" s="136"/>
      <c r="BM2249" s="136"/>
      <c r="BN2249" s="2"/>
      <c r="BO2249" s="2"/>
      <c r="BP2249" s="136"/>
      <c r="BQ2249" s="137"/>
    </row>
    <row r="2250" spans="1:69" ht="12.75" customHeight="1" x14ac:dyDescent="0.2">
      <c r="A2250" s="2">
        <v>3739</v>
      </c>
      <c r="B2250" s="2"/>
      <c r="C2250" s="2"/>
      <c r="D2250" s="2"/>
      <c r="E2250" s="2"/>
      <c r="F2250" s="132">
        <v>0</v>
      </c>
      <c r="G2250" s="132"/>
      <c r="H2250" s="132">
        <f t="shared" si="255"/>
        <v>0</v>
      </c>
      <c r="I2250" s="132"/>
      <c r="J2250" s="132">
        <f t="shared" si="253"/>
        <v>0</v>
      </c>
      <c r="K2250" s="132">
        <f t="shared" si="256"/>
        <v>0</v>
      </c>
      <c r="L2250" s="132">
        <f t="shared" si="250"/>
        <v>0</v>
      </c>
      <c r="M2250" s="133"/>
      <c r="N2250" s="133">
        <f t="shared" si="254"/>
        <v>0</v>
      </c>
      <c r="O2250" s="134"/>
      <c r="P2250" s="133"/>
      <c r="Q2250" s="2"/>
      <c r="R2250" s="156">
        <f t="shared" si="251"/>
        <v>0</v>
      </c>
      <c r="S2250" s="156">
        <f t="shared" si="252"/>
        <v>0</v>
      </c>
      <c r="T2250" s="133"/>
      <c r="U2250" s="133"/>
      <c r="V2250" s="133"/>
      <c r="W2250" s="133"/>
      <c r="X2250" s="133"/>
      <c r="Y2250" s="133"/>
      <c r="Z2250" s="133"/>
      <c r="AA2250" s="133"/>
      <c r="AB2250" s="133"/>
      <c r="AC2250" s="133"/>
      <c r="AD2250" s="133"/>
      <c r="AE2250" s="133"/>
      <c r="AF2250" s="133"/>
      <c r="AG2250" s="133"/>
      <c r="AH2250" s="133"/>
      <c r="AI2250" s="133"/>
      <c r="AJ2250" s="133"/>
      <c r="AK2250" s="133"/>
      <c r="AL2250" s="133"/>
      <c r="AM2250" s="133"/>
      <c r="AN2250" s="133"/>
      <c r="AO2250" s="133"/>
      <c r="AP2250" s="133"/>
      <c r="AQ2250" s="133"/>
      <c r="AR2250" s="133"/>
      <c r="AS2250" s="153">
        <v>0</v>
      </c>
      <c r="AT2250" s="153">
        <v>0</v>
      </c>
      <c r="AU2250" s="153">
        <v>0</v>
      </c>
      <c r="AV2250" s="135"/>
      <c r="AW2250" s="135"/>
      <c r="AX2250" s="135"/>
      <c r="AY2250" s="135"/>
      <c r="AZ2250" s="135"/>
      <c r="BA2250" s="135"/>
      <c r="BB2250" s="135"/>
      <c r="BC2250" s="135"/>
      <c r="BD2250" s="135"/>
      <c r="BE2250" s="135"/>
      <c r="BF2250" s="135"/>
      <c r="BG2250" s="135"/>
      <c r="BH2250" s="135"/>
      <c r="BI2250" s="2"/>
      <c r="BJ2250" s="136"/>
      <c r="BK2250" s="2"/>
      <c r="BL2250" s="136"/>
      <c r="BM2250" s="136"/>
      <c r="BN2250" s="2"/>
      <c r="BO2250" s="2"/>
      <c r="BP2250" s="136"/>
      <c r="BQ2250" s="137"/>
    </row>
    <row r="2251" spans="1:69" ht="12.75" customHeight="1" x14ac:dyDescent="0.2">
      <c r="A2251" s="2">
        <v>3740</v>
      </c>
      <c r="B2251" s="2"/>
      <c r="C2251" s="2"/>
      <c r="D2251" s="2"/>
      <c r="E2251" s="2"/>
      <c r="F2251" s="132">
        <v>0</v>
      </c>
      <c r="G2251" s="132"/>
      <c r="H2251" s="132">
        <f t="shared" si="255"/>
        <v>0</v>
      </c>
      <c r="I2251" s="132"/>
      <c r="J2251" s="132">
        <f t="shared" si="253"/>
        <v>0</v>
      </c>
      <c r="K2251" s="132">
        <f t="shared" si="256"/>
        <v>0</v>
      </c>
      <c r="L2251" s="132">
        <f t="shared" ref="L2251:L2314" si="257">H2251-J2251</f>
        <v>0</v>
      </c>
      <c r="M2251" s="133"/>
      <c r="N2251" s="133">
        <f t="shared" si="254"/>
        <v>0</v>
      </c>
      <c r="O2251" s="134"/>
      <c r="P2251" s="133"/>
      <c r="Q2251" s="2"/>
      <c r="R2251" s="156">
        <f t="shared" ref="R2251:R2314" si="258">T2251+V2251+X2251+Z2251+AB2251+AD2251+AF2251+AH2251+AJ2251+AL2251+AN2251+AP2251</f>
        <v>0</v>
      </c>
      <c r="S2251" s="156">
        <f t="shared" ref="S2251:S2314" si="259">U2251+W2251+Y2251+AA2251+AC2251+AE2251+AG2251+AI2251+AK2251+AM2251+AO2251+AQ2251</f>
        <v>0</v>
      </c>
      <c r="T2251" s="133"/>
      <c r="U2251" s="133"/>
      <c r="V2251" s="133"/>
      <c r="W2251" s="133"/>
      <c r="X2251" s="133"/>
      <c r="Y2251" s="133"/>
      <c r="Z2251" s="133"/>
      <c r="AA2251" s="133"/>
      <c r="AB2251" s="133"/>
      <c r="AC2251" s="133"/>
      <c r="AD2251" s="133"/>
      <c r="AE2251" s="133"/>
      <c r="AF2251" s="133"/>
      <c r="AG2251" s="133"/>
      <c r="AH2251" s="133"/>
      <c r="AI2251" s="133"/>
      <c r="AJ2251" s="133"/>
      <c r="AK2251" s="133"/>
      <c r="AL2251" s="133"/>
      <c r="AM2251" s="133"/>
      <c r="AN2251" s="133"/>
      <c r="AO2251" s="133"/>
      <c r="AP2251" s="133"/>
      <c r="AQ2251" s="133"/>
      <c r="AR2251" s="133"/>
      <c r="AS2251" s="153">
        <v>0</v>
      </c>
      <c r="AT2251" s="153">
        <v>0</v>
      </c>
      <c r="AU2251" s="153">
        <v>0</v>
      </c>
      <c r="AV2251" s="135"/>
      <c r="AW2251" s="135"/>
      <c r="AX2251" s="135"/>
      <c r="AY2251" s="135"/>
      <c r="AZ2251" s="135"/>
      <c r="BA2251" s="135"/>
      <c r="BB2251" s="135"/>
      <c r="BC2251" s="135"/>
      <c r="BD2251" s="135"/>
      <c r="BE2251" s="135"/>
      <c r="BF2251" s="135"/>
      <c r="BG2251" s="135"/>
      <c r="BH2251" s="135"/>
      <c r="BI2251" s="2"/>
      <c r="BJ2251" s="136"/>
      <c r="BK2251" s="2"/>
      <c r="BL2251" s="136"/>
      <c r="BM2251" s="136"/>
      <c r="BN2251" s="2"/>
      <c r="BO2251" s="2"/>
      <c r="BP2251" s="136"/>
      <c r="BQ2251" s="137"/>
    </row>
    <row r="2252" spans="1:69" ht="12.75" customHeight="1" x14ac:dyDescent="0.2">
      <c r="A2252" s="2">
        <v>3741</v>
      </c>
      <c r="B2252" s="2"/>
      <c r="C2252" s="2"/>
      <c r="D2252" s="2"/>
      <c r="E2252" s="2"/>
      <c r="F2252" s="132">
        <v>0</v>
      </c>
      <c r="G2252" s="132"/>
      <c r="H2252" s="132">
        <f t="shared" si="255"/>
        <v>0</v>
      </c>
      <c r="I2252" s="132"/>
      <c r="J2252" s="132">
        <f t="shared" si="253"/>
        <v>0</v>
      </c>
      <c r="K2252" s="132">
        <f t="shared" si="256"/>
        <v>0</v>
      </c>
      <c r="L2252" s="132">
        <f t="shared" si="257"/>
        <v>0</v>
      </c>
      <c r="M2252" s="133"/>
      <c r="N2252" s="133">
        <f t="shared" si="254"/>
        <v>0</v>
      </c>
      <c r="O2252" s="134"/>
      <c r="P2252" s="133"/>
      <c r="Q2252" s="2"/>
      <c r="R2252" s="156">
        <f t="shared" si="258"/>
        <v>0</v>
      </c>
      <c r="S2252" s="156">
        <f t="shared" si="259"/>
        <v>0</v>
      </c>
      <c r="T2252" s="133"/>
      <c r="U2252" s="133"/>
      <c r="V2252" s="133"/>
      <c r="W2252" s="133"/>
      <c r="X2252" s="133"/>
      <c r="Y2252" s="133"/>
      <c r="Z2252" s="133"/>
      <c r="AA2252" s="133"/>
      <c r="AB2252" s="133"/>
      <c r="AC2252" s="133"/>
      <c r="AD2252" s="133"/>
      <c r="AE2252" s="133"/>
      <c r="AF2252" s="133"/>
      <c r="AG2252" s="133"/>
      <c r="AH2252" s="133"/>
      <c r="AI2252" s="133"/>
      <c r="AJ2252" s="133"/>
      <c r="AK2252" s="133"/>
      <c r="AL2252" s="133"/>
      <c r="AM2252" s="133"/>
      <c r="AN2252" s="133"/>
      <c r="AO2252" s="133"/>
      <c r="AP2252" s="133"/>
      <c r="AQ2252" s="133"/>
      <c r="AR2252" s="133"/>
      <c r="AS2252" s="153">
        <v>0</v>
      </c>
      <c r="AT2252" s="153">
        <v>0</v>
      </c>
      <c r="AU2252" s="153">
        <v>0</v>
      </c>
      <c r="AV2252" s="135"/>
      <c r="AW2252" s="135"/>
      <c r="AX2252" s="135"/>
      <c r="AY2252" s="135"/>
      <c r="AZ2252" s="135"/>
      <c r="BA2252" s="135"/>
      <c r="BB2252" s="135"/>
      <c r="BC2252" s="135"/>
      <c r="BD2252" s="135"/>
      <c r="BE2252" s="135"/>
      <c r="BF2252" s="135"/>
      <c r="BG2252" s="135"/>
      <c r="BH2252" s="135"/>
      <c r="BI2252" s="2"/>
      <c r="BJ2252" s="136"/>
      <c r="BK2252" s="2"/>
      <c r="BL2252" s="136"/>
      <c r="BM2252" s="136"/>
      <c r="BN2252" s="2"/>
      <c r="BO2252" s="2"/>
      <c r="BP2252" s="136"/>
      <c r="BQ2252" s="137"/>
    </row>
    <row r="2253" spans="1:69" ht="12.75" customHeight="1" x14ac:dyDescent="0.2">
      <c r="A2253" s="2">
        <v>3742</v>
      </c>
      <c r="B2253" s="2"/>
      <c r="C2253" s="2"/>
      <c r="D2253" s="2"/>
      <c r="E2253" s="2"/>
      <c r="F2253" s="132">
        <v>0</v>
      </c>
      <c r="G2253" s="132"/>
      <c r="H2253" s="132">
        <f t="shared" si="255"/>
        <v>0</v>
      </c>
      <c r="I2253" s="132"/>
      <c r="J2253" s="132">
        <f t="shared" si="253"/>
        <v>0</v>
      </c>
      <c r="K2253" s="132">
        <f t="shared" si="256"/>
        <v>0</v>
      </c>
      <c r="L2253" s="132">
        <f t="shared" si="257"/>
        <v>0</v>
      </c>
      <c r="M2253" s="133"/>
      <c r="N2253" s="133">
        <f t="shared" si="254"/>
        <v>0</v>
      </c>
      <c r="O2253" s="134"/>
      <c r="P2253" s="133"/>
      <c r="Q2253" s="2"/>
      <c r="R2253" s="156">
        <f t="shared" si="258"/>
        <v>0</v>
      </c>
      <c r="S2253" s="156">
        <f t="shared" si="259"/>
        <v>0</v>
      </c>
      <c r="T2253" s="133"/>
      <c r="U2253" s="133"/>
      <c r="V2253" s="133"/>
      <c r="W2253" s="133"/>
      <c r="X2253" s="133"/>
      <c r="Y2253" s="133"/>
      <c r="Z2253" s="133"/>
      <c r="AA2253" s="133"/>
      <c r="AB2253" s="133"/>
      <c r="AC2253" s="133"/>
      <c r="AD2253" s="133"/>
      <c r="AE2253" s="133"/>
      <c r="AF2253" s="133"/>
      <c r="AG2253" s="133"/>
      <c r="AH2253" s="133"/>
      <c r="AI2253" s="133"/>
      <c r="AJ2253" s="133"/>
      <c r="AK2253" s="133"/>
      <c r="AL2253" s="133"/>
      <c r="AM2253" s="133"/>
      <c r="AN2253" s="133"/>
      <c r="AO2253" s="133"/>
      <c r="AP2253" s="133"/>
      <c r="AQ2253" s="133"/>
      <c r="AR2253" s="133"/>
      <c r="AS2253" s="153">
        <v>0</v>
      </c>
      <c r="AT2253" s="153">
        <v>0</v>
      </c>
      <c r="AU2253" s="153">
        <v>0</v>
      </c>
      <c r="AV2253" s="135"/>
      <c r="AW2253" s="135"/>
      <c r="AX2253" s="135"/>
      <c r="AY2253" s="135"/>
      <c r="AZ2253" s="135"/>
      <c r="BA2253" s="135"/>
      <c r="BB2253" s="135"/>
      <c r="BC2253" s="135"/>
      <c r="BD2253" s="135"/>
      <c r="BE2253" s="135"/>
      <c r="BF2253" s="135"/>
      <c r="BG2253" s="135"/>
      <c r="BH2253" s="135"/>
      <c r="BI2253" s="2"/>
      <c r="BJ2253" s="136"/>
      <c r="BK2253" s="2"/>
      <c r="BL2253" s="136"/>
      <c r="BM2253" s="136"/>
      <c r="BN2253" s="2"/>
      <c r="BO2253" s="2"/>
      <c r="BP2253" s="136"/>
      <c r="BQ2253" s="137"/>
    </row>
    <row r="2254" spans="1:69" ht="12.75" customHeight="1" x14ac:dyDescent="0.2">
      <c r="A2254" s="2">
        <v>3743</v>
      </c>
      <c r="B2254" s="2"/>
      <c r="C2254" s="2"/>
      <c r="D2254" s="2"/>
      <c r="E2254" s="2"/>
      <c r="F2254" s="132">
        <v>0</v>
      </c>
      <c r="G2254" s="132"/>
      <c r="H2254" s="132">
        <f t="shared" si="255"/>
        <v>0</v>
      </c>
      <c r="I2254" s="132"/>
      <c r="J2254" s="132">
        <f t="shared" si="253"/>
        <v>0</v>
      </c>
      <c r="K2254" s="132">
        <f t="shared" si="256"/>
        <v>0</v>
      </c>
      <c r="L2254" s="132">
        <f t="shared" si="257"/>
        <v>0</v>
      </c>
      <c r="M2254" s="133"/>
      <c r="N2254" s="133">
        <f t="shared" si="254"/>
        <v>0</v>
      </c>
      <c r="O2254" s="134"/>
      <c r="P2254" s="133"/>
      <c r="Q2254" s="2"/>
      <c r="R2254" s="156">
        <f t="shared" si="258"/>
        <v>0</v>
      </c>
      <c r="S2254" s="156">
        <f t="shared" si="259"/>
        <v>0</v>
      </c>
      <c r="T2254" s="133"/>
      <c r="U2254" s="133"/>
      <c r="V2254" s="133"/>
      <c r="W2254" s="133"/>
      <c r="X2254" s="133"/>
      <c r="Y2254" s="133"/>
      <c r="Z2254" s="133"/>
      <c r="AA2254" s="133"/>
      <c r="AB2254" s="133"/>
      <c r="AC2254" s="133"/>
      <c r="AD2254" s="133"/>
      <c r="AE2254" s="133"/>
      <c r="AF2254" s="133"/>
      <c r="AG2254" s="133"/>
      <c r="AH2254" s="133"/>
      <c r="AI2254" s="133"/>
      <c r="AJ2254" s="133"/>
      <c r="AK2254" s="133"/>
      <c r="AL2254" s="133"/>
      <c r="AM2254" s="133"/>
      <c r="AN2254" s="133"/>
      <c r="AO2254" s="133"/>
      <c r="AP2254" s="133"/>
      <c r="AQ2254" s="133"/>
      <c r="AR2254" s="133"/>
      <c r="AS2254" s="153">
        <v>0</v>
      </c>
      <c r="AT2254" s="153">
        <v>0</v>
      </c>
      <c r="AU2254" s="153">
        <v>0</v>
      </c>
      <c r="AV2254" s="135"/>
      <c r="AW2254" s="135"/>
      <c r="AX2254" s="135"/>
      <c r="AY2254" s="135"/>
      <c r="AZ2254" s="135"/>
      <c r="BA2254" s="135"/>
      <c r="BB2254" s="135"/>
      <c r="BC2254" s="135"/>
      <c r="BD2254" s="135"/>
      <c r="BE2254" s="135"/>
      <c r="BF2254" s="135"/>
      <c r="BG2254" s="135"/>
      <c r="BH2254" s="135"/>
      <c r="BI2254" s="2"/>
      <c r="BJ2254" s="136"/>
      <c r="BK2254" s="2"/>
      <c r="BL2254" s="136"/>
      <c r="BM2254" s="136"/>
      <c r="BN2254" s="2"/>
      <c r="BO2254" s="2"/>
      <c r="BP2254" s="136"/>
      <c r="BQ2254" s="137"/>
    </row>
    <row r="2255" spans="1:69" ht="12.75" customHeight="1" x14ac:dyDescent="0.2">
      <c r="A2255" s="2">
        <v>3744</v>
      </c>
      <c r="B2255" s="2"/>
      <c r="C2255" s="2"/>
      <c r="D2255" s="2"/>
      <c r="E2255" s="2"/>
      <c r="F2255" s="132">
        <v>0</v>
      </c>
      <c r="G2255" s="132"/>
      <c r="H2255" s="132">
        <f t="shared" si="255"/>
        <v>0</v>
      </c>
      <c r="I2255" s="132"/>
      <c r="J2255" s="132">
        <f t="shared" si="253"/>
        <v>0</v>
      </c>
      <c r="K2255" s="132">
        <f t="shared" si="256"/>
        <v>0</v>
      </c>
      <c r="L2255" s="132">
        <f t="shared" si="257"/>
        <v>0</v>
      </c>
      <c r="M2255" s="133"/>
      <c r="N2255" s="133">
        <f t="shared" si="254"/>
        <v>0</v>
      </c>
      <c r="O2255" s="134"/>
      <c r="P2255" s="133"/>
      <c r="Q2255" s="2"/>
      <c r="R2255" s="156">
        <f t="shared" si="258"/>
        <v>0</v>
      </c>
      <c r="S2255" s="156">
        <f t="shared" si="259"/>
        <v>0</v>
      </c>
      <c r="T2255" s="133"/>
      <c r="U2255" s="133"/>
      <c r="V2255" s="133"/>
      <c r="W2255" s="133"/>
      <c r="X2255" s="133"/>
      <c r="Y2255" s="133"/>
      <c r="Z2255" s="133"/>
      <c r="AA2255" s="133"/>
      <c r="AB2255" s="133"/>
      <c r="AC2255" s="133"/>
      <c r="AD2255" s="133"/>
      <c r="AE2255" s="133"/>
      <c r="AF2255" s="133"/>
      <c r="AG2255" s="133"/>
      <c r="AH2255" s="133"/>
      <c r="AI2255" s="133"/>
      <c r="AJ2255" s="133"/>
      <c r="AK2255" s="133"/>
      <c r="AL2255" s="133"/>
      <c r="AM2255" s="133"/>
      <c r="AN2255" s="133"/>
      <c r="AO2255" s="133"/>
      <c r="AP2255" s="133"/>
      <c r="AQ2255" s="133"/>
      <c r="AR2255" s="133"/>
      <c r="AS2255" s="153">
        <v>0</v>
      </c>
      <c r="AT2255" s="153">
        <v>0</v>
      </c>
      <c r="AU2255" s="153">
        <v>0</v>
      </c>
      <c r="AV2255" s="135"/>
      <c r="AW2255" s="135"/>
      <c r="AX2255" s="135"/>
      <c r="AY2255" s="135"/>
      <c r="AZ2255" s="135"/>
      <c r="BA2255" s="135"/>
      <c r="BB2255" s="135"/>
      <c r="BC2255" s="135"/>
      <c r="BD2255" s="135"/>
      <c r="BE2255" s="135"/>
      <c r="BF2255" s="135"/>
      <c r="BG2255" s="135"/>
      <c r="BH2255" s="135"/>
      <c r="BI2255" s="2"/>
      <c r="BJ2255" s="136"/>
      <c r="BK2255" s="2"/>
      <c r="BL2255" s="136"/>
      <c r="BM2255" s="136"/>
      <c r="BN2255" s="2"/>
      <c r="BO2255" s="2"/>
      <c r="BP2255" s="136"/>
      <c r="BQ2255" s="137"/>
    </row>
    <row r="2256" spans="1:69" ht="12.75" customHeight="1" x14ac:dyDescent="0.2">
      <c r="A2256" s="2">
        <v>3745</v>
      </c>
      <c r="B2256" s="2"/>
      <c r="C2256" s="2"/>
      <c r="D2256" s="2"/>
      <c r="E2256" s="2"/>
      <c r="F2256" s="132">
        <v>0</v>
      </c>
      <c r="G2256" s="132"/>
      <c r="H2256" s="132">
        <f t="shared" si="255"/>
        <v>0</v>
      </c>
      <c r="I2256" s="132"/>
      <c r="J2256" s="132">
        <f t="shared" si="253"/>
        <v>0</v>
      </c>
      <c r="K2256" s="132">
        <f t="shared" si="256"/>
        <v>0</v>
      </c>
      <c r="L2256" s="132">
        <f t="shared" si="257"/>
        <v>0</v>
      </c>
      <c r="M2256" s="133"/>
      <c r="N2256" s="133">
        <f t="shared" si="254"/>
        <v>0</v>
      </c>
      <c r="O2256" s="134"/>
      <c r="P2256" s="133"/>
      <c r="Q2256" s="2"/>
      <c r="R2256" s="156">
        <f t="shared" si="258"/>
        <v>0</v>
      </c>
      <c r="S2256" s="156">
        <f t="shared" si="259"/>
        <v>0</v>
      </c>
      <c r="T2256" s="133"/>
      <c r="U2256" s="133"/>
      <c r="V2256" s="133"/>
      <c r="W2256" s="133"/>
      <c r="X2256" s="133"/>
      <c r="Y2256" s="133"/>
      <c r="Z2256" s="133"/>
      <c r="AA2256" s="133"/>
      <c r="AB2256" s="133"/>
      <c r="AC2256" s="133"/>
      <c r="AD2256" s="133"/>
      <c r="AE2256" s="133"/>
      <c r="AF2256" s="133"/>
      <c r="AG2256" s="133"/>
      <c r="AH2256" s="133"/>
      <c r="AI2256" s="133"/>
      <c r="AJ2256" s="133"/>
      <c r="AK2256" s="133"/>
      <c r="AL2256" s="133"/>
      <c r="AM2256" s="133"/>
      <c r="AN2256" s="133"/>
      <c r="AO2256" s="133"/>
      <c r="AP2256" s="133"/>
      <c r="AQ2256" s="133"/>
      <c r="AR2256" s="133"/>
      <c r="AS2256" s="153">
        <v>0</v>
      </c>
      <c r="AT2256" s="153">
        <v>0</v>
      </c>
      <c r="AU2256" s="153">
        <v>0</v>
      </c>
      <c r="AV2256" s="135"/>
      <c r="AW2256" s="135"/>
      <c r="AX2256" s="135"/>
      <c r="AY2256" s="135"/>
      <c r="AZ2256" s="135"/>
      <c r="BA2256" s="135"/>
      <c r="BB2256" s="135"/>
      <c r="BC2256" s="135"/>
      <c r="BD2256" s="135"/>
      <c r="BE2256" s="135"/>
      <c r="BF2256" s="135"/>
      <c r="BG2256" s="135"/>
      <c r="BH2256" s="135"/>
      <c r="BI2256" s="2"/>
      <c r="BJ2256" s="136"/>
      <c r="BK2256" s="2"/>
      <c r="BL2256" s="136"/>
      <c r="BM2256" s="136"/>
      <c r="BN2256" s="2"/>
      <c r="BO2256" s="2"/>
      <c r="BP2256" s="136"/>
      <c r="BQ2256" s="137"/>
    </row>
    <row r="2257" spans="1:69" ht="12.75" customHeight="1" x14ac:dyDescent="0.2">
      <c r="A2257" s="2">
        <v>3746</v>
      </c>
      <c r="B2257" s="2"/>
      <c r="C2257" s="2"/>
      <c r="D2257" s="2"/>
      <c r="E2257" s="2"/>
      <c r="F2257" s="132">
        <v>0</v>
      </c>
      <c r="G2257" s="132"/>
      <c r="H2257" s="132">
        <f t="shared" si="255"/>
        <v>0</v>
      </c>
      <c r="I2257" s="132"/>
      <c r="J2257" s="132">
        <f t="shared" si="253"/>
        <v>0</v>
      </c>
      <c r="K2257" s="132">
        <f t="shared" si="256"/>
        <v>0</v>
      </c>
      <c r="L2257" s="132">
        <f t="shared" si="257"/>
        <v>0</v>
      </c>
      <c r="M2257" s="133"/>
      <c r="N2257" s="133">
        <f t="shared" si="254"/>
        <v>0</v>
      </c>
      <c r="O2257" s="134"/>
      <c r="P2257" s="133"/>
      <c r="Q2257" s="2"/>
      <c r="R2257" s="156">
        <f t="shared" si="258"/>
        <v>0</v>
      </c>
      <c r="S2257" s="156">
        <f t="shared" si="259"/>
        <v>0</v>
      </c>
      <c r="T2257" s="133"/>
      <c r="U2257" s="133"/>
      <c r="V2257" s="133"/>
      <c r="W2257" s="133"/>
      <c r="X2257" s="133"/>
      <c r="Y2257" s="133"/>
      <c r="Z2257" s="133"/>
      <c r="AA2257" s="133"/>
      <c r="AB2257" s="133"/>
      <c r="AC2257" s="133"/>
      <c r="AD2257" s="133"/>
      <c r="AE2257" s="133"/>
      <c r="AF2257" s="133"/>
      <c r="AG2257" s="133"/>
      <c r="AH2257" s="133"/>
      <c r="AI2257" s="133"/>
      <c r="AJ2257" s="133"/>
      <c r="AK2257" s="133"/>
      <c r="AL2257" s="133"/>
      <c r="AM2257" s="133"/>
      <c r="AN2257" s="133"/>
      <c r="AO2257" s="133"/>
      <c r="AP2257" s="133"/>
      <c r="AQ2257" s="133"/>
      <c r="AR2257" s="133"/>
      <c r="AS2257" s="153">
        <v>0</v>
      </c>
      <c r="AT2257" s="153">
        <v>0</v>
      </c>
      <c r="AU2257" s="153">
        <v>0</v>
      </c>
      <c r="AV2257" s="135"/>
      <c r="AW2257" s="135"/>
      <c r="AX2257" s="135"/>
      <c r="AY2257" s="135"/>
      <c r="AZ2257" s="135"/>
      <c r="BA2257" s="135"/>
      <c r="BB2257" s="135"/>
      <c r="BC2257" s="135"/>
      <c r="BD2257" s="135"/>
      <c r="BE2257" s="135"/>
      <c r="BF2257" s="135"/>
      <c r="BG2257" s="135"/>
      <c r="BH2257" s="135"/>
      <c r="BI2257" s="2"/>
      <c r="BJ2257" s="136"/>
      <c r="BK2257" s="2"/>
      <c r="BL2257" s="136"/>
      <c r="BM2257" s="136"/>
      <c r="BN2257" s="2"/>
      <c r="BO2257" s="2"/>
      <c r="BP2257" s="136"/>
      <c r="BQ2257" s="137"/>
    </row>
    <row r="2258" spans="1:69" ht="12.75" customHeight="1" x14ac:dyDescent="0.2">
      <c r="A2258" s="2">
        <v>3747</v>
      </c>
      <c r="B2258" s="2"/>
      <c r="C2258" s="2"/>
      <c r="D2258" s="2"/>
      <c r="E2258" s="2"/>
      <c r="F2258" s="132">
        <v>0</v>
      </c>
      <c r="G2258" s="132"/>
      <c r="H2258" s="132">
        <f t="shared" si="255"/>
        <v>0</v>
      </c>
      <c r="I2258" s="132"/>
      <c r="J2258" s="132">
        <f t="shared" si="253"/>
        <v>0</v>
      </c>
      <c r="K2258" s="132">
        <f t="shared" si="256"/>
        <v>0</v>
      </c>
      <c r="L2258" s="132">
        <f t="shared" si="257"/>
        <v>0</v>
      </c>
      <c r="M2258" s="133"/>
      <c r="N2258" s="133">
        <f t="shared" si="254"/>
        <v>0</v>
      </c>
      <c r="O2258" s="134"/>
      <c r="P2258" s="133"/>
      <c r="Q2258" s="2"/>
      <c r="R2258" s="156">
        <f t="shared" si="258"/>
        <v>0</v>
      </c>
      <c r="S2258" s="156">
        <f t="shared" si="259"/>
        <v>0</v>
      </c>
      <c r="T2258" s="133"/>
      <c r="U2258" s="133"/>
      <c r="V2258" s="133"/>
      <c r="W2258" s="133"/>
      <c r="X2258" s="133"/>
      <c r="Y2258" s="133"/>
      <c r="Z2258" s="133"/>
      <c r="AA2258" s="133"/>
      <c r="AB2258" s="133"/>
      <c r="AC2258" s="133"/>
      <c r="AD2258" s="133"/>
      <c r="AE2258" s="133"/>
      <c r="AF2258" s="133"/>
      <c r="AG2258" s="133"/>
      <c r="AH2258" s="133"/>
      <c r="AI2258" s="133"/>
      <c r="AJ2258" s="133"/>
      <c r="AK2258" s="133"/>
      <c r="AL2258" s="133"/>
      <c r="AM2258" s="133"/>
      <c r="AN2258" s="133"/>
      <c r="AO2258" s="133"/>
      <c r="AP2258" s="133"/>
      <c r="AQ2258" s="133"/>
      <c r="AR2258" s="133"/>
      <c r="AS2258" s="153">
        <v>0</v>
      </c>
      <c r="AT2258" s="153">
        <v>0</v>
      </c>
      <c r="AU2258" s="153">
        <v>0</v>
      </c>
      <c r="AV2258" s="135"/>
      <c r="AW2258" s="135"/>
      <c r="AX2258" s="135"/>
      <c r="AY2258" s="135"/>
      <c r="AZ2258" s="135"/>
      <c r="BA2258" s="135"/>
      <c r="BB2258" s="135"/>
      <c r="BC2258" s="135"/>
      <c r="BD2258" s="135"/>
      <c r="BE2258" s="135"/>
      <c r="BF2258" s="135"/>
      <c r="BG2258" s="135"/>
      <c r="BH2258" s="135"/>
      <c r="BI2258" s="2"/>
      <c r="BJ2258" s="136"/>
      <c r="BK2258" s="2"/>
      <c r="BL2258" s="136"/>
      <c r="BM2258" s="136"/>
      <c r="BN2258" s="2"/>
      <c r="BO2258" s="2"/>
      <c r="BP2258" s="136"/>
      <c r="BQ2258" s="137"/>
    </row>
    <row r="2259" spans="1:69" ht="12.75" customHeight="1" x14ac:dyDescent="0.2">
      <c r="A2259" s="2">
        <v>3748</v>
      </c>
      <c r="B2259" s="2"/>
      <c r="C2259" s="2"/>
      <c r="D2259" s="2"/>
      <c r="E2259" s="2"/>
      <c r="F2259" s="132">
        <v>0</v>
      </c>
      <c r="G2259" s="132"/>
      <c r="H2259" s="132">
        <f t="shared" si="255"/>
        <v>0</v>
      </c>
      <c r="I2259" s="132"/>
      <c r="J2259" s="132">
        <f t="shared" si="253"/>
        <v>0</v>
      </c>
      <c r="K2259" s="132">
        <f t="shared" si="256"/>
        <v>0</v>
      </c>
      <c r="L2259" s="132">
        <f t="shared" si="257"/>
        <v>0</v>
      </c>
      <c r="M2259" s="133"/>
      <c r="N2259" s="133">
        <f t="shared" si="254"/>
        <v>0</v>
      </c>
      <c r="O2259" s="134"/>
      <c r="P2259" s="133"/>
      <c r="Q2259" s="2"/>
      <c r="R2259" s="156">
        <f t="shared" si="258"/>
        <v>0</v>
      </c>
      <c r="S2259" s="156">
        <f t="shared" si="259"/>
        <v>0</v>
      </c>
      <c r="T2259" s="133"/>
      <c r="U2259" s="133"/>
      <c r="V2259" s="133"/>
      <c r="W2259" s="133"/>
      <c r="X2259" s="133"/>
      <c r="Y2259" s="133"/>
      <c r="Z2259" s="133"/>
      <c r="AA2259" s="133"/>
      <c r="AB2259" s="133"/>
      <c r="AC2259" s="133"/>
      <c r="AD2259" s="133"/>
      <c r="AE2259" s="133"/>
      <c r="AF2259" s="133"/>
      <c r="AG2259" s="133"/>
      <c r="AH2259" s="133"/>
      <c r="AI2259" s="133"/>
      <c r="AJ2259" s="133"/>
      <c r="AK2259" s="133"/>
      <c r="AL2259" s="133"/>
      <c r="AM2259" s="133"/>
      <c r="AN2259" s="133"/>
      <c r="AO2259" s="133"/>
      <c r="AP2259" s="133"/>
      <c r="AQ2259" s="133"/>
      <c r="AR2259" s="133"/>
      <c r="AS2259" s="153">
        <v>0</v>
      </c>
      <c r="AT2259" s="153">
        <v>0</v>
      </c>
      <c r="AU2259" s="153">
        <v>0</v>
      </c>
      <c r="AV2259" s="135"/>
      <c r="AW2259" s="135"/>
      <c r="AX2259" s="135"/>
      <c r="AY2259" s="135"/>
      <c r="AZ2259" s="135"/>
      <c r="BA2259" s="135"/>
      <c r="BB2259" s="135"/>
      <c r="BC2259" s="135"/>
      <c r="BD2259" s="135"/>
      <c r="BE2259" s="135"/>
      <c r="BF2259" s="135"/>
      <c r="BG2259" s="135"/>
      <c r="BH2259" s="135"/>
      <c r="BI2259" s="2"/>
      <c r="BJ2259" s="136"/>
      <c r="BK2259" s="2"/>
      <c r="BL2259" s="136"/>
      <c r="BM2259" s="136"/>
      <c r="BN2259" s="2"/>
      <c r="BO2259" s="2"/>
      <c r="BP2259" s="136"/>
      <c r="BQ2259" s="137"/>
    </row>
    <row r="2260" spans="1:69" ht="12.75" customHeight="1" x14ac:dyDescent="0.2">
      <c r="A2260" s="2">
        <v>3749</v>
      </c>
      <c r="B2260" s="2"/>
      <c r="C2260" s="2"/>
      <c r="D2260" s="2"/>
      <c r="E2260" s="2"/>
      <c r="F2260" s="132">
        <v>0</v>
      </c>
      <c r="G2260" s="132"/>
      <c r="H2260" s="132">
        <f t="shared" si="255"/>
        <v>0</v>
      </c>
      <c r="I2260" s="132"/>
      <c r="J2260" s="132">
        <f t="shared" si="253"/>
        <v>0</v>
      </c>
      <c r="K2260" s="132">
        <f t="shared" si="256"/>
        <v>0</v>
      </c>
      <c r="L2260" s="132">
        <f t="shared" si="257"/>
        <v>0</v>
      </c>
      <c r="M2260" s="133"/>
      <c r="N2260" s="133">
        <f t="shared" si="254"/>
        <v>0</v>
      </c>
      <c r="O2260" s="134"/>
      <c r="P2260" s="133"/>
      <c r="Q2260" s="2"/>
      <c r="R2260" s="156">
        <f t="shared" si="258"/>
        <v>0</v>
      </c>
      <c r="S2260" s="156">
        <f t="shared" si="259"/>
        <v>0</v>
      </c>
      <c r="T2260" s="133"/>
      <c r="U2260" s="133"/>
      <c r="V2260" s="133"/>
      <c r="W2260" s="133"/>
      <c r="X2260" s="133"/>
      <c r="Y2260" s="133"/>
      <c r="Z2260" s="133"/>
      <c r="AA2260" s="133"/>
      <c r="AB2260" s="133"/>
      <c r="AC2260" s="133"/>
      <c r="AD2260" s="133"/>
      <c r="AE2260" s="133"/>
      <c r="AF2260" s="133"/>
      <c r="AG2260" s="133"/>
      <c r="AH2260" s="133"/>
      <c r="AI2260" s="133"/>
      <c r="AJ2260" s="133"/>
      <c r="AK2260" s="133"/>
      <c r="AL2260" s="133"/>
      <c r="AM2260" s="133"/>
      <c r="AN2260" s="133"/>
      <c r="AO2260" s="133"/>
      <c r="AP2260" s="133"/>
      <c r="AQ2260" s="133"/>
      <c r="AR2260" s="133"/>
      <c r="AS2260" s="153">
        <v>0</v>
      </c>
      <c r="AT2260" s="153">
        <v>0</v>
      </c>
      <c r="AU2260" s="153">
        <v>0</v>
      </c>
      <c r="AV2260" s="135"/>
      <c r="AW2260" s="135"/>
      <c r="AX2260" s="135"/>
      <c r="AY2260" s="135"/>
      <c r="AZ2260" s="135"/>
      <c r="BA2260" s="135"/>
      <c r="BB2260" s="135"/>
      <c r="BC2260" s="135"/>
      <c r="BD2260" s="135"/>
      <c r="BE2260" s="135"/>
      <c r="BF2260" s="135"/>
      <c r="BG2260" s="135"/>
      <c r="BH2260" s="135"/>
      <c r="BI2260" s="2"/>
      <c r="BJ2260" s="136"/>
      <c r="BK2260" s="2"/>
      <c r="BL2260" s="136"/>
      <c r="BM2260" s="136"/>
      <c r="BN2260" s="2"/>
      <c r="BO2260" s="2"/>
      <c r="BP2260" s="136"/>
      <c r="BQ2260" s="137"/>
    </row>
    <row r="2261" spans="1:69" ht="12.75" customHeight="1" x14ac:dyDescent="0.2">
      <c r="A2261" s="2">
        <v>3750</v>
      </c>
      <c r="B2261" s="2"/>
      <c r="C2261" s="2"/>
      <c r="D2261" s="2"/>
      <c r="E2261" s="2"/>
      <c r="F2261" s="132">
        <v>0</v>
      </c>
      <c r="G2261" s="132"/>
      <c r="H2261" s="132">
        <f t="shared" si="255"/>
        <v>0</v>
      </c>
      <c r="I2261" s="132"/>
      <c r="J2261" s="132">
        <f t="shared" si="253"/>
        <v>0</v>
      </c>
      <c r="K2261" s="132">
        <f t="shared" si="256"/>
        <v>0</v>
      </c>
      <c r="L2261" s="132">
        <f t="shared" si="257"/>
        <v>0</v>
      </c>
      <c r="M2261" s="133"/>
      <c r="N2261" s="133">
        <f t="shared" si="254"/>
        <v>0</v>
      </c>
      <c r="O2261" s="134"/>
      <c r="P2261" s="133"/>
      <c r="Q2261" s="2"/>
      <c r="R2261" s="156">
        <f t="shared" si="258"/>
        <v>0</v>
      </c>
      <c r="S2261" s="156">
        <f t="shared" si="259"/>
        <v>0</v>
      </c>
      <c r="T2261" s="133"/>
      <c r="U2261" s="133"/>
      <c r="V2261" s="133"/>
      <c r="W2261" s="133"/>
      <c r="X2261" s="133"/>
      <c r="Y2261" s="133"/>
      <c r="Z2261" s="133"/>
      <c r="AA2261" s="133"/>
      <c r="AB2261" s="133"/>
      <c r="AC2261" s="133"/>
      <c r="AD2261" s="133"/>
      <c r="AE2261" s="133"/>
      <c r="AF2261" s="133"/>
      <c r="AG2261" s="133"/>
      <c r="AH2261" s="133"/>
      <c r="AI2261" s="133"/>
      <c r="AJ2261" s="133"/>
      <c r="AK2261" s="133"/>
      <c r="AL2261" s="133"/>
      <c r="AM2261" s="133"/>
      <c r="AN2261" s="133"/>
      <c r="AO2261" s="133"/>
      <c r="AP2261" s="133"/>
      <c r="AQ2261" s="133"/>
      <c r="AR2261" s="133"/>
      <c r="AS2261" s="153">
        <v>0</v>
      </c>
      <c r="AT2261" s="153">
        <v>0</v>
      </c>
      <c r="AU2261" s="153">
        <v>0</v>
      </c>
      <c r="AV2261" s="135"/>
      <c r="AW2261" s="135"/>
      <c r="AX2261" s="135"/>
      <c r="AY2261" s="135"/>
      <c r="AZ2261" s="135"/>
      <c r="BA2261" s="135"/>
      <c r="BB2261" s="135"/>
      <c r="BC2261" s="135"/>
      <c r="BD2261" s="135"/>
      <c r="BE2261" s="135"/>
      <c r="BF2261" s="135"/>
      <c r="BG2261" s="135"/>
      <c r="BH2261" s="135"/>
      <c r="BI2261" s="2"/>
      <c r="BJ2261" s="136"/>
      <c r="BK2261" s="2"/>
      <c r="BL2261" s="136"/>
      <c r="BM2261" s="136"/>
      <c r="BN2261" s="2"/>
      <c r="BO2261" s="2"/>
      <c r="BP2261" s="136"/>
      <c r="BQ2261" s="137"/>
    </row>
    <row r="2262" spans="1:69" ht="12.75" customHeight="1" x14ac:dyDescent="0.2">
      <c r="A2262" s="2">
        <v>3751</v>
      </c>
      <c r="B2262" s="2"/>
      <c r="C2262" s="2"/>
      <c r="D2262" s="2"/>
      <c r="E2262" s="2"/>
      <c r="F2262" s="132">
        <v>0</v>
      </c>
      <c r="G2262" s="132"/>
      <c r="H2262" s="132">
        <f t="shared" si="255"/>
        <v>0</v>
      </c>
      <c r="I2262" s="132"/>
      <c r="J2262" s="132">
        <f t="shared" si="253"/>
        <v>0</v>
      </c>
      <c r="K2262" s="132">
        <f t="shared" si="256"/>
        <v>0</v>
      </c>
      <c r="L2262" s="132">
        <f t="shared" si="257"/>
        <v>0</v>
      </c>
      <c r="M2262" s="133"/>
      <c r="N2262" s="133">
        <f t="shared" si="254"/>
        <v>0</v>
      </c>
      <c r="O2262" s="134"/>
      <c r="P2262" s="133"/>
      <c r="Q2262" s="2"/>
      <c r="R2262" s="156">
        <f t="shared" si="258"/>
        <v>0</v>
      </c>
      <c r="S2262" s="156">
        <f t="shared" si="259"/>
        <v>0</v>
      </c>
      <c r="T2262" s="133"/>
      <c r="U2262" s="133"/>
      <c r="V2262" s="133"/>
      <c r="W2262" s="133"/>
      <c r="X2262" s="133"/>
      <c r="Y2262" s="133"/>
      <c r="Z2262" s="133"/>
      <c r="AA2262" s="133"/>
      <c r="AB2262" s="133"/>
      <c r="AC2262" s="133"/>
      <c r="AD2262" s="133"/>
      <c r="AE2262" s="133"/>
      <c r="AF2262" s="133"/>
      <c r="AG2262" s="133"/>
      <c r="AH2262" s="133"/>
      <c r="AI2262" s="133"/>
      <c r="AJ2262" s="133"/>
      <c r="AK2262" s="133"/>
      <c r="AL2262" s="133"/>
      <c r="AM2262" s="133"/>
      <c r="AN2262" s="133"/>
      <c r="AO2262" s="133"/>
      <c r="AP2262" s="133"/>
      <c r="AQ2262" s="133"/>
      <c r="AR2262" s="133"/>
      <c r="AS2262" s="153">
        <v>0</v>
      </c>
      <c r="AT2262" s="153">
        <v>0</v>
      </c>
      <c r="AU2262" s="153">
        <v>0</v>
      </c>
      <c r="AV2262" s="135"/>
      <c r="AW2262" s="135"/>
      <c r="AX2262" s="135"/>
      <c r="AY2262" s="135"/>
      <c r="AZ2262" s="135"/>
      <c r="BA2262" s="135"/>
      <c r="BB2262" s="135"/>
      <c r="BC2262" s="135"/>
      <c r="BD2262" s="135"/>
      <c r="BE2262" s="135"/>
      <c r="BF2262" s="135"/>
      <c r="BG2262" s="135"/>
      <c r="BH2262" s="135"/>
      <c r="BI2262" s="2"/>
      <c r="BJ2262" s="136"/>
      <c r="BK2262" s="2"/>
      <c r="BL2262" s="136"/>
      <c r="BM2262" s="136"/>
      <c r="BN2262" s="2"/>
      <c r="BO2262" s="2"/>
      <c r="BP2262" s="136"/>
      <c r="BQ2262" s="137"/>
    </row>
    <row r="2263" spans="1:69" ht="12.75" customHeight="1" x14ac:dyDescent="0.2">
      <c r="A2263" s="2">
        <v>3752</v>
      </c>
      <c r="B2263" s="2"/>
      <c r="C2263" s="2"/>
      <c r="D2263" s="2"/>
      <c r="E2263" s="2"/>
      <c r="F2263" s="132">
        <v>0</v>
      </c>
      <c r="G2263" s="132"/>
      <c r="H2263" s="132">
        <f t="shared" si="255"/>
        <v>0</v>
      </c>
      <c r="I2263" s="132"/>
      <c r="J2263" s="132">
        <f t="shared" si="253"/>
        <v>0</v>
      </c>
      <c r="K2263" s="132">
        <f t="shared" si="256"/>
        <v>0</v>
      </c>
      <c r="L2263" s="132">
        <f t="shared" si="257"/>
        <v>0</v>
      </c>
      <c r="M2263" s="133"/>
      <c r="N2263" s="133">
        <f t="shared" si="254"/>
        <v>0</v>
      </c>
      <c r="O2263" s="134"/>
      <c r="P2263" s="133"/>
      <c r="Q2263" s="2"/>
      <c r="R2263" s="156">
        <f t="shared" si="258"/>
        <v>0</v>
      </c>
      <c r="S2263" s="156">
        <f t="shared" si="259"/>
        <v>0</v>
      </c>
      <c r="T2263" s="133"/>
      <c r="U2263" s="133"/>
      <c r="V2263" s="133"/>
      <c r="W2263" s="133"/>
      <c r="X2263" s="133"/>
      <c r="Y2263" s="133"/>
      <c r="Z2263" s="133"/>
      <c r="AA2263" s="133"/>
      <c r="AB2263" s="133"/>
      <c r="AC2263" s="133"/>
      <c r="AD2263" s="133"/>
      <c r="AE2263" s="133"/>
      <c r="AF2263" s="133"/>
      <c r="AG2263" s="133"/>
      <c r="AH2263" s="133"/>
      <c r="AI2263" s="133"/>
      <c r="AJ2263" s="133"/>
      <c r="AK2263" s="133"/>
      <c r="AL2263" s="133"/>
      <c r="AM2263" s="133"/>
      <c r="AN2263" s="133"/>
      <c r="AO2263" s="133"/>
      <c r="AP2263" s="133"/>
      <c r="AQ2263" s="133"/>
      <c r="AR2263" s="133"/>
      <c r="AS2263" s="153">
        <v>0</v>
      </c>
      <c r="AT2263" s="153">
        <v>0</v>
      </c>
      <c r="AU2263" s="153">
        <v>0</v>
      </c>
      <c r="AV2263" s="135"/>
      <c r="AW2263" s="135"/>
      <c r="AX2263" s="135"/>
      <c r="AY2263" s="135"/>
      <c r="AZ2263" s="135"/>
      <c r="BA2263" s="135"/>
      <c r="BB2263" s="135"/>
      <c r="BC2263" s="135"/>
      <c r="BD2263" s="135"/>
      <c r="BE2263" s="135"/>
      <c r="BF2263" s="135"/>
      <c r="BG2263" s="135"/>
      <c r="BH2263" s="135"/>
      <c r="BI2263" s="2"/>
      <c r="BJ2263" s="136"/>
      <c r="BK2263" s="2"/>
      <c r="BL2263" s="136"/>
      <c r="BM2263" s="136"/>
      <c r="BN2263" s="2"/>
      <c r="BO2263" s="2"/>
      <c r="BP2263" s="136"/>
      <c r="BQ2263" s="137"/>
    </row>
    <row r="2264" spans="1:69" ht="12.75" customHeight="1" x14ac:dyDescent="0.2">
      <c r="A2264" s="2">
        <v>3753</v>
      </c>
      <c r="B2264" s="2"/>
      <c r="C2264" s="2"/>
      <c r="D2264" s="2"/>
      <c r="E2264" s="2"/>
      <c r="F2264" s="132">
        <v>0</v>
      </c>
      <c r="G2264" s="132"/>
      <c r="H2264" s="132">
        <f t="shared" si="255"/>
        <v>0</v>
      </c>
      <c r="I2264" s="132"/>
      <c r="J2264" s="132">
        <f t="shared" si="253"/>
        <v>0</v>
      </c>
      <c r="K2264" s="132">
        <f t="shared" si="256"/>
        <v>0</v>
      </c>
      <c r="L2264" s="132">
        <f t="shared" si="257"/>
        <v>0</v>
      </c>
      <c r="M2264" s="133"/>
      <c r="N2264" s="133">
        <f t="shared" si="254"/>
        <v>0</v>
      </c>
      <c r="O2264" s="134"/>
      <c r="P2264" s="133"/>
      <c r="Q2264" s="2"/>
      <c r="R2264" s="156">
        <f t="shared" si="258"/>
        <v>0</v>
      </c>
      <c r="S2264" s="156">
        <f t="shared" si="259"/>
        <v>0</v>
      </c>
      <c r="T2264" s="133"/>
      <c r="U2264" s="133"/>
      <c r="V2264" s="133"/>
      <c r="W2264" s="133"/>
      <c r="X2264" s="133"/>
      <c r="Y2264" s="133"/>
      <c r="Z2264" s="133"/>
      <c r="AA2264" s="133"/>
      <c r="AB2264" s="133"/>
      <c r="AC2264" s="133"/>
      <c r="AD2264" s="133"/>
      <c r="AE2264" s="133"/>
      <c r="AF2264" s="133"/>
      <c r="AG2264" s="133"/>
      <c r="AH2264" s="133"/>
      <c r="AI2264" s="133"/>
      <c r="AJ2264" s="133"/>
      <c r="AK2264" s="133"/>
      <c r="AL2264" s="133"/>
      <c r="AM2264" s="133"/>
      <c r="AN2264" s="133"/>
      <c r="AO2264" s="133"/>
      <c r="AP2264" s="133"/>
      <c r="AQ2264" s="133"/>
      <c r="AR2264" s="133"/>
      <c r="AS2264" s="153">
        <v>0</v>
      </c>
      <c r="AT2264" s="153">
        <v>0</v>
      </c>
      <c r="AU2264" s="153">
        <v>0</v>
      </c>
      <c r="AV2264" s="135"/>
      <c r="AW2264" s="135"/>
      <c r="AX2264" s="135"/>
      <c r="AY2264" s="135"/>
      <c r="AZ2264" s="135"/>
      <c r="BA2264" s="135"/>
      <c r="BB2264" s="135"/>
      <c r="BC2264" s="135"/>
      <c r="BD2264" s="135"/>
      <c r="BE2264" s="135"/>
      <c r="BF2264" s="135"/>
      <c r="BG2264" s="135"/>
      <c r="BH2264" s="135"/>
      <c r="BI2264" s="2"/>
      <c r="BJ2264" s="136"/>
      <c r="BK2264" s="2"/>
      <c r="BL2264" s="136"/>
      <c r="BM2264" s="136"/>
      <c r="BN2264" s="2"/>
      <c r="BO2264" s="2"/>
      <c r="BP2264" s="136"/>
      <c r="BQ2264" s="137"/>
    </row>
    <row r="2265" spans="1:69" ht="12.75" customHeight="1" x14ac:dyDescent="0.2">
      <c r="A2265" s="2">
        <v>3754</v>
      </c>
      <c r="B2265" s="2"/>
      <c r="C2265" s="2"/>
      <c r="D2265" s="2"/>
      <c r="E2265" s="2"/>
      <c r="F2265" s="132">
        <v>0</v>
      </c>
      <c r="G2265" s="132"/>
      <c r="H2265" s="132">
        <f t="shared" si="255"/>
        <v>0</v>
      </c>
      <c r="I2265" s="132"/>
      <c r="J2265" s="132">
        <f t="shared" si="253"/>
        <v>0</v>
      </c>
      <c r="K2265" s="132">
        <f t="shared" si="256"/>
        <v>0</v>
      </c>
      <c r="L2265" s="132">
        <f t="shared" si="257"/>
        <v>0</v>
      </c>
      <c r="M2265" s="133"/>
      <c r="N2265" s="133">
        <f t="shared" si="254"/>
        <v>0</v>
      </c>
      <c r="O2265" s="134"/>
      <c r="P2265" s="133"/>
      <c r="Q2265" s="2"/>
      <c r="R2265" s="156">
        <f t="shared" si="258"/>
        <v>0</v>
      </c>
      <c r="S2265" s="156">
        <f t="shared" si="259"/>
        <v>0</v>
      </c>
      <c r="T2265" s="133"/>
      <c r="U2265" s="133"/>
      <c r="V2265" s="133"/>
      <c r="W2265" s="133"/>
      <c r="X2265" s="133"/>
      <c r="Y2265" s="133"/>
      <c r="Z2265" s="133"/>
      <c r="AA2265" s="133"/>
      <c r="AB2265" s="133"/>
      <c r="AC2265" s="133"/>
      <c r="AD2265" s="133"/>
      <c r="AE2265" s="133"/>
      <c r="AF2265" s="133"/>
      <c r="AG2265" s="133"/>
      <c r="AH2265" s="133"/>
      <c r="AI2265" s="133"/>
      <c r="AJ2265" s="133"/>
      <c r="AK2265" s="133"/>
      <c r="AL2265" s="133"/>
      <c r="AM2265" s="133"/>
      <c r="AN2265" s="133"/>
      <c r="AO2265" s="133"/>
      <c r="AP2265" s="133"/>
      <c r="AQ2265" s="133"/>
      <c r="AR2265" s="133"/>
      <c r="AS2265" s="153">
        <v>0</v>
      </c>
      <c r="AT2265" s="153">
        <v>0</v>
      </c>
      <c r="AU2265" s="153">
        <v>0</v>
      </c>
      <c r="AV2265" s="135"/>
      <c r="AW2265" s="135"/>
      <c r="AX2265" s="135"/>
      <c r="AY2265" s="135"/>
      <c r="AZ2265" s="135"/>
      <c r="BA2265" s="135"/>
      <c r="BB2265" s="135"/>
      <c r="BC2265" s="135"/>
      <c r="BD2265" s="135"/>
      <c r="BE2265" s="135"/>
      <c r="BF2265" s="135"/>
      <c r="BG2265" s="135"/>
      <c r="BH2265" s="135"/>
      <c r="BI2265" s="2"/>
      <c r="BJ2265" s="136"/>
      <c r="BK2265" s="2"/>
      <c r="BL2265" s="136"/>
      <c r="BM2265" s="136"/>
      <c r="BN2265" s="2"/>
      <c r="BO2265" s="2"/>
      <c r="BP2265" s="136"/>
      <c r="BQ2265" s="137"/>
    </row>
    <row r="2266" spans="1:69" ht="12.75" customHeight="1" x14ac:dyDescent="0.2">
      <c r="A2266" s="2">
        <v>3755</v>
      </c>
      <c r="B2266" s="2"/>
      <c r="C2266" s="2"/>
      <c r="D2266" s="2"/>
      <c r="E2266" s="2"/>
      <c r="F2266" s="132">
        <v>0</v>
      </c>
      <c r="G2266" s="132"/>
      <c r="H2266" s="132">
        <f t="shared" si="255"/>
        <v>0</v>
      </c>
      <c r="I2266" s="132"/>
      <c r="J2266" s="132">
        <f t="shared" si="253"/>
        <v>0</v>
      </c>
      <c r="K2266" s="132">
        <f t="shared" si="256"/>
        <v>0</v>
      </c>
      <c r="L2266" s="132">
        <f t="shared" si="257"/>
        <v>0</v>
      </c>
      <c r="M2266" s="133"/>
      <c r="N2266" s="133">
        <f t="shared" si="254"/>
        <v>0</v>
      </c>
      <c r="O2266" s="134"/>
      <c r="P2266" s="133"/>
      <c r="Q2266" s="2"/>
      <c r="R2266" s="156">
        <f t="shared" si="258"/>
        <v>0</v>
      </c>
      <c r="S2266" s="156">
        <f t="shared" si="259"/>
        <v>0</v>
      </c>
      <c r="T2266" s="133"/>
      <c r="U2266" s="133"/>
      <c r="V2266" s="133"/>
      <c r="W2266" s="133"/>
      <c r="X2266" s="133"/>
      <c r="Y2266" s="133"/>
      <c r="Z2266" s="133"/>
      <c r="AA2266" s="133"/>
      <c r="AB2266" s="133"/>
      <c r="AC2266" s="133"/>
      <c r="AD2266" s="133"/>
      <c r="AE2266" s="133"/>
      <c r="AF2266" s="133"/>
      <c r="AG2266" s="133"/>
      <c r="AH2266" s="133"/>
      <c r="AI2266" s="133"/>
      <c r="AJ2266" s="133"/>
      <c r="AK2266" s="133"/>
      <c r="AL2266" s="133"/>
      <c r="AM2266" s="133"/>
      <c r="AN2266" s="133"/>
      <c r="AO2266" s="133"/>
      <c r="AP2266" s="133"/>
      <c r="AQ2266" s="133"/>
      <c r="AR2266" s="133"/>
      <c r="AS2266" s="153">
        <v>0</v>
      </c>
      <c r="AT2266" s="153">
        <v>0</v>
      </c>
      <c r="AU2266" s="153">
        <v>0</v>
      </c>
      <c r="AV2266" s="135"/>
      <c r="AW2266" s="135"/>
      <c r="AX2266" s="135"/>
      <c r="AY2266" s="135"/>
      <c r="AZ2266" s="135"/>
      <c r="BA2266" s="135"/>
      <c r="BB2266" s="135"/>
      <c r="BC2266" s="135"/>
      <c r="BD2266" s="135"/>
      <c r="BE2266" s="135"/>
      <c r="BF2266" s="135"/>
      <c r="BG2266" s="135"/>
      <c r="BH2266" s="135"/>
      <c r="BI2266" s="2"/>
      <c r="BJ2266" s="136"/>
      <c r="BK2266" s="2"/>
      <c r="BL2266" s="136"/>
      <c r="BM2266" s="136"/>
      <c r="BN2266" s="2"/>
      <c r="BO2266" s="2"/>
      <c r="BP2266" s="136"/>
      <c r="BQ2266" s="137"/>
    </row>
    <row r="2267" spans="1:69" ht="12.75" customHeight="1" x14ac:dyDescent="0.2">
      <c r="A2267" s="2">
        <v>3756</v>
      </c>
      <c r="B2267" s="2"/>
      <c r="C2267" s="2"/>
      <c r="D2267" s="2"/>
      <c r="E2267" s="2"/>
      <c r="F2267" s="132">
        <v>0</v>
      </c>
      <c r="G2267" s="132"/>
      <c r="H2267" s="132">
        <f t="shared" si="255"/>
        <v>0</v>
      </c>
      <c r="I2267" s="132"/>
      <c r="J2267" s="132">
        <f t="shared" si="253"/>
        <v>0</v>
      </c>
      <c r="K2267" s="132">
        <f t="shared" si="256"/>
        <v>0</v>
      </c>
      <c r="L2267" s="132">
        <f t="shared" si="257"/>
        <v>0</v>
      </c>
      <c r="M2267" s="133"/>
      <c r="N2267" s="133">
        <f t="shared" si="254"/>
        <v>0</v>
      </c>
      <c r="O2267" s="134"/>
      <c r="P2267" s="133"/>
      <c r="Q2267" s="2"/>
      <c r="R2267" s="156">
        <f t="shared" si="258"/>
        <v>0</v>
      </c>
      <c r="S2267" s="156">
        <f t="shared" si="259"/>
        <v>0</v>
      </c>
      <c r="T2267" s="133"/>
      <c r="U2267" s="133"/>
      <c r="V2267" s="133"/>
      <c r="W2267" s="133"/>
      <c r="X2267" s="133"/>
      <c r="Y2267" s="133"/>
      <c r="Z2267" s="133"/>
      <c r="AA2267" s="133"/>
      <c r="AB2267" s="133"/>
      <c r="AC2267" s="133"/>
      <c r="AD2267" s="133"/>
      <c r="AE2267" s="133"/>
      <c r="AF2267" s="133"/>
      <c r="AG2267" s="133"/>
      <c r="AH2267" s="133"/>
      <c r="AI2267" s="133"/>
      <c r="AJ2267" s="133"/>
      <c r="AK2267" s="133"/>
      <c r="AL2267" s="133"/>
      <c r="AM2267" s="133"/>
      <c r="AN2267" s="133"/>
      <c r="AO2267" s="133"/>
      <c r="AP2267" s="133"/>
      <c r="AQ2267" s="133"/>
      <c r="AR2267" s="133"/>
      <c r="AS2267" s="153">
        <v>0</v>
      </c>
      <c r="AT2267" s="153">
        <v>0</v>
      </c>
      <c r="AU2267" s="153">
        <v>0</v>
      </c>
      <c r="AV2267" s="135"/>
      <c r="AW2267" s="135"/>
      <c r="AX2267" s="135"/>
      <c r="AY2267" s="135"/>
      <c r="AZ2267" s="135"/>
      <c r="BA2267" s="135"/>
      <c r="BB2267" s="135"/>
      <c r="BC2267" s="135"/>
      <c r="BD2267" s="135"/>
      <c r="BE2267" s="135"/>
      <c r="BF2267" s="135"/>
      <c r="BG2267" s="135"/>
      <c r="BH2267" s="135"/>
      <c r="BI2267" s="2"/>
      <c r="BJ2267" s="136"/>
      <c r="BK2267" s="2"/>
      <c r="BL2267" s="136"/>
      <c r="BM2267" s="136"/>
      <c r="BN2267" s="2"/>
      <c r="BO2267" s="2"/>
      <c r="BP2267" s="136"/>
      <c r="BQ2267" s="137"/>
    </row>
    <row r="2268" spans="1:69" ht="12.75" customHeight="1" x14ac:dyDescent="0.2">
      <c r="A2268" s="2">
        <v>3757</v>
      </c>
      <c r="B2268" s="2"/>
      <c r="C2268" s="2"/>
      <c r="D2268" s="2"/>
      <c r="E2268" s="2"/>
      <c r="F2268" s="132">
        <v>0</v>
      </c>
      <c r="G2268" s="132"/>
      <c r="H2268" s="132">
        <f t="shared" si="255"/>
        <v>0</v>
      </c>
      <c r="I2268" s="132"/>
      <c r="J2268" s="132">
        <f t="shared" si="253"/>
        <v>0</v>
      </c>
      <c r="K2268" s="132">
        <f t="shared" si="256"/>
        <v>0</v>
      </c>
      <c r="L2268" s="132">
        <f t="shared" si="257"/>
        <v>0</v>
      </c>
      <c r="M2268" s="133"/>
      <c r="N2268" s="133">
        <f t="shared" si="254"/>
        <v>0</v>
      </c>
      <c r="O2268" s="134"/>
      <c r="P2268" s="133"/>
      <c r="Q2268" s="2"/>
      <c r="R2268" s="156">
        <f t="shared" si="258"/>
        <v>0</v>
      </c>
      <c r="S2268" s="156">
        <f t="shared" si="259"/>
        <v>0</v>
      </c>
      <c r="T2268" s="133"/>
      <c r="U2268" s="133"/>
      <c r="V2268" s="133"/>
      <c r="W2268" s="133"/>
      <c r="X2268" s="133"/>
      <c r="Y2268" s="133"/>
      <c r="Z2268" s="133"/>
      <c r="AA2268" s="133"/>
      <c r="AB2268" s="133"/>
      <c r="AC2268" s="133"/>
      <c r="AD2268" s="133"/>
      <c r="AE2268" s="133"/>
      <c r="AF2268" s="133"/>
      <c r="AG2268" s="133"/>
      <c r="AH2268" s="133"/>
      <c r="AI2268" s="133"/>
      <c r="AJ2268" s="133"/>
      <c r="AK2268" s="133"/>
      <c r="AL2268" s="133"/>
      <c r="AM2268" s="133"/>
      <c r="AN2268" s="133"/>
      <c r="AO2268" s="133"/>
      <c r="AP2268" s="133"/>
      <c r="AQ2268" s="133"/>
      <c r="AR2268" s="133"/>
      <c r="AS2268" s="153">
        <v>0</v>
      </c>
      <c r="AT2268" s="153">
        <v>0</v>
      </c>
      <c r="AU2268" s="153">
        <v>0</v>
      </c>
      <c r="AV2268" s="135"/>
      <c r="AW2268" s="135"/>
      <c r="AX2268" s="135"/>
      <c r="AY2268" s="135"/>
      <c r="AZ2268" s="135"/>
      <c r="BA2268" s="135"/>
      <c r="BB2268" s="135"/>
      <c r="BC2268" s="135"/>
      <c r="BD2268" s="135"/>
      <c r="BE2268" s="135"/>
      <c r="BF2268" s="135"/>
      <c r="BG2268" s="135"/>
      <c r="BH2268" s="135"/>
      <c r="BI2268" s="2"/>
      <c r="BJ2268" s="136"/>
      <c r="BK2268" s="2"/>
      <c r="BL2268" s="136"/>
      <c r="BM2268" s="136"/>
      <c r="BN2268" s="2"/>
      <c r="BO2268" s="2"/>
      <c r="BP2268" s="136"/>
      <c r="BQ2268" s="137"/>
    </row>
    <row r="2269" spans="1:69" ht="12.75" customHeight="1" x14ac:dyDescent="0.2">
      <c r="A2269" s="2">
        <v>3758</v>
      </c>
      <c r="B2269" s="2"/>
      <c r="C2269" s="2"/>
      <c r="D2269" s="2"/>
      <c r="E2269" s="2"/>
      <c r="F2269" s="132">
        <v>0</v>
      </c>
      <c r="G2269" s="132"/>
      <c r="H2269" s="132">
        <f t="shared" si="255"/>
        <v>0</v>
      </c>
      <c r="I2269" s="132"/>
      <c r="J2269" s="132">
        <f t="shared" si="253"/>
        <v>0</v>
      </c>
      <c r="K2269" s="132">
        <f t="shared" si="256"/>
        <v>0</v>
      </c>
      <c r="L2269" s="132">
        <f t="shared" si="257"/>
        <v>0</v>
      </c>
      <c r="M2269" s="133"/>
      <c r="N2269" s="133">
        <f t="shared" si="254"/>
        <v>0</v>
      </c>
      <c r="O2269" s="134"/>
      <c r="P2269" s="133"/>
      <c r="Q2269" s="2"/>
      <c r="R2269" s="156">
        <f t="shared" si="258"/>
        <v>0</v>
      </c>
      <c r="S2269" s="156">
        <f t="shared" si="259"/>
        <v>0</v>
      </c>
      <c r="T2269" s="133"/>
      <c r="U2269" s="133"/>
      <c r="V2269" s="133"/>
      <c r="W2269" s="133"/>
      <c r="X2269" s="133"/>
      <c r="Y2269" s="133"/>
      <c r="Z2269" s="133"/>
      <c r="AA2269" s="133"/>
      <c r="AB2269" s="133"/>
      <c r="AC2269" s="133"/>
      <c r="AD2269" s="133"/>
      <c r="AE2269" s="133"/>
      <c r="AF2269" s="133"/>
      <c r="AG2269" s="133"/>
      <c r="AH2269" s="133"/>
      <c r="AI2269" s="133"/>
      <c r="AJ2269" s="133"/>
      <c r="AK2269" s="133"/>
      <c r="AL2269" s="133"/>
      <c r="AM2269" s="133"/>
      <c r="AN2269" s="133"/>
      <c r="AO2269" s="133"/>
      <c r="AP2269" s="133"/>
      <c r="AQ2269" s="133"/>
      <c r="AR2269" s="133"/>
      <c r="AS2269" s="153">
        <v>0</v>
      </c>
      <c r="AT2269" s="153">
        <v>0</v>
      </c>
      <c r="AU2269" s="153">
        <v>0</v>
      </c>
      <c r="AV2269" s="135"/>
      <c r="AW2269" s="135"/>
      <c r="AX2269" s="135"/>
      <c r="AY2269" s="135"/>
      <c r="AZ2269" s="135"/>
      <c r="BA2269" s="135"/>
      <c r="BB2269" s="135"/>
      <c r="BC2269" s="135"/>
      <c r="BD2269" s="135"/>
      <c r="BE2269" s="135"/>
      <c r="BF2269" s="135"/>
      <c r="BG2269" s="135"/>
      <c r="BH2269" s="135"/>
      <c r="BI2269" s="2"/>
      <c r="BJ2269" s="136"/>
      <c r="BK2269" s="2"/>
      <c r="BL2269" s="136"/>
      <c r="BM2269" s="136"/>
      <c r="BN2269" s="2"/>
      <c r="BO2269" s="2"/>
      <c r="BP2269" s="136"/>
      <c r="BQ2269" s="137"/>
    </row>
    <row r="2270" spans="1:69" ht="12.75" customHeight="1" x14ac:dyDescent="0.2">
      <c r="A2270" s="2">
        <v>3759</v>
      </c>
      <c r="B2270" s="2"/>
      <c r="C2270" s="2"/>
      <c r="D2270" s="2"/>
      <c r="E2270" s="2"/>
      <c r="F2270" s="132">
        <v>0</v>
      </c>
      <c r="G2270" s="132"/>
      <c r="H2270" s="132">
        <f t="shared" si="255"/>
        <v>0</v>
      </c>
      <c r="I2270" s="132"/>
      <c r="J2270" s="132">
        <f t="shared" si="253"/>
        <v>0</v>
      </c>
      <c r="K2270" s="132">
        <f t="shared" si="256"/>
        <v>0</v>
      </c>
      <c r="L2270" s="132">
        <f t="shared" si="257"/>
        <v>0</v>
      </c>
      <c r="M2270" s="133"/>
      <c r="N2270" s="133">
        <f t="shared" si="254"/>
        <v>0</v>
      </c>
      <c r="O2270" s="134"/>
      <c r="P2270" s="133"/>
      <c r="Q2270" s="2"/>
      <c r="R2270" s="156">
        <f t="shared" si="258"/>
        <v>0</v>
      </c>
      <c r="S2270" s="156">
        <f t="shared" si="259"/>
        <v>0</v>
      </c>
      <c r="T2270" s="133"/>
      <c r="U2270" s="133"/>
      <c r="V2270" s="133"/>
      <c r="W2270" s="133"/>
      <c r="X2270" s="133"/>
      <c r="Y2270" s="133"/>
      <c r="Z2270" s="133"/>
      <c r="AA2270" s="133"/>
      <c r="AB2270" s="133"/>
      <c r="AC2270" s="133"/>
      <c r="AD2270" s="133"/>
      <c r="AE2270" s="133"/>
      <c r="AF2270" s="133"/>
      <c r="AG2270" s="133"/>
      <c r="AH2270" s="133"/>
      <c r="AI2270" s="133"/>
      <c r="AJ2270" s="133"/>
      <c r="AK2270" s="133"/>
      <c r="AL2270" s="133"/>
      <c r="AM2270" s="133"/>
      <c r="AN2270" s="133"/>
      <c r="AO2270" s="133"/>
      <c r="AP2270" s="133"/>
      <c r="AQ2270" s="133"/>
      <c r="AR2270" s="133"/>
      <c r="AS2270" s="153">
        <v>0</v>
      </c>
      <c r="AT2270" s="153">
        <v>0</v>
      </c>
      <c r="AU2270" s="153">
        <v>0</v>
      </c>
      <c r="AV2270" s="135"/>
      <c r="AW2270" s="135"/>
      <c r="AX2270" s="135"/>
      <c r="AY2270" s="135"/>
      <c r="AZ2270" s="135"/>
      <c r="BA2270" s="135"/>
      <c r="BB2270" s="135"/>
      <c r="BC2270" s="135"/>
      <c r="BD2270" s="135"/>
      <c r="BE2270" s="135"/>
      <c r="BF2270" s="135"/>
      <c r="BG2270" s="135"/>
      <c r="BH2270" s="135"/>
      <c r="BI2270" s="2"/>
      <c r="BJ2270" s="136"/>
      <c r="BK2270" s="2"/>
      <c r="BL2270" s="136"/>
      <c r="BM2270" s="136"/>
      <c r="BN2270" s="2"/>
      <c r="BO2270" s="2"/>
      <c r="BP2270" s="136"/>
      <c r="BQ2270" s="137"/>
    </row>
    <row r="2271" spans="1:69" ht="12.75" customHeight="1" x14ac:dyDescent="0.2">
      <c r="A2271" s="2">
        <v>3760</v>
      </c>
      <c r="B2271" s="2"/>
      <c r="C2271" s="2"/>
      <c r="D2271" s="2"/>
      <c r="E2271" s="2"/>
      <c r="F2271" s="132">
        <v>0</v>
      </c>
      <c r="G2271" s="132"/>
      <c r="H2271" s="132">
        <f t="shared" si="255"/>
        <v>0</v>
      </c>
      <c r="I2271" s="132"/>
      <c r="J2271" s="132">
        <f t="shared" si="253"/>
        <v>0</v>
      </c>
      <c r="K2271" s="132">
        <f t="shared" si="256"/>
        <v>0</v>
      </c>
      <c r="L2271" s="132">
        <f t="shared" si="257"/>
        <v>0</v>
      </c>
      <c r="M2271" s="133"/>
      <c r="N2271" s="133">
        <f t="shared" si="254"/>
        <v>0</v>
      </c>
      <c r="O2271" s="134"/>
      <c r="P2271" s="133"/>
      <c r="Q2271" s="2"/>
      <c r="R2271" s="156">
        <f t="shared" si="258"/>
        <v>0</v>
      </c>
      <c r="S2271" s="156">
        <f t="shared" si="259"/>
        <v>0</v>
      </c>
      <c r="T2271" s="133"/>
      <c r="U2271" s="133"/>
      <c r="V2271" s="133"/>
      <c r="W2271" s="133"/>
      <c r="X2271" s="133"/>
      <c r="Y2271" s="133"/>
      <c r="Z2271" s="133"/>
      <c r="AA2271" s="133"/>
      <c r="AB2271" s="133"/>
      <c r="AC2271" s="133"/>
      <c r="AD2271" s="133"/>
      <c r="AE2271" s="133"/>
      <c r="AF2271" s="133"/>
      <c r="AG2271" s="133"/>
      <c r="AH2271" s="133"/>
      <c r="AI2271" s="133"/>
      <c r="AJ2271" s="133"/>
      <c r="AK2271" s="133"/>
      <c r="AL2271" s="133"/>
      <c r="AM2271" s="133"/>
      <c r="AN2271" s="133"/>
      <c r="AO2271" s="133"/>
      <c r="AP2271" s="133"/>
      <c r="AQ2271" s="133"/>
      <c r="AR2271" s="133"/>
      <c r="AS2271" s="153">
        <v>0</v>
      </c>
      <c r="AT2271" s="153">
        <v>0</v>
      </c>
      <c r="AU2271" s="153">
        <v>0</v>
      </c>
      <c r="AV2271" s="135"/>
      <c r="AW2271" s="135"/>
      <c r="AX2271" s="135"/>
      <c r="AY2271" s="135"/>
      <c r="AZ2271" s="135"/>
      <c r="BA2271" s="135"/>
      <c r="BB2271" s="135"/>
      <c r="BC2271" s="135"/>
      <c r="BD2271" s="135"/>
      <c r="BE2271" s="135"/>
      <c r="BF2271" s="135"/>
      <c r="BG2271" s="135"/>
      <c r="BH2271" s="135"/>
      <c r="BI2271" s="2"/>
      <c r="BJ2271" s="136"/>
      <c r="BK2271" s="2"/>
      <c r="BL2271" s="136"/>
      <c r="BM2271" s="136"/>
      <c r="BN2271" s="2"/>
      <c r="BO2271" s="2"/>
      <c r="BP2271" s="136"/>
      <c r="BQ2271" s="137"/>
    </row>
    <row r="2272" spans="1:69" ht="12.75" customHeight="1" x14ac:dyDescent="0.2">
      <c r="A2272" s="2">
        <v>3761</v>
      </c>
      <c r="B2272" s="2"/>
      <c r="C2272" s="2"/>
      <c r="D2272" s="2"/>
      <c r="E2272" s="2"/>
      <c r="F2272" s="132">
        <v>0</v>
      </c>
      <c r="G2272" s="132"/>
      <c r="H2272" s="132">
        <f t="shared" si="255"/>
        <v>0</v>
      </c>
      <c r="I2272" s="132"/>
      <c r="J2272" s="132">
        <f t="shared" si="253"/>
        <v>0</v>
      </c>
      <c r="K2272" s="132">
        <f t="shared" si="256"/>
        <v>0</v>
      </c>
      <c r="L2272" s="132">
        <f t="shared" si="257"/>
        <v>0</v>
      </c>
      <c r="M2272" s="133"/>
      <c r="N2272" s="133">
        <f t="shared" si="254"/>
        <v>0</v>
      </c>
      <c r="O2272" s="134"/>
      <c r="P2272" s="133"/>
      <c r="Q2272" s="2"/>
      <c r="R2272" s="156">
        <f t="shared" si="258"/>
        <v>0</v>
      </c>
      <c r="S2272" s="156">
        <f t="shared" si="259"/>
        <v>0</v>
      </c>
      <c r="T2272" s="133"/>
      <c r="U2272" s="133"/>
      <c r="V2272" s="133"/>
      <c r="W2272" s="133"/>
      <c r="X2272" s="133"/>
      <c r="Y2272" s="133"/>
      <c r="Z2272" s="133"/>
      <c r="AA2272" s="133"/>
      <c r="AB2272" s="133"/>
      <c r="AC2272" s="133"/>
      <c r="AD2272" s="133"/>
      <c r="AE2272" s="133"/>
      <c r="AF2272" s="133"/>
      <c r="AG2272" s="133"/>
      <c r="AH2272" s="133"/>
      <c r="AI2272" s="133"/>
      <c r="AJ2272" s="133"/>
      <c r="AK2272" s="133"/>
      <c r="AL2272" s="133"/>
      <c r="AM2272" s="133"/>
      <c r="AN2272" s="133"/>
      <c r="AO2272" s="133"/>
      <c r="AP2272" s="133"/>
      <c r="AQ2272" s="133"/>
      <c r="AR2272" s="133"/>
      <c r="AS2272" s="153">
        <v>0</v>
      </c>
      <c r="AT2272" s="153">
        <v>0</v>
      </c>
      <c r="AU2272" s="153">
        <v>0</v>
      </c>
      <c r="AV2272" s="135"/>
      <c r="AW2272" s="135"/>
      <c r="AX2272" s="135"/>
      <c r="AY2272" s="135"/>
      <c r="AZ2272" s="135"/>
      <c r="BA2272" s="135"/>
      <c r="BB2272" s="135"/>
      <c r="BC2272" s="135"/>
      <c r="BD2272" s="135"/>
      <c r="BE2272" s="135"/>
      <c r="BF2272" s="135"/>
      <c r="BG2272" s="135"/>
      <c r="BH2272" s="135"/>
      <c r="BI2272" s="2"/>
      <c r="BJ2272" s="136"/>
      <c r="BK2272" s="2"/>
      <c r="BL2272" s="136"/>
      <c r="BM2272" s="136"/>
      <c r="BN2272" s="2"/>
      <c r="BO2272" s="2"/>
      <c r="BP2272" s="136"/>
      <c r="BQ2272" s="137"/>
    </row>
    <row r="2273" spans="1:69" ht="12.75" customHeight="1" x14ac:dyDescent="0.2">
      <c r="A2273" s="2">
        <v>3762</v>
      </c>
      <c r="B2273" s="2"/>
      <c r="C2273" s="2"/>
      <c r="D2273" s="2"/>
      <c r="E2273" s="2"/>
      <c r="F2273" s="132">
        <v>0</v>
      </c>
      <c r="G2273" s="132"/>
      <c r="H2273" s="132">
        <f t="shared" si="255"/>
        <v>0</v>
      </c>
      <c r="I2273" s="132"/>
      <c r="J2273" s="132">
        <f t="shared" si="253"/>
        <v>0</v>
      </c>
      <c r="K2273" s="132">
        <f t="shared" si="256"/>
        <v>0</v>
      </c>
      <c r="L2273" s="132">
        <f t="shared" si="257"/>
        <v>0</v>
      </c>
      <c r="M2273" s="133"/>
      <c r="N2273" s="133">
        <f t="shared" si="254"/>
        <v>0</v>
      </c>
      <c r="O2273" s="134"/>
      <c r="P2273" s="133"/>
      <c r="Q2273" s="2"/>
      <c r="R2273" s="156">
        <f t="shared" si="258"/>
        <v>0</v>
      </c>
      <c r="S2273" s="156">
        <f t="shared" si="259"/>
        <v>0</v>
      </c>
      <c r="T2273" s="133"/>
      <c r="U2273" s="133"/>
      <c r="V2273" s="133"/>
      <c r="W2273" s="133"/>
      <c r="X2273" s="133"/>
      <c r="Y2273" s="133"/>
      <c r="Z2273" s="133"/>
      <c r="AA2273" s="133"/>
      <c r="AB2273" s="133"/>
      <c r="AC2273" s="133"/>
      <c r="AD2273" s="133"/>
      <c r="AE2273" s="133"/>
      <c r="AF2273" s="133"/>
      <c r="AG2273" s="133"/>
      <c r="AH2273" s="133"/>
      <c r="AI2273" s="133"/>
      <c r="AJ2273" s="133"/>
      <c r="AK2273" s="133"/>
      <c r="AL2273" s="133"/>
      <c r="AM2273" s="133"/>
      <c r="AN2273" s="133"/>
      <c r="AO2273" s="133"/>
      <c r="AP2273" s="133"/>
      <c r="AQ2273" s="133"/>
      <c r="AR2273" s="133"/>
      <c r="AS2273" s="153">
        <v>0</v>
      </c>
      <c r="AT2273" s="153">
        <v>0</v>
      </c>
      <c r="AU2273" s="153">
        <v>0</v>
      </c>
      <c r="AV2273" s="135"/>
      <c r="AW2273" s="135"/>
      <c r="AX2273" s="135"/>
      <c r="AY2273" s="135"/>
      <c r="AZ2273" s="135"/>
      <c r="BA2273" s="135"/>
      <c r="BB2273" s="135"/>
      <c r="BC2273" s="135"/>
      <c r="BD2273" s="135"/>
      <c r="BE2273" s="135"/>
      <c r="BF2273" s="135"/>
      <c r="BG2273" s="135"/>
      <c r="BH2273" s="135"/>
      <c r="BI2273" s="2"/>
      <c r="BJ2273" s="136"/>
      <c r="BK2273" s="2"/>
      <c r="BL2273" s="136"/>
      <c r="BM2273" s="136"/>
      <c r="BN2273" s="2"/>
      <c r="BO2273" s="2"/>
      <c r="BP2273" s="136"/>
      <c r="BQ2273" s="137"/>
    </row>
    <row r="2274" spans="1:69" ht="12.75" customHeight="1" x14ac:dyDescent="0.2">
      <c r="A2274" s="2">
        <v>3763</v>
      </c>
      <c r="B2274" s="2"/>
      <c r="C2274" s="2"/>
      <c r="D2274" s="2"/>
      <c r="E2274" s="2"/>
      <c r="F2274" s="132">
        <v>0</v>
      </c>
      <c r="G2274" s="132"/>
      <c r="H2274" s="132">
        <f t="shared" si="255"/>
        <v>0</v>
      </c>
      <c r="I2274" s="132"/>
      <c r="J2274" s="132">
        <f t="shared" si="253"/>
        <v>0</v>
      </c>
      <c r="K2274" s="132">
        <f t="shared" si="256"/>
        <v>0</v>
      </c>
      <c r="L2274" s="132">
        <f t="shared" si="257"/>
        <v>0</v>
      </c>
      <c r="M2274" s="133"/>
      <c r="N2274" s="133">
        <f t="shared" si="254"/>
        <v>0</v>
      </c>
      <c r="O2274" s="134"/>
      <c r="P2274" s="133"/>
      <c r="Q2274" s="2"/>
      <c r="R2274" s="156">
        <f t="shared" si="258"/>
        <v>0</v>
      </c>
      <c r="S2274" s="156">
        <f t="shared" si="259"/>
        <v>0</v>
      </c>
      <c r="T2274" s="133"/>
      <c r="U2274" s="133"/>
      <c r="V2274" s="133"/>
      <c r="W2274" s="133"/>
      <c r="X2274" s="133"/>
      <c r="Y2274" s="133"/>
      <c r="Z2274" s="133"/>
      <c r="AA2274" s="133"/>
      <c r="AB2274" s="133"/>
      <c r="AC2274" s="133"/>
      <c r="AD2274" s="133"/>
      <c r="AE2274" s="133"/>
      <c r="AF2274" s="133"/>
      <c r="AG2274" s="133"/>
      <c r="AH2274" s="133"/>
      <c r="AI2274" s="133"/>
      <c r="AJ2274" s="133"/>
      <c r="AK2274" s="133"/>
      <c r="AL2274" s="133"/>
      <c r="AM2274" s="133"/>
      <c r="AN2274" s="133"/>
      <c r="AO2274" s="133"/>
      <c r="AP2274" s="133"/>
      <c r="AQ2274" s="133"/>
      <c r="AR2274" s="133"/>
      <c r="AS2274" s="153">
        <v>0</v>
      </c>
      <c r="AT2274" s="153">
        <v>0</v>
      </c>
      <c r="AU2274" s="153">
        <v>0</v>
      </c>
      <c r="AV2274" s="135"/>
      <c r="AW2274" s="135"/>
      <c r="AX2274" s="135"/>
      <c r="AY2274" s="135"/>
      <c r="AZ2274" s="135"/>
      <c r="BA2274" s="135"/>
      <c r="BB2274" s="135"/>
      <c r="BC2274" s="135"/>
      <c r="BD2274" s="135"/>
      <c r="BE2274" s="135"/>
      <c r="BF2274" s="135"/>
      <c r="BG2274" s="135"/>
      <c r="BH2274" s="135"/>
      <c r="BI2274" s="2"/>
      <c r="BJ2274" s="136"/>
      <c r="BK2274" s="2"/>
      <c r="BL2274" s="136"/>
      <c r="BM2274" s="136"/>
      <c r="BN2274" s="2"/>
      <c r="BO2274" s="2"/>
      <c r="BP2274" s="136"/>
      <c r="BQ2274" s="137"/>
    </row>
    <row r="2275" spans="1:69" ht="12.75" customHeight="1" x14ac:dyDescent="0.2">
      <c r="A2275" s="2">
        <v>3764</v>
      </c>
      <c r="B2275" s="2"/>
      <c r="C2275" s="2"/>
      <c r="D2275" s="2"/>
      <c r="E2275" s="2"/>
      <c r="F2275" s="132">
        <v>0</v>
      </c>
      <c r="G2275" s="132"/>
      <c r="H2275" s="132">
        <f t="shared" si="255"/>
        <v>0</v>
      </c>
      <c r="I2275" s="132"/>
      <c r="J2275" s="132">
        <f t="shared" si="253"/>
        <v>0</v>
      </c>
      <c r="K2275" s="132">
        <f t="shared" si="256"/>
        <v>0</v>
      </c>
      <c r="L2275" s="132">
        <f t="shared" si="257"/>
        <v>0</v>
      </c>
      <c r="M2275" s="133"/>
      <c r="N2275" s="133">
        <f t="shared" si="254"/>
        <v>0</v>
      </c>
      <c r="O2275" s="134"/>
      <c r="P2275" s="133"/>
      <c r="Q2275" s="2"/>
      <c r="R2275" s="156">
        <f t="shared" si="258"/>
        <v>0</v>
      </c>
      <c r="S2275" s="156">
        <f t="shared" si="259"/>
        <v>0</v>
      </c>
      <c r="T2275" s="133"/>
      <c r="U2275" s="133"/>
      <c r="V2275" s="133"/>
      <c r="W2275" s="133"/>
      <c r="X2275" s="133"/>
      <c r="Y2275" s="133"/>
      <c r="Z2275" s="133"/>
      <c r="AA2275" s="133"/>
      <c r="AB2275" s="133"/>
      <c r="AC2275" s="133"/>
      <c r="AD2275" s="133"/>
      <c r="AE2275" s="133"/>
      <c r="AF2275" s="133"/>
      <c r="AG2275" s="133"/>
      <c r="AH2275" s="133"/>
      <c r="AI2275" s="133"/>
      <c r="AJ2275" s="133"/>
      <c r="AK2275" s="133"/>
      <c r="AL2275" s="133"/>
      <c r="AM2275" s="133"/>
      <c r="AN2275" s="133"/>
      <c r="AO2275" s="133"/>
      <c r="AP2275" s="133"/>
      <c r="AQ2275" s="133"/>
      <c r="AR2275" s="133"/>
      <c r="AS2275" s="153">
        <v>0</v>
      </c>
      <c r="AT2275" s="153">
        <v>0</v>
      </c>
      <c r="AU2275" s="153">
        <v>0</v>
      </c>
      <c r="AV2275" s="135"/>
      <c r="AW2275" s="135"/>
      <c r="AX2275" s="135"/>
      <c r="AY2275" s="135"/>
      <c r="AZ2275" s="135"/>
      <c r="BA2275" s="135"/>
      <c r="BB2275" s="135"/>
      <c r="BC2275" s="135"/>
      <c r="BD2275" s="135"/>
      <c r="BE2275" s="135"/>
      <c r="BF2275" s="135"/>
      <c r="BG2275" s="135"/>
      <c r="BH2275" s="135"/>
      <c r="BI2275" s="2"/>
      <c r="BJ2275" s="136"/>
      <c r="BK2275" s="2"/>
      <c r="BL2275" s="136"/>
      <c r="BM2275" s="136"/>
      <c r="BN2275" s="2"/>
      <c r="BO2275" s="2"/>
      <c r="BP2275" s="136"/>
      <c r="BQ2275" s="137"/>
    </row>
    <row r="2276" spans="1:69" ht="12.75" customHeight="1" x14ac:dyDescent="0.2">
      <c r="A2276" s="2">
        <v>3765</v>
      </c>
      <c r="B2276" s="2"/>
      <c r="C2276" s="2"/>
      <c r="D2276" s="2"/>
      <c r="E2276" s="2"/>
      <c r="F2276" s="132">
        <v>0</v>
      </c>
      <c r="G2276" s="132"/>
      <c r="H2276" s="132">
        <f t="shared" si="255"/>
        <v>0</v>
      </c>
      <c r="I2276" s="132"/>
      <c r="J2276" s="132">
        <f t="shared" ref="J2276:J2339" si="260">S2276</f>
        <v>0</v>
      </c>
      <c r="K2276" s="132">
        <f t="shared" si="256"/>
        <v>0</v>
      </c>
      <c r="L2276" s="132">
        <f t="shared" si="257"/>
        <v>0</v>
      </c>
      <c r="M2276" s="133"/>
      <c r="N2276" s="133">
        <f t="shared" si="254"/>
        <v>0</v>
      </c>
      <c r="O2276" s="134"/>
      <c r="P2276" s="133"/>
      <c r="Q2276" s="2"/>
      <c r="R2276" s="156">
        <f t="shared" si="258"/>
        <v>0</v>
      </c>
      <c r="S2276" s="156">
        <f t="shared" si="259"/>
        <v>0</v>
      </c>
      <c r="T2276" s="133"/>
      <c r="U2276" s="133"/>
      <c r="V2276" s="133"/>
      <c r="W2276" s="133"/>
      <c r="X2276" s="133"/>
      <c r="Y2276" s="133"/>
      <c r="Z2276" s="133"/>
      <c r="AA2276" s="133"/>
      <c r="AB2276" s="133"/>
      <c r="AC2276" s="133"/>
      <c r="AD2276" s="133"/>
      <c r="AE2276" s="133"/>
      <c r="AF2276" s="133"/>
      <c r="AG2276" s="133"/>
      <c r="AH2276" s="133"/>
      <c r="AI2276" s="133"/>
      <c r="AJ2276" s="133"/>
      <c r="AK2276" s="133"/>
      <c r="AL2276" s="133"/>
      <c r="AM2276" s="133"/>
      <c r="AN2276" s="133"/>
      <c r="AO2276" s="133"/>
      <c r="AP2276" s="133"/>
      <c r="AQ2276" s="133"/>
      <c r="AR2276" s="133"/>
      <c r="AS2276" s="153">
        <v>0</v>
      </c>
      <c r="AT2276" s="153">
        <v>0</v>
      </c>
      <c r="AU2276" s="153">
        <v>0</v>
      </c>
      <c r="AV2276" s="135"/>
      <c r="AW2276" s="135"/>
      <c r="AX2276" s="135"/>
      <c r="AY2276" s="135"/>
      <c r="AZ2276" s="135"/>
      <c r="BA2276" s="135"/>
      <c r="BB2276" s="135"/>
      <c r="BC2276" s="135"/>
      <c r="BD2276" s="135"/>
      <c r="BE2276" s="135"/>
      <c r="BF2276" s="135"/>
      <c r="BG2276" s="135"/>
      <c r="BH2276" s="135"/>
      <c r="BI2276" s="2"/>
      <c r="BJ2276" s="136"/>
      <c r="BK2276" s="2"/>
      <c r="BL2276" s="136"/>
      <c r="BM2276" s="136"/>
      <c r="BN2276" s="2"/>
      <c r="BO2276" s="2"/>
      <c r="BP2276" s="136"/>
      <c r="BQ2276" s="137"/>
    </row>
    <row r="2277" spans="1:69" ht="12.75" customHeight="1" x14ac:dyDescent="0.2">
      <c r="A2277" s="2">
        <v>3766</v>
      </c>
      <c r="B2277" s="2"/>
      <c r="C2277" s="2"/>
      <c r="D2277" s="2"/>
      <c r="E2277" s="2"/>
      <c r="F2277" s="132">
        <v>0</v>
      </c>
      <c r="G2277" s="132"/>
      <c r="H2277" s="132">
        <f t="shared" si="255"/>
        <v>0</v>
      </c>
      <c r="I2277" s="132"/>
      <c r="J2277" s="132">
        <f t="shared" si="260"/>
        <v>0</v>
      </c>
      <c r="K2277" s="132">
        <f t="shared" si="256"/>
        <v>0</v>
      </c>
      <c r="L2277" s="132">
        <f t="shared" si="257"/>
        <v>0</v>
      </c>
      <c r="M2277" s="133"/>
      <c r="N2277" s="133">
        <f t="shared" si="254"/>
        <v>0</v>
      </c>
      <c r="O2277" s="134"/>
      <c r="P2277" s="133"/>
      <c r="Q2277" s="2"/>
      <c r="R2277" s="156">
        <f t="shared" si="258"/>
        <v>0</v>
      </c>
      <c r="S2277" s="156">
        <f t="shared" si="259"/>
        <v>0</v>
      </c>
      <c r="T2277" s="133"/>
      <c r="U2277" s="133"/>
      <c r="V2277" s="133"/>
      <c r="W2277" s="133"/>
      <c r="X2277" s="133"/>
      <c r="Y2277" s="133"/>
      <c r="Z2277" s="133"/>
      <c r="AA2277" s="133"/>
      <c r="AB2277" s="133"/>
      <c r="AC2277" s="133"/>
      <c r="AD2277" s="133"/>
      <c r="AE2277" s="133"/>
      <c r="AF2277" s="133"/>
      <c r="AG2277" s="133"/>
      <c r="AH2277" s="133"/>
      <c r="AI2277" s="133"/>
      <c r="AJ2277" s="133"/>
      <c r="AK2277" s="133"/>
      <c r="AL2277" s="133"/>
      <c r="AM2277" s="133"/>
      <c r="AN2277" s="133"/>
      <c r="AO2277" s="133"/>
      <c r="AP2277" s="133"/>
      <c r="AQ2277" s="133"/>
      <c r="AR2277" s="133"/>
      <c r="AS2277" s="153">
        <v>0</v>
      </c>
      <c r="AT2277" s="153">
        <v>0</v>
      </c>
      <c r="AU2277" s="153">
        <v>0</v>
      </c>
      <c r="AV2277" s="135"/>
      <c r="AW2277" s="135"/>
      <c r="AX2277" s="135"/>
      <c r="AY2277" s="135"/>
      <c r="AZ2277" s="135"/>
      <c r="BA2277" s="135"/>
      <c r="BB2277" s="135"/>
      <c r="BC2277" s="135"/>
      <c r="BD2277" s="135"/>
      <c r="BE2277" s="135"/>
      <c r="BF2277" s="135"/>
      <c r="BG2277" s="135"/>
      <c r="BH2277" s="135"/>
      <c r="BI2277" s="2"/>
      <c r="BJ2277" s="136"/>
      <c r="BK2277" s="2"/>
      <c r="BL2277" s="136"/>
      <c r="BM2277" s="136"/>
      <c r="BN2277" s="2"/>
      <c r="BO2277" s="2"/>
      <c r="BP2277" s="136"/>
      <c r="BQ2277" s="137"/>
    </row>
    <row r="2278" spans="1:69" ht="12.75" customHeight="1" x14ac:dyDescent="0.2">
      <c r="A2278" s="2">
        <v>3767</v>
      </c>
      <c r="B2278" s="2"/>
      <c r="C2278" s="2"/>
      <c r="D2278" s="2"/>
      <c r="E2278" s="2"/>
      <c r="F2278" s="132">
        <v>0</v>
      </c>
      <c r="G2278" s="132"/>
      <c r="H2278" s="132">
        <f t="shared" si="255"/>
        <v>0</v>
      </c>
      <c r="I2278" s="132"/>
      <c r="J2278" s="132">
        <f t="shared" si="260"/>
        <v>0</v>
      </c>
      <c r="K2278" s="132">
        <f t="shared" si="256"/>
        <v>0</v>
      </c>
      <c r="L2278" s="132">
        <f t="shared" si="257"/>
        <v>0</v>
      </c>
      <c r="M2278" s="133"/>
      <c r="N2278" s="133">
        <f t="shared" si="254"/>
        <v>0</v>
      </c>
      <c r="O2278" s="134"/>
      <c r="P2278" s="133"/>
      <c r="Q2278" s="2"/>
      <c r="R2278" s="156">
        <f t="shared" si="258"/>
        <v>0</v>
      </c>
      <c r="S2278" s="156">
        <f t="shared" si="259"/>
        <v>0</v>
      </c>
      <c r="T2278" s="133"/>
      <c r="U2278" s="133"/>
      <c r="V2278" s="133"/>
      <c r="W2278" s="133"/>
      <c r="X2278" s="133"/>
      <c r="Y2278" s="133"/>
      <c r="Z2278" s="133"/>
      <c r="AA2278" s="133"/>
      <c r="AB2278" s="133"/>
      <c r="AC2278" s="133"/>
      <c r="AD2278" s="133"/>
      <c r="AE2278" s="133"/>
      <c r="AF2278" s="133"/>
      <c r="AG2278" s="133"/>
      <c r="AH2278" s="133"/>
      <c r="AI2278" s="133"/>
      <c r="AJ2278" s="133"/>
      <c r="AK2278" s="133"/>
      <c r="AL2278" s="133"/>
      <c r="AM2278" s="133"/>
      <c r="AN2278" s="133"/>
      <c r="AO2278" s="133"/>
      <c r="AP2278" s="133"/>
      <c r="AQ2278" s="133"/>
      <c r="AR2278" s="133"/>
      <c r="AS2278" s="153">
        <v>0</v>
      </c>
      <c r="AT2278" s="153">
        <v>0</v>
      </c>
      <c r="AU2278" s="153">
        <v>0</v>
      </c>
      <c r="AV2278" s="135"/>
      <c r="AW2278" s="135"/>
      <c r="AX2278" s="135"/>
      <c r="AY2278" s="135"/>
      <c r="AZ2278" s="135"/>
      <c r="BA2278" s="135"/>
      <c r="BB2278" s="135"/>
      <c r="BC2278" s="135"/>
      <c r="BD2278" s="135"/>
      <c r="BE2278" s="135"/>
      <c r="BF2278" s="135"/>
      <c r="BG2278" s="135"/>
      <c r="BH2278" s="135"/>
      <c r="BI2278" s="2"/>
      <c r="BJ2278" s="136"/>
      <c r="BK2278" s="2"/>
      <c r="BL2278" s="136"/>
      <c r="BM2278" s="136"/>
      <c r="BN2278" s="2"/>
      <c r="BO2278" s="2"/>
      <c r="BP2278" s="136"/>
      <c r="BQ2278" s="137"/>
    </row>
    <row r="2279" spans="1:69" ht="12.75" customHeight="1" x14ac:dyDescent="0.2">
      <c r="A2279" s="2">
        <v>3768</v>
      </c>
      <c r="B2279" s="2"/>
      <c r="C2279" s="2"/>
      <c r="D2279" s="2"/>
      <c r="E2279" s="2"/>
      <c r="F2279" s="132">
        <v>0</v>
      </c>
      <c r="G2279" s="132"/>
      <c r="H2279" s="132">
        <f t="shared" si="255"/>
        <v>0</v>
      </c>
      <c r="I2279" s="132"/>
      <c r="J2279" s="132">
        <f t="shared" si="260"/>
        <v>0</v>
      </c>
      <c r="K2279" s="132">
        <f t="shared" si="256"/>
        <v>0</v>
      </c>
      <c r="L2279" s="132">
        <f t="shared" si="257"/>
        <v>0</v>
      </c>
      <c r="M2279" s="133"/>
      <c r="N2279" s="133">
        <f t="shared" si="254"/>
        <v>0</v>
      </c>
      <c r="O2279" s="134"/>
      <c r="P2279" s="133"/>
      <c r="Q2279" s="2"/>
      <c r="R2279" s="156">
        <f t="shared" si="258"/>
        <v>0</v>
      </c>
      <c r="S2279" s="156">
        <f t="shared" si="259"/>
        <v>0</v>
      </c>
      <c r="T2279" s="133"/>
      <c r="U2279" s="133"/>
      <c r="V2279" s="133"/>
      <c r="W2279" s="133"/>
      <c r="X2279" s="133"/>
      <c r="Y2279" s="133"/>
      <c r="Z2279" s="133"/>
      <c r="AA2279" s="133"/>
      <c r="AB2279" s="133"/>
      <c r="AC2279" s="133"/>
      <c r="AD2279" s="133"/>
      <c r="AE2279" s="133"/>
      <c r="AF2279" s="133"/>
      <c r="AG2279" s="133"/>
      <c r="AH2279" s="133"/>
      <c r="AI2279" s="133"/>
      <c r="AJ2279" s="133"/>
      <c r="AK2279" s="133"/>
      <c r="AL2279" s="133"/>
      <c r="AM2279" s="133"/>
      <c r="AN2279" s="133"/>
      <c r="AO2279" s="133"/>
      <c r="AP2279" s="133"/>
      <c r="AQ2279" s="133"/>
      <c r="AR2279" s="133"/>
      <c r="AS2279" s="153">
        <v>0</v>
      </c>
      <c r="AT2279" s="153">
        <v>0</v>
      </c>
      <c r="AU2279" s="153">
        <v>0</v>
      </c>
      <c r="AV2279" s="135"/>
      <c r="AW2279" s="135"/>
      <c r="AX2279" s="135"/>
      <c r="AY2279" s="135"/>
      <c r="AZ2279" s="135"/>
      <c r="BA2279" s="135"/>
      <c r="BB2279" s="135"/>
      <c r="BC2279" s="135"/>
      <c r="BD2279" s="135"/>
      <c r="BE2279" s="135"/>
      <c r="BF2279" s="135"/>
      <c r="BG2279" s="135"/>
      <c r="BH2279" s="135"/>
      <c r="BI2279" s="2"/>
      <c r="BJ2279" s="136"/>
      <c r="BK2279" s="2"/>
      <c r="BL2279" s="136"/>
      <c r="BM2279" s="136"/>
      <c r="BN2279" s="2"/>
      <c r="BO2279" s="2"/>
      <c r="BP2279" s="136"/>
      <c r="BQ2279" s="137"/>
    </row>
    <row r="2280" spans="1:69" ht="12.75" customHeight="1" x14ac:dyDescent="0.2">
      <c r="A2280" s="2">
        <v>3769</v>
      </c>
      <c r="B2280" s="2"/>
      <c r="C2280" s="2"/>
      <c r="D2280" s="2"/>
      <c r="E2280" s="2"/>
      <c r="F2280" s="132">
        <v>0</v>
      </c>
      <c r="G2280" s="132"/>
      <c r="H2280" s="132">
        <f t="shared" si="255"/>
        <v>0</v>
      </c>
      <c r="I2280" s="132"/>
      <c r="J2280" s="132">
        <f t="shared" si="260"/>
        <v>0</v>
      </c>
      <c r="K2280" s="132">
        <f t="shared" si="256"/>
        <v>0</v>
      </c>
      <c r="L2280" s="132">
        <f t="shared" si="257"/>
        <v>0</v>
      </c>
      <c r="M2280" s="133"/>
      <c r="N2280" s="133">
        <f t="shared" si="254"/>
        <v>0</v>
      </c>
      <c r="O2280" s="134"/>
      <c r="P2280" s="133"/>
      <c r="Q2280" s="2"/>
      <c r="R2280" s="156">
        <f t="shared" si="258"/>
        <v>0</v>
      </c>
      <c r="S2280" s="156">
        <f t="shared" si="259"/>
        <v>0</v>
      </c>
      <c r="T2280" s="133"/>
      <c r="U2280" s="133"/>
      <c r="V2280" s="133"/>
      <c r="W2280" s="133"/>
      <c r="X2280" s="133"/>
      <c r="Y2280" s="133"/>
      <c r="Z2280" s="133"/>
      <c r="AA2280" s="133"/>
      <c r="AB2280" s="133"/>
      <c r="AC2280" s="133"/>
      <c r="AD2280" s="133"/>
      <c r="AE2280" s="133"/>
      <c r="AF2280" s="133"/>
      <c r="AG2280" s="133"/>
      <c r="AH2280" s="133"/>
      <c r="AI2280" s="133"/>
      <c r="AJ2280" s="133"/>
      <c r="AK2280" s="133"/>
      <c r="AL2280" s="133"/>
      <c r="AM2280" s="133"/>
      <c r="AN2280" s="133"/>
      <c r="AO2280" s="133"/>
      <c r="AP2280" s="133"/>
      <c r="AQ2280" s="133"/>
      <c r="AR2280" s="133"/>
      <c r="AS2280" s="153">
        <v>0</v>
      </c>
      <c r="AT2280" s="153">
        <v>0</v>
      </c>
      <c r="AU2280" s="153">
        <v>0</v>
      </c>
      <c r="AV2280" s="135"/>
      <c r="AW2280" s="135"/>
      <c r="AX2280" s="135"/>
      <c r="AY2280" s="135"/>
      <c r="AZ2280" s="135"/>
      <c r="BA2280" s="135"/>
      <c r="BB2280" s="135"/>
      <c r="BC2280" s="135"/>
      <c r="BD2280" s="135"/>
      <c r="BE2280" s="135"/>
      <c r="BF2280" s="135"/>
      <c r="BG2280" s="135"/>
      <c r="BH2280" s="135"/>
      <c r="BI2280" s="2"/>
      <c r="BJ2280" s="136"/>
      <c r="BK2280" s="2"/>
      <c r="BL2280" s="136"/>
      <c r="BM2280" s="136"/>
      <c r="BN2280" s="2"/>
      <c r="BO2280" s="2"/>
      <c r="BP2280" s="136"/>
      <c r="BQ2280" s="137"/>
    </row>
    <row r="2281" spans="1:69" ht="12.75" customHeight="1" x14ac:dyDescent="0.2">
      <c r="A2281" s="2">
        <v>3770</v>
      </c>
      <c r="B2281" s="2"/>
      <c r="C2281" s="2"/>
      <c r="D2281" s="2"/>
      <c r="E2281" s="2"/>
      <c r="F2281" s="132">
        <v>0</v>
      </c>
      <c r="G2281" s="132"/>
      <c r="H2281" s="132">
        <f t="shared" si="255"/>
        <v>0</v>
      </c>
      <c r="I2281" s="132"/>
      <c r="J2281" s="132">
        <f t="shared" si="260"/>
        <v>0</v>
      </c>
      <c r="K2281" s="132">
        <f t="shared" si="256"/>
        <v>0</v>
      </c>
      <c r="L2281" s="132">
        <f t="shared" si="257"/>
        <v>0</v>
      </c>
      <c r="M2281" s="133"/>
      <c r="N2281" s="133">
        <f t="shared" si="254"/>
        <v>0</v>
      </c>
      <c r="O2281" s="134"/>
      <c r="P2281" s="133"/>
      <c r="Q2281" s="2"/>
      <c r="R2281" s="156">
        <f t="shared" si="258"/>
        <v>0</v>
      </c>
      <c r="S2281" s="156">
        <f t="shared" si="259"/>
        <v>0</v>
      </c>
      <c r="T2281" s="133"/>
      <c r="U2281" s="133"/>
      <c r="V2281" s="133"/>
      <c r="W2281" s="133"/>
      <c r="X2281" s="133"/>
      <c r="Y2281" s="133"/>
      <c r="Z2281" s="133"/>
      <c r="AA2281" s="133"/>
      <c r="AB2281" s="133"/>
      <c r="AC2281" s="133"/>
      <c r="AD2281" s="133"/>
      <c r="AE2281" s="133"/>
      <c r="AF2281" s="133"/>
      <c r="AG2281" s="133"/>
      <c r="AH2281" s="133"/>
      <c r="AI2281" s="133"/>
      <c r="AJ2281" s="133"/>
      <c r="AK2281" s="133"/>
      <c r="AL2281" s="133"/>
      <c r="AM2281" s="133"/>
      <c r="AN2281" s="133"/>
      <c r="AO2281" s="133"/>
      <c r="AP2281" s="133"/>
      <c r="AQ2281" s="133"/>
      <c r="AR2281" s="133"/>
      <c r="AS2281" s="153">
        <v>0</v>
      </c>
      <c r="AT2281" s="153">
        <v>0</v>
      </c>
      <c r="AU2281" s="153">
        <v>0</v>
      </c>
      <c r="AV2281" s="135"/>
      <c r="AW2281" s="135"/>
      <c r="AX2281" s="135"/>
      <c r="AY2281" s="135"/>
      <c r="AZ2281" s="135"/>
      <c r="BA2281" s="135"/>
      <c r="BB2281" s="135"/>
      <c r="BC2281" s="135"/>
      <c r="BD2281" s="135"/>
      <c r="BE2281" s="135"/>
      <c r="BF2281" s="135"/>
      <c r="BG2281" s="135"/>
      <c r="BH2281" s="135"/>
      <c r="BI2281" s="2"/>
      <c r="BJ2281" s="136"/>
      <c r="BK2281" s="2"/>
      <c r="BL2281" s="136"/>
      <c r="BM2281" s="136"/>
      <c r="BN2281" s="2"/>
      <c r="BO2281" s="2"/>
      <c r="BP2281" s="136"/>
      <c r="BQ2281" s="137"/>
    </row>
    <row r="2282" spans="1:69" ht="12.75" customHeight="1" x14ac:dyDescent="0.2">
      <c r="A2282" s="2">
        <v>3771</v>
      </c>
      <c r="B2282" s="2"/>
      <c r="C2282" s="2"/>
      <c r="D2282" s="2"/>
      <c r="E2282" s="2"/>
      <c r="F2282" s="132">
        <v>0</v>
      </c>
      <c r="G2282" s="132"/>
      <c r="H2282" s="132">
        <f t="shared" si="255"/>
        <v>0</v>
      </c>
      <c r="I2282" s="132"/>
      <c r="J2282" s="132">
        <f t="shared" si="260"/>
        <v>0</v>
      </c>
      <c r="K2282" s="132">
        <f t="shared" si="256"/>
        <v>0</v>
      </c>
      <c r="L2282" s="132">
        <f t="shared" si="257"/>
        <v>0</v>
      </c>
      <c r="M2282" s="133"/>
      <c r="N2282" s="133">
        <f t="shared" ref="N2282:N2345" si="261">IF(OR(BK2282="принят",BK2282="Завершено",BK2282="ПриПро"),H2282-J2282,F2282-J2282)</f>
        <v>0</v>
      </c>
      <c r="O2282" s="134"/>
      <c r="P2282" s="133"/>
      <c r="Q2282" s="2"/>
      <c r="R2282" s="156">
        <f t="shared" si="258"/>
        <v>0</v>
      </c>
      <c r="S2282" s="156">
        <f t="shared" si="259"/>
        <v>0</v>
      </c>
      <c r="T2282" s="133"/>
      <c r="U2282" s="133"/>
      <c r="V2282" s="133"/>
      <c r="W2282" s="133"/>
      <c r="X2282" s="133"/>
      <c r="Y2282" s="133"/>
      <c r="Z2282" s="133"/>
      <c r="AA2282" s="133"/>
      <c r="AB2282" s="133"/>
      <c r="AC2282" s="133"/>
      <c r="AD2282" s="133"/>
      <c r="AE2282" s="133"/>
      <c r="AF2282" s="133"/>
      <c r="AG2282" s="133"/>
      <c r="AH2282" s="133"/>
      <c r="AI2282" s="133"/>
      <c r="AJ2282" s="133"/>
      <c r="AK2282" s="133"/>
      <c r="AL2282" s="133"/>
      <c r="AM2282" s="133"/>
      <c r="AN2282" s="133"/>
      <c r="AO2282" s="133"/>
      <c r="AP2282" s="133"/>
      <c r="AQ2282" s="133"/>
      <c r="AR2282" s="133"/>
      <c r="AS2282" s="153">
        <v>0</v>
      </c>
      <c r="AT2282" s="153">
        <v>0</v>
      </c>
      <c r="AU2282" s="153">
        <v>0</v>
      </c>
      <c r="AV2282" s="135"/>
      <c r="AW2282" s="135"/>
      <c r="AX2282" s="135"/>
      <c r="AY2282" s="135"/>
      <c r="AZ2282" s="135"/>
      <c r="BA2282" s="135"/>
      <c r="BB2282" s="135"/>
      <c r="BC2282" s="135"/>
      <c r="BD2282" s="135"/>
      <c r="BE2282" s="135"/>
      <c r="BF2282" s="135"/>
      <c r="BG2282" s="135"/>
      <c r="BH2282" s="135"/>
      <c r="BI2282" s="2"/>
      <c r="BJ2282" s="136"/>
      <c r="BK2282" s="2"/>
      <c r="BL2282" s="136"/>
      <c r="BM2282" s="136"/>
      <c r="BN2282" s="2"/>
      <c r="BO2282" s="2"/>
      <c r="BP2282" s="136"/>
      <c r="BQ2282" s="137"/>
    </row>
    <row r="2283" spans="1:69" ht="12.75" customHeight="1" x14ac:dyDescent="0.2">
      <c r="A2283" s="2">
        <v>3772</v>
      </c>
      <c r="B2283" s="2"/>
      <c r="C2283" s="2"/>
      <c r="D2283" s="2"/>
      <c r="E2283" s="2"/>
      <c r="F2283" s="132">
        <v>0</v>
      </c>
      <c r="G2283" s="132"/>
      <c r="H2283" s="132">
        <f t="shared" si="255"/>
        <v>0</v>
      </c>
      <c r="I2283" s="132"/>
      <c r="J2283" s="132">
        <f t="shared" si="260"/>
        <v>0</v>
      </c>
      <c r="K2283" s="132">
        <f t="shared" si="256"/>
        <v>0</v>
      </c>
      <c r="L2283" s="132">
        <f t="shared" si="257"/>
        <v>0</v>
      </c>
      <c r="M2283" s="133"/>
      <c r="N2283" s="133">
        <f t="shared" si="261"/>
        <v>0</v>
      </c>
      <c r="O2283" s="134"/>
      <c r="P2283" s="133"/>
      <c r="Q2283" s="2"/>
      <c r="R2283" s="156">
        <f t="shared" si="258"/>
        <v>0</v>
      </c>
      <c r="S2283" s="156">
        <f t="shared" si="259"/>
        <v>0</v>
      </c>
      <c r="T2283" s="133"/>
      <c r="U2283" s="133"/>
      <c r="V2283" s="133"/>
      <c r="W2283" s="133"/>
      <c r="X2283" s="133"/>
      <c r="Y2283" s="133"/>
      <c r="Z2283" s="133"/>
      <c r="AA2283" s="133"/>
      <c r="AB2283" s="133"/>
      <c r="AC2283" s="133"/>
      <c r="AD2283" s="133"/>
      <c r="AE2283" s="133"/>
      <c r="AF2283" s="133"/>
      <c r="AG2283" s="133"/>
      <c r="AH2283" s="133"/>
      <c r="AI2283" s="133"/>
      <c r="AJ2283" s="133"/>
      <c r="AK2283" s="133"/>
      <c r="AL2283" s="133"/>
      <c r="AM2283" s="133"/>
      <c r="AN2283" s="133"/>
      <c r="AO2283" s="133"/>
      <c r="AP2283" s="133"/>
      <c r="AQ2283" s="133"/>
      <c r="AR2283" s="133"/>
      <c r="AS2283" s="153">
        <v>0</v>
      </c>
      <c r="AT2283" s="153">
        <v>0</v>
      </c>
      <c r="AU2283" s="153">
        <v>0</v>
      </c>
      <c r="AV2283" s="135"/>
      <c r="AW2283" s="135"/>
      <c r="AX2283" s="135"/>
      <c r="AY2283" s="135"/>
      <c r="AZ2283" s="135"/>
      <c r="BA2283" s="135"/>
      <c r="BB2283" s="135"/>
      <c r="BC2283" s="135"/>
      <c r="BD2283" s="135"/>
      <c r="BE2283" s="135"/>
      <c r="BF2283" s="135"/>
      <c r="BG2283" s="135"/>
      <c r="BH2283" s="135"/>
      <c r="BI2283" s="2"/>
      <c r="BJ2283" s="136"/>
      <c r="BK2283" s="2"/>
      <c r="BL2283" s="136"/>
      <c r="BM2283" s="136"/>
      <c r="BN2283" s="2"/>
      <c r="BO2283" s="2"/>
      <c r="BP2283" s="136"/>
      <c r="BQ2283" s="137"/>
    </row>
    <row r="2284" spans="1:69" ht="12.75" customHeight="1" x14ac:dyDescent="0.2">
      <c r="A2284" s="2">
        <v>3773</v>
      </c>
      <c r="B2284" s="2"/>
      <c r="C2284" s="2"/>
      <c r="D2284" s="2"/>
      <c r="E2284" s="2"/>
      <c r="F2284" s="132">
        <v>0</v>
      </c>
      <c r="G2284" s="132"/>
      <c r="H2284" s="132">
        <f t="shared" si="255"/>
        <v>0</v>
      </c>
      <c r="I2284" s="132"/>
      <c r="J2284" s="132">
        <f t="shared" si="260"/>
        <v>0</v>
      </c>
      <c r="K2284" s="132">
        <f t="shared" si="256"/>
        <v>0</v>
      </c>
      <c r="L2284" s="132">
        <f t="shared" si="257"/>
        <v>0</v>
      </c>
      <c r="M2284" s="133"/>
      <c r="N2284" s="133">
        <f t="shared" si="261"/>
        <v>0</v>
      </c>
      <c r="O2284" s="134"/>
      <c r="P2284" s="133"/>
      <c r="Q2284" s="2"/>
      <c r="R2284" s="156">
        <f t="shared" si="258"/>
        <v>0</v>
      </c>
      <c r="S2284" s="156">
        <f t="shared" si="259"/>
        <v>0</v>
      </c>
      <c r="T2284" s="133"/>
      <c r="U2284" s="133"/>
      <c r="V2284" s="133"/>
      <c r="W2284" s="133"/>
      <c r="X2284" s="133"/>
      <c r="Y2284" s="133"/>
      <c r="Z2284" s="133"/>
      <c r="AA2284" s="133"/>
      <c r="AB2284" s="133"/>
      <c r="AC2284" s="133"/>
      <c r="AD2284" s="133"/>
      <c r="AE2284" s="133"/>
      <c r="AF2284" s="133"/>
      <c r="AG2284" s="133"/>
      <c r="AH2284" s="133"/>
      <c r="AI2284" s="133"/>
      <c r="AJ2284" s="133"/>
      <c r="AK2284" s="133"/>
      <c r="AL2284" s="133"/>
      <c r="AM2284" s="133"/>
      <c r="AN2284" s="133"/>
      <c r="AO2284" s="133"/>
      <c r="AP2284" s="133"/>
      <c r="AQ2284" s="133"/>
      <c r="AR2284" s="133"/>
      <c r="AS2284" s="153">
        <v>0</v>
      </c>
      <c r="AT2284" s="153">
        <v>0</v>
      </c>
      <c r="AU2284" s="153">
        <v>0</v>
      </c>
      <c r="AV2284" s="135"/>
      <c r="AW2284" s="135"/>
      <c r="AX2284" s="135"/>
      <c r="AY2284" s="135"/>
      <c r="AZ2284" s="135"/>
      <c r="BA2284" s="135"/>
      <c r="BB2284" s="135"/>
      <c r="BC2284" s="135"/>
      <c r="BD2284" s="135"/>
      <c r="BE2284" s="135"/>
      <c r="BF2284" s="135"/>
      <c r="BG2284" s="135"/>
      <c r="BH2284" s="135"/>
      <c r="BI2284" s="2"/>
      <c r="BJ2284" s="136"/>
      <c r="BK2284" s="2"/>
      <c r="BL2284" s="136"/>
      <c r="BM2284" s="136"/>
      <c r="BN2284" s="2"/>
      <c r="BO2284" s="2"/>
      <c r="BP2284" s="136"/>
      <c r="BQ2284" s="137"/>
    </row>
    <row r="2285" spans="1:69" ht="12.75" customHeight="1" x14ac:dyDescent="0.2">
      <c r="A2285" s="2">
        <v>3774</v>
      </c>
      <c r="B2285" s="2"/>
      <c r="C2285" s="2"/>
      <c r="D2285" s="2"/>
      <c r="E2285" s="2"/>
      <c r="F2285" s="132">
        <v>0</v>
      </c>
      <c r="G2285" s="132"/>
      <c r="H2285" s="132">
        <f t="shared" si="255"/>
        <v>0</v>
      </c>
      <c r="I2285" s="132"/>
      <c r="J2285" s="132">
        <f t="shared" si="260"/>
        <v>0</v>
      </c>
      <c r="K2285" s="132">
        <f t="shared" si="256"/>
        <v>0</v>
      </c>
      <c r="L2285" s="132">
        <f t="shared" si="257"/>
        <v>0</v>
      </c>
      <c r="M2285" s="133"/>
      <c r="N2285" s="133">
        <f t="shared" si="261"/>
        <v>0</v>
      </c>
      <c r="O2285" s="134"/>
      <c r="P2285" s="133"/>
      <c r="Q2285" s="2"/>
      <c r="R2285" s="156">
        <f t="shared" si="258"/>
        <v>0</v>
      </c>
      <c r="S2285" s="156">
        <f t="shared" si="259"/>
        <v>0</v>
      </c>
      <c r="T2285" s="133"/>
      <c r="U2285" s="133"/>
      <c r="V2285" s="133"/>
      <c r="W2285" s="133"/>
      <c r="X2285" s="133"/>
      <c r="Y2285" s="133"/>
      <c r="Z2285" s="133"/>
      <c r="AA2285" s="133"/>
      <c r="AB2285" s="133"/>
      <c r="AC2285" s="133"/>
      <c r="AD2285" s="133"/>
      <c r="AE2285" s="133"/>
      <c r="AF2285" s="133"/>
      <c r="AG2285" s="133"/>
      <c r="AH2285" s="133"/>
      <c r="AI2285" s="133"/>
      <c r="AJ2285" s="133"/>
      <c r="AK2285" s="133"/>
      <c r="AL2285" s="133"/>
      <c r="AM2285" s="133"/>
      <c r="AN2285" s="133"/>
      <c r="AO2285" s="133"/>
      <c r="AP2285" s="133"/>
      <c r="AQ2285" s="133"/>
      <c r="AR2285" s="133"/>
      <c r="AS2285" s="153">
        <v>0</v>
      </c>
      <c r="AT2285" s="153">
        <v>0</v>
      </c>
      <c r="AU2285" s="153">
        <v>0</v>
      </c>
      <c r="AV2285" s="135"/>
      <c r="AW2285" s="135"/>
      <c r="AX2285" s="135"/>
      <c r="AY2285" s="135"/>
      <c r="AZ2285" s="135"/>
      <c r="BA2285" s="135"/>
      <c r="BB2285" s="135"/>
      <c r="BC2285" s="135"/>
      <c r="BD2285" s="135"/>
      <c r="BE2285" s="135"/>
      <c r="BF2285" s="135"/>
      <c r="BG2285" s="135"/>
      <c r="BH2285" s="135"/>
      <c r="BI2285" s="2"/>
      <c r="BJ2285" s="136"/>
      <c r="BK2285" s="2"/>
      <c r="BL2285" s="136"/>
      <c r="BM2285" s="136"/>
      <c r="BN2285" s="2"/>
      <c r="BO2285" s="2"/>
      <c r="BP2285" s="136"/>
      <c r="BQ2285" s="137"/>
    </row>
    <row r="2286" spans="1:69" ht="12.75" customHeight="1" x14ac:dyDescent="0.2">
      <c r="A2286" s="2">
        <v>3775</v>
      </c>
      <c r="B2286" s="2"/>
      <c r="C2286" s="2"/>
      <c r="D2286" s="2"/>
      <c r="E2286" s="2"/>
      <c r="F2286" s="132">
        <v>0</v>
      </c>
      <c r="G2286" s="132"/>
      <c r="H2286" s="132">
        <f t="shared" ref="H2286:H2349" si="262">R2286</f>
        <v>0</v>
      </c>
      <c r="I2286" s="132"/>
      <c r="J2286" s="132">
        <f t="shared" si="260"/>
        <v>0</v>
      </c>
      <c r="K2286" s="132">
        <f t="shared" si="256"/>
        <v>0</v>
      </c>
      <c r="L2286" s="132">
        <f t="shared" si="257"/>
        <v>0</v>
      </c>
      <c r="M2286" s="133"/>
      <c r="N2286" s="133">
        <f t="shared" si="261"/>
        <v>0</v>
      </c>
      <c r="O2286" s="134"/>
      <c r="P2286" s="133"/>
      <c r="Q2286" s="2"/>
      <c r="R2286" s="156">
        <f t="shared" si="258"/>
        <v>0</v>
      </c>
      <c r="S2286" s="156">
        <f t="shared" si="259"/>
        <v>0</v>
      </c>
      <c r="T2286" s="133"/>
      <c r="U2286" s="133"/>
      <c r="V2286" s="133"/>
      <c r="W2286" s="133"/>
      <c r="X2286" s="133"/>
      <c r="Y2286" s="133"/>
      <c r="Z2286" s="133"/>
      <c r="AA2286" s="133"/>
      <c r="AB2286" s="133"/>
      <c r="AC2286" s="133"/>
      <c r="AD2286" s="133"/>
      <c r="AE2286" s="133"/>
      <c r="AF2286" s="133"/>
      <c r="AG2286" s="133"/>
      <c r="AH2286" s="133"/>
      <c r="AI2286" s="133"/>
      <c r="AJ2286" s="133"/>
      <c r="AK2286" s="133"/>
      <c r="AL2286" s="133"/>
      <c r="AM2286" s="133"/>
      <c r="AN2286" s="133"/>
      <c r="AO2286" s="133"/>
      <c r="AP2286" s="133"/>
      <c r="AQ2286" s="133"/>
      <c r="AR2286" s="133"/>
      <c r="AS2286" s="153">
        <v>0</v>
      </c>
      <c r="AT2286" s="153">
        <v>0</v>
      </c>
      <c r="AU2286" s="153">
        <v>0</v>
      </c>
      <c r="AV2286" s="135"/>
      <c r="AW2286" s="135"/>
      <c r="AX2286" s="135"/>
      <c r="AY2286" s="135"/>
      <c r="AZ2286" s="135"/>
      <c r="BA2286" s="135"/>
      <c r="BB2286" s="135"/>
      <c r="BC2286" s="135"/>
      <c r="BD2286" s="135"/>
      <c r="BE2286" s="135"/>
      <c r="BF2286" s="135"/>
      <c r="BG2286" s="135"/>
      <c r="BH2286" s="135"/>
      <c r="BI2286" s="2"/>
      <c r="BJ2286" s="136"/>
      <c r="BK2286" s="2"/>
      <c r="BL2286" s="136"/>
      <c r="BM2286" s="136"/>
      <c r="BN2286" s="2"/>
      <c r="BO2286" s="2"/>
      <c r="BP2286" s="136"/>
      <c r="BQ2286" s="137"/>
    </row>
    <row r="2287" spans="1:69" ht="12.75" customHeight="1" x14ac:dyDescent="0.2">
      <c r="A2287" s="2">
        <v>3776</v>
      </c>
      <c r="B2287" s="2"/>
      <c r="C2287" s="2"/>
      <c r="D2287" s="2"/>
      <c r="E2287" s="2"/>
      <c r="F2287" s="132">
        <v>0</v>
      </c>
      <c r="G2287" s="132"/>
      <c r="H2287" s="132">
        <f t="shared" si="262"/>
        <v>0</v>
      </c>
      <c r="I2287" s="132"/>
      <c r="J2287" s="132">
        <f t="shared" si="260"/>
        <v>0</v>
      </c>
      <c r="K2287" s="132">
        <f t="shared" si="256"/>
        <v>0</v>
      </c>
      <c r="L2287" s="132">
        <f t="shared" si="257"/>
        <v>0</v>
      </c>
      <c r="M2287" s="133"/>
      <c r="N2287" s="133">
        <f t="shared" si="261"/>
        <v>0</v>
      </c>
      <c r="O2287" s="134"/>
      <c r="P2287" s="133"/>
      <c r="Q2287" s="2"/>
      <c r="R2287" s="156">
        <f t="shared" si="258"/>
        <v>0</v>
      </c>
      <c r="S2287" s="156">
        <f t="shared" si="259"/>
        <v>0</v>
      </c>
      <c r="T2287" s="133"/>
      <c r="U2287" s="133"/>
      <c r="V2287" s="133"/>
      <c r="W2287" s="133"/>
      <c r="X2287" s="133"/>
      <c r="Y2287" s="133"/>
      <c r="Z2287" s="133"/>
      <c r="AA2287" s="133"/>
      <c r="AB2287" s="133"/>
      <c r="AC2287" s="133"/>
      <c r="AD2287" s="133"/>
      <c r="AE2287" s="133"/>
      <c r="AF2287" s="133"/>
      <c r="AG2287" s="133"/>
      <c r="AH2287" s="133"/>
      <c r="AI2287" s="133"/>
      <c r="AJ2287" s="133"/>
      <c r="AK2287" s="133"/>
      <c r="AL2287" s="133"/>
      <c r="AM2287" s="133"/>
      <c r="AN2287" s="133"/>
      <c r="AO2287" s="133"/>
      <c r="AP2287" s="133"/>
      <c r="AQ2287" s="133"/>
      <c r="AR2287" s="133"/>
      <c r="AS2287" s="153">
        <v>0</v>
      </c>
      <c r="AT2287" s="153">
        <v>0</v>
      </c>
      <c r="AU2287" s="153">
        <v>0</v>
      </c>
      <c r="AV2287" s="135"/>
      <c r="AW2287" s="135"/>
      <c r="AX2287" s="135"/>
      <c r="AY2287" s="135"/>
      <c r="AZ2287" s="135"/>
      <c r="BA2287" s="135"/>
      <c r="BB2287" s="135"/>
      <c r="BC2287" s="135"/>
      <c r="BD2287" s="135"/>
      <c r="BE2287" s="135"/>
      <c r="BF2287" s="135"/>
      <c r="BG2287" s="135"/>
      <c r="BH2287" s="135"/>
      <c r="BI2287" s="2"/>
      <c r="BJ2287" s="136"/>
      <c r="BK2287" s="2"/>
      <c r="BL2287" s="136"/>
      <c r="BM2287" s="136"/>
      <c r="BN2287" s="2"/>
      <c r="BO2287" s="2"/>
      <c r="BP2287" s="136"/>
      <c r="BQ2287" s="137"/>
    </row>
    <row r="2288" spans="1:69" ht="12.75" customHeight="1" x14ac:dyDescent="0.2">
      <c r="A2288" s="2">
        <v>3777</v>
      </c>
      <c r="B2288" s="2"/>
      <c r="C2288" s="2"/>
      <c r="D2288" s="2"/>
      <c r="E2288" s="2"/>
      <c r="F2288" s="132">
        <v>0</v>
      </c>
      <c r="G2288" s="132"/>
      <c r="H2288" s="132">
        <f t="shared" si="262"/>
        <v>0</v>
      </c>
      <c r="I2288" s="132"/>
      <c r="J2288" s="132">
        <f t="shared" si="260"/>
        <v>0</v>
      </c>
      <c r="K2288" s="132">
        <f t="shared" si="256"/>
        <v>0</v>
      </c>
      <c r="L2288" s="132">
        <f t="shared" si="257"/>
        <v>0</v>
      </c>
      <c r="M2288" s="133"/>
      <c r="N2288" s="133">
        <f t="shared" si="261"/>
        <v>0</v>
      </c>
      <c r="O2288" s="134"/>
      <c r="P2288" s="133"/>
      <c r="Q2288" s="2"/>
      <c r="R2288" s="156">
        <f t="shared" si="258"/>
        <v>0</v>
      </c>
      <c r="S2288" s="156">
        <f t="shared" si="259"/>
        <v>0</v>
      </c>
      <c r="T2288" s="133"/>
      <c r="U2288" s="133"/>
      <c r="V2288" s="133"/>
      <c r="W2288" s="133"/>
      <c r="X2288" s="133"/>
      <c r="Y2288" s="133"/>
      <c r="Z2288" s="133"/>
      <c r="AA2288" s="133"/>
      <c r="AB2288" s="133"/>
      <c r="AC2288" s="133"/>
      <c r="AD2288" s="133"/>
      <c r="AE2288" s="133"/>
      <c r="AF2288" s="133"/>
      <c r="AG2288" s="133"/>
      <c r="AH2288" s="133"/>
      <c r="AI2288" s="133"/>
      <c r="AJ2288" s="133"/>
      <c r="AK2288" s="133"/>
      <c r="AL2288" s="133"/>
      <c r="AM2288" s="133"/>
      <c r="AN2288" s="133"/>
      <c r="AO2288" s="133"/>
      <c r="AP2288" s="133"/>
      <c r="AQ2288" s="133"/>
      <c r="AR2288" s="133"/>
      <c r="AS2288" s="153">
        <v>0</v>
      </c>
      <c r="AT2288" s="153">
        <v>0</v>
      </c>
      <c r="AU2288" s="153">
        <v>0</v>
      </c>
      <c r="AV2288" s="135"/>
      <c r="AW2288" s="135"/>
      <c r="AX2288" s="135"/>
      <c r="AY2288" s="135"/>
      <c r="AZ2288" s="135"/>
      <c r="BA2288" s="135"/>
      <c r="BB2288" s="135"/>
      <c r="BC2288" s="135"/>
      <c r="BD2288" s="135"/>
      <c r="BE2288" s="135"/>
      <c r="BF2288" s="135"/>
      <c r="BG2288" s="135"/>
      <c r="BH2288" s="135"/>
      <c r="BI2288" s="2"/>
      <c r="BJ2288" s="136"/>
      <c r="BK2288" s="2"/>
      <c r="BL2288" s="136"/>
      <c r="BM2288" s="136"/>
      <c r="BN2288" s="2"/>
      <c r="BO2288" s="2"/>
      <c r="BP2288" s="136"/>
      <c r="BQ2288" s="137"/>
    </row>
    <row r="2289" spans="1:69" ht="12.75" customHeight="1" x14ac:dyDescent="0.2">
      <c r="A2289" s="2">
        <v>3778</v>
      </c>
      <c r="B2289" s="2"/>
      <c r="C2289" s="2"/>
      <c r="D2289" s="2"/>
      <c r="E2289" s="2"/>
      <c r="F2289" s="132">
        <v>0</v>
      </c>
      <c r="G2289" s="132"/>
      <c r="H2289" s="132">
        <f t="shared" si="262"/>
        <v>0</v>
      </c>
      <c r="I2289" s="132"/>
      <c r="J2289" s="132">
        <f t="shared" si="260"/>
        <v>0</v>
      </c>
      <c r="K2289" s="132">
        <f t="shared" si="256"/>
        <v>0</v>
      </c>
      <c r="L2289" s="132">
        <f t="shared" si="257"/>
        <v>0</v>
      </c>
      <c r="M2289" s="133"/>
      <c r="N2289" s="133">
        <f t="shared" si="261"/>
        <v>0</v>
      </c>
      <c r="O2289" s="134"/>
      <c r="P2289" s="133"/>
      <c r="Q2289" s="2"/>
      <c r="R2289" s="156">
        <f t="shared" si="258"/>
        <v>0</v>
      </c>
      <c r="S2289" s="156">
        <f t="shared" si="259"/>
        <v>0</v>
      </c>
      <c r="T2289" s="133"/>
      <c r="U2289" s="133"/>
      <c r="V2289" s="133"/>
      <c r="W2289" s="133"/>
      <c r="X2289" s="133"/>
      <c r="Y2289" s="133"/>
      <c r="Z2289" s="133"/>
      <c r="AA2289" s="133"/>
      <c r="AB2289" s="133"/>
      <c r="AC2289" s="133"/>
      <c r="AD2289" s="133"/>
      <c r="AE2289" s="133"/>
      <c r="AF2289" s="133"/>
      <c r="AG2289" s="133"/>
      <c r="AH2289" s="133"/>
      <c r="AI2289" s="133"/>
      <c r="AJ2289" s="133"/>
      <c r="AK2289" s="133"/>
      <c r="AL2289" s="133"/>
      <c r="AM2289" s="133"/>
      <c r="AN2289" s="133"/>
      <c r="AO2289" s="133"/>
      <c r="AP2289" s="133"/>
      <c r="AQ2289" s="133"/>
      <c r="AR2289" s="133"/>
      <c r="AS2289" s="153">
        <v>0</v>
      </c>
      <c r="AT2289" s="153">
        <v>0</v>
      </c>
      <c r="AU2289" s="153">
        <v>0</v>
      </c>
      <c r="AV2289" s="135"/>
      <c r="AW2289" s="135"/>
      <c r="AX2289" s="135"/>
      <c r="AY2289" s="135"/>
      <c r="AZ2289" s="135"/>
      <c r="BA2289" s="135"/>
      <c r="BB2289" s="135"/>
      <c r="BC2289" s="135"/>
      <c r="BD2289" s="135"/>
      <c r="BE2289" s="135"/>
      <c r="BF2289" s="135"/>
      <c r="BG2289" s="135"/>
      <c r="BH2289" s="135"/>
      <c r="BI2289" s="2"/>
      <c r="BJ2289" s="136"/>
      <c r="BK2289" s="2"/>
      <c r="BL2289" s="136"/>
      <c r="BM2289" s="136"/>
      <c r="BN2289" s="2"/>
      <c r="BO2289" s="2"/>
      <c r="BP2289" s="136"/>
      <c r="BQ2289" s="137"/>
    </row>
    <row r="2290" spans="1:69" ht="12.75" customHeight="1" x14ac:dyDescent="0.2">
      <c r="A2290" s="2">
        <v>3779</v>
      </c>
      <c r="B2290" s="2"/>
      <c r="C2290" s="2"/>
      <c r="D2290" s="2"/>
      <c r="E2290" s="2"/>
      <c r="F2290" s="132">
        <v>0</v>
      </c>
      <c r="G2290" s="132"/>
      <c r="H2290" s="132">
        <f t="shared" si="262"/>
        <v>0</v>
      </c>
      <c r="I2290" s="132"/>
      <c r="J2290" s="132">
        <f t="shared" si="260"/>
        <v>0</v>
      </c>
      <c r="K2290" s="132">
        <f t="shared" si="256"/>
        <v>0</v>
      </c>
      <c r="L2290" s="132">
        <f t="shared" si="257"/>
        <v>0</v>
      </c>
      <c r="M2290" s="133"/>
      <c r="N2290" s="133">
        <f t="shared" si="261"/>
        <v>0</v>
      </c>
      <c r="O2290" s="134"/>
      <c r="P2290" s="133"/>
      <c r="Q2290" s="2"/>
      <c r="R2290" s="156">
        <f t="shared" si="258"/>
        <v>0</v>
      </c>
      <c r="S2290" s="156">
        <f t="shared" si="259"/>
        <v>0</v>
      </c>
      <c r="T2290" s="133"/>
      <c r="U2290" s="133"/>
      <c r="V2290" s="133"/>
      <c r="W2290" s="133"/>
      <c r="X2290" s="133"/>
      <c r="Y2290" s="133"/>
      <c r="Z2290" s="133"/>
      <c r="AA2290" s="133"/>
      <c r="AB2290" s="133"/>
      <c r="AC2290" s="133"/>
      <c r="AD2290" s="133"/>
      <c r="AE2290" s="133"/>
      <c r="AF2290" s="133"/>
      <c r="AG2290" s="133"/>
      <c r="AH2290" s="133"/>
      <c r="AI2290" s="133"/>
      <c r="AJ2290" s="133"/>
      <c r="AK2290" s="133"/>
      <c r="AL2290" s="133"/>
      <c r="AM2290" s="133"/>
      <c r="AN2290" s="133"/>
      <c r="AO2290" s="133"/>
      <c r="AP2290" s="133"/>
      <c r="AQ2290" s="133"/>
      <c r="AR2290" s="133"/>
      <c r="AS2290" s="153">
        <v>0</v>
      </c>
      <c r="AT2290" s="153">
        <v>0</v>
      </c>
      <c r="AU2290" s="153">
        <v>0</v>
      </c>
      <c r="AV2290" s="135"/>
      <c r="AW2290" s="135"/>
      <c r="AX2290" s="135"/>
      <c r="AY2290" s="135"/>
      <c r="AZ2290" s="135"/>
      <c r="BA2290" s="135"/>
      <c r="BB2290" s="135"/>
      <c r="BC2290" s="135"/>
      <c r="BD2290" s="135"/>
      <c r="BE2290" s="135"/>
      <c r="BF2290" s="135"/>
      <c r="BG2290" s="135"/>
      <c r="BH2290" s="135"/>
      <c r="BI2290" s="2"/>
      <c r="BJ2290" s="136"/>
      <c r="BK2290" s="2"/>
      <c r="BL2290" s="136"/>
      <c r="BM2290" s="136"/>
      <c r="BN2290" s="2"/>
      <c r="BO2290" s="2"/>
      <c r="BP2290" s="136"/>
      <c r="BQ2290" s="137"/>
    </row>
    <row r="2291" spans="1:69" ht="12.75" customHeight="1" x14ac:dyDescent="0.2">
      <c r="A2291" s="2">
        <v>3780</v>
      </c>
      <c r="B2291" s="2"/>
      <c r="C2291" s="2"/>
      <c r="D2291" s="2"/>
      <c r="E2291" s="2"/>
      <c r="F2291" s="132">
        <v>0</v>
      </c>
      <c r="G2291" s="132"/>
      <c r="H2291" s="132">
        <f t="shared" si="262"/>
        <v>0</v>
      </c>
      <c r="I2291" s="132"/>
      <c r="J2291" s="132">
        <f t="shared" si="260"/>
        <v>0</v>
      </c>
      <c r="K2291" s="132">
        <f t="shared" si="256"/>
        <v>0</v>
      </c>
      <c r="L2291" s="132">
        <f t="shared" si="257"/>
        <v>0</v>
      </c>
      <c r="M2291" s="133"/>
      <c r="N2291" s="133">
        <f t="shared" si="261"/>
        <v>0</v>
      </c>
      <c r="O2291" s="134"/>
      <c r="P2291" s="133"/>
      <c r="Q2291" s="2"/>
      <c r="R2291" s="156">
        <f t="shared" si="258"/>
        <v>0</v>
      </c>
      <c r="S2291" s="156">
        <f t="shared" si="259"/>
        <v>0</v>
      </c>
      <c r="T2291" s="133"/>
      <c r="U2291" s="133"/>
      <c r="V2291" s="133"/>
      <c r="W2291" s="133"/>
      <c r="X2291" s="133"/>
      <c r="Y2291" s="133"/>
      <c r="Z2291" s="133"/>
      <c r="AA2291" s="133"/>
      <c r="AB2291" s="133"/>
      <c r="AC2291" s="133"/>
      <c r="AD2291" s="133"/>
      <c r="AE2291" s="133"/>
      <c r="AF2291" s="133"/>
      <c r="AG2291" s="133"/>
      <c r="AH2291" s="133"/>
      <c r="AI2291" s="133"/>
      <c r="AJ2291" s="133"/>
      <c r="AK2291" s="133"/>
      <c r="AL2291" s="133"/>
      <c r="AM2291" s="133"/>
      <c r="AN2291" s="133"/>
      <c r="AO2291" s="133"/>
      <c r="AP2291" s="133"/>
      <c r="AQ2291" s="133"/>
      <c r="AR2291" s="133"/>
      <c r="AS2291" s="153">
        <v>0</v>
      </c>
      <c r="AT2291" s="153">
        <v>0</v>
      </c>
      <c r="AU2291" s="153">
        <v>0</v>
      </c>
      <c r="AV2291" s="135"/>
      <c r="AW2291" s="135"/>
      <c r="AX2291" s="135"/>
      <c r="AY2291" s="135"/>
      <c r="AZ2291" s="135"/>
      <c r="BA2291" s="135"/>
      <c r="BB2291" s="135"/>
      <c r="BC2291" s="135"/>
      <c r="BD2291" s="135"/>
      <c r="BE2291" s="135"/>
      <c r="BF2291" s="135"/>
      <c r="BG2291" s="135"/>
      <c r="BH2291" s="135"/>
      <c r="BI2291" s="2"/>
      <c r="BJ2291" s="136"/>
      <c r="BK2291" s="2"/>
      <c r="BL2291" s="136"/>
      <c r="BM2291" s="136"/>
      <c r="BN2291" s="2"/>
      <c r="BO2291" s="2"/>
      <c r="BP2291" s="136"/>
      <c r="BQ2291" s="137"/>
    </row>
    <row r="2292" spans="1:69" ht="12.75" customHeight="1" x14ac:dyDescent="0.2">
      <c r="A2292" s="2">
        <v>3781</v>
      </c>
      <c r="B2292" s="2"/>
      <c r="C2292" s="2"/>
      <c r="D2292" s="2"/>
      <c r="E2292" s="2"/>
      <c r="F2292" s="132">
        <v>0</v>
      </c>
      <c r="G2292" s="132"/>
      <c r="H2292" s="132">
        <f t="shared" si="262"/>
        <v>0</v>
      </c>
      <c r="I2292" s="132"/>
      <c r="J2292" s="132">
        <f t="shared" si="260"/>
        <v>0</v>
      </c>
      <c r="K2292" s="132">
        <f t="shared" si="256"/>
        <v>0</v>
      </c>
      <c r="L2292" s="132">
        <f t="shared" si="257"/>
        <v>0</v>
      </c>
      <c r="M2292" s="133"/>
      <c r="N2292" s="133">
        <f t="shared" si="261"/>
        <v>0</v>
      </c>
      <c r="O2292" s="134"/>
      <c r="P2292" s="133"/>
      <c r="Q2292" s="2"/>
      <c r="R2292" s="156">
        <f t="shared" si="258"/>
        <v>0</v>
      </c>
      <c r="S2292" s="156">
        <f t="shared" si="259"/>
        <v>0</v>
      </c>
      <c r="T2292" s="133"/>
      <c r="U2292" s="133"/>
      <c r="V2292" s="133"/>
      <c r="W2292" s="133"/>
      <c r="X2292" s="133"/>
      <c r="Y2292" s="133"/>
      <c r="Z2292" s="133"/>
      <c r="AA2292" s="133"/>
      <c r="AB2292" s="133"/>
      <c r="AC2292" s="133"/>
      <c r="AD2292" s="133"/>
      <c r="AE2292" s="133"/>
      <c r="AF2292" s="133"/>
      <c r="AG2292" s="133"/>
      <c r="AH2292" s="133"/>
      <c r="AI2292" s="133"/>
      <c r="AJ2292" s="133"/>
      <c r="AK2292" s="133"/>
      <c r="AL2292" s="133"/>
      <c r="AM2292" s="133"/>
      <c r="AN2292" s="133"/>
      <c r="AO2292" s="133"/>
      <c r="AP2292" s="133"/>
      <c r="AQ2292" s="133"/>
      <c r="AR2292" s="133"/>
      <c r="AS2292" s="153">
        <v>0</v>
      </c>
      <c r="AT2292" s="153">
        <v>0</v>
      </c>
      <c r="AU2292" s="153">
        <v>0</v>
      </c>
      <c r="AV2292" s="135"/>
      <c r="AW2292" s="135"/>
      <c r="AX2292" s="135"/>
      <c r="AY2292" s="135"/>
      <c r="AZ2292" s="135"/>
      <c r="BA2292" s="135"/>
      <c r="BB2292" s="135"/>
      <c r="BC2292" s="135"/>
      <c r="BD2292" s="135"/>
      <c r="BE2292" s="135"/>
      <c r="BF2292" s="135"/>
      <c r="BG2292" s="135"/>
      <c r="BH2292" s="135"/>
      <c r="BI2292" s="2"/>
      <c r="BJ2292" s="136"/>
      <c r="BK2292" s="2"/>
      <c r="BL2292" s="136"/>
      <c r="BM2292" s="136"/>
      <c r="BN2292" s="2"/>
      <c r="BO2292" s="2"/>
      <c r="BP2292" s="136"/>
      <c r="BQ2292" s="137"/>
    </row>
    <row r="2293" spans="1:69" ht="12.75" customHeight="1" x14ac:dyDescent="0.2">
      <c r="A2293" s="2">
        <v>3782</v>
      </c>
      <c r="B2293" s="2"/>
      <c r="C2293" s="2"/>
      <c r="D2293" s="2"/>
      <c r="E2293" s="2"/>
      <c r="F2293" s="132">
        <v>0</v>
      </c>
      <c r="G2293" s="132"/>
      <c r="H2293" s="132">
        <f t="shared" si="262"/>
        <v>0</v>
      </c>
      <c r="I2293" s="132"/>
      <c r="J2293" s="132">
        <f t="shared" si="260"/>
        <v>0</v>
      </c>
      <c r="K2293" s="132">
        <f t="shared" si="256"/>
        <v>0</v>
      </c>
      <c r="L2293" s="132">
        <f t="shared" si="257"/>
        <v>0</v>
      </c>
      <c r="M2293" s="133"/>
      <c r="N2293" s="133">
        <f t="shared" si="261"/>
        <v>0</v>
      </c>
      <c r="O2293" s="134"/>
      <c r="P2293" s="133"/>
      <c r="Q2293" s="2"/>
      <c r="R2293" s="156">
        <f t="shared" si="258"/>
        <v>0</v>
      </c>
      <c r="S2293" s="156">
        <f t="shared" si="259"/>
        <v>0</v>
      </c>
      <c r="T2293" s="133"/>
      <c r="U2293" s="133"/>
      <c r="V2293" s="133"/>
      <c r="W2293" s="133"/>
      <c r="X2293" s="133"/>
      <c r="Y2293" s="133"/>
      <c r="Z2293" s="133"/>
      <c r="AA2293" s="133"/>
      <c r="AB2293" s="133"/>
      <c r="AC2293" s="133"/>
      <c r="AD2293" s="133"/>
      <c r="AE2293" s="133"/>
      <c r="AF2293" s="133"/>
      <c r="AG2293" s="133"/>
      <c r="AH2293" s="133"/>
      <c r="AI2293" s="133"/>
      <c r="AJ2293" s="133"/>
      <c r="AK2293" s="133"/>
      <c r="AL2293" s="133"/>
      <c r="AM2293" s="133"/>
      <c r="AN2293" s="133"/>
      <c r="AO2293" s="133"/>
      <c r="AP2293" s="133"/>
      <c r="AQ2293" s="133"/>
      <c r="AR2293" s="133"/>
      <c r="AS2293" s="153">
        <v>0</v>
      </c>
      <c r="AT2293" s="153">
        <v>0</v>
      </c>
      <c r="AU2293" s="153">
        <v>0</v>
      </c>
      <c r="AV2293" s="135"/>
      <c r="AW2293" s="135"/>
      <c r="AX2293" s="135"/>
      <c r="AY2293" s="135"/>
      <c r="AZ2293" s="135"/>
      <c r="BA2293" s="135"/>
      <c r="BB2293" s="135"/>
      <c r="BC2293" s="135"/>
      <c r="BD2293" s="135"/>
      <c r="BE2293" s="135"/>
      <c r="BF2293" s="135"/>
      <c r="BG2293" s="135"/>
      <c r="BH2293" s="135"/>
      <c r="BI2293" s="2"/>
      <c r="BJ2293" s="136"/>
      <c r="BK2293" s="2"/>
      <c r="BL2293" s="136"/>
      <c r="BM2293" s="136"/>
      <c r="BN2293" s="2"/>
      <c r="BO2293" s="2"/>
      <c r="BP2293" s="136"/>
      <c r="BQ2293" s="137"/>
    </row>
    <row r="2294" spans="1:69" ht="12.75" customHeight="1" x14ac:dyDescent="0.2">
      <c r="A2294" s="2">
        <v>3783</v>
      </c>
      <c r="B2294" s="2"/>
      <c r="C2294" s="2"/>
      <c r="D2294" s="2"/>
      <c r="E2294" s="2"/>
      <c r="F2294" s="132">
        <v>0</v>
      </c>
      <c r="G2294" s="132"/>
      <c r="H2294" s="132">
        <f t="shared" si="262"/>
        <v>0</v>
      </c>
      <c r="I2294" s="132"/>
      <c r="J2294" s="132">
        <f t="shared" si="260"/>
        <v>0</v>
      </c>
      <c r="K2294" s="132">
        <f t="shared" ref="K2294:K2357" si="263">F2294-J2294</f>
        <v>0</v>
      </c>
      <c r="L2294" s="132">
        <f t="shared" si="257"/>
        <v>0</v>
      </c>
      <c r="M2294" s="133"/>
      <c r="N2294" s="133">
        <f t="shared" si="261"/>
        <v>0</v>
      </c>
      <c r="O2294" s="134"/>
      <c r="P2294" s="133"/>
      <c r="Q2294" s="2"/>
      <c r="R2294" s="156">
        <f t="shared" si="258"/>
        <v>0</v>
      </c>
      <c r="S2294" s="156">
        <f t="shared" si="259"/>
        <v>0</v>
      </c>
      <c r="T2294" s="133"/>
      <c r="U2294" s="133"/>
      <c r="V2294" s="133"/>
      <c r="W2294" s="133"/>
      <c r="X2294" s="133"/>
      <c r="Y2294" s="133"/>
      <c r="Z2294" s="133"/>
      <c r="AA2294" s="133"/>
      <c r="AB2294" s="133"/>
      <c r="AC2294" s="133"/>
      <c r="AD2294" s="133"/>
      <c r="AE2294" s="133"/>
      <c r="AF2294" s="133"/>
      <c r="AG2294" s="133"/>
      <c r="AH2294" s="133"/>
      <c r="AI2294" s="133"/>
      <c r="AJ2294" s="133"/>
      <c r="AK2294" s="133"/>
      <c r="AL2294" s="133"/>
      <c r="AM2294" s="133"/>
      <c r="AN2294" s="133"/>
      <c r="AO2294" s="133"/>
      <c r="AP2294" s="133"/>
      <c r="AQ2294" s="133"/>
      <c r="AR2294" s="133"/>
      <c r="AS2294" s="153">
        <v>0</v>
      </c>
      <c r="AT2294" s="153">
        <v>0</v>
      </c>
      <c r="AU2294" s="153">
        <v>0</v>
      </c>
      <c r="AV2294" s="135"/>
      <c r="AW2294" s="135"/>
      <c r="AX2294" s="135"/>
      <c r="AY2294" s="135"/>
      <c r="AZ2294" s="135"/>
      <c r="BA2294" s="135"/>
      <c r="BB2294" s="135"/>
      <c r="BC2294" s="135"/>
      <c r="BD2294" s="135"/>
      <c r="BE2294" s="135"/>
      <c r="BF2294" s="135"/>
      <c r="BG2294" s="135"/>
      <c r="BH2294" s="135"/>
      <c r="BI2294" s="2"/>
      <c r="BJ2294" s="136"/>
      <c r="BK2294" s="2"/>
      <c r="BL2294" s="136"/>
      <c r="BM2294" s="136"/>
      <c r="BN2294" s="2"/>
      <c r="BO2294" s="2"/>
      <c r="BP2294" s="136"/>
      <c r="BQ2294" s="137"/>
    </row>
    <row r="2295" spans="1:69" ht="12.75" customHeight="1" x14ac:dyDescent="0.2">
      <c r="A2295" s="2">
        <v>3784</v>
      </c>
      <c r="B2295" s="2"/>
      <c r="C2295" s="2"/>
      <c r="D2295" s="2"/>
      <c r="E2295" s="2"/>
      <c r="F2295" s="132">
        <v>0</v>
      </c>
      <c r="G2295" s="132"/>
      <c r="H2295" s="132">
        <f t="shared" si="262"/>
        <v>0</v>
      </c>
      <c r="I2295" s="132"/>
      <c r="J2295" s="132">
        <f t="shared" si="260"/>
        <v>0</v>
      </c>
      <c r="K2295" s="132">
        <f t="shared" si="263"/>
        <v>0</v>
      </c>
      <c r="L2295" s="132">
        <f t="shared" si="257"/>
        <v>0</v>
      </c>
      <c r="M2295" s="133"/>
      <c r="N2295" s="133">
        <f t="shared" si="261"/>
        <v>0</v>
      </c>
      <c r="O2295" s="134"/>
      <c r="P2295" s="133"/>
      <c r="Q2295" s="2"/>
      <c r="R2295" s="156">
        <f t="shared" si="258"/>
        <v>0</v>
      </c>
      <c r="S2295" s="156">
        <f t="shared" si="259"/>
        <v>0</v>
      </c>
      <c r="T2295" s="133"/>
      <c r="U2295" s="133"/>
      <c r="V2295" s="133"/>
      <c r="W2295" s="133"/>
      <c r="X2295" s="133"/>
      <c r="Y2295" s="133"/>
      <c r="Z2295" s="133"/>
      <c r="AA2295" s="133"/>
      <c r="AB2295" s="133"/>
      <c r="AC2295" s="133"/>
      <c r="AD2295" s="133"/>
      <c r="AE2295" s="133"/>
      <c r="AF2295" s="133"/>
      <c r="AG2295" s="133"/>
      <c r="AH2295" s="133"/>
      <c r="AI2295" s="133"/>
      <c r="AJ2295" s="133"/>
      <c r="AK2295" s="133"/>
      <c r="AL2295" s="133"/>
      <c r="AM2295" s="133"/>
      <c r="AN2295" s="133"/>
      <c r="AO2295" s="133"/>
      <c r="AP2295" s="133"/>
      <c r="AQ2295" s="133"/>
      <c r="AR2295" s="133"/>
      <c r="AS2295" s="153">
        <v>0</v>
      </c>
      <c r="AT2295" s="153">
        <v>0</v>
      </c>
      <c r="AU2295" s="153">
        <v>0</v>
      </c>
      <c r="AV2295" s="135"/>
      <c r="AW2295" s="135"/>
      <c r="AX2295" s="135"/>
      <c r="AY2295" s="135"/>
      <c r="AZ2295" s="135"/>
      <c r="BA2295" s="135"/>
      <c r="BB2295" s="135"/>
      <c r="BC2295" s="135"/>
      <c r="BD2295" s="135"/>
      <c r="BE2295" s="135"/>
      <c r="BF2295" s="135"/>
      <c r="BG2295" s="135"/>
      <c r="BH2295" s="135"/>
      <c r="BI2295" s="2"/>
      <c r="BJ2295" s="136"/>
      <c r="BK2295" s="2"/>
      <c r="BL2295" s="136"/>
      <c r="BM2295" s="136"/>
      <c r="BN2295" s="2"/>
      <c r="BO2295" s="2"/>
      <c r="BP2295" s="136"/>
      <c r="BQ2295" s="137"/>
    </row>
    <row r="2296" spans="1:69" ht="12.75" customHeight="1" x14ac:dyDescent="0.2">
      <c r="A2296" s="2">
        <v>3785</v>
      </c>
      <c r="B2296" s="2"/>
      <c r="C2296" s="2"/>
      <c r="D2296" s="2"/>
      <c r="E2296" s="2"/>
      <c r="F2296" s="132">
        <v>0</v>
      </c>
      <c r="G2296" s="132"/>
      <c r="H2296" s="132">
        <f t="shared" si="262"/>
        <v>0</v>
      </c>
      <c r="I2296" s="132"/>
      <c r="J2296" s="132">
        <f t="shared" si="260"/>
        <v>0</v>
      </c>
      <c r="K2296" s="132">
        <f t="shared" si="263"/>
        <v>0</v>
      </c>
      <c r="L2296" s="132">
        <f t="shared" si="257"/>
        <v>0</v>
      </c>
      <c r="M2296" s="133"/>
      <c r="N2296" s="133">
        <f t="shared" si="261"/>
        <v>0</v>
      </c>
      <c r="O2296" s="134"/>
      <c r="P2296" s="133"/>
      <c r="Q2296" s="2"/>
      <c r="R2296" s="156">
        <f t="shared" si="258"/>
        <v>0</v>
      </c>
      <c r="S2296" s="156">
        <f t="shared" si="259"/>
        <v>0</v>
      </c>
      <c r="T2296" s="133"/>
      <c r="U2296" s="133"/>
      <c r="V2296" s="133"/>
      <c r="W2296" s="133"/>
      <c r="X2296" s="133"/>
      <c r="Y2296" s="133"/>
      <c r="Z2296" s="133"/>
      <c r="AA2296" s="133"/>
      <c r="AB2296" s="133"/>
      <c r="AC2296" s="133"/>
      <c r="AD2296" s="133"/>
      <c r="AE2296" s="133"/>
      <c r="AF2296" s="133"/>
      <c r="AG2296" s="133"/>
      <c r="AH2296" s="133"/>
      <c r="AI2296" s="133"/>
      <c r="AJ2296" s="133"/>
      <c r="AK2296" s="133"/>
      <c r="AL2296" s="133"/>
      <c r="AM2296" s="133"/>
      <c r="AN2296" s="133"/>
      <c r="AO2296" s="133"/>
      <c r="AP2296" s="133"/>
      <c r="AQ2296" s="133"/>
      <c r="AR2296" s="133"/>
      <c r="AS2296" s="153">
        <v>0</v>
      </c>
      <c r="AT2296" s="153">
        <v>0</v>
      </c>
      <c r="AU2296" s="153">
        <v>0</v>
      </c>
      <c r="AV2296" s="135"/>
      <c r="AW2296" s="135"/>
      <c r="AX2296" s="135"/>
      <c r="AY2296" s="135"/>
      <c r="AZ2296" s="135"/>
      <c r="BA2296" s="135"/>
      <c r="BB2296" s="135"/>
      <c r="BC2296" s="135"/>
      <c r="BD2296" s="135"/>
      <c r="BE2296" s="135"/>
      <c r="BF2296" s="135"/>
      <c r="BG2296" s="135"/>
      <c r="BH2296" s="135"/>
      <c r="BI2296" s="2"/>
      <c r="BJ2296" s="136"/>
      <c r="BK2296" s="2"/>
      <c r="BL2296" s="136"/>
      <c r="BM2296" s="136"/>
      <c r="BN2296" s="2"/>
      <c r="BO2296" s="2"/>
      <c r="BP2296" s="136"/>
      <c r="BQ2296" s="137"/>
    </row>
    <row r="2297" spans="1:69" ht="12.75" customHeight="1" x14ac:dyDescent="0.2">
      <c r="A2297" s="2">
        <v>3786</v>
      </c>
      <c r="B2297" s="2"/>
      <c r="C2297" s="2"/>
      <c r="D2297" s="2"/>
      <c r="E2297" s="2"/>
      <c r="F2297" s="132">
        <v>0</v>
      </c>
      <c r="G2297" s="132"/>
      <c r="H2297" s="132">
        <f t="shared" si="262"/>
        <v>0</v>
      </c>
      <c r="I2297" s="132"/>
      <c r="J2297" s="132">
        <f t="shared" si="260"/>
        <v>0</v>
      </c>
      <c r="K2297" s="132">
        <f t="shared" si="263"/>
        <v>0</v>
      </c>
      <c r="L2297" s="132">
        <f t="shared" si="257"/>
        <v>0</v>
      </c>
      <c r="M2297" s="133"/>
      <c r="N2297" s="133">
        <f t="shared" si="261"/>
        <v>0</v>
      </c>
      <c r="O2297" s="134"/>
      <c r="P2297" s="133"/>
      <c r="Q2297" s="2"/>
      <c r="R2297" s="156">
        <f t="shared" si="258"/>
        <v>0</v>
      </c>
      <c r="S2297" s="156">
        <f t="shared" si="259"/>
        <v>0</v>
      </c>
      <c r="T2297" s="133"/>
      <c r="U2297" s="133"/>
      <c r="V2297" s="133"/>
      <c r="W2297" s="133"/>
      <c r="X2297" s="133"/>
      <c r="Y2297" s="133"/>
      <c r="Z2297" s="133"/>
      <c r="AA2297" s="133"/>
      <c r="AB2297" s="133"/>
      <c r="AC2297" s="133"/>
      <c r="AD2297" s="133"/>
      <c r="AE2297" s="133"/>
      <c r="AF2297" s="133"/>
      <c r="AG2297" s="133"/>
      <c r="AH2297" s="133"/>
      <c r="AI2297" s="133"/>
      <c r="AJ2297" s="133"/>
      <c r="AK2297" s="133"/>
      <c r="AL2297" s="133"/>
      <c r="AM2297" s="133"/>
      <c r="AN2297" s="133"/>
      <c r="AO2297" s="133"/>
      <c r="AP2297" s="133"/>
      <c r="AQ2297" s="133"/>
      <c r="AR2297" s="133"/>
      <c r="AS2297" s="153">
        <v>0</v>
      </c>
      <c r="AT2297" s="153">
        <v>0</v>
      </c>
      <c r="AU2297" s="153">
        <v>0</v>
      </c>
      <c r="AV2297" s="135"/>
      <c r="AW2297" s="135"/>
      <c r="AX2297" s="135"/>
      <c r="AY2297" s="135"/>
      <c r="AZ2297" s="135"/>
      <c r="BA2297" s="135"/>
      <c r="BB2297" s="135"/>
      <c r="BC2297" s="135"/>
      <c r="BD2297" s="135"/>
      <c r="BE2297" s="135"/>
      <c r="BF2297" s="135"/>
      <c r="BG2297" s="135"/>
      <c r="BH2297" s="135"/>
      <c r="BI2297" s="2"/>
      <c r="BJ2297" s="136"/>
      <c r="BK2297" s="2"/>
      <c r="BL2297" s="136"/>
      <c r="BM2297" s="136"/>
      <c r="BN2297" s="2"/>
      <c r="BO2297" s="2"/>
      <c r="BP2297" s="136"/>
      <c r="BQ2297" s="137"/>
    </row>
    <row r="2298" spans="1:69" ht="12.75" customHeight="1" x14ac:dyDescent="0.2">
      <c r="A2298" s="2">
        <v>3787</v>
      </c>
      <c r="B2298" s="2"/>
      <c r="C2298" s="2"/>
      <c r="D2298" s="2"/>
      <c r="E2298" s="2"/>
      <c r="F2298" s="132">
        <v>0</v>
      </c>
      <c r="G2298" s="132"/>
      <c r="H2298" s="132">
        <f t="shared" si="262"/>
        <v>0</v>
      </c>
      <c r="I2298" s="132"/>
      <c r="J2298" s="132">
        <f t="shared" si="260"/>
        <v>0</v>
      </c>
      <c r="K2298" s="132">
        <f t="shared" si="263"/>
        <v>0</v>
      </c>
      <c r="L2298" s="132">
        <f t="shared" si="257"/>
        <v>0</v>
      </c>
      <c r="M2298" s="133"/>
      <c r="N2298" s="133">
        <f t="shared" si="261"/>
        <v>0</v>
      </c>
      <c r="O2298" s="134"/>
      <c r="P2298" s="133"/>
      <c r="Q2298" s="2"/>
      <c r="R2298" s="156">
        <f t="shared" si="258"/>
        <v>0</v>
      </c>
      <c r="S2298" s="156">
        <f t="shared" si="259"/>
        <v>0</v>
      </c>
      <c r="T2298" s="133"/>
      <c r="U2298" s="133"/>
      <c r="V2298" s="133"/>
      <c r="W2298" s="133"/>
      <c r="X2298" s="133"/>
      <c r="Y2298" s="133"/>
      <c r="Z2298" s="133"/>
      <c r="AA2298" s="133"/>
      <c r="AB2298" s="133"/>
      <c r="AC2298" s="133"/>
      <c r="AD2298" s="133"/>
      <c r="AE2298" s="133"/>
      <c r="AF2298" s="133"/>
      <c r="AG2298" s="133"/>
      <c r="AH2298" s="133"/>
      <c r="AI2298" s="133"/>
      <c r="AJ2298" s="133"/>
      <c r="AK2298" s="133"/>
      <c r="AL2298" s="133"/>
      <c r="AM2298" s="133"/>
      <c r="AN2298" s="133"/>
      <c r="AO2298" s="133"/>
      <c r="AP2298" s="133"/>
      <c r="AQ2298" s="133"/>
      <c r="AR2298" s="133"/>
      <c r="AS2298" s="153">
        <v>0</v>
      </c>
      <c r="AT2298" s="153">
        <v>0</v>
      </c>
      <c r="AU2298" s="153">
        <v>0</v>
      </c>
      <c r="AV2298" s="135"/>
      <c r="AW2298" s="135"/>
      <c r="AX2298" s="135"/>
      <c r="AY2298" s="135"/>
      <c r="AZ2298" s="135"/>
      <c r="BA2298" s="135"/>
      <c r="BB2298" s="135"/>
      <c r="BC2298" s="135"/>
      <c r="BD2298" s="135"/>
      <c r="BE2298" s="135"/>
      <c r="BF2298" s="135"/>
      <c r="BG2298" s="135"/>
      <c r="BH2298" s="135"/>
      <c r="BI2298" s="2"/>
      <c r="BJ2298" s="136"/>
      <c r="BK2298" s="2"/>
      <c r="BL2298" s="136"/>
      <c r="BM2298" s="136"/>
      <c r="BN2298" s="2"/>
      <c r="BO2298" s="2"/>
      <c r="BP2298" s="136"/>
      <c r="BQ2298" s="137"/>
    </row>
    <row r="2299" spans="1:69" ht="12.75" customHeight="1" x14ac:dyDescent="0.2">
      <c r="A2299" s="2">
        <v>3788</v>
      </c>
      <c r="B2299" s="2"/>
      <c r="C2299" s="2"/>
      <c r="D2299" s="2"/>
      <c r="E2299" s="2"/>
      <c r="F2299" s="132">
        <v>0</v>
      </c>
      <c r="G2299" s="132"/>
      <c r="H2299" s="132">
        <f t="shared" si="262"/>
        <v>0</v>
      </c>
      <c r="I2299" s="132"/>
      <c r="J2299" s="132">
        <f t="shared" si="260"/>
        <v>0</v>
      </c>
      <c r="K2299" s="132">
        <f t="shared" si="263"/>
        <v>0</v>
      </c>
      <c r="L2299" s="132">
        <f t="shared" si="257"/>
        <v>0</v>
      </c>
      <c r="M2299" s="133"/>
      <c r="N2299" s="133">
        <f t="shared" si="261"/>
        <v>0</v>
      </c>
      <c r="O2299" s="134"/>
      <c r="P2299" s="133"/>
      <c r="Q2299" s="2"/>
      <c r="R2299" s="156">
        <f t="shared" si="258"/>
        <v>0</v>
      </c>
      <c r="S2299" s="156">
        <f t="shared" si="259"/>
        <v>0</v>
      </c>
      <c r="T2299" s="133"/>
      <c r="U2299" s="133"/>
      <c r="V2299" s="133"/>
      <c r="W2299" s="133"/>
      <c r="X2299" s="133"/>
      <c r="Y2299" s="133"/>
      <c r="Z2299" s="133"/>
      <c r="AA2299" s="133"/>
      <c r="AB2299" s="133"/>
      <c r="AC2299" s="133"/>
      <c r="AD2299" s="133"/>
      <c r="AE2299" s="133"/>
      <c r="AF2299" s="133"/>
      <c r="AG2299" s="133"/>
      <c r="AH2299" s="133"/>
      <c r="AI2299" s="133"/>
      <c r="AJ2299" s="133"/>
      <c r="AK2299" s="133"/>
      <c r="AL2299" s="133"/>
      <c r="AM2299" s="133"/>
      <c r="AN2299" s="133"/>
      <c r="AO2299" s="133"/>
      <c r="AP2299" s="133"/>
      <c r="AQ2299" s="133"/>
      <c r="AR2299" s="133"/>
      <c r="AS2299" s="153">
        <v>0</v>
      </c>
      <c r="AT2299" s="153">
        <v>0</v>
      </c>
      <c r="AU2299" s="153">
        <v>0</v>
      </c>
      <c r="AV2299" s="135"/>
      <c r="AW2299" s="135"/>
      <c r="AX2299" s="135"/>
      <c r="AY2299" s="135"/>
      <c r="AZ2299" s="135"/>
      <c r="BA2299" s="135"/>
      <c r="BB2299" s="135"/>
      <c r="BC2299" s="135"/>
      <c r="BD2299" s="135"/>
      <c r="BE2299" s="135"/>
      <c r="BF2299" s="135"/>
      <c r="BG2299" s="135"/>
      <c r="BH2299" s="135"/>
      <c r="BI2299" s="2"/>
      <c r="BJ2299" s="136"/>
      <c r="BK2299" s="2"/>
      <c r="BL2299" s="136"/>
      <c r="BM2299" s="136"/>
      <c r="BN2299" s="2"/>
      <c r="BO2299" s="2"/>
      <c r="BP2299" s="136"/>
      <c r="BQ2299" s="137"/>
    </row>
    <row r="2300" spans="1:69" ht="12.75" customHeight="1" x14ac:dyDescent="0.2">
      <c r="A2300" s="2">
        <v>3789</v>
      </c>
      <c r="B2300" s="2"/>
      <c r="C2300" s="2"/>
      <c r="D2300" s="2"/>
      <c r="E2300" s="2"/>
      <c r="F2300" s="132">
        <v>0</v>
      </c>
      <c r="G2300" s="132"/>
      <c r="H2300" s="132">
        <f t="shared" si="262"/>
        <v>0</v>
      </c>
      <c r="I2300" s="132"/>
      <c r="J2300" s="132">
        <f t="shared" si="260"/>
        <v>0</v>
      </c>
      <c r="K2300" s="132">
        <f t="shared" si="263"/>
        <v>0</v>
      </c>
      <c r="L2300" s="132">
        <f t="shared" si="257"/>
        <v>0</v>
      </c>
      <c r="M2300" s="133"/>
      <c r="N2300" s="133">
        <f t="shared" si="261"/>
        <v>0</v>
      </c>
      <c r="O2300" s="134"/>
      <c r="P2300" s="133"/>
      <c r="Q2300" s="2"/>
      <c r="R2300" s="156">
        <f t="shared" si="258"/>
        <v>0</v>
      </c>
      <c r="S2300" s="156">
        <f t="shared" si="259"/>
        <v>0</v>
      </c>
      <c r="T2300" s="133"/>
      <c r="U2300" s="133"/>
      <c r="V2300" s="133"/>
      <c r="W2300" s="133"/>
      <c r="X2300" s="133"/>
      <c r="Y2300" s="133"/>
      <c r="Z2300" s="133"/>
      <c r="AA2300" s="133"/>
      <c r="AB2300" s="133"/>
      <c r="AC2300" s="133"/>
      <c r="AD2300" s="133"/>
      <c r="AE2300" s="133"/>
      <c r="AF2300" s="133"/>
      <c r="AG2300" s="133"/>
      <c r="AH2300" s="133"/>
      <c r="AI2300" s="133"/>
      <c r="AJ2300" s="133"/>
      <c r="AK2300" s="133"/>
      <c r="AL2300" s="133"/>
      <c r="AM2300" s="133"/>
      <c r="AN2300" s="133"/>
      <c r="AO2300" s="133"/>
      <c r="AP2300" s="133"/>
      <c r="AQ2300" s="133"/>
      <c r="AR2300" s="133"/>
      <c r="AS2300" s="153">
        <v>0</v>
      </c>
      <c r="AT2300" s="153">
        <v>0</v>
      </c>
      <c r="AU2300" s="153">
        <v>0</v>
      </c>
      <c r="AV2300" s="135"/>
      <c r="AW2300" s="135"/>
      <c r="AX2300" s="135"/>
      <c r="AY2300" s="135"/>
      <c r="AZ2300" s="135"/>
      <c r="BA2300" s="135"/>
      <c r="BB2300" s="135"/>
      <c r="BC2300" s="135"/>
      <c r="BD2300" s="135"/>
      <c r="BE2300" s="135"/>
      <c r="BF2300" s="135"/>
      <c r="BG2300" s="135"/>
      <c r="BH2300" s="135"/>
      <c r="BI2300" s="2"/>
      <c r="BJ2300" s="136"/>
      <c r="BK2300" s="2"/>
      <c r="BL2300" s="136"/>
      <c r="BM2300" s="136"/>
      <c r="BN2300" s="2"/>
      <c r="BO2300" s="2"/>
      <c r="BP2300" s="136"/>
      <c r="BQ2300" s="137"/>
    </row>
    <row r="2301" spans="1:69" ht="12.75" customHeight="1" x14ac:dyDescent="0.2">
      <c r="A2301" s="2">
        <v>3790</v>
      </c>
      <c r="B2301" s="2"/>
      <c r="C2301" s="2"/>
      <c r="D2301" s="2"/>
      <c r="E2301" s="2"/>
      <c r="F2301" s="132">
        <v>0</v>
      </c>
      <c r="G2301" s="132"/>
      <c r="H2301" s="132">
        <f t="shared" si="262"/>
        <v>0</v>
      </c>
      <c r="I2301" s="132"/>
      <c r="J2301" s="132">
        <f t="shared" si="260"/>
        <v>0</v>
      </c>
      <c r="K2301" s="132">
        <f t="shared" si="263"/>
        <v>0</v>
      </c>
      <c r="L2301" s="132">
        <f t="shared" si="257"/>
        <v>0</v>
      </c>
      <c r="M2301" s="133"/>
      <c r="N2301" s="133">
        <f t="shared" si="261"/>
        <v>0</v>
      </c>
      <c r="O2301" s="134"/>
      <c r="P2301" s="133"/>
      <c r="Q2301" s="2"/>
      <c r="R2301" s="156">
        <f t="shared" si="258"/>
        <v>0</v>
      </c>
      <c r="S2301" s="156">
        <f t="shared" si="259"/>
        <v>0</v>
      </c>
      <c r="T2301" s="133"/>
      <c r="U2301" s="133"/>
      <c r="V2301" s="133"/>
      <c r="W2301" s="133"/>
      <c r="X2301" s="133"/>
      <c r="Y2301" s="133"/>
      <c r="Z2301" s="133"/>
      <c r="AA2301" s="133"/>
      <c r="AB2301" s="133"/>
      <c r="AC2301" s="133"/>
      <c r="AD2301" s="133"/>
      <c r="AE2301" s="133"/>
      <c r="AF2301" s="133"/>
      <c r="AG2301" s="133"/>
      <c r="AH2301" s="133"/>
      <c r="AI2301" s="133"/>
      <c r="AJ2301" s="133"/>
      <c r="AK2301" s="133"/>
      <c r="AL2301" s="133"/>
      <c r="AM2301" s="133"/>
      <c r="AN2301" s="133"/>
      <c r="AO2301" s="133"/>
      <c r="AP2301" s="133"/>
      <c r="AQ2301" s="133"/>
      <c r="AR2301" s="133"/>
      <c r="AS2301" s="153">
        <v>0</v>
      </c>
      <c r="AT2301" s="153">
        <v>0</v>
      </c>
      <c r="AU2301" s="153">
        <v>0</v>
      </c>
      <c r="AV2301" s="135"/>
      <c r="AW2301" s="135"/>
      <c r="AX2301" s="135"/>
      <c r="AY2301" s="135"/>
      <c r="AZ2301" s="135"/>
      <c r="BA2301" s="135"/>
      <c r="BB2301" s="135"/>
      <c r="BC2301" s="135"/>
      <c r="BD2301" s="135"/>
      <c r="BE2301" s="135"/>
      <c r="BF2301" s="135"/>
      <c r="BG2301" s="135"/>
      <c r="BH2301" s="135"/>
      <c r="BI2301" s="2"/>
      <c r="BJ2301" s="136"/>
      <c r="BK2301" s="2"/>
      <c r="BL2301" s="136"/>
      <c r="BM2301" s="136"/>
      <c r="BN2301" s="2"/>
      <c r="BO2301" s="2"/>
      <c r="BP2301" s="136"/>
      <c r="BQ2301" s="137"/>
    </row>
    <row r="2302" spans="1:69" ht="12.75" customHeight="1" x14ac:dyDescent="0.2">
      <c r="A2302" s="2">
        <v>3791</v>
      </c>
      <c r="B2302" s="2"/>
      <c r="C2302" s="2"/>
      <c r="D2302" s="2"/>
      <c r="E2302" s="2"/>
      <c r="F2302" s="132">
        <v>0</v>
      </c>
      <c r="G2302" s="132"/>
      <c r="H2302" s="132">
        <f t="shared" si="262"/>
        <v>0</v>
      </c>
      <c r="I2302" s="132"/>
      <c r="J2302" s="132">
        <f t="shared" si="260"/>
        <v>0</v>
      </c>
      <c r="K2302" s="132">
        <f t="shared" si="263"/>
        <v>0</v>
      </c>
      <c r="L2302" s="132">
        <f t="shared" si="257"/>
        <v>0</v>
      </c>
      <c r="M2302" s="133"/>
      <c r="N2302" s="133">
        <f t="shared" si="261"/>
        <v>0</v>
      </c>
      <c r="O2302" s="134"/>
      <c r="P2302" s="133"/>
      <c r="Q2302" s="2"/>
      <c r="R2302" s="156">
        <f t="shared" si="258"/>
        <v>0</v>
      </c>
      <c r="S2302" s="156">
        <f t="shared" si="259"/>
        <v>0</v>
      </c>
      <c r="T2302" s="133"/>
      <c r="U2302" s="133"/>
      <c r="V2302" s="133"/>
      <c r="W2302" s="133"/>
      <c r="X2302" s="133"/>
      <c r="Y2302" s="133"/>
      <c r="Z2302" s="133"/>
      <c r="AA2302" s="133"/>
      <c r="AB2302" s="133"/>
      <c r="AC2302" s="133"/>
      <c r="AD2302" s="133"/>
      <c r="AE2302" s="133"/>
      <c r="AF2302" s="133"/>
      <c r="AG2302" s="133"/>
      <c r="AH2302" s="133"/>
      <c r="AI2302" s="133"/>
      <c r="AJ2302" s="133"/>
      <c r="AK2302" s="133"/>
      <c r="AL2302" s="133"/>
      <c r="AM2302" s="133"/>
      <c r="AN2302" s="133"/>
      <c r="AO2302" s="133"/>
      <c r="AP2302" s="133"/>
      <c r="AQ2302" s="133"/>
      <c r="AR2302" s="133"/>
      <c r="AS2302" s="153">
        <v>0</v>
      </c>
      <c r="AT2302" s="153">
        <v>0</v>
      </c>
      <c r="AU2302" s="153">
        <v>0</v>
      </c>
      <c r="AV2302" s="135"/>
      <c r="AW2302" s="135"/>
      <c r="AX2302" s="135"/>
      <c r="AY2302" s="135"/>
      <c r="AZ2302" s="135"/>
      <c r="BA2302" s="135"/>
      <c r="BB2302" s="135"/>
      <c r="BC2302" s="135"/>
      <c r="BD2302" s="135"/>
      <c r="BE2302" s="135"/>
      <c r="BF2302" s="135"/>
      <c r="BG2302" s="135"/>
      <c r="BH2302" s="135"/>
      <c r="BI2302" s="2"/>
      <c r="BJ2302" s="136"/>
      <c r="BK2302" s="2"/>
      <c r="BL2302" s="136"/>
      <c r="BM2302" s="136"/>
      <c r="BN2302" s="2"/>
      <c r="BO2302" s="2"/>
      <c r="BP2302" s="136"/>
      <c r="BQ2302" s="137"/>
    </row>
    <row r="2303" spans="1:69" ht="12.75" customHeight="1" x14ac:dyDescent="0.2">
      <c r="A2303" s="2">
        <v>3792</v>
      </c>
      <c r="B2303" s="2"/>
      <c r="C2303" s="2"/>
      <c r="D2303" s="2"/>
      <c r="E2303" s="2"/>
      <c r="F2303" s="132">
        <v>0</v>
      </c>
      <c r="G2303" s="132"/>
      <c r="H2303" s="132">
        <f t="shared" si="262"/>
        <v>0</v>
      </c>
      <c r="I2303" s="132"/>
      <c r="J2303" s="132">
        <f t="shared" si="260"/>
        <v>0</v>
      </c>
      <c r="K2303" s="132">
        <f t="shared" si="263"/>
        <v>0</v>
      </c>
      <c r="L2303" s="132">
        <f t="shared" si="257"/>
        <v>0</v>
      </c>
      <c r="M2303" s="133"/>
      <c r="N2303" s="133">
        <f t="shared" si="261"/>
        <v>0</v>
      </c>
      <c r="O2303" s="134"/>
      <c r="P2303" s="133"/>
      <c r="Q2303" s="2"/>
      <c r="R2303" s="156">
        <f t="shared" si="258"/>
        <v>0</v>
      </c>
      <c r="S2303" s="156">
        <f t="shared" si="259"/>
        <v>0</v>
      </c>
      <c r="T2303" s="133"/>
      <c r="U2303" s="133"/>
      <c r="V2303" s="133"/>
      <c r="W2303" s="133"/>
      <c r="X2303" s="133"/>
      <c r="Y2303" s="133"/>
      <c r="Z2303" s="133"/>
      <c r="AA2303" s="133"/>
      <c r="AB2303" s="133"/>
      <c r="AC2303" s="133"/>
      <c r="AD2303" s="133"/>
      <c r="AE2303" s="133"/>
      <c r="AF2303" s="133"/>
      <c r="AG2303" s="133"/>
      <c r="AH2303" s="133"/>
      <c r="AI2303" s="133"/>
      <c r="AJ2303" s="133"/>
      <c r="AK2303" s="133"/>
      <c r="AL2303" s="133"/>
      <c r="AM2303" s="133"/>
      <c r="AN2303" s="133"/>
      <c r="AO2303" s="133"/>
      <c r="AP2303" s="133"/>
      <c r="AQ2303" s="133"/>
      <c r="AR2303" s="133"/>
      <c r="AS2303" s="153">
        <v>0</v>
      </c>
      <c r="AT2303" s="153">
        <v>0</v>
      </c>
      <c r="AU2303" s="153">
        <v>0</v>
      </c>
      <c r="AV2303" s="135"/>
      <c r="AW2303" s="135"/>
      <c r="AX2303" s="135"/>
      <c r="AY2303" s="135"/>
      <c r="AZ2303" s="135"/>
      <c r="BA2303" s="135"/>
      <c r="BB2303" s="135"/>
      <c r="BC2303" s="135"/>
      <c r="BD2303" s="135"/>
      <c r="BE2303" s="135"/>
      <c r="BF2303" s="135"/>
      <c r="BG2303" s="135"/>
      <c r="BH2303" s="135"/>
      <c r="BI2303" s="2"/>
      <c r="BJ2303" s="136"/>
      <c r="BK2303" s="2"/>
      <c r="BL2303" s="136"/>
      <c r="BM2303" s="136"/>
      <c r="BN2303" s="2"/>
      <c r="BO2303" s="2"/>
      <c r="BP2303" s="136"/>
      <c r="BQ2303" s="137"/>
    </row>
    <row r="2304" spans="1:69" ht="12.75" customHeight="1" x14ac:dyDescent="0.2">
      <c r="A2304" s="2">
        <v>3793</v>
      </c>
      <c r="B2304" s="2"/>
      <c r="C2304" s="2"/>
      <c r="D2304" s="2"/>
      <c r="E2304" s="2"/>
      <c r="F2304" s="132">
        <v>0</v>
      </c>
      <c r="G2304" s="132"/>
      <c r="H2304" s="132">
        <f t="shared" si="262"/>
        <v>0</v>
      </c>
      <c r="I2304" s="132"/>
      <c r="J2304" s="132">
        <f t="shared" si="260"/>
        <v>0</v>
      </c>
      <c r="K2304" s="132">
        <f t="shared" si="263"/>
        <v>0</v>
      </c>
      <c r="L2304" s="132">
        <f t="shared" si="257"/>
        <v>0</v>
      </c>
      <c r="M2304" s="133"/>
      <c r="N2304" s="133">
        <f t="shared" si="261"/>
        <v>0</v>
      </c>
      <c r="O2304" s="134"/>
      <c r="P2304" s="133"/>
      <c r="Q2304" s="2"/>
      <c r="R2304" s="156">
        <f t="shared" si="258"/>
        <v>0</v>
      </c>
      <c r="S2304" s="156">
        <f t="shared" si="259"/>
        <v>0</v>
      </c>
      <c r="T2304" s="133"/>
      <c r="U2304" s="133"/>
      <c r="V2304" s="133"/>
      <c r="W2304" s="133"/>
      <c r="X2304" s="133"/>
      <c r="Y2304" s="133"/>
      <c r="Z2304" s="133"/>
      <c r="AA2304" s="133"/>
      <c r="AB2304" s="133"/>
      <c r="AC2304" s="133"/>
      <c r="AD2304" s="133"/>
      <c r="AE2304" s="133"/>
      <c r="AF2304" s="133"/>
      <c r="AG2304" s="133"/>
      <c r="AH2304" s="133"/>
      <c r="AI2304" s="133"/>
      <c r="AJ2304" s="133"/>
      <c r="AK2304" s="133"/>
      <c r="AL2304" s="133"/>
      <c r="AM2304" s="133"/>
      <c r="AN2304" s="133"/>
      <c r="AO2304" s="133"/>
      <c r="AP2304" s="133"/>
      <c r="AQ2304" s="133"/>
      <c r="AR2304" s="133"/>
      <c r="AS2304" s="153">
        <v>0</v>
      </c>
      <c r="AT2304" s="153">
        <v>0</v>
      </c>
      <c r="AU2304" s="153">
        <v>0</v>
      </c>
      <c r="AV2304" s="135"/>
      <c r="AW2304" s="135"/>
      <c r="AX2304" s="135"/>
      <c r="AY2304" s="135"/>
      <c r="AZ2304" s="135"/>
      <c r="BA2304" s="135"/>
      <c r="BB2304" s="135"/>
      <c r="BC2304" s="135"/>
      <c r="BD2304" s="135"/>
      <c r="BE2304" s="135"/>
      <c r="BF2304" s="135"/>
      <c r="BG2304" s="135"/>
      <c r="BH2304" s="135"/>
      <c r="BI2304" s="2"/>
      <c r="BJ2304" s="136"/>
      <c r="BK2304" s="2"/>
      <c r="BL2304" s="136"/>
      <c r="BM2304" s="136"/>
      <c r="BN2304" s="2"/>
      <c r="BO2304" s="2"/>
      <c r="BP2304" s="136"/>
      <c r="BQ2304" s="137"/>
    </row>
    <row r="2305" spans="1:69" ht="12.75" customHeight="1" x14ac:dyDescent="0.2">
      <c r="A2305" s="2">
        <v>3794</v>
      </c>
      <c r="B2305" s="2"/>
      <c r="C2305" s="2"/>
      <c r="D2305" s="2"/>
      <c r="E2305" s="2"/>
      <c r="F2305" s="132">
        <v>0</v>
      </c>
      <c r="G2305" s="132"/>
      <c r="H2305" s="132">
        <f t="shared" si="262"/>
        <v>0</v>
      </c>
      <c r="I2305" s="132"/>
      <c r="J2305" s="132">
        <f t="shared" si="260"/>
        <v>0</v>
      </c>
      <c r="K2305" s="132">
        <f t="shared" si="263"/>
        <v>0</v>
      </c>
      <c r="L2305" s="132">
        <f t="shared" si="257"/>
        <v>0</v>
      </c>
      <c r="M2305" s="133"/>
      <c r="N2305" s="133">
        <f t="shared" si="261"/>
        <v>0</v>
      </c>
      <c r="O2305" s="134"/>
      <c r="P2305" s="133"/>
      <c r="Q2305" s="2"/>
      <c r="R2305" s="156">
        <f t="shared" si="258"/>
        <v>0</v>
      </c>
      <c r="S2305" s="156">
        <f t="shared" si="259"/>
        <v>0</v>
      </c>
      <c r="T2305" s="133"/>
      <c r="U2305" s="133"/>
      <c r="V2305" s="133"/>
      <c r="W2305" s="133"/>
      <c r="X2305" s="133"/>
      <c r="Y2305" s="133"/>
      <c r="Z2305" s="133"/>
      <c r="AA2305" s="133"/>
      <c r="AB2305" s="133"/>
      <c r="AC2305" s="133"/>
      <c r="AD2305" s="133"/>
      <c r="AE2305" s="133"/>
      <c r="AF2305" s="133"/>
      <c r="AG2305" s="133"/>
      <c r="AH2305" s="133"/>
      <c r="AI2305" s="133"/>
      <c r="AJ2305" s="133"/>
      <c r="AK2305" s="133"/>
      <c r="AL2305" s="133"/>
      <c r="AM2305" s="133"/>
      <c r="AN2305" s="133"/>
      <c r="AO2305" s="133"/>
      <c r="AP2305" s="133"/>
      <c r="AQ2305" s="133"/>
      <c r="AR2305" s="133"/>
      <c r="AS2305" s="153">
        <v>0</v>
      </c>
      <c r="AT2305" s="153">
        <v>0</v>
      </c>
      <c r="AU2305" s="153">
        <v>0</v>
      </c>
      <c r="AV2305" s="135"/>
      <c r="AW2305" s="135"/>
      <c r="AX2305" s="135"/>
      <c r="AY2305" s="135"/>
      <c r="AZ2305" s="135"/>
      <c r="BA2305" s="135"/>
      <c r="BB2305" s="135"/>
      <c r="BC2305" s="135"/>
      <c r="BD2305" s="135"/>
      <c r="BE2305" s="135"/>
      <c r="BF2305" s="135"/>
      <c r="BG2305" s="135"/>
      <c r="BH2305" s="135"/>
      <c r="BI2305" s="2"/>
      <c r="BJ2305" s="136"/>
      <c r="BK2305" s="2"/>
      <c r="BL2305" s="136"/>
      <c r="BM2305" s="136"/>
      <c r="BN2305" s="2"/>
      <c r="BO2305" s="2"/>
      <c r="BP2305" s="136"/>
      <c r="BQ2305" s="137"/>
    </row>
    <row r="2306" spans="1:69" ht="12.75" customHeight="1" x14ac:dyDescent="0.2">
      <c r="A2306" s="2">
        <v>3795</v>
      </c>
      <c r="B2306" s="2"/>
      <c r="C2306" s="2"/>
      <c r="D2306" s="2"/>
      <c r="E2306" s="2"/>
      <c r="F2306" s="132">
        <v>0</v>
      </c>
      <c r="G2306" s="132"/>
      <c r="H2306" s="132">
        <f t="shared" si="262"/>
        <v>0</v>
      </c>
      <c r="I2306" s="132"/>
      <c r="J2306" s="132">
        <f t="shared" si="260"/>
        <v>0</v>
      </c>
      <c r="K2306" s="132">
        <f t="shared" si="263"/>
        <v>0</v>
      </c>
      <c r="L2306" s="132">
        <f t="shared" si="257"/>
        <v>0</v>
      </c>
      <c r="M2306" s="133"/>
      <c r="N2306" s="133">
        <f t="shared" si="261"/>
        <v>0</v>
      </c>
      <c r="O2306" s="134"/>
      <c r="P2306" s="133"/>
      <c r="Q2306" s="2"/>
      <c r="R2306" s="156">
        <f t="shared" si="258"/>
        <v>0</v>
      </c>
      <c r="S2306" s="156">
        <f t="shared" si="259"/>
        <v>0</v>
      </c>
      <c r="T2306" s="133"/>
      <c r="U2306" s="133"/>
      <c r="V2306" s="133"/>
      <c r="W2306" s="133"/>
      <c r="X2306" s="133"/>
      <c r="Y2306" s="133"/>
      <c r="Z2306" s="133"/>
      <c r="AA2306" s="133"/>
      <c r="AB2306" s="133"/>
      <c r="AC2306" s="133"/>
      <c r="AD2306" s="133"/>
      <c r="AE2306" s="133"/>
      <c r="AF2306" s="133"/>
      <c r="AG2306" s="133"/>
      <c r="AH2306" s="133"/>
      <c r="AI2306" s="133"/>
      <c r="AJ2306" s="133"/>
      <c r="AK2306" s="133"/>
      <c r="AL2306" s="133"/>
      <c r="AM2306" s="133"/>
      <c r="AN2306" s="133"/>
      <c r="AO2306" s="133"/>
      <c r="AP2306" s="133"/>
      <c r="AQ2306" s="133"/>
      <c r="AR2306" s="133"/>
      <c r="AS2306" s="153">
        <v>0</v>
      </c>
      <c r="AT2306" s="153">
        <v>0</v>
      </c>
      <c r="AU2306" s="153">
        <v>0</v>
      </c>
      <c r="AV2306" s="135"/>
      <c r="AW2306" s="135"/>
      <c r="AX2306" s="135"/>
      <c r="AY2306" s="135"/>
      <c r="AZ2306" s="135"/>
      <c r="BA2306" s="135"/>
      <c r="BB2306" s="135"/>
      <c r="BC2306" s="135"/>
      <c r="BD2306" s="135"/>
      <c r="BE2306" s="135"/>
      <c r="BF2306" s="135"/>
      <c r="BG2306" s="135"/>
      <c r="BH2306" s="135"/>
      <c r="BI2306" s="2"/>
      <c r="BJ2306" s="136"/>
      <c r="BK2306" s="2"/>
      <c r="BL2306" s="136"/>
      <c r="BM2306" s="136"/>
      <c r="BN2306" s="2"/>
      <c r="BO2306" s="2"/>
      <c r="BP2306" s="136"/>
      <c r="BQ2306" s="137"/>
    </row>
    <row r="2307" spans="1:69" ht="12.75" customHeight="1" x14ac:dyDescent="0.2">
      <c r="A2307" s="2">
        <v>3796</v>
      </c>
      <c r="B2307" s="2"/>
      <c r="C2307" s="2"/>
      <c r="D2307" s="2"/>
      <c r="E2307" s="2"/>
      <c r="F2307" s="132">
        <v>0</v>
      </c>
      <c r="G2307" s="132"/>
      <c r="H2307" s="132">
        <f t="shared" si="262"/>
        <v>0</v>
      </c>
      <c r="I2307" s="132"/>
      <c r="J2307" s="132">
        <f t="shared" si="260"/>
        <v>0</v>
      </c>
      <c r="K2307" s="132">
        <f t="shared" si="263"/>
        <v>0</v>
      </c>
      <c r="L2307" s="132">
        <f t="shared" si="257"/>
        <v>0</v>
      </c>
      <c r="M2307" s="133"/>
      <c r="N2307" s="133">
        <f t="shared" si="261"/>
        <v>0</v>
      </c>
      <c r="O2307" s="134"/>
      <c r="P2307" s="133"/>
      <c r="Q2307" s="2"/>
      <c r="R2307" s="156">
        <f t="shared" si="258"/>
        <v>0</v>
      </c>
      <c r="S2307" s="156">
        <f t="shared" si="259"/>
        <v>0</v>
      </c>
      <c r="T2307" s="133"/>
      <c r="U2307" s="133"/>
      <c r="V2307" s="133"/>
      <c r="W2307" s="133"/>
      <c r="X2307" s="133"/>
      <c r="Y2307" s="133"/>
      <c r="Z2307" s="133"/>
      <c r="AA2307" s="133"/>
      <c r="AB2307" s="133"/>
      <c r="AC2307" s="133"/>
      <c r="AD2307" s="133"/>
      <c r="AE2307" s="133"/>
      <c r="AF2307" s="133"/>
      <c r="AG2307" s="133"/>
      <c r="AH2307" s="133"/>
      <c r="AI2307" s="133"/>
      <c r="AJ2307" s="133"/>
      <c r="AK2307" s="133"/>
      <c r="AL2307" s="133"/>
      <c r="AM2307" s="133"/>
      <c r="AN2307" s="133"/>
      <c r="AO2307" s="133"/>
      <c r="AP2307" s="133"/>
      <c r="AQ2307" s="133"/>
      <c r="AR2307" s="133"/>
      <c r="AS2307" s="153">
        <v>0</v>
      </c>
      <c r="AT2307" s="153">
        <v>0</v>
      </c>
      <c r="AU2307" s="153">
        <v>0</v>
      </c>
      <c r="AV2307" s="135"/>
      <c r="AW2307" s="135"/>
      <c r="AX2307" s="135"/>
      <c r="AY2307" s="135"/>
      <c r="AZ2307" s="135"/>
      <c r="BA2307" s="135"/>
      <c r="BB2307" s="135"/>
      <c r="BC2307" s="135"/>
      <c r="BD2307" s="135"/>
      <c r="BE2307" s="135"/>
      <c r="BF2307" s="135"/>
      <c r="BG2307" s="135"/>
      <c r="BH2307" s="135"/>
      <c r="BI2307" s="2"/>
      <c r="BJ2307" s="136"/>
      <c r="BK2307" s="2"/>
      <c r="BL2307" s="136"/>
      <c r="BM2307" s="136"/>
      <c r="BN2307" s="2"/>
      <c r="BO2307" s="2"/>
      <c r="BP2307" s="136"/>
      <c r="BQ2307" s="137"/>
    </row>
    <row r="2308" spans="1:69" ht="12.75" customHeight="1" x14ac:dyDescent="0.2">
      <c r="A2308" s="2">
        <v>3797</v>
      </c>
      <c r="B2308" s="2"/>
      <c r="C2308" s="2"/>
      <c r="D2308" s="2"/>
      <c r="E2308" s="2"/>
      <c r="F2308" s="132">
        <v>0</v>
      </c>
      <c r="G2308" s="132"/>
      <c r="H2308" s="132">
        <f t="shared" si="262"/>
        <v>0</v>
      </c>
      <c r="I2308" s="132"/>
      <c r="J2308" s="132">
        <f t="shared" si="260"/>
        <v>0</v>
      </c>
      <c r="K2308" s="132">
        <f t="shared" si="263"/>
        <v>0</v>
      </c>
      <c r="L2308" s="132">
        <f t="shared" si="257"/>
        <v>0</v>
      </c>
      <c r="M2308" s="133"/>
      <c r="N2308" s="133">
        <f t="shared" si="261"/>
        <v>0</v>
      </c>
      <c r="O2308" s="134"/>
      <c r="P2308" s="133"/>
      <c r="Q2308" s="2"/>
      <c r="R2308" s="156">
        <f t="shared" si="258"/>
        <v>0</v>
      </c>
      <c r="S2308" s="156">
        <f t="shared" si="259"/>
        <v>0</v>
      </c>
      <c r="T2308" s="133"/>
      <c r="U2308" s="133"/>
      <c r="V2308" s="133"/>
      <c r="W2308" s="133"/>
      <c r="X2308" s="133"/>
      <c r="Y2308" s="133"/>
      <c r="Z2308" s="133"/>
      <c r="AA2308" s="133"/>
      <c r="AB2308" s="133"/>
      <c r="AC2308" s="133"/>
      <c r="AD2308" s="133"/>
      <c r="AE2308" s="133"/>
      <c r="AF2308" s="133"/>
      <c r="AG2308" s="133"/>
      <c r="AH2308" s="133"/>
      <c r="AI2308" s="133"/>
      <c r="AJ2308" s="133"/>
      <c r="AK2308" s="133"/>
      <c r="AL2308" s="133"/>
      <c r="AM2308" s="133"/>
      <c r="AN2308" s="133"/>
      <c r="AO2308" s="133"/>
      <c r="AP2308" s="133"/>
      <c r="AQ2308" s="133"/>
      <c r="AR2308" s="133"/>
      <c r="AS2308" s="153">
        <v>0</v>
      </c>
      <c r="AT2308" s="153">
        <v>0</v>
      </c>
      <c r="AU2308" s="153">
        <v>0</v>
      </c>
      <c r="AV2308" s="135"/>
      <c r="AW2308" s="135"/>
      <c r="AX2308" s="135"/>
      <c r="AY2308" s="135"/>
      <c r="AZ2308" s="135"/>
      <c r="BA2308" s="135"/>
      <c r="BB2308" s="135"/>
      <c r="BC2308" s="135"/>
      <c r="BD2308" s="135"/>
      <c r="BE2308" s="135"/>
      <c r="BF2308" s="135"/>
      <c r="BG2308" s="135"/>
      <c r="BH2308" s="135"/>
      <c r="BI2308" s="2"/>
      <c r="BJ2308" s="136"/>
      <c r="BK2308" s="2"/>
      <c r="BL2308" s="136"/>
      <c r="BM2308" s="136"/>
      <c r="BN2308" s="2"/>
      <c r="BO2308" s="2"/>
      <c r="BP2308" s="136"/>
      <c r="BQ2308" s="137"/>
    </row>
    <row r="2309" spans="1:69" ht="12.75" customHeight="1" x14ac:dyDescent="0.2">
      <c r="A2309" s="2">
        <v>3798</v>
      </c>
      <c r="B2309" s="2"/>
      <c r="C2309" s="2"/>
      <c r="D2309" s="2"/>
      <c r="E2309" s="2"/>
      <c r="F2309" s="132">
        <v>0</v>
      </c>
      <c r="G2309" s="132"/>
      <c r="H2309" s="132">
        <f t="shared" si="262"/>
        <v>0</v>
      </c>
      <c r="I2309" s="132"/>
      <c r="J2309" s="132">
        <f t="shared" si="260"/>
        <v>0</v>
      </c>
      <c r="K2309" s="132">
        <f t="shared" si="263"/>
        <v>0</v>
      </c>
      <c r="L2309" s="132">
        <f t="shared" si="257"/>
        <v>0</v>
      </c>
      <c r="M2309" s="133"/>
      <c r="N2309" s="133">
        <f t="shared" si="261"/>
        <v>0</v>
      </c>
      <c r="O2309" s="134"/>
      <c r="P2309" s="133"/>
      <c r="Q2309" s="2"/>
      <c r="R2309" s="156">
        <f t="shared" si="258"/>
        <v>0</v>
      </c>
      <c r="S2309" s="156">
        <f t="shared" si="259"/>
        <v>0</v>
      </c>
      <c r="T2309" s="133"/>
      <c r="U2309" s="133"/>
      <c r="V2309" s="133"/>
      <c r="W2309" s="133"/>
      <c r="X2309" s="133"/>
      <c r="Y2309" s="133"/>
      <c r="Z2309" s="133"/>
      <c r="AA2309" s="133"/>
      <c r="AB2309" s="133"/>
      <c r="AC2309" s="133"/>
      <c r="AD2309" s="133"/>
      <c r="AE2309" s="133"/>
      <c r="AF2309" s="133"/>
      <c r="AG2309" s="133"/>
      <c r="AH2309" s="133"/>
      <c r="AI2309" s="133"/>
      <c r="AJ2309" s="133"/>
      <c r="AK2309" s="133"/>
      <c r="AL2309" s="133"/>
      <c r="AM2309" s="133"/>
      <c r="AN2309" s="133"/>
      <c r="AO2309" s="133"/>
      <c r="AP2309" s="133"/>
      <c r="AQ2309" s="133"/>
      <c r="AR2309" s="133"/>
      <c r="AS2309" s="153">
        <v>0</v>
      </c>
      <c r="AT2309" s="153">
        <v>0</v>
      </c>
      <c r="AU2309" s="153">
        <v>0</v>
      </c>
      <c r="AV2309" s="135"/>
      <c r="AW2309" s="135"/>
      <c r="AX2309" s="135"/>
      <c r="AY2309" s="135"/>
      <c r="AZ2309" s="135"/>
      <c r="BA2309" s="135"/>
      <c r="BB2309" s="135"/>
      <c r="BC2309" s="135"/>
      <c r="BD2309" s="135"/>
      <c r="BE2309" s="135"/>
      <c r="BF2309" s="135"/>
      <c r="BG2309" s="135"/>
      <c r="BH2309" s="135"/>
      <c r="BI2309" s="2"/>
      <c r="BJ2309" s="136"/>
      <c r="BK2309" s="2"/>
      <c r="BL2309" s="136"/>
      <c r="BM2309" s="136"/>
      <c r="BN2309" s="2"/>
      <c r="BO2309" s="2"/>
      <c r="BP2309" s="136"/>
      <c r="BQ2309" s="137"/>
    </row>
    <row r="2310" spans="1:69" ht="12.75" customHeight="1" x14ac:dyDescent="0.2">
      <c r="A2310" s="2">
        <v>3799</v>
      </c>
      <c r="B2310" s="2"/>
      <c r="C2310" s="2"/>
      <c r="D2310" s="2"/>
      <c r="E2310" s="2"/>
      <c r="F2310" s="132">
        <v>0</v>
      </c>
      <c r="G2310" s="132"/>
      <c r="H2310" s="132">
        <f t="shared" si="262"/>
        <v>0</v>
      </c>
      <c r="I2310" s="132"/>
      <c r="J2310" s="132">
        <f t="shared" si="260"/>
        <v>0</v>
      </c>
      <c r="K2310" s="132">
        <f t="shared" si="263"/>
        <v>0</v>
      </c>
      <c r="L2310" s="132">
        <f t="shared" si="257"/>
        <v>0</v>
      </c>
      <c r="M2310" s="133"/>
      <c r="N2310" s="133">
        <f t="shared" si="261"/>
        <v>0</v>
      </c>
      <c r="O2310" s="134"/>
      <c r="P2310" s="133"/>
      <c r="Q2310" s="2"/>
      <c r="R2310" s="156">
        <f t="shared" si="258"/>
        <v>0</v>
      </c>
      <c r="S2310" s="156">
        <f t="shared" si="259"/>
        <v>0</v>
      </c>
      <c r="T2310" s="133"/>
      <c r="U2310" s="133"/>
      <c r="V2310" s="133"/>
      <c r="W2310" s="133"/>
      <c r="X2310" s="133"/>
      <c r="Y2310" s="133"/>
      <c r="Z2310" s="133"/>
      <c r="AA2310" s="133"/>
      <c r="AB2310" s="133"/>
      <c r="AC2310" s="133"/>
      <c r="AD2310" s="133"/>
      <c r="AE2310" s="133"/>
      <c r="AF2310" s="133"/>
      <c r="AG2310" s="133"/>
      <c r="AH2310" s="133"/>
      <c r="AI2310" s="133"/>
      <c r="AJ2310" s="133"/>
      <c r="AK2310" s="133"/>
      <c r="AL2310" s="133"/>
      <c r="AM2310" s="133"/>
      <c r="AN2310" s="133"/>
      <c r="AO2310" s="133"/>
      <c r="AP2310" s="133"/>
      <c r="AQ2310" s="133"/>
      <c r="AR2310" s="133"/>
      <c r="AS2310" s="153">
        <v>0</v>
      </c>
      <c r="AT2310" s="153">
        <v>0</v>
      </c>
      <c r="AU2310" s="153">
        <v>0</v>
      </c>
      <c r="AV2310" s="135"/>
      <c r="AW2310" s="135"/>
      <c r="AX2310" s="135"/>
      <c r="AY2310" s="135"/>
      <c r="AZ2310" s="135"/>
      <c r="BA2310" s="135"/>
      <c r="BB2310" s="135"/>
      <c r="BC2310" s="135"/>
      <c r="BD2310" s="135"/>
      <c r="BE2310" s="135"/>
      <c r="BF2310" s="135"/>
      <c r="BG2310" s="135"/>
      <c r="BH2310" s="135"/>
      <c r="BI2310" s="2"/>
      <c r="BJ2310" s="136"/>
      <c r="BK2310" s="2"/>
      <c r="BL2310" s="136"/>
      <c r="BM2310" s="136"/>
      <c r="BN2310" s="2"/>
      <c r="BO2310" s="2"/>
      <c r="BP2310" s="136"/>
      <c r="BQ2310" s="137"/>
    </row>
    <row r="2311" spans="1:69" ht="12.75" customHeight="1" x14ac:dyDescent="0.2">
      <c r="A2311" s="2">
        <v>3800</v>
      </c>
      <c r="B2311" s="2"/>
      <c r="C2311" s="2"/>
      <c r="D2311" s="2"/>
      <c r="E2311" s="2"/>
      <c r="F2311" s="132">
        <v>0</v>
      </c>
      <c r="G2311" s="132"/>
      <c r="H2311" s="132">
        <f t="shared" si="262"/>
        <v>0</v>
      </c>
      <c r="I2311" s="132"/>
      <c r="J2311" s="132">
        <f t="shared" si="260"/>
        <v>0</v>
      </c>
      <c r="K2311" s="132">
        <f t="shared" si="263"/>
        <v>0</v>
      </c>
      <c r="L2311" s="132">
        <f t="shared" si="257"/>
        <v>0</v>
      </c>
      <c r="M2311" s="133"/>
      <c r="N2311" s="133">
        <f t="shared" si="261"/>
        <v>0</v>
      </c>
      <c r="O2311" s="134"/>
      <c r="P2311" s="133"/>
      <c r="Q2311" s="2"/>
      <c r="R2311" s="156">
        <f t="shared" si="258"/>
        <v>0</v>
      </c>
      <c r="S2311" s="156">
        <f t="shared" si="259"/>
        <v>0</v>
      </c>
      <c r="T2311" s="133"/>
      <c r="U2311" s="133"/>
      <c r="V2311" s="133"/>
      <c r="W2311" s="133"/>
      <c r="X2311" s="133"/>
      <c r="Y2311" s="133"/>
      <c r="Z2311" s="133"/>
      <c r="AA2311" s="133"/>
      <c r="AB2311" s="133"/>
      <c r="AC2311" s="133"/>
      <c r="AD2311" s="133"/>
      <c r="AE2311" s="133"/>
      <c r="AF2311" s="133"/>
      <c r="AG2311" s="133"/>
      <c r="AH2311" s="133"/>
      <c r="AI2311" s="133"/>
      <c r="AJ2311" s="133"/>
      <c r="AK2311" s="133"/>
      <c r="AL2311" s="133"/>
      <c r="AM2311" s="133"/>
      <c r="AN2311" s="133"/>
      <c r="AO2311" s="133"/>
      <c r="AP2311" s="133"/>
      <c r="AQ2311" s="133"/>
      <c r="AR2311" s="133"/>
      <c r="AS2311" s="153">
        <v>0</v>
      </c>
      <c r="AT2311" s="153">
        <v>0</v>
      </c>
      <c r="AU2311" s="153">
        <v>0</v>
      </c>
      <c r="AV2311" s="135"/>
      <c r="AW2311" s="135"/>
      <c r="AX2311" s="135"/>
      <c r="AY2311" s="135"/>
      <c r="AZ2311" s="135"/>
      <c r="BA2311" s="135"/>
      <c r="BB2311" s="135"/>
      <c r="BC2311" s="135"/>
      <c r="BD2311" s="135"/>
      <c r="BE2311" s="135"/>
      <c r="BF2311" s="135"/>
      <c r="BG2311" s="135"/>
      <c r="BH2311" s="135"/>
      <c r="BI2311" s="2"/>
      <c r="BJ2311" s="136"/>
      <c r="BK2311" s="2"/>
      <c r="BL2311" s="136"/>
      <c r="BM2311" s="136"/>
      <c r="BN2311" s="2"/>
      <c r="BO2311" s="2"/>
      <c r="BP2311" s="136"/>
      <c r="BQ2311" s="137"/>
    </row>
    <row r="2312" spans="1:69" ht="12.75" customHeight="1" x14ac:dyDescent="0.2">
      <c r="A2312" s="2">
        <v>3801</v>
      </c>
      <c r="B2312" s="2"/>
      <c r="C2312" s="2"/>
      <c r="D2312" s="2"/>
      <c r="E2312" s="2"/>
      <c r="F2312" s="132">
        <v>0</v>
      </c>
      <c r="G2312" s="132"/>
      <c r="H2312" s="132">
        <f t="shared" si="262"/>
        <v>0</v>
      </c>
      <c r="I2312" s="132"/>
      <c r="J2312" s="132">
        <f t="shared" si="260"/>
        <v>0</v>
      </c>
      <c r="K2312" s="132">
        <f t="shared" si="263"/>
        <v>0</v>
      </c>
      <c r="L2312" s="132">
        <f t="shared" si="257"/>
        <v>0</v>
      </c>
      <c r="M2312" s="133"/>
      <c r="N2312" s="133">
        <f t="shared" si="261"/>
        <v>0</v>
      </c>
      <c r="O2312" s="134"/>
      <c r="P2312" s="133"/>
      <c r="Q2312" s="2"/>
      <c r="R2312" s="156">
        <f t="shared" si="258"/>
        <v>0</v>
      </c>
      <c r="S2312" s="156">
        <f t="shared" si="259"/>
        <v>0</v>
      </c>
      <c r="T2312" s="133"/>
      <c r="U2312" s="133"/>
      <c r="V2312" s="133"/>
      <c r="W2312" s="133"/>
      <c r="X2312" s="133"/>
      <c r="Y2312" s="133"/>
      <c r="Z2312" s="133"/>
      <c r="AA2312" s="133"/>
      <c r="AB2312" s="133"/>
      <c r="AC2312" s="133"/>
      <c r="AD2312" s="133"/>
      <c r="AE2312" s="133"/>
      <c r="AF2312" s="133"/>
      <c r="AG2312" s="133"/>
      <c r="AH2312" s="133"/>
      <c r="AI2312" s="133"/>
      <c r="AJ2312" s="133"/>
      <c r="AK2312" s="133"/>
      <c r="AL2312" s="133"/>
      <c r="AM2312" s="133"/>
      <c r="AN2312" s="133"/>
      <c r="AO2312" s="133"/>
      <c r="AP2312" s="133"/>
      <c r="AQ2312" s="133"/>
      <c r="AR2312" s="133"/>
      <c r="AS2312" s="153">
        <v>0</v>
      </c>
      <c r="AT2312" s="153">
        <v>0</v>
      </c>
      <c r="AU2312" s="153">
        <v>0</v>
      </c>
      <c r="AV2312" s="135"/>
      <c r="AW2312" s="135"/>
      <c r="AX2312" s="135"/>
      <c r="AY2312" s="135"/>
      <c r="AZ2312" s="135"/>
      <c r="BA2312" s="135"/>
      <c r="BB2312" s="135"/>
      <c r="BC2312" s="135"/>
      <c r="BD2312" s="135"/>
      <c r="BE2312" s="135"/>
      <c r="BF2312" s="135"/>
      <c r="BG2312" s="135"/>
      <c r="BH2312" s="135"/>
      <c r="BI2312" s="2"/>
      <c r="BJ2312" s="136"/>
      <c r="BK2312" s="2"/>
      <c r="BL2312" s="136"/>
      <c r="BM2312" s="136"/>
      <c r="BN2312" s="2"/>
      <c r="BO2312" s="2"/>
      <c r="BP2312" s="136"/>
      <c r="BQ2312" s="137"/>
    </row>
    <row r="2313" spans="1:69" ht="12.75" customHeight="1" x14ac:dyDescent="0.2">
      <c r="A2313" s="2">
        <v>3802</v>
      </c>
      <c r="B2313" s="2"/>
      <c r="C2313" s="2"/>
      <c r="D2313" s="2"/>
      <c r="E2313" s="2"/>
      <c r="F2313" s="132">
        <v>0</v>
      </c>
      <c r="G2313" s="132"/>
      <c r="H2313" s="132">
        <f t="shared" si="262"/>
        <v>0</v>
      </c>
      <c r="I2313" s="132"/>
      <c r="J2313" s="132">
        <f t="shared" si="260"/>
        <v>0</v>
      </c>
      <c r="K2313" s="132">
        <f t="shared" si="263"/>
        <v>0</v>
      </c>
      <c r="L2313" s="132">
        <f t="shared" si="257"/>
        <v>0</v>
      </c>
      <c r="M2313" s="133"/>
      <c r="N2313" s="133">
        <f t="shared" si="261"/>
        <v>0</v>
      </c>
      <c r="O2313" s="134"/>
      <c r="P2313" s="133"/>
      <c r="Q2313" s="2"/>
      <c r="R2313" s="156">
        <f t="shared" si="258"/>
        <v>0</v>
      </c>
      <c r="S2313" s="156">
        <f t="shared" si="259"/>
        <v>0</v>
      </c>
      <c r="T2313" s="133"/>
      <c r="U2313" s="133"/>
      <c r="V2313" s="133"/>
      <c r="W2313" s="133"/>
      <c r="X2313" s="133"/>
      <c r="Y2313" s="133"/>
      <c r="Z2313" s="133"/>
      <c r="AA2313" s="133"/>
      <c r="AB2313" s="133"/>
      <c r="AC2313" s="133"/>
      <c r="AD2313" s="133"/>
      <c r="AE2313" s="133"/>
      <c r="AF2313" s="133"/>
      <c r="AG2313" s="133"/>
      <c r="AH2313" s="133"/>
      <c r="AI2313" s="133"/>
      <c r="AJ2313" s="133"/>
      <c r="AK2313" s="133"/>
      <c r="AL2313" s="133"/>
      <c r="AM2313" s="133"/>
      <c r="AN2313" s="133"/>
      <c r="AO2313" s="133"/>
      <c r="AP2313" s="133"/>
      <c r="AQ2313" s="133"/>
      <c r="AR2313" s="133"/>
      <c r="AS2313" s="153">
        <v>0</v>
      </c>
      <c r="AT2313" s="153">
        <v>0</v>
      </c>
      <c r="AU2313" s="153">
        <v>0</v>
      </c>
      <c r="AV2313" s="135"/>
      <c r="AW2313" s="135"/>
      <c r="AX2313" s="135"/>
      <c r="AY2313" s="135"/>
      <c r="AZ2313" s="135"/>
      <c r="BA2313" s="135"/>
      <c r="BB2313" s="135"/>
      <c r="BC2313" s="135"/>
      <c r="BD2313" s="135"/>
      <c r="BE2313" s="135"/>
      <c r="BF2313" s="135"/>
      <c r="BG2313" s="135"/>
      <c r="BH2313" s="135"/>
      <c r="BI2313" s="2"/>
      <c r="BJ2313" s="136"/>
      <c r="BK2313" s="2"/>
      <c r="BL2313" s="136"/>
      <c r="BM2313" s="136"/>
      <c r="BN2313" s="2"/>
      <c r="BO2313" s="2"/>
      <c r="BP2313" s="136"/>
      <c r="BQ2313" s="137"/>
    </row>
    <row r="2314" spans="1:69" ht="12.75" customHeight="1" x14ac:dyDescent="0.2">
      <c r="A2314" s="2">
        <v>3803</v>
      </c>
      <c r="B2314" s="2"/>
      <c r="C2314" s="2"/>
      <c r="D2314" s="2"/>
      <c r="E2314" s="2"/>
      <c r="F2314" s="132">
        <v>0</v>
      </c>
      <c r="G2314" s="132"/>
      <c r="H2314" s="132">
        <f t="shared" si="262"/>
        <v>0</v>
      </c>
      <c r="I2314" s="132"/>
      <c r="J2314" s="132">
        <f t="shared" si="260"/>
        <v>0</v>
      </c>
      <c r="K2314" s="132">
        <f t="shared" si="263"/>
        <v>0</v>
      </c>
      <c r="L2314" s="132">
        <f t="shared" si="257"/>
        <v>0</v>
      </c>
      <c r="M2314" s="133"/>
      <c r="N2314" s="133">
        <f t="shared" si="261"/>
        <v>0</v>
      </c>
      <c r="O2314" s="134"/>
      <c r="P2314" s="133"/>
      <c r="Q2314" s="2"/>
      <c r="R2314" s="156">
        <f t="shared" si="258"/>
        <v>0</v>
      </c>
      <c r="S2314" s="156">
        <f t="shared" si="259"/>
        <v>0</v>
      </c>
      <c r="T2314" s="133"/>
      <c r="U2314" s="133"/>
      <c r="V2314" s="133"/>
      <c r="W2314" s="133"/>
      <c r="X2314" s="133"/>
      <c r="Y2314" s="133"/>
      <c r="Z2314" s="133"/>
      <c r="AA2314" s="133"/>
      <c r="AB2314" s="133"/>
      <c r="AC2314" s="133"/>
      <c r="AD2314" s="133"/>
      <c r="AE2314" s="133"/>
      <c r="AF2314" s="133"/>
      <c r="AG2314" s="133"/>
      <c r="AH2314" s="133"/>
      <c r="AI2314" s="133"/>
      <c r="AJ2314" s="133"/>
      <c r="AK2314" s="133"/>
      <c r="AL2314" s="133"/>
      <c r="AM2314" s="133"/>
      <c r="AN2314" s="133"/>
      <c r="AO2314" s="133"/>
      <c r="AP2314" s="133"/>
      <c r="AQ2314" s="133"/>
      <c r="AR2314" s="133"/>
      <c r="AS2314" s="153">
        <v>0</v>
      </c>
      <c r="AT2314" s="153">
        <v>0</v>
      </c>
      <c r="AU2314" s="153">
        <v>0</v>
      </c>
      <c r="AV2314" s="135"/>
      <c r="AW2314" s="135"/>
      <c r="AX2314" s="135"/>
      <c r="AY2314" s="135"/>
      <c r="AZ2314" s="135"/>
      <c r="BA2314" s="135"/>
      <c r="BB2314" s="135"/>
      <c r="BC2314" s="135"/>
      <c r="BD2314" s="135"/>
      <c r="BE2314" s="135"/>
      <c r="BF2314" s="135"/>
      <c r="BG2314" s="135"/>
      <c r="BH2314" s="135"/>
      <c r="BI2314" s="2"/>
      <c r="BJ2314" s="136"/>
      <c r="BK2314" s="2"/>
      <c r="BL2314" s="136"/>
      <c r="BM2314" s="136"/>
      <c r="BN2314" s="2"/>
      <c r="BO2314" s="2"/>
      <c r="BP2314" s="136"/>
      <c r="BQ2314" s="137"/>
    </row>
    <row r="2315" spans="1:69" ht="12.75" customHeight="1" x14ac:dyDescent="0.2">
      <c r="A2315" s="2">
        <v>3804</v>
      </c>
      <c r="B2315" s="2"/>
      <c r="C2315" s="2"/>
      <c r="D2315" s="2"/>
      <c r="E2315" s="2"/>
      <c r="F2315" s="132">
        <v>0</v>
      </c>
      <c r="G2315" s="132"/>
      <c r="H2315" s="132">
        <f t="shared" si="262"/>
        <v>0</v>
      </c>
      <c r="I2315" s="132"/>
      <c r="J2315" s="132">
        <f t="shared" si="260"/>
        <v>0</v>
      </c>
      <c r="K2315" s="132">
        <f t="shared" si="263"/>
        <v>0</v>
      </c>
      <c r="L2315" s="132">
        <f t="shared" ref="L2315:L2378" si="264">H2315-J2315</f>
        <v>0</v>
      </c>
      <c r="M2315" s="133"/>
      <c r="N2315" s="133">
        <f t="shared" si="261"/>
        <v>0</v>
      </c>
      <c r="O2315" s="134"/>
      <c r="P2315" s="133"/>
      <c r="Q2315" s="2"/>
      <c r="R2315" s="156">
        <f t="shared" ref="R2315:R2378" si="265">T2315+V2315+X2315+Z2315+AB2315+AD2315+AF2315+AH2315+AJ2315+AL2315+AN2315+AP2315</f>
        <v>0</v>
      </c>
      <c r="S2315" s="156">
        <f t="shared" ref="S2315:S2378" si="266">U2315+W2315+Y2315+AA2315+AC2315+AE2315+AG2315+AI2315+AK2315+AM2315+AO2315+AQ2315</f>
        <v>0</v>
      </c>
      <c r="T2315" s="133"/>
      <c r="U2315" s="133"/>
      <c r="V2315" s="133"/>
      <c r="W2315" s="133"/>
      <c r="X2315" s="133"/>
      <c r="Y2315" s="133"/>
      <c r="Z2315" s="133"/>
      <c r="AA2315" s="133"/>
      <c r="AB2315" s="133"/>
      <c r="AC2315" s="133"/>
      <c r="AD2315" s="133"/>
      <c r="AE2315" s="133"/>
      <c r="AF2315" s="133"/>
      <c r="AG2315" s="133"/>
      <c r="AH2315" s="133"/>
      <c r="AI2315" s="133"/>
      <c r="AJ2315" s="133"/>
      <c r="AK2315" s="133"/>
      <c r="AL2315" s="133"/>
      <c r="AM2315" s="133"/>
      <c r="AN2315" s="133"/>
      <c r="AO2315" s="133"/>
      <c r="AP2315" s="133"/>
      <c r="AQ2315" s="133"/>
      <c r="AR2315" s="133"/>
      <c r="AS2315" s="153">
        <v>0</v>
      </c>
      <c r="AT2315" s="153">
        <v>0</v>
      </c>
      <c r="AU2315" s="153">
        <v>0</v>
      </c>
      <c r="AV2315" s="135"/>
      <c r="AW2315" s="135"/>
      <c r="AX2315" s="135"/>
      <c r="AY2315" s="135"/>
      <c r="AZ2315" s="135"/>
      <c r="BA2315" s="135"/>
      <c r="BB2315" s="135"/>
      <c r="BC2315" s="135"/>
      <c r="BD2315" s="135"/>
      <c r="BE2315" s="135"/>
      <c r="BF2315" s="135"/>
      <c r="BG2315" s="135"/>
      <c r="BH2315" s="135"/>
      <c r="BI2315" s="2"/>
      <c r="BJ2315" s="136"/>
      <c r="BK2315" s="2"/>
      <c r="BL2315" s="136"/>
      <c r="BM2315" s="136"/>
      <c r="BN2315" s="2"/>
      <c r="BO2315" s="2"/>
      <c r="BP2315" s="136"/>
      <c r="BQ2315" s="137"/>
    </row>
    <row r="2316" spans="1:69" ht="12.75" customHeight="1" x14ac:dyDescent="0.2">
      <c r="A2316" s="2">
        <v>3805</v>
      </c>
      <c r="B2316" s="2"/>
      <c r="C2316" s="2"/>
      <c r="D2316" s="2"/>
      <c r="E2316" s="2"/>
      <c r="F2316" s="132">
        <v>0</v>
      </c>
      <c r="G2316" s="132"/>
      <c r="H2316" s="132">
        <f t="shared" si="262"/>
        <v>0</v>
      </c>
      <c r="I2316" s="132"/>
      <c r="J2316" s="132">
        <f t="shared" si="260"/>
        <v>0</v>
      </c>
      <c r="K2316" s="132">
        <f t="shared" si="263"/>
        <v>0</v>
      </c>
      <c r="L2316" s="132">
        <f t="shared" si="264"/>
        <v>0</v>
      </c>
      <c r="M2316" s="133"/>
      <c r="N2316" s="133">
        <f t="shared" si="261"/>
        <v>0</v>
      </c>
      <c r="O2316" s="134"/>
      <c r="P2316" s="133"/>
      <c r="Q2316" s="2"/>
      <c r="R2316" s="156">
        <f t="shared" si="265"/>
        <v>0</v>
      </c>
      <c r="S2316" s="156">
        <f t="shared" si="266"/>
        <v>0</v>
      </c>
      <c r="T2316" s="133"/>
      <c r="U2316" s="133"/>
      <c r="V2316" s="133"/>
      <c r="W2316" s="133"/>
      <c r="X2316" s="133"/>
      <c r="Y2316" s="133"/>
      <c r="Z2316" s="133"/>
      <c r="AA2316" s="133"/>
      <c r="AB2316" s="133"/>
      <c r="AC2316" s="133"/>
      <c r="AD2316" s="133"/>
      <c r="AE2316" s="133"/>
      <c r="AF2316" s="133"/>
      <c r="AG2316" s="133"/>
      <c r="AH2316" s="133"/>
      <c r="AI2316" s="133"/>
      <c r="AJ2316" s="133"/>
      <c r="AK2316" s="133"/>
      <c r="AL2316" s="133"/>
      <c r="AM2316" s="133"/>
      <c r="AN2316" s="133"/>
      <c r="AO2316" s="133"/>
      <c r="AP2316" s="133"/>
      <c r="AQ2316" s="133"/>
      <c r="AR2316" s="133"/>
      <c r="AS2316" s="153">
        <v>0</v>
      </c>
      <c r="AT2316" s="153">
        <v>0</v>
      </c>
      <c r="AU2316" s="153">
        <v>0</v>
      </c>
      <c r="AV2316" s="135"/>
      <c r="AW2316" s="135"/>
      <c r="AX2316" s="135"/>
      <c r="AY2316" s="135"/>
      <c r="AZ2316" s="135"/>
      <c r="BA2316" s="135"/>
      <c r="BB2316" s="135"/>
      <c r="BC2316" s="135"/>
      <c r="BD2316" s="135"/>
      <c r="BE2316" s="135"/>
      <c r="BF2316" s="135"/>
      <c r="BG2316" s="135"/>
      <c r="BH2316" s="135"/>
      <c r="BI2316" s="2"/>
      <c r="BJ2316" s="136"/>
      <c r="BK2316" s="2"/>
      <c r="BL2316" s="136"/>
      <c r="BM2316" s="136"/>
      <c r="BN2316" s="2"/>
      <c r="BO2316" s="2"/>
      <c r="BP2316" s="136"/>
      <c r="BQ2316" s="137"/>
    </row>
    <row r="2317" spans="1:69" ht="12.75" customHeight="1" x14ac:dyDescent="0.2">
      <c r="A2317" s="2">
        <v>3806</v>
      </c>
      <c r="B2317" s="2"/>
      <c r="C2317" s="2"/>
      <c r="D2317" s="2"/>
      <c r="E2317" s="2"/>
      <c r="F2317" s="132">
        <v>0</v>
      </c>
      <c r="G2317" s="132"/>
      <c r="H2317" s="132">
        <f t="shared" si="262"/>
        <v>0</v>
      </c>
      <c r="I2317" s="132"/>
      <c r="J2317" s="132">
        <f t="shared" si="260"/>
        <v>0</v>
      </c>
      <c r="K2317" s="132">
        <f t="shared" si="263"/>
        <v>0</v>
      </c>
      <c r="L2317" s="132">
        <f t="shared" si="264"/>
        <v>0</v>
      </c>
      <c r="M2317" s="133"/>
      <c r="N2317" s="133">
        <f t="shared" si="261"/>
        <v>0</v>
      </c>
      <c r="O2317" s="134"/>
      <c r="P2317" s="133"/>
      <c r="Q2317" s="2"/>
      <c r="R2317" s="156">
        <f t="shared" si="265"/>
        <v>0</v>
      </c>
      <c r="S2317" s="156">
        <f t="shared" si="266"/>
        <v>0</v>
      </c>
      <c r="T2317" s="133"/>
      <c r="U2317" s="133"/>
      <c r="V2317" s="133"/>
      <c r="W2317" s="133"/>
      <c r="X2317" s="133"/>
      <c r="Y2317" s="133"/>
      <c r="Z2317" s="133"/>
      <c r="AA2317" s="133"/>
      <c r="AB2317" s="133"/>
      <c r="AC2317" s="133"/>
      <c r="AD2317" s="133"/>
      <c r="AE2317" s="133"/>
      <c r="AF2317" s="133"/>
      <c r="AG2317" s="133"/>
      <c r="AH2317" s="133"/>
      <c r="AI2317" s="133"/>
      <c r="AJ2317" s="133"/>
      <c r="AK2317" s="133"/>
      <c r="AL2317" s="133"/>
      <c r="AM2317" s="133"/>
      <c r="AN2317" s="133"/>
      <c r="AO2317" s="133"/>
      <c r="AP2317" s="133"/>
      <c r="AQ2317" s="133"/>
      <c r="AR2317" s="133"/>
      <c r="AS2317" s="153">
        <v>0</v>
      </c>
      <c r="AT2317" s="153">
        <v>0</v>
      </c>
      <c r="AU2317" s="153">
        <v>0</v>
      </c>
      <c r="AV2317" s="135"/>
      <c r="AW2317" s="135"/>
      <c r="AX2317" s="135"/>
      <c r="AY2317" s="135"/>
      <c r="AZ2317" s="135"/>
      <c r="BA2317" s="135"/>
      <c r="BB2317" s="135"/>
      <c r="BC2317" s="135"/>
      <c r="BD2317" s="135"/>
      <c r="BE2317" s="135"/>
      <c r="BF2317" s="135"/>
      <c r="BG2317" s="135"/>
      <c r="BH2317" s="135"/>
      <c r="BI2317" s="2"/>
      <c r="BJ2317" s="136"/>
      <c r="BK2317" s="2"/>
      <c r="BL2317" s="136"/>
      <c r="BM2317" s="136"/>
      <c r="BN2317" s="2"/>
      <c r="BO2317" s="2"/>
      <c r="BP2317" s="136"/>
      <c r="BQ2317" s="137"/>
    </row>
    <row r="2318" spans="1:69" ht="12.75" customHeight="1" x14ac:dyDescent="0.2">
      <c r="A2318" s="2">
        <v>3807</v>
      </c>
      <c r="B2318" s="2"/>
      <c r="C2318" s="2"/>
      <c r="D2318" s="2"/>
      <c r="E2318" s="2"/>
      <c r="F2318" s="132">
        <v>0</v>
      </c>
      <c r="G2318" s="132"/>
      <c r="H2318" s="132">
        <f t="shared" si="262"/>
        <v>0</v>
      </c>
      <c r="I2318" s="132"/>
      <c r="J2318" s="132">
        <f t="shared" si="260"/>
        <v>0</v>
      </c>
      <c r="K2318" s="132">
        <f t="shared" si="263"/>
        <v>0</v>
      </c>
      <c r="L2318" s="132">
        <f t="shared" si="264"/>
        <v>0</v>
      </c>
      <c r="M2318" s="133"/>
      <c r="N2318" s="133">
        <f t="shared" si="261"/>
        <v>0</v>
      </c>
      <c r="O2318" s="134"/>
      <c r="P2318" s="133"/>
      <c r="Q2318" s="2"/>
      <c r="R2318" s="156">
        <f t="shared" si="265"/>
        <v>0</v>
      </c>
      <c r="S2318" s="156">
        <f t="shared" si="266"/>
        <v>0</v>
      </c>
      <c r="T2318" s="133"/>
      <c r="U2318" s="133"/>
      <c r="V2318" s="133"/>
      <c r="W2318" s="133"/>
      <c r="X2318" s="133"/>
      <c r="Y2318" s="133"/>
      <c r="Z2318" s="133"/>
      <c r="AA2318" s="133"/>
      <c r="AB2318" s="133"/>
      <c r="AC2318" s="133"/>
      <c r="AD2318" s="133"/>
      <c r="AE2318" s="133"/>
      <c r="AF2318" s="133"/>
      <c r="AG2318" s="133"/>
      <c r="AH2318" s="133"/>
      <c r="AI2318" s="133"/>
      <c r="AJ2318" s="133"/>
      <c r="AK2318" s="133"/>
      <c r="AL2318" s="133"/>
      <c r="AM2318" s="133"/>
      <c r="AN2318" s="133"/>
      <c r="AO2318" s="133"/>
      <c r="AP2318" s="133"/>
      <c r="AQ2318" s="133"/>
      <c r="AR2318" s="133"/>
      <c r="AS2318" s="153">
        <v>0</v>
      </c>
      <c r="AT2318" s="153">
        <v>0</v>
      </c>
      <c r="AU2318" s="153">
        <v>0</v>
      </c>
      <c r="AV2318" s="135"/>
      <c r="AW2318" s="135"/>
      <c r="AX2318" s="135"/>
      <c r="AY2318" s="135"/>
      <c r="AZ2318" s="135"/>
      <c r="BA2318" s="135"/>
      <c r="BB2318" s="135"/>
      <c r="BC2318" s="135"/>
      <c r="BD2318" s="135"/>
      <c r="BE2318" s="135"/>
      <c r="BF2318" s="135"/>
      <c r="BG2318" s="135"/>
      <c r="BH2318" s="135"/>
      <c r="BI2318" s="2"/>
      <c r="BJ2318" s="136"/>
      <c r="BK2318" s="2"/>
      <c r="BL2318" s="136"/>
      <c r="BM2318" s="136"/>
      <c r="BN2318" s="2"/>
      <c r="BO2318" s="2"/>
      <c r="BP2318" s="136"/>
      <c r="BQ2318" s="137"/>
    </row>
    <row r="2319" spans="1:69" ht="12.75" customHeight="1" x14ac:dyDescent="0.2">
      <c r="A2319" s="2">
        <v>3808</v>
      </c>
      <c r="B2319" s="2"/>
      <c r="C2319" s="2"/>
      <c r="D2319" s="2"/>
      <c r="E2319" s="2"/>
      <c r="F2319" s="132">
        <v>0</v>
      </c>
      <c r="G2319" s="132"/>
      <c r="H2319" s="132">
        <f t="shared" si="262"/>
        <v>0</v>
      </c>
      <c r="I2319" s="132"/>
      <c r="J2319" s="132">
        <f t="shared" si="260"/>
        <v>0</v>
      </c>
      <c r="K2319" s="132">
        <f t="shared" si="263"/>
        <v>0</v>
      </c>
      <c r="L2319" s="132">
        <f t="shared" si="264"/>
        <v>0</v>
      </c>
      <c r="M2319" s="133"/>
      <c r="N2319" s="133">
        <f t="shared" si="261"/>
        <v>0</v>
      </c>
      <c r="O2319" s="134"/>
      <c r="P2319" s="133"/>
      <c r="Q2319" s="2"/>
      <c r="R2319" s="156">
        <f t="shared" si="265"/>
        <v>0</v>
      </c>
      <c r="S2319" s="156">
        <f t="shared" si="266"/>
        <v>0</v>
      </c>
      <c r="T2319" s="133"/>
      <c r="U2319" s="133"/>
      <c r="V2319" s="133"/>
      <c r="W2319" s="133"/>
      <c r="X2319" s="133"/>
      <c r="Y2319" s="133"/>
      <c r="Z2319" s="133"/>
      <c r="AA2319" s="133"/>
      <c r="AB2319" s="133"/>
      <c r="AC2319" s="133"/>
      <c r="AD2319" s="133"/>
      <c r="AE2319" s="133"/>
      <c r="AF2319" s="133"/>
      <c r="AG2319" s="133"/>
      <c r="AH2319" s="133"/>
      <c r="AI2319" s="133"/>
      <c r="AJ2319" s="133"/>
      <c r="AK2319" s="133"/>
      <c r="AL2319" s="133"/>
      <c r="AM2319" s="133"/>
      <c r="AN2319" s="133"/>
      <c r="AO2319" s="133"/>
      <c r="AP2319" s="133"/>
      <c r="AQ2319" s="133"/>
      <c r="AR2319" s="133"/>
      <c r="AS2319" s="153">
        <v>0</v>
      </c>
      <c r="AT2319" s="153">
        <v>0</v>
      </c>
      <c r="AU2319" s="153">
        <v>0</v>
      </c>
      <c r="AV2319" s="135"/>
      <c r="AW2319" s="135"/>
      <c r="AX2319" s="135"/>
      <c r="AY2319" s="135"/>
      <c r="AZ2319" s="135"/>
      <c r="BA2319" s="135"/>
      <c r="BB2319" s="135"/>
      <c r="BC2319" s="135"/>
      <c r="BD2319" s="135"/>
      <c r="BE2319" s="135"/>
      <c r="BF2319" s="135"/>
      <c r="BG2319" s="135"/>
      <c r="BH2319" s="135"/>
      <c r="BI2319" s="2"/>
      <c r="BJ2319" s="136"/>
      <c r="BK2319" s="2"/>
      <c r="BL2319" s="136"/>
      <c r="BM2319" s="136"/>
      <c r="BN2319" s="2"/>
      <c r="BO2319" s="2"/>
      <c r="BP2319" s="136"/>
      <c r="BQ2319" s="137"/>
    </row>
    <row r="2320" spans="1:69" ht="12.75" customHeight="1" x14ac:dyDescent="0.2">
      <c r="A2320" s="2">
        <v>3809</v>
      </c>
      <c r="B2320" s="2"/>
      <c r="C2320" s="2"/>
      <c r="D2320" s="2"/>
      <c r="E2320" s="2"/>
      <c r="F2320" s="132">
        <v>0</v>
      </c>
      <c r="G2320" s="132"/>
      <c r="H2320" s="132">
        <f t="shared" si="262"/>
        <v>0</v>
      </c>
      <c r="I2320" s="132"/>
      <c r="J2320" s="132">
        <f t="shared" si="260"/>
        <v>0</v>
      </c>
      <c r="K2320" s="132">
        <f t="shared" si="263"/>
        <v>0</v>
      </c>
      <c r="L2320" s="132">
        <f t="shared" si="264"/>
        <v>0</v>
      </c>
      <c r="M2320" s="133"/>
      <c r="N2320" s="133">
        <f t="shared" si="261"/>
        <v>0</v>
      </c>
      <c r="O2320" s="134"/>
      <c r="P2320" s="133"/>
      <c r="Q2320" s="2"/>
      <c r="R2320" s="156">
        <f t="shared" si="265"/>
        <v>0</v>
      </c>
      <c r="S2320" s="156">
        <f t="shared" si="266"/>
        <v>0</v>
      </c>
      <c r="T2320" s="133"/>
      <c r="U2320" s="133"/>
      <c r="V2320" s="133"/>
      <c r="W2320" s="133"/>
      <c r="X2320" s="133"/>
      <c r="Y2320" s="133"/>
      <c r="Z2320" s="133"/>
      <c r="AA2320" s="133"/>
      <c r="AB2320" s="133"/>
      <c r="AC2320" s="133"/>
      <c r="AD2320" s="133"/>
      <c r="AE2320" s="133"/>
      <c r="AF2320" s="133"/>
      <c r="AG2320" s="133"/>
      <c r="AH2320" s="133"/>
      <c r="AI2320" s="133"/>
      <c r="AJ2320" s="133"/>
      <c r="AK2320" s="133"/>
      <c r="AL2320" s="133"/>
      <c r="AM2320" s="133"/>
      <c r="AN2320" s="133"/>
      <c r="AO2320" s="133"/>
      <c r="AP2320" s="133"/>
      <c r="AQ2320" s="133"/>
      <c r="AR2320" s="133"/>
      <c r="AS2320" s="153">
        <v>0</v>
      </c>
      <c r="AT2320" s="153">
        <v>0</v>
      </c>
      <c r="AU2320" s="153">
        <v>0</v>
      </c>
      <c r="AV2320" s="135"/>
      <c r="AW2320" s="135"/>
      <c r="AX2320" s="135"/>
      <c r="AY2320" s="135"/>
      <c r="AZ2320" s="135"/>
      <c r="BA2320" s="135"/>
      <c r="BB2320" s="135"/>
      <c r="BC2320" s="135"/>
      <c r="BD2320" s="135"/>
      <c r="BE2320" s="135"/>
      <c r="BF2320" s="135"/>
      <c r="BG2320" s="135"/>
      <c r="BH2320" s="135"/>
      <c r="BI2320" s="2"/>
      <c r="BJ2320" s="136"/>
      <c r="BK2320" s="2"/>
      <c r="BL2320" s="136"/>
      <c r="BM2320" s="136"/>
      <c r="BN2320" s="2"/>
      <c r="BO2320" s="2"/>
      <c r="BP2320" s="136"/>
      <c r="BQ2320" s="137"/>
    </row>
    <row r="2321" spans="1:69" ht="12.75" customHeight="1" x14ac:dyDescent="0.2">
      <c r="A2321" s="2">
        <v>3810</v>
      </c>
      <c r="B2321" s="2"/>
      <c r="C2321" s="2"/>
      <c r="D2321" s="2"/>
      <c r="E2321" s="2"/>
      <c r="F2321" s="132">
        <v>0</v>
      </c>
      <c r="G2321" s="132"/>
      <c r="H2321" s="132">
        <f t="shared" si="262"/>
        <v>0</v>
      </c>
      <c r="I2321" s="132"/>
      <c r="J2321" s="132">
        <f t="shared" si="260"/>
        <v>0</v>
      </c>
      <c r="K2321" s="132">
        <f t="shared" si="263"/>
        <v>0</v>
      </c>
      <c r="L2321" s="132">
        <f t="shared" si="264"/>
        <v>0</v>
      </c>
      <c r="M2321" s="133"/>
      <c r="N2321" s="133">
        <f t="shared" si="261"/>
        <v>0</v>
      </c>
      <c r="O2321" s="134"/>
      <c r="P2321" s="133"/>
      <c r="Q2321" s="2"/>
      <c r="R2321" s="156">
        <f t="shared" si="265"/>
        <v>0</v>
      </c>
      <c r="S2321" s="156">
        <f t="shared" si="266"/>
        <v>0</v>
      </c>
      <c r="T2321" s="133"/>
      <c r="U2321" s="133"/>
      <c r="V2321" s="133"/>
      <c r="W2321" s="133"/>
      <c r="X2321" s="133"/>
      <c r="Y2321" s="133"/>
      <c r="Z2321" s="133"/>
      <c r="AA2321" s="133"/>
      <c r="AB2321" s="133"/>
      <c r="AC2321" s="133"/>
      <c r="AD2321" s="133"/>
      <c r="AE2321" s="133"/>
      <c r="AF2321" s="133"/>
      <c r="AG2321" s="133"/>
      <c r="AH2321" s="133"/>
      <c r="AI2321" s="133"/>
      <c r="AJ2321" s="133"/>
      <c r="AK2321" s="133"/>
      <c r="AL2321" s="133"/>
      <c r="AM2321" s="133"/>
      <c r="AN2321" s="133"/>
      <c r="AO2321" s="133"/>
      <c r="AP2321" s="133"/>
      <c r="AQ2321" s="133"/>
      <c r="AR2321" s="133"/>
      <c r="AS2321" s="153">
        <v>0</v>
      </c>
      <c r="AT2321" s="153">
        <v>0</v>
      </c>
      <c r="AU2321" s="153">
        <v>0</v>
      </c>
      <c r="AV2321" s="135"/>
      <c r="AW2321" s="135"/>
      <c r="AX2321" s="135"/>
      <c r="AY2321" s="135"/>
      <c r="AZ2321" s="135"/>
      <c r="BA2321" s="135"/>
      <c r="BB2321" s="135"/>
      <c r="BC2321" s="135"/>
      <c r="BD2321" s="135"/>
      <c r="BE2321" s="135"/>
      <c r="BF2321" s="135"/>
      <c r="BG2321" s="135"/>
      <c r="BH2321" s="135"/>
      <c r="BI2321" s="2"/>
      <c r="BJ2321" s="136"/>
      <c r="BK2321" s="2"/>
      <c r="BL2321" s="136"/>
      <c r="BM2321" s="136"/>
      <c r="BN2321" s="2"/>
      <c r="BO2321" s="2"/>
      <c r="BP2321" s="136"/>
      <c r="BQ2321" s="137"/>
    </row>
    <row r="2322" spans="1:69" ht="12.75" customHeight="1" x14ac:dyDescent="0.2">
      <c r="A2322" s="2">
        <v>3811</v>
      </c>
      <c r="B2322" s="2"/>
      <c r="C2322" s="2"/>
      <c r="D2322" s="2"/>
      <c r="E2322" s="2"/>
      <c r="F2322" s="132">
        <v>0</v>
      </c>
      <c r="G2322" s="132"/>
      <c r="H2322" s="132">
        <f t="shared" si="262"/>
        <v>0</v>
      </c>
      <c r="I2322" s="132"/>
      <c r="J2322" s="132">
        <f t="shared" si="260"/>
        <v>0</v>
      </c>
      <c r="K2322" s="132">
        <f t="shared" si="263"/>
        <v>0</v>
      </c>
      <c r="L2322" s="132">
        <f t="shared" si="264"/>
        <v>0</v>
      </c>
      <c r="M2322" s="133"/>
      <c r="N2322" s="133">
        <f t="shared" si="261"/>
        <v>0</v>
      </c>
      <c r="O2322" s="134"/>
      <c r="P2322" s="133"/>
      <c r="Q2322" s="2"/>
      <c r="R2322" s="156">
        <f t="shared" si="265"/>
        <v>0</v>
      </c>
      <c r="S2322" s="156">
        <f t="shared" si="266"/>
        <v>0</v>
      </c>
      <c r="T2322" s="133"/>
      <c r="U2322" s="133"/>
      <c r="V2322" s="133"/>
      <c r="W2322" s="133"/>
      <c r="X2322" s="133"/>
      <c r="Y2322" s="133"/>
      <c r="Z2322" s="133"/>
      <c r="AA2322" s="133"/>
      <c r="AB2322" s="133"/>
      <c r="AC2322" s="133"/>
      <c r="AD2322" s="133"/>
      <c r="AE2322" s="133"/>
      <c r="AF2322" s="133"/>
      <c r="AG2322" s="133"/>
      <c r="AH2322" s="133"/>
      <c r="AI2322" s="133"/>
      <c r="AJ2322" s="133"/>
      <c r="AK2322" s="133"/>
      <c r="AL2322" s="133"/>
      <c r="AM2322" s="133"/>
      <c r="AN2322" s="133"/>
      <c r="AO2322" s="133"/>
      <c r="AP2322" s="133"/>
      <c r="AQ2322" s="133"/>
      <c r="AR2322" s="133"/>
      <c r="AS2322" s="153">
        <v>0</v>
      </c>
      <c r="AT2322" s="153">
        <v>0</v>
      </c>
      <c r="AU2322" s="153">
        <v>0</v>
      </c>
      <c r="AV2322" s="135"/>
      <c r="AW2322" s="135"/>
      <c r="AX2322" s="135"/>
      <c r="AY2322" s="135"/>
      <c r="AZ2322" s="135"/>
      <c r="BA2322" s="135"/>
      <c r="BB2322" s="135"/>
      <c r="BC2322" s="135"/>
      <c r="BD2322" s="135"/>
      <c r="BE2322" s="135"/>
      <c r="BF2322" s="135"/>
      <c r="BG2322" s="135"/>
      <c r="BH2322" s="135"/>
      <c r="BI2322" s="2"/>
      <c r="BJ2322" s="136"/>
      <c r="BK2322" s="2"/>
      <c r="BL2322" s="136"/>
      <c r="BM2322" s="136"/>
      <c r="BN2322" s="2"/>
      <c r="BO2322" s="2"/>
      <c r="BP2322" s="136"/>
      <c r="BQ2322" s="137"/>
    </row>
    <row r="2323" spans="1:69" ht="12.75" customHeight="1" x14ac:dyDescent="0.2">
      <c r="A2323" s="2">
        <v>3812</v>
      </c>
      <c r="B2323" s="2"/>
      <c r="C2323" s="2"/>
      <c r="D2323" s="2"/>
      <c r="E2323" s="2"/>
      <c r="F2323" s="132">
        <v>0</v>
      </c>
      <c r="G2323" s="132"/>
      <c r="H2323" s="132">
        <f t="shared" si="262"/>
        <v>0</v>
      </c>
      <c r="I2323" s="132"/>
      <c r="J2323" s="132">
        <f t="shared" si="260"/>
        <v>0</v>
      </c>
      <c r="K2323" s="132">
        <f t="shared" si="263"/>
        <v>0</v>
      </c>
      <c r="L2323" s="132">
        <f t="shared" si="264"/>
        <v>0</v>
      </c>
      <c r="M2323" s="133"/>
      <c r="N2323" s="133">
        <f t="shared" si="261"/>
        <v>0</v>
      </c>
      <c r="O2323" s="134"/>
      <c r="P2323" s="133"/>
      <c r="Q2323" s="2"/>
      <c r="R2323" s="156">
        <f t="shared" si="265"/>
        <v>0</v>
      </c>
      <c r="S2323" s="156">
        <f t="shared" si="266"/>
        <v>0</v>
      </c>
      <c r="T2323" s="133"/>
      <c r="U2323" s="133"/>
      <c r="V2323" s="133"/>
      <c r="W2323" s="133"/>
      <c r="X2323" s="133"/>
      <c r="Y2323" s="133"/>
      <c r="Z2323" s="133"/>
      <c r="AA2323" s="133"/>
      <c r="AB2323" s="133"/>
      <c r="AC2323" s="133"/>
      <c r="AD2323" s="133"/>
      <c r="AE2323" s="133"/>
      <c r="AF2323" s="133"/>
      <c r="AG2323" s="133"/>
      <c r="AH2323" s="133"/>
      <c r="AI2323" s="133"/>
      <c r="AJ2323" s="133"/>
      <c r="AK2323" s="133"/>
      <c r="AL2323" s="133"/>
      <c r="AM2323" s="133"/>
      <c r="AN2323" s="133"/>
      <c r="AO2323" s="133"/>
      <c r="AP2323" s="133"/>
      <c r="AQ2323" s="133"/>
      <c r="AR2323" s="133"/>
      <c r="AS2323" s="153">
        <v>0</v>
      </c>
      <c r="AT2323" s="153">
        <v>0</v>
      </c>
      <c r="AU2323" s="153">
        <v>0</v>
      </c>
      <c r="AV2323" s="135"/>
      <c r="AW2323" s="135"/>
      <c r="AX2323" s="135"/>
      <c r="AY2323" s="135"/>
      <c r="AZ2323" s="135"/>
      <c r="BA2323" s="135"/>
      <c r="BB2323" s="135"/>
      <c r="BC2323" s="135"/>
      <c r="BD2323" s="135"/>
      <c r="BE2323" s="135"/>
      <c r="BF2323" s="135"/>
      <c r="BG2323" s="135"/>
      <c r="BH2323" s="135"/>
      <c r="BI2323" s="2"/>
      <c r="BJ2323" s="136"/>
      <c r="BK2323" s="2"/>
      <c r="BL2323" s="136"/>
      <c r="BM2323" s="136"/>
      <c r="BN2323" s="2"/>
      <c r="BO2323" s="2"/>
      <c r="BP2323" s="136"/>
      <c r="BQ2323" s="137"/>
    </row>
    <row r="2324" spans="1:69" ht="12.75" customHeight="1" x14ac:dyDescent="0.2">
      <c r="A2324" s="2">
        <v>3813</v>
      </c>
      <c r="B2324" s="2"/>
      <c r="C2324" s="2"/>
      <c r="D2324" s="2"/>
      <c r="E2324" s="2"/>
      <c r="F2324" s="132">
        <v>0</v>
      </c>
      <c r="G2324" s="132"/>
      <c r="H2324" s="132">
        <f t="shared" si="262"/>
        <v>0</v>
      </c>
      <c r="I2324" s="132"/>
      <c r="J2324" s="132">
        <f t="shared" si="260"/>
        <v>0</v>
      </c>
      <c r="K2324" s="132">
        <f t="shared" si="263"/>
        <v>0</v>
      </c>
      <c r="L2324" s="132">
        <f t="shared" si="264"/>
        <v>0</v>
      </c>
      <c r="M2324" s="133"/>
      <c r="N2324" s="133">
        <f t="shared" si="261"/>
        <v>0</v>
      </c>
      <c r="O2324" s="134"/>
      <c r="P2324" s="133"/>
      <c r="Q2324" s="2"/>
      <c r="R2324" s="156">
        <f t="shared" si="265"/>
        <v>0</v>
      </c>
      <c r="S2324" s="156">
        <f t="shared" si="266"/>
        <v>0</v>
      </c>
      <c r="T2324" s="133"/>
      <c r="U2324" s="133"/>
      <c r="V2324" s="133"/>
      <c r="W2324" s="133"/>
      <c r="X2324" s="133"/>
      <c r="Y2324" s="133"/>
      <c r="Z2324" s="133"/>
      <c r="AA2324" s="133"/>
      <c r="AB2324" s="133"/>
      <c r="AC2324" s="133"/>
      <c r="AD2324" s="133"/>
      <c r="AE2324" s="133"/>
      <c r="AF2324" s="133"/>
      <c r="AG2324" s="133"/>
      <c r="AH2324" s="133"/>
      <c r="AI2324" s="133"/>
      <c r="AJ2324" s="133"/>
      <c r="AK2324" s="133"/>
      <c r="AL2324" s="133"/>
      <c r="AM2324" s="133"/>
      <c r="AN2324" s="133"/>
      <c r="AO2324" s="133"/>
      <c r="AP2324" s="133"/>
      <c r="AQ2324" s="133"/>
      <c r="AR2324" s="133"/>
      <c r="AS2324" s="153">
        <v>0</v>
      </c>
      <c r="AT2324" s="153">
        <v>0</v>
      </c>
      <c r="AU2324" s="153">
        <v>0</v>
      </c>
      <c r="AV2324" s="135"/>
      <c r="AW2324" s="135"/>
      <c r="AX2324" s="135"/>
      <c r="AY2324" s="135"/>
      <c r="AZ2324" s="135"/>
      <c r="BA2324" s="135"/>
      <c r="BB2324" s="135"/>
      <c r="BC2324" s="135"/>
      <c r="BD2324" s="135"/>
      <c r="BE2324" s="135"/>
      <c r="BF2324" s="135"/>
      <c r="BG2324" s="135"/>
      <c r="BH2324" s="135"/>
      <c r="BI2324" s="2"/>
      <c r="BJ2324" s="136"/>
      <c r="BK2324" s="2"/>
      <c r="BL2324" s="136"/>
      <c r="BM2324" s="136"/>
      <c r="BN2324" s="2"/>
      <c r="BO2324" s="2"/>
      <c r="BP2324" s="136"/>
      <c r="BQ2324" s="137"/>
    </row>
    <row r="2325" spans="1:69" ht="12.75" customHeight="1" x14ac:dyDescent="0.2">
      <c r="A2325" s="2">
        <v>3814</v>
      </c>
      <c r="B2325" s="2"/>
      <c r="C2325" s="2"/>
      <c r="D2325" s="2"/>
      <c r="E2325" s="2"/>
      <c r="F2325" s="132">
        <v>0</v>
      </c>
      <c r="G2325" s="132"/>
      <c r="H2325" s="132">
        <f t="shared" si="262"/>
        <v>0</v>
      </c>
      <c r="I2325" s="132"/>
      <c r="J2325" s="132">
        <f t="shared" si="260"/>
        <v>0</v>
      </c>
      <c r="K2325" s="132">
        <f t="shared" si="263"/>
        <v>0</v>
      </c>
      <c r="L2325" s="132">
        <f t="shared" si="264"/>
        <v>0</v>
      </c>
      <c r="M2325" s="133"/>
      <c r="N2325" s="133">
        <f t="shared" si="261"/>
        <v>0</v>
      </c>
      <c r="O2325" s="134"/>
      <c r="P2325" s="133"/>
      <c r="Q2325" s="2"/>
      <c r="R2325" s="156">
        <f t="shared" si="265"/>
        <v>0</v>
      </c>
      <c r="S2325" s="156">
        <f t="shared" si="266"/>
        <v>0</v>
      </c>
      <c r="T2325" s="133"/>
      <c r="U2325" s="133"/>
      <c r="V2325" s="133"/>
      <c r="W2325" s="133"/>
      <c r="X2325" s="133"/>
      <c r="Y2325" s="133"/>
      <c r="Z2325" s="133"/>
      <c r="AA2325" s="133"/>
      <c r="AB2325" s="133"/>
      <c r="AC2325" s="133"/>
      <c r="AD2325" s="133"/>
      <c r="AE2325" s="133"/>
      <c r="AF2325" s="133"/>
      <c r="AG2325" s="133"/>
      <c r="AH2325" s="133"/>
      <c r="AI2325" s="133"/>
      <c r="AJ2325" s="133"/>
      <c r="AK2325" s="133"/>
      <c r="AL2325" s="133"/>
      <c r="AM2325" s="133"/>
      <c r="AN2325" s="133"/>
      <c r="AO2325" s="133"/>
      <c r="AP2325" s="133"/>
      <c r="AQ2325" s="133"/>
      <c r="AR2325" s="133"/>
      <c r="AS2325" s="153">
        <v>0</v>
      </c>
      <c r="AT2325" s="153">
        <v>0</v>
      </c>
      <c r="AU2325" s="153">
        <v>0</v>
      </c>
      <c r="AV2325" s="135"/>
      <c r="AW2325" s="135"/>
      <c r="AX2325" s="135"/>
      <c r="AY2325" s="135"/>
      <c r="AZ2325" s="135"/>
      <c r="BA2325" s="135"/>
      <c r="BB2325" s="135"/>
      <c r="BC2325" s="135"/>
      <c r="BD2325" s="135"/>
      <c r="BE2325" s="135"/>
      <c r="BF2325" s="135"/>
      <c r="BG2325" s="135"/>
      <c r="BH2325" s="135"/>
      <c r="BI2325" s="2"/>
      <c r="BJ2325" s="136"/>
      <c r="BK2325" s="2"/>
      <c r="BL2325" s="136"/>
      <c r="BM2325" s="136"/>
      <c r="BN2325" s="2"/>
      <c r="BO2325" s="2"/>
      <c r="BP2325" s="136"/>
      <c r="BQ2325" s="137"/>
    </row>
    <row r="2326" spans="1:69" ht="12.75" customHeight="1" x14ac:dyDescent="0.2">
      <c r="A2326" s="2">
        <v>3815</v>
      </c>
      <c r="B2326" s="2"/>
      <c r="C2326" s="2"/>
      <c r="D2326" s="2"/>
      <c r="E2326" s="2"/>
      <c r="F2326" s="132">
        <v>0</v>
      </c>
      <c r="G2326" s="132"/>
      <c r="H2326" s="132">
        <f t="shared" si="262"/>
        <v>0</v>
      </c>
      <c r="I2326" s="132"/>
      <c r="J2326" s="132">
        <f t="shared" si="260"/>
        <v>0</v>
      </c>
      <c r="K2326" s="132">
        <f t="shared" si="263"/>
        <v>0</v>
      </c>
      <c r="L2326" s="132">
        <f t="shared" si="264"/>
        <v>0</v>
      </c>
      <c r="M2326" s="133"/>
      <c r="N2326" s="133">
        <f t="shared" si="261"/>
        <v>0</v>
      </c>
      <c r="O2326" s="134"/>
      <c r="P2326" s="133"/>
      <c r="Q2326" s="2"/>
      <c r="R2326" s="156">
        <f t="shared" si="265"/>
        <v>0</v>
      </c>
      <c r="S2326" s="156">
        <f t="shared" si="266"/>
        <v>0</v>
      </c>
      <c r="T2326" s="133"/>
      <c r="U2326" s="133"/>
      <c r="V2326" s="133"/>
      <c r="W2326" s="133"/>
      <c r="X2326" s="133"/>
      <c r="Y2326" s="133"/>
      <c r="Z2326" s="133"/>
      <c r="AA2326" s="133"/>
      <c r="AB2326" s="133"/>
      <c r="AC2326" s="133"/>
      <c r="AD2326" s="133"/>
      <c r="AE2326" s="133"/>
      <c r="AF2326" s="133"/>
      <c r="AG2326" s="133"/>
      <c r="AH2326" s="133"/>
      <c r="AI2326" s="133"/>
      <c r="AJ2326" s="133"/>
      <c r="AK2326" s="133"/>
      <c r="AL2326" s="133"/>
      <c r="AM2326" s="133"/>
      <c r="AN2326" s="133"/>
      <c r="AO2326" s="133"/>
      <c r="AP2326" s="133"/>
      <c r="AQ2326" s="133"/>
      <c r="AR2326" s="133"/>
      <c r="AS2326" s="153">
        <v>0</v>
      </c>
      <c r="AT2326" s="153">
        <v>0</v>
      </c>
      <c r="AU2326" s="153">
        <v>0</v>
      </c>
      <c r="AV2326" s="135"/>
      <c r="AW2326" s="135"/>
      <c r="AX2326" s="135"/>
      <c r="AY2326" s="135"/>
      <c r="AZ2326" s="135"/>
      <c r="BA2326" s="135"/>
      <c r="BB2326" s="135"/>
      <c r="BC2326" s="135"/>
      <c r="BD2326" s="135"/>
      <c r="BE2326" s="135"/>
      <c r="BF2326" s="135"/>
      <c r="BG2326" s="135"/>
      <c r="BH2326" s="135"/>
      <c r="BI2326" s="2"/>
      <c r="BJ2326" s="136"/>
      <c r="BK2326" s="2"/>
      <c r="BL2326" s="136"/>
      <c r="BM2326" s="136"/>
      <c r="BN2326" s="2"/>
      <c r="BO2326" s="2"/>
      <c r="BP2326" s="136"/>
      <c r="BQ2326" s="137"/>
    </row>
    <row r="2327" spans="1:69" ht="12.75" customHeight="1" x14ac:dyDescent="0.2">
      <c r="A2327" s="2">
        <v>3816</v>
      </c>
      <c r="B2327" s="2"/>
      <c r="C2327" s="2"/>
      <c r="D2327" s="2"/>
      <c r="E2327" s="2"/>
      <c r="F2327" s="132">
        <v>0</v>
      </c>
      <c r="G2327" s="132"/>
      <c r="H2327" s="132">
        <f t="shared" si="262"/>
        <v>0</v>
      </c>
      <c r="I2327" s="132"/>
      <c r="J2327" s="132">
        <f t="shared" si="260"/>
        <v>0</v>
      </c>
      <c r="K2327" s="132">
        <f t="shared" si="263"/>
        <v>0</v>
      </c>
      <c r="L2327" s="132">
        <f t="shared" si="264"/>
        <v>0</v>
      </c>
      <c r="M2327" s="133"/>
      <c r="N2327" s="133">
        <f t="shared" si="261"/>
        <v>0</v>
      </c>
      <c r="O2327" s="134"/>
      <c r="P2327" s="133"/>
      <c r="Q2327" s="2"/>
      <c r="R2327" s="156">
        <f t="shared" si="265"/>
        <v>0</v>
      </c>
      <c r="S2327" s="156">
        <f t="shared" si="266"/>
        <v>0</v>
      </c>
      <c r="T2327" s="133"/>
      <c r="U2327" s="133"/>
      <c r="V2327" s="133"/>
      <c r="W2327" s="133"/>
      <c r="X2327" s="133"/>
      <c r="Y2327" s="133"/>
      <c r="Z2327" s="133"/>
      <c r="AA2327" s="133"/>
      <c r="AB2327" s="133"/>
      <c r="AC2327" s="133"/>
      <c r="AD2327" s="133"/>
      <c r="AE2327" s="133"/>
      <c r="AF2327" s="133"/>
      <c r="AG2327" s="133"/>
      <c r="AH2327" s="133"/>
      <c r="AI2327" s="133"/>
      <c r="AJ2327" s="133"/>
      <c r="AK2327" s="133"/>
      <c r="AL2327" s="133"/>
      <c r="AM2327" s="133"/>
      <c r="AN2327" s="133"/>
      <c r="AO2327" s="133"/>
      <c r="AP2327" s="133"/>
      <c r="AQ2327" s="133"/>
      <c r="AR2327" s="133"/>
      <c r="AS2327" s="153">
        <v>0</v>
      </c>
      <c r="AT2327" s="153">
        <v>0</v>
      </c>
      <c r="AU2327" s="153">
        <v>0</v>
      </c>
      <c r="AV2327" s="135"/>
      <c r="AW2327" s="135"/>
      <c r="AX2327" s="135"/>
      <c r="AY2327" s="135"/>
      <c r="AZ2327" s="135"/>
      <c r="BA2327" s="135"/>
      <c r="BB2327" s="135"/>
      <c r="BC2327" s="135"/>
      <c r="BD2327" s="135"/>
      <c r="BE2327" s="135"/>
      <c r="BF2327" s="135"/>
      <c r="BG2327" s="135"/>
      <c r="BH2327" s="135"/>
      <c r="BI2327" s="2"/>
      <c r="BJ2327" s="136"/>
      <c r="BK2327" s="2"/>
      <c r="BL2327" s="136"/>
      <c r="BM2327" s="136"/>
      <c r="BN2327" s="2"/>
      <c r="BO2327" s="2"/>
      <c r="BP2327" s="136"/>
      <c r="BQ2327" s="137"/>
    </row>
    <row r="2328" spans="1:69" ht="12.75" customHeight="1" x14ac:dyDescent="0.2">
      <c r="A2328" s="2">
        <v>3817</v>
      </c>
      <c r="B2328" s="2"/>
      <c r="C2328" s="2"/>
      <c r="D2328" s="2"/>
      <c r="E2328" s="2"/>
      <c r="F2328" s="132">
        <v>0</v>
      </c>
      <c r="G2328" s="132"/>
      <c r="H2328" s="132">
        <f t="shared" si="262"/>
        <v>0</v>
      </c>
      <c r="I2328" s="132"/>
      <c r="J2328" s="132">
        <f t="shared" si="260"/>
        <v>0</v>
      </c>
      <c r="K2328" s="132">
        <f t="shared" si="263"/>
        <v>0</v>
      </c>
      <c r="L2328" s="132">
        <f t="shared" si="264"/>
        <v>0</v>
      </c>
      <c r="M2328" s="133"/>
      <c r="N2328" s="133">
        <f t="shared" si="261"/>
        <v>0</v>
      </c>
      <c r="O2328" s="134"/>
      <c r="P2328" s="133"/>
      <c r="Q2328" s="2"/>
      <c r="R2328" s="156">
        <f t="shared" si="265"/>
        <v>0</v>
      </c>
      <c r="S2328" s="156">
        <f t="shared" si="266"/>
        <v>0</v>
      </c>
      <c r="T2328" s="133"/>
      <c r="U2328" s="133"/>
      <c r="V2328" s="133"/>
      <c r="W2328" s="133"/>
      <c r="X2328" s="133"/>
      <c r="Y2328" s="133"/>
      <c r="Z2328" s="133"/>
      <c r="AA2328" s="133"/>
      <c r="AB2328" s="133"/>
      <c r="AC2328" s="133"/>
      <c r="AD2328" s="133"/>
      <c r="AE2328" s="133"/>
      <c r="AF2328" s="133"/>
      <c r="AG2328" s="133"/>
      <c r="AH2328" s="133"/>
      <c r="AI2328" s="133"/>
      <c r="AJ2328" s="133"/>
      <c r="AK2328" s="133"/>
      <c r="AL2328" s="133"/>
      <c r="AM2328" s="133"/>
      <c r="AN2328" s="133"/>
      <c r="AO2328" s="133"/>
      <c r="AP2328" s="133"/>
      <c r="AQ2328" s="133"/>
      <c r="AR2328" s="133"/>
      <c r="AS2328" s="153">
        <v>0</v>
      </c>
      <c r="AT2328" s="153">
        <v>0</v>
      </c>
      <c r="AU2328" s="153">
        <v>0</v>
      </c>
      <c r="AV2328" s="135"/>
      <c r="AW2328" s="135"/>
      <c r="AX2328" s="135"/>
      <c r="AY2328" s="135"/>
      <c r="AZ2328" s="135"/>
      <c r="BA2328" s="135"/>
      <c r="BB2328" s="135"/>
      <c r="BC2328" s="135"/>
      <c r="BD2328" s="135"/>
      <c r="BE2328" s="135"/>
      <c r="BF2328" s="135"/>
      <c r="BG2328" s="135"/>
      <c r="BH2328" s="135"/>
      <c r="BI2328" s="2"/>
      <c r="BJ2328" s="136"/>
      <c r="BK2328" s="2"/>
      <c r="BL2328" s="136"/>
      <c r="BM2328" s="136"/>
      <c r="BN2328" s="2"/>
      <c r="BO2328" s="2"/>
      <c r="BP2328" s="136"/>
      <c r="BQ2328" s="137"/>
    </row>
    <row r="2329" spans="1:69" ht="12.75" customHeight="1" x14ac:dyDescent="0.2">
      <c r="A2329" s="2">
        <v>3818</v>
      </c>
      <c r="B2329" s="2"/>
      <c r="C2329" s="2"/>
      <c r="D2329" s="2"/>
      <c r="E2329" s="2"/>
      <c r="F2329" s="132">
        <v>0</v>
      </c>
      <c r="G2329" s="132"/>
      <c r="H2329" s="132">
        <f t="shared" si="262"/>
        <v>0</v>
      </c>
      <c r="I2329" s="132"/>
      <c r="J2329" s="132">
        <f t="shared" si="260"/>
        <v>0</v>
      </c>
      <c r="K2329" s="132">
        <f t="shared" si="263"/>
        <v>0</v>
      </c>
      <c r="L2329" s="132">
        <f t="shared" si="264"/>
        <v>0</v>
      </c>
      <c r="M2329" s="133"/>
      <c r="N2329" s="133">
        <f t="shared" si="261"/>
        <v>0</v>
      </c>
      <c r="O2329" s="134"/>
      <c r="P2329" s="133"/>
      <c r="Q2329" s="2"/>
      <c r="R2329" s="156">
        <f t="shared" si="265"/>
        <v>0</v>
      </c>
      <c r="S2329" s="156">
        <f t="shared" si="266"/>
        <v>0</v>
      </c>
      <c r="T2329" s="133"/>
      <c r="U2329" s="133"/>
      <c r="V2329" s="133"/>
      <c r="W2329" s="133"/>
      <c r="X2329" s="133"/>
      <c r="Y2329" s="133"/>
      <c r="Z2329" s="133"/>
      <c r="AA2329" s="133"/>
      <c r="AB2329" s="133"/>
      <c r="AC2329" s="133"/>
      <c r="AD2329" s="133"/>
      <c r="AE2329" s="133"/>
      <c r="AF2329" s="133"/>
      <c r="AG2329" s="133"/>
      <c r="AH2329" s="133"/>
      <c r="AI2329" s="133"/>
      <c r="AJ2329" s="133"/>
      <c r="AK2329" s="133"/>
      <c r="AL2329" s="133"/>
      <c r="AM2329" s="133"/>
      <c r="AN2329" s="133"/>
      <c r="AO2329" s="133"/>
      <c r="AP2329" s="133"/>
      <c r="AQ2329" s="133"/>
      <c r="AR2329" s="133"/>
      <c r="AS2329" s="153">
        <v>0</v>
      </c>
      <c r="AT2329" s="153">
        <v>0</v>
      </c>
      <c r="AU2329" s="153">
        <v>0</v>
      </c>
      <c r="AV2329" s="135"/>
      <c r="AW2329" s="135"/>
      <c r="AX2329" s="135"/>
      <c r="AY2329" s="135"/>
      <c r="AZ2329" s="135"/>
      <c r="BA2329" s="135"/>
      <c r="BB2329" s="135"/>
      <c r="BC2329" s="135"/>
      <c r="BD2329" s="135"/>
      <c r="BE2329" s="135"/>
      <c r="BF2329" s="135"/>
      <c r="BG2329" s="135"/>
      <c r="BH2329" s="135"/>
      <c r="BI2329" s="2"/>
      <c r="BJ2329" s="136"/>
      <c r="BK2329" s="2"/>
      <c r="BL2329" s="136"/>
      <c r="BM2329" s="136"/>
      <c r="BN2329" s="2"/>
      <c r="BO2329" s="2"/>
      <c r="BP2329" s="136"/>
      <c r="BQ2329" s="137"/>
    </row>
    <row r="2330" spans="1:69" ht="12.75" customHeight="1" x14ac:dyDescent="0.2">
      <c r="A2330" s="2">
        <v>3819</v>
      </c>
      <c r="B2330" s="2"/>
      <c r="C2330" s="2"/>
      <c r="D2330" s="2"/>
      <c r="E2330" s="2"/>
      <c r="F2330" s="132">
        <v>0</v>
      </c>
      <c r="G2330" s="132"/>
      <c r="H2330" s="132">
        <f t="shared" si="262"/>
        <v>0</v>
      </c>
      <c r="I2330" s="132"/>
      <c r="J2330" s="132">
        <f t="shared" si="260"/>
        <v>0</v>
      </c>
      <c r="K2330" s="132">
        <f t="shared" si="263"/>
        <v>0</v>
      </c>
      <c r="L2330" s="132">
        <f t="shared" si="264"/>
        <v>0</v>
      </c>
      <c r="M2330" s="133"/>
      <c r="N2330" s="133">
        <f t="shared" si="261"/>
        <v>0</v>
      </c>
      <c r="O2330" s="134"/>
      <c r="P2330" s="133"/>
      <c r="Q2330" s="2"/>
      <c r="R2330" s="156">
        <f t="shared" si="265"/>
        <v>0</v>
      </c>
      <c r="S2330" s="156">
        <f t="shared" si="266"/>
        <v>0</v>
      </c>
      <c r="T2330" s="133"/>
      <c r="U2330" s="133"/>
      <c r="V2330" s="133"/>
      <c r="W2330" s="133"/>
      <c r="X2330" s="133"/>
      <c r="Y2330" s="133"/>
      <c r="Z2330" s="133"/>
      <c r="AA2330" s="133"/>
      <c r="AB2330" s="133"/>
      <c r="AC2330" s="133"/>
      <c r="AD2330" s="133"/>
      <c r="AE2330" s="133"/>
      <c r="AF2330" s="133"/>
      <c r="AG2330" s="133"/>
      <c r="AH2330" s="133"/>
      <c r="AI2330" s="133"/>
      <c r="AJ2330" s="133"/>
      <c r="AK2330" s="133"/>
      <c r="AL2330" s="133"/>
      <c r="AM2330" s="133"/>
      <c r="AN2330" s="133"/>
      <c r="AO2330" s="133"/>
      <c r="AP2330" s="133"/>
      <c r="AQ2330" s="133"/>
      <c r="AR2330" s="133"/>
      <c r="AS2330" s="153">
        <v>0</v>
      </c>
      <c r="AT2330" s="153">
        <v>0</v>
      </c>
      <c r="AU2330" s="153">
        <v>0</v>
      </c>
      <c r="AV2330" s="135"/>
      <c r="AW2330" s="135"/>
      <c r="AX2330" s="135"/>
      <c r="AY2330" s="135"/>
      <c r="AZ2330" s="135"/>
      <c r="BA2330" s="135"/>
      <c r="BB2330" s="135"/>
      <c r="BC2330" s="135"/>
      <c r="BD2330" s="135"/>
      <c r="BE2330" s="135"/>
      <c r="BF2330" s="135"/>
      <c r="BG2330" s="135"/>
      <c r="BH2330" s="135"/>
      <c r="BI2330" s="2"/>
      <c r="BJ2330" s="136"/>
      <c r="BK2330" s="2"/>
      <c r="BL2330" s="136"/>
      <c r="BM2330" s="136"/>
      <c r="BN2330" s="2"/>
      <c r="BO2330" s="2"/>
      <c r="BP2330" s="136"/>
      <c r="BQ2330" s="137"/>
    </row>
    <row r="2331" spans="1:69" ht="12.75" customHeight="1" x14ac:dyDescent="0.2">
      <c r="A2331" s="2">
        <v>3820</v>
      </c>
      <c r="B2331" s="2"/>
      <c r="C2331" s="2"/>
      <c r="D2331" s="2"/>
      <c r="E2331" s="2"/>
      <c r="F2331" s="132">
        <v>0</v>
      </c>
      <c r="G2331" s="132"/>
      <c r="H2331" s="132">
        <f t="shared" si="262"/>
        <v>0</v>
      </c>
      <c r="I2331" s="132"/>
      <c r="J2331" s="132">
        <f t="shared" si="260"/>
        <v>0</v>
      </c>
      <c r="K2331" s="132">
        <f t="shared" si="263"/>
        <v>0</v>
      </c>
      <c r="L2331" s="132">
        <f t="shared" si="264"/>
        <v>0</v>
      </c>
      <c r="M2331" s="133"/>
      <c r="N2331" s="133">
        <f t="shared" si="261"/>
        <v>0</v>
      </c>
      <c r="O2331" s="134"/>
      <c r="P2331" s="133"/>
      <c r="Q2331" s="2"/>
      <c r="R2331" s="156">
        <f t="shared" si="265"/>
        <v>0</v>
      </c>
      <c r="S2331" s="156">
        <f t="shared" si="266"/>
        <v>0</v>
      </c>
      <c r="T2331" s="133"/>
      <c r="U2331" s="133"/>
      <c r="V2331" s="133"/>
      <c r="W2331" s="133"/>
      <c r="X2331" s="133"/>
      <c r="Y2331" s="133"/>
      <c r="Z2331" s="133"/>
      <c r="AA2331" s="133"/>
      <c r="AB2331" s="133"/>
      <c r="AC2331" s="133"/>
      <c r="AD2331" s="133"/>
      <c r="AE2331" s="133"/>
      <c r="AF2331" s="133"/>
      <c r="AG2331" s="133"/>
      <c r="AH2331" s="133"/>
      <c r="AI2331" s="133"/>
      <c r="AJ2331" s="133"/>
      <c r="AK2331" s="133"/>
      <c r="AL2331" s="133"/>
      <c r="AM2331" s="133"/>
      <c r="AN2331" s="133"/>
      <c r="AO2331" s="133"/>
      <c r="AP2331" s="133"/>
      <c r="AQ2331" s="133"/>
      <c r="AR2331" s="133"/>
      <c r="AS2331" s="153">
        <v>0</v>
      </c>
      <c r="AT2331" s="153">
        <v>0</v>
      </c>
      <c r="AU2331" s="153">
        <v>0</v>
      </c>
      <c r="AV2331" s="135"/>
      <c r="AW2331" s="135"/>
      <c r="AX2331" s="135"/>
      <c r="AY2331" s="135"/>
      <c r="AZ2331" s="135"/>
      <c r="BA2331" s="135"/>
      <c r="BB2331" s="135"/>
      <c r="BC2331" s="135"/>
      <c r="BD2331" s="135"/>
      <c r="BE2331" s="135"/>
      <c r="BF2331" s="135"/>
      <c r="BG2331" s="135"/>
      <c r="BH2331" s="135"/>
      <c r="BI2331" s="2"/>
      <c r="BJ2331" s="136"/>
      <c r="BK2331" s="2"/>
      <c r="BL2331" s="136"/>
      <c r="BM2331" s="136"/>
      <c r="BN2331" s="2"/>
      <c r="BO2331" s="2"/>
      <c r="BP2331" s="136"/>
      <c r="BQ2331" s="137"/>
    </row>
    <row r="2332" spans="1:69" ht="12.75" customHeight="1" x14ac:dyDescent="0.2">
      <c r="A2332" s="2">
        <v>3821</v>
      </c>
      <c r="B2332" s="2"/>
      <c r="C2332" s="2"/>
      <c r="D2332" s="2"/>
      <c r="E2332" s="2"/>
      <c r="F2332" s="132">
        <v>0</v>
      </c>
      <c r="G2332" s="132"/>
      <c r="H2332" s="132">
        <f t="shared" si="262"/>
        <v>0</v>
      </c>
      <c r="I2332" s="132"/>
      <c r="J2332" s="132">
        <f t="shared" si="260"/>
        <v>0</v>
      </c>
      <c r="K2332" s="132">
        <f t="shared" si="263"/>
        <v>0</v>
      </c>
      <c r="L2332" s="132">
        <f t="shared" si="264"/>
        <v>0</v>
      </c>
      <c r="M2332" s="133"/>
      <c r="N2332" s="133">
        <f t="shared" si="261"/>
        <v>0</v>
      </c>
      <c r="O2332" s="134"/>
      <c r="P2332" s="133"/>
      <c r="Q2332" s="2"/>
      <c r="R2332" s="156">
        <f t="shared" si="265"/>
        <v>0</v>
      </c>
      <c r="S2332" s="156">
        <f t="shared" si="266"/>
        <v>0</v>
      </c>
      <c r="T2332" s="133"/>
      <c r="U2332" s="133"/>
      <c r="V2332" s="133"/>
      <c r="W2332" s="133"/>
      <c r="X2332" s="133"/>
      <c r="Y2332" s="133"/>
      <c r="Z2332" s="133"/>
      <c r="AA2332" s="133"/>
      <c r="AB2332" s="133"/>
      <c r="AC2332" s="133"/>
      <c r="AD2332" s="133"/>
      <c r="AE2332" s="133"/>
      <c r="AF2332" s="133"/>
      <c r="AG2332" s="133"/>
      <c r="AH2332" s="133"/>
      <c r="AI2332" s="133"/>
      <c r="AJ2332" s="133"/>
      <c r="AK2332" s="133"/>
      <c r="AL2332" s="133"/>
      <c r="AM2332" s="133"/>
      <c r="AN2332" s="133"/>
      <c r="AO2332" s="133"/>
      <c r="AP2332" s="133"/>
      <c r="AQ2332" s="133"/>
      <c r="AR2332" s="133"/>
      <c r="AS2332" s="153">
        <v>0</v>
      </c>
      <c r="AT2332" s="153">
        <v>0</v>
      </c>
      <c r="AU2332" s="153">
        <v>0</v>
      </c>
      <c r="AV2332" s="135"/>
      <c r="AW2332" s="135"/>
      <c r="AX2332" s="135"/>
      <c r="AY2332" s="135"/>
      <c r="AZ2332" s="135"/>
      <c r="BA2332" s="135"/>
      <c r="BB2332" s="135"/>
      <c r="BC2332" s="135"/>
      <c r="BD2332" s="135"/>
      <c r="BE2332" s="135"/>
      <c r="BF2332" s="135"/>
      <c r="BG2332" s="135"/>
      <c r="BH2332" s="135"/>
      <c r="BI2332" s="2"/>
      <c r="BJ2332" s="136"/>
      <c r="BK2332" s="2"/>
      <c r="BL2332" s="136"/>
      <c r="BM2332" s="136"/>
      <c r="BN2332" s="2"/>
      <c r="BO2332" s="2"/>
      <c r="BP2332" s="136"/>
      <c r="BQ2332" s="137"/>
    </row>
    <row r="2333" spans="1:69" ht="12.75" customHeight="1" x14ac:dyDescent="0.2">
      <c r="A2333" s="2">
        <v>3822</v>
      </c>
      <c r="B2333" s="2"/>
      <c r="C2333" s="2"/>
      <c r="D2333" s="2"/>
      <c r="E2333" s="2"/>
      <c r="F2333" s="132">
        <v>0</v>
      </c>
      <c r="G2333" s="132"/>
      <c r="H2333" s="132">
        <f t="shared" si="262"/>
        <v>0</v>
      </c>
      <c r="I2333" s="132"/>
      <c r="J2333" s="132">
        <f t="shared" si="260"/>
        <v>0</v>
      </c>
      <c r="K2333" s="132">
        <f t="shared" si="263"/>
        <v>0</v>
      </c>
      <c r="L2333" s="132">
        <f t="shared" si="264"/>
        <v>0</v>
      </c>
      <c r="M2333" s="133"/>
      <c r="N2333" s="133">
        <f t="shared" si="261"/>
        <v>0</v>
      </c>
      <c r="O2333" s="134"/>
      <c r="P2333" s="133"/>
      <c r="Q2333" s="2"/>
      <c r="R2333" s="156">
        <f t="shared" si="265"/>
        <v>0</v>
      </c>
      <c r="S2333" s="156">
        <f t="shared" si="266"/>
        <v>0</v>
      </c>
      <c r="T2333" s="133"/>
      <c r="U2333" s="133"/>
      <c r="V2333" s="133"/>
      <c r="W2333" s="133"/>
      <c r="X2333" s="133"/>
      <c r="Y2333" s="133"/>
      <c r="Z2333" s="133"/>
      <c r="AA2333" s="133"/>
      <c r="AB2333" s="133"/>
      <c r="AC2333" s="133"/>
      <c r="AD2333" s="133"/>
      <c r="AE2333" s="133"/>
      <c r="AF2333" s="133"/>
      <c r="AG2333" s="133"/>
      <c r="AH2333" s="133"/>
      <c r="AI2333" s="133"/>
      <c r="AJ2333" s="133"/>
      <c r="AK2333" s="133"/>
      <c r="AL2333" s="133"/>
      <c r="AM2333" s="133"/>
      <c r="AN2333" s="133"/>
      <c r="AO2333" s="133"/>
      <c r="AP2333" s="133"/>
      <c r="AQ2333" s="133"/>
      <c r="AR2333" s="133"/>
      <c r="AS2333" s="153">
        <v>0</v>
      </c>
      <c r="AT2333" s="153">
        <v>0</v>
      </c>
      <c r="AU2333" s="153">
        <v>0</v>
      </c>
      <c r="AV2333" s="135"/>
      <c r="AW2333" s="135"/>
      <c r="AX2333" s="135"/>
      <c r="AY2333" s="135"/>
      <c r="AZ2333" s="135"/>
      <c r="BA2333" s="135"/>
      <c r="BB2333" s="135"/>
      <c r="BC2333" s="135"/>
      <c r="BD2333" s="135"/>
      <c r="BE2333" s="135"/>
      <c r="BF2333" s="135"/>
      <c r="BG2333" s="135"/>
      <c r="BH2333" s="135"/>
      <c r="BI2333" s="2"/>
      <c r="BJ2333" s="136"/>
      <c r="BK2333" s="2"/>
      <c r="BL2333" s="136"/>
      <c r="BM2333" s="136"/>
      <c r="BN2333" s="2"/>
      <c r="BO2333" s="2"/>
      <c r="BP2333" s="136"/>
      <c r="BQ2333" s="137"/>
    </row>
    <row r="2334" spans="1:69" ht="12.75" customHeight="1" x14ac:dyDescent="0.2">
      <c r="A2334" s="2">
        <v>3823</v>
      </c>
      <c r="B2334" s="2"/>
      <c r="C2334" s="2"/>
      <c r="D2334" s="2"/>
      <c r="E2334" s="2"/>
      <c r="F2334" s="132">
        <v>0</v>
      </c>
      <c r="G2334" s="132"/>
      <c r="H2334" s="132">
        <f t="shared" si="262"/>
        <v>0</v>
      </c>
      <c r="I2334" s="132"/>
      <c r="J2334" s="132">
        <f t="shared" si="260"/>
        <v>0</v>
      </c>
      <c r="K2334" s="132">
        <f t="shared" si="263"/>
        <v>0</v>
      </c>
      <c r="L2334" s="132">
        <f t="shared" si="264"/>
        <v>0</v>
      </c>
      <c r="M2334" s="133"/>
      <c r="N2334" s="133">
        <f t="shared" si="261"/>
        <v>0</v>
      </c>
      <c r="O2334" s="134"/>
      <c r="P2334" s="133"/>
      <c r="Q2334" s="2"/>
      <c r="R2334" s="156">
        <f t="shared" si="265"/>
        <v>0</v>
      </c>
      <c r="S2334" s="156">
        <f t="shared" si="266"/>
        <v>0</v>
      </c>
      <c r="T2334" s="133"/>
      <c r="U2334" s="133"/>
      <c r="V2334" s="133"/>
      <c r="W2334" s="133"/>
      <c r="X2334" s="133"/>
      <c r="Y2334" s="133"/>
      <c r="Z2334" s="133"/>
      <c r="AA2334" s="133"/>
      <c r="AB2334" s="133"/>
      <c r="AC2334" s="133"/>
      <c r="AD2334" s="133"/>
      <c r="AE2334" s="133"/>
      <c r="AF2334" s="133"/>
      <c r="AG2334" s="133"/>
      <c r="AH2334" s="133"/>
      <c r="AI2334" s="133"/>
      <c r="AJ2334" s="133"/>
      <c r="AK2334" s="133"/>
      <c r="AL2334" s="133"/>
      <c r="AM2334" s="133"/>
      <c r="AN2334" s="133"/>
      <c r="AO2334" s="133"/>
      <c r="AP2334" s="133"/>
      <c r="AQ2334" s="133"/>
      <c r="AR2334" s="133"/>
      <c r="AS2334" s="153">
        <v>0</v>
      </c>
      <c r="AT2334" s="153">
        <v>0</v>
      </c>
      <c r="AU2334" s="153">
        <v>0</v>
      </c>
      <c r="AV2334" s="135"/>
      <c r="AW2334" s="135"/>
      <c r="AX2334" s="135"/>
      <c r="AY2334" s="135"/>
      <c r="AZ2334" s="135"/>
      <c r="BA2334" s="135"/>
      <c r="BB2334" s="135"/>
      <c r="BC2334" s="135"/>
      <c r="BD2334" s="135"/>
      <c r="BE2334" s="135"/>
      <c r="BF2334" s="135"/>
      <c r="BG2334" s="135"/>
      <c r="BH2334" s="135"/>
      <c r="BI2334" s="2"/>
      <c r="BJ2334" s="136"/>
      <c r="BK2334" s="2"/>
      <c r="BL2334" s="136"/>
      <c r="BM2334" s="136"/>
      <c r="BN2334" s="2"/>
      <c r="BO2334" s="2"/>
      <c r="BP2334" s="136"/>
      <c r="BQ2334" s="137"/>
    </row>
    <row r="2335" spans="1:69" ht="12.75" customHeight="1" x14ac:dyDescent="0.2">
      <c r="A2335" s="2">
        <v>3824</v>
      </c>
      <c r="B2335" s="2"/>
      <c r="C2335" s="2"/>
      <c r="D2335" s="2"/>
      <c r="E2335" s="2"/>
      <c r="F2335" s="132">
        <v>0</v>
      </c>
      <c r="G2335" s="132"/>
      <c r="H2335" s="132">
        <f t="shared" si="262"/>
        <v>0</v>
      </c>
      <c r="I2335" s="132"/>
      <c r="J2335" s="132">
        <f t="shared" si="260"/>
        <v>0</v>
      </c>
      <c r="K2335" s="132">
        <f t="shared" si="263"/>
        <v>0</v>
      </c>
      <c r="L2335" s="132">
        <f t="shared" si="264"/>
        <v>0</v>
      </c>
      <c r="M2335" s="133"/>
      <c r="N2335" s="133">
        <f t="shared" si="261"/>
        <v>0</v>
      </c>
      <c r="O2335" s="134"/>
      <c r="P2335" s="133"/>
      <c r="Q2335" s="2"/>
      <c r="R2335" s="156">
        <f t="shared" si="265"/>
        <v>0</v>
      </c>
      <c r="S2335" s="156">
        <f t="shared" si="266"/>
        <v>0</v>
      </c>
      <c r="T2335" s="133"/>
      <c r="U2335" s="133"/>
      <c r="V2335" s="133"/>
      <c r="W2335" s="133"/>
      <c r="X2335" s="133"/>
      <c r="Y2335" s="133"/>
      <c r="Z2335" s="133"/>
      <c r="AA2335" s="133"/>
      <c r="AB2335" s="133"/>
      <c r="AC2335" s="133"/>
      <c r="AD2335" s="133"/>
      <c r="AE2335" s="133"/>
      <c r="AF2335" s="133"/>
      <c r="AG2335" s="133"/>
      <c r="AH2335" s="133"/>
      <c r="AI2335" s="133"/>
      <c r="AJ2335" s="133"/>
      <c r="AK2335" s="133"/>
      <c r="AL2335" s="133"/>
      <c r="AM2335" s="133"/>
      <c r="AN2335" s="133"/>
      <c r="AO2335" s="133"/>
      <c r="AP2335" s="133"/>
      <c r="AQ2335" s="133"/>
      <c r="AR2335" s="133"/>
      <c r="AS2335" s="153">
        <v>0</v>
      </c>
      <c r="AT2335" s="153">
        <v>0</v>
      </c>
      <c r="AU2335" s="153">
        <v>0</v>
      </c>
      <c r="AV2335" s="135"/>
      <c r="AW2335" s="135"/>
      <c r="AX2335" s="135"/>
      <c r="AY2335" s="135"/>
      <c r="AZ2335" s="135"/>
      <c r="BA2335" s="135"/>
      <c r="BB2335" s="135"/>
      <c r="BC2335" s="135"/>
      <c r="BD2335" s="135"/>
      <c r="BE2335" s="135"/>
      <c r="BF2335" s="135"/>
      <c r="BG2335" s="135"/>
      <c r="BH2335" s="135"/>
      <c r="BI2335" s="2"/>
      <c r="BJ2335" s="136"/>
      <c r="BK2335" s="2"/>
      <c r="BL2335" s="136"/>
      <c r="BM2335" s="136"/>
      <c r="BN2335" s="2"/>
      <c r="BO2335" s="2"/>
      <c r="BP2335" s="136"/>
      <c r="BQ2335" s="137"/>
    </row>
    <row r="2336" spans="1:69" ht="12.75" customHeight="1" x14ac:dyDescent="0.2">
      <c r="A2336" s="2">
        <v>3825</v>
      </c>
      <c r="B2336" s="2"/>
      <c r="C2336" s="2"/>
      <c r="D2336" s="2"/>
      <c r="E2336" s="2"/>
      <c r="F2336" s="132">
        <v>0</v>
      </c>
      <c r="G2336" s="132"/>
      <c r="H2336" s="132">
        <f t="shared" si="262"/>
        <v>0</v>
      </c>
      <c r="I2336" s="132"/>
      <c r="J2336" s="132">
        <f t="shared" si="260"/>
        <v>0</v>
      </c>
      <c r="K2336" s="132">
        <f t="shared" si="263"/>
        <v>0</v>
      </c>
      <c r="L2336" s="132">
        <f t="shared" si="264"/>
        <v>0</v>
      </c>
      <c r="M2336" s="133"/>
      <c r="N2336" s="133">
        <f t="shared" si="261"/>
        <v>0</v>
      </c>
      <c r="O2336" s="134"/>
      <c r="P2336" s="133"/>
      <c r="Q2336" s="2"/>
      <c r="R2336" s="156">
        <f t="shared" si="265"/>
        <v>0</v>
      </c>
      <c r="S2336" s="156">
        <f t="shared" si="266"/>
        <v>0</v>
      </c>
      <c r="T2336" s="133"/>
      <c r="U2336" s="133"/>
      <c r="V2336" s="133"/>
      <c r="W2336" s="133"/>
      <c r="X2336" s="133"/>
      <c r="Y2336" s="133"/>
      <c r="Z2336" s="133"/>
      <c r="AA2336" s="133"/>
      <c r="AB2336" s="133"/>
      <c r="AC2336" s="133"/>
      <c r="AD2336" s="133"/>
      <c r="AE2336" s="133"/>
      <c r="AF2336" s="133"/>
      <c r="AG2336" s="133"/>
      <c r="AH2336" s="133"/>
      <c r="AI2336" s="133"/>
      <c r="AJ2336" s="133"/>
      <c r="AK2336" s="133"/>
      <c r="AL2336" s="133"/>
      <c r="AM2336" s="133"/>
      <c r="AN2336" s="133"/>
      <c r="AO2336" s="133"/>
      <c r="AP2336" s="133"/>
      <c r="AQ2336" s="133"/>
      <c r="AR2336" s="133"/>
      <c r="AS2336" s="153">
        <v>0</v>
      </c>
      <c r="AT2336" s="153">
        <v>0</v>
      </c>
      <c r="AU2336" s="153">
        <v>0</v>
      </c>
      <c r="AV2336" s="135"/>
      <c r="AW2336" s="135"/>
      <c r="AX2336" s="135"/>
      <c r="AY2336" s="135"/>
      <c r="AZ2336" s="135"/>
      <c r="BA2336" s="135"/>
      <c r="BB2336" s="135"/>
      <c r="BC2336" s="135"/>
      <c r="BD2336" s="135"/>
      <c r="BE2336" s="135"/>
      <c r="BF2336" s="135"/>
      <c r="BG2336" s="135"/>
      <c r="BH2336" s="135"/>
      <c r="BI2336" s="2"/>
      <c r="BJ2336" s="136"/>
      <c r="BK2336" s="2"/>
      <c r="BL2336" s="136"/>
      <c r="BM2336" s="136"/>
      <c r="BN2336" s="2"/>
      <c r="BO2336" s="2"/>
      <c r="BP2336" s="136"/>
      <c r="BQ2336" s="137"/>
    </row>
    <row r="2337" spans="1:69" ht="12.75" customHeight="1" x14ac:dyDescent="0.2">
      <c r="A2337" s="2">
        <v>3826</v>
      </c>
      <c r="B2337" s="2"/>
      <c r="C2337" s="2"/>
      <c r="D2337" s="2"/>
      <c r="E2337" s="2"/>
      <c r="F2337" s="132">
        <v>0</v>
      </c>
      <c r="G2337" s="132"/>
      <c r="H2337" s="132">
        <f t="shared" si="262"/>
        <v>0</v>
      </c>
      <c r="I2337" s="132"/>
      <c r="J2337" s="132">
        <f t="shared" si="260"/>
        <v>0</v>
      </c>
      <c r="K2337" s="132">
        <f t="shared" si="263"/>
        <v>0</v>
      </c>
      <c r="L2337" s="132">
        <f t="shared" si="264"/>
        <v>0</v>
      </c>
      <c r="M2337" s="133"/>
      <c r="N2337" s="133">
        <f t="shared" si="261"/>
        <v>0</v>
      </c>
      <c r="O2337" s="134"/>
      <c r="P2337" s="133"/>
      <c r="Q2337" s="2"/>
      <c r="R2337" s="156">
        <f t="shared" si="265"/>
        <v>0</v>
      </c>
      <c r="S2337" s="156">
        <f t="shared" si="266"/>
        <v>0</v>
      </c>
      <c r="T2337" s="133"/>
      <c r="U2337" s="133"/>
      <c r="V2337" s="133"/>
      <c r="W2337" s="133"/>
      <c r="X2337" s="133"/>
      <c r="Y2337" s="133"/>
      <c r="Z2337" s="133"/>
      <c r="AA2337" s="133"/>
      <c r="AB2337" s="133"/>
      <c r="AC2337" s="133"/>
      <c r="AD2337" s="133"/>
      <c r="AE2337" s="133"/>
      <c r="AF2337" s="133"/>
      <c r="AG2337" s="133"/>
      <c r="AH2337" s="133"/>
      <c r="AI2337" s="133"/>
      <c r="AJ2337" s="133"/>
      <c r="AK2337" s="133"/>
      <c r="AL2337" s="133"/>
      <c r="AM2337" s="133"/>
      <c r="AN2337" s="133"/>
      <c r="AO2337" s="133"/>
      <c r="AP2337" s="133"/>
      <c r="AQ2337" s="133"/>
      <c r="AR2337" s="133"/>
      <c r="AS2337" s="153">
        <v>0</v>
      </c>
      <c r="AT2337" s="153">
        <v>0</v>
      </c>
      <c r="AU2337" s="153">
        <v>0</v>
      </c>
      <c r="AV2337" s="135"/>
      <c r="AW2337" s="135"/>
      <c r="AX2337" s="135"/>
      <c r="AY2337" s="135"/>
      <c r="AZ2337" s="135"/>
      <c r="BA2337" s="135"/>
      <c r="BB2337" s="135"/>
      <c r="BC2337" s="135"/>
      <c r="BD2337" s="135"/>
      <c r="BE2337" s="135"/>
      <c r="BF2337" s="135"/>
      <c r="BG2337" s="135"/>
      <c r="BH2337" s="135"/>
      <c r="BI2337" s="2"/>
      <c r="BJ2337" s="136"/>
      <c r="BK2337" s="2"/>
      <c r="BL2337" s="136"/>
      <c r="BM2337" s="136"/>
      <c r="BN2337" s="2"/>
      <c r="BO2337" s="2"/>
      <c r="BP2337" s="136"/>
      <c r="BQ2337" s="137"/>
    </row>
    <row r="2338" spans="1:69" ht="12.75" customHeight="1" x14ac:dyDescent="0.2">
      <c r="A2338" s="2">
        <v>3827</v>
      </c>
      <c r="B2338" s="2"/>
      <c r="C2338" s="2"/>
      <c r="D2338" s="2"/>
      <c r="E2338" s="2"/>
      <c r="F2338" s="132">
        <v>0</v>
      </c>
      <c r="G2338" s="132"/>
      <c r="H2338" s="132">
        <f t="shared" si="262"/>
        <v>0</v>
      </c>
      <c r="I2338" s="132"/>
      <c r="J2338" s="132">
        <f t="shared" si="260"/>
        <v>0</v>
      </c>
      <c r="K2338" s="132">
        <f t="shared" si="263"/>
        <v>0</v>
      </c>
      <c r="L2338" s="132">
        <f t="shared" si="264"/>
        <v>0</v>
      </c>
      <c r="M2338" s="133"/>
      <c r="N2338" s="133">
        <f t="shared" si="261"/>
        <v>0</v>
      </c>
      <c r="O2338" s="134"/>
      <c r="P2338" s="133"/>
      <c r="Q2338" s="2"/>
      <c r="R2338" s="156">
        <f t="shared" si="265"/>
        <v>0</v>
      </c>
      <c r="S2338" s="156">
        <f t="shared" si="266"/>
        <v>0</v>
      </c>
      <c r="T2338" s="133"/>
      <c r="U2338" s="133"/>
      <c r="V2338" s="133"/>
      <c r="W2338" s="133"/>
      <c r="X2338" s="133"/>
      <c r="Y2338" s="133"/>
      <c r="Z2338" s="133"/>
      <c r="AA2338" s="133"/>
      <c r="AB2338" s="133"/>
      <c r="AC2338" s="133"/>
      <c r="AD2338" s="133"/>
      <c r="AE2338" s="133"/>
      <c r="AF2338" s="133"/>
      <c r="AG2338" s="133"/>
      <c r="AH2338" s="133"/>
      <c r="AI2338" s="133"/>
      <c r="AJ2338" s="133"/>
      <c r="AK2338" s="133"/>
      <c r="AL2338" s="133"/>
      <c r="AM2338" s="133"/>
      <c r="AN2338" s="133"/>
      <c r="AO2338" s="133"/>
      <c r="AP2338" s="133"/>
      <c r="AQ2338" s="133"/>
      <c r="AR2338" s="133"/>
      <c r="AS2338" s="153">
        <v>0</v>
      </c>
      <c r="AT2338" s="153">
        <v>0</v>
      </c>
      <c r="AU2338" s="153">
        <v>0</v>
      </c>
      <c r="AV2338" s="135"/>
      <c r="AW2338" s="135"/>
      <c r="AX2338" s="135"/>
      <c r="AY2338" s="135"/>
      <c r="AZ2338" s="135"/>
      <c r="BA2338" s="135"/>
      <c r="BB2338" s="135"/>
      <c r="BC2338" s="135"/>
      <c r="BD2338" s="135"/>
      <c r="BE2338" s="135"/>
      <c r="BF2338" s="135"/>
      <c r="BG2338" s="135"/>
      <c r="BH2338" s="135"/>
      <c r="BI2338" s="2"/>
      <c r="BJ2338" s="136"/>
      <c r="BK2338" s="2"/>
      <c r="BL2338" s="136"/>
      <c r="BM2338" s="136"/>
      <c r="BN2338" s="2"/>
      <c r="BO2338" s="2"/>
      <c r="BP2338" s="136"/>
      <c r="BQ2338" s="137"/>
    </row>
    <row r="2339" spans="1:69" ht="12.75" customHeight="1" x14ac:dyDescent="0.2">
      <c r="A2339" s="2">
        <v>3828</v>
      </c>
      <c r="B2339" s="2"/>
      <c r="C2339" s="2"/>
      <c r="D2339" s="2"/>
      <c r="E2339" s="2"/>
      <c r="F2339" s="132">
        <v>0</v>
      </c>
      <c r="G2339" s="132"/>
      <c r="H2339" s="132">
        <f t="shared" si="262"/>
        <v>0</v>
      </c>
      <c r="I2339" s="132"/>
      <c r="J2339" s="132">
        <f t="shared" si="260"/>
        <v>0</v>
      </c>
      <c r="K2339" s="132">
        <f t="shared" si="263"/>
        <v>0</v>
      </c>
      <c r="L2339" s="132">
        <f t="shared" si="264"/>
        <v>0</v>
      </c>
      <c r="M2339" s="133"/>
      <c r="N2339" s="133">
        <f t="shared" si="261"/>
        <v>0</v>
      </c>
      <c r="O2339" s="134"/>
      <c r="P2339" s="133"/>
      <c r="Q2339" s="2"/>
      <c r="R2339" s="156">
        <f t="shared" si="265"/>
        <v>0</v>
      </c>
      <c r="S2339" s="156">
        <f t="shared" si="266"/>
        <v>0</v>
      </c>
      <c r="T2339" s="133"/>
      <c r="U2339" s="133"/>
      <c r="V2339" s="133"/>
      <c r="W2339" s="133"/>
      <c r="X2339" s="133"/>
      <c r="Y2339" s="133"/>
      <c r="Z2339" s="133"/>
      <c r="AA2339" s="133"/>
      <c r="AB2339" s="133"/>
      <c r="AC2339" s="133"/>
      <c r="AD2339" s="133"/>
      <c r="AE2339" s="133"/>
      <c r="AF2339" s="133"/>
      <c r="AG2339" s="133"/>
      <c r="AH2339" s="133"/>
      <c r="AI2339" s="133"/>
      <c r="AJ2339" s="133"/>
      <c r="AK2339" s="133"/>
      <c r="AL2339" s="133"/>
      <c r="AM2339" s="133"/>
      <c r="AN2339" s="133"/>
      <c r="AO2339" s="133"/>
      <c r="AP2339" s="133"/>
      <c r="AQ2339" s="133"/>
      <c r="AR2339" s="133"/>
      <c r="AS2339" s="153">
        <v>0</v>
      </c>
      <c r="AT2339" s="153">
        <v>0</v>
      </c>
      <c r="AU2339" s="153">
        <v>0</v>
      </c>
      <c r="AV2339" s="135"/>
      <c r="AW2339" s="135"/>
      <c r="AX2339" s="135"/>
      <c r="AY2339" s="135"/>
      <c r="AZ2339" s="135"/>
      <c r="BA2339" s="135"/>
      <c r="BB2339" s="135"/>
      <c r="BC2339" s="135"/>
      <c r="BD2339" s="135"/>
      <c r="BE2339" s="135"/>
      <c r="BF2339" s="135"/>
      <c r="BG2339" s="135"/>
      <c r="BH2339" s="135"/>
      <c r="BI2339" s="2"/>
      <c r="BJ2339" s="136"/>
      <c r="BK2339" s="2"/>
      <c r="BL2339" s="136"/>
      <c r="BM2339" s="136"/>
      <c r="BN2339" s="2"/>
      <c r="BO2339" s="2"/>
      <c r="BP2339" s="136"/>
      <c r="BQ2339" s="137"/>
    </row>
    <row r="2340" spans="1:69" ht="12.75" customHeight="1" x14ac:dyDescent="0.2">
      <c r="A2340" s="2">
        <v>3829</v>
      </c>
      <c r="B2340" s="2"/>
      <c r="C2340" s="2"/>
      <c r="D2340" s="2"/>
      <c r="E2340" s="2"/>
      <c r="F2340" s="132">
        <v>0</v>
      </c>
      <c r="G2340" s="132"/>
      <c r="H2340" s="132">
        <f t="shared" si="262"/>
        <v>0</v>
      </c>
      <c r="I2340" s="132"/>
      <c r="J2340" s="132">
        <f t="shared" ref="J2340:J2403" si="267">S2340</f>
        <v>0</v>
      </c>
      <c r="K2340" s="132">
        <f t="shared" si="263"/>
        <v>0</v>
      </c>
      <c r="L2340" s="132">
        <f t="shared" si="264"/>
        <v>0</v>
      </c>
      <c r="M2340" s="133"/>
      <c r="N2340" s="133">
        <f t="shared" si="261"/>
        <v>0</v>
      </c>
      <c r="O2340" s="134"/>
      <c r="P2340" s="133"/>
      <c r="Q2340" s="2"/>
      <c r="R2340" s="156">
        <f t="shared" si="265"/>
        <v>0</v>
      </c>
      <c r="S2340" s="156">
        <f t="shared" si="266"/>
        <v>0</v>
      </c>
      <c r="T2340" s="133"/>
      <c r="U2340" s="133"/>
      <c r="V2340" s="133"/>
      <c r="W2340" s="133"/>
      <c r="X2340" s="133"/>
      <c r="Y2340" s="133"/>
      <c r="Z2340" s="133"/>
      <c r="AA2340" s="133"/>
      <c r="AB2340" s="133"/>
      <c r="AC2340" s="133"/>
      <c r="AD2340" s="133"/>
      <c r="AE2340" s="133"/>
      <c r="AF2340" s="133"/>
      <c r="AG2340" s="133"/>
      <c r="AH2340" s="133"/>
      <c r="AI2340" s="133"/>
      <c r="AJ2340" s="133"/>
      <c r="AK2340" s="133"/>
      <c r="AL2340" s="133"/>
      <c r="AM2340" s="133"/>
      <c r="AN2340" s="133"/>
      <c r="AO2340" s="133"/>
      <c r="AP2340" s="133"/>
      <c r="AQ2340" s="133"/>
      <c r="AR2340" s="133"/>
      <c r="AS2340" s="153">
        <v>0</v>
      </c>
      <c r="AT2340" s="153">
        <v>0</v>
      </c>
      <c r="AU2340" s="153">
        <v>0</v>
      </c>
      <c r="AV2340" s="135"/>
      <c r="AW2340" s="135"/>
      <c r="AX2340" s="135"/>
      <c r="AY2340" s="135"/>
      <c r="AZ2340" s="135"/>
      <c r="BA2340" s="135"/>
      <c r="BB2340" s="135"/>
      <c r="BC2340" s="135"/>
      <c r="BD2340" s="135"/>
      <c r="BE2340" s="135"/>
      <c r="BF2340" s="135"/>
      <c r="BG2340" s="135"/>
      <c r="BH2340" s="135"/>
      <c r="BI2340" s="2"/>
      <c r="BJ2340" s="136"/>
      <c r="BK2340" s="2"/>
      <c r="BL2340" s="136"/>
      <c r="BM2340" s="136"/>
      <c r="BN2340" s="2"/>
      <c r="BO2340" s="2"/>
      <c r="BP2340" s="136"/>
      <c r="BQ2340" s="137"/>
    </row>
    <row r="2341" spans="1:69" ht="12.75" customHeight="1" x14ac:dyDescent="0.2">
      <c r="A2341" s="2">
        <v>3830</v>
      </c>
      <c r="B2341" s="2"/>
      <c r="C2341" s="2"/>
      <c r="D2341" s="2"/>
      <c r="E2341" s="2"/>
      <c r="F2341" s="132">
        <v>0</v>
      </c>
      <c r="G2341" s="132"/>
      <c r="H2341" s="132">
        <f t="shared" si="262"/>
        <v>0</v>
      </c>
      <c r="I2341" s="132"/>
      <c r="J2341" s="132">
        <f t="shared" si="267"/>
        <v>0</v>
      </c>
      <c r="K2341" s="132">
        <f t="shared" si="263"/>
        <v>0</v>
      </c>
      <c r="L2341" s="132">
        <f t="shared" si="264"/>
        <v>0</v>
      </c>
      <c r="M2341" s="133"/>
      <c r="N2341" s="133">
        <f t="shared" si="261"/>
        <v>0</v>
      </c>
      <c r="O2341" s="134"/>
      <c r="P2341" s="133"/>
      <c r="Q2341" s="2"/>
      <c r="R2341" s="156">
        <f t="shared" si="265"/>
        <v>0</v>
      </c>
      <c r="S2341" s="156">
        <f t="shared" si="266"/>
        <v>0</v>
      </c>
      <c r="T2341" s="133"/>
      <c r="U2341" s="133"/>
      <c r="V2341" s="133"/>
      <c r="W2341" s="133"/>
      <c r="X2341" s="133"/>
      <c r="Y2341" s="133"/>
      <c r="Z2341" s="133"/>
      <c r="AA2341" s="133"/>
      <c r="AB2341" s="133"/>
      <c r="AC2341" s="133"/>
      <c r="AD2341" s="133"/>
      <c r="AE2341" s="133"/>
      <c r="AF2341" s="133"/>
      <c r="AG2341" s="133"/>
      <c r="AH2341" s="133"/>
      <c r="AI2341" s="133"/>
      <c r="AJ2341" s="133"/>
      <c r="AK2341" s="133"/>
      <c r="AL2341" s="133"/>
      <c r="AM2341" s="133"/>
      <c r="AN2341" s="133"/>
      <c r="AO2341" s="133"/>
      <c r="AP2341" s="133"/>
      <c r="AQ2341" s="133"/>
      <c r="AR2341" s="133"/>
      <c r="AS2341" s="153">
        <v>0</v>
      </c>
      <c r="AT2341" s="153">
        <v>0</v>
      </c>
      <c r="AU2341" s="153">
        <v>0</v>
      </c>
      <c r="AV2341" s="135"/>
      <c r="AW2341" s="135"/>
      <c r="AX2341" s="135"/>
      <c r="AY2341" s="135"/>
      <c r="AZ2341" s="135"/>
      <c r="BA2341" s="135"/>
      <c r="BB2341" s="135"/>
      <c r="BC2341" s="135"/>
      <c r="BD2341" s="135"/>
      <c r="BE2341" s="135"/>
      <c r="BF2341" s="135"/>
      <c r="BG2341" s="135"/>
      <c r="BH2341" s="135"/>
      <c r="BI2341" s="2"/>
      <c r="BJ2341" s="136"/>
      <c r="BK2341" s="2"/>
      <c r="BL2341" s="136"/>
      <c r="BM2341" s="136"/>
      <c r="BN2341" s="2"/>
      <c r="BO2341" s="2"/>
      <c r="BP2341" s="136"/>
      <c r="BQ2341" s="137"/>
    </row>
    <row r="2342" spans="1:69" ht="12.75" customHeight="1" x14ac:dyDescent="0.2">
      <c r="A2342" s="2">
        <v>3831</v>
      </c>
      <c r="B2342" s="2"/>
      <c r="C2342" s="2"/>
      <c r="D2342" s="2"/>
      <c r="E2342" s="2"/>
      <c r="F2342" s="132">
        <v>0</v>
      </c>
      <c r="G2342" s="132"/>
      <c r="H2342" s="132">
        <f t="shared" si="262"/>
        <v>0</v>
      </c>
      <c r="I2342" s="132"/>
      <c r="J2342" s="132">
        <f t="shared" si="267"/>
        <v>0</v>
      </c>
      <c r="K2342" s="132">
        <f t="shared" si="263"/>
        <v>0</v>
      </c>
      <c r="L2342" s="132">
        <f t="shared" si="264"/>
        <v>0</v>
      </c>
      <c r="M2342" s="133"/>
      <c r="N2342" s="133">
        <f t="shared" si="261"/>
        <v>0</v>
      </c>
      <c r="O2342" s="134"/>
      <c r="P2342" s="133"/>
      <c r="Q2342" s="2"/>
      <c r="R2342" s="156">
        <f t="shared" si="265"/>
        <v>0</v>
      </c>
      <c r="S2342" s="156">
        <f t="shared" si="266"/>
        <v>0</v>
      </c>
      <c r="T2342" s="133"/>
      <c r="U2342" s="133"/>
      <c r="V2342" s="133"/>
      <c r="W2342" s="133"/>
      <c r="X2342" s="133"/>
      <c r="Y2342" s="133"/>
      <c r="Z2342" s="133"/>
      <c r="AA2342" s="133"/>
      <c r="AB2342" s="133"/>
      <c r="AC2342" s="133"/>
      <c r="AD2342" s="133"/>
      <c r="AE2342" s="133"/>
      <c r="AF2342" s="133"/>
      <c r="AG2342" s="133"/>
      <c r="AH2342" s="133"/>
      <c r="AI2342" s="133"/>
      <c r="AJ2342" s="133"/>
      <c r="AK2342" s="133"/>
      <c r="AL2342" s="133"/>
      <c r="AM2342" s="133"/>
      <c r="AN2342" s="133"/>
      <c r="AO2342" s="133"/>
      <c r="AP2342" s="133"/>
      <c r="AQ2342" s="133"/>
      <c r="AR2342" s="133"/>
      <c r="AS2342" s="153">
        <v>0</v>
      </c>
      <c r="AT2342" s="153">
        <v>0</v>
      </c>
      <c r="AU2342" s="153">
        <v>0</v>
      </c>
      <c r="AV2342" s="135"/>
      <c r="AW2342" s="135"/>
      <c r="AX2342" s="135"/>
      <c r="AY2342" s="135"/>
      <c r="AZ2342" s="135"/>
      <c r="BA2342" s="135"/>
      <c r="BB2342" s="135"/>
      <c r="BC2342" s="135"/>
      <c r="BD2342" s="135"/>
      <c r="BE2342" s="135"/>
      <c r="BF2342" s="135"/>
      <c r="BG2342" s="135"/>
      <c r="BH2342" s="135"/>
      <c r="BI2342" s="2"/>
      <c r="BJ2342" s="136"/>
      <c r="BK2342" s="2"/>
      <c r="BL2342" s="136"/>
      <c r="BM2342" s="136"/>
      <c r="BN2342" s="2"/>
      <c r="BO2342" s="2"/>
      <c r="BP2342" s="136"/>
      <c r="BQ2342" s="137"/>
    </row>
    <row r="2343" spans="1:69" ht="12.75" customHeight="1" x14ac:dyDescent="0.2">
      <c r="A2343" s="2">
        <v>3832</v>
      </c>
      <c r="B2343" s="2"/>
      <c r="C2343" s="2"/>
      <c r="D2343" s="2"/>
      <c r="E2343" s="2"/>
      <c r="F2343" s="132">
        <v>0</v>
      </c>
      <c r="G2343" s="132"/>
      <c r="H2343" s="132">
        <f t="shared" si="262"/>
        <v>0</v>
      </c>
      <c r="I2343" s="132"/>
      <c r="J2343" s="132">
        <f t="shared" si="267"/>
        <v>0</v>
      </c>
      <c r="K2343" s="132">
        <f t="shared" si="263"/>
        <v>0</v>
      </c>
      <c r="L2343" s="132">
        <f t="shared" si="264"/>
        <v>0</v>
      </c>
      <c r="M2343" s="133"/>
      <c r="N2343" s="133">
        <f t="shared" si="261"/>
        <v>0</v>
      </c>
      <c r="O2343" s="134"/>
      <c r="P2343" s="133"/>
      <c r="Q2343" s="2"/>
      <c r="R2343" s="156">
        <f t="shared" si="265"/>
        <v>0</v>
      </c>
      <c r="S2343" s="156">
        <f t="shared" si="266"/>
        <v>0</v>
      </c>
      <c r="T2343" s="133"/>
      <c r="U2343" s="133"/>
      <c r="V2343" s="133"/>
      <c r="W2343" s="133"/>
      <c r="X2343" s="133"/>
      <c r="Y2343" s="133"/>
      <c r="Z2343" s="133"/>
      <c r="AA2343" s="133"/>
      <c r="AB2343" s="133"/>
      <c r="AC2343" s="133"/>
      <c r="AD2343" s="133"/>
      <c r="AE2343" s="133"/>
      <c r="AF2343" s="133"/>
      <c r="AG2343" s="133"/>
      <c r="AH2343" s="133"/>
      <c r="AI2343" s="133"/>
      <c r="AJ2343" s="133"/>
      <c r="AK2343" s="133"/>
      <c r="AL2343" s="133"/>
      <c r="AM2343" s="133"/>
      <c r="AN2343" s="133"/>
      <c r="AO2343" s="133"/>
      <c r="AP2343" s="133"/>
      <c r="AQ2343" s="133"/>
      <c r="AR2343" s="133"/>
      <c r="AS2343" s="153">
        <v>0</v>
      </c>
      <c r="AT2343" s="153">
        <v>0</v>
      </c>
      <c r="AU2343" s="153">
        <v>0</v>
      </c>
      <c r="AV2343" s="135"/>
      <c r="AW2343" s="135"/>
      <c r="AX2343" s="135"/>
      <c r="AY2343" s="135"/>
      <c r="AZ2343" s="135"/>
      <c r="BA2343" s="135"/>
      <c r="BB2343" s="135"/>
      <c r="BC2343" s="135"/>
      <c r="BD2343" s="135"/>
      <c r="BE2343" s="135"/>
      <c r="BF2343" s="135"/>
      <c r="BG2343" s="135"/>
      <c r="BH2343" s="135"/>
      <c r="BI2343" s="2"/>
      <c r="BJ2343" s="136"/>
      <c r="BK2343" s="2"/>
      <c r="BL2343" s="136"/>
      <c r="BM2343" s="136"/>
      <c r="BN2343" s="2"/>
      <c r="BO2343" s="2"/>
      <c r="BP2343" s="136"/>
      <c r="BQ2343" s="137"/>
    </row>
    <row r="2344" spans="1:69" ht="12.75" customHeight="1" x14ac:dyDescent="0.2">
      <c r="A2344" s="2">
        <v>3833</v>
      </c>
      <c r="B2344" s="2"/>
      <c r="C2344" s="2"/>
      <c r="D2344" s="2"/>
      <c r="E2344" s="2"/>
      <c r="F2344" s="132">
        <v>0</v>
      </c>
      <c r="G2344" s="132"/>
      <c r="H2344" s="132">
        <f t="shared" si="262"/>
        <v>0</v>
      </c>
      <c r="I2344" s="132"/>
      <c r="J2344" s="132">
        <f t="shared" si="267"/>
        <v>0</v>
      </c>
      <c r="K2344" s="132">
        <f t="shared" si="263"/>
        <v>0</v>
      </c>
      <c r="L2344" s="132">
        <f t="shared" si="264"/>
        <v>0</v>
      </c>
      <c r="M2344" s="133"/>
      <c r="N2344" s="133">
        <f t="shared" si="261"/>
        <v>0</v>
      </c>
      <c r="O2344" s="134"/>
      <c r="P2344" s="133"/>
      <c r="Q2344" s="2"/>
      <c r="R2344" s="156">
        <f t="shared" si="265"/>
        <v>0</v>
      </c>
      <c r="S2344" s="156">
        <f t="shared" si="266"/>
        <v>0</v>
      </c>
      <c r="T2344" s="133"/>
      <c r="U2344" s="133"/>
      <c r="V2344" s="133"/>
      <c r="W2344" s="133"/>
      <c r="X2344" s="133"/>
      <c r="Y2344" s="133"/>
      <c r="Z2344" s="133"/>
      <c r="AA2344" s="133"/>
      <c r="AB2344" s="133"/>
      <c r="AC2344" s="133"/>
      <c r="AD2344" s="133"/>
      <c r="AE2344" s="133"/>
      <c r="AF2344" s="133"/>
      <c r="AG2344" s="133"/>
      <c r="AH2344" s="133"/>
      <c r="AI2344" s="133"/>
      <c r="AJ2344" s="133"/>
      <c r="AK2344" s="133"/>
      <c r="AL2344" s="133"/>
      <c r="AM2344" s="133"/>
      <c r="AN2344" s="133"/>
      <c r="AO2344" s="133"/>
      <c r="AP2344" s="133"/>
      <c r="AQ2344" s="133"/>
      <c r="AR2344" s="133"/>
      <c r="AS2344" s="153">
        <v>0</v>
      </c>
      <c r="AT2344" s="153">
        <v>0</v>
      </c>
      <c r="AU2344" s="153">
        <v>0</v>
      </c>
      <c r="AV2344" s="135"/>
      <c r="AW2344" s="135"/>
      <c r="AX2344" s="135"/>
      <c r="AY2344" s="135"/>
      <c r="AZ2344" s="135"/>
      <c r="BA2344" s="135"/>
      <c r="BB2344" s="135"/>
      <c r="BC2344" s="135"/>
      <c r="BD2344" s="135"/>
      <c r="BE2344" s="135"/>
      <c r="BF2344" s="135"/>
      <c r="BG2344" s="135"/>
      <c r="BH2344" s="135"/>
      <c r="BI2344" s="2"/>
      <c r="BJ2344" s="136"/>
      <c r="BK2344" s="2"/>
      <c r="BL2344" s="136"/>
      <c r="BM2344" s="136"/>
      <c r="BN2344" s="2"/>
      <c r="BO2344" s="2"/>
      <c r="BP2344" s="136"/>
      <c r="BQ2344" s="137"/>
    </row>
    <row r="2345" spans="1:69" ht="12.75" customHeight="1" x14ac:dyDescent="0.2">
      <c r="A2345" s="2">
        <v>3834</v>
      </c>
      <c r="B2345" s="2"/>
      <c r="C2345" s="2"/>
      <c r="D2345" s="2"/>
      <c r="E2345" s="2"/>
      <c r="F2345" s="132">
        <v>0</v>
      </c>
      <c r="G2345" s="132"/>
      <c r="H2345" s="132">
        <f t="shared" si="262"/>
        <v>0</v>
      </c>
      <c r="I2345" s="132"/>
      <c r="J2345" s="132">
        <f t="shared" si="267"/>
        <v>0</v>
      </c>
      <c r="K2345" s="132">
        <f t="shared" si="263"/>
        <v>0</v>
      </c>
      <c r="L2345" s="132">
        <f t="shared" si="264"/>
        <v>0</v>
      </c>
      <c r="M2345" s="133"/>
      <c r="N2345" s="133">
        <f t="shared" si="261"/>
        <v>0</v>
      </c>
      <c r="O2345" s="134"/>
      <c r="P2345" s="133"/>
      <c r="Q2345" s="2"/>
      <c r="R2345" s="156">
        <f t="shared" si="265"/>
        <v>0</v>
      </c>
      <c r="S2345" s="156">
        <f t="shared" si="266"/>
        <v>0</v>
      </c>
      <c r="T2345" s="133"/>
      <c r="U2345" s="133"/>
      <c r="V2345" s="133"/>
      <c r="W2345" s="133"/>
      <c r="X2345" s="133"/>
      <c r="Y2345" s="133"/>
      <c r="Z2345" s="133"/>
      <c r="AA2345" s="133"/>
      <c r="AB2345" s="133"/>
      <c r="AC2345" s="133"/>
      <c r="AD2345" s="133"/>
      <c r="AE2345" s="133"/>
      <c r="AF2345" s="133"/>
      <c r="AG2345" s="133"/>
      <c r="AH2345" s="133"/>
      <c r="AI2345" s="133"/>
      <c r="AJ2345" s="133"/>
      <c r="AK2345" s="133"/>
      <c r="AL2345" s="133"/>
      <c r="AM2345" s="133"/>
      <c r="AN2345" s="133"/>
      <c r="AO2345" s="133"/>
      <c r="AP2345" s="133"/>
      <c r="AQ2345" s="133"/>
      <c r="AR2345" s="133"/>
      <c r="AS2345" s="153">
        <v>0</v>
      </c>
      <c r="AT2345" s="153">
        <v>0</v>
      </c>
      <c r="AU2345" s="153">
        <v>0</v>
      </c>
      <c r="AV2345" s="135"/>
      <c r="AW2345" s="135"/>
      <c r="AX2345" s="135"/>
      <c r="AY2345" s="135"/>
      <c r="AZ2345" s="135"/>
      <c r="BA2345" s="135"/>
      <c r="BB2345" s="135"/>
      <c r="BC2345" s="135"/>
      <c r="BD2345" s="135"/>
      <c r="BE2345" s="135"/>
      <c r="BF2345" s="135"/>
      <c r="BG2345" s="135"/>
      <c r="BH2345" s="135"/>
      <c r="BI2345" s="2"/>
      <c r="BJ2345" s="136"/>
      <c r="BK2345" s="2"/>
      <c r="BL2345" s="136"/>
      <c r="BM2345" s="136"/>
      <c r="BN2345" s="2"/>
      <c r="BO2345" s="2"/>
      <c r="BP2345" s="136"/>
      <c r="BQ2345" s="137"/>
    </row>
    <row r="2346" spans="1:69" ht="12.75" customHeight="1" x14ac:dyDescent="0.2">
      <c r="A2346" s="2">
        <v>3835</v>
      </c>
      <c r="B2346" s="2"/>
      <c r="C2346" s="2"/>
      <c r="D2346" s="2"/>
      <c r="E2346" s="2"/>
      <c r="F2346" s="132">
        <v>0</v>
      </c>
      <c r="G2346" s="132"/>
      <c r="H2346" s="132">
        <f t="shared" si="262"/>
        <v>0</v>
      </c>
      <c r="I2346" s="132"/>
      <c r="J2346" s="132">
        <f t="shared" si="267"/>
        <v>0</v>
      </c>
      <c r="K2346" s="132">
        <f t="shared" si="263"/>
        <v>0</v>
      </c>
      <c r="L2346" s="132">
        <f t="shared" si="264"/>
        <v>0</v>
      </c>
      <c r="M2346" s="133"/>
      <c r="N2346" s="133">
        <f t="shared" ref="N2346:N2409" si="268">IF(OR(BK2346="принят",BK2346="Завершено",BK2346="ПриПро"),H2346-J2346,F2346-J2346)</f>
        <v>0</v>
      </c>
      <c r="O2346" s="134"/>
      <c r="P2346" s="133"/>
      <c r="Q2346" s="2"/>
      <c r="R2346" s="156">
        <f t="shared" si="265"/>
        <v>0</v>
      </c>
      <c r="S2346" s="156">
        <f t="shared" si="266"/>
        <v>0</v>
      </c>
      <c r="T2346" s="133"/>
      <c r="U2346" s="133"/>
      <c r="V2346" s="133"/>
      <c r="W2346" s="133"/>
      <c r="X2346" s="133"/>
      <c r="Y2346" s="133"/>
      <c r="Z2346" s="133"/>
      <c r="AA2346" s="133"/>
      <c r="AB2346" s="133"/>
      <c r="AC2346" s="133"/>
      <c r="AD2346" s="133"/>
      <c r="AE2346" s="133"/>
      <c r="AF2346" s="133"/>
      <c r="AG2346" s="133"/>
      <c r="AH2346" s="133"/>
      <c r="AI2346" s="133"/>
      <c r="AJ2346" s="133"/>
      <c r="AK2346" s="133"/>
      <c r="AL2346" s="133"/>
      <c r="AM2346" s="133"/>
      <c r="AN2346" s="133"/>
      <c r="AO2346" s="133"/>
      <c r="AP2346" s="133"/>
      <c r="AQ2346" s="133"/>
      <c r="AR2346" s="133"/>
      <c r="AS2346" s="153">
        <v>0</v>
      </c>
      <c r="AT2346" s="153">
        <v>0</v>
      </c>
      <c r="AU2346" s="153">
        <v>0</v>
      </c>
      <c r="AV2346" s="135"/>
      <c r="AW2346" s="135"/>
      <c r="AX2346" s="135"/>
      <c r="AY2346" s="135"/>
      <c r="AZ2346" s="135"/>
      <c r="BA2346" s="135"/>
      <c r="BB2346" s="135"/>
      <c r="BC2346" s="135"/>
      <c r="BD2346" s="135"/>
      <c r="BE2346" s="135"/>
      <c r="BF2346" s="135"/>
      <c r="BG2346" s="135"/>
      <c r="BH2346" s="135"/>
      <c r="BI2346" s="2"/>
      <c r="BJ2346" s="136"/>
      <c r="BK2346" s="2"/>
      <c r="BL2346" s="136"/>
      <c r="BM2346" s="136"/>
      <c r="BN2346" s="2"/>
      <c r="BO2346" s="2"/>
      <c r="BP2346" s="136"/>
      <c r="BQ2346" s="137"/>
    </row>
    <row r="2347" spans="1:69" ht="12.75" customHeight="1" x14ac:dyDescent="0.2">
      <c r="A2347" s="2">
        <v>3836</v>
      </c>
      <c r="B2347" s="2"/>
      <c r="C2347" s="2"/>
      <c r="D2347" s="2"/>
      <c r="E2347" s="2"/>
      <c r="F2347" s="132">
        <v>0</v>
      </c>
      <c r="G2347" s="132"/>
      <c r="H2347" s="132">
        <f t="shared" si="262"/>
        <v>0</v>
      </c>
      <c r="I2347" s="132"/>
      <c r="J2347" s="132">
        <f t="shared" si="267"/>
        <v>0</v>
      </c>
      <c r="K2347" s="132">
        <f t="shared" si="263"/>
        <v>0</v>
      </c>
      <c r="L2347" s="132">
        <f t="shared" si="264"/>
        <v>0</v>
      </c>
      <c r="M2347" s="133"/>
      <c r="N2347" s="133">
        <f t="shared" si="268"/>
        <v>0</v>
      </c>
      <c r="O2347" s="134"/>
      <c r="P2347" s="133"/>
      <c r="Q2347" s="2"/>
      <c r="R2347" s="156">
        <f t="shared" si="265"/>
        <v>0</v>
      </c>
      <c r="S2347" s="156">
        <f t="shared" si="266"/>
        <v>0</v>
      </c>
      <c r="T2347" s="133"/>
      <c r="U2347" s="133"/>
      <c r="V2347" s="133"/>
      <c r="W2347" s="133"/>
      <c r="X2347" s="133"/>
      <c r="Y2347" s="133"/>
      <c r="Z2347" s="133"/>
      <c r="AA2347" s="133"/>
      <c r="AB2347" s="133"/>
      <c r="AC2347" s="133"/>
      <c r="AD2347" s="133"/>
      <c r="AE2347" s="133"/>
      <c r="AF2347" s="133"/>
      <c r="AG2347" s="133"/>
      <c r="AH2347" s="133"/>
      <c r="AI2347" s="133"/>
      <c r="AJ2347" s="133"/>
      <c r="AK2347" s="133"/>
      <c r="AL2347" s="133"/>
      <c r="AM2347" s="133"/>
      <c r="AN2347" s="133"/>
      <c r="AO2347" s="133"/>
      <c r="AP2347" s="133"/>
      <c r="AQ2347" s="133"/>
      <c r="AR2347" s="133"/>
      <c r="AS2347" s="153">
        <v>0</v>
      </c>
      <c r="AT2347" s="153">
        <v>0</v>
      </c>
      <c r="AU2347" s="153">
        <v>0</v>
      </c>
      <c r="AV2347" s="135"/>
      <c r="AW2347" s="135"/>
      <c r="AX2347" s="135"/>
      <c r="AY2347" s="135"/>
      <c r="AZ2347" s="135"/>
      <c r="BA2347" s="135"/>
      <c r="BB2347" s="135"/>
      <c r="BC2347" s="135"/>
      <c r="BD2347" s="135"/>
      <c r="BE2347" s="135"/>
      <c r="BF2347" s="135"/>
      <c r="BG2347" s="135"/>
      <c r="BH2347" s="135"/>
      <c r="BI2347" s="2"/>
      <c r="BJ2347" s="136"/>
      <c r="BK2347" s="2"/>
      <c r="BL2347" s="136"/>
      <c r="BM2347" s="136"/>
      <c r="BN2347" s="2"/>
      <c r="BO2347" s="2"/>
      <c r="BP2347" s="136"/>
      <c r="BQ2347" s="137"/>
    </row>
    <row r="2348" spans="1:69" ht="12.75" customHeight="1" x14ac:dyDescent="0.2">
      <c r="A2348" s="2">
        <v>3837</v>
      </c>
      <c r="B2348" s="2"/>
      <c r="C2348" s="2"/>
      <c r="D2348" s="2"/>
      <c r="E2348" s="2"/>
      <c r="F2348" s="132">
        <v>0</v>
      </c>
      <c r="G2348" s="132"/>
      <c r="H2348" s="132">
        <f t="shared" si="262"/>
        <v>0</v>
      </c>
      <c r="I2348" s="132"/>
      <c r="J2348" s="132">
        <f t="shared" si="267"/>
        <v>0</v>
      </c>
      <c r="K2348" s="132">
        <f t="shared" si="263"/>
        <v>0</v>
      </c>
      <c r="L2348" s="132">
        <f t="shared" si="264"/>
        <v>0</v>
      </c>
      <c r="M2348" s="133"/>
      <c r="N2348" s="133">
        <f t="shared" si="268"/>
        <v>0</v>
      </c>
      <c r="O2348" s="134"/>
      <c r="P2348" s="133"/>
      <c r="Q2348" s="2"/>
      <c r="R2348" s="156">
        <f t="shared" si="265"/>
        <v>0</v>
      </c>
      <c r="S2348" s="156">
        <f t="shared" si="266"/>
        <v>0</v>
      </c>
      <c r="T2348" s="133"/>
      <c r="U2348" s="133"/>
      <c r="V2348" s="133"/>
      <c r="W2348" s="133"/>
      <c r="X2348" s="133"/>
      <c r="Y2348" s="133"/>
      <c r="Z2348" s="133"/>
      <c r="AA2348" s="133"/>
      <c r="AB2348" s="133"/>
      <c r="AC2348" s="133"/>
      <c r="AD2348" s="133"/>
      <c r="AE2348" s="133"/>
      <c r="AF2348" s="133"/>
      <c r="AG2348" s="133"/>
      <c r="AH2348" s="133"/>
      <c r="AI2348" s="133"/>
      <c r="AJ2348" s="133"/>
      <c r="AK2348" s="133"/>
      <c r="AL2348" s="133"/>
      <c r="AM2348" s="133"/>
      <c r="AN2348" s="133"/>
      <c r="AO2348" s="133"/>
      <c r="AP2348" s="133"/>
      <c r="AQ2348" s="133"/>
      <c r="AR2348" s="133"/>
      <c r="AS2348" s="153">
        <v>0</v>
      </c>
      <c r="AT2348" s="153">
        <v>0</v>
      </c>
      <c r="AU2348" s="153">
        <v>0</v>
      </c>
      <c r="AV2348" s="135"/>
      <c r="AW2348" s="135"/>
      <c r="AX2348" s="135"/>
      <c r="AY2348" s="135"/>
      <c r="AZ2348" s="135"/>
      <c r="BA2348" s="135"/>
      <c r="BB2348" s="135"/>
      <c r="BC2348" s="135"/>
      <c r="BD2348" s="135"/>
      <c r="BE2348" s="135"/>
      <c r="BF2348" s="135"/>
      <c r="BG2348" s="135"/>
      <c r="BH2348" s="135"/>
      <c r="BI2348" s="2"/>
      <c r="BJ2348" s="136"/>
      <c r="BK2348" s="2"/>
      <c r="BL2348" s="136"/>
      <c r="BM2348" s="136"/>
      <c r="BN2348" s="2"/>
      <c r="BO2348" s="2"/>
      <c r="BP2348" s="136"/>
      <c r="BQ2348" s="137"/>
    </row>
    <row r="2349" spans="1:69" ht="12.75" customHeight="1" x14ac:dyDescent="0.2">
      <c r="A2349" s="2">
        <v>3838</v>
      </c>
      <c r="B2349" s="2"/>
      <c r="C2349" s="2"/>
      <c r="D2349" s="2"/>
      <c r="E2349" s="2"/>
      <c r="F2349" s="132">
        <v>0</v>
      </c>
      <c r="G2349" s="132"/>
      <c r="H2349" s="132">
        <f t="shared" si="262"/>
        <v>0</v>
      </c>
      <c r="I2349" s="132"/>
      <c r="J2349" s="132">
        <f t="shared" si="267"/>
        <v>0</v>
      </c>
      <c r="K2349" s="132">
        <f t="shared" si="263"/>
        <v>0</v>
      </c>
      <c r="L2349" s="132">
        <f t="shared" si="264"/>
        <v>0</v>
      </c>
      <c r="M2349" s="133"/>
      <c r="N2349" s="133">
        <f t="shared" si="268"/>
        <v>0</v>
      </c>
      <c r="O2349" s="134"/>
      <c r="P2349" s="133"/>
      <c r="Q2349" s="2"/>
      <c r="R2349" s="156">
        <f t="shared" si="265"/>
        <v>0</v>
      </c>
      <c r="S2349" s="156">
        <f t="shared" si="266"/>
        <v>0</v>
      </c>
      <c r="T2349" s="133"/>
      <c r="U2349" s="133"/>
      <c r="V2349" s="133"/>
      <c r="W2349" s="133"/>
      <c r="X2349" s="133"/>
      <c r="Y2349" s="133"/>
      <c r="Z2349" s="133"/>
      <c r="AA2349" s="133"/>
      <c r="AB2349" s="133"/>
      <c r="AC2349" s="133"/>
      <c r="AD2349" s="133"/>
      <c r="AE2349" s="133"/>
      <c r="AF2349" s="133"/>
      <c r="AG2349" s="133"/>
      <c r="AH2349" s="133"/>
      <c r="AI2349" s="133"/>
      <c r="AJ2349" s="133"/>
      <c r="AK2349" s="133"/>
      <c r="AL2349" s="133"/>
      <c r="AM2349" s="133"/>
      <c r="AN2349" s="133"/>
      <c r="AO2349" s="133"/>
      <c r="AP2349" s="133"/>
      <c r="AQ2349" s="133"/>
      <c r="AR2349" s="133"/>
      <c r="AS2349" s="153">
        <v>0</v>
      </c>
      <c r="AT2349" s="153">
        <v>0</v>
      </c>
      <c r="AU2349" s="153">
        <v>0</v>
      </c>
      <c r="AV2349" s="135"/>
      <c r="AW2349" s="135"/>
      <c r="AX2349" s="135"/>
      <c r="AY2349" s="135"/>
      <c r="AZ2349" s="135"/>
      <c r="BA2349" s="135"/>
      <c r="BB2349" s="135"/>
      <c r="BC2349" s="135"/>
      <c r="BD2349" s="135"/>
      <c r="BE2349" s="135"/>
      <c r="BF2349" s="135"/>
      <c r="BG2349" s="135"/>
      <c r="BH2349" s="135"/>
      <c r="BI2349" s="2"/>
      <c r="BJ2349" s="136"/>
      <c r="BK2349" s="2"/>
      <c r="BL2349" s="136"/>
      <c r="BM2349" s="136"/>
      <c r="BN2349" s="2"/>
      <c r="BO2349" s="2"/>
      <c r="BP2349" s="136"/>
      <c r="BQ2349" s="137"/>
    </row>
    <row r="2350" spans="1:69" ht="12.75" customHeight="1" x14ac:dyDescent="0.2">
      <c r="A2350" s="2">
        <v>3839</v>
      </c>
      <c r="B2350" s="2"/>
      <c r="C2350" s="2"/>
      <c r="D2350" s="2"/>
      <c r="E2350" s="2"/>
      <c r="F2350" s="132">
        <v>0</v>
      </c>
      <c r="G2350" s="132"/>
      <c r="H2350" s="132">
        <f t="shared" ref="H2350:H2413" si="269">R2350</f>
        <v>0</v>
      </c>
      <c r="I2350" s="132"/>
      <c r="J2350" s="132">
        <f t="shared" si="267"/>
        <v>0</v>
      </c>
      <c r="K2350" s="132">
        <f t="shared" si="263"/>
        <v>0</v>
      </c>
      <c r="L2350" s="132">
        <f t="shared" si="264"/>
        <v>0</v>
      </c>
      <c r="M2350" s="133"/>
      <c r="N2350" s="133">
        <f t="shared" si="268"/>
        <v>0</v>
      </c>
      <c r="O2350" s="134"/>
      <c r="P2350" s="133"/>
      <c r="Q2350" s="2"/>
      <c r="R2350" s="156">
        <f t="shared" si="265"/>
        <v>0</v>
      </c>
      <c r="S2350" s="156">
        <f t="shared" si="266"/>
        <v>0</v>
      </c>
      <c r="T2350" s="133"/>
      <c r="U2350" s="133"/>
      <c r="V2350" s="133"/>
      <c r="W2350" s="133"/>
      <c r="X2350" s="133"/>
      <c r="Y2350" s="133"/>
      <c r="Z2350" s="133"/>
      <c r="AA2350" s="133"/>
      <c r="AB2350" s="133"/>
      <c r="AC2350" s="133"/>
      <c r="AD2350" s="133"/>
      <c r="AE2350" s="133"/>
      <c r="AF2350" s="133"/>
      <c r="AG2350" s="133"/>
      <c r="AH2350" s="133"/>
      <c r="AI2350" s="133"/>
      <c r="AJ2350" s="133"/>
      <c r="AK2350" s="133"/>
      <c r="AL2350" s="133"/>
      <c r="AM2350" s="133"/>
      <c r="AN2350" s="133"/>
      <c r="AO2350" s="133"/>
      <c r="AP2350" s="133"/>
      <c r="AQ2350" s="133"/>
      <c r="AR2350" s="133"/>
      <c r="AS2350" s="153">
        <v>0</v>
      </c>
      <c r="AT2350" s="153">
        <v>0</v>
      </c>
      <c r="AU2350" s="153">
        <v>0</v>
      </c>
      <c r="AV2350" s="135"/>
      <c r="AW2350" s="135"/>
      <c r="AX2350" s="135"/>
      <c r="AY2350" s="135"/>
      <c r="AZ2350" s="135"/>
      <c r="BA2350" s="135"/>
      <c r="BB2350" s="135"/>
      <c r="BC2350" s="135"/>
      <c r="BD2350" s="135"/>
      <c r="BE2350" s="135"/>
      <c r="BF2350" s="135"/>
      <c r="BG2350" s="135"/>
      <c r="BH2350" s="135"/>
      <c r="BI2350" s="2"/>
      <c r="BJ2350" s="136"/>
      <c r="BK2350" s="2"/>
      <c r="BL2350" s="136"/>
      <c r="BM2350" s="136"/>
      <c r="BN2350" s="2"/>
      <c r="BO2350" s="2"/>
      <c r="BP2350" s="136"/>
      <c r="BQ2350" s="137"/>
    </row>
    <row r="2351" spans="1:69" ht="12.75" customHeight="1" x14ac:dyDescent="0.2">
      <c r="A2351" s="2">
        <v>3840</v>
      </c>
      <c r="B2351" s="2"/>
      <c r="C2351" s="2"/>
      <c r="D2351" s="2"/>
      <c r="E2351" s="2"/>
      <c r="F2351" s="132">
        <v>0</v>
      </c>
      <c r="G2351" s="132"/>
      <c r="H2351" s="132">
        <f t="shared" si="269"/>
        <v>0</v>
      </c>
      <c r="I2351" s="132"/>
      <c r="J2351" s="132">
        <f t="shared" si="267"/>
        <v>0</v>
      </c>
      <c r="K2351" s="132">
        <f t="shared" si="263"/>
        <v>0</v>
      </c>
      <c r="L2351" s="132">
        <f t="shared" si="264"/>
        <v>0</v>
      </c>
      <c r="M2351" s="133"/>
      <c r="N2351" s="133">
        <f t="shared" si="268"/>
        <v>0</v>
      </c>
      <c r="O2351" s="134"/>
      <c r="P2351" s="133"/>
      <c r="Q2351" s="2"/>
      <c r="R2351" s="156">
        <f t="shared" si="265"/>
        <v>0</v>
      </c>
      <c r="S2351" s="156">
        <f t="shared" si="266"/>
        <v>0</v>
      </c>
      <c r="T2351" s="133"/>
      <c r="U2351" s="133"/>
      <c r="V2351" s="133"/>
      <c r="W2351" s="133"/>
      <c r="X2351" s="133"/>
      <c r="Y2351" s="133"/>
      <c r="Z2351" s="133"/>
      <c r="AA2351" s="133"/>
      <c r="AB2351" s="133"/>
      <c r="AC2351" s="133"/>
      <c r="AD2351" s="133"/>
      <c r="AE2351" s="133"/>
      <c r="AF2351" s="133"/>
      <c r="AG2351" s="133"/>
      <c r="AH2351" s="133"/>
      <c r="AI2351" s="133"/>
      <c r="AJ2351" s="133"/>
      <c r="AK2351" s="133"/>
      <c r="AL2351" s="133"/>
      <c r="AM2351" s="133"/>
      <c r="AN2351" s="133"/>
      <c r="AO2351" s="133"/>
      <c r="AP2351" s="133"/>
      <c r="AQ2351" s="133"/>
      <c r="AR2351" s="133"/>
      <c r="AS2351" s="153">
        <v>0</v>
      </c>
      <c r="AT2351" s="153">
        <v>0</v>
      </c>
      <c r="AU2351" s="153">
        <v>0</v>
      </c>
      <c r="AV2351" s="135"/>
      <c r="AW2351" s="135"/>
      <c r="AX2351" s="135"/>
      <c r="AY2351" s="135"/>
      <c r="AZ2351" s="135"/>
      <c r="BA2351" s="135"/>
      <c r="BB2351" s="135"/>
      <c r="BC2351" s="135"/>
      <c r="BD2351" s="135"/>
      <c r="BE2351" s="135"/>
      <c r="BF2351" s="135"/>
      <c r="BG2351" s="135"/>
      <c r="BH2351" s="135"/>
      <c r="BI2351" s="2"/>
      <c r="BJ2351" s="136"/>
      <c r="BK2351" s="2"/>
      <c r="BL2351" s="136"/>
      <c r="BM2351" s="136"/>
      <c r="BN2351" s="2"/>
      <c r="BO2351" s="2"/>
      <c r="BP2351" s="136"/>
      <c r="BQ2351" s="137"/>
    </row>
    <row r="2352" spans="1:69" ht="12.75" customHeight="1" x14ac:dyDescent="0.2">
      <c r="A2352" s="2">
        <v>3841</v>
      </c>
      <c r="B2352" s="2"/>
      <c r="C2352" s="2"/>
      <c r="D2352" s="2"/>
      <c r="E2352" s="2"/>
      <c r="F2352" s="132">
        <v>0</v>
      </c>
      <c r="G2352" s="132"/>
      <c r="H2352" s="132">
        <f t="shared" si="269"/>
        <v>0</v>
      </c>
      <c r="I2352" s="132"/>
      <c r="J2352" s="132">
        <f t="shared" si="267"/>
        <v>0</v>
      </c>
      <c r="K2352" s="132">
        <f t="shared" si="263"/>
        <v>0</v>
      </c>
      <c r="L2352" s="132">
        <f t="shared" si="264"/>
        <v>0</v>
      </c>
      <c r="M2352" s="133"/>
      <c r="N2352" s="133">
        <f t="shared" si="268"/>
        <v>0</v>
      </c>
      <c r="O2352" s="134"/>
      <c r="P2352" s="133"/>
      <c r="Q2352" s="2"/>
      <c r="R2352" s="156">
        <f t="shared" si="265"/>
        <v>0</v>
      </c>
      <c r="S2352" s="156">
        <f t="shared" si="266"/>
        <v>0</v>
      </c>
      <c r="T2352" s="133"/>
      <c r="U2352" s="133"/>
      <c r="V2352" s="133"/>
      <c r="W2352" s="133"/>
      <c r="X2352" s="133"/>
      <c r="Y2352" s="133"/>
      <c r="Z2352" s="133"/>
      <c r="AA2352" s="133"/>
      <c r="AB2352" s="133"/>
      <c r="AC2352" s="133"/>
      <c r="AD2352" s="133"/>
      <c r="AE2352" s="133"/>
      <c r="AF2352" s="133"/>
      <c r="AG2352" s="133"/>
      <c r="AH2352" s="133"/>
      <c r="AI2352" s="133"/>
      <c r="AJ2352" s="133"/>
      <c r="AK2352" s="133"/>
      <c r="AL2352" s="133"/>
      <c r="AM2352" s="133"/>
      <c r="AN2352" s="133"/>
      <c r="AO2352" s="133"/>
      <c r="AP2352" s="133"/>
      <c r="AQ2352" s="133"/>
      <c r="AR2352" s="133"/>
      <c r="AS2352" s="153">
        <v>0</v>
      </c>
      <c r="AT2352" s="153">
        <v>0</v>
      </c>
      <c r="AU2352" s="153">
        <v>0</v>
      </c>
      <c r="AV2352" s="135"/>
      <c r="AW2352" s="135"/>
      <c r="AX2352" s="135"/>
      <c r="AY2352" s="135"/>
      <c r="AZ2352" s="135"/>
      <c r="BA2352" s="135"/>
      <c r="BB2352" s="135"/>
      <c r="BC2352" s="135"/>
      <c r="BD2352" s="135"/>
      <c r="BE2352" s="135"/>
      <c r="BF2352" s="135"/>
      <c r="BG2352" s="135"/>
      <c r="BH2352" s="135"/>
      <c r="BI2352" s="2"/>
      <c r="BJ2352" s="136"/>
      <c r="BK2352" s="2"/>
      <c r="BL2352" s="136"/>
      <c r="BM2352" s="136"/>
      <c r="BN2352" s="2"/>
      <c r="BO2352" s="2"/>
      <c r="BP2352" s="136"/>
      <c r="BQ2352" s="137"/>
    </row>
    <row r="2353" spans="1:69" ht="12.75" customHeight="1" x14ac:dyDescent="0.2">
      <c r="A2353" s="2">
        <v>3842</v>
      </c>
      <c r="B2353" s="2"/>
      <c r="C2353" s="2"/>
      <c r="D2353" s="2"/>
      <c r="E2353" s="2"/>
      <c r="F2353" s="132">
        <v>0</v>
      </c>
      <c r="G2353" s="132"/>
      <c r="H2353" s="132">
        <f t="shared" si="269"/>
        <v>0</v>
      </c>
      <c r="I2353" s="132"/>
      <c r="J2353" s="132">
        <f t="shared" si="267"/>
        <v>0</v>
      </c>
      <c r="K2353" s="132">
        <f t="shared" si="263"/>
        <v>0</v>
      </c>
      <c r="L2353" s="132">
        <f t="shared" si="264"/>
        <v>0</v>
      </c>
      <c r="M2353" s="133"/>
      <c r="N2353" s="133">
        <f t="shared" si="268"/>
        <v>0</v>
      </c>
      <c r="O2353" s="134"/>
      <c r="P2353" s="133"/>
      <c r="Q2353" s="2"/>
      <c r="R2353" s="156">
        <f t="shared" si="265"/>
        <v>0</v>
      </c>
      <c r="S2353" s="156">
        <f t="shared" si="266"/>
        <v>0</v>
      </c>
      <c r="T2353" s="133"/>
      <c r="U2353" s="133"/>
      <c r="V2353" s="133"/>
      <c r="W2353" s="133"/>
      <c r="X2353" s="133"/>
      <c r="Y2353" s="133"/>
      <c r="Z2353" s="133"/>
      <c r="AA2353" s="133"/>
      <c r="AB2353" s="133"/>
      <c r="AC2353" s="133"/>
      <c r="AD2353" s="133"/>
      <c r="AE2353" s="133"/>
      <c r="AF2353" s="133"/>
      <c r="AG2353" s="133"/>
      <c r="AH2353" s="133"/>
      <c r="AI2353" s="133"/>
      <c r="AJ2353" s="133"/>
      <c r="AK2353" s="133"/>
      <c r="AL2353" s="133"/>
      <c r="AM2353" s="133"/>
      <c r="AN2353" s="133"/>
      <c r="AO2353" s="133"/>
      <c r="AP2353" s="133"/>
      <c r="AQ2353" s="133"/>
      <c r="AR2353" s="133"/>
      <c r="AS2353" s="153">
        <v>0</v>
      </c>
      <c r="AT2353" s="153">
        <v>0</v>
      </c>
      <c r="AU2353" s="153">
        <v>0</v>
      </c>
      <c r="AV2353" s="135"/>
      <c r="AW2353" s="135"/>
      <c r="AX2353" s="135"/>
      <c r="AY2353" s="135"/>
      <c r="AZ2353" s="135"/>
      <c r="BA2353" s="135"/>
      <c r="BB2353" s="135"/>
      <c r="BC2353" s="135"/>
      <c r="BD2353" s="135"/>
      <c r="BE2353" s="135"/>
      <c r="BF2353" s="135"/>
      <c r="BG2353" s="135"/>
      <c r="BH2353" s="135"/>
      <c r="BI2353" s="2"/>
      <c r="BJ2353" s="136"/>
      <c r="BK2353" s="2"/>
      <c r="BL2353" s="136"/>
      <c r="BM2353" s="136"/>
      <c r="BN2353" s="2"/>
      <c r="BO2353" s="2"/>
      <c r="BP2353" s="136"/>
      <c r="BQ2353" s="137"/>
    </row>
    <row r="2354" spans="1:69" ht="12.75" customHeight="1" x14ac:dyDescent="0.2">
      <c r="A2354" s="2">
        <v>3843</v>
      </c>
      <c r="B2354" s="2"/>
      <c r="C2354" s="2"/>
      <c r="D2354" s="2"/>
      <c r="E2354" s="2"/>
      <c r="F2354" s="132">
        <v>0</v>
      </c>
      <c r="G2354" s="132"/>
      <c r="H2354" s="132">
        <f t="shared" si="269"/>
        <v>0</v>
      </c>
      <c r="I2354" s="132"/>
      <c r="J2354" s="132">
        <f t="shared" si="267"/>
        <v>0</v>
      </c>
      <c r="K2354" s="132">
        <f t="shared" si="263"/>
        <v>0</v>
      </c>
      <c r="L2354" s="132">
        <f t="shared" si="264"/>
        <v>0</v>
      </c>
      <c r="M2354" s="133"/>
      <c r="N2354" s="133">
        <f t="shared" si="268"/>
        <v>0</v>
      </c>
      <c r="O2354" s="134"/>
      <c r="P2354" s="133"/>
      <c r="Q2354" s="2"/>
      <c r="R2354" s="156">
        <f t="shared" si="265"/>
        <v>0</v>
      </c>
      <c r="S2354" s="156">
        <f t="shared" si="266"/>
        <v>0</v>
      </c>
      <c r="T2354" s="133"/>
      <c r="U2354" s="133"/>
      <c r="V2354" s="133"/>
      <c r="W2354" s="133"/>
      <c r="X2354" s="133"/>
      <c r="Y2354" s="133"/>
      <c r="Z2354" s="133"/>
      <c r="AA2354" s="133"/>
      <c r="AB2354" s="133"/>
      <c r="AC2354" s="133"/>
      <c r="AD2354" s="133"/>
      <c r="AE2354" s="133"/>
      <c r="AF2354" s="133"/>
      <c r="AG2354" s="133"/>
      <c r="AH2354" s="133"/>
      <c r="AI2354" s="133"/>
      <c r="AJ2354" s="133"/>
      <c r="AK2354" s="133"/>
      <c r="AL2354" s="133"/>
      <c r="AM2354" s="133"/>
      <c r="AN2354" s="133"/>
      <c r="AO2354" s="133"/>
      <c r="AP2354" s="133"/>
      <c r="AQ2354" s="133"/>
      <c r="AR2354" s="133"/>
      <c r="AS2354" s="153">
        <v>0</v>
      </c>
      <c r="AT2354" s="153">
        <v>0</v>
      </c>
      <c r="AU2354" s="153">
        <v>0</v>
      </c>
      <c r="AV2354" s="135"/>
      <c r="AW2354" s="135"/>
      <c r="AX2354" s="135"/>
      <c r="AY2354" s="135"/>
      <c r="AZ2354" s="135"/>
      <c r="BA2354" s="135"/>
      <c r="BB2354" s="135"/>
      <c r="BC2354" s="135"/>
      <c r="BD2354" s="135"/>
      <c r="BE2354" s="135"/>
      <c r="BF2354" s="135"/>
      <c r="BG2354" s="135"/>
      <c r="BH2354" s="135"/>
      <c r="BI2354" s="2"/>
      <c r="BJ2354" s="136"/>
      <c r="BK2354" s="2"/>
      <c r="BL2354" s="136"/>
      <c r="BM2354" s="136"/>
      <c r="BN2354" s="2"/>
      <c r="BO2354" s="2"/>
      <c r="BP2354" s="136"/>
      <c r="BQ2354" s="137"/>
    </row>
    <row r="2355" spans="1:69" ht="12.75" customHeight="1" x14ac:dyDescent="0.2">
      <c r="A2355" s="2">
        <v>3844</v>
      </c>
      <c r="B2355" s="2"/>
      <c r="C2355" s="2"/>
      <c r="D2355" s="2"/>
      <c r="E2355" s="2"/>
      <c r="F2355" s="132">
        <v>0</v>
      </c>
      <c r="G2355" s="132"/>
      <c r="H2355" s="132">
        <f t="shared" si="269"/>
        <v>0</v>
      </c>
      <c r="I2355" s="132"/>
      <c r="J2355" s="132">
        <f t="shared" si="267"/>
        <v>0</v>
      </c>
      <c r="K2355" s="132">
        <f t="shared" si="263"/>
        <v>0</v>
      </c>
      <c r="L2355" s="132">
        <f t="shared" si="264"/>
        <v>0</v>
      </c>
      <c r="M2355" s="133"/>
      <c r="N2355" s="133">
        <f t="shared" si="268"/>
        <v>0</v>
      </c>
      <c r="O2355" s="134"/>
      <c r="P2355" s="133"/>
      <c r="Q2355" s="2"/>
      <c r="R2355" s="156">
        <f t="shared" si="265"/>
        <v>0</v>
      </c>
      <c r="S2355" s="156">
        <f t="shared" si="266"/>
        <v>0</v>
      </c>
      <c r="T2355" s="133"/>
      <c r="U2355" s="133"/>
      <c r="V2355" s="133"/>
      <c r="W2355" s="133"/>
      <c r="X2355" s="133"/>
      <c r="Y2355" s="133"/>
      <c r="Z2355" s="133"/>
      <c r="AA2355" s="133"/>
      <c r="AB2355" s="133"/>
      <c r="AC2355" s="133"/>
      <c r="AD2355" s="133"/>
      <c r="AE2355" s="133"/>
      <c r="AF2355" s="133"/>
      <c r="AG2355" s="133"/>
      <c r="AH2355" s="133"/>
      <c r="AI2355" s="133"/>
      <c r="AJ2355" s="133"/>
      <c r="AK2355" s="133"/>
      <c r="AL2355" s="133"/>
      <c r="AM2355" s="133"/>
      <c r="AN2355" s="133"/>
      <c r="AO2355" s="133"/>
      <c r="AP2355" s="133"/>
      <c r="AQ2355" s="133"/>
      <c r="AR2355" s="133"/>
      <c r="AS2355" s="153">
        <v>0</v>
      </c>
      <c r="AT2355" s="153">
        <v>0</v>
      </c>
      <c r="AU2355" s="153">
        <v>0</v>
      </c>
      <c r="AV2355" s="135"/>
      <c r="AW2355" s="135"/>
      <c r="AX2355" s="135"/>
      <c r="AY2355" s="135"/>
      <c r="AZ2355" s="135"/>
      <c r="BA2355" s="135"/>
      <c r="BB2355" s="135"/>
      <c r="BC2355" s="135"/>
      <c r="BD2355" s="135"/>
      <c r="BE2355" s="135"/>
      <c r="BF2355" s="135"/>
      <c r="BG2355" s="135"/>
      <c r="BH2355" s="135"/>
      <c r="BI2355" s="2"/>
      <c r="BJ2355" s="136"/>
      <c r="BK2355" s="2"/>
      <c r="BL2355" s="136"/>
      <c r="BM2355" s="136"/>
      <c r="BN2355" s="2"/>
      <c r="BO2355" s="2"/>
      <c r="BP2355" s="136"/>
      <c r="BQ2355" s="137"/>
    </row>
    <row r="2356" spans="1:69" ht="12.75" customHeight="1" x14ac:dyDescent="0.2">
      <c r="A2356" s="2">
        <v>3845</v>
      </c>
      <c r="B2356" s="2"/>
      <c r="C2356" s="2"/>
      <c r="D2356" s="2"/>
      <c r="E2356" s="2"/>
      <c r="F2356" s="132">
        <v>0</v>
      </c>
      <c r="G2356" s="132"/>
      <c r="H2356" s="132">
        <f t="shared" si="269"/>
        <v>0</v>
      </c>
      <c r="I2356" s="132"/>
      <c r="J2356" s="132">
        <f t="shared" si="267"/>
        <v>0</v>
      </c>
      <c r="K2356" s="132">
        <f t="shared" si="263"/>
        <v>0</v>
      </c>
      <c r="L2356" s="132">
        <f t="shared" si="264"/>
        <v>0</v>
      </c>
      <c r="M2356" s="133"/>
      <c r="N2356" s="133">
        <f t="shared" si="268"/>
        <v>0</v>
      </c>
      <c r="O2356" s="134"/>
      <c r="P2356" s="133"/>
      <c r="Q2356" s="2"/>
      <c r="R2356" s="156">
        <f t="shared" si="265"/>
        <v>0</v>
      </c>
      <c r="S2356" s="156">
        <f t="shared" si="266"/>
        <v>0</v>
      </c>
      <c r="T2356" s="133"/>
      <c r="U2356" s="133"/>
      <c r="V2356" s="133"/>
      <c r="W2356" s="133"/>
      <c r="X2356" s="133"/>
      <c r="Y2356" s="133"/>
      <c r="Z2356" s="133"/>
      <c r="AA2356" s="133"/>
      <c r="AB2356" s="133"/>
      <c r="AC2356" s="133"/>
      <c r="AD2356" s="133"/>
      <c r="AE2356" s="133"/>
      <c r="AF2356" s="133"/>
      <c r="AG2356" s="133"/>
      <c r="AH2356" s="133"/>
      <c r="AI2356" s="133"/>
      <c r="AJ2356" s="133"/>
      <c r="AK2356" s="133"/>
      <c r="AL2356" s="133"/>
      <c r="AM2356" s="133"/>
      <c r="AN2356" s="133"/>
      <c r="AO2356" s="133"/>
      <c r="AP2356" s="133"/>
      <c r="AQ2356" s="133"/>
      <c r="AR2356" s="133"/>
      <c r="AS2356" s="153">
        <v>0</v>
      </c>
      <c r="AT2356" s="153">
        <v>0</v>
      </c>
      <c r="AU2356" s="153">
        <v>0</v>
      </c>
      <c r="AV2356" s="135"/>
      <c r="AW2356" s="135"/>
      <c r="AX2356" s="135"/>
      <c r="AY2356" s="135"/>
      <c r="AZ2356" s="135"/>
      <c r="BA2356" s="135"/>
      <c r="BB2356" s="135"/>
      <c r="BC2356" s="135"/>
      <c r="BD2356" s="135"/>
      <c r="BE2356" s="135"/>
      <c r="BF2356" s="135"/>
      <c r="BG2356" s="135"/>
      <c r="BH2356" s="135"/>
      <c r="BI2356" s="2"/>
      <c r="BJ2356" s="136"/>
      <c r="BK2356" s="2"/>
      <c r="BL2356" s="136"/>
      <c r="BM2356" s="136"/>
      <c r="BN2356" s="2"/>
      <c r="BO2356" s="2"/>
      <c r="BP2356" s="136"/>
      <c r="BQ2356" s="137"/>
    </row>
    <row r="2357" spans="1:69" ht="12.75" customHeight="1" x14ac:dyDescent="0.2">
      <c r="A2357" s="2">
        <v>3846</v>
      </c>
      <c r="B2357" s="2"/>
      <c r="C2357" s="2"/>
      <c r="D2357" s="2"/>
      <c r="E2357" s="2"/>
      <c r="F2357" s="132">
        <v>0</v>
      </c>
      <c r="G2357" s="132"/>
      <c r="H2357" s="132">
        <f t="shared" si="269"/>
        <v>0</v>
      </c>
      <c r="I2357" s="132"/>
      <c r="J2357" s="132">
        <f t="shared" si="267"/>
        <v>0</v>
      </c>
      <c r="K2357" s="132">
        <f t="shared" si="263"/>
        <v>0</v>
      </c>
      <c r="L2357" s="132">
        <f t="shared" si="264"/>
        <v>0</v>
      </c>
      <c r="M2357" s="133"/>
      <c r="N2357" s="133">
        <f t="shared" si="268"/>
        <v>0</v>
      </c>
      <c r="O2357" s="134"/>
      <c r="P2357" s="133"/>
      <c r="Q2357" s="2"/>
      <c r="R2357" s="156">
        <f t="shared" si="265"/>
        <v>0</v>
      </c>
      <c r="S2357" s="156">
        <f t="shared" si="266"/>
        <v>0</v>
      </c>
      <c r="T2357" s="133"/>
      <c r="U2357" s="133"/>
      <c r="V2357" s="133"/>
      <c r="W2357" s="133"/>
      <c r="X2357" s="133"/>
      <c r="Y2357" s="133"/>
      <c r="Z2357" s="133"/>
      <c r="AA2357" s="133"/>
      <c r="AB2357" s="133"/>
      <c r="AC2357" s="133"/>
      <c r="AD2357" s="133"/>
      <c r="AE2357" s="133"/>
      <c r="AF2357" s="133"/>
      <c r="AG2357" s="133"/>
      <c r="AH2357" s="133"/>
      <c r="AI2357" s="133"/>
      <c r="AJ2357" s="133"/>
      <c r="AK2357" s="133"/>
      <c r="AL2357" s="133"/>
      <c r="AM2357" s="133"/>
      <c r="AN2357" s="133"/>
      <c r="AO2357" s="133"/>
      <c r="AP2357" s="133"/>
      <c r="AQ2357" s="133"/>
      <c r="AR2357" s="133"/>
      <c r="AS2357" s="153">
        <v>0</v>
      </c>
      <c r="AT2357" s="153">
        <v>0</v>
      </c>
      <c r="AU2357" s="153">
        <v>0</v>
      </c>
      <c r="AV2357" s="135"/>
      <c r="AW2357" s="135"/>
      <c r="AX2357" s="135"/>
      <c r="AY2357" s="135"/>
      <c r="AZ2357" s="135"/>
      <c r="BA2357" s="135"/>
      <c r="BB2357" s="135"/>
      <c r="BC2357" s="135"/>
      <c r="BD2357" s="135"/>
      <c r="BE2357" s="135"/>
      <c r="BF2357" s="135"/>
      <c r="BG2357" s="135"/>
      <c r="BH2357" s="135"/>
      <c r="BI2357" s="2"/>
      <c r="BJ2357" s="136"/>
      <c r="BK2357" s="2"/>
      <c r="BL2357" s="136"/>
      <c r="BM2357" s="136"/>
      <c r="BN2357" s="2"/>
      <c r="BO2357" s="2"/>
      <c r="BP2357" s="136"/>
      <c r="BQ2357" s="137"/>
    </row>
    <row r="2358" spans="1:69" ht="12.75" customHeight="1" x14ac:dyDescent="0.2">
      <c r="A2358" s="2">
        <v>3847</v>
      </c>
      <c r="B2358" s="2"/>
      <c r="C2358" s="2"/>
      <c r="D2358" s="2"/>
      <c r="E2358" s="2"/>
      <c r="F2358" s="132">
        <v>0</v>
      </c>
      <c r="G2358" s="132"/>
      <c r="H2358" s="132">
        <f t="shared" si="269"/>
        <v>0</v>
      </c>
      <c r="I2358" s="132"/>
      <c r="J2358" s="132">
        <f t="shared" si="267"/>
        <v>0</v>
      </c>
      <c r="K2358" s="132">
        <f t="shared" ref="K2358:K2421" si="270">F2358-J2358</f>
        <v>0</v>
      </c>
      <c r="L2358" s="132">
        <f t="shared" si="264"/>
        <v>0</v>
      </c>
      <c r="M2358" s="133"/>
      <c r="N2358" s="133">
        <f t="shared" si="268"/>
        <v>0</v>
      </c>
      <c r="O2358" s="134"/>
      <c r="P2358" s="133"/>
      <c r="Q2358" s="2"/>
      <c r="R2358" s="156">
        <f t="shared" si="265"/>
        <v>0</v>
      </c>
      <c r="S2358" s="156">
        <f t="shared" si="266"/>
        <v>0</v>
      </c>
      <c r="T2358" s="133"/>
      <c r="U2358" s="133"/>
      <c r="V2358" s="133"/>
      <c r="W2358" s="133"/>
      <c r="X2358" s="133"/>
      <c r="Y2358" s="133"/>
      <c r="Z2358" s="133"/>
      <c r="AA2358" s="133"/>
      <c r="AB2358" s="133"/>
      <c r="AC2358" s="133"/>
      <c r="AD2358" s="133"/>
      <c r="AE2358" s="133"/>
      <c r="AF2358" s="133"/>
      <c r="AG2358" s="133"/>
      <c r="AH2358" s="133"/>
      <c r="AI2358" s="133"/>
      <c r="AJ2358" s="133"/>
      <c r="AK2358" s="133"/>
      <c r="AL2358" s="133"/>
      <c r="AM2358" s="133"/>
      <c r="AN2358" s="133"/>
      <c r="AO2358" s="133"/>
      <c r="AP2358" s="133"/>
      <c r="AQ2358" s="133"/>
      <c r="AR2358" s="133"/>
      <c r="AS2358" s="153">
        <v>0</v>
      </c>
      <c r="AT2358" s="153">
        <v>0</v>
      </c>
      <c r="AU2358" s="153">
        <v>0</v>
      </c>
      <c r="AV2358" s="135"/>
      <c r="AW2358" s="135"/>
      <c r="AX2358" s="135"/>
      <c r="AY2358" s="135"/>
      <c r="AZ2358" s="135"/>
      <c r="BA2358" s="135"/>
      <c r="BB2358" s="135"/>
      <c r="BC2358" s="135"/>
      <c r="BD2358" s="135"/>
      <c r="BE2358" s="135"/>
      <c r="BF2358" s="135"/>
      <c r="BG2358" s="135"/>
      <c r="BH2358" s="135"/>
      <c r="BI2358" s="2"/>
      <c r="BJ2358" s="136"/>
      <c r="BK2358" s="2"/>
      <c r="BL2358" s="136"/>
      <c r="BM2358" s="136"/>
      <c r="BN2358" s="2"/>
      <c r="BO2358" s="2"/>
      <c r="BP2358" s="136"/>
      <c r="BQ2358" s="137"/>
    </row>
    <row r="2359" spans="1:69" ht="12.75" customHeight="1" x14ac:dyDescent="0.2">
      <c r="A2359" s="2">
        <v>3848</v>
      </c>
      <c r="B2359" s="2"/>
      <c r="C2359" s="2"/>
      <c r="D2359" s="2"/>
      <c r="E2359" s="2"/>
      <c r="F2359" s="132">
        <v>0</v>
      </c>
      <c r="G2359" s="132"/>
      <c r="H2359" s="132">
        <f t="shared" si="269"/>
        <v>0</v>
      </c>
      <c r="I2359" s="132"/>
      <c r="J2359" s="132">
        <f t="shared" si="267"/>
        <v>0</v>
      </c>
      <c r="K2359" s="132">
        <f t="shared" si="270"/>
        <v>0</v>
      </c>
      <c r="L2359" s="132">
        <f t="shared" si="264"/>
        <v>0</v>
      </c>
      <c r="M2359" s="133"/>
      <c r="N2359" s="133">
        <f t="shared" si="268"/>
        <v>0</v>
      </c>
      <c r="O2359" s="134"/>
      <c r="P2359" s="133"/>
      <c r="Q2359" s="2"/>
      <c r="R2359" s="156">
        <f t="shared" si="265"/>
        <v>0</v>
      </c>
      <c r="S2359" s="156">
        <f t="shared" si="266"/>
        <v>0</v>
      </c>
      <c r="T2359" s="133"/>
      <c r="U2359" s="133"/>
      <c r="V2359" s="133"/>
      <c r="W2359" s="133"/>
      <c r="X2359" s="133"/>
      <c r="Y2359" s="133"/>
      <c r="Z2359" s="133"/>
      <c r="AA2359" s="133"/>
      <c r="AB2359" s="133"/>
      <c r="AC2359" s="133"/>
      <c r="AD2359" s="133"/>
      <c r="AE2359" s="133"/>
      <c r="AF2359" s="133"/>
      <c r="AG2359" s="133"/>
      <c r="AH2359" s="133"/>
      <c r="AI2359" s="133"/>
      <c r="AJ2359" s="133"/>
      <c r="AK2359" s="133"/>
      <c r="AL2359" s="133"/>
      <c r="AM2359" s="133"/>
      <c r="AN2359" s="133"/>
      <c r="AO2359" s="133"/>
      <c r="AP2359" s="133"/>
      <c r="AQ2359" s="133"/>
      <c r="AR2359" s="133"/>
      <c r="AS2359" s="153">
        <v>0</v>
      </c>
      <c r="AT2359" s="153">
        <v>0</v>
      </c>
      <c r="AU2359" s="153">
        <v>0</v>
      </c>
      <c r="AV2359" s="135"/>
      <c r="AW2359" s="135"/>
      <c r="AX2359" s="135"/>
      <c r="AY2359" s="135"/>
      <c r="AZ2359" s="135"/>
      <c r="BA2359" s="135"/>
      <c r="BB2359" s="135"/>
      <c r="BC2359" s="135"/>
      <c r="BD2359" s="135"/>
      <c r="BE2359" s="135"/>
      <c r="BF2359" s="135"/>
      <c r="BG2359" s="135"/>
      <c r="BH2359" s="135"/>
      <c r="BI2359" s="2"/>
      <c r="BJ2359" s="136"/>
      <c r="BK2359" s="2"/>
      <c r="BL2359" s="136"/>
      <c r="BM2359" s="136"/>
      <c r="BN2359" s="2"/>
      <c r="BO2359" s="2"/>
      <c r="BP2359" s="136"/>
      <c r="BQ2359" s="137"/>
    </row>
    <row r="2360" spans="1:69" ht="12.75" customHeight="1" x14ac:dyDescent="0.2">
      <c r="A2360" s="2">
        <v>3849</v>
      </c>
      <c r="B2360" s="2"/>
      <c r="C2360" s="2"/>
      <c r="D2360" s="2"/>
      <c r="E2360" s="2"/>
      <c r="F2360" s="132">
        <v>0</v>
      </c>
      <c r="G2360" s="132"/>
      <c r="H2360" s="132">
        <f t="shared" si="269"/>
        <v>0</v>
      </c>
      <c r="I2360" s="132"/>
      <c r="J2360" s="132">
        <f t="shared" si="267"/>
        <v>0</v>
      </c>
      <c r="K2360" s="132">
        <f t="shared" si="270"/>
        <v>0</v>
      </c>
      <c r="L2360" s="132">
        <f t="shared" si="264"/>
        <v>0</v>
      </c>
      <c r="M2360" s="133"/>
      <c r="N2360" s="133">
        <f t="shared" si="268"/>
        <v>0</v>
      </c>
      <c r="O2360" s="134"/>
      <c r="P2360" s="133"/>
      <c r="Q2360" s="2"/>
      <c r="R2360" s="156">
        <f t="shared" si="265"/>
        <v>0</v>
      </c>
      <c r="S2360" s="156">
        <f t="shared" si="266"/>
        <v>0</v>
      </c>
      <c r="T2360" s="133"/>
      <c r="U2360" s="133"/>
      <c r="V2360" s="133"/>
      <c r="W2360" s="133"/>
      <c r="X2360" s="133"/>
      <c r="Y2360" s="133"/>
      <c r="Z2360" s="133"/>
      <c r="AA2360" s="133"/>
      <c r="AB2360" s="133"/>
      <c r="AC2360" s="133"/>
      <c r="AD2360" s="133"/>
      <c r="AE2360" s="133"/>
      <c r="AF2360" s="133"/>
      <c r="AG2360" s="133"/>
      <c r="AH2360" s="133"/>
      <c r="AI2360" s="133"/>
      <c r="AJ2360" s="133"/>
      <c r="AK2360" s="133"/>
      <c r="AL2360" s="133"/>
      <c r="AM2360" s="133"/>
      <c r="AN2360" s="133"/>
      <c r="AO2360" s="133"/>
      <c r="AP2360" s="133"/>
      <c r="AQ2360" s="133"/>
      <c r="AR2360" s="133"/>
      <c r="AS2360" s="153">
        <v>0</v>
      </c>
      <c r="AT2360" s="153">
        <v>0</v>
      </c>
      <c r="AU2360" s="153">
        <v>0</v>
      </c>
      <c r="AV2360" s="135"/>
      <c r="AW2360" s="135"/>
      <c r="AX2360" s="135"/>
      <c r="AY2360" s="135"/>
      <c r="AZ2360" s="135"/>
      <c r="BA2360" s="135"/>
      <c r="BB2360" s="135"/>
      <c r="BC2360" s="135"/>
      <c r="BD2360" s="135"/>
      <c r="BE2360" s="135"/>
      <c r="BF2360" s="135"/>
      <c r="BG2360" s="135"/>
      <c r="BH2360" s="135"/>
      <c r="BI2360" s="2"/>
      <c r="BJ2360" s="136"/>
      <c r="BK2360" s="2"/>
      <c r="BL2360" s="136"/>
      <c r="BM2360" s="136"/>
      <c r="BN2360" s="2"/>
      <c r="BO2360" s="2"/>
      <c r="BP2360" s="136"/>
      <c r="BQ2360" s="137"/>
    </row>
    <row r="2361" spans="1:69" ht="12.75" customHeight="1" x14ac:dyDescent="0.2">
      <c r="A2361" s="2">
        <v>3850</v>
      </c>
      <c r="B2361" s="2"/>
      <c r="C2361" s="2"/>
      <c r="D2361" s="2"/>
      <c r="E2361" s="2"/>
      <c r="F2361" s="132">
        <v>0</v>
      </c>
      <c r="G2361" s="132"/>
      <c r="H2361" s="132">
        <f t="shared" si="269"/>
        <v>0</v>
      </c>
      <c r="I2361" s="132"/>
      <c r="J2361" s="132">
        <f t="shared" si="267"/>
        <v>0</v>
      </c>
      <c r="K2361" s="132">
        <f t="shared" si="270"/>
        <v>0</v>
      </c>
      <c r="L2361" s="132">
        <f t="shared" si="264"/>
        <v>0</v>
      </c>
      <c r="M2361" s="133"/>
      <c r="N2361" s="133">
        <f t="shared" si="268"/>
        <v>0</v>
      </c>
      <c r="O2361" s="134"/>
      <c r="P2361" s="133"/>
      <c r="Q2361" s="2"/>
      <c r="R2361" s="156">
        <f t="shared" si="265"/>
        <v>0</v>
      </c>
      <c r="S2361" s="156">
        <f t="shared" si="266"/>
        <v>0</v>
      </c>
      <c r="T2361" s="133"/>
      <c r="U2361" s="133"/>
      <c r="V2361" s="133"/>
      <c r="W2361" s="133"/>
      <c r="X2361" s="133"/>
      <c r="Y2361" s="133"/>
      <c r="Z2361" s="133"/>
      <c r="AA2361" s="133"/>
      <c r="AB2361" s="133"/>
      <c r="AC2361" s="133"/>
      <c r="AD2361" s="133"/>
      <c r="AE2361" s="133"/>
      <c r="AF2361" s="133"/>
      <c r="AG2361" s="133"/>
      <c r="AH2361" s="133"/>
      <c r="AI2361" s="133"/>
      <c r="AJ2361" s="133"/>
      <c r="AK2361" s="133"/>
      <c r="AL2361" s="133"/>
      <c r="AM2361" s="133"/>
      <c r="AN2361" s="133"/>
      <c r="AO2361" s="133"/>
      <c r="AP2361" s="133"/>
      <c r="AQ2361" s="133"/>
      <c r="AR2361" s="133"/>
      <c r="AS2361" s="153">
        <v>0</v>
      </c>
      <c r="AT2361" s="153">
        <v>0</v>
      </c>
      <c r="AU2361" s="153">
        <v>0</v>
      </c>
      <c r="AV2361" s="135"/>
      <c r="AW2361" s="135"/>
      <c r="AX2361" s="135"/>
      <c r="AY2361" s="135"/>
      <c r="AZ2361" s="135"/>
      <c r="BA2361" s="135"/>
      <c r="BB2361" s="135"/>
      <c r="BC2361" s="135"/>
      <c r="BD2361" s="135"/>
      <c r="BE2361" s="135"/>
      <c r="BF2361" s="135"/>
      <c r="BG2361" s="135"/>
      <c r="BH2361" s="135"/>
      <c r="BI2361" s="2"/>
      <c r="BJ2361" s="136"/>
      <c r="BK2361" s="2"/>
      <c r="BL2361" s="136"/>
      <c r="BM2361" s="136"/>
      <c r="BN2361" s="2"/>
      <c r="BO2361" s="2"/>
      <c r="BP2361" s="136"/>
      <c r="BQ2361" s="137"/>
    </row>
    <row r="2362" spans="1:69" ht="12.75" customHeight="1" x14ac:dyDescent="0.2">
      <c r="A2362" s="2">
        <v>3851</v>
      </c>
      <c r="B2362" s="2"/>
      <c r="C2362" s="2"/>
      <c r="D2362" s="2"/>
      <c r="E2362" s="2"/>
      <c r="F2362" s="132">
        <v>0</v>
      </c>
      <c r="G2362" s="132"/>
      <c r="H2362" s="132">
        <f t="shared" si="269"/>
        <v>0</v>
      </c>
      <c r="I2362" s="132"/>
      <c r="J2362" s="132">
        <f t="shared" si="267"/>
        <v>0</v>
      </c>
      <c r="K2362" s="132">
        <f t="shared" si="270"/>
        <v>0</v>
      </c>
      <c r="L2362" s="132">
        <f t="shared" si="264"/>
        <v>0</v>
      </c>
      <c r="M2362" s="133"/>
      <c r="N2362" s="133">
        <f t="shared" si="268"/>
        <v>0</v>
      </c>
      <c r="O2362" s="134"/>
      <c r="P2362" s="133"/>
      <c r="Q2362" s="2"/>
      <c r="R2362" s="156">
        <f t="shared" si="265"/>
        <v>0</v>
      </c>
      <c r="S2362" s="156">
        <f t="shared" si="266"/>
        <v>0</v>
      </c>
      <c r="T2362" s="133"/>
      <c r="U2362" s="133"/>
      <c r="V2362" s="133"/>
      <c r="W2362" s="133"/>
      <c r="X2362" s="133"/>
      <c r="Y2362" s="133"/>
      <c r="Z2362" s="133"/>
      <c r="AA2362" s="133"/>
      <c r="AB2362" s="133"/>
      <c r="AC2362" s="133"/>
      <c r="AD2362" s="133"/>
      <c r="AE2362" s="133"/>
      <c r="AF2362" s="133"/>
      <c r="AG2362" s="133"/>
      <c r="AH2362" s="133"/>
      <c r="AI2362" s="133"/>
      <c r="AJ2362" s="133"/>
      <c r="AK2362" s="133"/>
      <c r="AL2362" s="133"/>
      <c r="AM2362" s="133"/>
      <c r="AN2362" s="133"/>
      <c r="AO2362" s="133"/>
      <c r="AP2362" s="133"/>
      <c r="AQ2362" s="133"/>
      <c r="AR2362" s="133"/>
      <c r="AS2362" s="153">
        <v>0</v>
      </c>
      <c r="AT2362" s="153">
        <v>0</v>
      </c>
      <c r="AU2362" s="153">
        <v>0</v>
      </c>
      <c r="AV2362" s="135"/>
      <c r="AW2362" s="135"/>
      <c r="AX2362" s="135"/>
      <c r="AY2362" s="135"/>
      <c r="AZ2362" s="135"/>
      <c r="BA2362" s="135"/>
      <c r="BB2362" s="135"/>
      <c r="BC2362" s="135"/>
      <c r="BD2362" s="135"/>
      <c r="BE2362" s="135"/>
      <c r="BF2362" s="135"/>
      <c r="BG2362" s="135"/>
      <c r="BH2362" s="135"/>
      <c r="BI2362" s="2"/>
      <c r="BJ2362" s="136"/>
      <c r="BK2362" s="2"/>
      <c r="BL2362" s="136"/>
      <c r="BM2362" s="136"/>
      <c r="BN2362" s="2"/>
      <c r="BO2362" s="2"/>
      <c r="BP2362" s="136"/>
      <c r="BQ2362" s="137"/>
    </row>
    <row r="2363" spans="1:69" ht="12.75" customHeight="1" x14ac:dyDescent="0.2">
      <c r="A2363" s="2">
        <v>3852</v>
      </c>
      <c r="B2363" s="2"/>
      <c r="C2363" s="2"/>
      <c r="D2363" s="2"/>
      <c r="E2363" s="2"/>
      <c r="F2363" s="132">
        <v>0</v>
      </c>
      <c r="G2363" s="132"/>
      <c r="H2363" s="132">
        <f t="shared" si="269"/>
        <v>0</v>
      </c>
      <c r="I2363" s="132"/>
      <c r="J2363" s="132">
        <f t="shared" si="267"/>
        <v>0</v>
      </c>
      <c r="K2363" s="132">
        <f t="shared" si="270"/>
        <v>0</v>
      </c>
      <c r="L2363" s="132">
        <f t="shared" si="264"/>
        <v>0</v>
      </c>
      <c r="M2363" s="133"/>
      <c r="N2363" s="133">
        <f t="shared" si="268"/>
        <v>0</v>
      </c>
      <c r="O2363" s="134"/>
      <c r="P2363" s="133"/>
      <c r="Q2363" s="2"/>
      <c r="R2363" s="156">
        <f t="shared" si="265"/>
        <v>0</v>
      </c>
      <c r="S2363" s="156">
        <f t="shared" si="266"/>
        <v>0</v>
      </c>
      <c r="T2363" s="133"/>
      <c r="U2363" s="133"/>
      <c r="V2363" s="133"/>
      <c r="W2363" s="133"/>
      <c r="X2363" s="133"/>
      <c r="Y2363" s="133"/>
      <c r="Z2363" s="133"/>
      <c r="AA2363" s="133"/>
      <c r="AB2363" s="133"/>
      <c r="AC2363" s="133"/>
      <c r="AD2363" s="133"/>
      <c r="AE2363" s="133"/>
      <c r="AF2363" s="133"/>
      <c r="AG2363" s="133"/>
      <c r="AH2363" s="133"/>
      <c r="AI2363" s="133"/>
      <c r="AJ2363" s="133"/>
      <c r="AK2363" s="133"/>
      <c r="AL2363" s="133"/>
      <c r="AM2363" s="133"/>
      <c r="AN2363" s="133"/>
      <c r="AO2363" s="133"/>
      <c r="AP2363" s="133"/>
      <c r="AQ2363" s="133"/>
      <c r="AR2363" s="133"/>
      <c r="AS2363" s="153">
        <v>0</v>
      </c>
      <c r="AT2363" s="153">
        <v>0</v>
      </c>
      <c r="AU2363" s="153">
        <v>0</v>
      </c>
      <c r="AV2363" s="135"/>
      <c r="AW2363" s="135"/>
      <c r="AX2363" s="135"/>
      <c r="AY2363" s="135"/>
      <c r="AZ2363" s="135"/>
      <c r="BA2363" s="135"/>
      <c r="BB2363" s="135"/>
      <c r="BC2363" s="135"/>
      <c r="BD2363" s="135"/>
      <c r="BE2363" s="135"/>
      <c r="BF2363" s="135"/>
      <c r="BG2363" s="135"/>
      <c r="BH2363" s="135"/>
      <c r="BI2363" s="2"/>
      <c r="BJ2363" s="136"/>
      <c r="BK2363" s="2"/>
      <c r="BL2363" s="136"/>
      <c r="BM2363" s="136"/>
      <c r="BN2363" s="2"/>
      <c r="BO2363" s="2"/>
      <c r="BP2363" s="136"/>
      <c r="BQ2363" s="137"/>
    </row>
    <row r="2364" spans="1:69" ht="12.75" customHeight="1" x14ac:dyDescent="0.2">
      <c r="A2364" s="2">
        <v>3853</v>
      </c>
      <c r="B2364" s="2"/>
      <c r="C2364" s="2"/>
      <c r="D2364" s="2"/>
      <c r="E2364" s="2"/>
      <c r="F2364" s="132">
        <v>0</v>
      </c>
      <c r="G2364" s="132"/>
      <c r="H2364" s="132">
        <f t="shared" si="269"/>
        <v>0</v>
      </c>
      <c r="I2364" s="132"/>
      <c r="J2364" s="132">
        <f t="shared" si="267"/>
        <v>0</v>
      </c>
      <c r="K2364" s="132">
        <f t="shared" si="270"/>
        <v>0</v>
      </c>
      <c r="L2364" s="132">
        <f t="shared" si="264"/>
        <v>0</v>
      </c>
      <c r="M2364" s="133"/>
      <c r="N2364" s="133">
        <f t="shared" si="268"/>
        <v>0</v>
      </c>
      <c r="O2364" s="134"/>
      <c r="P2364" s="133"/>
      <c r="Q2364" s="2"/>
      <c r="R2364" s="156">
        <f t="shared" si="265"/>
        <v>0</v>
      </c>
      <c r="S2364" s="156">
        <f t="shared" si="266"/>
        <v>0</v>
      </c>
      <c r="T2364" s="133"/>
      <c r="U2364" s="133"/>
      <c r="V2364" s="133"/>
      <c r="W2364" s="133"/>
      <c r="X2364" s="133"/>
      <c r="Y2364" s="133"/>
      <c r="Z2364" s="133"/>
      <c r="AA2364" s="133"/>
      <c r="AB2364" s="133"/>
      <c r="AC2364" s="133"/>
      <c r="AD2364" s="133"/>
      <c r="AE2364" s="133"/>
      <c r="AF2364" s="133"/>
      <c r="AG2364" s="133"/>
      <c r="AH2364" s="133"/>
      <c r="AI2364" s="133"/>
      <c r="AJ2364" s="133"/>
      <c r="AK2364" s="133"/>
      <c r="AL2364" s="133"/>
      <c r="AM2364" s="133"/>
      <c r="AN2364" s="133"/>
      <c r="AO2364" s="133"/>
      <c r="AP2364" s="133"/>
      <c r="AQ2364" s="133"/>
      <c r="AR2364" s="133"/>
      <c r="AS2364" s="153">
        <v>0</v>
      </c>
      <c r="AT2364" s="153">
        <v>0</v>
      </c>
      <c r="AU2364" s="153">
        <v>0</v>
      </c>
      <c r="AV2364" s="135"/>
      <c r="AW2364" s="135"/>
      <c r="AX2364" s="135"/>
      <c r="AY2364" s="135"/>
      <c r="AZ2364" s="135"/>
      <c r="BA2364" s="135"/>
      <c r="BB2364" s="135"/>
      <c r="BC2364" s="135"/>
      <c r="BD2364" s="135"/>
      <c r="BE2364" s="135"/>
      <c r="BF2364" s="135"/>
      <c r="BG2364" s="135"/>
      <c r="BH2364" s="135"/>
      <c r="BI2364" s="2"/>
      <c r="BJ2364" s="136"/>
      <c r="BK2364" s="2"/>
      <c r="BL2364" s="136"/>
      <c r="BM2364" s="136"/>
      <c r="BN2364" s="2"/>
      <c r="BO2364" s="2"/>
      <c r="BP2364" s="136"/>
      <c r="BQ2364" s="137"/>
    </row>
    <row r="2365" spans="1:69" ht="12.75" customHeight="1" x14ac:dyDescent="0.2">
      <c r="A2365" s="2">
        <v>3854</v>
      </c>
      <c r="B2365" s="2"/>
      <c r="C2365" s="2"/>
      <c r="D2365" s="2"/>
      <c r="E2365" s="2"/>
      <c r="F2365" s="132">
        <v>0</v>
      </c>
      <c r="G2365" s="132"/>
      <c r="H2365" s="132">
        <f t="shared" si="269"/>
        <v>0</v>
      </c>
      <c r="I2365" s="132"/>
      <c r="J2365" s="132">
        <f t="shared" si="267"/>
        <v>0</v>
      </c>
      <c r="K2365" s="132">
        <f t="shared" si="270"/>
        <v>0</v>
      </c>
      <c r="L2365" s="132">
        <f t="shared" si="264"/>
        <v>0</v>
      </c>
      <c r="M2365" s="133"/>
      <c r="N2365" s="133">
        <f t="shared" si="268"/>
        <v>0</v>
      </c>
      <c r="O2365" s="134"/>
      <c r="P2365" s="133"/>
      <c r="Q2365" s="2"/>
      <c r="R2365" s="156">
        <f t="shared" si="265"/>
        <v>0</v>
      </c>
      <c r="S2365" s="156">
        <f t="shared" si="266"/>
        <v>0</v>
      </c>
      <c r="T2365" s="133"/>
      <c r="U2365" s="133"/>
      <c r="V2365" s="133"/>
      <c r="W2365" s="133"/>
      <c r="X2365" s="133"/>
      <c r="Y2365" s="133"/>
      <c r="Z2365" s="133"/>
      <c r="AA2365" s="133"/>
      <c r="AB2365" s="133"/>
      <c r="AC2365" s="133"/>
      <c r="AD2365" s="133"/>
      <c r="AE2365" s="133"/>
      <c r="AF2365" s="133"/>
      <c r="AG2365" s="133"/>
      <c r="AH2365" s="133"/>
      <c r="AI2365" s="133"/>
      <c r="AJ2365" s="133"/>
      <c r="AK2365" s="133"/>
      <c r="AL2365" s="133"/>
      <c r="AM2365" s="133"/>
      <c r="AN2365" s="133"/>
      <c r="AO2365" s="133"/>
      <c r="AP2365" s="133"/>
      <c r="AQ2365" s="133"/>
      <c r="AR2365" s="133"/>
      <c r="AS2365" s="153">
        <v>0</v>
      </c>
      <c r="AT2365" s="153">
        <v>0</v>
      </c>
      <c r="AU2365" s="153">
        <v>0</v>
      </c>
      <c r="AV2365" s="135"/>
      <c r="AW2365" s="135"/>
      <c r="AX2365" s="135"/>
      <c r="AY2365" s="135"/>
      <c r="AZ2365" s="135"/>
      <c r="BA2365" s="135"/>
      <c r="BB2365" s="135"/>
      <c r="BC2365" s="135"/>
      <c r="BD2365" s="135"/>
      <c r="BE2365" s="135"/>
      <c r="BF2365" s="135"/>
      <c r="BG2365" s="135"/>
      <c r="BH2365" s="135"/>
      <c r="BI2365" s="2"/>
      <c r="BJ2365" s="136"/>
      <c r="BK2365" s="2"/>
      <c r="BL2365" s="136"/>
      <c r="BM2365" s="136"/>
      <c r="BN2365" s="2"/>
      <c r="BO2365" s="2"/>
      <c r="BP2365" s="136"/>
      <c r="BQ2365" s="137"/>
    </row>
    <row r="2366" spans="1:69" ht="12.75" customHeight="1" x14ac:dyDescent="0.2">
      <c r="A2366" s="2">
        <v>3855</v>
      </c>
      <c r="B2366" s="2"/>
      <c r="C2366" s="2"/>
      <c r="D2366" s="2"/>
      <c r="E2366" s="2"/>
      <c r="F2366" s="132">
        <v>0</v>
      </c>
      <c r="G2366" s="132"/>
      <c r="H2366" s="132">
        <f t="shared" si="269"/>
        <v>0</v>
      </c>
      <c r="I2366" s="132"/>
      <c r="J2366" s="132">
        <f t="shared" si="267"/>
        <v>0</v>
      </c>
      <c r="K2366" s="132">
        <f t="shared" si="270"/>
        <v>0</v>
      </c>
      <c r="L2366" s="132">
        <f t="shared" si="264"/>
        <v>0</v>
      </c>
      <c r="M2366" s="133"/>
      <c r="N2366" s="133">
        <f t="shared" si="268"/>
        <v>0</v>
      </c>
      <c r="O2366" s="134"/>
      <c r="P2366" s="133"/>
      <c r="Q2366" s="2"/>
      <c r="R2366" s="156">
        <f t="shared" si="265"/>
        <v>0</v>
      </c>
      <c r="S2366" s="156">
        <f t="shared" si="266"/>
        <v>0</v>
      </c>
      <c r="T2366" s="133"/>
      <c r="U2366" s="133"/>
      <c r="V2366" s="133"/>
      <c r="W2366" s="133"/>
      <c r="X2366" s="133"/>
      <c r="Y2366" s="133"/>
      <c r="Z2366" s="133"/>
      <c r="AA2366" s="133"/>
      <c r="AB2366" s="133"/>
      <c r="AC2366" s="133"/>
      <c r="AD2366" s="133"/>
      <c r="AE2366" s="133"/>
      <c r="AF2366" s="133"/>
      <c r="AG2366" s="133"/>
      <c r="AH2366" s="133"/>
      <c r="AI2366" s="133"/>
      <c r="AJ2366" s="133"/>
      <c r="AK2366" s="133"/>
      <c r="AL2366" s="133"/>
      <c r="AM2366" s="133"/>
      <c r="AN2366" s="133"/>
      <c r="AO2366" s="133"/>
      <c r="AP2366" s="133"/>
      <c r="AQ2366" s="133"/>
      <c r="AR2366" s="133"/>
      <c r="AS2366" s="153">
        <v>0</v>
      </c>
      <c r="AT2366" s="153">
        <v>0</v>
      </c>
      <c r="AU2366" s="153">
        <v>0</v>
      </c>
      <c r="AV2366" s="135"/>
      <c r="AW2366" s="135"/>
      <c r="AX2366" s="135"/>
      <c r="AY2366" s="135"/>
      <c r="AZ2366" s="135"/>
      <c r="BA2366" s="135"/>
      <c r="BB2366" s="135"/>
      <c r="BC2366" s="135"/>
      <c r="BD2366" s="135"/>
      <c r="BE2366" s="135"/>
      <c r="BF2366" s="135"/>
      <c r="BG2366" s="135"/>
      <c r="BH2366" s="135"/>
      <c r="BI2366" s="2"/>
      <c r="BJ2366" s="136"/>
      <c r="BK2366" s="2"/>
      <c r="BL2366" s="136"/>
      <c r="BM2366" s="136"/>
      <c r="BN2366" s="2"/>
      <c r="BO2366" s="2"/>
      <c r="BP2366" s="136"/>
      <c r="BQ2366" s="137"/>
    </row>
    <row r="2367" spans="1:69" ht="12.75" customHeight="1" x14ac:dyDescent="0.2">
      <c r="A2367" s="2">
        <v>3856</v>
      </c>
      <c r="B2367" s="2"/>
      <c r="C2367" s="2"/>
      <c r="D2367" s="2"/>
      <c r="E2367" s="2"/>
      <c r="F2367" s="132">
        <v>0</v>
      </c>
      <c r="G2367" s="132"/>
      <c r="H2367" s="132">
        <f t="shared" si="269"/>
        <v>0</v>
      </c>
      <c r="I2367" s="132"/>
      <c r="J2367" s="132">
        <f t="shared" si="267"/>
        <v>0</v>
      </c>
      <c r="K2367" s="132">
        <f t="shared" si="270"/>
        <v>0</v>
      </c>
      <c r="L2367" s="132">
        <f t="shared" si="264"/>
        <v>0</v>
      </c>
      <c r="M2367" s="133"/>
      <c r="N2367" s="133">
        <f t="shared" si="268"/>
        <v>0</v>
      </c>
      <c r="O2367" s="134"/>
      <c r="P2367" s="133"/>
      <c r="Q2367" s="2"/>
      <c r="R2367" s="156">
        <f t="shared" si="265"/>
        <v>0</v>
      </c>
      <c r="S2367" s="156">
        <f t="shared" si="266"/>
        <v>0</v>
      </c>
      <c r="T2367" s="133"/>
      <c r="U2367" s="133"/>
      <c r="V2367" s="133"/>
      <c r="W2367" s="133"/>
      <c r="X2367" s="133"/>
      <c r="Y2367" s="133"/>
      <c r="Z2367" s="133"/>
      <c r="AA2367" s="133"/>
      <c r="AB2367" s="133"/>
      <c r="AC2367" s="133"/>
      <c r="AD2367" s="133"/>
      <c r="AE2367" s="133"/>
      <c r="AF2367" s="133"/>
      <c r="AG2367" s="133"/>
      <c r="AH2367" s="133"/>
      <c r="AI2367" s="133"/>
      <c r="AJ2367" s="133"/>
      <c r="AK2367" s="133"/>
      <c r="AL2367" s="133"/>
      <c r="AM2367" s="133"/>
      <c r="AN2367" s="133"/>
      <c r="AO2367" s="133"/>
      <c r="AP2367" s="133"/>
      <c r="AQ2367" s="133"/>
      <c r="AR2367" s="133"/>
      <c r="AS2367" s="153">
        <v>0</v>
      </c>
      <c r="AT2367" s="153">
        <v>0</v>
      </c>
      <c r="AU2367" s="153">
        <v>0</v>
      </c>
      <c r="AV2367" s="135"/>
      <c r="AW2367" s="135"/>
      <c r="AX2367" s="135"/>
      <c r="AY2367" s="135"/>
      <c r="AZ2367" s="135"/>
      <c r="BA2367" s="135"/>
      <c r="BB2367" s="135"/>
      <c r="BC2367" s="135"/>
      <c r="BD2367" s="135"/>
      <c r="BE2367" s="135"/>
      <c r="BF2367" s="135"/>
      <c r="BG2367" s="135"/>
      <c r="BH2367" s="135"/>
      <c r="BI2367" s="2"/>
      <c r="BJ2367" s="136"/>
      <c r="BK2367" s="2"/>
      <c r="BL2367" s="136"/>
      <c r="BM2367" s="136"/>
      <c r="BN2367" s="2"/>
      <c r="BO2367" s="2"/>
      <c r="BP2367" s="136"/>
      <c r="BQ2367" s="137"/>
    </row>
    <row r="2368" spans="1:69" ht="12.75" customHeight="1" x14ac:dyDescent="0.2">
      <c r="A2368" s="2">
        <v>3857</v>
      </c>
      <c r="B2368" s="2"/>
      <c r="C2368" s="2"/>
      <c r="D2368" s="2"/>
      <c r="E2368" s="2"/>
      <c r="F2368" s="132">
        <v>0</v>
      </c>
      <c r="G2368" s="132"/>
      <c r="H2368" s="132">
        <f t="shared" si="269"/>
        <v>0</v>
      </c>
      <c r="I2368" s="132"/>
      <c r="J2368" s="132">
        <f t="shared" si="267"/>
        <v>0</v>
      </c>
      <c r="K2368" s="132">
        <f t="shared" si="270"/>
        <v>0</v>
      </c>
      <c r="L2368" s="132">
        <f t="shared" si="264"/>
        <v>0</v>
      </c>
      <c r="M2368" s="133"/>
      <c r="N2368" s="133">
        <f t="shared" si="268"/>
        <v>0</v>
      </c>
      <c r="O2368" s="134"/>
      <c r="P2368" s="133"/>
      <c r="Q2368" s="2"/>
      <c r="R2368" s="156">
        <f t="shared" si="265"/>
        <v>0</v>
      </c>
      <c r="S2368" s="156">
        <f t="shared" si="266"/>
        <v>0</v>
      </c>
      <c r="T2368" s="133"/>
      <c r="U2368" s="133"/>
      <c r="V2368" s="133"/>
      <c r="W2368" s="133"/>
      <c r="X2368" s="133"/>
      <c r="Y2368" s="133"/>
      <c r="Z2368" s="133"/>
      <c r="AA2368" s="133"/>
      <c r="AB2368" s="133"/>
      <c r="AC2368" s="133"/>
      <c r="AD2368" s="133"/>
      <c r="AE2368" s="133"/>
      <c r="AF2368" s="133"/>
      <c r="AG2368" s="133"/>
      <c r="AH2368" s="133"/>
      <c r="AI2368" s="133"/>
      <c r="AJ2368" s="133"/>
      <c r="AK2368" s="133"/>
      <c r="AL2368" s="133"/>
      <c r="AM2368" s="133"/>
      <c r="AN2368" s="133"/>
      <c r="AO2368" s="133"/>
      <c r="AP2368" s="133"/>
      <c r="AQ2368" s="133"/>
      <c r="AR2368" s="133"/>
      <c r="AS2368" s="153">
        <v>0</v>
      </c>
      <c r="AT2368" s="153">
        <v>0</v>
      </c>
      <c r="AU2368" s="153">
        <v>0</v>
      </c>
      <c r="AV2368" s="135"/>
      <c r="AW2368" s="135"/>
      <c r="AX2368" s="135"/>
      <c r="AY2368" s="135"/>
      <c r="AZ2368" s="135"/>
      <c r="BA2368" s="135"/>
      <c r="BB2368" s="135"/>
      <c r="BC2368" s="135"/>
      <c r="BD2368" s="135"/>
      <c r="BE2368" s="135"/>
      <c r="BF2368" s="135"/>
      <c r="BG2368" s="135"/>
      <c r="BH2368" s="135"/>
      <c r="BI2368" s="2"/>
      <c r="BJ2368" s="136"/>
      <c r="BK2368" s="2"/>
      <c r="BL2368" s="136"/>
      <c r="BM2368" s="136"/>
      <c r="BN2368" s="2"/>
      <c r="BO2368" s="2"/>
      <c r="BP2368" s="136"/>
      <c r="BQ2368" s="137"/>
    </row>
    <row r="2369" spans="1:69" ht="12.75" customHeight="1" x14ac:dyDescent="0.2">
      <c r="A2369" s="2">
        <v>3858</v>
      </c>
      <c r="B2369" s="2"/>
      <c r="C2369" s="2"/>
      <c r="D2369" s="2"/>
      <c r="E2369" s="2"/>
      <c r="F2369" s="132">
        <v>0</v>
      </c>
      <c r="G2369" s="132"/>
      <c r="H2369" s="132">
        <f t="shared" si="269"/>
        <v>0</v>
      </c>
      <c r="I2369" s="132"/>
      <c r="J2369" s="132">
        <f t="shared" si="267"/>
        <v>0</v>
      </c>
      <c r="K2369" s="132">
        <f t="shared" si="270"/>
        <v>0</v>
      </c>
      <c r="L2369" s="132">
        <f t="shared" si="264"/>
        <v>0</v>
      </c>
      <c r="M2369" s="133"/>
      <c r="N2369" s="133">
        <f t="shared" si="268"/>
        <v>0</v>
      </c>
      <c r="O2369" s="134"/>
      <c r="P2369" s="133"/>
      <c r="Q2369" s="2"/>
      <c r="R2369" s="156">
        <f t="shared" si="265"/>
        <v>0</v>
      </c>
      <c r="S2369" s="156">
        <f t="shared" si="266"/>
        <v>0</v>
      </c>
      <c r="T2369" s="133"/>
      <c r="U2369" s="133"/>
      <c r="V2369" s="133"/>
      <c r="W2369" s="133"/>
      <c r="X2369" s="133"/>
      <c r="Y2369" s="133"/>
      <c r="Z2369" s="133"/>
      <c r="AA2369" s="133"/>
      <c r="AB2369" s="133"/>
      <c r="AC2369" s="133"/>
      <c r="AD2369" s="133"/>
      <c r="AE2369" s="133"/>
      <c r="AF2369" s="133"/>
      <c r="AG2369" s="133"/>
      <c r="AH2369" s="133"/>
      <c r="AI2369" s="133"/>
      <c r="AJ2369" s="133"/>
      <c r="AK2369" s="133"/>
      <c r="AL2369" s="133"/>
      <c r="AM2369" s="133"/>
      <c r="AN2369" s="133"/>
      <c r="AO2369" s="133"/>
      <c r="AP2369" s="133"/>
      <c r="AQ2369" s="133"/>
      <c r="AR2369" s="133"/>
      <c r="AS2369" s="153">
        <v>0</v>
      </c>
      <c r="AT2369" s="153">
        <v>0</v>
      </c>
      <c r="AU2369" s="153">
        <v>0</v>
      </c>
      <c r="AV2369" s="135"/>
      <c r="AW2369" s="135"/>
      <c r="AX2369" s="135"/>
      <c r="AY2369" s="135"/>
      <c r="AZ2369" s="135"/>
      <c r="BA2369" s="135"/>
      <c r="BB2369" s="135"/>
      <c r="BC2369" s="135"/>
      <c r="BD2369" s="135"/>
      <c r="BE2369" s="135"/>
      <c r="BF2369" s="135"/>
      <c r="BG2369" s="135"/>
      <c r="BH2369" s="135"/>
      <c r="BI2369" s="2"/>
      <c r="BJ2369" s="136"/>
      <c r="BK2369" s="2"/>
      <c r="BL2369" s="136"/>
      <c r="BM2369" s="136"/>
      <c r="BN2369" s="2"/>
      <c r="BO2369" s="2"/>
      <c r="BP2369" s="136"/>
      <c r="BQ2369" s="137"/>
    </row>
    <row r="2370" spans="1:69" ht="12.75" customHeight="1" x14ac:dyDescent="0.2">
      <c r="A2370" s="2">
        <v>3859</v>
      </c>
      <c r="B2370" s="2"/>
      <c r="C2370" s="2"/>
      <c r="D2370" s="2"/>
      <c r="E2370" s="2"/>
      <c r="F2370" s="132">
        <v>0</v>
      </c>
      <c r="G2370" s="132"/>
      <c r="H2370" s="132">
        <f t="shared" si="269"/>
        <v>0</v>
      </c>
      <c r="I2370" s="132"/>
      <c r="J2370" s="132">
        <f t="shared" si="267"/>
        <v>0</v>
      </c>
      <c r="K2370" s="132">
        <f t="shared" si="270"/>
        <v>0</v>
      </c>
      <c r="L2370" s="132">
        <f t="shared" si="264"/>
        <v>0</v>
      </c>
      <c r="M2370" s="133"/>
      <c r="N2370" s="133">
        <f t="shared" si="268"/>
        <v>0</v>
      </c>
      <c r="O2370" s="134"/>
      <c r="P2370" s="133"/>
      <c r="Q2370" s="2"/>
      <c r="R2370" s="156">
        <f t="shared" si="265"/>
        <v>0</v>
      </c>
      <c r="S2370" s="156">
        <f t="shared" si="266"/>
        <v>0</v>
      </c>
      <c r="T2370" s="133"/>
      <c r="U2370" s="133"/>
      <c r="V2370" s="133"/>
      <c r="W2370" s="133"/>
      <c r="X2370" s="133"/>
      <c r="Y2370" s="133"/>
      <c r="Z2370" s="133"/>
      <c r="AA2370" s="133"/>
      <c r="AB2370" s="133"/>
      <c r="AC2370" s="133"/>
      <c r="AD2370" s="133"/>
      <c r="AE2370" s="133"/>
      <c r="AF2370" s="133"/>
      <c r="AG2370" s="133"/>
      <c r="AH2370" s="133"/>
      <c r="AI2370" s="133"/>
      <c r="AJ2370" s="133"/>
      <c r="AK2370" s="133"/>
      <c r="AL2370" s="133"/>
      <c r="AM2370" s="133"/>
      <c r="AN2370" s="133"/>
      <c r="AO2370" s="133"/>
      <c r="AP2370" s="133"/>
      <c r="AQ2370" s="133"/>
      <c r="AR2370" s="133"/>
      <c r="AS2370" s="153">
        <v>0</v>
      </c>
      <c r="AT2370" s="153">
        <v>0</v>
      </c>
      <c r="AU2370" s="153">
        <v>0</v>
      </c>
      <c r="AV2370" s="135"/>
      <c r="AW2370" s="135"/>
      <c r="AX2370" s="135"/>
      <c r="AY2370" s="135"/>
      <c r="AZ2370" s="135"/>
      <c r="BA2370" s="135"/>
      <c r="BB2370" s="135"/>
      <c r="BC2370" s="135"/>
      <c r="BD2370" s="135"/>
      <c r="BE2370" s="135"/>
      <c r="BF2370" s="135"/>
      <c r="BG2370" s="135"/>
      <c r="BH2370" s="135"/>
      <c r="BI2370" s="2"/>
      <c r="BJ2370" s="136"/>
      <c r="BK2370" s="2"/>
      <c r="BL2370" s="136"/>
      <c r="BM2370" s="136"/>
      <c r="BN2370" s="2"/>
      <c r="BO2370" s="2"/>
      <c r="BP2370" s="136"/>
      <c r="BQ2370" s="137"/>
    </row>
    <row r="2371" spans="1:69" ht="12.75" customHeight="1" x14ac:dyDescent="0.2">
      <c r="A2371" s="2">
        <v>3860</v>
      </c>
      <c r="B2371" s="2"/>
      <c r="C2371" s="2"/>
      <c r="D2371" s="2"/>
      <c r="E2371" s="2"/>
      <c r="F2371" s="132">
        <v>0</v>
      </c>
      <c r="G2371" s="132"/>
      <c r="H2371" s="132">
        <f t="shared" si="269"/>
        <v>0</v>
      </c>
      <c r="I2371" s="132"/>
      <c r="J2371" s="132">
        <f t="shared" si="267"/>
        <v>0</v>
      </c>
      <c r="K2371" s="132">
        <f t="shared" si="270"/>
        <v>0</v>
      </c>
      <c r="L2371" s="132">
        <f t="shared" si="264"/>
        <v>0</v>
      </c>
      <c r="M2371" s="133"/>
      <c r="N2371" s="133">
        <f t="shared" si="268"/>
        <v>0</v>
      </c>
      <c r="O2371" s="134"/>
      <c r="P2371" s="133"/>
      <c r="Q2371" s="2"/>
      <c r="R2371" s="156">
        <f t="shared" si="265"/>
        <v>0</v>
      </c>
      <c r="S2371" s="156">
        <f t="shared" si="266"/>
        <v>0</v>
      </c>
      <c r="T2371" s="133"/>
      <c r="U2371" s="133"/>
      <c r="V2371" s="133"/>
      <c r="W2371" s="133"/>
      <c r="X2371" s="133"/>
      <c r="Y2371" s="133"/>
      <c r="Z2371" s="133"/>
      <c r="AA2371" s="133"/>
      <c r="AB2371" s="133"/>
      <c r="AC2371" s="133"/>
      <c r="AD2371" s="133"/>
      <c r="AE2371" s="133"/>
      <c r="AF2371" s="133"/>
      <c r="AG2371" s="133"/>
      <c r="AH2371" s="133"/>
      <c r="AI2371" s="133"/>
      <c r="AJ2371" s="133"/>
      <c r="AK2371" s="133"/>
      <c r="AL2371" s="133"/>
      <c r="AM2371" s="133"/>
      <c r="AN2371" s="133"/>
      <c r="AO2371" s="133"/>
      <c r="AP2371" s="133"/>
      <c r="AQ2371" s="133"/>
      <c r="AR2371" s="133"/>
      <c r="AS2371" s="153">
        <v>0</v>
      </c>
      <c r="AT2371" s="153">
        <v>0</v>
      </c>
      <c r="AU2371" s="153">
        <v>0</v>
      </c>
      <c r="AV2371" s="135"/>
      <c r="AW2371" s="135"/>
      <c r="AX2371" s="135"/>
      <c r="AY2371" s="135"/>
      <c r="AZ2371" s="135"/>
      <c r="BA2371" s="135"/>
      <c r="BB2371" s="135"/>
      <c r="BC2371" s="135"/>
      <c r="BD2371" s="135"/>
      <c r="BE2371" s="135"/>
      <c r="BF2371" s="135"/>
      <c r="BG2371" s="135"/>
      <c r="BH2371" s="135"/>
      <c r="BI2371" s="2"/>
      <c r="BJ2371" s="136"/>
      <c r="BK2371" s="2"/>
      <c r="BL2371" s="136"/>
      <c r="BM2371" s="136"/>
      <c r="BN2371" s="2"/>
      <c r="BO2371" s="2"/>
      <c r="BP2371" s="136"/>
      <c r="BQ2371" s="137"/>
    </row>
    <row r="2372" spans="1:69" ht="12.75" customHeight="1" x14ac:dyDescent="0.2">
      <c r="A2372" s="2">
        <v>3861</v>
      </c>
      <c r="B2372" s="2"/>
      <c r="C2372" s="2"/>
      <c r="D2372" s="2"/>
      <c r="E2372" s="2"/>
      <c r="F2372" s="132">
        <v>0</v>
      </c>
      <c r="G2372" s="132"/>
      <c r="H2372" s="132">
        <f t="shared" si="269"/>
        <v>0</v>
      </c>
      <c r="I2372" s="132"/>
      <c r="J2372" s="132">
        <f t="shared" si="267"/>
        <v>0</v>
      </c>
      <c r="K2372" s="132">
        <f t="shared" si="270"/>
        <v>0</v>
      </c>
      <c r="L2372" s="132">
        <f t="shared" si="264"/>
        <v>0</v>
      </c>
      <c r="M2372" s="133"/>
      <c r="N2372" s="133">
        <f t="shared" si="268"/>
        <v>0</v>
      </c>
      <c r="O2372" s="134"/>
      <c r="P2372" s="133"/>
      <c r="Q2372" s="2"/>
      <c r="R2372" s="156">
        <f t="shared" si="265"/>
        <v>0</v>
      </c>
      <c r="S2372" s="156">
        <f t="shared" si="266"/>
        <v>0</v>
      </c>
      <c r="T2372" s="133"/>
      <c r="U2372" s="133"/>
      <c r="V2372" s="133"/>
      <c r="W2372" s="133"/>
      <c r="X2372" s="133"/>
      <c r="Y2372" s="133"/>
      <c r="Z2372" s="133"/>
      <c r="AA2372" s="133"/>
      <c r="AB2372" s="133"/>
      <c r="AC2372" s="133"/>
      <c r="AD2372" s="133"/>
      <c r="AE2372" s="133"/>
      <c r="AF2372" s="133"/>
      <c r="AG2372" s="133"/>
      <c r="AH2372" s="133"/>
      <c r="AI2372" s="133"/>
      <c r="AJ2372" s="133"/>
      <c r="AK2372" s="133"/>
      <c r="AL2372" s="133"/>
      <c r="AM2372" s="133"/>
      <c r="AN2372" s="133"/>
      <c r="AO2372" s="133"/>
      <c r="AP2372" s="133"/>
      <c r="AQ2372" s="133"/>
      <c r="AR2372" s="133"/>
      <c r="AS2372" s="153">
        <v>0</v>
      </c>
      <c r="AT2372" s="153">
        <v>0</v>
      </c>
      <c r="AU2372" s="153">
        <v>0</v>
      </c>
      <c r="AV2372" s="135"/>
      <c r="AW2372" s="135"/>
      <c r="AX2372" s="135"/>
      <c r="AY2372" s="135"/>
      <c r="AZ2372" s="135"/>
      <c r="BA2372" s="135"/>
      <c r="BB2372" s="135"/>
      <c r="BC2372" s="135"/>
      <c r="BD2372" s="135"/>
      <c r="BE2372" s="135"/>
      <c r="BF2372" s="135"/>
      <c r="BG2372" s="135"/>
      <c r="BH2372" s="135"/>
      <c r="BI2372" s="2"/>
      <c r="BJ2372" s="136"/>
      <c r="BK2372" s="2"/>
      <c r="BL2372" s="136"/>
      <c r="BM2372" s="136"/>
      <c r="BN2372" s="2"/>
      <c r="BO2372" s="2"/>
      <c r="BP2372" s="136"/>
      <c r="BQ2372" s="137"/>
    </row>
    <row r="2373" spans="1:69" ht="12.75" customHeight="1" x14ac:dyDescent="0.2">
      <c r="A2373" s="2">
        <v>3862</v>
      </c>
      <c r="B2373" s="2"/>
      <c r="C2373" s="2"/>
      <c r="D2373" s="2"/>
      <c r="E2373" s="2"/>
      <c r="F2373" s="132">
        <v>0</v>
      </c>
      <c r="G2373" s="132"/>
      <c r="H2373" s="132">
        <f t="shared" si="269"/>
        <v>0</v>
      </c>
      <c r="I2373" s="132"/>
      <c r="J2373" s="132">
        <f t="shared" si="267"/>
        <v>0</v>
      </c>
      <c r="K2373" s="132">
        <f t="shared" si="270"/>
        <v>0</v>
      </c>
      <c r="L2373" s="132">
        <f t="shared" si="264"/>
        <v>0</v>
      </c>
      <c r="M2373" s="133"/>
      <c r="N2373" s="133">
        <f t="shared" si="268"/>
        <v>0</v>
      </c>
      <c r="O2373" s="134"/>
      <c r="P2373" s="133"/>
      <c r="Q2373" s="2"/>
      <c r="R2373" s="156">
        <f t="shared" si="265"/>
        <v>0</v>
      </c>
      <c r="S2373" s="156">
        <f t="shared" si="266"/>
        <v>0</v>
      </c>
      <c r="T2373" s="133"/>
      <c r="U2373" s="133"/>
      <c r="V2373" s="133"/>
      <c r="W2373" s="133"/>
      <c r="X2373" s="133"/>
      <c r="Y2373" s="133"/>
      <c r="Z2373" s="133"/>
      <c r="AA2373" s="133"/>
      <c r="AB2373" s="133"/>
      <c r="AC2373" s="133"/>
      <c r="AD2373" s="133"/>
      <c r="AE2373" s="133"/>
      <c r="AF2373" s="133"/>
      <c r="AG2373" s="133"/>
      <c r="AH2373" s="133"/>
      <c r="AI2373" s="133"/>
      <c r="AJ2373" s="133"/>
      <c r="AK2373" s="133"/>
      <c r="AL2373" s="133"/>
      <c r="AM2373" s="133"/>
      <c r="AN2373" s="133"/>
      <c r="AO2373" s="133"/>
      <c r="AP2373" s="133"/>
      <c r="AQ2373" s="133"/>
      <c r="AR2373" s="133"/>
      <c r="AS2373" s="153">
        <v>0</v>
      </c>
      <c r="AT2373" s="153">
        <v>0</v>
      </c>
      <c r="AU2373" s="153">
        <v>0</v>
      </c>
      <c r="AV2373" s="135"/>
      <c r="AW2373" s="135"/>
      <c r="AX2373" s="135"/>
      <c r="AY2373" s="135"/>
      <c r="AZ2373" s="135"/>
      <c r="BA2373" s="135"/>
      <c r="BB2373" s="135"/>
      <c r="BC2373" s="135"/>
      <c r="BD2373" s="135"/>
      <c r="BE2373" s="135"/>
      <c r="BF2373" s="135"/>
      <c r="BG2373" s="135"/>
      <c r="BH2373" s="135"/>
      <c r="BI2373" s="2"/>
      <c r="BJ2373" s="136"/>
      <c r="BK2373" s="2"/>
      <c r="BL2373" s="136"/>
      <c r="BM2373" s="136"/>
      <c r="BN2373" s="2"/>
      <c r="BO2373" s="2"/>
      <c r="BP2373" s="136"/>
      <c r="BQ2373" s="137"/>
    </row>
    <row r="2374" spans="1:69" ht="12.75" customHeight="1" x14ac:dyDescent="0.2">
      <c r="A2374" s="2">
        <v>3863</v>
      </c>
      <c r="B2374" s="2"/>
      <c r="C2374" s="2"/>
      <c r="D2374" s="2"/>
      <c r="E2374" s="2"/>
      <c r="F2374" s="132">
        <v>0</v>
      </c>
      <c r="G2374" s="132"/>
      <c r="H2374" s="132">
        <f t="shared" si="269"/>
        <v>0</v>
      </c>
      <c r="I2374" s="132"/>
      <c r="J2374" s="132">
        <f t="shared" si="267"/>
        <v>0</v>
      </c>
      <c r="K2374" s="132">
        <f t="shared" si="270"/>
        <v>0</v>
      </c>
      <c r="L2374" s="132">
        <f t="shared" si="264"/>
        <v>0</v>
      </c>
      <c r="M2374" s="133"/>
      <c r="N2374" s="133">
        <f t="shared" si="268"/>
        <v>0</v>
      </c>
      <c r="O2374" s="134"/>
      <c r="P2374" s="133"/>
      <c r="Q2374" s="2"/>
      <c r="R2374" s="156">
        <f t="shared" si="265"/>
        <v>0</v>
      </c>
      <c r="S2374" s="156">
        <f t="shared" si="266"/>
        <v>0</v>
      </c>
      <c r="T2374" s="133"/>
      <c r="U2374" s="133"/>
      <c r="V2374" s="133"/>
      <c r="W2374" s="133"/>
      <c r="X2374" s="133"/>
      <c r="Y2374" s="133"/>
      <c r="Z2374" s="133"/>
      <c r="AA2374" s="133"/>
      <c r="AB2374" s="133"/>
      <c r="AC2374" s="133"/>
      <c r="AD2374" s="133"/>
      <c r="AE2374" s="133"/>
      <c r="AF2374" s="133"/>
      <c r="AG2374" s="133"/>
      <c r="AH2374" s="133"/>
      <c r="AI2374" s="133"/>
      <c r="AJ2374" s="133"/>
      <c r="AK2374" s="133"/>
      <c r="AL2374" s="133"/>
      <c r="AM2374" s="133"/>
      <c r="AN2374" s="133"/>
      <c r="AO2374" s="133"/>
      <c r="AP2374" s="133"/>
      <c r="AQ2374" s="133"/>
      <c r="AR2374" s="133"/>
      <c r="AS2374" s="153">
        <v>0</v>
      </c>
      <c r="AT2374" s="153">
        <v>0</v>
      </c>
      <c r="AU2374" s="153">
        <v>0</v>
      </c>
      <c r="AV2374" s="135"/>
      <c r="AW2374" s="135"/>
      <c r="AX2374" s="135"/>
      <c r="AY2374" s="135"/>
      <c r="AZ2374" s="135"/>
      <c r="BA2374" s="135"/>
      <c r="BB2374" s="135"/>
      <c r="BC2374" s="135"/>
      <c r="BD2374" s="135"/>
      <c r="BE2374" s="135"/>
      <c r="BF2374" s="135"/>
      <c r="BG2374" s="135"/>
      <c r="BH2374" s="135"/>
      <c r="BI2374" s="2"/>
      <c r="BJ2374" s="136"/>
      <c r="BK2374" s="2"/>
      <c r="BL2374" s="136"/>
      <c r="BM2374" s="136"/>
      <c r="BN2374" s="2"/>
      <c r="BO2374" s="2"/>
      <c r="BP2374" s="136"/>
      <c r="BQ2374" s="137"/>
    </row>
    <row r="2375" spans="1:69" ht="12.75" customHeight="1" x14ac:dyDescent="0.2">
      <c r="A2375" s="2">
        <v>3864</v>
      </c>
      <c r="B2375" s="2"/>
      <c r="C2375" s="2"/>
      <c r="D2375" s="2"/>
      <c r="E2375" s="2"/>
      <c r="F2375" s="132">
        <v>0</v>
      </c>
      <c r="G2375" s="132"/>
      <c r="H2375" s="132">
        <f t="shared" si="269"/>
        <v>0</v>
      </c>
      <c r="I2375" s="132"/>
      <c r="J2375" s="132">
        <f t="shared" si="267"/>
        <v>0</v>
      </c>
      <c r="K2375" s="132">
        <f t="shared" si="270"/>
        <v>0</v>
      </c>
      <c r="L2375" s="132">
        <f t="shared" si="264"/>
        <v>0</v>
      </c>
      <c r="M2375" s="133"/>
      <c r="N2375" s="133">
        <f t="shared" si="268"/>
        <v>0</v>
      </c>
      <c r="O2375" s="134"/>
      <c r="P2375" s="133"/>
      <c r="Q2375" s="2"/>
      <c r="R2375" s="156">
        <f t="shared" si="265"/>
        <v>0</v>
      </c>
      <c r="S2375" s="156">
        <f t="shared" si="266"/>
        <v>0</v>
      </c>
      <c r="T2375" s="133"/>
      <c r="U2375" s="133"/>
      <c r="V2375" s="133"/>
      <c r="W2375" s="133"/>
      <c r="X2375" s="133"/>
      <c r="Y2375" s="133"/>
      <c r="Z2375" s="133"/>
      <c r="AA2375" s="133"/>
      <c r="AB2375" s="133"/>
      <c r="AC2375" s="133"/>
      <c r="AD2375" s="133"/>
      <c r="AE2375" s="133"/>
      <c r="AF2375" s="133"/>
      <c r="AG2375" s="133"/>
      <c r="AH2375" s="133"/>
      <c r="AI2375" s="133"/>
      <c r="AJ2375" s="133"/>
      <c r="AK2375" s="133"/>
      <c r="AL2375" s="133"/>
      <c r="AM2375" s="133"/>
      <c r="AN2375" s="133"/>
      <c r="AO2375" s="133"/>
      <c r="AP2375" s="133"/>
      <c r="AQ2375" s="133"/>
      <c r="AR2375" s="133"/>
      <c r="AS2375" s="153">
        <v>0</v>
      </c>
      <c r="AT2375" s="153">
        <v>0</v>
      </c>
      <c r="AU2375" s="153">
        <v>0</v>
      </c>
      <c r="AV2375" s="135"/>
      <c r="AW2375" s="135"/>
      <c r="AX2375" s="135"/>
      <c r="AY2375" s="135"/>
      <c r="AZ2375" s="135"/>
      <c r="BA2375" s="135"/>
      <c r="BB2375" s="135"/>
      <c r="BC2375" s="135"/>
      <c r="BD2375" s="135"/>
      <c r="BE2375" s="135"/>
      <c r="BF2375" s="135"/>
      <c r="BG2375" s="135"/>
      <c r="BH2375" s="135"/>
      <c r="BI2375" s="2"/>
      <c r="BJ2375" s="136"/>
      <c r="BK2375" s="2"/>
      <c r="BL2375" s="136"/>
      <c r="BM2375" s="136"/>
      <c r="BN2375" s="2"/>
      <c r="BO2375" s="2"/>
      <c r="BP2375" s="136"/>
      <c r="BQ2375" s="137"/>
    </row>
    <row r="2376" spans="1:69" ht="12.75" customHeight="1" x14ac:dyDescent="0.2">
      <c r="A2376" s="2">
        <v>3865</v>
      </c>
      <c r="B2376" s="2"/>
      <c r="C2376" s="2"/>
      <c r="D2376" s="2"/>
      <c r="E2376" s="2"/>
      <c r="F2376" s="132">
        <v>0</v>
      </c>
      <c r="G2376" s="132"/>
      <c r="H2376" s="132">
        <f t="shared" si="269"/>
        <v>0</v>
      </c>
      <c r="I2376" s="132"/>
      <c r="J2376" s="132">
        <f t="shared" si="267"/>
        <v>0</v>
      </c>
      <c r="K2376" s="132">
        <f t="shared" si="270"/>
        <v>0</v>
      </c>
      <c r="L2376" s="132">
        <f t="shared" si="264"/>
        <v>0</v>
      </c>
      <c r="M2376" s="133"/>
      <c r="N2376" s="133">
        <f t="shared" si="268"/>
        <v>0</v>
      </c>
      <c r="O2376" s="134"/>
      <c r="P2376" s="133"/>
      <c r="Q2376" s="2"/>
      <c r="R2376" s="156">
        <f t="shared" si="265"/>
        <v>0</v>
      </c>
      <c r="S2376" s="156">
        <f t="shared" si="266"/>
        <v>0</v>
      </c>
      <c r="T2376" s="133"/>
      <c r="U2376" s="133"/>
      <c r="V2376" s="133"/>
      <c r="W2376" s="133"/>
      <c r="X2376" s="133"/>
      <c r="Y2376" s="133"/>
      <c r="Z2376" s="133"/>
      <c r="AA2376" s="133"/>
      <c r="AB2376" s="133"/>
      <c r="AC2376" s="133"/>
      <c r="AD2376" s="133"/>
      <c r="AE2376" s="133"/>
      <c r="AF2376" s="133"/>
      <c r="AG2376" s="133"/>
      <c r="AH2376" s="133"/>
      <c r="AI2376" s="133"/>
      <c r="AJ2376" s="133"/>
      <c r="AK2376" s="133"/>
      <c r="AL2376" s="133"/>
      <c r="AM2376" s="133"/>
      <c r="AN2376" s="133"/>
      <c r="AO2376" s="133"/>
      <c r="AP2376" s="133"/>
      <c r="AQ2376" s="133"/>
      <c r="AR2376" s="133"/>
      <c r="AS2376" s="153">
        <v>0</v>
      </c>
      <c r="AT2376" s="153">
        <v>0</v>
      </c>
      <c r="AU2376" s="153">
        <v>0</v>
      </c>
      <c r="AV2376" s="135"/>
      <c r="AW2376" s="135"/>
      <c r="AX2376" s="135"/>
      <c r="AY2376" s="135"/>
      <c r="AZ2376" s="135"/>
      <c r="BA2376" s="135"/>
      <c r="BB2376" s="135"/>
      <c r="BC2376" s="135"/>
      <c r="BD2376" s="135"/>
      <c r="BE2376" s="135"/>
      <c r="BF2376" s="135"/>
      <c r="BG2376" s="135"/>
      <c r="BH2376" s="135"/>
      <c r="BI2376" s="2"/>
      <c r="BJ2376" s="136"/>
      <c r="BK2376" s="2"/>
      <c r="BL2376" s="136"/>
      <c r="BM2376" s="136"/>
      <c r="BN2376" s="2"/>
      <c r="BO2376" s="2"/>
      <c r="BP2376" s="136"/>
      <c r="BQ2376" s="137"/>
    </row>
    <row r="2377" spans="1:69" ht="12.75" customHeight="1" x14ac:dyDescent="0.2">
      <c r="A2377" s="2">
        <v>3866</v>
      </c>
      <c r="B2377" s="2"/>
      <c r="C2377" s="2"/>
      <c r="D2377" s="2"/>
      <c r="E2377" s="2"/>
      <c r="F2377" s="132">
        <v>0</v>
      </c>
      <c r="G2377" s="132"/>
      <c r="H2377" s="132">
        <f t="shared" si="269"/>
        <v>0</v>
      </c>
      <c r="I2377" s="132"/>
      <c r="J2377" s="132">
        <f t="shared" si="267"/>
        <v>0</v>
      </c>
      <c r="K2377" s="132">
        <f t="shared" si="270"/>
        <v>0</v>
      </c>
      <c r="L2377" s="132">
        <f t="shared" si="264"/>
        <v>0</v>
      </c>
      <c r="M2377" s="133"/>
      <c r="N2377" s="133">
        <f t="shared" si="268"/>
        <v>0</v>
      </c>
      <c r="O2377" s="134"/>
      <c r="P2377" s="133"/>
      <c r="Q2377" s="2"/>
      <c r="R2377" s="156">
        <f t="shared" si="265"/>
        <v>0</v>
      </c>
      <c r="S2377" s="156">
        <f t="shared" si="266"/>
        <v>0</v>
      </c>
      <c r="T2377" s="133"/>
      <c r="U2377" s="133"/>
      <c r="V2377" s="133"/>
      <c r="W2377" s="133"/>
      <c r="X2377" s="133"/>
      <c r="Y2377" s="133"/>
      <c r="Z2377" s="133"/>
      <c r="AA2377" s="133"/>
      <c r="AB2377" s="133"/>
      <c r="AC2377" s="133"/>
      <c r="AD2377" s="133"/>
      <c r="AE2377" s="133"/>
      <c r="AF2377" s="133"/>
      <c r="AG2377" s="133"/>
      <c r="AH2377" s="133"/>
      <c r="AI2377" s="133"/>
      <c r="AJ2377" s="133"/>
      <c r="AK2377" s="133"/>
      <c r="AL2377" s="133"/>
      <c r="AM2377" s="133"/>
      <c r="AN2377" s="133"/>
      <c r="AO2377" s="133"/>
      <c r="AP2377" s="133"/>
      <c r="AQ2377" s="133"/>
      <c r="AR2377" s="133"/>
      <c r="AS2377" s="153">
        <v>0</v>
      </c>
      <c r="AT2377" s="153">
        <v>0</v>
      </c>
      <c r="AU2377" s="153">
        <v>0</v>
      </c>
      <c r="AV2377" s="135"/>
      <c r="AW2377" s="135"/>
      <c r="AX2377" s="135"/>
      <c r="AY2377" s="135"/>
      <c r="AZ2377" s="135"/>
      <c r="BA2377" s="135"/>
      <c r="BB2377" s="135"/>
      <c r="BC2377" s="135"/>
      <c r="BD2377" s="135"/>
      <c r="BE2377" s="135"/>
      <c r="BF2377" s="135"/>
      <c r="BG2377" s="135"/>
      <c r="BH2377" s="135"/>
      <c r="BI2377" s="2"/>
      <c r="BJ2377" s="136"/>
      <c r="BK2377" s="2"/>
      <c r="BL2377" s="136"/>
      <c r="BM2377" s="136"/>
      <c r="BN2377" s="2"/>
      <c r="BO2377" s="2"/>
      <c r="BP2377" s="136"/>
      <c r="BQ2377" s="137"/>
    </row>
    <row r="2378" spans="1:69" ht="12.75" customHeight="1" x14ac:dyDescent="0.2">
      <c r="A2378" s="2">
        <v>3867</v>
      </c>
      <c r="B2378" s="2"/>
      <c r="C2378" s="2"/>
      <c r="D2378" s="2"/>
      <c r="E2378" s="2"/>
      <c r="F2378" s="132">
        <v>0</v>
      </c>
      <c r="G2378" s="132"/>
      <c r="H2378" s="132">
        <f t="shared" si="269"/>
        <v>0</v>
      </c>
      <c r="I2378" s="132"/>
      <c r="J2378" s="132">
        <f t="shared" si="267"/>
        <v>0</v>
      </c>
      <c r="K2378" s="132">
        <f t="shared" si="270"/>
        <v>0</v>
      </c>
      <c r="L2378" s="132">
        <f t="shared" si="264"/>
        <v>0</v>
      </c>
      <c r="M2378" s="133"/>
      <c r="N2378" s="133">
        <f t="shared" si="268"/>
        <v>0</v>
      </c>
      <c r="O2378" s="134"/>
      <c r="P2378" s="133"/>
      <c r="Q2378" s="2"/>
      <c r="R2378" s="156">
        <f t="shared" si="265"/>
        <v>0</v>
      </c>
      <c r="S2378" s="156">
        <f t="shared" si="266"/>
        <v>0</v>
      </c>
      <c r="T2378" s="133"/>
      <c r="U2378" s="133"/>
      <c r="V2378" s="133"/>
      <c r="W2378" s="133"/>
      <c r="X2378" s="133"/>
      <c r="Y2378" s="133"/>
      <c r="Z2378" s="133"/>
      <c r="AA2378" s="133"/>
      <c r="AB2378" s="133"/>
      <c r="AC2378" s="133"/>
      <c r="AD2378" s="133"/>
      <c r="AE2378" s="133"/>
      <c r="AF2378" s="133"/>
      <c r="AG2378" s="133"/>
      <c r="AH2378" s="133"/>
      <c r="AI2378" s="133"/>
      <c r="AJ2378" s="133"/>
      <c r="AK2378" s="133"/>
      <c r="AL2378" s="133"/>
      <c r="AM2378" s="133"/>
      <c r="AN2378" s="133"/>
      <c r="AO2378" s="133"/>
      <c r="AP2378" s="133"/>
      <c r="AQ2378" s="133"/>
      <c r="AR2378" s="133"/>
      <c r="AS2378" s="153">
        <v>0</v>
      </c>
      <c r="AT2378" s="153">
        <v>0</v>
      </c>
      <c r="AU2378" s="153">
        <v>0</v>
      </c>
      <c r="AV2378" s="135"/>
      <c r="AW2378" s="135"/>
      <c r="AX2378" s="135"/>
      <c r="AY2378" s="135"/>
      <c r="AZ2378" s="135"/>
      <c r="BA2378" s="135"/>
      <c r="BB2378" s="135"/>
      <c r="BC2378" s="135"/>
      <c r="BD2378" s="135"/>
      <c r="BE2378" s="135"/>
      <c r="BF2378" s="135"/>
      <c r="BG2378" s="135"/>
      <c r="BH2378" s="135"/>
      <c r="BI2378" s="2"/>
      <c r="BJ2378" s="136"/>
      <c r="BK2378" s="2"/>
      <c r="BL2378" s="136"/>
      <c r="BM2378" s="136"/>
      <c r="BN2378" s="2"/>
      <c r="BO2378" s="2"/>
      <c r="BP2378" s="136"/>
      <c r="BQ2378" s="137"/>
    </row>
    <row r="2379" spans="1:69" ht="12.75" customHeight="1" x14ac:dyDescent="0.2">
      <c r="A2379" s="2">
        <v>3868</v>
      </c>
      <c r="B2379" s="2"/>
      <c r="C2379" s="2"/>
      <c r="D2379" s="2"/>
      <c r="E2379" s="2"/>
      <c r="F2379" s="132">
        <v>0</v>
      </c>
      <c r="G2379" s="132"/>
      <c r="H2379" s="132">
        <f t="shared" si="269"/>
        <v>0</v>
      </c>
      <c r="I2379" s="132"/>
      <c r="J2379" s="132">
        <f t="shared" si="267"/>
        <v>0</v>
      </c>
      <c r="K2379" s="132">
        <f t="shared" si="270"/>
        <v>0</v>
      </c>
      <c r="L2379" s="132">
        <f t="shared" ref="L2379:L2442" si="271">H2379-J2379</f>
        <v>0</v>
      </c>
      <c r="M2379" s="133"/>
      <c r="N2379" s="133">
        <f t="shared" si="268"/>
        <v>0</v>
      </c>
      <c r="O2379" s="134"/>
      <c r="P2379" s="133"/>
      <c r="Q2379" s="2"/>
      <c r="R2379" s="156">
        <f t="shared" ref="R2379:R2442" si="272">T2379+V2379+X2379+Z2379+AB2379+AD2379+AF2379+AH2379+AJ2379+AL2379+AN2379+AP2379</f>
        <v>0</v>
      </c>
      <c r="S2379" s="156">
        <f t="shared" ref="S2379:S2442" si="273">U2379+W2379+Y2379+AA2379+AC2379+AE2379+AG2379+AI2379+AK2379+AM2379+AO2379+AQ2379</f>
        <v>0</v>
      </c>
      <c r="T2379" s="133"/>
      <c r="U2379" s="133"/>
      <c r="V2379" s="133"/>
      <c r="W2379" s="133"/>
      <c r="X2379" s="133"/>
      <c r="Y2379" s="133"/>
      <c r="Z2379" s="133"/>
      <c r="AA2379" s="133"/>
      <c r="AB2379" s="133"/>
      <c r="AC2379" s="133"/>
      <c r="AD2379" s="133"/>
      <c r="AE2379" s="133"/>
      <c r="AF2379" s="133"/>
      <c r="AG2379" s="133"/>
      <c r="AH2379" s="133"/>
      <c r="AI2379" s="133"/>
      <c r="AJ2379" s="133"/>
      <c r="AK2379" s="133"/>
      <c r="AL2379" s="133"/>
      <c r="AM2379" s="133"/>
      <c r="AN2379" s="133"/>
      <c r="AO2379" s="133"/>
      <c r="AP2379" s="133"/>
      <c r="AQ2379" s="133"/>
      <c r="AR2379" s="133"/>
      <c r="AS2379" s="153">
        <v>0</v>
      </c>
      <c r="AT2379" s="153">
        <v>0</v>
      </c>
      <c r="AU2379" s="153">
        <v>0</v>
      </c>
      <c r="AV2379" s="135"/>
      <c r="AW2379" s="135"/>
      <c r="AX2379" s="135"/>
      <c r="AY2379" s="135"/>
      <c r="AZ2379" s="135"/>
      <c r="BA2379" s="135"/>
      <c r="BB2379" s="135"/>
      <c r="BC2379" s="135"/>
      <c r="BD2379" s="135"/>
      <c r="BE2379" s="135"/>
      <c r="BF2379" s="135"/>
      <c r="BG2379" s="135"/>
      <c r="BH2379" s="135"/>
      <c r="BI2379" s="2"/>
      <c r="BJ2379" s="136"/>
      <c r="BK2379" s="2"/>
      <c r="BL2379" s="136"/>
      <c r="BM2379" s="136"/>
      <c r="BN2379" s="2"/>
      <c r="BO2379" s="2"/>
      <c r="BP2379" s="136"/>
      <c r="BQ2379" s="137"/>
    </row>
    <row r="2380" spans="1:69" ht="12.75" customHeight="1" x14ac:dyDescent="0.2">
      <c r="A2380" s="2">
        <v>3869</v>
      </c>
      <c r="B2380" s="2"/>
      <c r="C2380" s="2"/>
      <c r="D2380" s="2"/>
      <c r="E2380" s="2"/>
      <c r="F2380" s="132">
        <v>0</v>
      </c>
      <c r="G2380" s="132"/>
      <c r="H2380" s="132">
        <f t="shared" si="269"/>
        <v>0</v>
      </c>
      <c r="I2380" s="132"/>
      <c r="J2380" s="132">
        <f t="shared" si="267"/>
        <v>0</v>
      </c>
      <c r="K2380" s="132">
        <f t="shared" si="270"/>
        <v>0</v>
      </c>
      <c r="L2380" s="132">
        <f t="shared" si="271"/>
        <v>0</v>
      </c>
      <c r="M2380" s="133"/>
      <c r="N2380" s="133">
        <f t="shared" si="268"/>
        <v>0</v>
      </c>
      <c r="O2380" s="134"/>
      <c r="P2380" s="133"/>
      <c r="Q2380" s="2"/>
      <c r="R2380" s="156">
        <f t="shared" si="272"/>
        <v>0</v>
      </c>
      <c r="S2380" s="156">
        <f t="shared" si="273"/>
        <v>0</v>
      </c>
      <c r="T2380" s="133"/>
      <c r="U2380" s="133"/>
      <c r="V2380" s="133"/>
      <c r="W2380" s="133"/>
      <c r="X2380" s="133"/>
      <c r="Y2380" s="133"/>
      <c r="Z2380" s="133"/>
      <c r="AA2380" s="133"/>
      <c r="AB2380" s="133"/>
      <c r="AC2380" s="133"/>
      <c r="AD2380" s="133"/>
      <c r="AE2380" s="133"/>
      <c r="AF2380" s="133"/>
      <c r="AG2380" s="133"/>
      <c r="AH2380" s="133"/>
      <c r="AI2380" s="133"/>
      <c r="AJ2380" s="133"/>
      <c r="AK2380" s="133"/>
      <c r="AL2380" s="133"/>
      <c r="AM2380" s="133"/>
      <c r="AN2380" s="133"/>
      <c r="AO2380" s="133"/>
      <c r="AP2380" s="133"/>
      <c r="AQ2380" s="133"/>
      <c r="AR2380" s="133"/>
      <c r="AS2380" s="153">
        <v>0</v>
      </c>
      <c r="AT2380" s="153">
        <v>0</v>
      </c>
      <c r="AU2380" s="153">
        <v>0</v>
      </c>
      <c r="AV2380" s="135"/>
      <c r="AW2380" s="135"/>
      <c r="AX2380" s="135"/>
      <c r="AY2380" s="135"/>
      <c r="AZ2380" s="135"/>
      <c r="BA2380" s="135"/>
      <c r="BB2380" s="135"/>
      <c r="BC2380" s="135"/>
      <c r="BD2380" s="135"/>
      <c r="BE2380" s="135"/>
      <c r="BF2380" s="135"/>
      <c r="BG2380" s="135"/>
      <c r="BH2380" s="135"/>
      <c r="BI2380" s="2"/>
      <c r="BJ2380" s="136"/>
      <c r="BK2380" s="2"/>
      <c r="BL2380" s="136"/>
      <c r="BM2380" s="136"/>
      <c r="BN2380" s="2"/>
      <c r="BO2380" s="2"/>
      <c r="BP2380" s="136"/>
      <c r="BQ2380" s="137"/>
    </row>
    <row r="2381" spans="1:69" ht="12.75" customHeight="1" x14ac:dyDescent="0.2">
      <c r="A2381" s="2">
        <v>3870</v>
      </c>
      <c r="B2381" s="2"/>
      <c r="C2381" s="2"/>
      <c r="D2381" s="2"/>
      <c r="E2381" s="2"/>
      <c r="F2381" s="132">
        <v>0</v>
      </c>
      <c r="G2381" s="132"/>
      <c r="H2381" s="132">
        <f t="shared" si="269"/>
        <v>0</v>
      </c>
      <c r="I2381" s="132"/>
      <c r="J2381" s="132">
        <f t="shared" si="267"/>
        <v>0</v>
      </c>
      <c r="K2381" s="132">
        <f t="shared" si="270"/>
        <v>0</v>
      </c>
      <c r="L2381" s="132">
        <f t="shared" si="271"/>
        <v>0</v>
      </c>
      <c r="M2381" s="133"/>
      <c r="N2381" s="133">
        <f t="shared" si="268"/>
        <v>0</v>
      </c>
      <c r="O2381" s="134"/>
      <c r="P2381" s="133"/>
      <c r="Q2381" s="2"/>
      <c r="R2381" s="156">
        <f t="shared" si="272"/>
        <v>0</v>
      </c>
      <c r="S2381" s="156">
        <f t="shared" si="273"/>
        <v>0</v>
      </c>
      <c r="T2381" s="133"/>
      <c r="U2381" s="133"/>
      <c r="V2381" s="133"/>
      <c r="W2381" s="133"/>
      <c r="X2381" s="133"/>
      <c r="Y2381" s="133"/>
      <c r="Z2381" s="133"/>
      <c r="AA2381" s="133"/>
      <c r="AB2381" s="133"/>
      <c r="AC2381" s="133"/>
      <c r="AD2381" s="133"/>
      <c r="AE2381" s="133"/>
      <c r="AF2381" s="133"/>
      <c r="AG2381" s="133"/>
      <c r="AH2381" s="133"/>
      <c r="AI2381" s="133"/>
      <c r="AJ2381" s="133"/>
      <c r="AK2381" s="133"/>
      <c r="AL2381" s="133"/>
      <c r="AM2381" s="133"/>
      <c r="AN2381" s="133"/>
      <c r="AO2381" s="133"/>
      <c r="AP2381" s="133"/>
      <c r="AQ2381" s="133"/>
      <c r="AR2381" s="133"/>
      <c r="AS2381" s="153">
        <v>0</v>
      </c>
      <c r="AT2381" s="153">
        <v>0</v>
      </c>
      <c r="AU2381" s="153">
        <v>0</v>
      </c>
      <c r="AV2381" s="135"/>
      <c r="AW2381" s="135"/>
      <c r="AX2381" s="135"/>
      <c r="AY2381" s="135"/>
      <c r="AZ2381" s="135"/>
      <c r="BA2381" s="135"/>
      <c r="BB2381" s="135"/>
      <c r="BC2381" s="135"/>
      <c r="BD2381" s="135"/>
      <c r="BE2381" s="135"/>
      <c r="BF2381" s="135"/>
      <c r="BG2381" s="135"/>
      <c r="BH2381" s="135"/>
      <c r="BI2381" s="2"/>
      <c r="BJ2381" s="136"/>
      <c r="BK2381" s="2"/>
      <c r="BL2381" s="136"/>
      <c r="BM2381" s="136"/>
      <c r="BN2381" s="2"/>
      <c r="BO2381" s="2"/>
      <c r="BP2381" s="136"/>
      <c r="BQ2381" s="137"/>
    </row>
    <row r="2382" spans="1:69" ht="12.75" customHeight="1" x14ac:dyDescent="0.2">
      <c r="A2382" s="2">
        <v>3871</v>
      </c>
      <c r="B2382" s="2"/>
      <c r="C2382" s="2"/>
      <c r="D2382" s="2"/>
      <c r="E2382" s="2"/>
      <c r="F2382" s="132">
        <v>0</v>
      </c>
      <c r="G2382" s="132"/>
      <c r="H2382" s="132">
        <f t="shared" si="269"/>
        <v>0</v>
      </c>
      <c r="I2382" s="132"/>
      <c r="J2382" s="132">
        <f t="shared" si="267"/>
        <v>0</v>
      </c>
      <c r="K2382" s="132">
        <f t="shared" si="270"/>
        <v>0</v>
      </c>
      <c r="L2382" s="132">
        <f t="shared" si="271"/>
        <v>0</v>
      </c>
      <c r="M2382" s="133"/>
      <c r="N2382" s="133">
        <f t="shared" si="268"/>
        <v>0</v>
      </c>
      <c r="O2382" s="134"/>
      <c r="P2382" s="133"/>
      <c r="Q2382" s="2"/>
      <c r="R2382" s="156">
        <f t="shared" si="272"/>
        <v>0</v>
      </c>
      <c r="S2382" s="156">
        <f t="shared" si="273"/>
        <v>0</v>
      </c>
      <c r="T2382" s="133"/>
      <c r="U2382" s="133"/>
      <c r="V2382" s="133"/>
      <c r="W2382" s="133"/>
      <c r="X2382" s="133"/>
      <c r="Y2382" s="133"/>
      <c r="Z2382" s="133"/>
      <c r="AA2382" s="133"/>
      <c r="AB2382" s="133"/>
      <c r="AC2382" s="133"/>
      <c r="AD2382" s="133"/>
      <c r="AE2382" s="133"/>
      <c r="AF2382" s="133"/>
      <c r="AG2382" s="133"/>
      <c r="AH2382" s="133"/>
      <c r="AI2382" s="133"/>
      <c r="AJ2382" s="133"/>
      <c r="AK2382" s="133"/>
      <c r="AL2382" s="133"/>
      <c r="AM2382" s="133"/>
      <c r="AN2382" s="133"/>
      <c r="AO2382" s="133"/>
      <c r="AP2382" s="133"/>
      <c r="AQ2382" s="133"/>
      <c r="AR2382" s="133"/>
      <c r="AS2382" s="153">
        <v>0</v>
      </c>
      <c r="AT2382" s="153">
        <v>0</v>
      </c>
      <c r="AU2382" s="153">
        <v>0</v>
      </c>
      <c r="AV2382" s="135"/>
      <c r="AW2382" s="135"/>
      <c r="AX2382" s="135"/>
      <c r="AY2382" s="135"/>
      <c r="AZ2382" s="135"/>
      <c r="BA2382" s="135"/>
      <c r="BB2382" s="135"/>
      <c r="BC2382" s="135"/>
      <c r="BD2382" s="135"/>
      <c r="BE2382" s="135"/>
      <c r="BF2382" s="135"/>
      <c r="BG2382" s="135"/>
      <c r="BH2382" s="135"/>
      <c r="BI2382" s="2"/>
      <c r="BJ2382" s="136"/>
      <c r="BK2382" s="2"/>
      <c r="BL2382" s="136"/>
      <c r="BM2382" s="136"/>
      <c r="BN2382" s="2"/>
      <c r="BO2382" s="2"/>
      <c r="BP2382" s="136"/>
      <c r="BQ2382" s="137"/>
    </row>
    <row r="2383" spans="1:69" ht="12.75" customHeight="1" x14ac:dyDescent="0.2">
      <c r="A2383" s="2">
        <v>3872</v>
      </c>
      <c r="B2383" s="2"/>
      <c r="C2383" s="2"/>
      <c r="D2383" s="2"/>
      <c r="E2383" s="2"/>
      <c r="F2383" s="132">
        <v>0</v>
      </c>
      <c r="G2383" s="132"/>
      <c r="H2383" s="132">
        <f t="shared" si="269"/>
        <v>0</v>
      </c>
      <c r="I2383" s="132"/>
      <c r="J2383" s="132">
        <f t="shared" si="267"/>
        <v>0</v>
      </c>
      <c r="K2383" s="132">
        <f t="shared" si="270"/>
        <v>0</v>
      </c>
      <c r="L2383" s="132">
        <f t="shared" si="271"/>
        <v>0</v>
      </c>
      <c r="M2383" s="133"/>
      <c r="N2383" s="133">
        <f t="shared" si="268"/>
        <v>0</v>
      </c>
      <c r="O2383" s="134"/>
      <c r="P2383" s="133"/>
      <c r="Q2383" s="2"/>
      <c r="R2383" s="156">
        <f t="shared" si="272"/>
        <v>0</v>
      </c>
      <c r="S2383" s="156">
        <f t="shared" si="273"/>
        <v>0</v>
      </c>
      <c r="T2383" s="133"/>
      <c r="U2383" s="133"/>
      <c r="V2383" s="133"/>
      <c r="W2383" s="133"/>
      <c r="X2383" s="133"/>
      <c r="Y2383" s="133"/>
      <c r="Z2383" s="133"/>
      <c r="AA2383" s="133"/>
      <c r="AB2383" s="133"/>
      <c r="AC2383" s="133"/>
      <c r="AD2383" s="133"/>
      <c r="AE2383" s="133"/>
      <c r="AF2383" s="133"/>
      <c r="AG2383" s="133"/>
      <c r="AH2383" s="133"/>
      <c r="AI2383" s="133"/>
      <c r="AJ2383" s="133"/>
      <c r="AK2383" s="133"/>
      <c r="AL2383" s="133"/>
      <c r="AM2383" s="133"/>
      <c r="AN2383" s="133"/>
      <c r="AO2383" s="133"/>
      <c r="AP2383" s="133"/>
      <c r="AQ2383" s="133"/>
      <c r="AR2383" s="133"/>
      <c r="AS2383" s="153">
        <v>0</v>
      </c>
      <c r="AT2383" s="153">
        <v>0</v>
      </c>
      <c r="AU2383" s="153">
        <v>0</v>
      </c>
      <c r="AV2383" s="135"/>
      <c r="AW2383" s="135"/>
      <c r="AX2383" s="135"/>
      <c r="AY2383" s="135"/>
      <c r="AZ2383" s="135"/>
      <c r="BA2383" s="135"/>
      <c r="BB2383" s="135"/>
      <c r="BC2383" s="135"/>
      <c r="BD2383" s="135"/>
      <c r="BE2383" s="135"/>
      <c r="BF2383" s="135"/>
      <c r="BG2383" s="135"/>
      <c r="BH2383" s="135"/>
      <c r="BI2383" s="2"/>
      <c r="BJ2383" s="136"/>
      <c r="BK2383" s="2"/>
      <c r="BL2383" s="136"/>
      <c r="BM2383" s="136"/>
      <c r="BN2383" s="2"/>
      <c r="BO2383" s="2"/>
      <c r="BP2383" s="136"/>
      <c r="BQ2383" s="137"/>
    </row>
    <row r="2384" spans="1:69" ht="12.75" customHeight="1" x14ac:dyDescent="0.2">
      <c r="A2384" s="2">
        <v>3873</v>
      </c>
      <c r="B2384" s="2"/>
      <c r="C2384" s="2"/>
      <c r="D2384" s="2"/>
      <c r="E2384" s="2"/>
      <c r="F2384" s="132">
        <v>0</v>
      </c>
      <c r="G2384" s="132"/>
      <c r="H2384" s="132">
        <f t="shared" si="269"/>
        <v>0</v>
      </c>
      <c r="I2384" s="132"/>
      <c r="J2384" s="132">
        <f t="shared" si="267"/>
        <v>0</v>
      </c>
      <c r="K2384" s="132">
        <f t="shared" si="270"/>
        <v>0</v>
      </c>
      <c r="L2384" s="132">
        <f t="shared" si="271"/>
        <v>0</v>
      </c>
      <c r="M2384" s="133"/>
      <c r="N2384" s="133">
        <f t="shared" si="268"/>
        <v>0</v>
      </c>
      <c r="O2384" s="134"/>
      <c r="P2384" s="133"/>
      <c r="Q2384" s="2"/>
      <c r="R2384" s="156">
        <f t="shared" si="272"/>
        <v>0</v>
      </c>
      <c r="S2384" s="156">
        <f t="shared" si="273"/>
        <v>0</v>
      </c>
      <c r="T2384" s="133"/>
      <c r="U2384" s="133"/>
      <c r="V2384" s="133"/>
      <c r="W2384" s="133"/>
      <c r="X2384" s="133"/>
      <c r="Y2384" s="133"/>
      <c r="Z2384" s="133"/>
      <c r="AA2384" s="133"/>
      <c r="AB2384" s="133"/>
      <c r="AC2384" s="133"/>
      <c r="AD2384" s="133"/>
      <c r="AE2384" s="133"/>
      <c r="AF2384" s="133"/>
      <c r="AG2384" s="133"/>
      <c r="AH2384" s="133"/>
      <c r="AI2384" s="133"/>
      <c r="AJ2384" s="133"/>
      <c r="AK2384" s="133"/>
      <c r="AL2384" s="133"/>
      <c r="AM2384" s="133"/>
      <c r="AN2384" s="133"/>
      <c r="AO2384" s="133"/>
      <c r="AP2384" s="133"/>
      <c r="AQ2384" s="133"/>
      <c r="AR2384" s="133"/>
      <c r="AS2384" s="153">
        <v>0</v>
      </c>
      <c r="AT2384" s="153">
        <v>0</v>
      </c>
      <c r="AU2384" s="153">
        <v>0</v>
      </c>
      <c r="AV2384" s="135"/>
      <c r="AW2384" s="135"/>
      <c r="AX2384" s="135"/>
      <c r="AY2384" s="135"/>
      <c r="AZ2384" s="135"/>
      <c r="BA2384" s="135"/>
      <c r="BB2384" s="135"/>
      <c r="BC2384" s="135"/>
      <c r="BD2384" s="135"/>
      <c r="BE2384" s="135"/>
      <c r="BF2384" s="135"/>
      <c r="BG2384" s="135"/>
      <c r="BH2384" s="135"/>
      <c r="BI2384" s="2"/>
      <c r="BJ2384" s="136"/>
      <c r="BK2384" s="2"/>
      <c r="BL2384" s="136"/>
      <c r="BM2384" s="136"/>
      <c r="BN2384" s="2"/>
      <c r="BO2384" s="2"/>
      <c r="BP2384" s="136"/>
      <c r="BQ2384" s="137"/>
    </row>
    <row r="2385" spans="1:69" ht="12.75" customHeight="1" x14ac:dyDescent="0.2">
      <c r="A2385" s="2">
        <v>3874</v>
      </c>
      <c r="B2385" s="2"/>
      <c r="C2385" s="2"/>
      <c r="D2385" s="2"/>
      <c r="E2385" s="2"/>
      <c r="F2385" s="132">
        <v>0</v>
      </c>
      <c r="G2385" s="132"/>
      <c r="H2385" s="132">
        <f t="shared" si="269"/>
        <v>0</v>
      </c>
      <c r="I2385" s="132"/>
      <c r="J2385" s="132">
        <f t="shared" si="267"/>
        <v>0</v>
      </c>
      <c r="K2385" s="132">
        <f t="shared" si="270"/>
        <v>0</v>
      </c>
      <c r="L2385" s="132">
        <f t="shared" si="271"/>
        <v>0</v>
      </c>
      <c r="M2385" s="133"/>
      <c r="N2385" s="133">
        <f t="shared" si="268"/>
        <v>0</v>
      </c>
      <c r="O2385" s="134"/>
      <c r="P2385" s="133"/>
      <c r="Q2385" s="2"/>
      <c r="R2385" s="156">
        <f t="shared" si="272"/>
        <v>0</v>
      </c>
      <c r="S2385" s="156">
        <f t="shared" si="273"/>
        <v>0</v>
      </c>
      <c r="T2385" s="133"/>
      <c r="U2385" s="133"/>
      <c r="V2385" s="133"/>
      <c r="W2385" s="133"/>
      <c r="X2385" s="133"/>
      <c r="Y2385" s="133"/>
      <c r="Z2385" s="133"/>
      <c r="AA2385" s="133"/>
      <c r="AB2385" s="133"/>
      <c r="AC2385" s="133"/>
      <c r="AD2385" s="133"/>
      <c r="AE2385" s="133"/>
      <c r="AF2385" s="133"/>
      <c r="AG2385" s="133"/>
      <c r="AH2385" s="133"/>
      <c r="AI2385" s="133"/>
      <c r="AJ2385" s="133"/>
      <c r="AK2385" s="133"/>
      <c r="AL2385" s="133"/>
      <c r="AM2385" s="133"/>
      <c r="AN2385" s="133"/>
      <c r="AO2385" s="133"/>
      <c r="AP2385" s="133"/>
      <c r="AQ2385" s="133"/>
      <c r="AR2385" s="133"/>
      <c r="AS2385" s="153">
        <v>0</v>
      </c>
      <c r="AT2385" s="153">
        <v>0</v>
      </c>
      <c r="AU2385" s="153">
        <v>0</v>
      </c>
      <c r="AV2385" s="135"/>
      <c r="AW2385" s="135"/>
      <c r="AX2385" s="135"/>
      <c r="AY2385" s="135"/>
      <c r="AZ2385" s="135"/>
      <c r="BA2385" s="135"/>
      <c r="BB2385" s="135"/>
      <c r="BC2385" s="135"/>
      <c r="BD2385" s="135"/>
      <c r="BE2385" s="135"/>
      <c r="BF2385" s="135"/>
      <c r="BG2385" s="135"/>
      <c r="BH2385" s="135"/>
      <c r="BI2385" s="2"/>
      <c r="BJ2385" s="136"/>
      <c r="BK2385" s="2"/>
      <c r="BL2385" s="136"/>
      <c r="BM2385" s="136"/>
      <c r="BN2385" s="2"/>
      <c r="BO2385" s="2"/>
      <c r="BP2385" s="136"/>
      <c r="BQ2385" s="137"/>
    </row>
    <row r="2386" spans="1:69" ht="12.75" customHeight="1" x14ac:dyDescent="0.2">
      <c r="A2386" s="2">
        <v>3875</v>
      </c>
      <c r="B2386" s="2"/>
      <c r="C2386" s="2"/>
      <c r="D2386" s="2"/>
      <c r="E2386" s="2"/>
      <c r="F2386" s="132">
        <v>0</v>
      </c>
      <c r="G2386" s="132"/>
      <c r="H2386" s="132">
        <f t="shared" si="269"/>
        <v>0</v>
      </c>
      <c r="I2386" s="132"/>
      <c r="J2386" s="132">
        <f t="shared" si="267"/>
        <v>0</v>
      </c>
      <c r="K2386" s="132">
        <f t="shared" si="270"/>
        <v>0</v>
      </c>
      <c r="L2386" s="132">
        <f t="shared" si="271"/>
        <v>0</v>
      </c>
      <c r="M2386" s="133"/>
      <c r="N2386" s="133">
        <f t="shared" si="268"/>
        <v>0</v>
      </c>
      <c r="O2386" s="134"/>
      <c r="P2386" s="133"/>
      <c r="Q2386" s="2"/>
      <c r="R2386" s="156">
        <f t="shared" si="272"/>
        <v>0</v>
      </c>
      <c r="S2386" s="156">
        <f t="shared" si="273"/>
        <v>0</v>
      </c>
      <c r="T2386" s="133"/>
      <c r="U2386" s="133"/>
      <c r="V2386" s="133"/>
      <c r="W2386" s="133"/>
      <c r="X2386" s="133"/>
      <c r="Y2386" s="133"/>
      <c r="Z2386" s="133"/>
      <c r="AA2386" s="133"/>
      <c r="AB2386" s="133"/>
      <c r="AC2386" s="133"/>
      <c r="AD2386" s="133"/>
      <c r="AE2386" s="133"/>
      <c r="AF2386" s="133"/>
      <c r="AG2386" s="133"/>
      <c r="AH2386" s="133"/>
      <c r="AI2386" s="133"/>
      <c r="AJ2386" s="133"/>
      <c r="AK2386" s="133"/>
      <c r="AL2386" s="133"/>
      <c r="AM2386" s="133"/>
      <c r="AN2386" s="133"/>
      <c r="AO2386" s="133"/>
      <c r="AP2386" s="133"/>
      <c r="AQ2386" s="133"/>
      <c r="AR2386" s="133"/>
      <c r="AS2386" s="153">
        <v>0</v>
      </c>
      <c r="AT2386" s="153">
        <v>0</v>
      </c>
      <c r="AU2386" s="153">
        <v>0</v>
      </c>
      <c r="AV2386" s="135"/>
      <c r="AW2386" s="135"/>
      <c r="AX2386" s="135"/>
      <c r="AY2386" s="135"/>
      <c r="AZ2386" s="135"/>
      <c r="BA2386" s="135"/>
      <c r="BB2386" s="135"/>
      <c r="BC2386" s="135"/>
      <c r="BD2386" s="135"/>
      <c r="BE2386" s="135"/>
      <c r="BF2386" s="135"/>
      <c r="BG2386" s="135"/>
      <c r="BH2386" s="135"/>
      <c r="BI2386" s="2"/>
      <c r="BJ2386" s="136"/>
      <c r="BK2386" s="2"/>
      <c r="BL2386" s="136"/>
      <c r="BM2386" s="136"/>
      <c r="BN2386" s="2"/>
      <c r="BO2386" s="2"/>
      <c r="BP2386" s="136"/>
      <c r="BQ2386" s="137"/>
    </row>
    <row r="2387" spans="1:69" ht="12.75" customHeight="1" x14ac:dyDescent="0.2">
      <c r="A2387" s="2">
        <v>3876</v>
      </c>
      <c r="B2387" s="2"/>
      <c r="C2387" s="2"/>
      <c r="D2387" s="2"/>
      <c r="E2387" s="2"/>
      <c r="F2387" s="132">
        <v>0</v>
      </c>
      <c r="G2387" s="132"/>
      <c r="H2387" s="132">
        <f t="shared" si="269"/>
        <v>0</v>
      </c>
      <c r="I2387" s="132"/>
      <c r="J2387" s="132">
        <f t="shared" si="267"/>
        <v>0</v>
      </c>
      <c r="K2387" s="132">
        <f t="shared" si="270"/>
        <v>0</v>
      </c>
      <c r="L2387" s="132">
        <f t="shared" si="271"/>
        <v>0</v>
      </c>
      <c r="M2387" s="133"/>
      <c r="N2387" s="133">
        <f t="shared" si="268"/>
        <v>0</v>
      </c>
      <c r="O2387" s="134"/>
      <c r="P2387" s="133"/>
      <c r="Q2387" s="2"/>
      <c r="R2387" s="156">
        <f t="shared" si="272"/>
        <v>0</v>
      </c>
      <c r="S2387" s="156">
        <f t="shared" si="273"/>
        <v>0</v>
      </c>
      <c r="T2387" s="133"/>
      <c r="U2387" s="133"/>
      <c r="V2387" s="133"/>
      <c r="W2387" s="133"/>
      <c r="X2387" s="133"/>
      <c r="Y2387" s="133"/>
      <c r="Z2387" s="133"/>
      <c r="AA2387" s="133"/>
      <c r="AB2387" s="133"/>
      <c r="AC2387" s="133"/>
      <c r="AD2387" s="133"/>
      <c r="AE2387" s="133"/>
      <c r="AF2387" s="133"/>
      <c r="AG2387" s="133"/>
      <c r="AH2387" s="133"/>
      <c r="AI2387" s="133"/>
      <c r="AJ2387" s="133"/>
      <c r="AK2387" s="133"/>
      <c r="AL2387" s="133"/>
      <c r="AM2387" s="133"/>
      <c r="AN2387" s="133"/>
      <c r="AO2387" s="133"/>
      <c r="AP2387" s="133"/>
      <c r="AQ2387" s="133"/>
      <c r="AR2387" s="133"/>
      <c r="AS2387" s="153">
        <v>0</v>
      </c>
      <c r="AT2387" s="153">
        <v>0</v>
      </c>
      <c r="AU2387" s="153">
        <v>0</v>
      </c>
      <c r="AV2387" s="135"/>
      <c r="AW2387" s="135"/>
      <c r="AX2387" s="135"/>
      <c r="AY2387" s="135"/>
      <c r="AZ2387" s="135"/>
      <c r="BA2387" s="135"/>
      <c r="BB2387" s="135"/>
      <c r="BC2387" s="135"/>
      <c r="BD2387" s="135"/>
      <c r="BE2387" s="135"/>
      <c r="BF2387" s="135"/>
      <c r="BG2387" s="135"/>
      <c r="BH2387" s="135"/>
      <c r="BI2387" s="2"/>
      <c r="BJ2387" s="136"/>
      <c r="BK2387" s="2"/>
      <c r="BL2387" s="136"/>
      <c r="BM2387" s="136"/>
      <c r="BN2387" s="2"/>
      <c r="BO2387" s="2"/>
      <c r="BP2387" s="136"/>
      <c r="BQ2387" s="137"/>
    </row>
    <row r="2388" spans="1:69" ht="12.75" customHeight="1" x14ac:dyDescent="0.2">
      <c r="A2388" s="2">
        <v>3877</v>
      </c>
      <c r="B2388" s="2"/>
      <c r="C2388" s="2"/>
      <c r="D2388" s="2"/>
      <c r="E2388" s="2"/>
      <c r="F2388" s="132">
        <v>0</v>
      </c>
      <c r="G2388" s="132"/>
      <c r="H2388" s="132">
        <f t="shared" si="269"/>
        <v>0</v>
      </c>
      <c r="I2388" s="132"/>
      <c r="J2388" s="132">
        <f t="shared" si="267"/>
        <v>0</v>
      </c>
      <c r="K2388" s="132">
        <f t="shared" si="270"/>
        <v>0</v>
      </c>
      <c r="L2388" s="132">
        <f t="shared" si="271"/>
        <v>0</v>
      </c>
      <c r="M2388" s="133"/>
      <c r="N2388" s="133">
        <f t="shared" si="268"/>
        <v>0</v>
      </c>
      <c r="O2388" s="134"/>
      <c r="P2388" s="133"/>
      <c r="Q2388" s="2"/>
      <c r="R2388" s="156">
        <f t="shared" si="272"/>
        <v>0</v>
      </c>
      <c r="S2388" s="156">
        <f t="shared" si="273"/>
        <v>0</v>
      </c>
      <c r="T2388" s="133"/>
      <c r="U2388" s="133"/>
      <c r="V2388" s="133"/>
      <c r="W2388" s="133"/>
      <c r="X2388" s="133"/>
      <c r="Y2388" s="133"/>
      <c r="Z2388" s="133"/>
      <c r="AA2388" s="133"/>
      <c r="AB2388" s="133"/>
      <c r="AC2388" s="133"/>
      <c r="AD2388" s="133"/>
      <c r="AE2388" s="133"/>
      <c r="AF2388" s="133"/>
      <c r="AG2388" s="133"/>
      <c r="AH2388" s="133"/>
      <c r="AI2388" s="133"/>
      <c r="AJ2388" s="133"/>
      <c r="AK2388" s="133"/>
      <c r="AL2388" s="133"/>
      <c r="AM2388" s="133"/>
      <c r="AN2388" s="133"/>
      <c r="AO2388" s="133"/>
      <c r="AP2388" s="133"/>
      <c r="AQ2388" s="133"/>
      <c r="AR2388" s="133"/>
      <c r="AS2388" s="153">
        <v>0</v>
      </c>
      <c r="AT2388" s="153">
        <v>0</v>
      </c>
      <c r="AU2388" s="153">
        <v>0</v>
      </c>
      <c r="AV2388" s="135"/>
      <c r="AW2388" s="135"/>
      <c r="AX2388" s="135"/>
      <c r="AY2388" s="135"/>
      <c r="AZ2388" s="135"/>
      <c r="BA2388" s="135"/>
      <c r="BB2388" s="135"/>
      <c r="BC2388" s="135"/>
      <c r="BD2388" s="135"/>
      <c r="BE2388" s="135"/>
      <c r="BF2388" s="135"/>
      <c r="BG2388" s="135"/>
      <c r="BH2388" s="135"/>
      <c r="BI2388" s="2"/>
      <c r="BJ2388" s="136"/>
      <c r="BK2388" s="2"/>
      <c r="BL2388" s="136"/>
      <c r="BM2388" s="136"/>
      <c r="BN2388" s="2"/>
      <c r="BO2388" s="2"/>
      <c r="BP2388" s="136"/>
      <c r="BQ2388" s="137"/>
    </row>
    <row r="2389" spans="1:69" ht="12.75" customHeight="1" x14ac:dyDescent="0.2">
      <c r="A2389" s="2">
        <v>3878</v>
      </c>
      <c r="B2389" s="2"/>
      <c r="C2389" s="2"/>
      <c r="D2389" s="2"/>
      <c r="E2389" s="2"/>
      <c r="F2389" s="132">
        <v>0</v>
      </c>
      <c r="G2389" s="132"/>
      <c r="H2389" s="132">
        <f t="shared" si="269"/>
        <v>0</v>
      </c>
      <c r="I2389" s="132"/>
      <c r="J2389" s="132">
        <f t="shared" si="267"/>
        <v>0</v>
      </c>
      <c r="K2389" s="132">
        <f t="shared" si="270"/>
        <v>0</v>
      </c>
      <c r="L2389" s="132">
        <f t="shared" si="271"/>
        <v>0</v>
      </c>
      <c r="M2389" s="133"/>
      <c r="N2389" s="133">
        <f t="shared" si="268"/>
        <v>0</v>
      </c>
      <c r="O2389" s="134"/>
      <c r="P2389" s="133"/>
      <c r="Q2389" s="2"/>
      <c r="R2389" s="156">
        <f t="shared" si="272"/>
        <v>0</v>
      </c>
      <c r="S2389" s="156">
        <f t="shared" si="273"/>
        <v>0</v>
      </c>
      <c r="T2389" s="133"/>
      <c r="U2389" s="133"/>
      <c r="V2389" s="133"/>
      <c r="W2389" s="133"/>
      <c r="X2389" s="133"/>
      <c r="Y2389" s="133"/>
      <c r="Z2389" s="133"/>
      <c r="AA2389" s="133"/>
      <c r="AB2389" s="133"/>
      <c r="AC2389" s="133"/>
      <c r="AD2389" s="133"/>
      <c r="AE2389" s="133"/>
      <c r="AF2389" s="133"/>
      <c r="AG2389" s="133"/>
      <c r="AH2389" s="133"/>
      <c r="AI2389" s="133"/>
      <c r="AJ2389" s="133"/>
      <c r="AK2389" s="133"/>
      <c r="AL2389" s="133"/>
      <c r="AM2389" s="133"/>
      <c r="AN2389" s="133"/>
      <c r="AO2389" s="133"/>
      <c r="AP2389" s="133"/>
      <c r="AQ2389" s="133"/>
      <c r="AR2389" s="133"/>
      <c r="AS2389" s="153">
        <v>0</v>
      </c>
      <c r="AT2389" s="153">
        <v>0</v>
      </c>
      <c r="AU2389" s="153">
        <v>0</v>
      </c>
      <c r="AV2389" s="135"/>
      <c r="AW2389" s="135"/>
      <c r="AX2389" s="135"/>
      <c r="AY2389" s="135"/>
      <c r="AZ2389" s="135"/>
      <c r="BA2389" s="135"/>
      <c r="BB2389" s="135"/>
      <c r="BC2389" s="135"/>
      <c r="BD2389" s="135"/>
      <c r="BE2389" s="135"/>
      <c r="BF2389" s="135"/>
      <c r="BG2389" s="135"/>
      <c r="BH2389" s="135"/>
      <c r="BI2389" s="2"/>
      <c r="BJ2389" s="136"/>
      <c r="BK2389" s="2"/>
      <c r="BL2389" s="136"/>
      <c r="BM2389" s="136"/>
      <c r="BN2389" s="2"/>
      <c r="BO2389" s="2"/>
      <c r="BP2389" s="136"/>
      <c r="BQ2389" s="137"/>
    </row>
    <row r="2390" spans="1:69" ht="12.75" customHeight="1" x14ac:dyDescent="0.2">
      <c r="A2390" s="2">
        <v>3879</v>
      </c>
      <c r="B2390" s="2"/>
      <c r="C2390" s="2"/>
      <c r="D2390" s="2"/>
      <c r="E2390" s="2"/>
      <c r="F2390" s="132">
        <v>0</v>
      </c>
      <c r="G2390" s="132"/>
      <c r="H2390" s="132">
        <f t="shared" si="269"/>
        <v>0</v>
      </c>
      <c r="I2390" s="132"/>
      <c r="J2390" s="132">
        <f t="shared" si="267"/>
        <v>0</v>
      </c>
      <c r="K2390" s="132">
        <f t="shared" si="270"/>
        <v>0</v>
      </c>
      <c r="L2390" s="132">
        <f t="shared" si="271"/>
        <v>0</v>
      </c>
      <c r="M2390" s="133"/>
      <c r="N2390" s="133">
        <f t="shared" si="268"/>
        <v>0</v>
      </c>
      <c r="O2390" s="134"/>
      <c r="P2390" s="133"/>
      <c r="Q2390" s="2"/>
      <c r="R2390" s="156">
        <f t="shared" si="272"/>
        <v>0</v>
      </c>
      <c r="S2390" s="156">
        <f t="shared" si="273"/>
        <v>0</v>
      </c>
      <c r="T2390" s="133"/>
      <c r="U2390" s="133"/>
      <c r="V2390" s="133"/>
      <c r="W2390" s="133"/>
      <c r="X2390" s="133"/>
      <c r="Y2390" s="133"/>
      <c r="Z2390" s="133"/>
      <c r="AA2390" s="133"/>
      <c r="AB2390" s="133"/>
      <c r="AC2390" s="133"/>
      <c r="AD2390" s="133"/>
      <c r="AE2390" s="133"/>
      <c r="AF2390" s="133"/>
      <c r="AG2390" s="133"/>
      <c r="AH2390" s="133"/>
      <c r="AI2390" s="133"/>
      <c r="AJ2390" s="133"/>
      <c r="AK2390" s="133"/>
      <c r="AL2390" s="133"/>
      <c r="AM2390" s="133"/>
      <c r="AN2390" s="133"/>
      <c r="AO2390" s="133"/>
      <c r="AP2390" s="133"/>
      <c r="AQ2390" s="133"/>
      <c r="AR2390" s="133"/>
      <c r="AS2390" s="153">
        <v>0</v>
      </c>
      <c r="AT2390" s="153">
        <v>0</v>
      </c>
      <c r="AU2390" s="153">
        <v>0</v>
      </c>
      <c r="AV2390" s="135"/>
      <c r="AW2390" s="135"/>
      <c r="AX2390" s="135"/>
      <c r="AY2390" s="135"/>
      <c r="AZ2390" s="135"/>
      <c r="BA2390" s="135"/>
      <c r="BB2390" s="135"/>
      <c r="BC2390" s="135"/>
      <c r="BD2390" s="135"/>
      <c r="BE2390" s="135"/>
      <c r="BF2390" s="135"/>
      <c r="BG2390" s="135"/>
      <c r="BH2390" s="135"/>
      <c r="BI2390" s="2"/>
      <c r="BJ2390" s="136"/>
      <c r="BK2390" s="2"/>
      <c r="BL2390" s="136"/>
      <c r="BM2390" s="136"/>
      <c r="BN2390" s="2"/>
      <c r="BO2390" s="2"/>
      <c r="BP2390" s="136"/>
      <c r="BQ2390" s="137"/>
    </row>
    <row r="2391" spans="1:69" ht="12.75" customHeight="1" x14ac:dyDescent="0.2">
      <c r="A2391" s="2">
        <v>3880</v>
      </c>
      <c r="B2391" s="2"/>
      <c r="C2391" s="2"/>
      <c r="D2391" s="2"/>
      <c r="E2391" s="2"/>
      <c r="F2391" s="132">
        <v>0</v>
      </c>
      <c r="G2391" s="132"/>
      <c r="H2391" s="132">
        <f t="shared" si="269"/>
        <v>0</v>
      </c>
      <c r="I2391" s="132"/>
      <c r="J2391" s="132">
        <f t="shared" si="267"/>
        <v>0</v>
      </c>
      <c r="K2391" s="132">
        <f t="shared" si="270"/>
        <v>0</v>
      </c>
      <c r="L2391" s="132">
        <f t="shared" si="271"/>
        <v>0</v>
      </c>
      <c r="M2391" s="133"/>
      <c r="N2391" s="133">
        <f t="shared" si="268"/>
        <v>0</v>
      </c>
      <c r="O2391" s="134"/>
      <c r="P2391" s="133"/>
      <c r="Q2391" s="2"/>
      <c r="R2391" s="156">
        <f t="shared" si="272"/>
        <v>0</v>
      </c>
      <c r="S2391" s="156">
        <f t="shared" si="273"/>
        <v>0</v>
      </c>
      <c r="T2391" s="133"/>
      <c r="U2391" s="133"/>
      <c r="V2391" s="133"/>
      <c r="W2391" s="133"/>
      <c r="X2391" s="133"/>
      <c r="Y2391" s="133"/>
      <c r="Z2391" s="133"/>
      <c r="AA2391" s="133"/>
      <c r="AB2391" s="133"/>
      <c r="AC2391" s="133"/>
      <c r="AD2391" s="133"/>
      <c r="AE2391" s="133"/>
      <c r="AF2391" s="133"/>
      <c r="AG2391" s="133"/>
      <c r="AH2391" s="133"/>
      <c r="AI2391" s="133"/>
      <c r="AJ2391" s="133"/>
      <c r="AK2391" s="133"/>
      <c r="AL2391" s="133"/>
      <c r="AM2391" s="133"/>
      <c r="AN2391" s="133"/>
      <c r="AO2391" s="133"/>
      <c r="AP2391" s="133"/>
      <c r="AQ2391" s="133"/>
      <c r="AR2391" s="133"/>
      <c r="AS2391" s="153">
        <v>0</v>
      </c>
      <c r="AT2391" s="153">
        <v>0</v>
      </c>
      <c r="AU2391" s="153">
        <v>0</v>
      </c>
      <c r="AV2391" s="135"/>
      <c r="AW2391" s="135"/>
      <c r="AX2391" s="135"/>
      <c r="AY2391" s="135"/>
      <c r="AZ2391" s="135"/>
      <c r="BA2391" s="135"/>
      <c r="BB2391" s="135"/>
      <c r="BC2391" s="135"/>
      <c r="BD2391" s="135"/>
      <c r="BE2391" s="135"/>
      <c r="BF2391" s="135"/>
      <c r="BG2391" s="135"/>
      <c r="BH2391" s="135"/>
      <c r="BI2391" s="2"/>
      <c r="BJ2391" s="136"/>
      <c r="BK2391" s="2"/>
      <c r="BL2391" s="136"/>
      <c r="BM2391" s="136"/>
      <c r="BN2391" s="2"/>
      <c r="BO2391" s="2"/>
      <c r="BP2391" s="136"/>
      <c r="BQ2391" s="137"/>
    </row>
    <row r="2392" spans="1:69" ht="12.75" customHeight="1" x14ac:dyDescent="0.2">
      <c r="A2392" s="2">
        <v>3881</v>
      </c>
      <c r="B2392" s="2"/>
      <c r="C2392" s="2"/>
      <c r="D2392" s="2"/>
      <c r="E2392" s="2"/>
      <c r="F2392" s="132">
        <v>0</v>
      </c>
      <c r="G2392" s="132"/>
      <c r="H2392" s="132">
        <f t="shared" si="269"/>
        <v>0</v>
      </c>
      <c r="I2392" s="132"/>
      <c r="J2392" s="132">
        <f t="shared" si="267"/>
        <v>0</v>
      </c>
      <c r="K2392" s="132">
        <f t="shared" si="270"/>
        <v>0</v>
      </c>
      <c r="L2392" s="132">
        <f t="shared" si="271"/>
        <v>0</v>
      </c>
      <c r="M2392" s="133"/>
      <c r="N2392" s="133">
        <f t="shared" si="268"/>
        <v>0</v>
      </c>
      <c r="O2392" s="134"/>
      <c r="P2392" s="133"/>
      <c r="Q2392" s="2"/>
      <c r="R2392" s="156">
        <f t="shared" si="272"/>
        <v>0</v>
      </c>
      <c r="S2392" s="156">
        <f t="shared" si="273"/>
        <v>0</v>
      </c>
      <c r="T2392" s="133"/>
      <c r="U2392" s="133"/>
      <c r="V2392" s="133"/>
      <c r="W2392" s="133"/>
      <c r="X2392" s="133"/>
      <c r="Y2392" s="133"/>
      <c r="Z2392" s="133"/>
      <c r="AA2392" s="133"/>
      <c r="AB2392" s="133"/>
      <c r="AC2392" s="133"/>
      <c r="AD2392" s="133"/>
      <c r="AE2392" s="133"/>
      <c r="AF2392" s="133"/>
      <c r="AG2392" s="133"/>
      <c r="AH2392" s="133"/>
      <c r="AI2392" s="133"/>
      <c r="AJ2392" s="133"/>
      <c r="AK2392" s="133"/>
      <c r="AL2392" s="133"/>
      <c r="AM2392" s="133"/>
      <c r="AN2392" s="133"/>
      <c r="AO2392" s="133"/>
      <c r="AP2392" s="133"/>
      <c r="AQ2392" s="133"/>
      <c r="AR2392" s="133"/>
      <c r="AS2392" s="153">
        <v>0</v>
      </c>
      <c r="AT2392" s="153">
        <v>0</v>
      </c>
      <c r="AU2392" s="153">
        <v>0</v>
      </c>
      <c r="AV2392" s="135"/>
      <c r="AW2392" s="135"/>
      <c r="AX2392" s="135"/>
      <c r="AY2392" s="135"/>
      <c r="AZ2392" s="135"/>
      <c r="BA2392" s="135"/>
      <c r="BB2392" s="135"/>
      <c r="BC2392" s="135"/>
      <c r="BD2392" s="135"/>
      <c r="BE2392" s="135"/>
      <c r="BF2392" s="135"/>
      <c r="BG2392" s="135"/>
      <c r="BH2392" s="135"/>
      <c r="BI2392" s="2"/>
      <c r="BJ2392" s="136"/>
      <c r="BK2392" s="2"/>
      <c r="BL2392" s="136"/>
      <c r="BM2392" s="136"/>
      <c r="BN2392" s="2"/>
      <c r="BO2392" s="2"/>
      <c r="BP2392" s="136"/>
      <c r="BQ2392" s="137"/>
    </row>
    <row r="2393" spans="1:69" ht="12.75" customHeight="1" x14ac:dyDescent="0.2">
      <c r="A2393" s="2">
        <v>3882</v>
      </c>
      <c r="B2393" s="2"/>
      <c r="C2393" s="2"/>
      <c r="D2393" s="2"/>
      <c r="E2393" s="2"/>
      <c r="F2393" s="132">
        <v>0</v>
      </c>
      <c r="G2393" s="132"/>
      <c r="H2393" s="132">
        <f t="shared" si="269"/>
        <v>0</v>
      </c>
      <c r="I2393" s="132"/>
      <c r="J2393" s="132">
        <f t="shared" si="267"/>
        <v>0</v>
      </c>
      <c r="K2393" s="132">
        <f t="shared" si="270"/>
        <v>0</v>
      </c>
      <c r="L2393" s="132">
        <f t="shared" si="271"/>
        <v>0</v>
      </c>
      <c r="M2393" s="133"/>
      <c r="N2393" s="133">
        <f t="shared" si="268"/>
        <v>0</v>
      </c>
      <c r="O2393" s="134"/>
      <c r="P2393" s="133"/>
      <c r="Q2393" s="2"/>
      <c r="R2393" s="156">
        <f t="shared" si="272"/>
        <v>0</v>
      </c>
      <c r="S2393" s="156">
        <f t="shared" si="273"/>
        <v>0</v>
      </c>
      <c r="T2393" s="133"/>
      <c r="U2393" s="133"/>
      <c r="V2393" s="133"/>
      <c r="W2393" s="133"/>
      <c r="X2393" s="133"/>
      <c r="Y2393" s="133"/>
      <c r="Z2393" s="133"/>
      <c r="AA2393" s="133"/>
      <c r="AB2393" s="133"/>
      <c r="AC2393" s="133"/>
      <c r="AD2393" s="133"/>
      <c r="AE2393" s="133"/>
      <c r="AF2393" s="133"/>
      <c r="AG2393" s="133"/>
      <c r="AH2393" s="133"/>
      <c r="AI2393" s="133"/>
      <c r="AJ2393" s="133"/>
      <c r="AK2393" s="133"/>
      <c r="AL2393" s="133"/>
      <c r="AM2393" s="133"/>
      <c r="AN2393" s="133"/>
      <c r="AO2393" s="133"/>
      <c r="AP2393" s="133"/>
      <c r="AQ2393" s="133"/>
      <c r="AR2393" s="133"/>
      <c r="AS2393" s="153">
        <v>0</v>
      </c>
      <c r="AT2393" s="153">
        <v>0</v>
      </c>
      <c r="AU2393" s="153">
        <v>0</v>
      </c>
      <c r="AV2393" s="135"/>
      <c r="AW2393" s="135"/>
      <c r="AX2393" s="135"/>
      <c r="AY2393" s="135"/>
      <c r="AZ2393" s="135"/>
      <c r="BA2393" s="135"/>
      <c r="BB2393" s="135"/>
      <c r="BC2393" s="135"/>
      <c r="BD2393" s="135"/>
      <c r="BE2393" s="135"/>
      <c r="BF2393" s="135"/>
      <c r="BG2393" s="135"/>
      <c r="BH2393" s="135"/>
      <c r="BI2393" s="2"/>
      <c r="BJ2393" s="136"/>
      <c r="BK2393" s="2"/>
      <c r="BL2393" s="136"/>
      <c r="BM2393" s="136"/>
      <c r="BN2393" s="2"/>
      <c r="BO2393" s="2"/>
      <c r="BP2393" s="136"/>
      <c r="BQ2393" s="137"/>
    </row>
    <row r="2394" spans="1:69" ht="12.75" customHeight="1" x14ac:dyDescent="0.2">
      <c r="A2394" s="2">
        <v>3883</v>
      </c>
      <c r="B2394" s="2"/>
      <c r="C2394" s="2"/>
      <c r="D2394" s="2"/>
      <c r="E2394" s="2"/>
      <c r="F2394" s="132">
        <v>0</v>
      </c>
      <c r="G2394" s="132"/>
      <c r="H2394" s="132">
        <f t="shared" si="269"/>
        <v>0</v>
      </c>
      <c r="I2394" s="132"/>
      <c r="J2394" s="132">
        <f t="shared" si="267"/>
        <v>0</v>
      </c>
      <c r="K2394" s="132">
        <f t="shared" si="270"/>
        <v>0</v>
      </c>
      <c r="L2394" s="132">
        <f t="shared" si="271"/>
        <v>0</v>
      </c>
      <c r="M2394" s="133"/>
      <c r="N2394" s="133">
        <f t="shared" si="268"/>
        <v>0</v>
      </c>
      <c r="O2394" s="134"/>
      <c r="P2394" s="133"/>
      <c r="Q2394" s="2"/>
      <c r="R2394" s="156">
        <f t="shared" si="272"/>
        <v>0</v>
      </c>
      <c r="S2394" s="156">
        <f t="shared" si="273"/>
        <v>0</v>
      </c>
      <c r="T2394" s="133"/>
      <c r="U2394" s="133"/>
      <c r="V2394" s="133"/>
      <c r="W2394" s="133"/>
      <c r="X2394" s="133"/>
      <c r="Y2394" s="133"/>
      <c r="Z2394" s="133"/>
      <c r="AA2394" s="133"/>
      <c r="AB2394" s="133"/>
      <c r="AC2394" s="133"/>
      <c r="AD2394" s="133"/>
      <c r="AE2394" s="133"/>
      <c r="AF2394" s="133"/>
      <c r="AG2394" s="133"/>
      <c r="AH2394" s="133"/>
      <c r="AI2394" s="133"/>
      <c r="AJ2394" s="133"/>
      <c r="AK2394" s="133"/>
      <c r="AL2394" s="133"/>
      <c r="AM2394" s="133"/>
      <c r="AN2394" s="133"/>
      <c r="AO2394" s="133"/>
      <c r="AP2394" s="133"/>
      <c r="AQ2394" s="133"/>
      <c r="AR2394" s="133"/>
      <c r="AS2394" s="153">
        <v>0</v>
      </c>
      <c r="AT2394" s="153">
        <v>0</v>
      </c>
      <c r="AU2394" s="153">
        <v>0</v>
      </c>
      <c r="AV2394" s="135"/>
      <c r="AW2394" s="135"/>
      <c r="AX2394" s="135"/>
      <c r="AY2394" s="135"/>
      <c r="AZ2394" s="135"/>
      <c r="BA2394" s="135"/>
      <c r="BB2394" s="135"/>
      <c r="BC2394" s="135"/>
      <c r="BD2394" s="135"/>
      <c r="BE2394" s="135"/>
      <c r="BF2394" s="135"/>
      <c r="BG2394" s="135"/>
      <c r="BH2394" s="135"/>
      <c r="BI2394" s="2"/>
      <c r="BJ2394" s="136"/>
      <c r="BK2394" s="2"/>
      <c r="BL2394" s="136"/>
      <c r="BM2394" s="136"/>
      <c r="BN2394" s="2"/>
      <c r="BO2394" s="2"/>
      <c r="BP2394" s="136"/>
      <c r="BQ2394" s="137"/>
    </row>
    <row r="2395" spans="1:69" ht="12.75" customHeight="1" x14ac:dyDescent="0.2">
      <c r="A2395" s="2">
        <v>3884</v>
      </c>
      <c r="B2395" s="2"/>
      <c r="C2395" s="2"/>
      <c r="D2395" s="2"/>
      <c r="E2395" s="2"/>
      <c r="F2395" s="132">
        <v>0</v>
      </c>
      <c r="G2395" s="132"/>
      <c r="H2395" s="132">
        <f t="shared" si="269"/>
        <v>0</v>
      </c>
      <c r="I2395" s="132"/>
      <c r="J2395" s="132">
        <f t="shared" si="267"/>
        <v>0</v>
      </c>
      <c r="K2395" s="132">
        <f t="shared" si="270"/>
        <v>0</v>
      </c>
      <c r="L2395" s="132">
        <f t="shared" si="271"/>
        <v>0</v>
      </c>
      <c r="M2395" s="133"/>
      <c r="N2395" s="133">
        <f t="shared" si="268"/>
        <v>0</v>
      </c>
      <c r="O2395" s="134"/>
      <c r="P2395" s="133"/>
      <c r="Q2395" s="2"/>
      <c r="R2395" s="156">
        <f t="shared" si="272"/>
        <v>0</v>
      </c>
      <c r="S2395" s="156">
        <f t="shared" si="273"/>
        <v>0</v>
      </c>
      <c r="T2395" s="133"/>
      <c r="U2395" s="133"/>
      <c r="V2395" s="133"/>
      <c r="W2395" s="133"/>
      <c r="X2395" s="133"/>
      <c r="Y2395" s="133"/>
      <c r="Z2395" s="133"/>
      <c r="AA2395" s="133"/>
      <c r="AB2395" s="133"/>
      <c r="AC2395" s="133"/>
      <c r="AD2395" s="133"/>
      <c r="AE2395" s="133"/>
      <c r="AF2395" s="133"/>
      <c r="AG2395" s="133"/>
      <c r="AH2395" s="133"/>
      <c r="AI2395" s="133"/>
      <c r="AJ2395" s="133"/>
      <c r="AK2395" s="133"/>
      <c r="AL2395" s="133"/>
      <c r="AM2395" s="133"/>
      <c r="AN2395" s="133"/>
      <c r="AO2395" s="133"/>
      <c r="AP2395" s="133"/>
      <c r="AQ2395" s="133"/>
      <c r="AR2395" s="133"/>
      <c r="AS2395" s="153">
        <v>0</v>
      </c>
      <c r="AT2395" s="153">
        <v>0</v>
      </c>
      <c r="AU2395" s="153">
        <v>0</v>
      </c>
      <c r="AV2395" s="135"/>
      <c r="AW2395" s="135"/>
      <c r="AX2395" s="135"/>
      <c r="AY2395" s="135"/>
      <c r="AZ2395" s="135"/>
      <c r="BA2395" s="135"/>
      <c r="BB2395" s="135"/>
      <c r="BC2395" s="135"/>
      <c r="BD2395" s="135"/>
      <c r="BE2395" s="135"/>
      <c r="BF2395" s="135"/>
      <c r="BG2395" s="135"/>
      <c r="BH2395" s="135"/>
      <c r="BI2395" s="2"/>
      <c r="BJ2395" s="136"/>
      <c r="BK2395" s="2"/>
      <c r="BL2395" s="136"/>
      <c r="BM2395" s="136"/>
      <c r="BN2395" s="2"/>
      <c r="BO2395" s="2"/>
      <c r="BP2395" s="136"/>
      <c r="BQ2395" s="137"/>
    </row>
    <row r="2396" spans="1:69" ht="12.75" customHeight="1" x14ac:dyDescent="0.2">
      <c r="A2396" s="2">
        <v>3885</v>
      </c>
      <c r="B2396" s="2"/>
      <c r="C2396" s="2"/>
      <c r="D2396" s="2"/>
      <c r="E2396" s="2"/>
      <c r="F2396" s="132">
        <v>0</v>
      </c>
      <c r="G2396" s="132"/>
      <c r="H2396" s="132">
        <f t="shared" si="269"/>
        <v>0</v>
      </c>
      <c r="I2396" s="132"/>
      <c r="J2396" s="132">
        <f t="shared" si="267"/>
        <v>0</v>
      </c>
      <c r="K2396" s="132">
        <f t="shared" si="270"/>
        <v>0</v>
      </c>
      <c r="L2396" s="132">
        <f t="shared" si="271"/>
        <v>0</v>
      </c>
      <c r="M2396" s="133"/>
      <c r="N2396" s="133">
        <f t="shared" si="268"/>
        <v>0</v>
      </c>
      <c r="O2396" s="134"/>
      <c r="P2396" s="133"/>
      <c r="Q2396" s="2"/>
      <c r="R2396" s="156">
        <f t="shared" si="272"/>
        <v>0</v>
      </c>
      <c r="S2396" s="156">
        <f t="shared" si="273"/>
        <v>0</v>
      </c>
      <c r="T2396" s="133"/>
      <c r="U2396" s="133"/>
      <c r="V2396" s="133"/>
      <c r="W2396" s="133"/>
      <c r="X2396" s="133"/>
      <c r="Y2396" s="133"/>
      <c r="Z2396" s="133"/>
      <c r="AA2396" s="133"/>
      <c r="AB2396" s="133"/>
      <c r="AC2396" s="133"/>
      <c r="AD2396" s="133"/>
      <c r="AE2396" s="133"/>
      <c r="AF2396" s="133"/>
      <c r="AG2396" s="133"/>
      <c r="AH2396" s="133"/>
      <c r="AI2396" s="133"/>
      <c r="AJ2396" s="133"/>
      <c r="AK2396" s="133"/>
      <c r="AL2396" s="133"/>
      <c r="AM2396" s="133"/>
      <c r="AN2396" s="133"/>
      <c r="AO2396" s="133"/>
      <c r="AP2396" s="133"/>
      <c r="AQ2396" s="133"/>
      <c r="AR2396" s="133"/>
      <c r="AS2396" s="153">
        <v>0</v>
      </c>
      <c r="AT2396" s="153">
        <v>0</v>
      </c>
      <c r="AU2396" s="153">
        <v>0</v>
      </c>
      <c r="AV2396" s="135"/>
      <c r="AW2396" s="135"/>
      <c r="AX2396" s="135"/>
      <c r="AY2396" s="135"/>
      <c r="AZ2396" s="135"/>
      <c r="BA2396" s="135"/>
      <c r="BB2396" s="135"/>
      <c r="BC2396" s="135"/>
      <c r="BD2396" s="135"/>
      <c r="BE2396" s="135"/>
      <c r="BF2396" s="135"/>
      <c r="BG2396" s="135"/>
      <c r="BH2396" s="135"/>
      <c r="BI2396" s="2"/>
      <c r="BJ2396" s="136"/>
      <c r="BK2396" s="2"/>
      <c r="BL2396" s="136"/>
      <c r="BM2396" s="136"/>
      <c r="BN2396" s="2"/>
      <c r="BO2396" s="2"/>
      <c r="BP2396" s="136"/>
      <c r="BQ2396" s="137"/>
    </row>
    <row r="2397" spans="1:69" ht="12.75" customHeight="1" x14ac:dyDescent="0.2">
      <c r="A2397" s="2">
        <v>3886</v>
      </c>
      <c r="B2397" s="2"/>
      <c r="C2397" s="2"/>
      <c r="D2397" s="2"/>
      <c r="E2397" s="2"/>
      <c r="F2397" s="132">
        <v>0</v>
      </c>
      <c r="G2397" s="132"/>
      <c r="H2397" s="132">
        <f t="shared" si="269"/>
        <v>0</v>
      </c>
      <c r="I2397" s="132"/>
      <c r="J2397" s="132">
        <f t="shared" si="267"/>
        <v>0</v>
      </c>
      <c r="K2397" s="132">
        <f t="shared" si="270"/>
        <v>0</v>
      </c>
      <c r="L2397" s="132">
        <f t="shared" si="271"/>
        <v>0</v>
      </c>
      <c r="M2397" s="133"/>
      <c r="N2397" s="133">
        <f t="shared" si="268"/>
        <v>0</v>
      </c>
      <c r="O2397" s="134"/>
      <c r="P2397" s="133"/>
      <c r="Q2397" s="2"/>
      <c r="R2397" s="156">
        <f t="shared" si="272"/>
        <v>0</v>
      </c>
      <c r="S2397" s="156">
        <f t="shared" si="273"/>
        <v>0</v>
      </c>
      <c r="T2397" s="133"/>
      <c r="U2397" s="133"/>
      <c r="V2397" s="133"/>
      <c r="W2397" s="133"/>
      <c r="X2397" s="133"/>
      <c r="Y2397" s="133"/>
      <c r="Z2397" s="133"/>
      <c r="AA2397" s="133"/>
      <c r="AB2397" s="133"/>
      <c r="AC2397" s="133"/>
      <c r="AD2397" s="133"/>
      <c r="AE2397" s="133"/>
      <c r="AF2397" s="133"/>
      <c r="AG2397" s="133"/>
      <c r="AH2397" s="133"/>
      <c r="AI2397" s="133"/>
      <c r="AJ2397" s="133"/>
      <c r="AK2397" s="133"/>
      <c r="AL2397" s="133"/>
      <c r="AM2397" s="133"/>
      <c r="AN2397" s="133"/>
      <c r="AO2397" s="133"/>
      <c r="AP2397" s="133"/>
      <c r="AQ2397" s="133"/>
      <c r="AR2397" s="133"/>
      <c r="AS2397" s="153">
        <v>0</v>
      </c>
      <c r="AT2397" s="153">
        <v>0</v>
      </c>
      <c r="AU2397" s="153">
        <v>0</v>
      </c>
      <c r="AV2397" s="135"/>
      <c r="AW2397" s="135"/>
      <c r="AX2397" s="135"/>
      <c r="AY2397" s="135"/>
      <c r="AZ2397" s="135"/>
      <c r="BA2397" s="135"/>
      <c r="BB2397" s="135"/>
      <c r="BC2397" s="135"/>
      <c r="BD2397" s="135"/>
      <c r="BE2397" s="135"/>
      <c r="BF2397" s="135"/>
      <c r="BG2397" s="135"/>
      <c r="BH2397" s="135"/>
      <c r="BI2397" s="2"/>
      <c r="BJ2397" s="136"/>
      <c r="BK2397" s="2"/>
      <c r="BL2397" s="136"/>
      <c r="BM2397" s="136"/>
      <c r="BN2397" s="2"/>
      <c r="BO2397" s="2"/>
      <c r="BP2397" s="136"/>
      <c r="BQ2397" s="137"/>
    </row>
    <row r="2398" spans="1:69" ht="12.75" customHeight="1" x14ac:dyDescent="0.2">
      <c r="A2398" s="2">
        <v>3887</v>
      </c>
      <c r="B2398" s="2"/>
      <c r="C2398" s="2"/>
      <c r="D2398" s="2"/>
      <c r="E2398" s="2"/>
      <c r="F2398" s="132">
        <v>0</v>
      </c>
      <c r="G2398" s="132"/>
      <c r="H2398" s="132">
        <f t="shared" si="269"/>
        <v>0</v>
      </c>
      <c r="I2398" s="132"/>
      <c r="J2398" s="132">
        <f t="shared" si="267"/>
        <v>0</v>
      </c>
      <c r="K2398" s="132">
        <f t="shared" si="270"/>
        <v>0</v>
      </c>
      <c r="L2398" s="132">
        <f t="shared" si="271"/>
        <v>0</v>
      </c>
      <c r="M2398" s="133"/>
      <c r="N2398" s="133">
        <f t="shared" si="268"/>
        <v>0</v>
      </c>
      <c r="O2398" s="134"/>
      <c r="P2398" s="133"/>
      <c r="Q2398" s="2"/>
      <c r="R2398" s="156">
        <f t="shared" si="272"/>
        <v>0</v>
      </c>
      <c r="S2398" s="156">
        <f t="shared" si="273"/>
        <v>0</v>
      </c>
      <c r="T2398" s="133"/>
      <c r="U2398" s="133"/>
      <c r="V2398" s="133"/>
      <c r="W2398" s="133"/>
      <c r="X2398" s="133"/>
      <c r="Y2398" s="133"/>
      <c r="Z2398" s="133"/>
      <c r="AA2398" s="133"/>
      <c r="AB2398" s="133"/>
      <c r="AC2398" s="133"/>
      <c r="AD2398" s="133"/>
      <c r="AE2398" s="133"/>
      <c r="AF2398" s="133"/>
      <c r="AG2398" s="133"/>
      <c r="AH2398" s="133"/>
      <c r="AI2398" s="133"/>
      <c r="AJ2398" s="133"/>
      <c r="AK2398" s="133"/>
      <c r="AL2398" s="133"/>
      <c r="AM2398" s="133"/>
      <c r="AN2398" s="133"/>
      <c r="AO2398" s="133"/>
      <c r="AP2398" s="133"/>
      <c r="AQ2398" s="133"/>
      <c r="AR2398" s="133"/>
      <c r="AS2398" s="153">
        <v>0</v>
      </c>
      <c r="AT2398" s="153">
        <v>0</v>
      </c>
      <c r="AU2398" s="153">
        <v>0</v>
      </c>
      <c r="AV2398" s="135"/>
      <c r="AW2398" s="135"/>
      <c r="AX2398" s="135"/>
      <c r="AY2398" s="135"/>
      <c r="AZ2398" s="135"/>
      <c r="BA2398" s="135"/>
      <c r="BB2398" s="135"/>
      <c r="BC2398" s="135"/>
      <c r="BD2398" s="135"/>
      <c r="BE2398" s="135"/>
      <c r="BF2398" s="135"/>
      <c r="BG2398" s="135"/>
      <c r="BH2398" s="135"/>
      <c r="BI2398" s="2"/>
      <c r="BJ2398" s="136"/>
      <c r="BK2398" s="2"/>
      <c r="BL2398" s="136"/>
      <c r="BM2398" s="136"/>
      <c r="BN2398" s="2"/>
      <c r="BO2398" s="2"/>
      <c r="BP2398" s="136"/>
      <c r="BQ2398" s="137"/>
    </row>
    <row r="2399" spans="1:69" ht="12.75" customHeight="1" x14ac:dyDescent="0.2">
      <c r="A2399" s="2">
        <v>3888</v>
      </c>
      <c r="B2399" s="2"/>
      <c r="C2399" s="2"/>
      <c r="D2399" s="2"/>
      <c r="E2399" s="2"/>
      <c r="F2399" s="132">
        <v>0</v>
      </c>
      <c r="G2399" s="132"/>
      <c r="H2399" s="132">
        <f t="shared" si="269"/>
        <v>0</v>
      </c>
      <c r="I2399" s="132"/>
      <c r="J2399" s="132">
        <f t="shared" si="267"/>
        <v>0</v>
      </c>
      <c r="K2399" s="132">
        <f t="shared" si="270"/>
        <v>0</v>
      </c>
      <c r="L2399" s="132">
        <f t="shared" si="271"/>
        <v>0</v>
      </c>
      <c r="M2399" s="133"/>
      <c r="N2399" s="133">
        <f t="shared" si="268"/>
        <v>0</v>
      </c>
      <c r="O2399" s="134"/>
      <c r="P2399" s="133"/>
      <c r="Q2399" s="2"/>
      <c r="R2399" s="156">
        <f t="shared" si="272"/>
        <v>0</v>
      </c>
      <c r="S2399" s="156">
        <f t="shared" si="273"/>
        <v>0</v>
      </c>
      <c r="T2399" s="133"/>
      <c r="U2399" s="133"/>
      <c r="V2399" s="133"/>
      <c r="W2399" s="133"/>
      <c r="X2399" s="133"/>
      <c r="Y2399" s="133"/>
      <c r="Z2399" s="133"/>
      <c r="AA2399" s="133"/>
      <c r="AB2399" s="133"/>
      <c r="AC2399" s="133"/>
      <c r="AD2399" s="133"/>
      <c r="AE2399" s="133"/>
      <c r="AF2399" s="133"/>
      <c r="AG2399" s="133"/>
      <c r="AH2399" s="133"/>
      <c r="AI2399" s="133"/>
      <c r="AJ2399" s="133"/>
      <c r="AK2399" s="133"/>
      <c r="AL2399" s="133"/>
      <c r="AM2399" s="133"/>
      <c r="AN2399" s="133"/>
      <c r="AO2399" s="133"/>
      <c r="AP2399" s="133"/>
      <c r="AQ2399" s="133"/>
      <c r="AR2399" s="133"/>
      <c r="AS2399" s="153">
        <v>0</v>
      </c>
      <c r="AT2399" s="153">
        <v>0</v>
      </c>
      <c r="AU2399" s="153">
        <v>0</v>
      </c>
      <c r="AV2399" s="135"/>
      <c r="AW2399" s="135"/>
      <c r="AX2399" s="135"/>
      <c r="AY2399" s="135"/>
      <c r="AZ2399" s="135"/>
      <c r="BA2399" s="135"/>
      <c r="BB2399" s="135"/>
      <c r="BC2399" s="135"/>
      <c r="BD2399" s="135"/>
      <c r="BE2399" s="135"/>
      <c r="BF2399" s="135"/>
      <c r="BG2399" s="135"/>
      <c r="BH2399" s="135"/>
      <c r="BI2399" s="2"/>
      <c r="BJ2399" s="136"/>
      <c r="BK2399" s="2"/>
      <c r="BL2399" s="136"/>
      <c r="BM2399" s="136"/>
      <c r="BN2399" s="2"/>
      <c r="BO2399" s="2"/>
      <c r="BP2399" s="136"/>
      <c r="BQ2399" s="137"/>
    </row>
    <row r="2400" spans="1:69" ht="12.75" customHeight="1" x14ac:dyDescent="0.2">
      <c r="A2400" s="2">
        <v>3889</v>
      </c>
      <c r="B2400" s="2"/>
      <c r="C2400" s="2"/>
      <c r="D2400" s="2"/>
      <c r="E2400" s="2"/>
      <c r="F2400" s="132">
        <v>0</v>
      </c>
      <c r="G2400" s="132"/>
      <c r="H2400" s="132">
        <f t="shared" si="269"/>
        <v>0</v>
      </c>
      <c r="I2400" s="132"/>
      <c r="J2400" s="132">
        <f t="shared" si="267"/>
        <v>0</v>
      </c>
      <c r="K2400" s="132">
        <f t="shared" si="270"/>
        <v>0</v>
      </c>
      <c r="L2400" s="132">
        <f t="shared" si="271"/>
        <v>0</v>
      </c>
      <c r="M2400" s="133"/>
      <c r="N2400" s="133">
        <f t="shared" si="268"/>
        <v>0</v>
      </c>
      <c r="O2400" s="134"/>
      <c r="P2400" s="133"/>
      <c r="Q2400" s="2"/>
      <c r="R2400" s="156">
        <f t="shared" si="272"/>
        <v>0</v>
      </c>
      <c r="S2400" s="156">
        <f t="shared" si="273"/>
        <v>0</v>
      </c>
      <c r="T2400" s="133"/>
      <c r="U2400" s="133"/>
      <c r="V2400" s="133"/>
      <c r="W2400" s="133"/>
      <c r="X2400" s="133"/>
      <c r="Y2400" s="133"/>
      <c r="Z2400" s="133"/>
      <c r="AA2400" s="133"/>
      <c r="AB2400" s="133"/>
      <c r="AC2400" s="133"/>
      <c r="AD2400" s="133"/>
      <c r="AE2400" s="133"/>
      <c r="AF2400" s="133"/>
      <c r="AG2400" s="133"/>
      <c r="AH2400" s="133"/>
      <c r="AI2400" s="133"/>
      <c r="AJ2400" s="133"/>
      <c r="AK2400" s="133"/>
      <c r="AL2400" s="133"/>
      <c r="AM2400" s="133"/>
      <c r="AN2400" s="133"/>
      <c r="AO2400" s="133"/>
      <c r="AP2400" s="133"/>
      <c r="AQ2400" s="133"/>
      <c r="AR2400" s="133"/>
      <c r="AS2400" s="153">
        <v>0</v>
      </c>
      <c r="AT2400" s="153">
        <v>0</v>
      </c>
      <c r="AU2400" s="153">
        <v>0</v>
      </c>
      <c r="AV2400" s="135"/>
      <c r="AW2400" s="135"/>
      <c r="AX2400" s="135"/>
      <c r="AY2400" s="135"/>
      <c r="AZ2400" s="135"/>
      <c r="BA2400" s="135"/>
      <c r="BB2400" s="135"/>
      <c r="BC2400" s="135"/>
      <c r="BD2400" s="135"/>
      <c r="BE2400" s="135"/>
      <c r="BF2400" s="135"/>
      <c r="BG2400" s="135"/>
      <c r="BH2400" s="135"/>
      <c r="BI2400" s="2"/>
      <c r="BJ2400" s="136"/>
      <c r="BK2400" s="2"/>
      <c r="BL2400" s="136"/>
      <c r="BM2400" s="136"/>
      <c r="BN2400" s="2"/>
      <c r="BO2400" s="2"/>
      <c r="BP2400" s="136"/>
      <c r="BQ2400" s="137"/>
    </row>
    <row r="2401" spans="1:69" ht="12.75" customHeight="1" x14ac:dyDescent="0.2">
      <c r="A2401" s="2">
        <v>3890</v>
      </c>
      <c r="B2401" s="2"/>
      <c r="C2401" s="2"/>
      <c r="D2401" s="2"/>
      <c r="E2401" s="2"/>
      <c r="F2401" s="132">
        <v>0</v>
      </c>
      <c r="G2401" s="132"/>
      <c r="H2401" s="132">
        <f t="shared" si="269"/>
        <v>0</v>
      </c>
      <c r="I2401" s="132"/>
      <c r="J2401" s="132">
        <f t="shared" si="267"/>
        <v>0</v>
      </c>
      <c r="K2401" s="132">
        <f t="shared" si="270"/>
        <v>0</v>
      </c>
      <c r="L2401" s="132">
        <f t="shared" si="271"/>
        <v>0</v>
      </c>
      <c r="M2401" s="133"/>
      <c r="N2401" s="133">
        <f t="shared" si="268"/>
        <v>0</v>
      </c>
      <c r="O2401" s="134"/>
      <c r="P2401" s="133"/>
      <c r="Q2401" s="2"/>
      <c r="R2401" s="156">
        <f t="shared" si="272"/>
        <v>0</v>
      </c>
      <c r="S2401" s="156">
        <f t="shared" si="273"/>
        <v>0</v>
      </c>
      <c r="T2401" s="133"/>
      <c r="U2401" s="133"/>
      <c r="V2401" s="133"/>
      <c r="W2401" s="133"/>
      <c r="X2401" s="133"/>
      <c r="Y2401" s="133"/>
      <c r="Z2401" s="133"/>
      <c r="AA2401" s="133"/>
      <c r="AB2401" s="133"/>
      <c r="AC2401" s="133"/>
      <c r="AD2401" s="133"/>
      <c r="AE2401" s="133"/>
      <c r="AF2401" s="133"/>
      <c r="AG2401" s="133"/>
      <c r="AH2401" s="133"/>
      <c r="AI2401" s="133"/>
      <c r="AJ2401" s="133"/>
      <c r="AK2401" s="133"/>
      <c r="AL2401" s="133"/>
      <c r="AM2401" s="133"/>
      <c r="AN2401" s="133"/>
      <c r="AO2401" s="133"/>
      <c r="AP2401" s="133"/>
      <c r="AQ2401" s="133"/>
      <c r="AR2401" s="133"/>
      <c r="AS2401" s="153">
        <v>0</v>
      </c>
      <c r="AT2401" s="153">
        <v>0</v>
      </c>
      <c r="AU2401" s="153">
        <v>0</v>
      </c>
      <c r="AV2401" s="135"/>
      <c r="AW2401" s="135"/>
      <c r="AX2401" s="135"/>
      <c r="AY2401" s="135"/>
      <c r="AZ2401" s="135"/>
      <c r="BA2401" s="135"/>
      <c r="BB2401" s="135"/>
      <c r="BC2401" s="135"/>
      <c r="BD2401" s="135"/>
      <c r="BE2401" s="135"/>
      <c r="BF2401" s="135"/>
      <c r="BG2401" s="135"/>
      <c r="BH2401" s="135"/>
      <c r="BI2401" s="2"/>
      <c r="BJ2401" s="136"/>
      <c r="BK2401" s="2"/>
      <c r="BL2401" s="136"/>
      <c r="BM2401" s="136"/>
      <c r="BN2401" s="2"/>
      <c r="BO2401" s="2"/>
      <c r="BP2401" s="136"/>
      <c r="BQ2401" s="137"/>
    </row>
    <row r="2402" spans="1:69" ht="12.75" customHeight="1" x14ac:dyDescent="0.2">
      <c r="A2402" s="2">
        <v>3891</v>
      </c>
      <c r="B2402" s="2"/>
      <c r="C2402" s="2"/>
      <c r="D2402" s="2"/>
      <c r="E2402" s="2"/>
      <c r="F2402" s="132">
        <v>0</v>
      </c>
      <c r="G2402" s="132"/>
      <c r="H2402" s="132">
        <f t="shared" si="269"/>
        <v>0</v>
      </c>
      <c r="I2402" s="132"/>
      <c r="J2402" s="132">
        <f t="shared" si="267"/>
        <v>0</v>
      </c>
      <c r="K2402" s="132">
        <f t="shared" si="270"/>
        <v>0</v>
      </c>
      <c r="L2402" s="132">
        <f t="shared" si="271"/>
        <v>0</v>
      </c>
      <c r="M2402" s="133"/>
      <c r="N2402" s="133">
        <f t="shared" si="268"/>
        <v>0</v>
      </c>
      <c r="O2402" s="134"/>
      <c r="P2402" s="133"/>
      <c r="Q2402" s="2"/>
      <c r="R2402" s="156">
        <f t="shared" si="272"/>
        <v>0</v>
      </c>
      <c r="S2402" s="156">
        <f t="shared" si="273"/>
        <v>0</v>
      </c>
      <c r="T2402" s="133"/>
      <c r="U2402" s="133"/>
      <c r="V2402" s="133"/>
      <c r="W2402" s="133"/>
      <c r="X2402" s="133"/>
      <c r="Y2402" s="133"/>
      <c r="Z2402" s="133"/>
      <c r="AA2402" s="133"/>
      <c r="AB2402" s="133"/>
      <c r="AC2402" s="133"/>
      <c r="AD2402" s="133"/>
      <c r="AE2402" s="133"/>
      <c r="AF2402" s="133"/>
      <c r="AG2402" s="133"/>
      <c r="AH2402" s="133"/>
      <c r="AI2402" s="133"/>
      <c r="AJ2402" s="133"/>
      <c r="AK2402" s="133"/>
      <c r="AL2402" s="133"/>
      <c r="AM2402" s="133"/>
      <c r="AN2402" s="133"/>
      <c r="AO2402" s="133"/>
      <c r="AP2402" s="133"/>
      <c r="AQ2402" s="133"/>
      <c r="AR2402" s="133"/>
      <c r="AS2402" s="153">
        <v>0</v>
      </c>
      <c r="AT2402" s="153">
        <v>0</v>
      </c>
      <c r="AU2402" s="153">
        <v>0</v>
      </c>
      <c r="AV2402" s="135"/>
      <c r="AW2402" s="135"/>
      <c r="AX2402" s="135"/>
      <c r="AY2402" s="135"/>
      <c r="AZ2402" s="135"/>
      <c r="BA2402" s="135"/>
      <c r="BB2402" s="135"/>
      <c r="BC2402" s="135"/>
      <c r="BD2402" s="135"/>
      <c r="BE2402" s="135"/>
      <c r="BF2402" s="135"/>
      <c r="BG2402" s="135"/>
      <c r="BH2402" s="135"/>
      <c r="BI2402" s="2"/>
      <c r="BJ2402" s="136"/>
      <c r="BK2402" s="2"/>
      <c r="BL2402" s="136"/>
      <c r="BM2402" s="136"/>
      <c r="BN2402" s="2"/>
      <c r="BO2402" s="2"/>
      <c r="BP2402" s="136"/>
      <c r="BQ2402" s="137"/>
    </row>
    <row r="2403" spans="1:69" ht="12.75" customHeight="1" x14ac:dyDescent="0.2">
      <c r="A2403" s="2">
        <v>3892</v>
      </c>
      <c r="B2403" s="2"/>
      <c r="C2403" s="2"/>
      <c r="D2403" s="2"/>
      <c r="E2403" s="2"/>
      <c r="F2403" s="132">
        <v>0</v>
      </c>
      <c r="G2403" s="132"/>
      <c r="H2403" s="132">
        <f t="shared" si="269"/>
        <v>0</v>
      </c>
      <c r="I2403" s="132"/>
      <c r="J2403" s="132">
        <f t="shared" si="267"/>
        <v>0</v>
      </c>
      <c r="K2403" s="132">
        <f t="shared" si="270"/>
        <v>0</v>
      </c>
      <c r="L2403" s="132">
        <f t="shared" si="271"/>
        <v>0</v>
      </c>
      <c r="M2403" s="133"/>
      <c r="N2403" s="133">
        <f t="shared" si="268"/>
        <v>0</v>
      </c>
      <c r="O2403" s="134"/>
      <c r="P2403" s="133"/>
      <c r="Q2403" s="2"/>
      <c r="R2403" s="156">
        <f t="shared" si="272"/>
        <v>0</v>
      </c>
      <c r="S2403" s="156">
        <f t="shared" si="273"/>
        <v>0</v>
      </c>
      <c r="T2403" s="133"/>
      <c r="U2403" s="133"/>
      <c r="V2403" s="133"/>
      <c r="W2403" s="133"/>
      <c r="X2403" s="133"/>
      <c r="Y2403" s="133"/>
      <c r="Z2403" s="133"/>
      <c r="AA2403" s="133"/>
      <c r="AB2403" s="133"/>
      <c r="AC2403" s="133"/>
      <c r="AD2403" s="133"/>
      <c r="AE2403" s="133"/>
      <c r="AF2403" s="133"/>
      <c r="AG2403" s="133"/>
      <c r="AH2403" s="133"/>
      <c r="AI2403" s="133"/>
      <c r="AJ2403" s="133"/>
      <c r="AK2403" s="133"/>
      <c r="AL2403" s="133"/>
      <c r="AM2403" s="133"/>
      <c r="AN2403" s="133"/>
      <c r="AO2403" s="133"/>
      <c r="AP2403" s="133"/>
      <c r="AQ2403" s="133"/>
      <c r="AR2403" s="133"/>
      <c r="AS2403" s="153">
        <v>0</v>
      </c>
      <c r="AT2403" s="153">
        <v>0</v>
      </c>
      <c r="AU2403" s="153">
        <v>0</v>
      </c>
      <c r="AV2403" s="135"/>
      <c r="AW2403" s="135"/>
      <c r="AX2403" s="135"/>
      <c r="AY2403" s="135"/>
      <c r="AZ2403" s="135"/>
      <c r="BA2403" s="135"/>
      <c r="BB2403" s="135"/>
      <c r="BC2403" s="135"/>
      <c r="BD2403" s="135"/>
      <c r="BE2403" s="135"/>
      <c r="BF2403" s="135"/>
      <c r="BG2403" s="135"/>
      <c r="BH2403" s="135"/>
      <c r="BI2403" s="2"/>
      <c r="BJ2403" s="136"/>
      <c r="BK2403" s="2"/>
      <c r="BL2403" s="136"/>
      <c r="BM2403" s="136"/>
      <c r="BN2403" s="2"/>
      <c r="BO2403" s="2"/>
      <c r="BP2403" s="136"/>
      <c r="BQ2403" s="137"/>
    </row>
    <row r="2404" spans="1:69" ht="12.75" customHeight="1" x14ac:dyDescent="0.2">
      <c r="A2404" s="2">
        <v>3893</v>
      </c>
      <c r="B2404" s="2"/>
      <c r="C2404" s="2"/>
      <c r="D2404" s="2"/>
      <c r="E2404" s="2"/>
      <c r="F2404" s="132">
        <v>0</v>
      </c>
      <c r="G2404" s="132"/>
      <c r="H2404" s="132">
        <f t="shared" si="269"/>
        <v>0</v>
      </c>
      <c r="I2404" s="132"/>
      <c r="J2404" s="132">
        <f t="shared" ref="J2404:J2467" si="274">S2404</f>
        <v>0</v>
      </c>
      <c r="K2404" s="132">
        <f t="shared" si="270"/>
        <v>0</v>
      </c>
      <c r="L2404" s="132">
        <f t="shared" si="271"/>
        <v>0</v>
      </c>
      <c r="M2404" s="133"/>
      <c r="N2404" s="133">
        <f t="shared" si="268"/>
        <v>0</v>
      </c>
      <c r="O2404" s="134"/>
      <c r="P2404" s="133"/>
      <c r="Q2404" s="2"/>
      <c r="R2404" s="156">
        <f t="shared" si="272"/>
        <v>0</v>
      </c>
      <c r="S2404" s="156">
        <f t="shared" si="273"/>
        <v>0</v>
      </c>
      <c r="T2404" s="133"/>
      <c r="U2404" s="133"/>
      <c r="V2404" s="133"/>
      <c r="W2404" s="133"/>
      <c r="X2404" s="133"/>
      <c r="Y2404" s="133"/>
      <c r="Z2404" s="133"/>
      <c r="AA2404" s="133"/>
      <c r="AB2404" s="133"/>
      <c r="AC2404" s="133"/>
      <c r="AD2404" s="133"/>
      <c r="AE2404" s="133"/>
      <c r="AF2404" s="133"/>
      <c r="AG2404" s="133"/>
      <c r="AH2404" s="133"/>
      <c r="AI2404" s="133"/>
      <c r="AJ2404" s="133"/>
      <c r="AK2404" s="133"/>
      <c r="AL2404" s="133"/>
      <c r="AM2404" s="133"/>
      <c r="AN2404" s="133"/>
      <c r="AO2404" s="133"/>
      <c r="AP2404" s="133"/>
      <c r="AQ2404" s="133"/>
      <c r="AR2404" s="133"/>
      <c r="AS2404" s="153">
        <v>0</v>
      </c>
      <c r="AT2404" s="153">
        <v>0</v>
      </c>
      <c r="AU2404" s="153">
        <v>0</v>
      </c>
      <c r="AV2404" s="135"/>
      <c r="AW2404" s="135"/>
      <c r="AX2404" s="135"/>
      <c r="AY2404" s="135"/>
      <c r="AZ2404" s="135"/>
      <c r="BA2404" s="135"/>
      <c r="BB2404" s="135"/>
      <c r="BC2404" s="135"/>
      <c r="BD2404" s="135"/>
      <c r="BE2404" s="135"/>
      <c r="BF2404" s="135"/>
      <c r="BG2404" s="135"/>
      <c r="BH2404" s="135"/>
      <c r="BI2404" s="2"/>
      <c r="BJ2404" s="136"/>
      <c r="BK2404" s="2"/>
      <c r="BL2404" s="136"/>
      <c r="BM2404" s="136"/>
      <c r="BN2404" s="2"/>
      <c r="BO2404" s="2"/>
      <c r="BP2404" s="136"/>
      <c r="BQ2404" s="137"/>
    </row>
    <row r="2405" spans="1:69" ht="12.75" customHeight="1" x14ac:dyDescent="0.2">
      <c r="A2405" s="2">
        <v>3894</v>
      </c>
      <c r="B2405" s="2"/>
      <c r="C2405" s="2"/>
      <c r="D2405" s="2"/>
      <c r="E2405" s="2"/>
      <c r="F2405" s="132">
        <v>0</v>
      </c>
      <c r="G2405" s="132"/>
      <c r="H2405" s="132">
        <f t="shared" si="269"/>
        <v>0</v>
      </c>
      <c r="I2405" s="132"/>
      <c r="J2405" s="132">
        <f t="shared" si="274"/>
        <v>0</v>
      </c>
      <c r="K2405" s="132">
        <f t="shared" si="270"/>
        <v>0</v>
      </c>
      <c r="L2405" s="132">
        <f t="shared" si="271"/>
        <v>0</v>
      </c>
      <c r="M2405" s="133"/>
      <c r="N2405" s="133">
        <f t="shared" si="268"/>
        <v>0</v>
      </c>
      <c r="O2405" s="134"/>
      <c r="P2405" s="133"/>
      <c r="Q2405" s="2"/>
      <c r="R2405" s="156">
        <f t="shared" si="272"/>
        <v>0</v>
      </c>
      <c r="S2405" s="156">
        <f t="shared" si="273"/>
        <v>0</v>
      </c>
      <c r="T2405" s="133"/>
      <c r="U2405" s="133"/>
      <c r="V2405" s="133"/>
      <c r="W2405" s="133"/>
      <c r="X2405" s="133"/>
      <c r="Y2405" s="133"/>
      <c r="Z2405" s="133"/>
      <c r="AA2405" s="133"/>
      <c r="AB2405" s="133"/>
      <c r="AC2405" s="133"/>
      <c r="AD2405" s="133"/>
      <c r="AE2405" s="133"/>
      <c r="AF2405" s="133"/>
      <c r="AG2405" s="133"/>
      <c r="AH2405" s="133"/>
      <c r="AI2405" s="133"/>
      <c r="AJ2405" s="133"/>
      <c r="AK2405" s="133"/>
      <c r="AL2405" s="133"/>
      <c r="AM2405" s="133"/>
      <c r="AN2405" s="133"/>
      <c r="AO2405" s="133"/>
      <c r="AP2405" s="133"/>
      <c r="AQ2405" s="133"/>
      <c r="AR2405" s="133"/>
      <c r="AS2405" s="153">
        <v>0</v>
      </c>
      <c r="AT2405" s="153">
        <v>0</v>
      </c>
      <c r="AU2405" s="153">
        <v>0</v>
      </c>
      <c r="AV2405" s="135"/>
      <c r="AW2405" s="135"/>
      <c r="AX2405" s="135"/>
      <c r="AY2405" s="135"/>
      <c r="AZ2405" s="135"/>
      <c r="BA2405" s="135"/>
      <c r="BB2405" s="135"/>
      <c r="BC2405" s="135"/>
      <c r="BD2405" s="135"/>
      <c r="BE2405" s="135"/>
      <c r="BF2405" s="135"/>
      <c r="BG2405" s="135"/>
      <c r="BH2405" s="135"/>
      <c r="BI2405" s="2"/>
      <c r="BJ2405" s="136"/>
      <c r="BK2405" s="2"/>
      <c r="BL2405" s="136"/>
      <c r="BM2405" s="136"/>
      <c r="BN2405" s="2"/>
      <c r="BO2405" s="2"/>
      <c r="BP2405" s="136"/>
      <c r="BQ2405" s="137"/>
    </row>
    <row r="2406" spans="1:69" ht="12.75" customHeight="1" x14ac:dyDescent="0.2">
      <c r="A2406" s="2">
        <v>3895</v>
      </c>
      <c r="B2406" s="2"/>
      <c r="C2406" s="2"/>
      <c r="D2406" s="2"/>
      <c r="E2406" s="2"/>
      <c r="F2406" s="132">
        <v>0</v>
      </c>
      <c r="G2406" s="132"/>
      <c r="H2406" s="132">
        <f t="shared" si="269"/>
        <v>0</v>
      </c>
      <c r="I2406" s="132"/>
      <c r="J2406" s="132">
        <f t="shared" si="274"/>
        <v>0</v>
      </c>
      <c r="K2406" s="132">
        <f t="shared" si="270"/>
        <v>0</v>
      </c>
      <c r="L2406" s="132">
        <f t="shared" si="271"/>
        <v>0</v>
      </c>
      <c r="M2406" s="133"/>
      <c r="N2406" s="133">
        <f t="shared" si="268"/>
        <v>0</v>
      </c>
      <c r="O2406" s="134"/>
      <c r="P2406" s="133"/>
      <c r="Q2406" s="2"/>
      <c r="R2406" s="156">
        <f t="shared" si="272"/>
        <v>0</v>
      </c>
      <c r="S2406" s="156">
        <f t="shared" si="273"/>
        <v>0</v>
      </c>
      <c r="T2406" s="133"/>
      <c r="U2406" s="133"/>
      <c r="V2406" s="133"/>
      <c r="W2406" s="133"/>
      <c r="X2406" s="133"/>
      <c r="Y2406" s="133"/>
      <c r="Z2406" s="133"/>
      <c r="AA2406" s="133"/>
      <c r="AB2406" s="133"/>
      <c r="AC2406" s="133"/>
      <c r="AD2406" s="133"/>
      <c r="AE2406" s="133"/>
      <c r="AF2406" s="133"/>
      <c r="AG2406" s="133"/>
      <c r="AH2406" s="133"/>
      <c r="AI2406" s="133"/>
      <c r="AJ2406" s="133"/>
      <c r="AK2406" s="133"/>
      <c r="AL2406" s="133"/>
      <c r="AM2406" s="133"/>
      <c r="AN2406" s="133"/>
      <c r="AO2406" s="133"/>
      <c r="AP2406" s="133"/>
      <c r="AQ2406" s="133"/>
      <c r="AR2406" s="133"/>
      <c r="AS2406" s="153">
        <v>0</v>
      </c>
      <c r="AT2406" s="153">
        <v>0</v>
      </c>
      <c r="AU2406" s="153">
        <v>0</v>
      </c>
      <c r="AV2406" s="135"/>
      <c r="AW2406" s="135"/>
      <c r="AX2406" s="135"/>
      <c r="AY2406" s="135"/>
      <c r="AZ2406" s="135"/>
      <c r="BA2406" s="135"/>
      <c r="BB2406" s="135"/>
      <c r="BC2406" s="135"/>
      <c r="BD2406" s="135"/>
      <c r="BE2406" s="135"/>
      <c r="BF2406" s="135"/>
      <c r="BG2406" s="135"/>
      <c r="BH2406" s="135"/>
      <c r="BI2406" s="2"/>
      <c r="BJ2406" s="136"/>
      <c r="BK2406" s="2"/>
      <c r="BL2406" s="136"/>
      <c r="BM2406" s="136"/>
      <c r="BN2406" s="2"/>
      <c r="BO2406" s="2"/>
      <c r="BP2406" s="136"/>
      <c r="BQ2406" s="137"/>
    </row>
    <row r="2407" spans="1:69" ht="12.75" customHeight="1" x14ac:dyDescent="0.2">
      <c r="A2407" s="2">
        <v>3896</v>
      </c>
      <c r="B2407" s="2"/>
      <c r="C2407" s="2"/>
      <c r="D2407" s="2"/>
      <c r="E2407" s="2"/>
      <c r="F2407" s="132">
        <v>0</v>
      </c>
      <c r="G2407" s="132"/>
      <c r="H2407" s="132">
        <f t="shared" si="269"/>
        <v>0</v>
      </c>
      <c r="I2407" s="132"/>
      <c r="J2407" s="132">
        <f t="shared" si="274"/>
        <v>0</v>
      </c>
      <c r="K2407" s="132">
        <f t="shared" si="270"/>
        <v>0</v>
      </c>
      <c r="L2407" s="132">
        <f t="shared" si="271"/>
        <v>0</v>
      </c>
      <c r="M2407" s="133"/>
      <c r="N2407" s="133">
        <f t="shared" si="268"/>
        <v>0</v>
      </c>
      <c r="O2407" s="134"/>
      <c r="P2407" s="133"/>
      <c r="Q2407" s="2"/>
      <c r="R2407" s="156">
        <f t="shared" si="272"/>
        <v>0</v>
      </c>
      <c r="S2407" s="156">
        <f t="shared" si="273"/>
        <v>0</v>
      </c>
      <c r="T2407" s="133"/>
      <c r="U2407" s="133"/>
      <c r="V2407" s="133"/>
      <c r="W2407" s="133"/>
      <c r="X2407" s="133"/>
      <c r="Y2407" s="133"/>
      <c r="Z2407" s="133"/>
      <c r="AA2407" s="133"/>
      <c r="AB2407" s="133"/>
      <c r="AC2407" s="133"/>
      <c r="AD2407" s="133"/>
      <c r="AE2407" s="133"/>
      <c r="AF2407" s="133"/>
      <c r="AG2407" s="133"/>
      <c r="AH2407" s="133"/>
      <c r="AI2407" s="133"/>
      <c r="AJ2407" s="133"/>
      <c r="AK2407" s="133"/>
      <c r="AL2407" s="133"/>
      <c r="AM2407" s="133"/>
      <c r="AN2407" s="133"/>
      <c r="AO2407" s="133"/>
      <c r="AP2407" s="133"/>
      <c r="AQ2407" s="133"/>
      <c r="AR2407" s="133"/>
      <c r="AS2407" s="153">
        <v>0</v>
      </c>
      <c r="AT2407" s="153">
        <v>0</v>
      </c>
      <c r="AU2407" s="153">
        <v>0</v>
      </c>
      <c r="AV2407" s="135"/>
      <c r="AW2407" s="135"/>
      <c r="AX2407" s="135"/>
      <c r="AY2407" s="135"/>
      <c r="AZ2407" s="135"/>
      <c r="BA2407" s="135"/>
      <c r="BB2407" s="135"/>
      <c r="BC2407" s="135"/>
      <c r="BD2407" s="135"/>
      <c r="BE2407" s="135"/>
      <c r="BF2407" s="135"/>
      <c r="BG2407" s="135"/>
      <c r="BH2407" s="135"/>
      <c r="BI2407" s="2"/>
      <c r="BJ2407" s="136"/>
      <c r="BK2407" s="2"/>
      <c r="BL2407" s="136"/>
      <c r="BM2407" s="136"/>
      <c r="BN2407" s="2"/>
      <c r="BO2407" s="2"/>
      <c r="BP2407" s="136"/>
      <c r="BQ2407" s="137"/>
    </row>
    <row r="2408" spans="1:69" ht="12.75" customHeight="1" x14ac:dyDescent="0.2">
      <c r="A2408" s="2">
        <v>3897</v>
      </c>
      <c r="B2408" s="2"/>
      <c r="C2408" s="2"/>
      <c r="D2408" s="2"/>
      <c r="E2408" s="2"/>
      <c r="F2408" s="132">
        <v>0</v>
      </c>
      <c r="G2408" s="132"/>
      <c r="H2408" s="132">
        <f t="shared" si="269"/>
        <v>0</v>
      </c>
      <c r="I2408" s="132"/>
      <c r="J2408" s="132">
        <f t="shared" si="274"/>
        <v>0</v>
      </c>
      <c r="K2408" s="132">
        <f t="shared" si="270"/>
        <v>0</v>
      </c>
      <c r="L2408" s="132">
        <f t="shared" si="271"/>
        <v>0</v>
      </c>
      <c r="M2408" s="133"/>
      <c r="N2408" s="133">
        <f t="shared" si="268"/>
        <v>0</v>
      </c>
      <c r="O2408" s="134"/>
      <c r="P2408" s="133"/>
      <c r="Q2408" s="2"/>
      <c r="R2408" s="156">
        <f t="shared" si="272"/>
        <v>0</v>
      </c>
      <c r="S2408" s="156">
        <f t="shared" si="273"/>
        <v>0</v>
      </c>
      <c r="T2408" s="133"/>
      <c r="U2408" s="133"/>
      <c r="V2408" s="133"/>
      <c r="W2408" s="133"/>
      <c r="X2408" s="133"/>
      <c r="Y2408" s="133"/>
      <c r="Z2408" s="133"/>
      <c r="AA2408" s="133"/>
      <c r="AB2408" s="133"/>
      <c r="AC2408" s="133"/>
      <c r="AD2408" s="133"/>
      <c r="AE2408" s="133"/>
      <c r="AF2408" s="133"/>
      <c r="AG2408" s="133"/>
      <c r="AH2408" s="133"/>
      <c r="AI2408" s="133"/>
      <c r="AJ2408" s="133"/>
      <c r="AK2408" s="133"/>
      <c r="AL2408" s="133"/>
      <c r="AM2408" s="133"/>
      <c r="AN2408" s="133"/>
      <c r="AO2408" s="133"/>
      <c r="AP2408" s="133"/>
      <c r="AQ2408" s="133"/>
      <c r="AR2408" s="133"/>
      <c r="AS2408" s="153">
        <v>0</v>
      </c>
      <c r="AT2408" s="153">
        <v>0</v>
      </c>
      <c r="AU2408" s="153">
        <v>0</v>
      </c>
      <c r="AV2408" s="135"/>
      <c r="AW2408" s="135"/>
      <c r="AX2408" s="135"/>
      <c r="AY2408" s="135"/>
      <c r="AZ2408" s="135"/>
      <c r="BA2408" s="135"/>
      <c r="BB2408" s="135"/>
      <c r="BC2408" s="135"/>
      <c r="BD2408" s="135"/>
      <c r="BE2408" s="135"/>
      <c r="BF2408" s="135"/>
      <c r="BG2408" s="135"/>
      <c r="BH2408" s="135"/>
      <c r="BI2408" s="2"/>
      <c r="BJ2408" s="136"/>
      <c r="BK2408" s="2"/>
      <c r="BL2408" s="136"/>
      <c r="BM2408" s="136"/>
      <c r="BN2408" s="2"/>
      <c r="BO2408" s="2"/>
      <c r="BP2408" s="136"/>
      <c r="BQ2408" s="137"/>
    </row>
    <row r="2409" spans="1:69" ht="12.75" customHeight="1" x14ac:dyDescent="0.2">
      <c r="A2409" s="2">
        <v>3898</v>
      </c>
      <c r="B2409" s="2"/>
      <c r="C2409" s="2"/>
      <c r="D2409" s="2"/>
      <c r="E2409" s="2"/>
      <c r="F2409" s="132">
        <v>0</v>
      </c>
      <c r="G2409" s="132"/>
      <c r="H2409" s="132">
        <f t="shared" si="269"/>
        <v>0</v>
      </c>
      <c r="I2409" s="132"/>
      <c r="J2409" s="132">
        <f t="shared" si="274"/>
        <v>0</v>
      </c>
      <c r="K2409" s="132">
        <f t="shared" si="270"/>
        <v>0</v>
      </c>
      <c r="L2409" s="132">
        <f t="shared" si="271"/>
        <v>0</v>
      </c>
      <c r="M2409" s="133"/>
      <c r="N2409" s="133">
        <f t="shared" si="268"/>
        <v>0</v>
      </c>
      <c r="O2409" s="134"/>
      <c r="P2409" s="133"/>
      <c r="Q2409" s="2"/>
      <c r="R2409" s="156">
        <f t="shared" si="272"/>
        <v>0</v>
      </c>
      <c r="S2409" s="156">
        <f t="shared" si="273"/>
        <v>0</v>
      </c>
      <c r="T2409" s="133"/>
      <c r="U2409" s="133"/>
      <c r="V2409" s="133"/>
      <c r="W2409" s="133"/>
      <c r="X2409" s="133"/>
      <c r="Y2409" s="133"/>
      <c r="Z2409" s="133"/>
      <c r="AA2409" s="133"/>
      <c r="AB2409" s="133"/>
      <c r="AC2409" s="133"/>
      <c r="AD2409" s="133"/>
      <c r="AE2409" s="133"/>
      <c r="AF2409" s="133"/>
      <c r="AG2409" s="133"/>
      <c r="AH2409" s="133"/>
      <c r="AI2409" s="133"/>
      <c r="AJ2409" s="133"/>
      <c r="AK2409" s="133"/>
      <c r="AL2409" s="133"/>
      <c r="AM2409" s="133"/>
      <c r="AN2409" s="133"/>
      <c r="AO2409" s="133"/>
      <c r="AP2409" s="133"/>
      <c r="AQ2409" s="133"/>
      <c r="AR2409" s="133"/>
      <c r="AS2409" s="153">
        <v>0</v>
      </c>
      <c r="AT2409" s="153">
        <v>0</v>
      </c>
      <c r="AU2409" s="153">
        <v>0</v>
      </c>
      <c r="AV2409" s="135"/>
      <c r="AW2409" s="135"/>
      <c r="AX2409" s="135"/>
      <c r="AY2409" s="135"/>
      <c r="AZ2409" s="135"/>
      <c r="BA2409" s="135"/>
      <c r="BB2409" s="135"/>
      <c r="BC2409" s="135"/>
      <c r="BD2409" s="135"/>
      <c r="BE2409" s="135"/>
      <c r="BF2409" s="135"/>
      <c r="BG2409" s="135"/>
      <c r="BH2409" s="135"/>
      <c r="BI2409" s="2"/>
      <c r="BJ2409" s="136"/>
      <c r="BK2409" s="2"/>
      <c r="BL2409" s="136"/>
      <c r="BM2409" s="136"/>
      <c r="BN2409" s="2"/>
      <c r="BO2409" s="2"/>
      <c r="BP2409" s="136"/>
      <c r="BQ2409" s="137"/>
    </row>
    <row r="2410" spans="1:69" ht="12.75" customHeight="1" x14ac:dyDescent="0.2">
      <c r="A2410" s="2">
        <v>3899</v>
      </c>
      <c r="B2410" s="2"/>
      <c r="C2410" s="2"/>
      <c r="D2410" s="2"/>
      <c r="E2410" s="2"/>
      <c r="F2410" s="132">
        <v>0</v>
      </c>
      <c r="G2410" s="132"/>
      <c r="H2410" s="132">
        <f t="shared" si="269"/>
        <v>0</v>
      </c>
      <c r="I2410" s="132"/>
      <c r="J2410" s="132">
        <f t="shared" si="274"/>
        <v>0</v>
      </c>
      <c r="K2410" s="132">
        <f t="shared" si="270"/>
        <v>0</v>
      </c>
      <c r="L2410" s="132">
        <f t="shared" si="271"/>
        <v>0</v>
      </c>
      <c r="M2410" s="133"/>
      <c r="N2410" s="133">
        <f t="shared" ref="N2410:N2473" si="275">IF(OR(BK2410="принят",BK2410="Завершено",BK2410="ПриПро"),H2410-J2410,F2410-J2410)</f>
        <v>0</v>
      </c>
      <c r="O2410" s="134"/>
      <c r="P2410" s="133"/>
      <c r="Q2410" s="2"/>
      <c r="R2410" s="156">
        <f t="shared" si="272"/>
        <v>0</v>
      </c>
      <c r="S2410" s="156">
        <f t="shared" si="273"/>
        <v>0</v>
      </c>
      <c r="T2410" s="133"/>
      <c r="U2410" s="133"/>
      <c r="V2410" s="133"/>
      <c r="W2410" s="133"/>
      <c r="X2410" s="133"/>
      <c r="Y2410" s="133"/>
      <c r="Z2410" s="133"/>
      <c r="AA2410" s="133"/>
      <c r="AB2410" s="133"/>
      <c r="AC2410" s="133"/>
      <c r="AD2410" s="133"/>
      <c r="AE2410" s="133"/>
      <c r="AF2410" s="133"/>
      <c r="AG2410" s="133"/>
      <c r="AH2410" s="133"/>
      <c r="AI2410" s="133"/>
      <c r="AJ2410" s="133"/>
      <c r="AK2410" s="133"/>
      <c r="AL2410" s="133"/>
      <c r="AM2410" s="133"/>
      <c r="AN2410" s="133"/>
      <c r="AO2410" s="133"/>
      <c r="AP2410" s="133"/>
      <c r="AQ2410" s="133"/>
      <c r="AR2410" s="133"/>
      <c r="AS2410" s="153">
        <v>0</v>
      </c>
      <c r="AT2410" s="153">
        <v>0</v>
      </c>
      <c r="AU2410" s="153">
        <v>0</v>
      </c>
      <c r="AV2410" s="135"/>
      <c r="AW2410" s="135"/>
      <c r="AX2410" s="135"/>
      <c r="AY2410" s="135"/>
      <c r="AZ2410" s="135"/>
      <c r="BA2410" s="135"/>
      <c r="BB2410" s="135"/>
      <c r="BC2410" s="135"/>
      <c r="BD2410" s="135"/>
      <c r="BE2410" s="135"/>
      <c r="BF2410" s="135"/>
      <c r="BG2410" s="135"/>
      <c r="BH2410" s="135"/>
      <c r="BI2410" s="2"/>
      <c r="BJ2410" s="136"/>
      <c r="BK2410" s="2"/>
      <c r="BL2410" s="136"/>
      <c r="BM2410" s="136"/>
      <c r="BN2410" s="2"/>
      <c r="BO2410" s="2"/>
      <c r="BP2410" s="136"/>
      <c r="BQ2410" s="137"/>
    </row>
    <row r="2411" spans="1:69" ht="12.75" customHeight="1" x14ac:dyDescent="0.2">
      <c r="A2411" s="2">
        <v>3900</v>
      </c>
      <c r="B2411" s="2"/>
      <c r="C2411" s="2"/>
      <c r="D2411" s="2"/>
      <c r="E2411" s="2"/>
      <c r="F2411" s="132">
        <v>0</v>
      </c>
      <c r="G2411" s="132"/>
      <c r="H2411" s="132">
        <f t="shared" si="269"/>
        <v>0</v>
      </c>
      <c r="I2411" s="132"/>
      <c r="J2411" s="132">
        <f t="shared" si="274"/>
        <v>0</v>
      </c>
      <c r="K2411" s="132">
        <f t="shared" si="270"/>
        <v>0</v>
      </c>
      <c r="L2411" s="132">
        <f t="shared" si="271"/>
        <v>0</v>
      </c>
      <c r="M2411" s="133"/>
      <c r="N2411" s="133">
        <f t="shared" si="275"/>
        <v>0</v>
      </c>
      <c r="O2411" s="134"/>
      <c r="P2411" s="133"/>
      <c r="Q2411" s="2"/>
      <c r="R2411" s="156">
        <f t="shared" si="272"/>
        <v>0</v>
      </c>
      <c r="S2411" s="156">
        <f t="shared" si="273"/>
        <v>0</v>
      </c>
      <c r="T2411" s="133"/>
      <c r="U2411" s="133"/>
      <c r="V2411" s="133"/>
      <c r="W2411" s="133"/>
      <c r="X2411" s="133"/>
      <c r="Y2411" s="133"/>
      <c r="Z2411" s="133"/>
      <c r="AA2411" s="133"/>
      <c r="AB2411" s="133"/>
      <c r="AC2411" s="133"/>
      <c r="AD2411" s="133"/>
      <c r="AE2411" s="133"/>
      <c r="AF2411" s="133"/>
      <c r="AG2411" s="133"/>
      <c r="AH2411" s="133"/>
      <c r="AI2411" s="133"/>
      <c r="AJ2411" s="133"/>
      <c r="AK2411" s="133"/>
      <c r="AL2411" s="133"/>
      <c r="AM2411" s="133"/>
      <c r="AN2411" s="133"/>
      <c r="AO2411" s="133"/>
      <c r="AP2411" s="133"/>
      <c r="AQ2411" s="133"/>
      <c r="AR2411" s="133"/>
      <c r="AS2411" s="153">
        <v>0</v>
      </c>
      <c r="AT2411" s="153">
        <v>0</v>
      </c>
      <c r="AU2411" s="153">
        <v>0</v>
      </c>
      <c r="AV2411" s="135"/>
      <c r="AW2411" s="135"/>
      <c r="AX2411" s="135"/>
      <c r="AY2411" s="135"/>
      <c r="AZ2411" s="135"/>
      <c r="BA2411" s="135"/>
      <c r="BB2411" s="135"/>
      <c r="BC2411" s="135"/>
      <c r="BD2411" s="135"/>
      <c r="BE2411" s="135"/>
      <c r="BF2411" s="135"/>
      <c r="BG2411" s="135"/>
      <c r="BH2411" s="135"/>
      <c r="BI2411" s="2"/>
      <c r="BJ2411" s="136"/>
      <c r="BK2411" s="2"/>
      <c r="BL2411" s="136"/>
      <c r="BM2411" s="136"/>
      <c r="BN2411" s="2"/>
      <c r="BO2411" s="2"/>
      <c r="BP2411" s="136"/>
      <c r="BQ2411" s="137"/>
    </row>
    <row r="2412" spans="1:69" ht="12.75" customHeight="1" x14ac:dyDescent="0.2">
      <c r="A2412" s="2">
        <v>3901</v>
      </c>
      <c r="B2412" s="2"/>
      <c r="C2412" s="2"/>
      <c r="D2412" s="2"/>
      <c r="E2412" s="2"/>
      <c r="F2412" s="132">
        <v>0</v>
      </c>
      <c r="G2412" s="132"/>
      <c r="H2412" s="132">
        <f t="shared" si="269"/>
        <v>0</v>
      </c>
      <c r="I2412" s="132"/>
      <c r="J2412" s="132">
        <f t="shared" si="274"/>
        <v>0</v>
      </c>
      <c r="K2412" s="132">
        <f t="shared" si="270"/>
        <v>0</v>
      </c>
      <c r="L2412" s="132">
        <f t="shared" si="271"/>
        <v>0</v>
      </c>
      <c r="M2412" s="133"/>
      <c r="N2412" s="133">
        <f t="shared" si="275"/>
        <v>0</v>
      </c>
      <c r="O2412" s="134"/>
      <c r="P2412" s="133"/>
      <c r="Q2412" s="2"/>
      <c r="R2412" s="156">
        <f t="shared" si="272"/>
        <v>0</v>
      </c>
      <c r="S2412" s="156">
        <f t="shared" si="273"/>
        <v>0</v>
      </c>
      <c r="T2412" s="133"/>
      <c r="U2412" s="133"/>
      <c r="V2412" s="133"/>
      <c r="W2412" s="133"/>
      <c r="X2412" s="133"/>
      <c r="Y2412" s="133"/>
      <c r="Z2412" s="133"/>
      <c r="AA2412" s="133"/>
      <c r="AB2412" s="133"/>
      <c r="AC2412" s="133"/>
      <c r="AD2412" s="133"/>
      <c r="AE2412" s="133"/>
      <c r="AF2412" s="133"/>
      <c r="AG2412" s="133"/>
      <c r="AH2412" s="133"/>
      <c r="AI2412" s="133"/>
      <c r="AJ2412" s="133"/>
      <c r="AK2412" s="133"/>
      <c r="AL2412" s="133"/>
      <c r="AM2412" s="133"/>
      <c r="AN2412" s="133"/>
      <c r="AO2412" s="133"/>
      <c r="AP2412" s="133"/>
      <c r="AQ2412" s="133"/>
      <c r="AR2412" s="133"/>
      <c r="AS2412" s="153">
        <v>0</v>
      </c>
      <c r="AT2412" s="153">
        <v>0</v>
      </c>
      <c r="AU2412" s="153">
        <v>0</v>
      </c>
      <c r="AV2412" s="135"/>
      <c r="AW2412" s="135"/>
      <c r="AX2412" s="135"/>
      <c r="AY2412" s="135"/>
      <c r="AZ2412" s="135"/>
      <c r="BA2412" s="135"/>
      <c r="BB2412" s="135"/>
      <c r="BC2412" s="135"/>
      <c r="BD2412" s="135"/>
      <c r="BE2412" s="135"/>
      <c r="BF2412" s="135"/>
      <c r="BG2412" s="135"/>
      <c r="BH2412" s="135"/>
      <c r="BI2412" s="2"/>
      <c r="BJ2412" s="136"/>
      <c r="BK2412" s="2"/>
      <c r="BL2412" s="136"/>
      <c r="BM2412" s="136"/>
      <c r="BN2412" s="2"/>
      <c r="BO2412" s="2"/>
      <c r="BP2412" s="136"/>
      <c r="BQ2412" s="137"/>
    </row>
    <row r="2413" spans="1:69" ht="12.75" customHeight="1" x14ac:dyDescent="0.2">
      <c r="A2413" s="2">
        <v>3902</v>
      </c>
      <c r="B2413" s="2"/>
      <c r="C2413" s="2"/>
      <c r="D2413" s="2"/>
      <c r="E2413" s="2"/>
      <c r="F2413" s="132">
        <v>0</v>
      </c>
      <c r="G2413" s="132"/>
      <c r="H2413" s="132">
        <f t="shared" si="269"/>
        <v>0</v>
      </c>
      <c r="I2413" s="132"/>
      <c r="J2413" s="132">
        <f t="shared" si="274"/>
        <v>0</v>
      </c>
      <c r="K2413" s="132">
        <f t="shared" si="270"/>
        <v>0</v>
      </c>
      <c r="L2413" s="132">
        <f t="shared" si="271"/>
        <v>0</v>
      </c>
      <c r="M2413" s="133"/>
      <c r="N2413" s="133">
        <f t="shared" si="275"/>
        <v>0</v>
      </c>
      <c r="O2413" s="134"/>
      <c r="P2413" s="133"/>
      <c r="Q2413" s="2"/>
      <c r="R2413" s="156">
        <f t="shared" si="272"/>
        <v>0</v>
      </c>
      <c r="S2413" s="156">
        <f t="shared" si="273"/>
        <v>0</v>
      </c>
      <c r="T2413" s="133"/>
      <c r="U2413" s="133"/>
      <c r="V2413" s="133"/>
      <c r="W2413" s="133"/>
      <c r="X2413" s="133"/>
      <c r="Y2413" s="133"/>
      <c r="Z2413" s="133"/>
      <c r="AA2413" s="133"/>
      <c r="AB2413" s="133"/>
      <c r="AC2413" s="133"/>
      <c r="AD2413" s="133"/>
      <c r="AE2413" s="133"/>
      <c r="AF2413" s="133"/>
      <c r="AG2413" s="133"/>
      <c r="AH2413" s="133"/>
      <c r="AI2413" s="133"/>
      <c r="AJ2413" s="133"/>
      <c r="AK2413" s="133"/>
      <c r="AL2413" s="133"/>
      <c r="AM2413" s="133"/>
      <c r="AN2413" s="133"/>
      <c r="AO2413" s="133"/>
      <c r="AP2413" s="133"/>
      <c r="AQ2413" s="133"/>
      <c r="AR2413" s="133"/>
      <c r="AS2413" s="153">
        <v>0</v>
      </c>
      <c r="AT2413" s="153">
        <v>0</v>
      </c>
      <c r="AU2413" s="153">
        <v>0</v>
      </c>
      <c r="AV2413" s="135"/>
      <c r="AW2413" s="135"/>
      <c r="AX2413" s="135"/>
      <c r="AY2413" s="135"/>
      <c r="AZ2413" s="135"/>
      <c r="BA2413" s="135"/>
      <c r="BB2413" s="135"/>
      <c r="BC2413" s="135"/>
      <c r="BD2413" s="135"/>
      <c r="BE2413" s="135"/>
      <c r="BF2413" s="135"/>
      <c r="BG2413" s="135"/>
      <c r="BH2413" s="135"/>
      <c r="BI2413" s="2"/>
      <c r="BJ2413" s="136"/>
      <c r="BK2413" s="2"/>
      <c r="BL2413" s="136"/>
      <c r="BM2413" s="136"/>
      <c r="BN2413" s="2"/>
      <c r="BO2413" s="2"/>
      <c r="BP2413" s="136"/>
      <c r="BQ2413" s="137"/>
    </row>
    <row r="2414" spans="1:69" ht="12.75" customHeight="1" x14ac:dyDescent="0.2">
      <c r="A2414" s="2">
        <v>3903</v>
      </c>
      <c r="B2414" s="2"/>
      <c r="C2414" s="2"/>
      <c r="D2414" s="2"/>
      <c r="E2414" s="2"/>
      <c r="F2414" s="132">
        <v>0</v>
      </c>
      <c r="G2414" s="132"/>
      <c r="H2414" s="132">
        <f t="shared" ref="H2414:H2477" si="276">R2414</f>
        <v>0</v>
      </c>
      <c r="I2414" s="132"/>
      <c r="J2414" s="132">
        <f t="shared" si="274"/>
        <v>0</v>
      </c>
      <c r="K2414" s="132">
        <f t="shared" si="270"/>
        <v>0</v>
      </c>
      <c r="L2414" s="132">
        <f t="shared" si="271"/>
        <v>0</v>
      </c>
      <c r="M2414" s="133"/>
      <c r="N2414" s="133">
        <f t="shared" si="275"/>
        <v>0</v>
      </c>
      <c r="O2414" s="134"/>
      <c r="P2414" s="133"/>
      <c r="Q2414" s="2"/>
      <c r="R2414" s="156">
        <f t="shared" si="272"/>
        <v>0</v>
      </c>
      <c r="S2414" s="156">
        <f t="shared" si="273"/>
        <v>0</v>
      </c>
      <c r="T2414" s="133"/>
      <c r="U2414" s="133"/>
      <c r="V2414" s="133"/>
      <c r="W2414" s="133"/>
      <c r="X2414" s="133"/>
      <c r="Y2414" s="133"/>
      <c r="Z2414" s="133"/>
      <c r="AA2414" s="133"/>
      <c r="AB2414" s="133"/>
      <c r="AC2414" s="133"/>
      <c r="AD2414" s="133"/>
      <c r="AE2414" s="133"/>
      <c r="AF2414" s="133"/>
      <c r="AG2414" s="133"/>
      <c r="AH2414" s="133"/>
      <c r="AI2414" s="133"/>
      <c r="AJ2414" s="133"/>
      <c r="AK2414" s="133"/>
      <c r="AL2414" s="133"/>
      <c r="AM2414" s="133"/>
      <c r="AN2414" s="133"/>
      <c r="AO2414" s="133"/>
      <c r="AP2414" s="133"/>
      <c r="AQ2414" s="133"/>
      <c r="AR2414" s="133"/>
      <c r="AS2414" s="153">
        <v>0</v>
      </c>
      <c r="AT2414" s="153">
        <v>0</v>
      </c>
      <c r="AU2414" s="153">
        <v>0</v>
      </c>
      <c r="AV2414" s="135"/>
      <c r="AW2414" s="135"/>
      <c r="AX2414" s="135"/>
      <c r="AY2414" s="135"/>
      <c r="AZ2414" s="135"/>
      <c r="BA2414" s="135"/>
      <c r="BB2414" s="135"/>
      <c r="BC2414" s="135"/>
      <c r="BD2414" s="135"/>
      <c r="BE2414" s="135"/>
      <c r="BF2414" s="135"/>
      <c r="BG2414" s="135"/>
      <c r="BH2414" s="135"/>
      <c r="BI2414" s="2"/>
      <c r="BJ2414" s="136"/>
      <c r="BK2414" s="2"/>
      <c r="BL2414" s="136"/>
      <c r="BM2414" s="136"/>
      <c r="BN2414" s="2"/>
      <c r="BO2414" s="2"/>
      <c r="BP2414" s="136"/>
      <c r="BQ2414" s="137"/>
    </row>
    <row r="2415" spans="1:69" ht="12.75" customHeight="1" x14ac:dyDescent="0.2">
      <c r="A2415" s="2">
        <v>3904</v>
      </c>
      <c r="B2415" s="2"/>
      <c r="C2415" s="2"/>
      <c r="D2415" s="2"/>
      <c r="E2415" s="2"/>
      <c r="F2415" s="132">
        <v>0</v>
      </c>
      <c r="G2415" s="132"/>
      <c r="H2415" s="132">
        <f t="shared" si="276"/>
        <v>0</v>
      </c>
      <c r="I2415" s="132"/>
      <c r="J2415" s="132">
        <f t="shared" si="274"/>
        <v>0</v>
      </c>
      <c r="K2415" s="132">
        <f t="shared" si="270"/>
        <v>0</v>
      </c>
      <c r="L2415" s="132">
        <f t="shared" si="271"/>
        <v>0</v>
      </c>
      <c r="M2415" s="133"/>
      <c r="N2415" s="133">
        <f t="shared" si="275"/>
        <v>0</v>
      </c>
      <c r="O2415" s="134"/>
      <c r="P2415" s="133"/>
      <c r="Q2415" s="2"/>
      <c r="R2415" s="156">
        <f t="shared" si="272"/>
        <v>0</v>
      </c>
      <c r="S2415" s="156">
        <f t="shared" si="273"/>
        <v>0</v>
      </c>
      <c r="T2415" s="133"/>
      <c r="U2415" s="133"/>
      <c r="V2415" s="133"/>
      <c r="W2415" s="133"/>
      <c r="X2415" s="133"/>
      <c r="Y2415" s="133"/>
      <c r="Z2415" s="133"/>
      <c r="AA2415" s="133"/>
      <c r="AB2415" s="133"/>
      <c r="AC2415" s="133"/>
      <c r="AD2415" s="133"/>
      <c r="AE2415" s="133"/>
      <c r="AF2415" s="133"/>
      <c r="AG2415" s="133"/>
      <c r="AH2415" s="133"/>
      <c r="AI2415" s="133"/>
      <c r="AJ2415" s="133"/>
      <c r="AK2415" s="133"/>
      <c r="AL2415" s="133"/>
      <c r="AM2415" s="133"/>
      <c r="AN2415" s="133"/>
      <c r="AO2415" s="133"/>
      <c r="AP2415" s="133"/>
      <c r="AQ2415" s="133"/>
      <c r="AR2415" s="133"/>
      <c r="AS2415" s="153">
        <v>0</v>
      </c>
      <c r="AT2415" s="153">
        <v>0</v>
      </c>
      <c r="AU2415" s="153">
        <v>0</v>
      </c>
      <c r="AV2415" s="135"/>
      <c r="AW2415" s="135"/>
      <c r="AX2415" s="135"/>
      <c r="AY2415" s="135"/>
      <c r="AZ2415" s="135"/>
      <c r="BA2415" s="135"/>
      <c r="BB2415" s="135"/>
      <c r="BC2415" s="135"/>
      <c r="BD2415" s="135"/>
      <c r="BE2415" s="135"/>
      <c r="BF2415" s="135"/>
      <c r="BG2415" s="135"/>
      <c r="BH2415" s="135"/>
      <c r="BI2415" s="2"/>
      <c r="BJ2415" s="136"/>
      <c r="BK2415" s="2"/>
      <c r="BL2415" s="136"/>
      <c r="BM2415" s="136"/>
      <c r="BN2415" s="2"/>
      <c r="BO2415" s="2"/>
      <c r="BP2415" s="136"/>
      <c r="BQ2415" s="137"/>
    </row>
    <row r="2416" spans="1:69" ht="12.75" customHeight="1" x14ac:dyDescent="0.2">
      <c r="A2416" s="2">
        <v>3905</v>
      </c>
      <c r="B2416" s="2"/>
      <c r="C2416" s="2"/>
      <c r="D2416" s="2"/>
      <c r="E2416" s="2"/>
      <c r="F2416" s="132">
        <v>0</v>
      </c>
      <c r="G2416" s="132"/>
      <c r="H2416" s="132">
        <f t="shared" si="276"/>
        <v>0</v>
      </c>
      <c r="I2416" s="132"/>
      <c r="J2416" s="132">
        <f t="shared" si="274"/>
        <v>0</v>
      </c>
      <c r="K2416" s="132">
        <f t="shared" si="270"/>
        <v>0</v>
      </c>
      <c r="L2416" s="132">
        <f t="shared" si="271"/>
        <v>0</v>
      </c>
      <c r="M2416" s="133"/>
      <c r="N2416" s="133">
        <f t="shared" si="275"/>
        <v>0</v>
      </c>
      <c r="O2416" s="134"/>
      <c r="P2416" s="133"/>
      <c r="Q2416" s="2"/>
      <c r="R2416" s="156">
        <f t="shared" si="272"/>
        <v>0</v>
      </c>
      <c r="S2416" s="156">
        <f t="shared" si="273"/>
        <v>0</v>
      </c>
      <c r="T2416" s="133"/>
      <c r="U2416" s="133"/>
      <c r="V2416" s="133"/>
      <c r="W2416" s="133"/>
      <c r="X2416" s="133"/>
      <c r="Y2416" s="133"/>
      <c r="Z2416" s="133"/>
      <c r="AA2416" s="133"/>
      <c r="AB2416" s="133"/>
      <c r="AC2416" s="133"/>
      <c r="AD2416" s="133"/>
      <c r="AE2416" s="133"/>
      <c r="AF2416" s="133"/>
      <c r="AG2416" s="133"/>
      <c r="AH2416" s="133"/>
      <c r="AI2416" s="133"/>
      <c r="AJ2416" s="133"/>
      <c r="AK2416" s="133"/>
      <c r="AL2416" s="133"/>
      <c r="AM2416" s="133"/>
      <c r="AN2416" s="133"/>
      <c r="AO2416" s="133"/>
      <c r="AP2416" s="133"/>
      <c r="AQ2416" s="133"/>
      <c r="AR2416" s="133"/>
      <c r="AS2416" s="153">
        <v>0</v>
      </c>
      <c r="AT2416" s="153">
        <v>0</v>
      </c>
      <c r="AU2416" s="153">
        <v>0</v>
      </c>
      <c r="AV2416" s="135"/>
      <c r="AW2416" s="135"/>
      <c r="AX2416" s="135"/>
      <c r="AY2416" s="135"/>
      <c r="AZ2416" s="135"/>
      <c r="BA2416" s="135"/>
      <c r="BB2416" s="135"/>
      <c r="BC2416" s="135"/>
      <c r="BD2416" s="135"/>
      <c r="BE2416" s="135"/>
      <c r="BF2416" s="135"/>
      <c r="BG2416" s="135"/>
      <c r="BH2416" s="135"/>
      <c r="BI2416" s="2"/>
      <c r="BJ2416" s="136"/>
      <c r="BK2416" s="2"/>
      <c r="BL2416" s="136"/>
      <c r="BM2416" s="136"/>
      <c r="BN2416" s="2"/>
      <c r="BO2416" s="2"/>
      <c r="BP2416" s="136"/>
      <c r="BQ2416" s="137"/>
    </row>
    <row r="2417" spans="1:69" ht="12.75" customHeight="1" x14ac:dyDescent="0.2">
      <c r="A2417" s="2">
        <v>3906</v>
      </c>
      <c r="B2417" s="2"/>
      <c r="C2417" s="2"/>
      <c r="D2417" s="2"/>
      <c r="E2417" s="2"/>
      <c r="F2417" s="132">
        <v>0</v>
      </c>
      <c r="G2417" s="132"/>
      <c r="H2417" s="132">
        <f t="shared" si="276"/>
        <v>0</v>
      </c>
      <c r="I2417" s="132"/>
      <c r="J2417" s="132">
        <f t="shared" si="274"/>
        <v>0</v>
      </c>
      <c r="K2417" s="132">
        <f t="shared" si="270"/>
        <v>0</v>
      </c>
      <c r="L2417" s="132">
        <f t="shared" si="271"/>
        <v>0</v>
      </c>
      <c r="M2417" s="133"/>
      <c r="N2417" s="133">
        <f t="shared" si="275"/>
        <v>0</v>
      </c>
      <c r="O2417" s="134"/>
      <c r="P2417" s="133"/>
      <c r="Q2417" s="2"/>
      <c r="R2417" s="156">
        <f t="shared" si="272"/>
        <v>0</v>
      </c>
      <c r="S2417" s="156">
        <f t="shared" si="273"/>
        <v>0</v>
      </c>
      <c r="T2417" s="133"/>
      <c r="U2417" s="133"/>
      <c r="V2417" s="133"/>
      <c r="W2417" s="133"/>
      <c r="X2417" s="133"/>
      <c r="Y2417" s="133"/>
      <c r="Z2417" s="133"/>
      <c r="AA2417" s="133"/>
      <c r="AB2417" s="133"/>
      <c r="AC2417" s="133"/>
      <c r="AD2417" s="133"/>
      <c r="AE2417" s="133"/>
      <c r="AF2417" s="133"/>
      <c r="AG2417" s="133"/>
      <c r="AH2417" s="133"/>
      <c r="AI2417" s="133"/>
      <c r="AJ2417" s="133"/>
      <c r="AK2417" s="133"/>
      <c r="AL2417" s="133"/>
      <c r="AM2417" s="133"/>
      <c r="AN2417" s="133"/>
      <c r="AO2417" s="133"/>
      <c r="AP2417" s="133"/>
      <c r="AQ2417" s="133"/>
      <c r="AR2417" s="133"/>
      <c r="AS2417" s="153">
        <v>0</v>
      </c>
      <c r="AT2417" s="153">
        <v>0</v>
      </c>
      <c r="AU2417" s="153">
        <v>0</v>
      </c>
      <c r="AV2417" s="135"/>
      <c r="AW2417" s="135"/>
      <c r="AX2417" s="135"/>
      <c r="AY2417" s="135"/>
      <c r="AZ2417" s="135"/>
      <c r="BA2417" s="135"/>
      <c r="BB2417" s="135"/>
      <c r="BC2417" s="135"/>
      <c r="BD2417" s="135"/>
      <c r="BE2417" s="135"/>
      <c r="BF2417" s="135"/>
      <c r="BG2417" s="135"/>
      <c r="BH2417" s="135"/>
      <c r="BI2417" s="2"/>
      <c r="BJ2417" s="136"/>
      <c r="BK2417" s="2"/>
      <c r="BL2417" s="136"/>
      <c r="BM2417" s="136"/>
      <c r="BN2417" s="2"/>
      <c r="BO2417" s="2"/>
      <c r="BP2417" s="136"/>
      <c r="BQ2417" s="137"/>
    </row>
    <row r="2418" spans="1:69" ht="12.75" customHeight="1" x14ac:dyDescent="0.2">
      <c r="A2418" s="2">
        <v>3907</v>
      </c>
      <c r="B2418" s="2"/>
      <c r="C2418" s="2"/>
      <c r="D2418" s="2"/>
      <c r="E2418" s="2"/>
      <c r="F2418" s="132">
        <v>0</v>
      </c>
      <c r="G2418" s="132"/>
      <c r="H2418" s="132">
        <f t="shared" si="276"/>
        <v>0</v>
      </c>
      <c r="I2418" s="132"/>
      <c r="J2418" s="132">
        <f t="shared" si="274"/>
        <v>0</v>
      </c>
      <c r="K2418" s="132">
        <f t="shared" si="270"/>
        <v>0</v>
      </c>
      <c r="L2418" s="132">
        <f t="shared" si="271"/>
        <v>0</v>
      </c>
      <c r="M2418" s="133"/>
      <c r="N2418" s="133">
        <f t="shared" si="275"/>
        <v>0</v>
      </c>
      <c r="O2418" s="134"/>
      <c r="P2418" s="133"/>
      <c r="Q2418" s="2"/>
      <c r="R2418" s="156">
        <f t="shared" si="272"/>
        <v>0</v>
      </c>
      <c r="S2418" s="156">
        <f t="shared" si="273"/>
        <v>0</v>
      </c>
      <c r="T2418" s="133"/>
      <c r="U2418" s="133"/>
      <c r="V2418" s="133"/>
      <c r="W2418" s="133"/>
      <c r="X2418" s="133"/>
      <c r="Y2418" s="133"/>
      <c r="Z2418" s="133"/>
      <c r="AA2418" s="133"/>
      <c r="AB2418" s="133"/>
      <c r="AC2418" s="133"/>
      <c r="AD2418" s="133"/>
      <c r="AE2418" s="133"/>
      <c r="AF2418" s="133"/>
      <c r="AG2418" s="133"/>
      <c r="AH2418" s="133"/>
      <c r="AI2418" s="133"/>
      <c r="AJ2418" s="133"/>
      <c r="AK2418" s="133"/>
      <c r="AL2418" s="133"/>
      <c r="AM2418" s="133"/>
      <c r="AN2418" s="133"/>
      <c r="AO2418" s="133"/>
      <c r="AP2418" s="133"/>
      <c r="AQ2418" s="133"/>
      <c r="AR2418" s="133"/>
      <c r="AS2418" s="153">
        <v>0</v>
      </c>
      <c r="AT2418" s="153">
        <v>0</v>
      </c>
      <c r="AU2418" s="153">
        <v>0</v>
      </c>
      <c r="AV2418" s="135"/>
      <c r="AW2418" s="135"/>
      <c r="AX2418" s="135"/>
      <c r="AY2418" s="135"/>
      <c r="AZ2418" s="135"/>
      <c r="BA2418" s="135"/>
      <c r="BB2418" s="135"/>
      <c r="BC2418" s="135"/>
      <c r="BD2418" s="135"/>
      <c r="BE2418" s="135"/>
      <c r="BF2418" s="135"/>
      <c r="BG2418" s="135"/>
      <c r="BH2418" s="135"/>
      <c r="BI2418" s="2"/>
      <c r="BJ2418" s="136"/>
      <c r="BK2418" s="2"/>
      <c r="BL2418" s="136"/>
      <c r="BM2418" s="136"/>
      <c r="BN2418" s="2"/>
      <c r="BO2418" s="2"/>
      <c r="BP2418" s="136"/>
      <c r="BQ2418" s="137"/>
    </row>
    <row r="2419" spans="1:69" ht="12.75" customHeight="1" x14ac:dyDescent="0.2">
      <c r="A2419" s="2">
        <v>3908</v>
      </c>
      <c r="B2419" s="2"/>
      <c r="C2419" s="2"/>
      <c r="D2419" s="2"/>
      <c r="E2419" s="2"/>
      <c r="F2419" s="132">
        <v>0</v>
      </c>
      <c r="G2419" s="132"/>
      <c r="H2419" s="132">
        <f t="shared" si="276"/>
        <v>0</v>
      </c>
      <c r="I2419" s="132"/>
      <c r="J2419" s="132">
        <f t="shared" si="274"/>
        <v>0</v>
      </c>
      <c r="K2419" s="132">
        <f t="shared" si="270"/>
        <v>0</v>
      </c>
      <c r="L2419" s="132">
        <f t="shared" si="271"/>
        <v>0</v>
      </c>
      <c r="M2419" s="133"/>
      <c r="N2419" s="133">
        <f t="shared" si="275"/>
        <v>0</v>
      </c>
      <c r="O2419" s="134"/>
      <c r="P2419" s="133"/>
      <c r="Q2419" s="2"/>
      <c r="R2419" s="156">
        <f t="shared" si="272"/>
        <v>0</v>
      </c>
      <c r="S2419" s="156">
        <f t="shared" si="273"/>
        <v>0</v>
      </c>
      <c r="T2419" s="133"/>
      <c r="U2419" s="133"/>
      <c r="V2419" s="133"/>
      <c r="W2419" s="133"/>
      <c r="X2419" s="133"/>
      <c r="Y2419" s="133"/>
      <c r="Z2419" s="133"/>
      <c r="AA2419" s="133"/>
      <c r="AB2419" s="133"/>
      <c r="AC2419" s="133"/>
      <c r="AD2419" s="133"/>
      <c r="AE2419" s="133"/>
      <c r="AF2419" s="133"/>
      <c r="AG2419" s="133"/>
      <c r="AH2419" s="133"/>
      <c r="AI2419" s="133"/>
      <c r="AJ2419" s="133"/>
      <c r="AK2419" s="133"/>
      <c r="AL2419" s="133"/>
      <c r="AM2419" s="133"/>
      <c r="AN2419" s="133"/>
      <c r="AO2419" s="133"/>
      <c r="AP2419" s="133"/>
      <c r="AQ2419" s="133"/>
      <c r="AR2419" s="133"/>
      <c r="AS2419" s="153">
        <v>0</v>
      </c>
      <c r="AT2419" s="153">
        <v>0</v>
      </c>
      <c r="AU2419" s="153">
        <v>0</v>
      </c>
      <c r="AV2419" s="135"/>
      <c r="AW2419" s="135"/>
      <c r="AX2419" s="135"/>
      <c r="AY2419" s="135"/>
      <c r="AZ2419" s="135"/>
      <c r="BA2419" s="135"/>
      <c r="BB2419" s="135"/>
      <c r="BC2419" s="135"/>
      <c r="BD2419" s="135"/>
      <c r="BE2419" s="135"/>
      <c r="BF2419" s="135"/>
      <c r="BG2419" s="135"/>
      <c r="BH2419" s="135"/>
      <c r="BI2419" s="2"/>
      <c r="BJ2419" s="136"/>
      <c r="BK2419" s="2"/>
      <c r="BL2419" s="136"/>
      <c r="BM2419" s="136"/>
      <c r="BN2419" s="2"/>
      <c r="BO2419" s="2"/>
      <c r="BP2419" s="136"/>
      <c r="BQ2419" s="137"/>
    </row>
    <row r="2420" spans="1:69" ht="12.75" customHeight="1" x14ac:dyDescent="0.2">
      <c r="A2420" s="2">
        <v>3909</v>
      </c>
      <c r="B2420" s="2"/>
      <c r="C2420" s="2"/>
      <c r="D2420" s="2"/>
      <c r="E2420" s="2"/>
      <c r="F2420" s="132">
        <v>0</v>
      </c>
      <c r="G2420" s="132"/>
      <c r="H2420" s="132">
        <f t="shared" si="276"/>
        <v>0</v>
      </c>
      <c r="I2420" s="132"/>
      <c r="J2420" s="132">
        <f t="shared" si="274"/>
        <v>0</v>
      </c>
      <c r="K2420" s="132">
        <f t="shared" si="270"/>
        <v>0</v>
      </c>
      <c r="L2420" s="132">
        <f t="shared" si="271"/>
        <v>0</v>
      </c>
      <c r="M2420" s="133"/>
      <c r="N2420" s="133">
        <f t="shared" si="275"/>
        <v>0</v>
      </c>
      <c r="O2420" s="134"/>
      <c r="P2420" s="133"/>
      <c r="Q2420" s="2"/>
      <c r="R2420" s="156">
        <f t="shared" si="272"/>
        <v>0</v>
      </c>
      <c r="S2420" s="156">
        <f t="shared" si="273"/>
        <v>0</v>
      </c>
      <c r="T2420" s="133"/>
      <c r="U2420" s="133"/>
      <c r="V2420" s="133"/>
      <c r="W2420" s="133"/>
      <c r="X2420" s="133"/>
      <c r="Y2420" s="133"/>
      <c r="Z2420" s="133"/>
      <c r="AA2420" s="133"/>
      <c r="AB2420" s="133"/>
      <c r="AC2420" s="133"/>
      <c r="AD2420" s="133"/>
      <c r="AE2420" s="133"/>
      <c r="AF2420" s="133"/>
      <c r="AG2420" s="133"/>
      <c r="AH2420" s="133"/>
      <c r="AI2420" s="133"/>
      <c r="AJ2420" s="133"/>
      <c r="AK2420" s="133"/>
      <c r="AL2420" s="133"/>
      <c r="AM2420" s="133"/>
      <c r="AN2420" s="133"/>
      <c r="AO2420" s="133"/>
      <c r="AP2420" s="133"/>
      <c r="AQ2420" s="133"/>
      <c r="AR2420" s="133"/>
      <c r="AS2420" s="153">
        <v>0</v>
      </c>
      <c r="AT2420" s="153">
        <v>0</v>
      </c>
      <c r="AU2420" s="153">
        <v>0</v>
      </c>
      <c r="AV2420" s="135"/>
      <c r="AW2420" s="135"/>
      <c r="AX2420" s="135"/>
      <c r="AY2420" s="135"/>
      <c r="AZ2420" s="135"/>
      <c r="BA2420" s="135"/>
      <c r="BB2420" s="135"/>
      <c r="BC2420" s="135"/>
      <c r="BD2420" s="135"/>
      <c r="BE2420" s="135"/>
      <c r="BF2420" s="135"/>
      <c r="BG2420" s="135"/>
      <c r="BH2420" s="135"/>
      <c r="BI2420" s="2"/>
      <c r="BJ2420" s="136"/>
      <c r="BK2420" s="2"/>
      <c r="BL2420" s="136"/>
      <c r="BM2420" s="136"/>
      <c r="BN2420" s="2"/>
      <c r="BO2420" s="2"/>
      <c r="BP2420" s="136"/>
      <c r="BQ2420" s="137"/>
    </row>
    <row r="2421" spans="1:69" ht="12.75" customHeight="1" x14ac:dyDescent="0.2">
      <c r="A2421" s="2">
        <v>3910</v>
      </c>
      <c r="B2421" s="2"/>
      <c r="C2421" s="2"/>
      <c r="D2421" s="2"/>
      <c r="E2421" s="2"/>
      <c r="F2421" s="132">
        <v>0</v>
      </c>
      <c r="G2421" s="132"/>
      <c r="H2421" s="132">
        <f t="shared" si="276"/>
        <v>0</v>
      </c>
      <c r="I2421" s="132"/>
      <c r="J2421" s="132">
        <f t="shared" si="274"/>
        <v>0</v>
      </c>
      <c r="K2421" s="132">
        <f t="shared" si="270"/>
        <v>0</v>
      </c>
      <c r="L2421" s="132">
        <f t="shared" si="271"/>
        <v>0</v>
      </c>
      <c r="M2421" s="133"/>
      <c r="N2421" s="133">
        <f t="shared" si="275"/>
        <v>0</v>
      </c>
      <c r="O2421" s="134"/>
      <c r="P2421" s="133"/>
      <c r="Q2421" s="2"/>
      <c r="R2421" s="156">
        <f t="shared" si="272"/>
        <v>0</v>
      </c>
      <c r="S2421" s="156">
        <f t="shared" si="273"/>
        <v>0</v>
      </c>
      <c r="T2421" s="133"/>
      <c r="U2421" s="133"/>
      <c r="V2421" s="133"/>
      <c r="W2421" s="133"/>
      <c r="X2421" s="133"/>
      <c r="Y2421" s="133"/>
      <c r="Z2421" s="133"/>
      <c r="AA2421" s="133"/>
      <c r="AB2421" s="133"/>
      <c r="AC2421" s="133"/>
      <c r="AD2421" s="133"/>
      <c r="AE2421" s="133"/>
      <c r="AF2421" s="133"/>
      <c r="AG2421" s="133"/>
      <c r="AH2421" s="133"/>
      <c r="AI2421" s="133"/>
      <c r="AJ2421" s="133"/>
      <c r="AK2421" s="133"/>
      <c r="AL2421" s="133"/>
      <c r="AM2421" s="133"/>
      <c r="AN2421" s="133"/>
      <c r="AO2421" s="133"/>
      <c r="AP2421" s="133"/>
      <c r="AQ2421" s="133"/>
      <c r="AR2421" s="133"/>
      <c r="AS2421" s="153">
        <v>0</v>
      </c>
      <c r="AT2421" s="153">
        <v>0</v>
      </c>
      <c r="AU2421" s="153">
        <v>0</v>
      </c>
      <c r="AV2421" s="135"/>
      <c r="AW2421" s="135"/>
      <c r="AX2421" s="135"/>
      <c r="AY2421" s="135"/>
      <c r="AZ2421" s="135"/>
      <c r="BA2421" s="135"/>
      <c r="BB2421" s="135"/>
      <c r="BC2421" s="135"/>
      <c r="BD2421" s="135"/>
      <c r="BE2421" s="135"/>
      <c r="BF2421" s="135"/>
      <c r="BG2421" s="135"/>
      <c r="BH2421" s="135"/>
      <c r="BI2421" s="2"/>
      <c r="BJ2421" s="136"/>
      <c r="BK2421" s="2"/>
      <c r="BL2421" s="136"/>
      <c r="BM2421" s="136"/>
      <c r="BN2421" s="2"/>
      <c r="BO2421" s="2"/>
      <c r="BP2421" s="136"/>
      <c r="BQ2421" s="137"/>
    </row>
    <row r="2422" spans="1:69" ht="12.75" customHeight="1" x14ac:dyDescent="0.2">
      <c r="A2422" s="2">
        <v>3911</v>
      </c>
      <c r="B2422" s="2"/>
      <c r="C2422" s="2"/>
      <c r="D2422" s="2"/>
      <c r="E2422" s="2"/>
      <c r="F2422" s="132">
        <v>0</v>
      </c>
      <c r="G2422" s="132"/>
      <c r="H2422" s="132">
        <f t="shared" si="276"/>
        <v>0</v>
      </c>
      <c r="I2422" s="132"/>
      <c r="J2422" s="132">
        <f t="shared" si="274"/>
        <v>0</v>
      </c>
      <c r="K2422" s="132">
        <f t="shared" ref="K2422:K2485" si="277">F2422-J2422</f>
        <v>0</v>
      </c>
      <c r="L2422" s="132">
        <f t="shared" si="271"/>
        <v>0</v>
      </c>
      <c r="M2422" s="133"/>
      <c r="N2422" s="133">
        <f t="shared" si="275"/>
        <v>0</v>
      </c>
      <c r="O2422" s="134"/>
      <c r="P2422" s="133"/>
      <c r="Q2422" s="2"/>
      <c r="R2422" s="156">
        <f t="shared" si="272"/>
        <v>0</v>
      </c>
      <c r="S2422" s="156">
        <f t="shared" si="273"/>
        <v>0</v>
      </c>
      <c r="T2422" s="133"/>
      <c r="U2422" s="133"/>
      <c r="V2422" s="133"/>
      <c r="W2422" s="133"/>
      <c r="X2422" s="133"/>
      <c r="Y2422" s="133"/>
      <c r="Z2422" s="133"/>
      <c r="AA2422" s="133"/>
      <c r="AB2422" s="133"/>
      <c r="AC2422" s="133"/>
      <c r="AD2422" s="133"/>
      <c r="AE2422" s="133"/>
      <c r="AF2422" s="133"/>
      <c r="AG2422" s="133"/>
      <c r="AH2422" s="133"/>
      <c r="AI2422" s="133"/>
      <c r="AJ2422" s="133"/>
      <c r="AK2422" s="133"/>
      <c r="AL2422" s="133"/>
      <c r="AM2422" s="133"/>
      <c r="AN2422" s="133"/>
      <c r="AO2422" s="133"/>
      <c r="AP2422" s="133"/>
      <c r="AQ2422" s="133"/>
      <c r="AR2422" s="133"/>
      <c r="AS2422" s="153">
        <v>0</v>
      </c>
      <c r="AT2422" s="153">
        <v>0</v>
      </c>
      <c r="AU2422" s="153">
        <v>0</v>
      </c>
      <c r="AV2422" s="135"/>
      <c r="AW2422" s="135"/>
      <c r="AX2422" s="135"/>
      <c r="AY2422" s="135"/>
      <c r="AZ2422" s="135"/>
      <c r="BA2422" s="135"/>
      <c r="BB2422" s="135"/>
      <c r="BC2422" s="135"/>
      <c r="BD2422" s="135"/>
      <c r="BE2422" s="135"/>
      <c r="BF2422" s="135"/>
      <c r="BG2422" s="135"/>
      <c r="BH2422" s="135"/>
      <c r="BI2422" s="2"/>
      <c r="BJ2422" s="136"/>
      <c r="BK2422" s="2"/>
      <c r="BL2422" s="136"/>
      <c r="BM2422" s="136"/>
      <c r="BN2422" s="2"/>
      <c r="BO2422" s="2"/>
      <c r="BP2422" s="136"/>
      <c r="BQ2422" s="137"/>
    </row>
    <row r="2423" spans="1:69" ht="12.75" customHeight="1" x14ac:dyDescent="0.2">
      <c r="A2423" s="2">
        <v>3912</v>
      </c>
      <c r="B2423" s="2"/>
      <c r="C2423" s="2"/>
      <c r="D2423" s="2"/>
      <c r="E2423" s="2"/>
      <c r="F2423" s="132">
        <v>0</v>
      </c>
      <c r="G2423" s="132"/>
      <c r="H2423" s="132">
        <f t="shared" si="276"/>
        <v>0</v>
      </c>
      <c r="I2423" s="132"/>
      <c r="J2423" s="132">
        <f t="shared" si="274"/>
        <v>0</v>
      </c>
      <c r="K2423" s="132">
        <f t="shared" si="277"/>
        <v>0</v>
      </c>
      <c r="L2423" s="132">
        <f t="shared" si="271"/>
        <v>0</v>
      </c>
      <c r="M2423" s="133"/>
      <c r="N2423" s="133">
        <f t="shared" si="275"/>
        <v>0</v>
      </c>
      <c r="O2423" s="134"/>
      <c r="P2423" s="133"/>
      <c r="Q2423" s="2"/>
      <c r="R2423" s="156">
        <f t="shared" si="272"/>
        <v>0</v>
      </c>
      <c r="S2423" s="156">
        <f t="shared" si="273"/>
        <v>0</v>
      </c>
      <c r="T2423" s="133"/>
      <c r="U2423" s="133"/>
      <c r="V2423" s="133"/>
      <c r="W2423" s="133"/>
      <c r="X2423" s="133"/>
      <c r="Y2423" s="133"/>
      <c r="Z2423" s="133"/>
      <c r="AA2423" s="133"/>
      <c r="AB2423" s="133"/>
      <c r="AC2423" s="133"/>
      <c r="AD2423" s="133"/>
      <c r="AE2423" s="133"/>
      <c r="AF2423" s="133"/>
      <c r="AG2423" s="133"/>
      <c r="AH2423" s="133"/>
      <c r="AI2423" s="133"/>
      <c r="AJ2423" s="133"/>
      <c r="AK2423" s="133"/>
      <c r="AL2423" s="133"/>
      <c r="AM2423" s="133"/>
      <c r="AN2423" s="133"/>
      <c r="AO2423" s="133"/>
      <c r="AP2423" s="133"/>
      <c r="AQ2423" s="133"/>
      <c r="AR2423" s="133"/>
      <c r="AS2423" s="153">
        <v>0</v>
      </c>
      <c r="AT2423" s="153">
        <v>0</v>
      </c>
      <c r="AU2423" s="153">
        <v>0</v>
      </c>
      <c r="AV2423" s="135"/>
      <c r="AW2423" s="135"/>
      <c r="AX2423" s="135"/>
      <c r="AY2423" s="135"/>
      <c r="AZ2423" s="135"/>
      <c r="BA2423" s="135"/>
      <c r="BB2423" s="135"/>
      <c r="BC2423" s="135"/>
      <c r="BD2423" s="135"/>
      <c r="BE2423" s="135"/>
      <c r="BF2423" s="135"/>
      <c r="BG2423" s="135"/>
      <c r="BH2423" s="135"/>
      <c r="BI2423" s="2"/>
      <c r="BJ2423" s="136"/>
      <c r="BK2423" s="2"/>
      <c r="BL2423" s="136"/>
      <c r="BM2423" s="136"/>
      <c r="BN2423" s="2"/>
      <c r="BO2423" s="2"/>
      <c r="BP2423" s="136"/>
      <c r="BQ2423" s="137"/>
    </row>
    <row r="2424" spans="1:69" ht="12.75" customHeight="1" x14ac:dyDescent="0.2">
      <c r="A2424" s="2">
        <v>3913</v>
      </c>
      <c r="B2424" s="2"/>
      <c r="C2424" s="2"/>
      <c r="D2424" s="2"/>
      <c r="E2424" s="2"/>
      <c r="F2424" s="132">
        <v>0</v>
      </c>
      <c r="G2424" s="132"/>
      <c r="H2424" s="132">
        <f t="shared" si="276"/>
        <v>0</v>
      </c>
      <c r="I2424" s="132"/>
      <c r="J2424" s="132">
        <f t="shared" si="274"/>
        <v>0</v>
      </c>
      <c r="K2424" s="132">
        <f t="shared" si="277"/>
        <v>0</v>
      </c>
      <c r="L2424" s="132">
        <f t="shared" si="271"/>
        <v>0</v>
      </c>
      <c r="M2424" s="133"/>
      <c r="N2424" s="133">
        <f t="shared" si="275"/>
        <v>0</v>
      </c>
      <c r="O2424" s="134"/>
      <c r="P2424" s="133"/>
      <c r="Q2424" s="2"/>
      <c r="R2424" s="156">
        <f t="shared" si="272"/>
        <v>0</v>
      </c>
      <c r="S2424" s="156">
        <f t="shared" si="273"/>
        <v>0</v>
      </c>
      <c r="T2424" s="133"/>
      <c r="U2424" s="133"/>
      <c r="V2424" s="133"/>
      <c r="W2424" s="133"/>
      <c r="X2424" s="133"/>
      <c r="Y2424" s="133"/>
      <c r="Z2424" s="133"/>
      <c r="AA2424" s="133"/>
      <c r="AB2424" s="133"/>
      <c r="AC2424" s="133"/>
      <c r="AD2424" s="133"/>
      <c r="AE2424" s="133"/>
      <c r="AF2424" s="133"/>
      <c r="AG2424" s="133"/>
      <c r="AH2424" s="133"/>
      <c r="AI2424" s="133"/>
      <c r="AJ2424" s="133"/>
      <c r="AK2424" s="133"/>
      <c r="AL2424" s="133"/>
      <c r="AM2424" s="133"/>
      <c r="AN2424" s="133"/>
      <c r="AO2424" s="133"/>
      <c r="AP2424" s="133"/>
      <c r="AQ2424" s="133"/>
      <c r="AR2424" s="133"/>
      <c r="AS2424" s="153">
        <v>0</v>
      </c>
      <c r="AT2424" s="153">
        <v>0</v>
      </c>
      <c r="AU2424" s="153">
        <v>0</v>
      </c>
      <c r="AV2424" s="135"/>
      <c r="AW2424" s="135"/>
      <c r="AX2424" s="135"/>
      <c r="AY2424" s="135"/>
      <c r="AZ2424" s="135"/>
      <c r="BA2424" s="135"/>
      <c r="BB2424" s="135"/>
      <c r="BC2424" s="135"/>
      <c r="BD2424" s="135"/>
      <c r="BE2424" s="135"/>
      <c r="BF2424" s="135"/>
      <c r="BG2424" s="135"/>
      <c r="BH2424" s="135"/>
      <c r="BI2424" s="2"/>
      <c r="BJ2424" s="136"/>
      <c r="BK2424" s="2"/>
      <c r="BL2424" s="136"/>
      <c r="BM2424" s="136"/>
      <c r="BN2424" s="2"/>
      <c r="BO2424" s="2"/>
      <c r="BP2424" s="136"/>
      <c r="BQ2424" s="137"/>
    </row>
    <row r="2425" spans="1:69" ht="12.75" customHeight="1" x14ac:dyDescent="0.2">
      <c r="A2425" s="2">
        <v>3914</v>
      </c>
      <c r="B2425" s="2"/>
      <c r="C2425" s="2"/>
      <c r="D2425" s="2"/>
      <c r="E2425" s="2"/>
      <c r="F2425" s="132">
        <v>0</v>
      </c>
      <c r="G2425" s="132"/>
      <c r="H2425" s="132">
        <f t="shared" si="276"/>
        <v>0</v>
      </c>
      <c r="I2425" s="132"/>
      <c r="J2425" s="132">
        <f t="shared" si="274"/>
        <v>0</v>
      </c>
      <c r="K2425" s="132">
        <f t="shared" si="277"/>
        <v>0</v>
      </c>
      <c r="L2425" s="132">
        <f t="shared" si="271"/>
        <v>0</v>
      </c>
      <c r="M2425" s="133"/>
      <c r="N2425" s="133">
        <f t="shared" si="275"/>
        <v>0</v>
      </c>
      <c r="O2425" s="134"/>
      <c r="P2425" s="133"/>
      <c r="Q2425" s="2"/>
      <c r="R2425" s="156">
        <f t="shared" si="272"/>
        <v>0</v>
      </c>
      <c r="S2425" s="156">
        <f t="shared" si="273"/>
        <v>0</v>
      </c>
      <c r="T2425" s="133"/>
      <c r="U2425" s="133"/>
      <c r="V2425" s="133"/>
      <c r="W2425" s="133"/>
      <c r="X2425" s="133"/>
      <c r="Y2425" s="133"/>
      <c r="Z2425" s="133"/>
      <c r="AA2425" s="133"/>
      <c r="AB2425" s="133"/>
      <c r="AC2425" s="133"/>
      <c r="AD2425" s="133"/>
      <c r="AE2425" s="133"/>
      <c r="AF2425" s="133"/>
      <c r="AG2425" s="133"/>
      <c r="AH2425" s="133"/>
      <c r="AI2425" s="133"/>
      <c r="AJ2425" s="133"/>
      <c r="AK2425" s="133"/>
      <c r="AL2425" s="133"/>
      <c r="AM2425" s="133"/>
      <c r="AN2425" s="133"/>
      <c r="AO2425" s="133"/>
      <c r="AP2425" s="133"/>
      <c r="AQ2425" s="133"/>
      <c r="AR2425" s="133"/>
      <c r="AS2425" s="153">
        <v>0</v>
      </c>
      <c r="AT2425" s="153">
        <v>0</v>
      </c>
      <c r="AU2425" s="153">
        <v>0</v>
      </c>
      <c r="AV2425" s="135"/>
      <c r="AW2425" s="135"/>
      <c r="AX2425" s="135"/>
      <c r="AY2425" s="135"/>
      <c r="AZ2425" s="135"/>
      <c r="BA2425" s="135"/>
      <c r="BB2425" s="135"/>
      <c r="BC2425" s="135"/>
      <c r="BD2425" s="135"/>
      <c r="BE2425" s="135"/>
      <c r="BF2425" s="135"/>
      <c r="BG2425" s="135"/>
      <c r="BH2425" s="135"/>
      <c r="BI2425" s="2"/>
      <c r="BJ2425" s="136"/>
      <c r="BK2425" s="2"/>
      <c r="BL2425" s="136"/>
      <c r="BM2425" s="136"/>
      <c r="BN2425" s="2"/>
      <c r="BO2425" s="2"/>
      <c r="BP2425" s="136"/>
      <c r="BQ2425" s="137"/>
    </row>
    <row r="2426" spans="1:69" ht="12.75" customHeight="1" x14ac:dyDescent="0.2">
      <c r="A2426" s="2">
        <v>3915</v>
      </c>
      <c r="B2426" s="2"/>
      <c r="C2426" s="2"/>
      <c r="D2426" s="2"/>
      <c r="E2426" s="2"/>
      <c r="F2426" s="132">
        <v>0</v>
      </c>
      <c r="G2426" s="132"/>
      <c r="H2426" s="132">
        <f t="shared" si="276"/>
        <v>0</v>
      </c>
      <c r="I2426" s="132"/>
      <c r="J2426" s="132">
        <f t="shared" si="274"/>
        <v>0</v>
      </c>
      <c r="K2426" s="132">
        <f t="shared" si="277"/>
        <v>0</v>
      </c>
      <c r="L2426" s="132">
        <f t="shared" si="271"/>
        <v>0</v>
      </c>
      <c r="M2426" s="133"/>
      <c r="N2426" s="133">
        <f t="shared" si="275"/>
        <v>0</v>
      </c>
      <c r="O2426" s="134"/>
      <c r="P2426" s="133"/>
      <c r="Q2426" s="2"/>
      <c r="R2426" s="156">
        <f t="shared" si="272"/>
        <v>0</v>
      </c>
      <c r="S2426" s="156">
        <f t="shared" si="273"/>
        <v>0</v>
      </c>
      <c r="T2426" s="133"/>
      <c r="U2426" s="133"/>
      <c r="V2426" s="133"/>
      <c r="W2426" s="133"/>
      <c r="X2426" s="133"/>
      <c r="Y2426" s="133"/>
      <c r="Z2426" s="133"/>
      <c r="AA2426" s="133"/>
      <c r="AB2426" s="133"/>
      <c r="AC2426" s="133"/>
      <c r="AD2426" s="133"/>
      <c r="AE2426" s="133"/>
      <c r="AF2426" s="133"/>
      <c r="AG2426" s="133"/>
      <c r="AH2426" s="133"/>
      <c r="AI2426" s="133"/>
      <c r="AJ2426" s="133"/>
      <c r="AK2426" s="133"/>
      <c r="AL2426" s="133"/>
      <c r="AM2426" s="133"/>
      <c r="AN2426" s="133"/>
      <c r="AO2426" s="133"/>
      <c r="AP2426" s="133"/>
      <c r="AQ2426" s="133"/>
      <c r="AR2426" s="133"/>
      <c r="AS2426" s="153">
        <v>0</v>
      </c>
      <c r="AT2426" s="153">
        <v>0</v>
      </c>
      <c r="AU2426" s="153">
        <v>0</v>
      </c>
      <c r="AV2426" s="135"/>
      <c r="AW2426" s="135"/>
      <c r="AX2426" s="135"/>
      <c r="AY2426" s="135"/>
      <c r="AZ2426" s="135"/>
      <c r="BA2426" s="135"/>
      <c r="BB2426" s="135"/>
      <c r="BC2426" s="135"/>
      <c r="BD2426" s="135"/>
      <c r="BE2426" s="135"/>
      <c r="BF2426" s="135"/>
      <c r="BG2426" s="135"/>
      <c r="BH2426" s="135"/>
      <c r="BI2426" s="2"/>
      <c r="BJ2426" s="136"/>
      <c r="BK2426" s="2"/>
      <c r="BL2426" s="136"/>
      <c r="BM2426" s="136"/>
      <c r="BN2426" s="2"/>
      <c r="BO2426" s="2"/>
      <c r="BP2426" s="136"/>
      <c r="BQ2426" s="137"/>
    </row>
    <row r="2427" spans="1:69" ht="12.75" customHeight="1" x14ac:dyDescent="0.2">
      <c r="A2427" s="2">
        <v>3916</v>
      </c>
      <c r="B2427" s="2"/>
      <c r="C2427" s="2"/>
      <c r="D2427" s="2"/>
      <c r="E2427" s="2"/>
      <c r="F2427" s="132">
        <v>0</v>
      </c>
      <c r="G2427" s="132"/>
      <c r="H2427" s="132">
        <f t="shared" si="276"/>
        <v>0</v>
      </c>
      <c r="I2427" s="132"/>
      <c r="J2427" s="132">
        <f t="shared" si="274"/>
        <v>0</v>
      </c>
      <c r="K2427" s="132">
        <f t="shared" si="277"/>
        <v>0</v>
      </c>
      <c r="L2427" s="132">
        <f t="shared" si="271"/>
        <v>0</v>
      </c>
      <c r="M2427" s="133"/>
      <c r="N2427" s="133">
        <f t="shared" si="275"/>
        <v>0</v>
      </c>
      <c r="O2427" s="134"/>
      <c r="P2427" s="133"/>
      <c r="Q2427" s="2"/>
      <c r="R2427" s="156">
        <f t="shared" si="272"/>
        <v>0</v>
      </c>
      <c r="S2427" s="156">
        <f t="shared" si="273"/>
        <v>0</v>
      </c>
      <c r="T2427" s="133"/>
      <c r="U2427" s="133"/>
      <c r="V2427" s="133"/>
      <c r="W2427" s="133"/>
      <c r="X2427" s="133"/>
      <c r="Y2427" s="133"/>
      <c r="Z2427" s="133"/>
      <c r="AA2427" s="133"/>
      <c r="AB2427" s="133"/>
      <c r="AC2427" s="133"/>
      <c r="AD2427" s="133"/>
      <c r="AE2427" s="133"/>
      <c r="AF2427" s="133"/>
      <c r="AG2427" s="133"/>
      <c r="AH2427" s="133"/>
      <c r="AI2427" s="133"/>
      <c r="AJ2427" s="133"/>
      <c r="AK2427" s="133"/>
      <c r="AL2427" s="133"/>
      <c r="AM2427" s="133"/>
      <c r="AN2427" s="133"/>
      <c r="AO2427" s="133"/>
      <c r="AP2427" s="133"/>
      <c r="AQ2427" s="133"/>
      <c r="AR2427" s="133"/>
      <c r="AS2427" s="153">
        <v>0</v>
      </c>
      <c r="AT2427" s="153">
        <v>0</v>
      </c>
      <c r="AU2427" s="153">
        <v>0</v>
      </c>
      <c r="AV2427" s="135"/>
      <c r="AW2427" s="135"/>
      <c r="AX2427" s="135"/>
      <c r="AY2427" s="135"/>
      <c r="AZ2427" s="135"/>
      <c r="BA2427" s="135"/>
      <c r="BB2427" s="135"/>
      <c r="BC2427" s="135"/>
      <c r="BD2427" s="135"/>
      <c r="BE2427" s="135"/>
      <c r="BF2427" s="135"/>
      <c r="BG2427" s="135"/>
      <c r="BH2427" s="135"/>
      <c r="BI2427" s="2"/>
      <c r="BJ2427" s="136"/>
      <c r="BK2427" s="2"/>
      <c r="BL2427" s="136"/>
      <c r="BM2427" s="136"/>
      <c r="BN2427" s="2"/>
      <c r="BO2427" s="2"/>
      <c r="BP2427" s="136"/>
      <c r="BQ2427" s="137"/>
    </row>
    <row r="2428" spans="1:69" ht="12.75" customHeight="1" x14ac:dyDescent="0.2">
      <c r="A2428" s="2">
        <v>3917</v>
      </c>
      <c r="B2428" s="2"/>
      <c r="C2428" s="2"/>
      <c r="D2428" s="2"/>
      <c r="E2428" s="2"/>
      <c r="F2428" s="132">
        <v>0</v>
      </c>
      <c r="G2428" s="132"/>
      <c r="H2428" s="132">
        <f t="shared" si="276"/>
        <v>0</v>
      </c>
      <c r="I2428" s="132"/>
      <c r="J2428" s="132">
        <f t="shared" si="274"/>
        <v>0</v>
      </c>
      <c r="K2428" s="132">
        <f t="shared" si="277"/>
        <v>0</v>
      </c>
      <c r="L2428" s="132">
        <f t="shared" si="271"/>
        <v>0</v>
      </c>
      <c r="M2428" s="133"/>
      <c r="N2428" s="133">
        <f t="shared" si="275"/>
        <v>0</v>
      </c>
      <c r="O2428" s="134"/>
      <c r="P2428" s="133"/>
      <c r="Q2428" s="2"/>
      <c r="R2428" s="156">
        <f t="shared" si="272"/>
        <v>0</v>
      </c>
      <c r="S2428" s="156">
        <f t="shared" si="273"/>
        <v>0</v>
      </c>
      <c r="T2428" s="133"/>
      <c r="U2428" s="133"/>
      <c r="V2428" s="133"/>
      <c r="W2428" s="133"/>
      <c r="X2428" s="133"/>
      <c r="Y2428" s="133"/>
      <c r="Z2428" s="133"/>
      <c r="AA2428" s="133"/>
      <c r="AB2428" s="133"/>
      <c r="AC2428" s="133"/>
      <c r="AD2428" s="133"/>
      <c r="AE2428" s="133"/>
      <c r="AF2428" s="133"/>
      <c r="AG2428" s="133"/>
      <c r="AH2428" s="133"/>
      <c r="AI2428" s="133"/>
      <c r="AJ2428" s="133"/>
      <c r="AK2428" s="133"/>
      <c r="AL2428" s="133"/>
      <c r="AM2428" s="133"/>
      <c r="AN2428" s="133"/>
      <c r="AO2428" s="133"/>
      <c r="AP2428" s="133"/>
      <c r="AQ2428" s="133"/>
      <c r="AR2428" s="133"/>
      <c r="AS2428" s="153">
        <v>0</v>
      </c>
      <c r="AT2428" s="153">
        <v>0</v>
      </c>
      <c r="AU2428" s="153">
        <v>0</v>
      </c>
      <c r="AV2428" s="135"/>
      <c r="AW2428" s="135"/>
      <c r="AX2428" s="135"/>
      <c r="AY2428" s="135"/>
      <c r="AZ2428" s="135"/>
      <c r="BA2428" s="135"/>
      <c r="BB2428" s="135"/>
      <c r="BC2428" s="135"/>
      <c r="BD2428" s="135"/>
      <c r="BE2428" s="135"/>
      <c r="BF2428" s="135"/>
      <c r="BG2428" s="135"/>
      <c r="BH2428" s="135"/>
      <c r="BI2428" s="2"/>
      <c r="BJ2428" s="136"/>
      <c r="BK2428" s="2"/>
      <c r="BL2428" s="136"/>
      <c r="BM2428" s="136"/>
      <c r="BN2428" s="2"/>
      <c r="BO2428" s="2"/>
      <c r="BP2428" s="136"/>
      <c r="BQ2428" s="137"/>
    </row>
    <row r="2429" spans="1:69" ht="12.75" customHeight="1" x14ac:dyDescent="0.2">
      <c r="A2429" s="2">
        <v>3918</v>
      </c>
      <c r="B2429" s="2"/>
      <c r="C2429" s="2"/>
      <c r="D2429" s="2"/>
      <c r="E2429" s="2"/>
      <c r="F2429" s="132">
        <v>0</v>
      </c>
      <c r="G2429" s="132"/>
      <c r="H2429" s="132">
        <f t="shared" si="276"/>
        <v>0</v>
      </c>
      <c r="I2429" s="132"/>
      <c r="J2429" s="132">
        <f t="shared" si="274"/>
        <v>0</v>
      </c>
      <c r="K2429" s="132">
        <f t="shared" si="277"/>
        <v>0</v>
      </c>
      <c r="L2429" s="132">
        <f t="shared" si="271"/>
        <v>0</v>
      </c>
      <c r="M2429" s="133"/>
      <c r="N2429" s="133">
        <f t="shared" si="275"/>
        <v>0</v>
      </c>
      <c r="O2429" s="134"/>
      <c r="P2429" s="133"/>
      <c r="Q2429" s="2"/>
      <c r="R2429" s="156">
        <f t="shared" si="272"/>
        <v>0</v>
      </c>
      <c r="S2429" s="156">
        <f t="shared" si="273"/>
        <v>0</v>
      </c>
      <c r="T2429" s="133"/>
      <c r="U2429" s="133"/>
      <c r="V2429" s="133"/>
      <c r="W2429" s="133"/>
      <c r="X2429" s="133"/>
      <c r="Y2429" s="133"/>
      <c r="Z2429" s="133"/>
      <c r="AA2429" s="133"/>
      <c r="AB2429" s="133"/>
      <c r="AC2429" s="133"/>
      <c r="AD2429" s="133"/>
      <c r="AE2429" s="133"/>
      <c r="AF2429" s="133"/>
      <c r="AG2429" s="133"/>
      <c r="AH2429" s="133"/>
      <c r="AI2429" s="133"/>
      <c r="AJ2429" s="133"/>
      <c r="AK2429" s="133"/>
      <c r="AL2429" s="133"/>
      <c r="AM2429" s="133"/>
      <c r="AN2429" s="133"/>
      <c r="AO2429" s="133"/>
      <c r="AP2429" s="133"/>
      <c r="AQ2429" s="133"/>
      <c r="AR2429" s="133"/>
      <c r="AS2429" s="153">
        <v>0</v>
      </c>
      <c r="AT2429" s="153">
        <v>0</v>
      </c>
      <c r="AU2429" s="153">
        <v>0</v>
      </c>
      <c r="AV2429" s="135"/>
      <c r="AW2429" s="135"/>
      <c r="AX2429" s="135"/>
      <c r="AY2429" s="135"/>
      <c r="AZ2429" s="135"/>
      <c r="BA2429" s="135"/>
      <c r="BB2429" s="135"/>
      <c r="BC2429" s="135"/>
      <c r="BD2429" s="135"/>
      <c r="BE2429" s="135"/>
      <c r="BF2429" s="135"/>
      <c r="BG2429" s="135"/>
      <c r="BH2429" s="135"/>
      <c r="BI2429" s="2"/>
      <c r="BJ2429" s="136"/>
      <c r="BK2429" s="2"/>
      <c r="BL2429" s="136"/>
      <c r="BM2429" s="136"/>
      <c r="BN2429" s="2"/>
      <c r="BO2429" s="2"/>
      <c r="BP2429" s="136"/>
      <c r="BQ2429" s="137"/>
    </row>
    <row r="2430" spans="1:69" ht="12.75" customHeight="1" x14ac:dyDescent="0.2">
      <c r="A2430" s="2">
        <v>3919</v>
      </c>
      <c r="B2430" s="2"/>
      <c r="C2430" s="2"/>
      <c r="D2430" s="2"/>
      <c r="E2430" s="2"/>
      <c r="F2430" s="132">
        <v>0</v>
      </c>
      <c r="G2430" s="132"/>
      <c r="H2430" s="132">
        <f t="shared" si="276"/>
        <v>0</v>
      </c>
      <c r="I2430" s="132"/>
      <c r="J2430" s="132">
        <f t="shared" si="274"/>
        <v>0</v>
      </c>
      <c r="K2430" s="132">
        <f t="shared" si="277"/>
        <v>0</v>
      </c>
      <c r="L2430" s="132">
        <f t="shared" si="271"/>
        <v>0</v>
      </c>
      <c r="M2430" s="133"/>
      <c r="N2430" s="133">
        <f t="shared" si="275"/>
        <v>0</v>
      </c>
      <c r="O2430" s="134"/>
      <c r="P2430" s="133"/>
      <c r="Q2430" s="2"/>
      <c r="R2430" s="156">
        <f t="shared" si="272"/>
        <v>0</v>
      </c>
      <c r="S2430" s="156">
        <f t="shared" si="273"/>
        <v>0</v>
      </c>
      <c r="T2430" s="133"/>
      <c r="U2430" s="133"/>
      <c r="V2430" s="133"/>
      <c r="W2430" s="133"/>
      <c r="X2430" s="133"/>
      <c r="Y2430" s="133"/>
      <c r="Z2430" s="133"/>
      <c r="AA2430" s="133"/>
      <c r="AB2430" s="133"/>
      <c r="AC2430" s="133"/>
      <c r="AD2430" s="133"/>
      <c r="AE2430" s="133"/>
      <c r="AF2430" s="133"/>
      <c r="AG2430" s="133"/>
      <c r="AH2430" s="133"/>
      <c r="AI2430" s="133"/>
      <c r="AJ2430" s="133"/>
      <c r="AK2430" s="133"/>
      <c r="AL2430" s="133"/>
      <c r="AM2430" s="133"/>
      <c r="AN2430" s="133"/>
      <c r="AO2430" s="133"/>
      <c r="AP2430" s="133"/>
      <c r="AQ2430" s="133"/>
      <c r="AR2430" s="133"/>
      <c r="AS2430" s="153">
        <v>0</v>
      </c>
      <c r="AT2430" s="153">
        <v>0</v>
      </c>
      <c r="AU2430" s="153">
        <v>0</v>
      </c>
      <c r="AV2430" s="135"/>
      <c r="AW2430" s="135"/>
      <c r="AX2430" s="135"/>
      <c r="AY2430" s="135"/>
      <c r="AZ2430" s="135"/>
      <c r="BA2430" s="135"/>
      <c r="BB2430" s="135"/>
      <c r="BC2430" s="135"/>
      <c r="BD2430" s="135"/>
      <c r="BE2430" s="135"/>
      <c r="BF2430" s="135"/>
      <c r="BG2430" s="135"/>
      <c r="BH2430" s="135"/>
      <c r="BI2430" s="2"/>
      <c r="BJ2430" s="136"/>
      <c r="BK2430" s="2"/>
      <c r="BL2430" s="136"/>
      <c r="BM2430" s="136"/>
      <c r="BN2430" s="2"/>
      <c r="BO2430" s="2"/>
      <c r="BP2430" s="136"/>
      <c r="BQ2430" s="137"/>
    </row>
    <row r="2431" spans="1:69" ht="12.75" customHeight="1" x14ac:dyDescent="0.2">
      <c r="A2431" s="2">
        <v>3920</v>
      </c>
      <c r="B2431" s="2"/>
      <c r="C2431" s="2"/>
      <c r="D2431" s="2"/>
      <c r="E2431" s="2"/>
      <c r="F2431" s="132">
        <v>0</v>
      </c>
      <c r="G2431" s="132"/>
      <c r="H2431" s="132">
        <f t="shared" si="276"/>
        <v>0</v>
      </c>
      <c r="I2431" s="132"/>
      <c r="J2431" s="132">
        <f t="shared" si="274"/>
        <v>0</v>
      </c>
      <c r="K2431" s="132">
        <f t="shared" si="277"/>
        <v>0</v>
      </c>
      <c r="L2431" s="132">
        <f t="shared" si="271"/>
        <v>0</v>
      </c>
      <c r="M2431" s="133"/>
      <c r="N2431" s="133">
        <f t="shared" si="275"/>
        <v>0</v>
      </c>
      <c r="O2431" s="134"/>
      <c r="P2431" s="133"/>
      <c r="Q2431" s="2"/>
      <c r="R2431" s="156">
        <f t="shared" si="272"/>
        <v>0</v>
      </c>
      <c r="S2431" s="156">
        <f t="shared" si="273"/>
        <v>0</v>
      </c>
      <c r="T2431" s="133"/>
      <c r="U2431" s="133"/>
      <c r="V2431" s="133"/>
      <c r="W2431" s="133"/>
      <c r="X2431" s="133"/>
      <c r="Y2431" s="133"/>
      <c r="Z2431" s="133"/>
      <c r="AA2431" s="133"/>
      <c r="AB2431" s="133"/>
      <c r="AC2431" s="133"/>
      <c r="AD2431" s="133"/>
      <c r="AE2431" s="133"/>
      <c r="AF2431" s="133"/>
      <c r="AG2431" s="133"/>
      <c r="AH2431" s="133"/>
      <c r="AI2431" s="133"/>
      <c r="AJ2431" s="133"/>
      <c r="AK2431" s="133"/>
      <c r="AL2431" s="133"/>
      <c r="AM2431" s="133"/>
      <c r="AN2431" s="133"/>
      <c r="AO2431" s="133"/>
      <c r="AP2431" s="133"/>
      <c r="AQ2431" s="133"/>
      <c r="AR2431" s="133"/>
      <c r="AS2431" s="153">
        <v>0</v>
      </c>
      <c r="AT2431" s="153">
        <v>0</v>
      </c>
      <c r="AU2431" s="153">
        <v>0</v>
      </c>
      <c r="AV2431" s="135"/>
      <c r="AW2431" s="135"/>
      <c r="AX2431" s="135"/>
      <c r="AY2431" s="135"/>
      <c r="AZ2431" s="135"/>
      <c r="BA2431" s="135"/>
      <c r="BB2431" s="135"/>
      <c r="BC2431" s="135"/>
      <c r="BD2431" s="135"/>
      <c r="BE2431" s="135"/>
      <c r="BF2431" s="135"/>
      <c r="BG2431" s="135"/>
      <c r="BH2431" s="135"/>
      <c r="BI2431" s="2"/>
      <c r="BJ2431" s="136"/>
      <c r="BK2431" s="2"/>
      <c r="BL2431" s="136"/>
      <c r="BM2431" s="136"/>
      <c r="BN2431" s="2"/>
      <c r="BO2431" s="2"/>
      <c r="BP2431" s="136"/>
      <c r="BQ2431" s="137"/>
    </row>
    <row r="2432" spans="1:69" ht="12.75" customHeight="1" x14ac:dyDescent="0.2">
      <c r="A2432" s="2">
        <v>3921</v>
      </c>
      <c r="B2432" s="2"/>
      <c r="C2432" s="2"/>
      <c r="D2432" s="2"/>
      <c r="E2432" s="2"/>
      <c r="F2432" s="132">
        <v>0</v>
      </c>
      <c r="G2432" s="132"/>
      <c r="H2432" s="132">
        <f t="shared" si="276"/>
        <v>0</v>
      </c>
      <c r="I2432" s="132"/>
      <c r="J2432" s="132">
        <f t="shared" si="274"/>
        <v>0</v>
      </c>
      <c r="K2432" s="132">
        <f t="shared" si="277"/>
        <v>0</v>
      </c>
      <c r="L2432" s="132">
        <f t="shared" si="271"/>
        <v>0</v>
      </c>
      <c r="M2432" s="133"/>
      <c r="N2432" s="133">
        <f t="shared" si="275"/>
        <v>0</v>
      </c>
      <c r="O2432" s="134"/>
      <c r="P2432" s="133"/>
      <c r="Q2432" s="2"/>
      <c r="R2432" s="156">
        <f t="shared" si="272"/>
        <v>0</v>
      </c>
      <c r="S2432" s="156">
        <f t="shared" si="273"/>
        <v>0</v>
      </c>
      <c r="T2432" s="133"/>
      <c r="U2432" s="133"/>
      <c r="V2432" s="133"/>
      <c r="W2432" s="133"/>
      <c r="X2432" s="133"/>
      <c r="Y2432" s="133"/>
      <c r="Z2432" s="133"/>
      <c r="AA2432" s="133"/>
      <c r="AB2432" s="133"/>
      <c r="AC2432" s="133"/>
      <c r="AD2432" s="133"/>
      <c r="AE2432" s="133"/>
      <c r="AF2432" s="133"/>
      <c r="AG2432" s="133"/>
      <c r="AH2432" s="133"/>
      <c r="AI2432" s="133"/>
      <c r="AJ2432" s="133"/>
      <c r="AK2432" s="133"/>
      <c r="AL2432" s="133"/>
      <c r="AM2432" s="133"/>
      <c r="AN2432" s="133"/>
      <c r="AO2432" s="133"/>
      <c r="AP2432" s="133"/>
      <c r="AQ2432" s="133"/>
      <c r="AR2432" s="133"/>
      <c r="AS2432" s="153">
        <v>0</v>
      </c>
      <c r="AT2432" s="153">
        <v>0</v>
      </c>
      <c r="AU2432" s="153">
        <v>0</v>
      </c>
      <c r="AV2432" s="135"/>
      <c r="AW2432" s="135"/>
      <c r="AX2432" s="135"/>
      <c r="AY2432" s="135"/>
      <c r="AZ2432" s="135"/>
      <c r="BA2432" s="135"/>
      <c r="BB2432" s="135"/>
      <c r="BC2432" s="135"/>
      <c r="BD2432" s="135"/>
      <c r="BE2432" s="135"/>
      <c r="BF2432" s="135"/>
      <c r="BG2432" s="135"/>
      <c r="BH2432" s="135"/>
      <c r="BI2432" s="2"/>
      <c r="BJ2432" s="136"/>
      <c r="BK2432" s="2"/>
      <c r="BL2432" s="136"/>
      <c r="BM2432" s="136"/>
      <c r="BN2432" s="2"/>
      <c r="BO2432" s="2"/>
      <c r="BP2432" s="136"/>
      <c r="BQ2432" s="137"/>
    </row>
    <row r="2433" spans="1:69" ht="12.75" customHeight="1" x14ac:dyDescent="0.2">
      <c r="A2433" s="2">
        <v>3922</v>
      </c>
      <c r="B2433" s="2"/>
      <c r="C2433" s="2"/>
      <c r="D2433" s="2"/>
      <c r="E2433" s="2"/>
      <c r="F2433" s="132">
        <v>0</v>
      </c>
      <c r="G2433" s="132"/>
      <c r="H2433" s="132">
        <f t="shared" si="276"/>
        <v>0</v>
      </c>
      <c r="I2433" s="132"/>
      <c r="J2433" s="132">
        <f t="shared" si="274"/>
        <v>0</v>
      </c>
      <c r="K2433" s="132">
        <f t="shared" si="277"/>
        <v>0</v>
      </c>
      <c r="L2433" s="132">
        <f t="shared" si="271"/>
        <v>0</v>
      </c>
      <c r="M2433" s="133"/>
      <c r="N2433" s="133">
        <f t="shared" si="275"/>
        <v>0</v>
      </c>
      <c r="O2433" s="134"/>
      <c r="P2433" s="133"/>
      <c r="Q2433" s="2"/>
      <c r="R2433" s="156">
        <f t="shared" si="272"/>
        <v>0</v>
      </c>
      <c r="S2433" s="156">
        <f t="shared" si="273"/>
        <v>0</v>
      </c>
      <c r="T2433" s="133"/>
      <c r="U2433" s="133"/>
      <c r="V2433" s="133"/>
      <c r="W2433" s="133"/>
      <c r="X2433" s="133"/>
      <c r="Y2433" s="133"/>
      <c r="Z2433" s="133"/>
      <c r="AA2433" s="133"/>
      <c r="AB2433" s="133"/>
      <c r="AC2433" s="133"/>
      <c r="AD2433" s="133"/>
      <c r="AE2433" s="133"/>
      <c r="AF2433" s="133"/>
      <c r="AG2433" s="133"/>
      <c r="AH2433" s="133"/>
      <c r="AI2433" s="133"/>
      <c r="AJ2433" s="133"/>
      <c r="AK2433" s="133"/>
      <c r="AL2433" s="133"/>
      <c r="AM2433" s="133"/>
      <c r="AN2433" s="133"/>
      <c r="AO2433" s="133"/>
      <c r="AP2433" s="133"/>
      <c r="AQ2433" s="133"/>
      <c r="AR2433" s="133"/>
      <c r="AS2433" s="153">
        <v>0</v>
      </c>
      <c r="AT2433" s="153">
        <v>0</v>
      </c>
      <c r="AU2433" s="153">
        <v>0</v>
      </c>
      <c r="AV2433" s="135"/>
      <c r="AW2433" s="135"/>
      <c r="AX2433" s="135"/>
      <c r="AY2433" s="135"/>
      <c r="AZ2433" s="135"/>
      <c r="BA2433" s="135"/>
      <c r="BB2433" s="135"/>
      <c r="BC2433" s="135"/>
      <c r="BD2433" s="135"/>
      <c r="BE2433" s="135"/>
      <c r="BF2433" s="135"/>
      <c r="BG2433" s="135"/>
      <c r="BH2433" s="135"/>
      <c r="BI2433" s="2"/>
      <c r="BJ2433" s="136"/>
      <c r="BK2433" s="2"/>
      <c r="BL2433" s="136"/>
      <c r="BM2433" s="136"/>
      <c r="BN2433" s="2"/>
      <c r="BO2433" s="2"/>
      <c r="BP2433" s="136"/>
      <c r="BQ2433" s="137"/>
    </row>
    <row r="2434" spans="1:69" ht="12.75" customHeight="1" x14ac:dyDescent="0.2">
      <c r="A2434" s="2">
        <v>3923</v>
      </c>
      <c r="B2434" s="2"/>
      <c r="C2434" s="2"/>
      <c r="D2434" s="2"/>
      <c r="E2434" s="2"/>
      <c r="F2434" s="132">
        <v>0</v>
      </c>
      <c r="G2434" s="132"/>
      <c r="H2434" s="132">
        <f t="shared" si="276"/>
        <v>0</v>
      </c>
      <c r="I2434" s="132"/>
      <c r="J2434" s="132">
        <f t="shared" si="274"/>
        <v>0</v>
      </c>
      <c r="K2434" s="132">
        <f t="shared" si="277"/>
        <v>0</v>
      </c>
      <c r="L2434" s="132">
        <f t="shared" si="271"/>
        <v>0</v>
      </c>
      <c r="M2434" s="133"/>
      <c r="N2434" s="133">
        <f t="shared" si="275"/>
        <v>0</v>
      </c>
      <c r="O2434" s="134"/>
      <c r="P2434" s="133"/>
      <c r="Q2434" s="2"/>
      <c r="R2434" s="156">
        <f t="shared" si="272"/>
        <v>0</v>
      </c>
      <c r="S2434" s="156">
        <f t="shared" si="273"/>
        <v>0</v>
      </c>
      <c r="T2434" s="133"/>
      <c r="U2434" s="133"/>
      <c r="V2434" s="133"/>
      <c r="W2434" s="133"/>
      <c r="X2434" s="133"/>
      <c r="Y2434" s="133"/>
      <c r="Z2434" s="133"/>
      <c r="AA2434" s="133"/>
      <c r="AB2434" s="133"/>
      <c r="AC2434" s="133"/>
      <c r="AD2434" s="133"/>
      <c r="AE2434" s="133"/>
      <c r="AF2434" s="133"/>
      <c r="AG2434" s="133"/>
      <c r="AH2434" s="133"/>
      <c r="AI2434" s="133"/>
      <c r="AJ2434" s="133"/>
      <c r="AK2434" s="133"/>
      <c r="AL2434" s="133"/>
      <c r="AM2434" s="133"/>
      <c r="AN2434" s="133"/>
      <c r="AO2434" s="133"/>
      <c r="AP2434" s="133"/>
      <c r="AQ2434" s="133"/>
      <c r="AR2434" s="133"/>
      <c r="AS2434" s="153">
        <v>0</v>
      </c>
      <c r="AT2434" s="153">
        <v>0</v>
      </c>
      <c r="AU2434" s="153">
        <v>0</v>
      </c>
      <c r="AV2434" s="135"/>
      <c r="AW2434" s="135"/>
      <c r="AX2434" s="135"/>
      <c r="AY2434" s="135"/>
      <c r="AZ2434" s="135"/>
      <c r="BA2434" s="135"/>
      <c r="BB2434" s="135"/>
      <c r="BC2434" s="135"/>
      <c r="BD2434" s="135"/>
      <c r="BE2434" s="135"/>
      <c r="BF2434" s="135"/>
      <c r="BG2434" s="135"/>
      <c r="BH2434" s="135"/>
      <c r="BI2434" s="2"/>
      <c r="BJ2434" s="136"/>
      <c r="BK2434" s="2"/>
      <c r="BL2434" s="136"/>
      <c r="BM2434" s="136"/>
      <c r="BN2434" s="2"/>
      <c r="BO2434" s="2"/>
      <c r="BP2434" s="136"/>
      <c r="BQ2434" s="137"/>
    </row>
    <row r="2435" spans="1:69" ht="12.75" customHeight="1" x14ac:dyDescent="0.2">
      <c r="A2435" s="2">
        <v>3924</v>
      </c>
      <c r="B2435" s="2"/>
      <c r="C2435" s="2"/>
      <c r="D2435" s="2"/>
      <c r="E2435" s="2"/>
      <c r="F2435" s="132">
        <v>0</v>
      </c>
      <c r="G2435" s="132"/>
      <c r="H2435" s="132">
        <f t="shared" si="276"/>
        <v>0</v>
      </c>
      <c r="I2435" s="132"/>
      <c r="J2435" s="132">
        <f t="shared" si="274"/>
        <v>0</v>
      </c>
      <c r="K2435" s="132">
        <f t="shared" si="277"/>
        <v>0</v>
      </c>
      <c r="L2435" s="132">
        <f t="shared" si="271"/>
        <v>0</v>
      </c>
      <c r="M2435" s="133"/>
      <c r="N2435" s="133">
        <f t="shared" si="275"/>
        <v>0</v>
      </c>
      <c r="O2435" s="134"/>
      <c r="P2435" s="133"/>
      <c r="Q2435" s="2"/>
      <c r="R2435" s="156">
        <f t="shared" si="272"/>
        <v>0</v>
      </c>
      <c r="S2435" s="156">
        <f t="shared" si="273"/>
        <v>0</v>
      </c>
      <c r="T2435" s="133"/>
      <c r="U2435" s="133"/>
      <c r="V2435" s="133"/>
      <c r="W2435" s="133"/>
      <c r="X2435" s="133"/>
      <c r="Y2435" s="133"/>
      <c r="Z2435" s="133"/>
      <c r="AA2435" s="133"/>
      <c r="AB2435" s="133"/>
      <c r="AC2435" s="133"/>
      <c r="AD2435" s="133"/>
      <c r="AE2435" s="133"/>
      <c r="AF2435" s="133"/>
      <c r="AG2435" s="133"/>
      <c r="AH2435" s="133"/>
      <c r="AI2435" s="133"/>
      <c r="AJ2435" s="133"/>
      <c r="AK2435" s="133"/>
      <c r="AL2435" s="133"/>
      <c r="AM2435" s="133"/>
      <c r="AN2435" s="133"/>
      <c r="AO2435" s="133"/>
      <c r="AP2435" s="133"/>
      <c r="AQ2435" s="133"/>
      <c r="AR2435" s="133"/>
      <c r="AS2435" s="153">
        <v>0</v>
      </c>
      <c r="AT2435" s="153">
        <v>0</v>
      </c>
      <c r="AU2435" s="153">
        <v>0</v>
      </c>
      <c r="AV2435" s="135"/>
      <c r="AW2435" s="135"/>
      <c r="AX2435" s="135"/>
      <c r="AY2435" s="135"/>
      <c r="AZ2435" s="135"/>
      <c r="BA2435" s="135"/>
      <c r="BB2435" s="135"/>
      <c r="BC2435" s="135"/>
      <c r="BD2435" s="135"/>
      <c r="BE2435" s="135"/>
      <c r="BF2435" s="135"/>
      <c r="BG2435" s="135"/>
      <c r="BH2435" s="135"/>
      <c r="BI2435" s="2"/>
      <c r="BJ2435" s="136"/>
      <c r="BK2435" s="2"/>
      <c r="BL2435" s="136"/>
      <c r="BM2435" s="136"/>
      <c r="BN2435" s="2"/>
      <c r="BO2435" s="2"/>
      <c r="BP2435" s="136"/>
      <c r="BQ2435" s="137"/>
    </row>
    <row r="2436" spans="1:69" ht="12.75" customHeight="1" x14ac:dyDescent="0.2">
      <c r="A2436" s="2">
        <v>3925</v>
      </c>
      <c r="B2436" s="2"/>
      <c r="C2436" s="2"/>
      <c r="D2436" s="2"/>
      <c r="E2436" s="2"/>
      <c r="F2436" s="132">
        <v>0</v>
      </c>
      <c r="G2436" s="132"/>
      <c r="H2436" s="132">
        <f t="shared" si="276"/>
        <v>0</v>
      </c>
      <c r="I2436" s="132"/>
      <c r="J2436" s="132">
        <f t="shared" si="274"/>
        <v>0</v>
      </c>
      <c r="K2436" s="132">
        <f t="shared" si="277"/>
        <v>0</v>
      </c>
      <c r="L2436" s="132">
        <f t="shared" si="271"/>
        <v>0</v>
      </c>
      <c r="M2436" s="133"/>
      <c r="N2436" s="133">
        <f t="shared" si="275"/>
        <v>0</v>
      </c>
      <c r="O2436" s="134"/>
      <c r="P2436" s="133"/>
      <c r="Q2436" s="2"/>
      <c r="R2436" s="156">
        <f t="shared" si="272"/>
        <v>0</v>
      </c>
      <c r="S2436" s="156">
        <f t="shared" si="273"/>
        <v>0</v>
      </c>
      <c r="T2436" s="133"/>
      <c r="U2436" s="133"/>
      <c r="V2436" s="133"/>
      <c r="W2436" s="133"/>
      <c r="X2436" s="133"/>
      <c r="Y2436" s="133"/>
      <c r="Z2436" s="133"/>
      <c r="AA2436" s="133"/>
      <c r="AB2436" s="133"/>
      <c r="AC2436" s="133"/>
      <c r="AD2436" s="133"/>
      <c r="AE2436" s="133"/>
      <c r="AF2436" s="133"/>
      <c r="AG2436" s="133"/>
      <c r="AH2436" s="133"/>
      <c r="AI2436" s="133"/>
      <c r="AJ2436" s="133"/>
      <c r="AK2436" s="133"/>
      <c r="AL2436" s="133"/>
      <c r="AM2436" s="133"/>
      <c r="AN2436" s="133"/>
      <c r="AO2436" s="133"/>
      <c r="AP2436" s="133"/>
      <c r="AQ2436" s="133"/>
      <c r="AR2436" s="133"/>
      <c r="AS2436" s="153">
        <v>0</v>
      </c>
      <c r="AT2436" s="153">
        <v>0</v>
      </c>
      <c r="AU2436" s="153">
        <v>0</v>
      </c>
      <c r="AV2436" s="135"/>
      <c r="AW2436" s="135"/>
      <c r="AX2436" s="135"/>
      <c r="AY2436" s="135"/>
      <c r="AZ2436" s="135"/>
      <c r="BA2436" s="135"/>
      <c r="BB2436" s="135"/>
      <c r="BC2436" s="135"/>
      <c r="BD2436" s="135"/>
      <c r="BE2436" s="135"/>
      <c r="BF2436" s="135"/>
      <c r="BG2436" s="135"/>
      <c r="BH2436" s="135"/>
      <c r="BI2436" s="2"/>
      <c r="BJ2436" s="136"/>
      <c r="BK2436" s="2"/>
      <c r="BL2436" s="136"/>
      <c r="BM2436" s="136"/>
      <c r="BN2436" s="2"/>
      <c r="BO2436" s="2"/>
      <c r="BP2436" s="136"/>
      <c r="BQ2436" s="137"/>
    </row>
    <row r="2437" spans="1:69" ht="12.75" customHeight="1" x14ac:dyDescent="0.2">
      <c r="A2437" s="2">
        <v>3926</v>
      </c>
      <c r="B2437" s="2"/>
      <c r="C2437" s="2"/>
      <c r="D2437" s="2"/>
      <c r="E2437" s="2"/>
      <c r="F2437" s="132">
        <v>0</v>
      </c>
      <c r="G2437" s="132"/>
      <c r="H2437" s="132">
        <f t="shared" si="276"/>
        <v>0</v>
      </c>
      <c r="I2437" s="132"/>
      <c r="J2437" s="132">
        <f t="shared" si="274"/>
        <v>0</v>
      </c>
      <c r="K2437" s="132">
        <f t="shared" si="277"/>
        <v>0</v>
      </c>
      <c r="L2437" s="132">
        <f t="shared" si="271"/>
        <v>0</v>
      </c>
      <c r="M2437" s="133"/>
      <c r="N2437" s="133">
        <f t="shared" si="275"/>
        <v>0</v>
      </c>
      <c r="O2437" s="134"/>
      <c r="P2437" s="133"/>
      <c r="Q2437" s="2"/>
      <c r="R2437" s="156">
        <f t="shared" si="272"/>
        <v>0</v>
      </c>
      <c r="S2437" s="156">
        <f t="shared" si="273"/>
        <v>0</v>
      </c>
      <c r="T2437" s="133"/>
      <c r="U2437" s="133"/>
      <c r="V2437" s="133"/>
      <c r="W2437" s="133"/>
      <c r="X2437" s="133"/>
      <c r="Y2437" s="133"/>
      <c r="Z2437" s="133"/>
      <c r="AA2437" s="133"/>
      <c r="AB2437" s="133"/>
      <c r="AC2437" s="133"/>
      <c r="AD2437" s="133"/>
      <c r="AE2437" s="133"/>
      <c r="AF2437" s="133"/>
      <c r="AG2437" s="133"/>
      <c r="AH2437" s="133"/>
      <c r="AI2437" s="133"/>
      <c r="AJ2437" s="133"/>
      <c r="AK2437" s="133"/>
      <c r="AL2437" s="133"/>
      <c r="AM2437" s="133"/>
      <c r="AN2437" s="133"/>
      <c r="AO2437" s="133"/>
      <c r="AP2437" s="133"/>
      <c r="AQ2437" s="133"/>
      <c r="AR2437" s="133"/>
      <c r="AS2437" s="153">
        <v>0</v>
      </c>
      <c r="AT2437" s="153">
        <v>0</v>
      </c>
      <c r="AU2437" s="153">
        <v>0</v>
      </c>
      <c r="AV2437" s="135"/>
      <c r="AW2437" s="135"/>
      <c r="AX2437" s="135"/>
      <c r="AY2437" s="135"/>
      <c r="AZ2437" s="135"/>
      <c r="BA2437" s="135"/>
      <c r="BB2437" s="135"/>
      <c r="BC2437" s="135"/>
      <c r="BD2437" s="135"/>
      <c r="BE2437" s="135"/>
      <c r="BF2437" s="135"/>
      <c r="BG2437" s="135"/>
      <c r="BH2437" s="135"/>
      <c r="BI2437" s="2"/>
      <c r="BJ2437" s="136"/>
      <c r="BK2437" s="2"/>
      <c r="BL2437" s="136"/>
      <c r="BM2437" s="136"/>
      <c r="BN2437" s="2"/>
      <c r="BO2437" s="2"/>
      <c r="BP2437" s="136"/>
      <c r="BQ2437" s="137"/>
    </row>
    <row r="2438" spans="1:69" ht="12.75" customHeight="1" x14ac:dyDescent="0.2">
      <c r="A2438" s="2">
        <v>3927</v>
      </c>
      <c r="B2438" s="2"/>
      <c r="C2438" s="2"/>
      <c r="D2438" s="2"/>
      <c r="E2438" s="2"/>
      <c r="F2438" s="132">
        <v>0</v>
      </c>
      <c r="G2438" s="132"/>
      <c r="H2438" s="132">
        <f t="shared" si="276"/>
        <v>0</v>
      </c>
      <c r="I2438" s="132"/>
      <c r="J2438" s="132">
        <f t="shared" si="274"/>
        <v>0</v>
      </c>
      <c r="K2438" s="132">
        <f t="shared" si="277"/>
        <v>0</v>
      </c>
      <c r="L2438" s="132">
        <f t="shared" si="271"/>
        <v>0</v>
      </c>
      <c r="M2438" s="133"/>
      <c r="N2438" s="133">
        <f t="shared" si="275"/>
        <v>0</v>
      </c>
      <c r="O2438" s="134"/>
      <c r="P2438" s="133"/>
      <c r="Q2438" s="2"/>
      <c r="R2438" s="156">
        <f t="shared" si="272"/>
        <v>0</v>
      </c>
      <c r="S2438" s="156">
        <f t="shared" si="273"/>
        <v>0</v>
      </c>
      <c r="T2438" s="133"/>
      <c r="U2438" s="133"/>
      <c r="V2438" s="133"/>
      <c r="W2438" s="133"/>
      <c r="X2438" s="133"/>
      <c r="Y2438" s="133"/>
      <c r="Z2438" s="133"/>
      <c r="AA2438" s="133"/>
      <c r="AB2438" s="133"/>
      <c r="AC2438" s="133"/>
      <c r="AD2438" s="133"/>
      <c r="AE2438" s="133"/>
      <c r="AF2438" s="133"/>
      <c r="AG2438" s="133"/>
      <c r="AH2438" s="133"/>
      <c r="AI2438" s="133"/>
      <c r="AJ2438" s="133"/>
      <c r="AK2438" s="133"/>
      <c r="AL2438" s="133"/>
      <c r="AM2438" s="133"/>
      <c r="AN2438" s="133"/>
      <c r="AO2438" s="133"/>
      <c r="AP2438" s="133"/>
      <c r="AQ2438" s="133"/>
      <c r="AR2438" s="133"/>
      <c r="AS2438" s="153">
        <v>0</v>
      </c>
      <c r="AT2438" s="153">
        <v>0</v>
      </c>
      <c r="AU2438" s="153">
        <v>0</v>
      </c>
      <c r="AV2438" s="135"/>
      <c r="AW2438" s="135"/>
      <c r="AX2438" s="135"/>
      <c r="AY2438" s="135"/>
      <c r="AZ2438" s="135"/>
      <c r="BA2438" s="135"/>
      <c r="BB2438" s="135"/>
      <c r="BC2438" s="135"/>
      <c r="BD2438" s="135"/>
      <c r="BE2438" s="135"/>
      <c r="BF2438" s="135"/>
      <c r="BG2438" s="135"/>
      <c r="BH2438" s="135"/>
      <c r="BI2438" s="2"/>
      <c r="BJ2438" s="136"/>
      <c r="BK2438" s="2"/>
      <c r="BL2438" s="136"/>
      <c r="BM2438" s="136"/>
      <c r="BN2438" s="2"/>
      <c r="BO2438" s="2"/>
      <c r="BP2438" s="136"/>
      <c r="BQ2438" s="137"/>
    </row>
    <row r="2439" spans="1:69" ht="12.75" customHeight="1" x14ac:dyDescent="0.2">
      <c r="A2439" s="2">
        <v>3928</v>
      </c>
      <c r="B2439" s="2"/>
      <c r="C2439" s="2"/>
      <c r="D2439" s="2"/>
      <c r="E2439" s="2"/>
      <c r="F2439" s="132">
        <v>0</v>
      </c>
      <c r="G2439" s="132"/>
      <c r="H2439" s="132">
        <f t="shared" si="276"/>
        <v>0</v>
      </c>
      <c r="I2439" s="132"/>
      <c r="J2439" s="132">
        <f t="shared" si="274"/>
        <v>0</v>
      </c>
      <c r="K2439" s="132">
        <f t="shared" si="277"/>
        <v>0</v>
      </c>
      <c r="L2439" s="132">
        <f t="shared" si="271"/>
        <v>0</v>
      </c>
      <c r="M2439" s="133"/>
      <c r="N2439" s="133">
        <f t="shared" si="275"/>
        <v>0</v>
      </c>
      <c r="O2439" s="134"/>
      <c r="P2439" s="133"/>
      <c r="Q2439" s="2"/>
      <c r="R2439" s="156">
        <f t="shared" si="272"/>
        <v>0</v>
      </c>
      <c r="S2439" s="156">
        <f t="shared" si="273"/>
        <v>0</v>
      </c>
      <c r="T2439" s="133"/>
      <c r="U2439" s="133"/>
      <c r="V2439" s="133"/>
      <c r="W2439" s="133"/>
      <c r="X2439" s="133"/>
      <c r="Y2439" s="133"/>
      <c r="Z2439" s="133"/>
      <c r="AA2439" s="133"/>
      <c r="AB2439" s="133"/>
      <c r="AC2439" s="133"/>
      <c r="AD2439" s="133"/>
      <c r="AE2439" s="133"/>
      <c r="AF2439" s="133"/>
      <c r="AG2439" s="133"/>
      <c r="AH2439" s="133"/>
      <c r="AI2439" s="133"/>
      <c r="AJ2439" s="133"/>
      <c r="AK2439" s="133"/>
      <c r="AL2439" s="133"/>
      <c r="AM2439" s="133"/>
      <c r="AN2439" s="133"/>
      <c r="AO2439" s="133"/>
      <c r="AP2439" s="133"/>
      <c r="AQ2439" s="133"/>
      <c r="AR2439" s="133"/>
      <c r="AS2439" s="153">
        <v>0</v>
      </c>
      <c r="AT2439" s="153">
        <v>0</v>
      </c>
      <c r="AU2439" s="153">
        <v>0</v>
      </c>
      <c r="AV2439" s="135"/>
      <c r="AW2439" s="135"/>
      <c r="AX2439" s="135"/>
      <c r="AY2439" s="135"/>
      <c r="AZ2439" s="135"/>
      <c r="BA2439" s="135"/>
      <c r="BB2439" s="135"/>
      <c r="BC2439" s="135"/>
      <c r="BD2439" s="135"/>
      <c r="BE2439" s="135"/>
      <c r="BF2439" s="135"/>
      <c r="BG2439" s="135"/>
      <c r="BH2439" s="135"/>
      <c r="BI2439" s="2"/>
      <c r="BJ2439" s="136"/>
      <c r="BK2439" s="2"/>
      <c r="BL2439" s="136"/>
      <c r="BM2439" s="136"/>
      <c r="BN2439" s="2"/>
      <c r="BO2439" s="2"/>
      <c r="BP2439" s="136"/>
      <c r="BQ2439" s="137"/>
    </row>
    <row r="2440" spans="1:69" ht="12.75" customHeight="1" x14ac:dyDescent="0.2">
      <c r="A2440" s="2">
        <v>3929</v>
      </c>
      <c r="B2440" s="2"/>
      <c r="C2440" s="2"/>
      <c r="D2440" s="2"/>
      <c r="E2440" s="2"/>
      <c r="F2440" s="132">
        <v>0</v>
      </c>
      <c r="G2440" s="132"/>
      <c r="H2440" s="132">
        <f t="shared" si="276"/>
        <v>0</v>
      </c>
      <c r="I2440" s="132"/>
      <c r="J2440" s="132">
        <f t="shared" si="274"/>
        <v>0</v>
      </c>
      <c r="K2440" s="132">
        <f t="shared" si="277"/>
        <v>0</v>
      </c>
      <c r="L2440" s="132">
        <f t="shared" si="271"/>
        <v>0</v>
      </c>
      <c r="M2440" s="133"/>
      <c r="N2440" s="133">
        <f t="shared" si="275"/>
        <v>0</v>
      </c>
      <c r="O2440" s="134"/>
      <c r="P2440" s="133"/>
      <c r="Q2440" s="2"/>
      <c r="R2440" s="156">
        <f t="shared" si="272"/>
        <v>0</v>
      </c>
      <c r="S2440" s="156">
        <f t="shared" si="273"/>
        <v>0</v>
      </c>
      <c r="T2440" s="133"/>
      <c r="U2440" s="133"/>
      <c r="V2440" s="133"/>
      <c r="W2440" s="133"/>
      <c r="X2440" s="133"/>
      <c r="Y2440" s="133"/>
      <c r="Z2440" s="133"/>
      <c r="AA2440" s="133"/>
      <c r="AB2440" s="133"/>
      <c r="AC2440" s="133"/>
      <c r="AD2440" s="133"/>
      <c r="AE2440" s="133"/>
      <c r="AF2440" s="133"/>
      <c r="AG2440" s="133"/>
      <c r="AH2440" s="133"/>
      <c r="AI2440" s="133"/>
      <c r="AJ2440" s="133"/>
      <c r="AK2440" s="133"/>
      <c r="AL2440" s="133"/>
      <c r="AM2440" s="133"/>
      <c r="AN2440" s="133"/>
      <c r="AO2440" s="133"/>
      <c r="AP2440" s="133"/>
      <c r="AQ2440" s="133"/>
      <c r="AR2440" s="133"/>
      <c r="AS2440" s="153">
        <v>0</v>
      </c>
      <c r="AT2440" s="153">
        <v>0</v>
      </c>
      <c r="AU2440" s="153">
        <v>0</v>
      </c>
      <c r="AV2440" s="135"/>
      <c r="AW2440" s="135"/>
      <c r="AX2440" s="135"/>
      <c r="AY2440" s="135"/>
      <c r="AZ2440" s="135"/>
      <c r="BA2440" s="135"/>
      <c r="BB2440" s="135"/>
      <c r="BC2440" s="135"/>
      <c r="BD2440" s="135"/>
      <c r="BE2440" s="135"/>
      <c r="BF2440" s="135"/>
      <c r="BG2440" s="135"/>
      <c r="BH2440" s="135"/>
      <c r="BI2440" s="2"/>
      <c r="BJ2440" s="136"/>
      <c r="BK2440" s="2"/>
      <c r="BL2440" s="136"/>
      <c r="BM2440" s="136"/>
      <c r="BN2440" s="2"/>
      <c r="BO2440" s="2"/>
      <c r="BP2440" s="136"/>
      <c r="BQ2440" s="137"/>
    </row>
    <row r="2441" spans="1:69" ht="12.75" customHeight="1" x14ac:dyDescent="0.2">
      <c r="A2441" s="2">
        <v>3930</v>
      </c>
      <c r="B2441" s="2"/>
      <c r="C2441" s="2"/>
      <c r="D2441" s="2"/>
      <c r="E2441" s="2"/>
      <c r="F2441" s="132">
        <v>0</v>
      </c>
      <c r="G2441" s="132"/>
      <c r="H2441" s="132">
        <f t="shared" si="276"/>
        <v>0</v>
      </c>
      <c r="I2441" s="132"/>
      <c r="J2441" s="132">
        <f t="shared" si="274"/>
        <v>0</v>
      </c>
      <c r="K2441" s="132">
        <f t="shared" si="277"/>
        <v>0</v>
      </c>
      <c r="L2441" s="132">
        <f t="shared" si="271"/>
        <v>0</v>
      </c>
      <c r="M2441" s="133"/>
      <c r="N2441" s="133">
        <f t="shared" si="275"/>
        <v>0</v>
      </c>
      <c r="O2441" s="134"/>
      <c r="P2441" s="133"/>
      <c r="Q2441" s="2"/>
      <c r="R2441" s="156">
        <f t="shared" si="272"/>
        <v>0</v>
      </c>
      <c r="S2441" s="156">
        <f t="shared" si="273"/>
        <v>0</v>
      </c>
      <c r="T2441" s="133"/>
      <c r="U2441" s="133"/>
      <c r="V2441" s="133"/>
      <c r="W2441" s="133"/>
      <c r="X2441" s="133"/>
      <c r="Y2441" s="133"/>
      <c r="Z2441" s="133"/>
      <c r="AA2441" s="133"/>
      <c r="AB2441" s="133"/>
      <c r="AC2441" s="133"/>
      <c r="AD2441" s="133"/>
      <c r="AE2441" s="133"/>
      <c r="AF2441" s="133"/>
      <c r="AG2441" s="133"/>
      <c r="AH2441" s="133"/>
      <c r="AI2441" s="133"/>
      <c r="AJ2441" s="133"/>
      <c r="AK2441" s="133"/>
      <c r="AL2441" s="133"/>
      <c r="AM2441" s="133"/>
      <c r="AN2441" s="133"/>
      <c r="AO2441" s="133"/>
      <c r="AP2441" s="133"/>
      <c r="AQ2441" s="133"/>
      <c r="AR2441" s="133"/>
      <c r="AS2441" s="153">
        <v>0</v>
      </c>
      <c r="AT2441" s="153">
        <v>0</v>
      </c>
      <c r="AU2441" s="153">
        <v>0</v>
      </c>
      <c r="AV2441" s="135"/>
      <c r="AW2441" s="135"/>
      <c r="AX2441" s="135"/>
      <c r="AY2441" s="135"/>
      <c r="AZ2441" s="135"/>
      <c r="BA2441" s="135"/>
      <c r="BB2441" s="135"/>
      <c r="BC2441" s="135"/>
      <c r="BD2441" s="135"/>
      <c r="BE2441" s="135"/>
      <c r="BF2441" s="135"/>
      <c r="BG2441" s="135"/>
      <c r="BH2441" s="135"/>
      <c r="BI2441" s="2"/>
      <c r="BJ2441" s="136"/>
      <c r="BK2441" s="2"/>
      <c r="BL2441" s="136"/>
      <c r="BM2441" s="136"/>
      <c r="BN2441" s="2"/>
      <c r="BO2441" s="2"/>
      <c r="BP2441" s="136"/>
      <c r="BQ2441" s="137"/>
    </row>
    <row r="2442" spans="1:69" ht="12.75" customHeight="1" x14ac:dyDescent="0.2">
      <c r="A2442" s="2">
        <v>3931</v>
      </c>
      <c r="B2442" s="2"/>
      <c r="C2442" s="2"/>
      <c r="D2442" s="2"/>
      <c r="E2442" s="2"/>
      <c r="F2442" s="132">
        <v>0</v>
      </c>
      <c r="G2442" s="132"/>
      <c r="H2442" s="132">
        <f t="shared" si="276"/>
        <v>0</v>
      </c>
      <c r="I2442" s="132"/>
      <c r="J2442" s="132">
        <f t="shared" si="274"/>
        <v>0</v>
      </c>
      <c r="K2442" s="132">
        <f t="shared" si="277"/>
        <v>0</v>
      </c>
      <c r="L2442" s="132">
        <f t="shared" si="271"/>
        <v>0</v>
      </c>
      <c r="M2442" s="133"/>
      <c r="N2442" s="133">
        <f t="shared" si="275"/>
        <v>0</v>
      </c>
      <c r="O2442" s="134"/>
      <c r="P2442" s="133"/>
      <c r="Q2442" s="2"/>
      <c r="R2442" s="156">
        <f t="shared" si="272"/>
        <v>0</v>
      </c>
      <c r="S2442" s="156">
        <f t="shared" si="273"/>
        <v>0</v>
      </c>
      <c r="T2442" s="133"/>
      <c r="U2442" s="133"/>
      <c r="V2442" s="133"/>
      <c r="W2442" s="133"/>
      <c r="X2442" s="133"/>
      <c r="Y2442" s="133"/>
      <c r="Z2442" s="133"/>
      <c r="AA2442" s="133"/>
      <c r="AB2442" s="133"/>
      <c r="AC2442" s="133"/>
      <c r="AD2442" s="133"/>
      <c r="AE2442" s="133"/>
      <c r="AF2442" s="133"/>
      <c r="AG2442" s="133"/>
      <c r="AH2442" s="133"/>
      <c r="AI2442" s="133"/>
      <c r="AJ2442" s="133"/>
      <c r="AK2442" s="133"/>
      <c r="AL2442" s="133"/>
      <c r="AM2442" s="133"/>
      <c r="AN2442" s="133"/>
      <c r="AO2442" s="133"/>
      <c r="AP2442" s="133"/>
      <c r="AQ2442" s="133"/>
      <c r="AR2442" s="133"/>
      <c r="AS2442" s="153">
        <v>0</v>
      </c>
      <c r="AT2442" s="153">
        <v>0</v>
      </c>
      <c r="AU2442" s="153">
        <v>0</v>
      </c>
      <c r="AV2442" s="135"/>
      <c r="AW2442" s="135"/>
      <c r="AX2442" s="135"/>
      <c r="AY2442" s="135"/>
      <c r="AZ2442" s="135"/>
      <c r="BA2442" s="135"/>
      <c r="BB2442" s="135"/>
      <c r="BC2442" s="135"/>
      <c r="BD2442" s="135"/>
      <c r="BE2442" s="135"/>
      <c r="BF2442" s="135"/>
      <c r="BG2442" s="135"/>
      <c r="BH2442" s="135"/>
      <c r="BI2442" s="2"/>
      <c r="BJ2442" s="136"/>
      <c r="BK2442" s="2"/>
      <c r="BL2442" s="136"/>
      <c r="BM2442" s="136"/>
      <c r="BN2442" s="2"/>
      <c r="BO2442" s="2"/>
      <c r="BP2442" s="136"/>
      <c r="BQ2442" s="137"/>
    </row>
    <row r="2443" spans="1:69" ht="12.75" customHeight="1" x14ac:dyDescent="0.2">
      <c r="A2443" s="2">
        <v>3932</v>
      </c>
      <c r="B2443" s="2"/>
      <c r="C2443" s="2"/>
      <c r="D2443" s="2"/>
      <c r="E2443" s="2"/>
      <c r="F2443" s="132">
        <v>0</v>
      </c>
      <c r="G2443" s="132"/>
      <c r="H2443" s="132">
        <f t="shared" si="276"/>
        <v>0</v>
      </c>
      <c r="I2443" s="132"/>
      <c r="J2443" s="132">
        <f t="shared" si="274"/>
        <v>0</v>
      </c>
      <c r="K2443" s="132">
        <f t="shared" si="277"/>
        <v>0</v>
      </c>
      <c r="L2443" s="132">
        <f t="shared" ref="L2443:L2506" si="278">H2443-J2443</f>
        <v>0</v>
      </c>
      <c r="M2443" s="133"/>
      <c r="N2443" s="133">
        <f t="shared" si="275"/>
        <v>0</v>
      </c>
      <c r="O2443" s="134"/>
      <c r="P2443" s="133"/>
      <c r="Q2443" s="2"/>
      <c r="R2443" s="156">
        <f t="shared" ref="R2443:R2506" si="279">T2443+V2443+X2443+Z2443+AB2443+AD2443+AF2443+AH2443+AJ2443+AL2443+AN2443+AP2443</f>
        <v>0</v>
      </c>
      <c r="S2443" s="156">
        <f t="shared" ref="S2443:S2506" si="280">U2443+W2443+Y2443+AA2443+AC2443+AE2443+AG2443+AI2443+AK2443+AM2443+AO2443+AQ2443</f>
        <v>0</v>
      </c>
      <c r="T2443" s="133"/>
      <c r="U2443" s="133"/>
      <c r="V2443" s="133"/>
      <c r="W2443" s="133"/>
      <c r="X2443" s="133"/>
      <c r="Y2443" s="133"/>
      <c r="Z2443" s="133"/>
      <c r="AA2443" s="133"/>
      <c r="AB2443" s="133"/>
      <c r="AC2443" s="133"/>
      <c r="AD2443" s="133"/>
      <c r="AE2443" s="133"/>
      <c r="AF2443" s="133"/>
      <c r="AG2443" s="133"/>
      <c r="AH2443" s="133"/>
      <c r="AI2443" s="133"/>
      <c r="AJ2443" s="133"/>
      <c r="AK2443" s="133"/>
      <c r="AL2443" s="133"/>
      <c r="AM2443" s="133"/>
      <c r="AN2443" s="133"/>
      <c r="AO2443" s="133"/>
      <c r="AP2443" s="133"/>
      <c r="AQ2443" s="133"/>
      <c r="AR2443" s="133"/>
      <c r="AS2443" s="153">
        <v>0</v>
      </c>
      <c r="AT2443" s="153">
        <v>0</v>
      </c>
      <c r="AU2443" s="153">
        <v>0</v>
      </c>
      <c r="AV2443" s="135"/>
      <c r="AW2443" s="135"/>
      <c r="AX2443" s="135"/>
      <c r="AY2443" s="135"/>
      <c r="AZ2443" s="135"/>
      <c r="BA2443" s="135"/>
      <c r="BB2443" s="135"/>
      <c r="BC2443" s="135"/>
      <c r="BD2443" s="135"/>
      <c r="BE2443" s="135"/>
      <c r="BF2443" s="135"/>
      <c r="BG2443" s="135"/>
      <c r="BH2443" s="135"/>
      <c r="BI2443" s="2"/>
      <c r="BJ2443" s="136"/>
      <c r="BK2443" s="2"/>
      <c r="BL2443" s="136"/>
      <c r="BM2443" s="136"/>
      <c r="BN2443" s="2"/>
      <c r="BO2443" s="2"/>
      <c r="BP2443" s="136"/>
      <c r="BQ2443" s="137"/>
    </row>
    <row r="2444" spans="1:69" ht="12.75" customHeight="1" x14ac:dyDescent="0.2">
      <c r="A2444" s="2">
        <v>3933</v>
      </c>
      <c r="B2444" s="2"/>
      <c r="C2444" s="2"/>
      <c r="D2444" s="2"/>
      <c r="E2444" s="2"/>
      <c r="F2444" s="132">
        <v>0</v>
      </c>
      <c r="G2444" s="132"/>
      <c r="H2444" s="132">
        <f t="shared" si="276"/>
        <v>0</v>
      </c>
      <c r="I2444" s="132"/>
      <c r="J2444" s="132">
        <f t="shared" si="274"/>
        <v>0</v>
      </c>
      <c r="K2444" s="132">
        <f t="shared" si="277"/>
        <v>0</v>
      </c>
      <c r="L2444" s="132">
        <f t="shared" si="278"/>
        <v>0</v>
      </c>
      <c r="M2444" s="133"/>
      <c r="N2444" s="133">
        <f t="shared" si="275"/>
        <v>0</v>
      </c>
      <c r="O2444" s="134"/>
      <c r="P2444" s="133"/>
      <c r="Q2444" s="2"/>
      <c r="R2444" s="156">
        <f t="shared" si="279"/>
        <v>0</v>
      </c>
      <c r="S2444" s="156">
        <f t="shared" si="280"/>
        <v>0</v>
      </c>
      <c r="T2444" s="133"/>
      <c r="U2444" s="133"/>
      <c r="V2444" s="133"/>
      <c r="W2444" s="133"/>
      <c r="X2444" s="133"/>
      <c r="Y2444" s="133"/>
      <c r="Z2444" s="133"/>
      <c r="AA2444" s="133"/>
      <c r="AB2444" s="133"/>
      <c r="AC2444" s="133"/>
      <c r="AD2444" s="133"/>
      <c r="AE2444" s="133"/>
      <c r="AF2444" s="133"/>
      <c r="AG2444" s="133"/>
      <c r="AH2444" s="133"/>
      <c r="AI2444" s="133"/>
      <c r="AJ2444" s="133"/>
      <c r="AK2444" s="133"/>
      <c r="AL2444" s="133"/>
      <c r="AM2444" s="133"/>
      <c r="AN2444" s="133"/>
      <c r="AO2444" s="133"/>
      <c r="AP2444" s="133"/>
      <c r="AQ2444" s="133"/>
      <c r="AR2444" s="133"/>
      <c r="AS2444" s="153">
        <v>0</v>
      </c>
      <c r="AT2444" s="153">
        <v>0</v>
      </c>
      <c r="AU2444" s="153">
        <v>0</v>
      </c>
      <c r="AV2444" s="135"/>
      <c r="AW2444" s="135"/>
      <c r="AX2444" s="135"/>
      <c r="AY2444" s="135"/>
      <c r="AZ2444" s="135"/>
      <c r="BA2444" s="135"/>
      <c r="BB2444" s="135"/>
      <c r="BC2444" s="135"/>
      <c r="BD2444" s="135"/>
      <c r="BE2444" s="135"/>
      <c r="BF2444" s="135"/>
      <c r="BG2444" s="135"/>
      <c r="BH2444" s="135"/>
      <c r="BI2444" s="2"/>
      <c r="BJ2444" s="136"/>
      <c r="BK2444" s="2"/>
      <c r="BL2444" s="136"/>
      <c r="BM2444" s="136"/>
      <c r="BN2444" s="2"/>
      <c r="BO2444" s="2"/>
      <c r="BP2444" s="136"/>
      <c r="BQ2444" s="137"/>
    </row>
    <row r="2445" spans="1:69" ht="12.75" customHeight="1" x14ac:dyDescent="0.2">
      <c r="A2445" s="2">
        <v>3934</v>
      </c>
      <c r="B2445" s="2"/>
      <c r="C2445" s="2"/>
      <c r="D2445" s="2"/>
      <c r="E2445" s="2"/>
      <c r="F2445" s="132">
        <v>0</v>
      </c>
      <c r="G2445" s="132"/>
      <c r="H2445" s="132">
        <f t="shared" si="276"/>
        <v>0</v>
      </c>
      <c r="I2445" s="132"/>
      <c r="J2445" s="132">
        <f t="shared" si="274"/>
        <v>0</v>
      </c>
      <c r="K2445" s="132">
        <f t="shared" si="277"/>
        <v>0</v>
      </c>
      <c r="L2445" s="132">
        <f t="shared" si="278"/>
        <v>0</v>
      </c>
      <c r="M2445" s="133"/>
      <c r="N2445" s="133">
        <f t="shared" si="275"/>
        <v>0</v>
      </c>
      <c r="O2445" s="134"/>
      <c r="P2445" s="133"/>
      <c r="Q2445" s="2"/>
      <c r="R2445" s="156">
        <f t="shared" si="279"/>
        <v>0</v>
      </c>
      <c r="S2445" s="156">
        <f t="shared" si="280"/>
        <v>0</v>
      </c>
      <c r="T2445" s="133"/>
      <c r="U2445" s="133"/>
      <c r="V2445" s="133"/>
      <c r="W2445" s="133"/>
      <c r="X2445" s="133"/>
      <c r="Y2445" s="133"/>
      <c r="Z2445" s="133"/>
      <c r="AA2445" s="133"/>
      <c r="AB2445" s="133"/>
      <c r="AC2445" s="133"/>
      <c r="AD2445" s="133"/>
      <c r="AE2445" s="133"/>
      <c r="AF2445" s="133"/>
      <c r="AG2445" s="133"/>
      <c r="AH2445" s="133"/>
      <c r="AI2445" s="133"/>
      <c r="AJ2445" s="133"/>
      <c r="AK2445" s="133"/>
      <c r="AL2445" s="133"/>
      <c r="AM2445" s="133"/>
      <c r="AN2445" s="133"/>
      <c r="AO2445" s="133"/>
      <c r="AP2445" s="133"/>
      <c r="AQ2445" s="133"/>
      <c r="AR2445" s="133"/>
      <c r="AS2445" s="153">
        <v>0</v>
      </c>
      <c r="AT2445" s="153">
        <v>0</v>
      </c>
      <c r="AU2445" s="153">
        <v>0</v>
      </c>
      <c r="AV2445" s="135"/>
      <c r="AW2445" s="135"/>
      <c r="AX2445" s="135"/>
      <c r="AY2445" s="135"/>
      <c r="AZ2445" s="135"/>
      <c r="BA2445" s="135"/>
      <c r="BB2445" s="135"/>
      <c r="BC2445" s="135"/>
      <c r="BD2445" s="135"/>
      <c r="BE2445" s="135"/>
      <c r="BF2445" s="135"/>
      <c r="BG2445" s="135"/>
      <c r="BH2445" s="135"/>
      <c r="BI2445" s="2"/>
      <c r="BJ2445" s="136"/>
      <c r="BK2445" s="2"/>
      <c r="BL2445" s="136"/>
      <c r="BM2445" s="136"/>
      <c r="BN2445" s="2"/>
      <c r="BO2445" s="2"/>
      <c r="BP2445" s="136"/>
      <c r="BQ2445" s="137"/>
    </row>
    <row r="2446" spans="1:69" ht="12.75" customHeight="1" x14ac:dyDescent="0.2">
      <c r="A2446" s="2">
        <v>3935</v>
      </c>
      <c r="B2446" s="2"/>
      <c r="C2446" s="2"/>
      <c r="D2446" s="2"/>
      <c r="E2446" s="2"/>
      <c r="F2446" s="132">
        <v>0</v>
      </c>
      <c r="G2446" s="132"/>
      <c r="H2446" s="132">
        <f t="shared" si="276"/>
        <v>0</v>
      </c>
      <c r="I2446" s="132"/>
      <c r="J2446" s="132">
        <f t="shared" si="274"/>
        <v>0</v>
      </c>
      <c r="K2446" s="132">
        <f t="shared" si="277"/>
        <v>0</v>
      </c>
      <c r="L2446" s="132">
        <f t="shared" si="278"/>
        <v>0</v>
      </c>
      <c r="M2446" s="133"/>
      <c r="N2446" s="133">
        <f t="shared" si="275"/>
        <v>0</v>
      </c>
      <c r="O2446" s="134"/>
      <c r="P2446" s="133"/>
      <c r="Q2446" s="2"/>
      <c r="R2446" s="156">
        <f t="shared" si="279"/>
        <v>0</v>
      </c>
      <c r="S2446" s="156">
        <f t="shared" si="280"/>
        <v>0</v>
      </c>
      <c r="T2446" s="133"/>
      <c r="U2446" s="133"/>
      <c r="V2446" s="133"/>
      <c r="W2446" s="133"/>
      <c r="X2446" s="133"/>
      <c r="Y2446" s="133"/>
      <c r="Z2446" s="133"/>
      <c r="AA2446" s="133"/>
      <c r="AB2446" s="133"/>
      <c r="AC2446" s="133"/>
      <c r="AD2446" s="133"/>
      <c r="AE2446" s="133"/>
      <c r="AF2446" s="133"/>
      <c r="AG2446" s="133"/>
      <c r="AH2446" s="133"/>
      <c r="AI2446" s="133"/>
      <c r="AJ2446" s="133"/>
      <c r="AK2446" s="133"/>
      <c r="AL2446" s="133"/>
      <c r="AM2446" s="133"/>
      <c r="AN2446" s="133"/>
      <c r="AO2446" s="133"/>
      <c r="AP2446" s="133"/>
      <c r="AQ2446" s="133"/>
      <c r="AR2446" s="133"/>
      <c r="AS2446" s="153">
        <v>0</v>
      </c>
      <c r="AT2446" s="153">
        <v>0</v>
      </c>
      <c r="AU2446" s="153">
        <v>0</v>
      </c>
      <c r="AV2446" s="135"/>
      <c r="AW2446" s="135"/>
      <c r="AX2446" s="135"/>
      <c r="AY2446" s="135"/>
      <c r="AZ2446" s="135"/>
      <c r="BA2446" s="135"/>
      <c r="BB2446" s="135"/>
      <c r="BC2446" s="135"/>
      <c r="BD2446" s="135"/>
      <c r="BE2446" s="135"/>
      <c r="BF2446" s="135"/>
      <c r="BG2446" s="135"/>
      <c r="BH2446" s="135"/>
      <c r="BI2446" s="2"/>
      <c r="BJ2446" s="136"/>
      <c r="BK2446" s="2"/>
      <c r="BL2446" s="136"/>
      <c r="BM2446" s="136"/>
      <c r="BN2446" s="2"/>
      <c r="BO2446" s="2"/>
      <c r="BP2446" s="136"/>
      <c r="BQ2446" s="137"/>
    </row>
    <row r="2447" spans="1:69" ht="12.75" customHeight="1" x14ac:dyDescent="0.2">
      <c r="A2447" s="2">
        <v>3936</v>
      </c>
      <c r="B2447" s="2"/>
      <c r="C2447" s="2"/>
      <c r="D2447" s="2"/>
      <c r="E2447" s="2"/>
      <c r="F2447" s="132">
        <v>0</v>
      </c>
      <c r="G2447" s="132"/>
      <c r="H2447" s="132">
        <f t="shared" si="276"/>
        <v>0</v>
      </c>
      <c r="I2447" s="132"/>
      <c r="J2447" s="132">
        <f t="shared" si="274"/>
        <v>0</v>
      </c>
      <c r="K2447" s="132">
        <f t="shared" si="277"/>
        <v>0</v>
      </c>
      <c r="L2447" s="132">
        <f t="shared" si="278"/>
        <v>0</v>
      </c>
      <c r="M2447" s="133"/>
      <c r="N2447" s="133">
        <f t="shared" si="275"/>
        <v>0</v>
      </c>
      <c r="O2447" s="134"/>
      <c r="P2447" s="133"/>
      <c r="Q2447" s="2"/>
      <c r="R2447" s="156">
        <f t="shared" si="279"/>
        <v>0</v>
      </c>
      <c r="S2447" s="156">
        <f t="shared" si="280"/>
        <v>0</v>
      </c>
      <c r="T2447" s="133"/>
      <c r="U2447" s="133"/>
      <c r="V2447" s="133"/>
      <c r="W2447" s="133"/>
      <c r="X2447" s="133"/>
      <c r="Y2447" s="133"/>
      <c r="Z2447" s="133"/>
      <c r="AA2447" s="133"/>
      <c r="AB2447" s="133"/>
      <c r="AC2447" s="133"/>
      <c r="AD2447" s="133"/>
      <c r="AE2447" s="133"/>
      <c r="AF2447" s="133"/>
      <c r="AG2447" s="133"/>
      <c r="AH2447" s="133"/>
      <c r="AI2447" s="133"/>
      <c r="AJ2447" s="133"/>
      <c r="AK2447" s="133"/>
      <c r="AL2447" s="133"/>
      <c r="AM2447" s="133"/>
      <c r="AN2447" s="133"/>
      <c r="AO2447" s="133"/>
      <c r="AP2447" s="133"/>
      <c r="AQ2447" s="133"/>
      <c r="AR2447" s="133"/>
      <c r="AS2447" s="153">
        <v>0</v>
      </c>
      <c r="AT2447" s="153">
        <v>0</v>
      </c>
      <c r="AU2447" s="153">
        <v>0</v>
      </c>
      <c r="AV2447" s="135"/>
      <c r="AW2447" s="135"/>
      <c r="AX2447" s="135"/>
      <c r="AY2447" s="135"/>
      <c r="AZ2447" s="135"/>
      <c r="BA2447" s="135"/>
      <c r="BB2447" s="135"/>
      <c r="BC2447" s="135"/>
      <c r="BD2447" s="135"/>
      <c r="BE2447" s="135"/>
      <c r="BF2447" s="135"/>
      <c r="BG2447" s="135"/>
      <c r="BH2447" s="135"/>
      <c r="BI2447" s="2"/>
      <c r="BJ2447" s="136"/>
      <c r="BK2447" s="2"/>
      <c r="BL2447" s="136"/>
      <c r="BM2447" s="136"/>
      <c r="BN2447" s="2"/>
      <c r="BO2447" s="2"/>
      <c r="BP2447" s="136"/>
      <c r="BQ2447" s="137"/>
    </row>
    <row r="2448" spans="1:69" ht="12.75" customHeight="1" x14ac:dyDescent="0.2">
      <c r="A2448" s="2">
        <v>3937</v>
      </c>
      <c r="B2448" s="2"/>
      <c r="C2448" s="2"/>
      <c r="D2448" s="2"/>
      <c r="E2448" s="2"/>
      <c r="F2448" s="132">
        <v>0</v>
      </c>
      <c r="G2448" s="132"/>
      <c r="H2448" s="132">
        <f t="shared" si="276"/>
        <v>0</v>
      </c>
      <c r="I2448" s="132"/>
      <c r="J2448" s="132">
        <f t="shared" si="274"/>
        <v>0</v>
      </c>
      <c r="K2448" s="132">
        <f t="shared" si="277"/>
        <v>0</v>
      </c>
      <c r="L2448" s="132">
        <f t="shared" si="278"/>
        <v>0</v>
      </c>
      <c r="M2448" s="133"/>
      <c r="N2448" s="133">
        <f t="shared" si="275"/>
        <v>0</v>
      </c>
      <c r="O2448" s="134"/>
      <c r="P2448" s="133"/>
      <c r="Q2448" s="2"/>
      <c r="R2448" s="156">
        <f t="shared" si="279"/>
        <v>0</v>
      </c>
      <c r="S2448" s="156">
        <f t="shared" si="280"/>
        <v>0</v>
      </c>
      <c r="T2448" s="133"/>
      <c r="U2448" s="133"/>
      <c r="V2448" s="133"/>
      <c r="W2448" s="133"/>
      <c r="X2448" s="133"/>
      <c r="Y2448" s="133"/>
      <c r="Z2448" s="133"/>
      <c r="AA2448" s="133"/>
      <c r="AB2448" s="133"/>
      <c r="AC2448" s="133"/>
      <c r="AD2448" s="133"/>
      <c r="AE2448" s="133"/>
      <c r="AF2448" s="133"/>
      <c r="AG2448" s="133"/>
      <c r="AH2448" s="133"/>
      <c r="AI2448" s="133"/>
      <c r="AJ2448" s="133"/>
      <c r="AK2448" s="133"/>
      <c r="AL2448" s="133"/>
      <c r="AM2448" s="133"/>
      <c r="AN2448" s="133"/>
      <c r="AO2448" s="133"/>
      <c r="AP2448" s="133"/>
      <c r="AQ2448" s="133"/>
      <c r="AR2448" s="133"/>
      <c r="AS2448" s="153">
        <v>0</v>
      </c>
      <c r="AT2448" s="153">
        <v>0</v>
      </c>
      <c r="AU2448" s="153">
        <v>0</v>
      </c>
      <c r="AV2448" s="135"/>
      <c r="AW2448" s="135"/>
      <c r="AX2448" s="135"/>
      <c r="AY2448" s="135"/>
      <c r="AZ2448" s="135"/>
      <c r="BA2448" s="135"/>
      <c r="BB2448" s="135"/>
      <c r="BC2448" s="135"/>
      <c r="BD2448" s="135"/>
      <c r="BE2448" s="135"/>
      <c r="BF2448" s="135"/>
      <c r="BG2448" s="135"/>
      <c r="BH2448" s="135"/>
      <c r="BI2448" s="2"/>
      <c r="BJ2448" s="136"/>
      <c r="BK2448" s="2"/>
      <c r="BL2448" s="136"/>
      <c r="BM2448" s="136"/>
      <c r="BN2448" s="2"/>
      <c r="BO2448" s="2"/>
      <c r="BP2448" s="136"/>
      <c r="BQ2448" s="137"/>
    </row>
    <row r="2449" spans="1:69" ht="12.75" customHeight="1" x14ac:dyDescent="0.2">
      <c r="A2449" s="2">
        <v>3938</v>
      </c>
      <c r="B2449" s="2"/>
      <c r="C2449" s="2"/>
      <c r="D2449" s="2"/>
      <c r="E2449" s="2"/>
      <c r="F2449" s="132">
        <v>0</v>
      </c>
      <c r="G2449" s="132"/>
      <c r="H2449" s="132">
        <f t="shared" si="276"/>
        <v>0</v>
      </c>
      <c r="I2449" s="132"/>
      <c r="J2449" s="132">
        <f t="shared" si="274"/>
        <v>0</v>
      </c>
      <c r="K2449" s="132">
        <f t="shared" si="277"/>
        <v>0</v>
      </c>
      <c r="L2449" s="132">
        <f t="shared" si="278"/>
        <v>0</v>
      </c>
      <c r="M2449" s="133"/>
      <c r="N2449" s="133">
        <f t="shared" si="275"/>
        <v>0</v>
      </c>
      <c r="O2449" s="134"/>
      <c r="P2449" s="133"/>
      <c r="Q2449" s="2"/>
      <c r="R2449" s="156">
        <f t="shared" si="279"/>
        <v>0</v>
      </c>
      <c r="S2449" s="156">
        <f t="shared" si="280"/>
        <v>0</v>
      </c>
      <c r="T2449" s="133"/>
      <c r="U2449" s="133"/>
      <c r="V2449" s="133"/>
      <c r="W2449" s="133"/>
      <c r="X2449" s="133"/>
      <c r="Y2449" s="133"/>
      <c r="Z2449" s="133"/>
      <c r="AA2449" s="133"/>
      <c r="AB2449" s="133"/>
      <c r="AC2449" s="133"/>
      <c r="AD2449" s="133"/>
      <c r="AE2449" s="133"/>
      <c r="AF2449" s="133"/>
      <c r="AG2449" s="133"/>
      <c r="AH2449" s="133"/>
      <c r="AI2449" s="133"/>
      <c r="AJ2449" s="133"/>
      <c r="AK2449" s="133"/>
      <c r="AL2449" s="133"/>
      <c r="AM2449" s="133"/>
      <c r="AN2449" s="133"/>
      <c r="AO2449" s="133"/>
      <c r="AP2449" s="133"/>
      <c r="AQ2449" s="133"/>
      <c r="AR2449" s="133"/>
      <c r="AS2449" s="153">
        <v>0</v>
      </c>
      <c r="AT2449" s="153">
        <v>0</v>
      </c>
      <c r="AU2449" s="153">
        <v>0</v>
      </c>
      <c r="AV2449" s="135"/>
      <c r="AW2449" s="135"/>
      <c r="AX2449" s="135"/>
      <c r="AY2449" s="135"/>
      <c r="AZ2449" s="135"/>
      <c r="BA2449" s="135"/>
      <c r="BB2449" s="135"/>
      <c r="BC2449" s="135"/>
      <c r="BD2449" s="135"/>
      <c r="BE2449" s="135"/>
      <c r="BF2449" s="135"/>
      <c r="BG2449" s="135"/>
      <c r="BH2449" s="135"/>
      <c r="BI2449" s="2"/>
      <c r="BJ2449" s="136"/>
      <c r="BK2449" s="2"/>
      <c r="BL2449" s="136"/>
      <c r="BM2449" s="136"/>
      <c r="BN2449" s="2"/>
      <c r="BO2449" s="2"/>
      <c r="BP2449" s="136"/>
      <c r="BQ2449" s="137"/>
    </row>
    <row r="2450" spans="1:69" ht="12.75" customHeight="1" x14ac:dyDescent="0.2">
      <c r="A2450" s="2">
        <v>3939</v>
      </c>
      <c r="B2450" s="2"/>
      <c r="C2450" s="2"/>
      <c r="D2450" s="2"/>
      <c r="E2450" s="2"/>
      <c r="F2450" s="132">
        <v>0</v>
      </c>
      <c r="G2450" s="132"/>
      <c r="H2450" s="132">
        <f t="shared" si="276"/>
        <v>0</v>
      </c>
      <c r="I2450" s="132"/>
      <c r="J2450" s="132">
        <f t="shared" si="274"/>
        <v>0</v>
      </c>
      <c r="K2450" s="132">
        <f t="shared" si="277"/>
        <v>0</v>
      </c>
      <c r="L2450" s="132">
        <f t="shared" si="278"/>
        <v>0</v>
      </c>
      <c r="M2450" s="133"/>
      <c r="N2450" s="133">
        <f t="shared" si="275"/>
        <v>0</v>
      </c>
      <c r="O2450" s="134"/>
      <c r="P2450" s="133"/>
      <c r="Q2450" s="2"/>
      <c r="R2450" s="156">
        <f t="shared" si="279"/>
        <v>0</v>
      </c>
      <c r="S2450" s="156">
        <f t="shared" si="280"/>
        <v>0</v>
      </c>
      <c r="T2450" s="133"/>
      <c r="U2450" s="133"/>
      <c r="V2450" s="133"/>
      <c r="W2450" s="133"/>
      <c r="X2450" s="133"/>
      <c r="Y2450" s="133"/>
      <c r="Z2450" s="133"/>
      <c r="AA2450" s="133"/>
      <c r="AB2450" s="133"/>
      <c r="AC2450" s="133"/>
      <c r="AD2450" s="133"/>
      <c r="AE2450" s="133"/>
      <c r="AF2450" s="133"/>
      <c r="AG2450" s="133"/>
      <c r="AH2450" s="133"/>
      <c r="AI2450" s="133"/>
      <c r="AJ2450" s="133"/>
      <c r="AK2450" s="133"/>
      <c r="AL2450" s="133"/>
      <c r="AM2450" s="133"/>
      <c r="AN2450" s="133"/>
      <c r="AO2450" s="133"/>
      <c r="AP2450" s="133"/>
      <c r="AQ2450" s="133"/>
      <c r="AR2450" s="133"/>
      <c r="AS2450" s="153">
        <v>0</v>
      </c>
      <c r="AT2450" s="153">
        <v>0</v>
      </c>
      <c r="AU2450" s="153">
        <v>0</v>
      </c>
      <c r="AV2450" s="135"/>
      <c r="AW2450" s="135"/>
      <c r="AX2450" s="135"/>
      <c r="AY2450" s="135"/>
      <c r="AZ2450" s="135"/>
      <c r="BA2450" s="135"/>
      <c r="BB2450" s="135"/>
      <c r="BC2450" s="135"/>
      <c r="BD2450" s="135"/>
      <c r="BE2450" s="135"/>
      <c r="BF2450" s="135"/>
      <c r="BG2450" s="135"/>
      <c r="BH2450" s="135"/>
      <c r="BI2450" s="2"/>
      <c r="BJ2450" s="136"/>
      <c r="BK2450" s="2"/>
      <c r="BL2450" s="136"/>
      <c r="BM2450" s="136"/>
      <c r="BN2450" s="2"/>
      <c r="BO2450" s="2"/>
      <c r="BP2450" s="136"/>
      <c r="BQ2450" s="137"/>
    </row>
    <row r="2451" spans="1:69" ht="12.75" customHeight="1" x14ac:dyDescent="0.2">
      <c r="A2451" s="2">
        <v>3940</v>
      </c>
      <c r="B2451" s="2"/>
      <c r="C2451" s="2"/>
      <c r="D2451" s="2"/>
      <c r="E2451" s="2"/>
      <c r="F2451" s="132">
        <v>0</v>
      </c>
      <c r="G2451" s="132"/>
      <c r="H2451" s="132">
        <f t="shared" si="276"/>
        <v>0</v>
      </c>
      <c r="I2451" s="132"/>
      <c r="J2451" s="132">
        <f t="shared" si="274"/>
        <v>0</v>
      </c>
      <c r="K2451" s="132">
        <f t="shared" si="277"/>
        <v>0</v>
      </c>
      <c r="L2451" s="132">
        <f t="shared" si="278"/>
        <v>0</v>
      </c>
      <c r="M2451" s="133"/>
      <c r="N2451" s="133">
        <f t="shared" si="275"/>
        <v>0</v>
      </c>
      <c r="O2451" s="134"/>
      <c r="P2451" s="133"/>
      <c r="Q2451" s="2"/>
      <c r="R2451" s="156">
        <f t="shared" si="279"/>
        <v>0</v>
      </c>
      <c r="S2451" s="156">
        <f t="shared" si="280"/>
        <v>0</v>
      </c>
      <c r="T2451" s="133"/>
      <c r="U2451" s="133"/>
      <c r="V2451" s="133"/>
      <c r="W2451" s="133"/>
      <c r="X2451" s="133"/>
      <c r="Y2451" s="133"/>
      <c r="Z2451" s="133"/>
      <c r="AA2451" s="133"/>
      <c r="AB2451" s="133"/>
      <c r="AC2451" s="133"/>
      <c r="AD2451" s="133"/>
      <c r="AE2451" s="133"/>
      <c r="AF2451" s="133"/>
      <c r="AG2451" s="133"/>
      <c r="AH2451" s="133"/>
      <c r="AI2451" s="133"/>
      <c r="AJ2451" s="133"/>
      <c r="AK2451" s="133"/>
      <c r="AL2451" s="133"/>
      <c r="AM2451" s="133"/>
      <c r="AN2451" s="133"/>
      <c r="AO2451" s="133"/>
      <c r="AP2451" s="133"/>
      <c r="AQ2451" s="133"/>
      <c r="AR2451" s="133"/>
      <c r="AS2451" s="153">
        <v>0</v>
      </c>
      <c r="AT2451" s="153">
        <v>0</v>
      </c>
      <c r="AU2451" s="153">
        <v>0</v>
      </c>
      <c r="AV2451" s="135"/>
      <c r="AW2451" s="135"/>
      <c r="AX2451" s="135"/>
      <c r="AY2451" s="135"/>
      <c r="AZ2451" s="135"/>
      <c r="BA2451" s="135"/>
      <c r="BB2451" s="135"/>
      <c r="BC2451" s="135"/>
      <c r="BD2451" s="135"/>
      <c r="BE2451" s="135"/>
      <c r="BF2451" s="135"/>
      <c r="BG2451" s="135"/>
      <c r="BH2451" s="135"/>
      <c r="BI2451" s="2"/>
      <c r="BJ2451" s="136"/>
      <c r="BK2451" s="2"/>
      <c r="BL2451" s="136"/>
      <c r="BM2451" s="136"/>
      <c r="BN2451" s="2"/>
      <c r="BO2451" s="2"/>
      <c r="BP2451" s="136"/>
      <c r="BQ2451" s="137"/>
    </row>
    <row r="2452" spans="1:69" ht="12.75" customHeight="1" x14ac:dyDescent="0.2">
      <c r="A2452" s="2">
        <v>3941</v>
      </c>
      <c r="B2452" s="2"/>
      <c r="C2452" s="2"/>
      <c r="D2452" s="2"/>
      <c r="E2452" s="2"/>
      <c r="F2452" s="132">
        <v>0</v>
      </c>
      <c r="G2452" s="132"/>
      <c r="H2452" s="132">
        <f t="shared" si="276"/>
        <v>0</v>
      </c>
      <c r="I2452" s="132"/>
      <c r="J2452" s="132">
        <f t="shared" si="274"/>
        <v>0</v>
      </c>
      <c r="K2452" s="132">
        <f t="shared" si="277"/>
        <v>0</v>
      </c>
      <c r="L2452" s="132">
        <f t="shared" si="278"/>
        <v>0</v>
      </c>
      <c r="M2452" s="133"/>
      <c r="N2452" s="133">
        <f t="shared" si="275"/>
        <v>0</v>
      </c>
      <c r="O2452" s="134"/>
      <c r="P2452" s="133"/>
      <c r="Q2452" s="2"/>
      <c r="R2452" s="156">
        <f t="shared" si="279"/>
        <v>0</v>
      </c>
      <c r="S2452" s="156">
        <f t="shared" si="280"/>
        <v>0</v>
      </c>
      <c r="T2452" s="133"/>
      <c r="U2452" s="133"/>
      <c r="V2452" s="133"/>
      <c r="W2452" s="133"/>
      <c r="X2452" s="133"/>
      <c r="Y2452" s="133"/>
      <c r="Z2452" s="133"/>
      <c r="AA2452" s="133"/>
      <c r="AB2452" s="133"/>
      <c r="AC2452" s="133"/>
      <c r="AD2452" s="133"/>
      <c r="AE2452" s="133"/>
      <c r="AF2452" s="133"/>
      <c r="AG2452" s="133"/>
      <c r="AH2452" s="133"/>
      <c r="AI2452" s="133"/>
      <c r="AJ2452" s="133"/>
      <c r="AK2452" s="133"/>
      <c r="AL2452" s="133"/>
      <c r="AM2452" s="133"/>
      <c r="AN2452" s="133"/>
      <c r="AO2452" s="133"/>
      <c r="AP2452" s="133"/>
      <c r="AQ2452" s="133"/>
      <c r="AR2452" s="133"/>
      <c r="AS2452" s="153">
        <v>0</v>
      </c>
      <c r="AT2452" s="153">
        <v>0</v>
      </c>
      <c r="AU2452" s="153">
        <v>0</v>
      </c>
      <c r="AV2452" s="135"/>
      <c r="AW2452" s="135"/>
      <c r="AX2452" s="135"/>
      <c r="AY2452" s="135"/>
      <c r="AZ2452" s="135"/>
      <c r="BA2452" s="135"/>
      <c r="BB2452" s="135"/>
      <c r="BC2452" s="135"/>
      <c r="BD2452" s="135"/>
      <c r="BE2452" s="135"/>
      <c r="BF2452" s="135"/>
      <c r="BG2452" s="135"/>
      <c r="BH2452" s="135"/>
      <c r="BI2452" s="2"/>
      <c r="BJ2452" s="136"/>
      <c r="BK2452" s="2"/>
      <c r="BL2452" s="136"/>
      <c r="BM2452" s="136"/>
      <c r="BN2452" s="2"/>
      <c r="BO2452" s="2"/>
      <c r="BP2452" s="136"/>
      <c r="BQ2452" s="137"/>
    </row>
    <row r="2453" spans="1:69" ht="12.75" customHeight="1" x14ac:dyDescent="0.2">
      <c r="A2453" s="2">
        <v>3942</v>
      </c>
      <c r="B2453" s="2"/>
      <c r="C2453" s="2"/>
      <c r="D2453" s="2"/>
      <c r="E2453" s="2"/>
      <c r="F2453" s="132">
        <v>0</v>
      </c>
      <c r="G2453" s="132"/>
      <c r="H2453" s="132">
        <f t="shared" si="276"/>
        <v>0</v>
      </c>
      <c r="I2453" s="132"/>
      <c r="J2453" s="132">
        <f t="shared" si="274"/>
        <v>0</v>
      </c>
      <c r="K2453" s="132">
        <f t="shared" si="277"/>
        <v>0</v>
      </c>
      <c r="L2453" s="132">
        <f t="shared" si="278"/>
        <v>0</v>
      </c>
      <c r="M2453" s="133"/>
      <c r="N2453" s="133">
        <f t="shared" si="275"/>
        <v>0</v>
      </c>
      <c r="O2453" s="134"/>
      <c r="P2453" s="133"/>
      <c r="Q2453" s="2"/>
      <c r="R2453" s="156">
        <f t="shared" si="279"/>
        <v>0</v>
      </c>
      <c r="S2453" s="156">
        <f t="shared" si="280"/>
        <v>0</v>
      </c>
      <c r="T2453" s="133"/>
      <c r="U2453" s="133"/>
      <c r="V2453" s="133"/>
      <c r="W2453" s="133"/>
      <c r="X2453" s="133"/>
      <c r="Y2453" s="133"/>
      <c r="Z2453" s="133"/>
      <c r="AA2453" s="133"/>
      <c r="AB2453" s="133"/>
      <c r="AC2453" s="133"/>
      <c r="AD2453" s="133"/>
      <c r="AE2453" s="133"/>
      <c r="AF2453" s="133"/>
      <c r="AG2453" s="133"/>
      <c r="AH2453" s="133"/>
      <c r="AI2453" s="133"/>
      <c r="AJ2453" s="133"/>
      <c r="AK2453" s="133"/>
      <c r="AL2453" s="133"/>
      <c r="AM2453" s="133"/>
      <c r="AN2453" s="133"/>
      <c r="AO2453" s="133"/>
      <c r="AP2453" s="133"/>
      <c r="AQ2453" s="133"/>
      <c r="AR2453" s="133"/>
      <c r="AS2453" s="153">
        <v>0</v>
      </c>
      <c r="AT2453" s="153">
        <v>0</v>
      </c>
      <c r="AU2453" s="153">
        <v>0</v>
      </c>
      <c r="AV2453" s="135"/>
      <c r="AW2453" s="135"/>
      <c r="AX2453" s="135"/>
      <c r="AY2453" s="135"/>
      <c r="AZ2453" s="135"/>
      <c r="BA2453" s="135"/>
      <c r="BB2453" s="135"/>
      <c r="BC2453" s="135"/>
      <c r="BD2453" s="135"/>
      <c r="BE2453" s="135"/>
      <c r="BF2453" s="135"/>
      <c r="BG2453" s="135"/>
      <c r="BH2453" s="135"/>
      <c r="BI2453" s="2"/>
      <c r="BJ2453" s="136"/>
      <c r="BK2453" s="2"/>
      <c r="BL2453" s="136"/>
      <c r="BM2453" s="136"/>
      <c r="BN2453" s="2"/>
      <c r="BO2453" s="2"/>
      <c r="BP2453" s="136"/>
      <c r="BQ2453" s="137"/>
    </row>
    <row r="2454" spans="1:69" ht="12.75" customHeight="1" x14ac:dyDescent="0.2">
      <c r="A2454" s="2">
        <v>3943</v>
      </c>
      <c r="B2454" s="2"/>
      <c r="C2454" s="2"/>
      <c r="D2454" s="2"/>
      <c r="E2454" s="2"/>
      <c r="F2454" s="132">
        <v>0</v>
      </c>
      <c r="G2454" s="132"/>
      <c r="H2454" s="132">
        <f t="shared" si="276"/>
        <v>0</v>
      </c>
      <c r="I2454" s="132"/>
      <c r="J2454" s="132">
        <f t="shared" si="274"/>
        <v>0</v>
      </c>
      <c r="K2454" s="132">
        <f t="shared" si="277"/>
        <v>0</v>
      </c>
      <c r="L2454" s="132">
        <f t="shared" si="278"/>
        <v>0</v>
      </c>
      <c r="M2454" s="133"/>
      <c r="N2454" s="133">
        <f t="shared" si="275"/>
        <v>0</v>
      </c>
      <c r="O2454" s="134"/>
      <c r="P2454" s="133"/>
      <c r="Q2454" s="2"/>
      <c r="R2454" s="156">
        <f t="shared" si="279"/>
        <v>0</v>
      </c>
      <c r="S2454" s="156">
        <f t="shared" si="280"/>
        <v>0</v>
      </c>
      <c r="T2454" s="133"/>
      <c r="U2454" s="133"/>
      <c r="V2454" s="133"/>
      <c r="W2454" s="133"/>
      <c r="X2454" s="133"/>
      <c r="Y2454" s="133"/>
      <c r="Z2454" s="133"/>
      <c r="AA2454" s="133"/>
      <c r="AB2454" s="133"/>
      <c r="AC2454" s="133"/>
      <c r="AD2454" s="133"/>
      <c r="AE2454" s="133"/>
      <c r="AF2454" s="133"/>
      <c r="AG2454" s="133"/>
      <c r="AH2454" s="133"/>
      <c r="AI2454" s="133"/>
      <c r="AJ2454" s="133"/>
      <c r="AK2454" s="133"/>
      <c r="AL2454" s="133"/>
      <c r="AM2454" s="133"/>
      <c r="AN2454" s="133"/>
      <c r="AO2454" s="133"/>
      <c r="AP2454" s="133"/>
      <c r="AQ2454" s="133"/>
      <c r="AR2454" s="133"/>
      <c r="AS2454" s="153">
        <v>0</v>
      </c>
      <c r="AT2454" s="153">
        <v>0</v>
      </c>
      <c r="AU2454" s="153">
        <v>0</v>
      </c>
      <c r="AV2454" s="135"/>
      <c r="AW2454" s="135"/>
      <c r="AX2454" s="135"/>
      <c r="AY2454" s="135"/>
      <c r="AZ2454" s="135"/>
      <c r="BA2454" s="135"/>
      <c r="BB2454" s="135"/>
      <c r="BC2454" s="135"/>
      <c r="BD2454" s="135"/>
      <c r="BE2454" s="135"/>
      <c r="BF2454" s="135"/>
      <c r="BG2454" s="135"/>
      <c r="BH2454" s="135"/>
      <c r="BI2454" s="2"/>
      <c r="BJ2454" s="136"/>
      <c r="BK2454" s="2"/>
      <c r="BL2454" s="136"/>
      <c r="BM2454" s="136"/>
      <c r="BN2454" s="2"/>
      <c r="BO2454" s="2"/>
      <c r="BP2454" s="136"/>
      <c r="BQ2454" s="137"/>
    </row>
    <row r="2455" spans="1:69" ht="12.75" customHeight="1" x14ac:dyDescent="0.2">
      <c r="A2455" s="2">
        <v>3944</v>
      </c>
      <c r="B2455" s="2"/>
      <c r="C2455" s="2"/>
      <c r="D2455" s="2"/>
      <c r="E2455" s="2"/>
      <c r="F2455" s="132">
        <v>0</v>
      </c>
      <c r="G2455" s="132"/>
      <c r="H2455" s="132">
        <f t="shared" si="276"/>
        <v>0</v>
      </c>
      <c r="I2455" s="132"/>
      <c r="J2455" s="132">
        <f t="shared" si="274"/>
        <v>0</v>
      </c>
      <c r="K2455" s="132">
        <f t="shared" si="277"/>
        <v>0</v>
      </c>
      <c r="L2455" s="132">
        <f t="shared" si="278"/>
        <v>0</v>
      </c>
      <c r="M2455" s="133"/>
      <c r="N2455" s="133">
        <f t="shared" si="275"/>
        <v>0</v>
      </c>
      <c r="O2455" s="134"/>
      <c r="P2455" s="133"/>
      <c r="Q2455" s="2"/>
      <c r="R2455" s="156">
        <f t="shared" si="279"/>
        <v>0</v>
      </c>
      <c r="S2455" s="156">
        <f t="shared" si="280"/>
        <v>0</v>
      </c>
      <c r="T2455" s="133"/>
      <c r="U2455" s="133"/>
      <c r="V2455" s="133"/>
      <c r="W2455" s="133"/>
      <c r="X2455" s="133"/>
      <c r="Y2455" s="133"/>
      <c r="Z2455" s="133"/>
      <c r="AA2455" s="133"/>
      <c r="AB2455" s="133"/>
      <c r="AC2455" s="133"/>
      <c r="AD2455" s="133"/>
      <c r="AE2455" s="133"/>
      <c r="AF2455" s="133"/>
      <c r="AG2455" s="133"/>
      <c r="AH2455" s="133"/>
      <c r="AI2455" s="133"/>
      <c r="AJ2455" s="133"/>
      <c r="AK2455" s="133"/>
      <c r="AL2455" s="133"/>
      <c r="AM2455" s="133"/>
      <c r="AN2455" s="133"/>
      <c r="AO2455" s="133"/>
      <c r="AP2455" s="133"/>
      <c r="AQ2455" s="133"/>
      <c r="AR2455" s="133"/>
      <c r="AS2455" s="153">
        <v>0</v>
      </c>
      <c r="AT2455" s="153">
        <v>0</v>
      </c>
      <c r="AU2455" s="153">
        <v>0</v>
      </c>
      <c r="AV2455" s="135"/>
      <c r="AW2455" s="135"/>
      <c r="AX2455" s="135"/>
      <c r="AY2455" s="135"/>
      <c r="AZ2455" s="135"/>
      <c r="BA2455" s="135"/>
      <c r="BB2455" s="135"/>
      <c r="BC2455" s="135"/>
      <c r="BD2455" s="135"/>
      <c r="BE2455" s="135"/>
      <c r="BF2455" s="135"/>
      <c r="BG2455" s="135"/>
      <c r="BH2455" s="135"/>
      <c r="BI2455" s="2"/>
      <c r="BJ2455" s="136"/>
      <c r="BK2455" s="2"/>
      <c r="BL2455" s="136"/>
      <c r="BM2455" s="136"/>
      <c r="BN2455" s="2"/>
      <c r="BO2455" s="2"/>
      <c r="BP2455" s="136"/>
      <c r="BQ2455" s="137"/>
    </row>
    <row r="2456" spans="1:69" ht="12.75" customHeight="1" x14ac:dyDescent="0.2">
      <c r="A2456" s="2">
        <v>3945</v>
      </c>
      <c r="B2456" s="2"/>
      <c r="C2456" s="2"/>
      <c r="D2456" s="2"/>
      <c r="E2456" s="2"/>
      <c r="F2456" s="132">
        <v>0</v>
      </c>
      <c r="G2456" s="132"/>
      <c r="H2456" s="132">
        <f t="shared" si="276"/>
        <v>0</v>
      </c>
      <c r="I2456" s="132"/>
      <c r="J2456" s="132">
        <f t="shared" si="274"/>
        <v>0</v>
      </c>
      <c r="K2456" s="132">
        <f t="shared" si="277"/>
        <v>0</v>
      </c>
      <c r="L2456" s="132">
        <f t="shared" si="278"/>
        <v>0</v>
      </c>
      <c r="M2456" s="133"/>
      <c r="N2456" s="133">
        <f t="shared" si="275"/>
        <v>0</v>
      </c>
      <c r="O2456" s="134"/>
      <c r="P2456" s="133"/>
      <c r="Q2456" s="2"/>
      <c r="R2456" s="156">
        <f t="shared" si="279"/>
        <v>0</v>
      </c>
      <c r="S2456" s="156">
        <f t="shared" si="280"/>
        <v>0</v>
      </c>
      <c r="T2456" s="133"/>
      <c r="U2456" s="133"/>
      <c r="V2456" s="133"/>
      <c r="W2456" s="133"/>
      <c r="X2456" s="133"/>
      <c r="Y2456" s="133"/>
      <c r="Z2456" s="133"/>
      <c r="AA2456" s="133"/>
      <c r="AB2456" s="133"/>
      <c r="AC2456" s="133"/>
      <c r="AD2456" s="133"/>
      <c r="AE2456" s="133"/>
      <c r="AF2456" s="133"/>
      <c r="AG2456" s="133"/>
      <c r="AH2456" s="133"/>
      <c r="AI2456" s="133"/>
      <c r="AJ2456" s="133"/>
      <c r="AK2456" s="133"/>
      <c r="AL2456" s="133"/>
      <c r="AM2456" s="133"/>
      <c r="AN2456" s="133"/>
      <c r="AO2456" s="133"/>
      <c r="AP2456" s="133"/>
      <c r="AQ2456" s="133"/>
      <c r="AR2456" s="133"/>
      <c r="AS2456" s="153">
        <v>0</v>
      </c>
      <c r="AT2456" s="153">
        <v>0</v>
      </c>
      <c r="AU2456" s="153">
        <v>0</v>
      </c>
      <c r="AV2456" s="135"/>
      <c r="AW2456" s="135"/>
      <c r="AX2456" s="135"/>
      <c r="AY2456" s="135"/>
      <c r="AZ2456" s="135"/>
      <c r="BA2456" s="135"/>
      <c r="BB2456" s="135"/>
      <c r="BC2456" s="135"/>
      <c r="BD2456" s="135"/>
      <c r="BE2456" s="135"/>
      <c r="BF2456" s="135"/>
      <c r="BG2456" s="135"/>
      <c r="BH2456" s="135"/>
      <c r="BI2456" s="2"/>
      <c r="BJ2456" s="136"/>
      <c r="BK2456" s="2"/>
      <c r="BL2456" s="136"/>
      <c r="BM2456" s="136"/>
      <c r="BN2456" s="2"/>
      <c r="BO2456" s="2"/>
      <c r="BP2456" s="136"/>
      <c r="BQ2456" s="137"/>
    </row>
    <row r="2457" spans="1:69" ht="12.75" customHeight="1" x14ac:dyDescent="0.2">
      <c r="A2457" s="2">
        <v>3946</v>
      </c>
      <c r="B2457" s="2"/>
      <c r="C2457" s="2"/>
      <c r="D2457" s="2"/>
      <c r="E2457" s="2"/>
      <c r="F2457" s="132">
        <v>0</v>
      </c>
      <c r="G2457" s="132"/>
      <c r="H2457" s="132">
        <f t="shared" si="276"/>
        <v>0</v>
      </c>
      <c r="I2457" s="132"/>
      <c r="J2457" s="132">
        <f t="shared" si="274"/>
        <v>0</v>
      </c>
      <c r="K2457" s="132">
        <f t="shared" si="277"/>
        <v>0</v>
      </c>
      <c r="L2457" s="132">
        <f t="shared" si="278"/>
        <v>0</v>
      </c>
      <c r="M2457" s="133"/>
      <c r="N2457" s="133">
        <f t="shared" si="275"/>
        <v>0</v>
      </c>
      <c r="O2457" s="134"/>
      <c r="P2457" s="133"/>
      <c r="Q2457" s="2"/>
      <c r="R2457" s="156">
        <f t="shared" si="279"/>
        <v>0</v>
      </c>
      <c r="S2457" s="156">
        <f t="shared" si="280"/>
        <v>0</v>
      </c>
      <c r="T2457" s="133"/>
      <c r="U2457" s="133"/>
      <c r="V2457" s="133"/>
      <c r="W2457" s="133"/>
      <c r="X2457" s="133"/>
      <c r="Y2457" s="133"/>
      <c r="Z2457" s="133"/>
      <c r="AA2457" s="133"/>
      <c r="AB2457" s="133"/>
      <c r="AC2457" s="133"/>
      <c r="AD2457" s="133"/>
      <c r="AE2457" s="133"/>
      <c r="AF2457" s="133"/>
      <c r="AG2457" s="133"/>
      <c r="AH2457" s="133"/>
      <c r="AI2457" s="133"/>
      <c r="AJ2457" s="133"/>
      <c r="AK2457" s="133"/>
      <c r="AL2457" s="133"/>
      <c r="AM2457" s="133"/>
      <c r="AN2457" s="133"/>
      <c r="AO2457" s="133"/>
      <c r="AP2457" s="133"/>
      <c r="AQ2457" s="133"/>
      <c r="AR2457" s="133"/>
      <c r="AS2457" s="153">
        <v>0</v>
      </c>
      <c r="AT2457" s="153">
        <v>0</v>
      </c>
      <c r="AU2457" s="153">
        <v>0</v>
      </c>
      <c r="AV2457" s="135"/>
      <c r="AW2457" s="135"/>
      <c r="AX2457" s="135"/>
      <c r="AY2457" s="135"/>
      <c r="AZ2457" s="135"/>
      <c r="BA2457" s="135"/>
      <c r="BB2457" s="135"/>
      <c r="BC2457" s="135"/>
      <c r="BD2457" s="135"/>
      <c r="BE2457" s="135"/>
      <c r="BF2457" s="135"/>
      <c r="BG2457" s="135"/>
      <c r="BH2457" s="135"/>
      <c r="BI2457" s="2"/>
      <c r="BJ2457" s="136"/>
      <c r="BK2457" s="2"/>
      <c r="BL2457" s="136"/>
      <c r="BM2457" s="136"/>
      <c r="BN2457" s="2"/>
      <c r="BO2457" s="2"/>
      <c r="BP2457" s="136"/>
      <c r="BQ2457" s="137"/>
    </row>
    <row r="2458" spans="1:69" ht="12.75" customHeight="1" x14ac:dyDescent="0.2">
      <c r="A2458" s="2">
        <v>3947</v>
      </c>
      <c r="B2458" s="2"/>
      <c r="C2458" s="2"/>
      <c r="D2458" s="2"/>
      <c r="E2458" s="2"/>
      <c r="F2458" s="132">
        <v>0</v>
      </c>
      <c r="G2458" s="132"/>
      <c r="H2458" s="132">
        <f t="shared" si="276"/>
        <v>0</v>
      </c>
      <c r="I2458" s="132"/>
      <c r="J2458" s="132">
        <f t="shared" si="274"/>
        <v>0</v>
      </c>
      <c r="K2458" s="132">
        <f t="shared" si="277"/>
        <v>0</v>
      </c>
      <c r="L2458" s="132">
        <f t="shared" si="278"/>
        <v>0</v>
      </c>
      <c r="M2458" s="133"/>
      <c r="N2458" s="133">
        <f t="shared" si="275"/>
        <v>0</v>
      </c>
      <c r="O2458" s="134"/>
      <c r="P2458" s="133"/>
      <c r="Q2458" s="2"/>
      <c r="R2458" s="156">
        <f t="shared" si="279"/>
        <v>0</v>
      </c>
      <c r="S2458" s="156">
        <f t="shared" si="280"/>
        <v>0</v>
      </c>
      <c r="T2458" s="133"/>
      <c r="U2458" s="133"/>
      <c r="V2458" s="133"/>
      <c r="W2458" s="133"/>
      <c r="X2458" s="133"/>
      <c r="Y2458" s="133"/>
      <c r="Z2458" s="133"/>
      <c r="AA2458" s="133"/>
      <c r="AB2458" s="133"/>
      <c r="AC2458" s="133"/>
      <c r="AD2458" s="133"/>
      <c r="AE2458" s="133"/>
      <c r="AF2458" s="133"/>
      <c r="AG2458" s="133"/>
      <c r="AH2458" s="133"/>
      <c r="AI2458" s="133"/>
      <c r="AJ2458" s="133"/>
      <c r="AK2458" s="133"/>
      <c r="AL2458" s="133"/>
      <c r="AM2458" s="133"/>
      <c r="AN2458" s="133"/>
      <c r="AO2458" s="133"/>
      <c r="AP2458" s="133"/>
      <c r="AQ2458" s="133"/>
      <c r="AR2458" s="133"/>
      <c r="AS2458" s="153">
        <v>0</v>
      </c>
      <c r="AT2458" s="153">
        <v>0</v>
      </c>
      <c r="AU2458" s="153">
        <v>0</v>
      </c>
      <c r="AV2458" s="135"/>
      <c r="AW2458" s="135"/>
      <c r="AX2458" s="135"/>
      <c r="AY2458" s="135"/>
      <c r="AZ2458" s="135"/>
      <c r="BA2458" s="135"/>
      <c r="BB2458" s="135"/>
      <c r="BC2458" s="135"/>
      <c r="BD2458" s="135"/>
      <c r="BE2458" s="135"/>
      <c r="BF2458" s="135"/>
      <c r="BG2458" s="135"/>
      <c r="BH2458" s="135"/>
      <c r="BI2458" s="2"/>
      <c r="BJ2458" s="136"/>
      <c r="BK2458" s="2"/>
      <c r="BL2458" s="136"/>
      <c r="BM2458" s="136"/>
      <c r="BN2458" s="2"/>
      <c r="BO2458" s="2"/>
      <c r="BP2458" s="136"/>
      <c r="BQ2458" s="137"/>
    </row>
    <row r="2459" spans="1:69" ht="12.75" customHeight="1" x14ac:dyDescent="0.2">
      <c r="A2459" s="2">
        <v>3948</v>
      </c>
      <c r="B2459" s="2"/>
      <c r="C2459" s="2"/>
      <c r="D2459" s="2"/>
      <c r="E2459" s="2"/>
      <c r="F2459" s="132">
        <v>0</v>
      </c>
      <c r="G2459" s="132"/>
      <c r="H2459" s="132">
        <f t="shared" si="276"/>
        <v>0</v>
      </c>
      <c r="I2459" s="132"/>
      <c r="J2459" s="132">
        <f t="shared" si="274"/>
        <v>0</v>
      </c>
      <c r="K2459" s="132">
        <f t="shared" si="277"/>
        <v>0</v>
      </c>
      <c r="L2459" s="132">
        <f t="shared" si="278"/>
        <v>0</v>
      </c>
      <c r="M2459" s="133"/>
      <c r="N2459" s="133">
        <f t="shared" si="275"/>
        <v>0</v>
      </c>
      <c r="O2459" s="134"/>
      <c r="P2459" s="133"/>
      <c r="Q2459" s="2"/>
      <c r="R2459" s="156">
        <f t="shared" si="279"/>
        <v>0</v>
      </c>
      <c r="S2459" s="156">
        <f t="shared" si="280"/>
        <v>0</v>
      </c>
      <c r="T2459" s="133"/>
      <c r="U2459" s="133"/>
      <c r="V2459" s="133"/>
      <c r="W2459" s="133"/>
      <c r="X2459" s="133"/>
      <c r="Y2459" s="133"/>
      <c r="Z2459" s="133"/>
      <c r="AA2459" s="133"/>
      <c r="AB2459" s="133"/>
      <c r="AC2459" s="133"/>
      <c r="AD2459" s="133"/>
      <c r="AE2459" s="133"/>
      <c r="AF2459" s="133"/>
      <c r="AG2459" s="133"/>
      <c r="AH2459" s="133"/>
      <c r="AI2459" s="133"/>
      <c r="AJ2459" s="133"/>
      <c r="AK2459" s="133"/>
      <c r="AL2459" s="133"/>
      <c r="AM2459" s="133"/>
      <c r="AN2459" s="133"/>
      <c r="AO2459" s="133"/>
      <c r="AP2459" s="133"/>
      <c r="AQ2459" s="133"/>
      <c r="AR2459" s="133"/>
      <c r="AS2459" s="153">
        <v>0</v>
      </c>
      <c r="AT2459" s="153">
        <v>0</v>
      </c>
      <c r="AU2459" s="153">
        <v>0</v>
      </c>
      <c r="AV2459" s="135"/>
      <c r="AW2459" s="135"/>
      <c r="AX2459" s="135"/>
      <c r="AY2459" s="135"/>
      <c r="AZ2459" s="135"/>
      <c r="BA2459" s="135"/>
      <c r="BB2459" s="135"/>
      <c r="BC2459" s="135"/>
      <c r="BD2459" s="135"/>
      <c r="BE2459" s="135"/>
      <c r="BF2459" s="135"/>
      <c r="BG2459" s="135"/>
      <c r="BH2459" s="135"/>
      <c r="BI2459" s="2"/>
      <c r="BJ2459" s="136"/>
      <c r="BK2459" s="2"/>
      <c r="BL2459" s="136"/>
      <c r="BM2459" s="136"/>
      <c r="BN2459" s="2"/>
      <c r="BO2459" s="2"/>
      <c r="BP2459" s="136"/>
      <c r="BQ2459" s="137"/>
    </row>
    <row r="2460" spans="1:69" ht="12.75" customHeight="1" x14ac:dyDescent="0.2">
      <c r="A2460" s="2">
        <v>3949</v>
      </c>
      <c r="B2460" s="2"/>
      <c r="C2460" s="2"/>
      <c r="D2460" s="2"/>
      <c r="E2460" s="2"/>
      <c r="F2460" s="132">
        <v>0</v>
      </c>
      <c r="G2460" s="132"/>
      <c r="H2460" s="132">
        <f t="shared" si="276"/>
        <v>0</v>
      </c>
      <c r="I2460" s="132"/>
      <c r="J2460" s="132">
        <f t="shared" si="274"/>
        <v>0</v>
      </c>
      <c r="K2460" s="132">
        <f t="shared" si="277"/>
        <v>0</v>
      </c>
      <c r="L2460" s="132">
        <f t="shared" si="278"/>
        <v>0</v>
      </c>
      <c r="M2460" s="133"/>
      <c r="N2460" s="133">
        <f t="shared" si="275"/>
        <v>0</v>
      </c>
      <c r="O2460" s="134"/>
      <c r="P2460" s="133"/>
      <c r="Q2460" s="2"/>
      <c r="R2460" s="156">
        <f t="shared" si="279"/>
        <v>0</v>
      </c>
      <c r="S2460" s="156">
        <f t="shared" si="280"/>
        <v>0</v>
      </c>
      <c r="T2460" s="133"/>
      <c r="U2460" s="133"/>
      <c r="V2460" s="133"/>
      <c r="W2460" s="133"/>
      <c r="X2460" s="133"/>
      <c r="Y2460" s="133"/>
      <c r="Z2460" s="133"/>
      <c r="AA2460" s="133"/>
      <c r="AB2460" s="133"/>
      <c r="AC2460" s="133"/>
      <c r="AD2460" s="133"/>
      <c r="AE2460" s="133"/>
      <c r="AF2460" s="133"/>
      <c r="AG2460" s="133"/>
      <c r="AH2460" s="133"/>
      <c r="AI2460" s="133"/>
      <c r="AJ2460" s="133"/>
      <c r="AK2460" s="133"/>
      <c r="AL2460" s="133"/>
      <c r="AM2460" s="133"/>
      <c r="AN2460" s="133"/>
      <c r="AO2460" s="133"/>
      <c r="AP2460" s="133"/>
      <c r="AQ2460" s="133"/>
      <c r="AR2460" s="133"/>
      <c r="AS2460" s="153">
        <v>0</v>
      </c>
      <c r="AT2460" s="153">
        <v>0</v>
      </c>
      <c r="AU2460" s="153">
        <v>0</v>
      </c>
      <c r="AV2460" s="135"/>
      <c r="AW2460" s="135"/>
      <c r="AX2460" s="135"/>
      <c r="AY2460" s="135"/>
      <c r="AZ2460" s="135"/>
      <c r="BA2460" s="135"/>
      <c r="BB2460" s="135"/>
      <c r="BC2460" s="135"/>
      <c r="BD2460" s="135"/>
      <c r="BE2460" s="135"/>
      <c r="BF2460" s="135"/>
      <c r="BG2460" s="135"/>
      <c r="BH2460" s="135"/>
      <c r="BI2460" s="2"/>
      <c r="BJ2460" s="136"/>
      <c r="BK2460" s="2"/>
      <c r="BL2460" s="136"/>
      <c r="BM2460" s="136"/>
      <c r="BN2460" s="2"/>
      <c r="BO2460" s="2"/>
      <c r="BP2460" s="136"/>
      <c r="BQ2460" s="137"/>
    </row>
    <row r="2461" spans="1:69" ht="12.75" customHeight="1" x14ac:dyDescent="0.2">
      <c r="A2461" s="2">
        <v>3950</v>
      </c>
      <c r="B2461" s="2"/>
      <c r="C2461" s="2"/>
      <c r="D2461" s="2"/>
      <c r="E2461" s="2"/>
      <c r="F2461" s="132">
        <v>0</v>
      </c>
      <c r="G2461" s="132"/>
      <c r="H2461" s="132">
        <f t="shared" si="276"/>
        <v>0</v>
      </c>
      <c r="I2461" s="132"/>
      <c r="J2461" s="132">
        <f t="shared" si="274"/>
        <v>0</v>
      </c>
      <c r="K2461" s="132">
        <f t="shared" si="277"/>
        <v>0</v>
      </c>
      <c r="L2461" s="132">
        <f t="shared" si="278"/>
        <v>0</v>
      </c>
      <c r="M2461" s="133"/>
      <c r="N2461" s="133">
        <f t="shared" si="275"/>
        <v>0</v>
      </c>
      <c r="O2461" s="134"/>
      <c r="P2461" s="133"/>
      <c r="Q2461" s="2"/>
      <c r="R2461" s="156">
        <f t="shared" si="279"/>
        <v>0</v>
      </c>
      <c r="S2461" s="156">
        <f t="shared" si="280"/>
        <v>0</v>
      </c>
      <c r="T2461" s="133"/>
      <c r="U2461" s="133"/>
      <c r="V2461" s="133"/>
      <c r="W2461" s="133"/>
      <c r="X2461" s="133"/>
      <c r="Y2461" s="133"/>
      <c r="Z2461" s="133"/>
      <c r="AA2461" s="133"/>
      <c r="AB2461" s="133"/>
      <c r="AC2461" s="133"/>
      <c r="AD2461" s="133"/>
      <c r="AE2461" s="133"/>
      <c r="AF2461" s="133"/>
      <c r="AG2461" s="133"/>
      <c r="AH2461" s="133"/>
      <c r="AI2461" s="133"/>
      <c r="AJ2461" s="133"/>
      <c r="AK2461" s="133"/>
      <c r="AL2461" s="133"/>
      <c r="AM2461" s="133"/>
      <c r="AN2461" s="133"/>
      <c r="AO2461" s="133"/>
      <c r="AP2461" s="133"/>
      <c r="AQ2461" s="133"/>
      <c r="AR2461" s="133"/>
      <c r="AS2461" s="153">
        <v>0</v>
      </c>
      <c r="AT2461" s="153">
        <v>0</v>
      </c>
      <c r="AU2461" s="153">
        <v>0</v>
      </c>
      <c r="AV2461" s="135"/>
      <c r="AW2461" s="135"/>
      <c r="AX2461" s="135"/>
      <c r="AY2461" s="135"/>
      <c r="AZ2461" s="135"/>
      <c r="BA2461" s="135"/>
      <c r="BB2461" s="135"/>
      <c r="BC2461" s="135"/>
      <c r="BD2461" s="135"/>
      <c r="BE2461" s="135"/>
      <c r="BF2461" s="135"/>
      <c r="BG2461" s="135"/>
      <c r="BH2461" s="135"/>
      <c r="BI2461" s="2"/>
      <c r="BJ2461" s="136"/>
      <c r="BK2461" s="2"/>
      <c r="BL2461" s="136"/>
      <c r="BM2461" s="136"/>
      <c r="BN2461" s="2"/>
      <c r="BO2461" s="2"/>
      <c r="BP2461" s="136"/>
      <c r="BQ2461" s="137"/>
    </row>
    <row r="2462" spans="1:69" ht="12.75" customHeight="1" x14ac:dyDescent="0.2">
      <c r="A2462" s="2">
        <v>3951</v>
      </c>
      <c r="B2462" s="2"/>
      <c r="C2462" s="2"/>
      <c r="D2462" s="2"/>
      <c r="E2462" s="2"/>
      <c r="F2462" s="132">
        <v>0</v>
      </c>
      <c r="G2462" s="132"/>
      <c r="H2462" s="132">
        <f t="shared" si="276"/>
        <v>0</v>
      </c>
      <c r="I2462" s="132"/>
      <c r="J2462" s="132">
        <f t="shared" si="274"/>
        <v>0</v>
      </c>
      <c r="K2462" s="132">
        <f t="shared" si="277"/>
        <v>0</v>
      </c>
      <c r="L2462" s="132">
        <f t="shared" si="278"/>
        <v>0</v>
      </c>
      <c r="M2462" s="133"/>
      <c r="N2462" s="133">
        <f t="shared" si="275"/>
        <v>0</v>
      </c>
      <c r="O2462" s="134"/>
      <c r="P2462" s="133"/>
      <c r="Q2462" s="2"/>
      <c r="R2462" s="156">
        <f t="shared" si="279"/>
        <v>0</v>
      </c>
      <c r="S2462" s="156">
        <f t="shared" si="280"/>
        <v>0</v>
      </c>
      <c r="T2462" s="133"/>
      <c r="U2462" s="133"/>
      <c r="V2462" s="133"/>
      <c r="W2462" s="133"/>
      <c r="X2462" s="133"/>
      <c r="Y2462" s="133"/>
      <c r="Z2462" s="133"/>
      <c r="AA2462" s="133"/>
      <c r="AB2462" s="133"/>
      <c r="AC2462" s="133"/>
      <c r="AD2462" s="133"/>
      <c r="AE2462" s="133"/>
      <c r="AF2462" s="133"/>
      <c r="AG2462" s="133"/>
      <c r="AH2462" s="133"/>
      <c r="AI2462" s="133"/>
      <c r="AJ2462" s="133"/>
      <c r="AK2462" s="133"/>
      <c r="AL2462" s="133"/>
      <c r="AM2462" s="133"/>
      <c r="AN2462" s="133"/>
      <c r="AO2462" s="133"/>
      <c r="AP2462" s="133"/>
      <c r="AQ2462" s="133"/>
      <c r="AR2462" s="133"/>
      <c r="AS2462" s="153">
        <v>0</v>
      </c>
      <c r="AT2462" s="153">
        <v>0</v>
      </c>
      <c r="AU2462" s="153">
        <v>0</v>
      </c>
      <c r="AV2462" s="135"/>
      <c r="AW2462" s="135"/>
      <c r="AX2462" s="135"/>
      <c r="AY2462" s="135"/>
      <c r="AZ2462" s="135"/>
      <c r="BA2462" s="135"/>
      <c r="BB2462" s="135"/>
      <c r="BC2462" s="135"/>
      <c r="BD2462" s="135"/>
      <c r="BE2462" s="135"/>
      <c r="BF2462" s="135"/>
      <c r="BG2462" s="135"/>
      <c r="BH2462" s="135"/>
      <c r="BI2462" s="2"/>
      <c r="BJ2462" s="136"/>
      <c r="BK2462" s="2"/>
      <c r="BL2462" s="136"/>
      <c r="BM2462" s="136"/>
      <c r="BN2462" s="2"/>
      <c r="BO2462" s="2"/>
      <c r="BP2462" s="136"/>
      <c r="BQ2462" s="137"/>
    </row>
    <row r="2463" spans="1:69" ht="12.75" customHeight="1" x14ac:dyDescent="0.2">
      <c r="A2463" s="2">
        <v>3952</v>
      </c>
      <c r="B2463" s="2"/>
      <c r="C2463" s="2"/>
      <c r="D2463" s="2"/>
      <c r="E2463" s="2"/>
      <c r="F2463" s="132">
        <v>0</v>
      </c>
      <c r="G2463" s="132"/>
      <c r="H2463" s="132">
        <f t="shared" si="276"/>
        <v>0</v>
      </c>
      <c r="I2463" s="132"/>
      <c r="J2463" s="132">
        <f t="shared" si="274"/>
        <v>0</v>
      </c>
      <c r="K2463" s="132">
        <f t="shared" si="277"/>
        <v>0</v>
      </c>
      <c r="L2463" s="132">
        <f t="shared" si="278"/>
        <v>0</v>
      </c>
      <c r="M2463" s="133"/>
      <c r="N2463" s="133">
        <f t="shared" si="275"/>
        <v>0</v>
      </c>
      <c r="O2463" s="134"/>
      <c r="P2463" s="133"/>
      <c r="Q2463" s="2"/>
      <c r="R2463" s="156">
        <f t="shared" si="279"/>
        <v>0</v>
      </c>
      <c r="S2463" s="156">
        <f t="shared" si="280"/>
        <v>0</v>
      </c>
      <c r="T2463" s="133"/>
      <c r="U2463" s="133"/>
      <c r="V2463" s="133"/>
      <c r="W2463" s="133"/>
      <c r="X2463" s="133"/>
      <c r="Y2463" s="133"/>
      <c r="Z2463" s="133"/>
      <c r="AA2463" s="133"/>
      <c r="AB2463" s="133"/>
      <c r="AC2463" s="133"/>
      <c r="AD2463" s="133"/>
      <c r="AE2463" s="133"/>
      <c r="AF2463" s="133"/>
      <c r="AG2463" s="133"/>
      <c r="AH2463" s="133"/>
      <c r="AI2463" s="133"/>
      <c r="AJ2463" s="133"/>
      <c r="AK2463" s="133"/>
      <c r="AL2463" s="133"/>
      <c r="AM2463" s="133"/>
      <c r="AN2463" s="133"/>
      <c r="AO2463" s="133"/>
      <c r="AP2463" s="133"/>
      <c r="AQ2463" s="133"/>
      <c r="AR2463" s="133"/>
      <c r="AS2463" s="153">
        <v>0</v>
      </c>
      <c r="AT2463" s="153">
        <v>0</v>
      </c>
      <c r="AU2463" s="153">
        <v>0</v>
      </c>
      <c r="AV2463" s="135"/>
      <c r="AW2463" s="135"/>
      <c r="AX2463" s="135"/>
      <c r="AY2463" s="135"/>
      <c r="AZ2463" s="135"/>
      <c r="BA2463" s="135"/>
      <c r="BB2463" s="135"/>
      <c r="BC2463" s="135"/>
      <c r="BD2463" s="135"/>
      <c r="BE2463" s="135"/>
      <c r="BF2463" s="135"/>
      <c r="BG2463" s="135"/>
      <c r="BH2463" s="135"/>
      <c r="BI2463" s="2"/>
      <c r="BJ2463" s="136"/>
      <c r="BK2463" s="2"/>
      <c r="BL2463" s="136"/>
      <c r="BM2463" s="136"/>
      <c r="BN2463" s="2"/>
      <c r="BO2463" s="2"/>
      <c r="BP2463" s="136"/>
      <c r="BQ2463" s="137"/>
    </row>
    <row r="2464" spans="1:69" ht="12.75" customHeight="1" x14ac:dyDescent="0.2">
      <c r="A2464" s="2">
        <v>3953</v>
      </c>
      <c r="B2464" s="2"/>
      <c r="C2464" s="2"/>
      <c r="D2464" s="2"/>
      <c r="E2464" s="2"/>
      <c r="F2464" s="132">
        <v>0</v>
      </c>
      <c r="G2464" s="132"/>
      <c r="H2464" s="132">
        <f t="shared" si="276"/>
        <v>0</v>
      </c>
      <c r="I2464" s="132"/>
      <c r="J2464" s="132">
        <f t="shared" si="274"/>
        <v>0</v>
      </c>
      <c r="K2464" s="132">
        <f t="shared" si="277"/>
        <v>0</v>
      </c>
      <c r="L2464" s="132">
        <f t="shared" si="278"/>
        <v>0</v>
      </c>
      <c r="M2464" s="133"/>
      <c r="N2464" s="133">
        <f t="shared" si="275"/>
        <v>0</v>
      </c>
      <c r="O2464" s="134"/>
      <c r="P2464" s="133"/>
      <c r="Q2464" s="2"/>
      <c r="R2464" s="156">
        <f t="shared" si="279"/>
        <v>0</v>
      </c>
      <c r="S2464" s="156">
        <f t="shared" si="280"/>
        <v>0</v>
      </c>
      <c r="T2464" s="133"/>
      <c r="U2464" s="133"/>
      <c r="V2464" s="133"/>
      <c r="W2464" s="133"/>
      <c r="X2464" s="133"/>
      <c r="Y2464" s="133"/>
      <c r="Z2464" s="133"/>
      <c r="AA2464" s="133"/>
      <c r="AB2464" s="133"/>
      <c r="AC2464" s="133"/>
      <c r="AD2464" s="133"/>
      <c r="AE2464" s="133"/>
      <c r="AF2464" s="133"/>
      <c r="AG2464" s="133"/>
      <c r="AH2464" s="133"/>
      <c r="AI2464" s="133"/>
      <c r="AJ2464" s="133"/>
      <c r="AK2464" s="133"/>
      <c r="AL2464" s="133"/>
      <c r="AM2464" s="133"/>
      <c r="AN2464" s="133"/>
      <c r="AO2464" s="133"/>
      <c r="AP2464" s="133"/>
      <c r="AQ2464" s="133"/>
      <c r="AR2464" s="133"/>
      <c r="AS2464" s="153">
        <v>0</v>
      </c>
      <c r="AT2464" s="153">
        <v>0</v>
      </c>
      <c r="AU2464" s="153">
        <v>0</v>
      </c>
      <c r="AV2464" s="135"/>
      <c r="AW2464" s="135"/>
      <c r="AX2464" s="135"/>
      <c r="AY2464" s="135"/>
      <c r="AZ2464" s="135"/>
      <c r="BA2464" s="135"/>
      <c r="BB2464" s="135"/>
      <c r="BC2464" s="135"/>
      <c r="BD2464" s="135"/>
      <c r="BE2464" s="135"/>
      <c r="BF2464" s="135"/>
      <c r="BG2464" s="135"/>
      <c r="BH2464" s="135"/>
      <c r="BI2464" s="2"/>
      <c r="BJ2464" s="136"/>
      <c r="BK2464" s="2"/>
      <c r="BL2464" s="136"/>
      <c r="BM2464" s="136"/>
      <c r="BN2464" s="2"/>
      <c r="BO2464" s="2"/>
      <c r="BP2464" s="136"/>
      <c r="BQ2464" s="137"/>
    </row>
    <row r="2465" spans="1:69" ht="12.75" customHeight="1" x14ac:dyDescent="0.2">
      <c r="A2465" s="2">
        <v>3954</v>
      </c>
      <c r="B2465" s="2"/>
      <c r="C2465" s="2"/>
      <c r="D2465" s="2"/>
      <c r="E2465" s="2"/>
      <c r="F2465" s="132">
        <v>0</v>
      </c>
      <c r="G2465" s="132"/>
      <c r="H2465" s="132">
        <f t="shared" si="276"/>
        <v>0</v>
      </c>
      <c r="I2465" s="132"/>
      <c r="J2465" s="132">
        <f t="shared" si="274"/>
        <v>0</v>
      </c>
      <c r="K2465" s="132">
        <f t="shared" si="277"/>
        <v>0</v>
      </c>
      <c r="L2465" s="132">
        <f t="shared" si="278"/>
        <v>0</v>
      </c>
      <c r="M2465" s="133"/>
      <c r="N2465" s="133">
        <f t="shared" si="275"/>
        <v>0</v>
      </c>
      <c r="O2465" s="134"/>
      <c r="P2465" s="133"/>
      <c r="Q2465" s="2"/>
      <c r="R2465" s="156">
        <f t="shared" si="279"/>
        <v>0</v>
      </c>
      <c r="S2465" s="156">
        <f t="shared" si="280"/>
        <v>0</v>
      </c>
      <c r="T2465" s="133"/>
      <c r="U2465" s="133"/>
      <c r="V2465" s="133"/>
      <c r="W2465" s="133"/>
      <c r="X2465" s="133"/>
      <c r="Y2465" s="133"/>
      <c r="Z2465" s="133"/>
      <c r="AA2465" s="133"/>
      <c r="AB2465" s="133"/>
      <c r="AC2465" s="133"/>
      <c r="AD2465" s="133"/>
      <c r="AE2465" s="133"/>
      <c r="AF2465" s="133"/>
      <c r="AG2465" s="133"/>
      <c r="AH2465" s="133"/>
      <c r="AI2465" s="133"/>
      <c r="AJ2465" s="133"/>
      <c r="AK2465" s="133"/>
      <c r="AL2465" s="133"/>
      <c r="AM2465" s="133"/>
      <c r="AN2465" s="133"/>
      <c r="AO2465" s="133"/>
      <c r="AP2465" s="133"/>
      <c r="AQ2465" s="133"/>
      <c r="AR2465" s="133"/>
      <c r="AS2465" s="153">
        <v>0</v>
      </c>
      <c r="AT2465" s="153">
        <v>0</v>
      </c>
      <c r="AU2465" s="153">
        <v>0</v>
      </c>
      <c r="AV2465" s="135"/>
      <c r="AW2465" s="135"/>
      <c r="AX2465" s="135"/>
      <c r="AY2465" s="135"/>
      <c r="AZ2465" s="135"/>
      <c r="BA2465" s="135"/>
      <c r="BB2465" s="135"/>
      <c r="BC2465" s="135"/>
      <c r="BD2465" s="135"/>
      <c r="BE2465" s="135"/>
      <c r="BF2465" s="135"/>
      <c r="BG2465" s="135"/>
      <c r="BH2465" s="135"/>
      <c r="BI2465" s="2"/>
      <c r="BJ2465" s="136"/>
      <c r="BK2465" s="2"/>
      <c r="BL2465" s="136"/>
      <c r="BM2465" s="136"/>
      <c r="BN2465" s="2"/>
      <c r="BO2465" s="2"/>
      <c r="BP2465" s="136"/>
      <c r="BQ2465" s="137"/>
    </row>
    <row r="2466" spans="1:69" ht="12.75" customHeight="1" x14ac:dyDescent="0.2">
      <c r="A2466" s="2">
        <v>3955</v>
      </c>
      <c r="B2466" s="2"/>
      <c r="C2466" s="2"/>
      <c r="D2466" s="2"/>
      <c r="E2466" s="2"/>
      <c r="F2466" s="132">
        <v>0</v>
      </c>
      <c r="G2466" s="132"/>
      <c r="H2466" s="132">
        <f t="shared" si="276"/>
        <v>0</v>
      </c>
      <c r="I2466" s="132"/>
      <c r="J2466" s="132">
        <f t="shared" si="274"/>
        <v>0</v>
      </c>
      <c r="K2466" s="132">
        <f t="shared" si="277"/>
        <v>0</v>
      </c>
      <c r="L2466" s="132">
        <f t="shared" si="278"/>
        <v>0</v>
      </c>
      <c r="M2466" s="133"/>
      <c r="N2466" s="133">
        <f t="shared" si="275"/>
        <v>0</v>
      </c>
      <c r="O2466" s="134"/>
      <c r="P2466" s="133"/>
      <c r="Q2466" s="2"/>
      <c r="R2466" s="156">
        <f t="shared" si="279"/>
        <v>0</v>
      </c>
      <c r="S2466" s="156">
        <f t="shared" si="280"/>
        <v>0</v>
      </c>
      <c r="T2466" s="133"/>
      <c r="U2466" s="133"/>
      <c r="V2466" s="133"/>
      <c r="W2466" s="133"/>
      <c r="X2466" s="133"/>
      <c r="Y2466" s="133"/>
      <c r="Z2466" s="133"/>
      <c r="AA2466" s="133"/>
      <c r="AB2466" s="133"/>
      <c r="AC2466" s="133"/>
      <c r="AD2466" s="133"/>
      <c r="AE2466" s="133"/>
      <c r="AF2466" s="133"/>
      <c r="AG2466" s="133"/>
      <c r="AH2466" s="133"/>
      <c r="AI2466" s="133"/>
      <c r="AJ2466" s="133"/>
      <c r="AK2466" s="133"/>
      <c r="AL2466" s="133"/>
      <c r="AM2466" s="133"/>
      <c r="AN2466" s="133"/>
      <c r="AO2466" s="133"/>
      <c r="AP2466" s="133"/>
      <c r="AQ2466" s="133"/>
      <c r="AR2466" s="133"/>
      <c r="AS2466" s="153">
        <v>0</v>
      </c>
      <c r="AT2466" s="153">
        <v>0</v>
      </c>
      <c r="AU2466" s="153">
        <v>0</v>
      </c>
      <c r="AV2466" s="135"/>
      <c r="AW2466" s="135"/>
      <c r="AX2466" s="135"/>
      <c r="AY2466" s="135"/>
      <c r="AZ2466" s="135"/>
      <c r="BA2466" s="135"/>
      <c r="BB2466" s="135"/>
      <c r="BC2466" s="135"/>
      <c r="BD2466" s="135"/>
      <c r="BE2466" s="135"/>
      <c r="BF2466" s="135"/>
      <c r="BG2466" s="135"/>
      <c r="BH2466" s="135"/>
      <c r="BI2466" s="2"/>
      <c r="BJ2466" s="136"/>
      <c r="BK2466" s="2"/>
      <c r="BL2466" s="136"/>
      <c r="BM2466" s="136"/>
      <c r="BN2466" s="2"/>
      <c r="BO2466" s="2"/>
      <c r="BP2466" s="136"/>
      <c r="BQ2466" s="137"/>
    </row>
    <row r="2467" spans="1:69" ht="12.75" customHeight="1" x14ac:dyDescent="0.2">
      <c r="A2467" s="2">
        <v>3956</v>
      </c>
      <c r="B2467" s="2"/>
      <c r="C2467" s="2"/>
      <c r="D2467" s="2"/>
      <c r="E2467" s="2"/>
      <c r="F2467" s="132">
        <v>0</v>
      </c>
      <c r="G2467" s="132"/>
      <c r="H2467" s="132">
        <f t="shared" si="276"/>
        <v>0</v>
      </c>
      <c r="I2467" s="132"/>
      <c r="J2467" s="132">
        <f t="shared" si="274"/>
        <v>0</v>
      </c>
      <c r="K2467" s="132">
        <f t="shared" si="277"/>
        <v>0</v>
      </c>
      <c r="L2467" s="132">
        <f t="shared" si="278"/>
        <v>0</v>
      </c>
      <c r="M2467" s="133"/>
      <c r="N2467" s="133">
        <f t="shared" si="275"/>
        <v>0</v>
      </c>
      <c r="O2467" s="134"/>
      <c r="P2467" s="133"/>
      <c r="Q2467" s="2"/>
      <c r="R2467" s="156">
        <f t="shared" si="279"/>
        <v>0</v>
      </c>
      <c r="S2467" s="156">
        <f t="shared" si="280"/>
        <v>0</v>
      </c>
      <c r="T2467" s="133"/>
      <c r="U2467" s="133"/>
      <c r="V2467" s="133"/>
      <c r="W2467" s="133"/>
      <c r="X2467" s="133"/>
      <c r="Y2467" s="133"/>
      <c r="Z2467" s="133"/>
      <c r="AA2467" s="133"/>
      <c r="AB2467" s="133"/>
      <c r="AC2467" s="133"/>
      <c r="AD2467" s="133"/>
      <c r="AE2467" s="133"/>
      <c r="AF2467" s="133"/>
      <c r="AG2467" s="133"/>
      <c r="AH2467" s="133"/>
      <c r="AI2467" s="133"/>
      <c r="AJ2467" s="133"/>
      <c r="AK2467" s="133"/>
      <c r="AL2467" s="133"/>
      <c r="AM2467" s="133"/>
      <c r="AN2467" s="133"/>
      <c r="AO2467" s="133"/>
      <c r="AP2467" s="133"/>
      <c r="AQ2467" s="133"/>
      <c r="AR2467" s="133"/>
      <c r="AS2467" s="153">
        <v>0</v>
      </c>
      <c r="AT2467" s="153">
        <v>0</v>
      </c>
      <c r="AU2467" s="153">
        <v>0</v>
      </c>
      <c r="AV2467" s="135"/>
      <c r="AW2467" s="135"/>
      <c r="AX2467" s="135"/>
      <c r="AY2467" s="135"/>
      <c r="AZ2467" s="135"/>
      <c r="BA2467" s="135"/>
      <c r="BB2467" s="135"/>
      <c r="BC2467" s="135"/>
      <c r="BD2467" s="135"/>
      <c r="BE2467" s="135"/>
      <c r="BF2467" s="135"/>
      <c r="BG2467" s="135"/>
      <c r="BH2467" s="135"/>
      <c r="BI2467" s="2"/>
      <c r="BJ2467" s="136"/>
      <c r="BK2467" s="2"/>
      <c r="BL2467" s="136"/>
      <c r="BM2467" s="136"/>
      <c r="BN2467" s="2"/>
      <c r="BO2467" s="2"/>
      <c r="BP2467" s="136"/>
      <c r="BQ2467" s="137"/>
    </row>
    <row r="2468" spans="1:69" ht="12.75" customHeight="1" x14ac:dyDescent="0.2">
      <c r="A2468" s="2">
        <v>3957</v>
      </c>
      <c r="B2468" s="2"/>
      <c r="C2468" s="2"/>
      <c r="D2468" s="2"/>
      <c r="E2468" s="2"/>
      <c r="F2468" s="132">
        <v>0</v>
      </c>
      <c r="G2468" s="132"/>
      <c r="H2468" s="132">
        <f t="shared" si="276"/>
        <v>0</v>
      </c>
      <c r="I2468" s="132"/>
      <c r="J2468" s="132">
        <f t="shared" ref="J2468:J2531" si="281">S2468</f>
        <v>0</v>
      </c>
      <c r="K2468" s="132">
        <f t="shared" si="277"/>
        <v>0</v>
      </c>
      <c r="L2468" s="132">
        <f t="shared" si="278"/>
        <v>0</v>
      </c>
      <c r="M2468" s="133"/>
      <c r="N2468" s="133">
        <f t="shared" si="275"/>
        <v>0</v>
      </c>
      <c r="O2468" s="134"/>
      <c r="P2468" s="133"/>
      <c r="Q2468" s="2"/>
      <c r="R2468" s="156">
        <f t="shared" si="279"/>
        <v>0</v>
      </c>
      <c r="S2468" s="156">
        <f t="shared" si="280"/>
        <v>0</v>
      </c>
      <c r="T2468" s="133"/>
      <c r="U2468" s="133"/>
      <c r="V2468" s="133"/>
      <c r="W2468" s="133"/>
      <c r="X2468" s="133"/>
      <c r="Y2468" s="133"/>
      <c r="Z2468" s="133"/>
      <c r="AA2468" s="133"/>
      <c r="AB2468" s="133"/>
      <c r="AC2468" s="133"/>
      <c r="AD2468" s="133"/>
      <c r="AE2468" s="133"/>
      <c r="AF2468" s="133"/>
      <c r="AG2468" s="133"/>
      <c r="AH2468" s="133"/>
      <c r="AI2468" s="133"/>
      <c r="AJ2468" s="133"/>
      <c r="AK2468" s="133"/>
      <c r="AL2468" s="133"/>
      <c r="AM2468" s="133"/>
      <c r="AN2468" s="133"/>
      <c r="AO2468" s="133"/>
      <c r="AP2468" s="133"/>
      <c r="AQ2468" s="133"/>
      <c r="AR2468" s="133"/>
      <c r="AS2468" s="153">
        <v>0</v>
      </c>
      <c r="AT2468" s="153">
        <v>0</v>
      </c>
      <c r="AU2468" s="153">
        <v>0</v>
      </c>
      <c r="AV2468" s="135"/>
      <c r="AW2468" s="135"/>
      <c r="AX2468" s="135"/>
      <c r="AY2468" s="135"/>
      <c r="AZ2468" s="135"/>
      <c r="BA2468" s="135"/>
      <c r="BB2468" s="135"/>
      <c r="BC2468" s="135"/>
      <c r="BD2468" s="135"/>
      <c r="BE2468" s="135"/>
      <c r="BF2468" s="135"/>
      <c r="BG2468" s="135"/>
      <c r="BH2468" s="135"/>
      <c r="BI2468" s="2"/>
      <c r="BJ2468" s="136"/>
      <c r="BK2468" s="2"/>
      <c r="BL2468" s="136"/>
      <c r="BM2468" s="136"/>
      <c r="BN2468" s="2"/>
      <c r="BO2468" s="2"/>
      <c r="BP2468" s="136"/>
      <c r="BQ2468" s="137"/>
    </row>
    <row r="2469" spans="1:69" ht="12.75" customHeight="1" x14ac:dyDescent="0.2">
      <c r="A2469" s="2">
        <v>3958</v>
      </c>
      <c r="B2469" s="2"/>
      <c r="C2469" s="2"/>
      <c r="D2469" s="2"/>
      <c r="E2469" s="2"/>
      <c r="F2469" s="132">
        <v>0</v>
      </c>
      <c r="G2469" s="132"/>
      <c r="H2469" s="132">
        <f t="shared" si="276"/>
        <v>0</v>
      </c>
      <c r="I2469" s="132"/>
      <c r="J2469" s="132">
        <f t="shared" si="281"/>
        <v>0</v>
      </c>
      <c r="K2469" s="132">
        <f t="shared" si="277"/>
        <v>0</v>
      </c>
      <c r="L2469" s="132">
        <f t="shared" si="278"/>
        <v>0</v>
      </c>
      <c r="M2469" s="133"/>
      <c r="N2469" s="133">
        <f t="shared" si="275"/>
        <v>0</v>
      </c>
      <c r="O2469" s="134"/>
      <c r="P2469" s="133"/>
      <c r="Q2469" s="2"/>
      <c r="R2469" s="156">
        <f t="shared" si="279"/>
        <v>0</v>
      </c>
      <c r="S2469" s="156">
        <f t="shared" si="280"/>
        <v>0</v>
      </c>
      <c r="T2469" s="133"/>
      <c r="U2469" s="133"/>
      <c r="V2469" s="133"/>
      <c r="W2469" s="133"/>
      <c r="X2469" s="133"/>
      <c r="Y2469" s="133"/>
      <c r="Z2469" s="133"/>
      <c r="AA2469" s="133"/>
      <c r="AB2469" s="133"/>
      <c r="AC2469" s="133"/>
      <c r="AD2469" s="133"/>
      <c r="AE2469" s="133"/>
      <c r="AF2469" s="133"/>
      <c r="AG2469" s="133"/>
      <c r="AH2469" s="133"/>
      <c r="AI2469" s="133"/>
      <c r="AJ2469" s="133"/>
      <c r="AK2469" s="133"/>
      <c r="AL2469" s="133"/>
      <c r="AM2469" s="133"/>
      <c r="AN2469" s="133"/>
      <c r="AO2469" s="133"/>
      <c r="AP2469" s="133"/>
      <c r="AQ2469" s="133"/>
      <c r="AR2469" s="133"/>
      <c r="AS2469" s="153">
        <v>0</v>
      </c>
      <c r="AT2469" s="153">
        <v>0</v>
      </c>
      <c r="AU2469" s="153">
        <v>0</v>
      </c>
      <c r="AV2469" s="135"/>
      <c r="AW2469" s="135"/>
      <c r="AX2469" s="135"/>
      <c r="AY2469" s="135"/>
      <c r="AZ2469" s="135"/>
      <c r="BA2469" s="135"/>
      <c r="BB2469" s="135"/>
      <c r="BC2469" s="135"/>
      <c r="BD2469" s="135"/>
      <c r="BE2469" s="135"/>
      <c r="BF2469" s="135"/>
      <c r="BG2469" s="135"/>
      <c r="BH2469" s="135"/>
      <c r="BI2469" s="2"/>
      <c r="BJ2469" s="136"/>
      <c r="BK2469" s="2"/>
      <c r="BL2469" s="136"/>
      <c r="BM2469" s="136"/>
      <c r="BN2469" s="2"/>
      <c r="BO2469" s="2"/>
      <c r="BP2469" s="136"/>
      <c r="BQ2469" s="137"/>
    </row>
    <row r="2470" spans="1:69" ht="12.75" customHeight="1" x14ac:dyDescent="0.2">
      <c r="A2470" s="2">
        <v>3959</v>
      </c>
      <c r="B2470" s="2"/>
      <c r="C2470" s="2"/>
      <c r="D2470" s="2"/>
      <c r="E2470" s="2"/>
      <c r="F2470" s="132">
        <v>0</v>
      </c>
      <c r="G2470" s="132"/>
      <c r="H2470" s="132">
        <f t="shared" si="276"/>
        <v>0</v>
      </c>
      <c r="I2470" s="132"/>
      <c r="J2470" s="132">
        <f t="shared" si="281"/>
        <v>0</v>
      </c>
      <c r="K2470" s="132">
        <f t="shared" si="277"/>
        <v>0</v>
      </c>
      <c r="L2470" s="132">
        <f t="shared" si="278"/>
        <v>0</v>
      </c>
      <c r="M2470" s="133"/>
      <c r="N2470" s="133">
        <f t="shared" si="275"/>
        <v>0</v>
      </c>
      <c r="O2470" s="134"/>
      <c r="P2470" s="133"/>
      <c r="Q2470" s="2"/>
      <c r="R2470" s="156">
        <f t="shared" si="279"/>
        <v>0</v>
      </c>
      <c r="S2470" s="156">
        <f t="shared" si="280"/>
        <v>0</v>
      </c>
      <c r="T2470" s="133"/>
      <c r="U2470" s="133"/>
      <c r="V2470" s="133"/>
      <c r="W2470" s="133"/>
      <c r="X2470" s="133"/>
      <c r="Y2470" s="133"/>
      <c r="Z2470" s="133"/>
      <c r="AA2470" s="133"/>
      <c r="AB2470" s="133"/>
      <c r="AC2470" s="133"/>
      <c r="AD2470" s="133"/>
      <c r="AE2470" s="133"/>
      <c r="AF2470" s="133"/>
      <c r="AG2470" s="133"/>
      <c r="AH2470" s="133"/>
      <c r="AI2470" s="133"/>
      <c r="AJ2470" s="133"/>
      <c r="AK2470" s="133"/>
      <c r="AL2470" s="133"/>
      <c r="AM2470" s="133"/>
      <c r="AN2470" s="133"/>
      <c r="AO2470" s="133"/>
      <c r="AP2470" s="133"/>
      <c r="AQ2470" s="133"/>
      <c r="AR2470" s="133"/>
      <c r="AS2470" s="153">
        <v>0</v>
      </c>
      <c r="AT2470" s="153">
        <v>0</v>
      </c>
      <c r="AU2470" s="153">
        <v>0</v>
      </c>
      <c r="AV2470" s="135"/>
      <c r="AW2470" s="135"/>
      <c r="AX2470" s="135"/>
      <c r="AY2470" s="135"/>
      <c r="AZ2470" s="135"/>
      <c r="BA2470" s="135"/>
      <c r="BB2470" s="135"/>
      <c r="BC2470" s="135"/>
      <c r="BD2470" s="135"/>
      <c r="BE2470" s="135"/>
      <c r="BF2470" s="135"/>
      <c r="BG2470" s="135"/>
      <c r="BH2470" s="135"/>
      <c r="BI2470" s="2"/>
      <c r="BJ2470" s="136"/>
      <c r="BK2470" s="2"/>
      <c r="BL2470" s="136"/>
      <c r="BM2470" s="136"/>
      <c r="BN2470" s="2"/>
      <c r="BO2470" s="2"/>
      <c r="BP2470" s="136"/>
      <c r="BQ2470" s="137"/>
    </row>
    <row r="2471" spans="1:69" ht="12.75" customHeight="1" x14ac:dyDescent="0.2">
      <c r="A2471" s="2">
        <v>3960</v>
      </c>
      <c r="B2471" s="2"/>
      <c r="C2471" s="2"/>
      <c r="D2471" s="2"/>
      <c r="E2471" s="2"/>
      <c r="F2471" s="132">
        <v>0</v>
      </c>
      <c r="G2471" s="132"/>
      <c r="H2471" s="132">
        <f t="shared" si="276"/>
        <v>0</v>
      </c>
      <c r="I2471" s="132"/>
      <c r="J2471" s="132">
        <f t="shared" si="281"/>
        <v>0</v>
      </c>
      <c r="K2471" s="132">
        <f t="shared" si="277"/>
        <v>0</v>
      </c>
      <c r="L2471" s="132">
        <f t="shared" si="278"/>
        <v>0</v>
      </c>
      <c r="M2471" s="133"/>
      <c r="N2471" s="133">
        <f t="shared" si="275"/>
        <v>0</v>
      </c>
      <c r="O2471" s="134"/>
      <c r="P2471" s="133"/>
      <c r="Q2471" s="2"/>
      <c r="R2471" s="156">
        <f t="shared" si="279"/>
        <v>0</v>
      </c>
      <c r="S2471" s="156">
        <f t="shared" si="280"/>
        <v>0</v>
      </c>
      <c r="T2471" s="133"/>
      <c r="U2471" s="133"/>
      <c r="V2471" s="133"/>
      <c r="W2471" s="133"/>
      <c r="X2471" s="133"/>
      <c r="Y2471" s="133"/>
      <c r="Z2471" s="133"/>
      <c r="AA2471" s="133"/>
      <c r="AB2471" s="133"/>
      <c r="AC2471" s="133"/>
      <c r="AD2471" s="133"/>
      <c r="AE2471" s="133"/>
      <c r="AF2471" s="133"/>
      <c r="AG2471" s="133"/>
      <c r="AH2471" s="133"/>
      <c r="AI2471" s="133"/>
      <c r="AJ2471" s="133"/>
      <c r="AK2471" s="133"/>
      <c r="AL2471" s="133"/>
      <c r="AM2471" s="133"/>
      <c r="AN2471" s="133"/>
      <c r="AO2471" s="133"/>
      <c r="AP2471" s="133"/>
      <c r="AQ2471" s="133"/>
      <c r="AR2471" s="133"/>
      <c r="AS2471" s="153">
        <v>0</v>
      </c>
      <c r="AT2471" s="153">
        <v>0</v>
      </c>
      <c r="AU2471" s="153">
        <v>0</v>
      </c>
      <c r="AV2471" s="135"/>
      <c r="AW2471" s="135"/>
      <c r="AX2471" s="135"/>
      <c r="AY2471" s="135"/>
      <c r="AZ2471" s="135"/>
      <c r="BA2471" s="135"/>
      <c r="BB2471" s="135"/>
      <c r="BC2471" s="135"/>
      <c r="BD2471" s="135"/>
      <c r="BE2471" s="135"/>
      <c r="BF2471" s="135"/>
      <c r="BG2471" s="135"/>
      <c r="BH2471" s="135"/>
      <c r="BI2471" s="2"/>
      <c r="BJ2471" s="136"/>
      <c r="BK2471" s="2"/>
      <c r="BL2471" s="136"/>
      <c r="BM2471" s="136"/>
      <c r="BN2471" s="2"/>
      <c r="BO2471" s="2"/>
      <c r="BP2471" s="136"/>
      <c r="BQ2471" s="137"/>
    </row>
    <row r="2472" spans="1:69" ht="12.75" customHeight="1" x14ac:dyDescent="0.2">
      <c r="A2472" s="2">
        <v>3961</v>
      </c>
      <c r="B2472" s="2"/>
      <c r="C2472" s="2"/>
      <c r="D2472" s="2"/>
      <c r="E2472" s="2"/>
      <c r="F2472" s="132">
        <v>0</v>
      </c>
      <c r="G2472" s="132"/>
      <c r="H2472" s="132">
        <f t="shared" si="276"/>
        <v>0</v>
      </c>
      <c r="I2472" s="132"/>
      <c r="J2472" s="132">
        <f t="shared" si="281"/>
        <v>0</v>
      </c>
      <c r="K2472" s="132">
        <f t="shared" si="277"/>
        <v>0</v>
      </c>
      <c r="L2472" s="132">
        <f t="shared" si="278"/>
        <v>0</v>
      </c>
      <c r="M2472" s="133"/>
      <c r="N2472" s="133">
        <f t="shared" si="275"/>
        <v>0</v>
      </c>
      <c r="O2472" s="134"/>
      <c r="P2472" s="133"/>
      <c r="Q2472" s="2"/>
      <c r="R2472" s="156">
        <f t="shared" si="279"/>
        <v>0</v>
      </c>
      <c r="S2472" s="156">
        <f t="shared" si="280"/>
        <v>0</v>
      </c>
      <c r="T2472" s="133"/>
      <c r="U2472" s="133"/>
      <c r="V2472" s="133"/>
      <c r="W2472" s="133"/>
      <c r="X2472" s="133"/>
      <c r="Y2472" s="133"/>
      <c r="Z2472" s="133"/>
      <c r="AA2472" s="133"/>
      <c r="AB2472" s="133"/>
      <c r="AC2472" s="133"/>
      <c r="AD2472" s="133"/>
      <c r="AE2472" s="133"/>
      <c r="AF2472" s="133"/>
      <c r="AG2472" s="133"/>
      <c r="AH2472" s="133"/>
      <c r="AI2472" s="133"/>
      <c r="AJ2472" s="133"/>
      <c r="AK2472" s="133"/>
      <c r="AL2472" s="133"/>
      <c r="AM2472" s="133"/>
      <c r="AN2472" s="133"/>
      <c r="AO2472" s="133"/>
      <c r="AP2472" s="133"/>
      <c r="AQ2472" s="133"/>
      <c r="AR2472" s="133"/>
      <c r="AS2472" s="153">
        <v>0</v>
      </c>
      <c r="AT2472" s="153">
        <v>0</v>
      </c>
      <c r="AU2472" s="153">
        <v>0</v>
      </c>
      <c r="AV2472" s="135"/>
      <c r="AW2472" s="135"/>
      <c r="AX2472" s="135"/>
      <c r="AY2472" s="135"/>
      <c r="AZ2472" s="135"/>
      <c r="BA2472" s="135"/>
      <c r="BB2472" s="135"/>
      <c r="BC2472" s="135"/>
      <c r="BD2472" s="135"/>
      <c r="BE2472" s="135"/>
      <c r="BF2472" s="135"/>
      <c r="BG2472" s="135"/>
      <c r="BH2472" s="135"/>
      <c r="BI2472" s="2"/>
      <c r="BJ2472" s="136"/>
      <c r="BK2472" s="2"/>
      <c r="BL2472" s="136"/>
      <c r="BM2472" s="136"/>
      <c r="BN2472" s="2"/>
      <c r="BO2472" s="2"/>
      <c r="BP2472" s="136"/>
      <c r="BQ2472" s="137"/>
    </row>
    <row r="2473" spans="1:69" ht="12.75" customHeight="1" x14ac:dyDescent="0.2">
      <c r="A2473" s="2">
        <v>3962</v>
      </c>
      <c r="B2473" s="2"/>
      <c r="C2473" s="2"/>
      <c r="D2473" s="2"/>
      <c r="E2473" s="2"/>
      <c r="F2473" s="132">
        <v>0</v>
      </c>
      <c r="G2473" s="132"/>
      <c r="H2473" s="132">
        <f t="shared" si="276"/>
        <v>0</v>
      </c>
      <c r="I2473" s="132"/>
      <c r="J2473" s="132">
        <f t="shared" si="281"/>
        <v>0</v>
      </c>
      <c r="K2473" s="132">
        <f t="shared" si="277"/>
        <v>0</v>
      </c>
      <c r="L2473" s="132">
        <f t="shared" si="278"/>
        <v>0</v>
      </c>
      <c r="M2473" s="133"/>
      <c r="N2473" s="133">
        <f t="shared" si="275"/>
        <v>0</v>
      </c>
      <c r="O2473" s="134"/>
      <c r="P2473" s="133"/>
      <c r="Q2473" s="2"/>
      <c r="R2473" s="156">
        <f t="shared" si="279"/>
        <v>0</v>
      </c>
      <c r="S2473" s="156">
        <f t="shared" si="280"/>
        <v>0</v>
      </c>
      <c r="T2473" s="133"/>
      <c r="U2473" s="133"/>
      <c r="V2473" s="133"/>
      <c r="W2473" s="133"/>
      <c r="X2473" s="133"/>
      <c r="Y2473" s="133"/>
      <c r="Z2473" s="133"/>
      <c r="AA2473" s="133"/>
      <c r="AB2473" s="133"/>
      <c r="AC2473" s="133"/>
      <c r="AD2473" s="133"/>
      <c r="AE2473" s="133"/>
      <c r="AF2473" s="133"/>
      <c r="AG2473" s="133"/>
      <c r="AH2473" s="133"/>
      <c r="AI2473" s="133"/>
      <c r="AJ2473" s="133"/>
      <c r="AK2473" s="133"/>
      <c r="AL2473" s="133"/>
      <c r="AM2473" s="133"/>
      <c r="AN2473" s="133"/>
      <c r="AO2473" s="133"/>
      <c r="AP2473" s="133"/>
      <c r="AQ2473" s="133"/>
      <c r="AR2473" s="133"/>
      <c r="AS2473" s="153">
        <v>0</v>
      </c>
      <c r="AT2473" s="153">
        <v>0</v>
      </c>
      <c r="AU2473" s="153">
        <v>0</v>
      </c>
      <c r="AV2473" s="135"/>
      <c r="AW2473" s="135"/>
      <c r="AX2473" s="135"/>
      <c r="AY2473" s="135"/>
      <c r="AZ2473" s="135"/>
      <c r="BA2473" s="135"/>
      <c r="BB2473" s="135"/>
      <c r="BC2473" s="135"/>
      <c r="BD2473" s="135"/>
      <c r="BE2473" s="135"/>
      <c r="BF2473" s="135"/>
      <c r="BG2473" s="135"/>
      <c r="BH2473" s="135"/>
      <c r="BI2473" s="2"/>
      <c r="BJ2473" s="136"/>
      <c r="BK2473" s="2"/>
      <c r="BL2473" s="136"/>
      <c r="BM2473" s="136"/>
      <c r="BN2473" s="2"/>
      <c r="BO2473" s="2"/>
      <c r="BP2473" s="136"/>
      <c r="BQ2473" s="137"/>
    </row>
    <row r="2474" spans="1:69" ht="12.75" customHeight="1" x14ac:dyDescent="0.2">
      <c r="A2474" s="2">
        <v>3963</v>
      </c>
      <c r="B2474" s="2"/>
      <c r="C2474" s="2"/>
      <c r="D2474" s="2"/>
      <c r="E2474" s="2"/>
      <c r="F2474" s="132">
        <v>0</v>
      </c>
      <c r="G2474" s="132"/>
      <c r="H2474" s="132">
        <f t="shared" si="276"/>
        <v>0</v>
      </c>
      <c r="I2474" s="132"/>
      <c r="J2474" s="132">
        <f t="shared" si="281"/>
        <v>0</v>
      </c>
      <c r="K2474" s="132">
        <f t="shared" si="277"/>
        <v>0</v>
      </c>
      <c r="L2474" s="132">
        <f t="shared" si="278"/>
        <v>0</v>
      </c>
      <c r="M2474" s="133"/>
      <c r="N2474" s="133">
        <f t="shared" ref="N2474:N2537" si="282">IF(OR(BK2474="принят",BK2474="Завершено",BK2474="ПриПро"),H2474-J2474,F2474-J2474)</f>
        <v>0</v>
      </c>
      <c r="O2474" s="134"/>
      <c r="P2474" s="133"/>
      <c r="Q2474" s="2"/>
      <c r="R2474" s="156">
        <f t="shared" si="279"/>
        <v>0</v>
      </c>
      <c r="S2474" s="156">
        <f t="shared" si="280"/>
        <v>0</v>
      </c>
      <c r="T2474" s="133"/>
      <c r="U2474" s="133"/>
      <c r="V2474" s="133"/>
      <c r="W2474" s="133"/>
      <c r="X2474" s="133"/>
      <c r="Y2474" s="133"/>
      <c r="Z2474" s="133"/>
      <c r="AA2474" s="133"/>
      <c r="AB2474" s="133"/>
      <c r="AC2474" s="133"/>
      <c r="AD2474" s="133"/>
      <c r="AE2474" s="133"/>
      <c r="AF2474" s="133"/>
      <c r="AG2474" s="133"/>
      <c r="AH2474" s="133"/>
      <c r="AI2474" s="133"/>
      <c r="AJ2474" s="133"/>
      <c r="AK2474" s="133"/>
      <c r="AL2474" s="133"/>
      <c r="AM2474" s="133"/>
      <c r="AN2474" s="133"/>
      <c r="AO2474" s="133"/>
      <c r="AP2474" s="133"/>
      <c r="AQ2474" s="133"/>
      <c r="AR2474" s="133"/>
      <c r="AS2474" s="153">
        <v>0</v>
      </c>
      <c r="AT2474" s="153">
        <v>0</v>
      </c>
      <c r="AU2474" s="153">
        <v>0</v>
      </c>
      <c r="AV2474" s="135"/>
      <c r="AW2474" s="135"/>
      <c r="AX2474" s="135"/>
      <c r="AY2474" s="135"/>
      <c r="AZ2474" s="135"/>
      <c r="BA2474" s="135"/>
      <c r="BB2474" s="135"/>
      <c r="BC2474" s="135"/>
      <c r="BD2474" s="135"/>
      <c r="BE2474" s="135"/>
      <c r="BF2474" s="135"/>
      <c r="BG2474" s="135"/>
      <c r="BH2474" s="135"/>
      <c r="BI2474" s="2"/>
      <c r="BJ2474" s="136"/>
      <c r="BK2474" s="2"/>
      <c r="BL2474" s="136"/>
      <c r="BM2474" s="136"/>
      <c r="BN2474" s="2"/>
      <c r="BO2474" s="2"/>
      <c r="BP2474" s="136"/>
      <c r="BQ2474" s="137"/>
    </row>
    <row r="2475" spans="1:69" ht="12.75" customHeight="1" x14ac:dyDescent="0.2">
      <c r="A2475" s="2">
        <v>3964</v>
      </c>
      <c r="B2475" s="2"/>
      <c r="C2475" s="2"/>
      <c r="D2475" s="2"/>
      <c r="E2475" s="2"/>
      <c r="F2475" s="132">
        <v>0</v>
      </c>
      <c r="G2475" s="132"/>
      <c r="H2475" s="132">
        <f t="shared" si="276"/>
        <v>0</v>
      </c>
      <c r="I2475" s="132"/>
      <c r="J2475" s="132">
        <f t="shared" si="281"/>
        <v>0</v>
      </c>
      <c r="K2475" s="132">
        <f t="shared" si="277"/>
        <v>0</v>
      </c>
      <c r="L2475" s="132">
        <f t="shared" si="278"/>
        <v>0</v>
      </c>
      <c r="M2475" s="133"/>
      <c r="N2475" s="133">
        <f t="shared" si="282"/>
        <v>0</v>
      </c>
      <c r="O2475" s="134"/>
      <c r="P2475" s="133"/>
      <c r="Q2475" s="2"/>
      <c r="R2475" s="156">
        <f t="shared" si="279"/>
        <v>0</v>
      </c>
      <c r="S2475" s="156">
        <f t="shared" si="280"/>
        <v>0</v>
      </c>
      <c r="T2475" s="133"/>
      <c r="U2475" s="133"/>
      <c r="V2475" s="133"/>
      <c r="W2475" s="133"/>
      <c r="X2475" s="133"/>
      <c r="Y2475" s="133"/>
      <c r="Z2475" s="133"/>
      <c r="AA2475" s="133"/>
      <c r="AB2475" s="133"/>
      <c r="AC2475" s="133"/>
      <c r="AD2475" s="133"/>
      <c r="AE2475" s="133"/>
      <c r="AF2475" s="133"/>
      <c r="AG2475" s="133"/>
      <c r="AH2475" s="133"/>
      <c r="AI2475" s="133"/>
      <c r="AJ2475" s="133"/>
      <c r="AK2475" s="133"/>
      <c r="AL2475" s="133"/>
      <c r="AM2475" s="133"/>
      <c r="AN2475" s="133"/>
      <c r="AO2475" s="133"/>
      <c r="AP2475" s="133"/>
      <c r="AQ2475" s="133"/>
      <c r="AR2475" s="133"/>
      <c r="AS2475" s="153">
        <v>0</v>
      </c>
      <c r="AT2475" s="153">
        <v>0</v>
      </c>
      <c r="AU2475" s="153">
        <v>0</v>
      </c>
      <c r="AV2475" s="135"/>
      <c r="AW2475" s="135"/>
      <c r="AX2475" s="135"/>
      <c r="AY2475" s="135"/>
      <c r="AZ2475" s="135"/>
      <c r="BA2475" s="135"/>
      <c r="BB2475" s="135"/>
      <c r="BC2475" s="135"/>
      <c r="BD2475" s="135"/>
      <c r="BE2475" s="135"/>
      <c r="BF2475" s="135"/>
      <c r="BG2475" s="135"/>
      <c r="BH2475" s="135"/>
      <c r="BI2475" s="2"/>
      <c r="BJ2475" s="136"/>
      <c r="BK2475" s="2"/>
      <c r="BL2475" s="136"/>
      <c r="BM2475" s="136"/>
      <c r="BN2475" s="2"/>
      <c r="BO2475" s="2"/>
      <c r="BP2475" s="136"/>
      <c r="BQ2475" s="137"/>
    </row>
    <row r="2476" spans="1:69" ht="12.75" customHeight="1" x14ac:dyDescent="0.2">
      <c r="A2476" s="2">
        <v>3965</v>
      </c>
      <c r="B2476" s="2"/>
      <c r="C2476" s="2"/>
      <c r="D2476" s="2"/>
      <c r="E2476" s="2"/>
      <c r="F2476" s="132">
        <v>0</v>
      </c>
      <c r="G2476" s="132"/>
      <c r="H2476" s="132">
        <f t="shared" si="276"/>
        <v>0</v>
      </c>
      <c r="I2476" s="132"/>
      <c r="J2476" s="132">
        <f t="shared" si="281"/>
        <v>0</v>
      </c>
      <c r="K2476" s="132">
        <f t="shared" si="277"/>
        <v>0</v>
      </c>
      <c r="L2476" s="132">
        <f t="shared" si="278"/>
        <v>0</v>
      </c>
      <c r="M2476" s="133"/>
      <c r="N2476" s="133">
        <f t="shared" si="282"/>
        <v>0</v>
      </c>
      <c r="O2476" s="134"/>
      <c r="P2476" s="133"/>
      <c r="Q2476" s="2"/>
      <c r="R2476" s="156">
        <f t="shared" si="279"/>
        <v>0</v>
      </c>
      <c r="S2476" s="156">
        <f t="shared" si="280"/>
        <v>0</v>
      </c>
      <c r="T2476" s="133"/>
      <c r="U2476" s="133"/>
      <c r="V2476" s="133"/>
      <c r="W2476" s="133"/>
      <c r="X2476" s="133"/>
      <c r="Y2476" s="133"/>
      <c r="Z2476" s="133"/>
      <c r="AA2476" s="133"/>
      <c r="AB2476" s="133"/>
      <c r="AC2476" s="133"/>
      <c r="AD2476" s="133"/>
      <c r="AE2476" s="133"/>
      <c r="AF2476" s="133"/>
      <c r="AG2476" s="133"/>
      <c r="AH2476" s="133"/>
      <c r="AI2476" s="133"/>
      <c r="AJ2476" s="133"/>
      <c r="AK2476" s="133"/>
      <c r="AL2476" s="133"/>
      <c r="AM2476" s="133"/>
      <c r="AN2476" s="133"/>
      <c r="AO2476" s="133"/>
      <c r="AP2476" s="133"/>
      <c r="AQ2476" s="133"/>
      <c r="AR2476" s="133"/>
      <c r="AS2476" s="153">
        <v>0</v>
      </c>
      <c r="AT2476" s="153">
        <v>0</v>
      </c>
      <c r="AU2476" s="153">
        <v>0</v>
      </c>
      <c r="AV2476" s="135"/>
      <c r="AW2476" s="135"/>
      <c r="AX2476" s="135"/>
      <c r="AY2476" s="135"/>
      <c r="AZ2476" s="135"/>
      <c r="BA2476" s="135"/>
      <c r="BB2476" s="135"/>
      <c r="BC2476" s="135"/>
      <c r="BD2476" s="135"/>
      <c r="BE2476" s="135"/>
      <c r="BF2476" s="135"/>
      <c r="BG2476" s="135"/>
      <c r="BH2476" s="135"/>
      <c r="BI2476" s="2"/>
      <c r="BJ2476" s="136"/>
      <c r="BK2476" s="2"/>
      <c r="BL2476" s="136"/>
      <c r="BM2476" s="136"/>
      <c r="BN2476" s="2"/>
      <c r="BO2476" s="2"/>
      <c r="BP2476" s="136"/>
      <c r="BQ2476" s="137"/>
    </row>
    <row r="2477" spans="1:69" ht="12.75" customHeight="1" x14ac:dyDescent="0.2">
      <c r="A2477" s="2">
        <v>3966</v>
      </c>
      <c r="B2477" s="2"/>
      <c r="C2477" s="2"/>
      <c r="D2477" s="2"/>
      <c r="E2477" s="2"/>
      <c r="F2477" s="132">
        <v>0</v>
      </c>
      <c r="G2477" s="132"/>
      <c r="H2477" s="132">
        <f t="shared" si="276"/>
        <v>0</v>
      </c>
      <c r="I2477" s="132"/>
      <c r="J2477" s="132">
        <f t="shared" si="281"/>
        <v>0</v>
      </c>
      <c r="K2477" s="132">
        <f t="shared" si="277"/>
        <v>0</v>
      </c>
      <c r="L2477" s="132">
        <f t="shared" si="278"/>
        <v>0</v>
      </c>
      <c r="M2477" s="133"/>
      <c r="N2477" s="133">
        <f t="shared" si="282"/>
        <v>0</v>
      </c>
      <c r="O2477" s="134"/>
      <c r="P2477" s="133"/>
      <c r="Q2477" s="2"/>
      <c r="R2477" s="156">
        <f t="shared" si="279"/>
        <v>0</v>
      </c>
      <c r="S2477" s="156">
        <f t="shared" si="280"/>
        <v>0</v>
      </c>
      <c r="T2477" s="133"/>
      <c r="U2477" s="133"/>
      <c r="V2477" s="133"/>
      <c r="W2477" s="133"/>
      <c r="X2477" s="133"/>
      <c r="Y2477" s="133"/>
      <c r="Z2477" s="133"/>
      <c r="AA2477" s="133"/>
      <c r="AB2477" s="133"/>
      <c r="AC2477" s="133"/>
      <c r="AD2477" s="133"/>
      <c r="AE2477" s="133"/>
      <c r="AF2477" s="133"/>
      <c r="AG2477" s="133"/>
      <c r="AH2477" s="133"/>
      <c r="AI2477" s="133"/>
      <c r="AJ2477" s="133"/>
      <c r="AK2477" s="133"/>
      <c r="AL2477" s="133"/>
      <c r="AM2477" s="133"/>
      <c r="AN2477" s="133"/>
      <c r="AO2477" s="133"/>
      <c r="AP2477" s="133"/>
      <c r="AQ2477" s="133"/>
      <c r="AR2477" s="133"/>
      <c r="AS2477" s="153">
        <v>0</v>
      </c>
      <c r="AT2477" s="153">
        <v>0</v>
      </c>
      <c r="AU2477" s="153">
        <v>0</v>
      </c>
      <c r="AV2477" s="135"/>
      <c r="AW2477" s="135"/>
      <c r="AX2477" s="135"/>
      <c r="AY2477" s="135"/>
      <c r="AZ2477" s="135"/>
      <c r="BA2477" s="135"/>
      <c r="BB2477" s="135"/>
      <c r="BC2477" s="135"/>
      <c r="BD2477" s="135"/>
      <c r="BE2477" s="135"/>
      <c r="BF2477" s="135"/>
      <c r="BG2477" s="135"/>
      <c r="BH2477" s="135"/>
      <c r="BI2477" s="2"/>
      <c r="BJ2477" s="136"/>
      <c r="BK2477" s="2"/>
      <c r="BL2477" s="136"/>
      <c r="BM2477" s="136"/>
      <c r="BN2477" s="2"/>
      <c r="BO2477" s="2"/>
      <c r="BP2477" s="136"/>
      <c r="BQ2477" s="137"/>
    </row>
    <row r="2478" spans="1:69" ht="12.75" customHeight="1" x14ac:dyDescent="0.2">
      <c r="A2478" s="2">
        <v>3967</v>
      </c>
      <c r="B2478" s="2"/>
      <c r="C2478" s="2"/>
      <c r="D2478" s="2"/>
      <c r="E2478" s="2"/>
      <c r="F2478" s="132">
        <v>0</v>
      </c>
      <c r="G2478" s="132"/>
      <c r="H2478" s="132">
        <f t="shared" ref="H2478:H2541" si="283">R2478</f>
        <v>0</v>
      </c>
      <c r="I2478" s="132"/>
      <c r="J2478" s="132">
        <f t="shared" si="281"/>
        <v>0</v>
      </c>
      <c r="K2478" s="132">
        <f t="shared" si="277"/>
        <v>0</v>
      </c>
      <c r="L2478" s="132">
        <f t="shared" si="278"/>
        <v>0</v>
      </c>
      <c r="M2478" s="133"/>
      <c r="N2478" s="133">
        <f t="shared" si="282"/>
        <v>0</v>
      </c>
      <c r="O2478" s="134"/>
      <c r="P2478" s="133"/>
      <c r="Q2478" s="2"/>
      <c r="R2478" s="156">
        <f t="shared" si="279"/>
        <v>0</v>
      </c>
      <c r="S2478" s="156">
        <f t="shared" si="280"/>
        <v>0</v>
      </c>
      <c r="T2478" s="133"/>
      <c r="U2478" s="133"/>
      <c r="V2478" s="133"/>
      <c r="W2478" s="133"/>
      <c r="X2478" s="133"/>
      <c r="Y2478" s="133"/>
      <c r="Z2478" s="133"/>
      <c r="AA2478" s="133"/>
      <c r="AB2478" s="133"/>
      <c r="AC2478" s="133"/>
      <c r="AD2478" s="133"/>
      <c r="AE2478" s="133"/>
      <c r="AF2478" s="133"/>
      <c r="AG2478" s="133"/>
      <c r="AH2478" s="133"/>
      <c r="AI2478" s="133"/>
      <c r="AJ2478" s="133"/>
      <c r="AK2478" s="133"/>
      <c r="AL2478" s="133"/>
      <c r="AM2478" s="133"/>
      <c r="AN2478" s="133"/>
      <c r="AO2478" s="133"/>
      <c r="AP2478" s="133"/>
      <c r="AQ2478" s="133"/>
      <c r="AR2478" s="133"/>
      <c r="AS2478" s="153">
        <v>0</v>
      </c>
      <c r="AT2478" s="153">
        <v>0</v>
      </c>
      <c r="AU2478" s="153">
        <v>0</v>
      </c>
      <c r="AV2478" s="135"/>
      <c r="AW2478" s="135"/>
      <c r="AX2478" s="135"/>
      <c r="AY2478" s="135"/>
      <c r="AZ2478" s="135"/>
      <c r="BA2478" s="135"/>
      <c r="BB2478" s="135"/>
      <c r="BC2478" s="135"/>
      <c r="BD2478" s="135"/>
      <c r="BE2478" s="135"/>
      <c r="BF2478" s="135"/>
      <c r="BG2478" s="135"/>
      <c r="BH2478" s="135"/>
      <c r="BI2478" s="2"/>
      <c r="BJ2478" s="136"/>
      <c r="BK2478" s="2"/>
      <c r="BL2478" s="136"/>
      <c r="BM2478" s="136"/>
      <c r="BN2478" s="2"/>
      <c r="BO2478" s="2"/>
      <c r="BP2478" s="136"/>
      <c r="BQ2478" s="137"/>
    </row>
    <row r="2479" spans="1:69" ht="12.75" customHeight="1" x14ac:dyDescent="0.2">
      <c r="A2479" s="2">
        <v>3968</v>
      </c>
      <c r="B2479" s="2"/>
      <c r="C2479" s="2"/>
      <c r="D2479" s="2"/>
      <c r="E2479" s="2"/>
      <c r="F2479" s="132">
        <v>0</v>
      </c>
      <c r="G2479" s="132"/>
      <c r="H2479" s="132">
        <f t="shared" si="283"/>
        <v>0</v>
      </c>
      <c r="I2479" s="132"/>
      <c r="J2479" s="132">
        <f t="shared" si="281"/>
        <v>0</v>
      </c>
      <c r="K2479" s="132">
        <f t="shared" si="277"/>
        <v>0</v>
      </c>
      <c r="L2479" s="132">
        <f t="shared" si="278"/>
        <v>0</v>
      </c>
      <c r="M2479" s="133"/>
      <c r="N2479" s="133">
        <f t="shared" si="282"/>
        <v>0</v>
      </c>
      <c r="O2479" s="134"/>
      <c r="P2479" s="133"/>
      <c r="Q2479" s="2"/>
      <c r="R2479" s="156">
        <f t="shared" si="279"/>
        <v>0</v>
      </c>
      <c r="S2479" s="156">
        <f t="shared" si="280"/>
        <v>0</v>
      </c>
      <c r="T2479" s="133"/>
      <c r="U2479" s="133"/>
      <c r="V2479" s="133"/>
      <c r="W2479" s="133"/>
      <c r="X2479" s="133"/>
      <c r="Y2479" s="133"/>
      <c r="Z2479" s="133"/>
      <c r="AA2479" s="133"/>
      <c r="AB2479" s="133"/>
      <c r="AC2479" s="133"/>
      <c r="AD2479" s="133"/>
      <c r="AE2479" s="133"/>
      <c r="AF2479" s="133"/>
      <c r="AG2479" s="133"/>
      <c r="AH2479" s="133"/>
      <c r="AI2479" s="133"/>
      <c r="AJ2479" s="133"/>
      <c r="AK2479" s="133"/>
      <c r="AL2479" s="133"/>
      <c r="AM2479" s="133"/>
      <c r="AN2479" s="133"/>
      <c r="AO2479" s="133"/>
      <c r="AP2479" s="133"/>
      <c r="AQ2479" s="133"/>
      <c r="AR2479" s="133"/>
      <c r="AS2479" s="153">
        <v>0</v>
      </c>
      <c r="AT2479" s="153">
        <v>0</v>
      </c>
      <c r="AU2479" s="153">
        <v>0</v>
      </c>
      <c r="AV2479" s="135"/>
      <c r="AW2479" s="135"/>
      <c r="AX2479" s="135"/>
      <c r="AY2479" s="135"/>
      <c r="AZ2479" s="135"/>
      <c r="BA2479" s="135"/>
      <c r="BB2479" s="135"/>
      <c r="BC2479" s="135"/>
      <c r="BD2479" s="135"/>
      <c r="BE2479" s="135"/>
      <c r="BF2479" s="135"/>
      <c r="BG2479" s="135"/>
      <c r="BH2479" s="135"/>
      <c r="BI2479" s="2"/>
      <c r="BJ2479" s="136"/>
      <c r="BK2479" s="2"/>
      <c r="BL2479" s="136"/>
      <c r="BM2479" s="136"/>
      <c r="BN2479" s="2"/>
      <c r="BO2479" s="2"/>
      <c r="BP2479" s="136"/>
      <c r="BQ2479" s="137"/>
    </row>
    <row r="2480" spans="1:69" ht="12.75" customHeight="1" x14ac:dyDescent="0.2">
      <c r="A2480" s="2">
        <v>3969</v>
      </c>
      <c r="B2480" s="2"/>
      <c r="C2480" s="2"/>
      <c r="D2480" s="2"/>
      <c r="E2480" s="2"/>
      <c r="F2480" s="132">
        <v>0</v>
      </c>
      <c r="G2480" s="132"/>
      <c r="H2480" s="132">
        <f t="shared" si="283"/>
        <v>0</v>
      </c>
      <c r="I2480" s="132"/>
      <c r="J2480" s="132">
        <f t="shared" si="281"/>
        <v>0</v>
      </c>
      <c r="K2480" s="132">
        <f t="shared" si="277"/>
        <v>0</v>
      </c>
      <c r="L2480" s="132">
        <f t="shared" si="278"/>
        <v>0</v>
      </c>
      <c r="M2480" s="133"/>
      <c r="N2480" s="133">
        <f t="shared" si="282"/>
        <v>0</v>
      </c>
      <c r="O2480" s="134"/>
      <c r="P2480" s="133"/>
      <c r="Q2480" s="2"/>
      <c r="R2480" s="156">
        <f t="shared" si="279"/>
        <v>0</v>
      </c>
      <c r="S2480" s="156">
        <f t="shared" si="280"/>
        <v>0</v>
      </c>
      <c r="T2480" s="133"/>
      <c r="U2480" s="133"/>
      <c r="V2480" s="133"/>
      <c r="W2480" s="133"/>
      <c r="X2480" s="133"/>
      <c r="Y2480" s="133"/>
      <c r="Z2480" s="133"/>
      <c r="AA2480" s="133"/>
      <c r="AB2480" s="133"/>
      <c r="AC2480" s="133"/>
      <c r="AD2480" s="133"/>
      <c r="AE2480" s="133"/>
      <c r="AF2480" s="133"/>
      <c r="AG2480" s="133"/>
      <c r="AH2480" s="133"/>
      <c r="AI2480" s="133"/>
      <c r="AJ2480" s="133"/>
      <c r="AK2480" s="133"/>
      <c r="AL2480" s="133"/>
      <c r="AM2480" s="133"/>
      <c r="AN2480" s="133"/>
      <c r="AO2480" s="133"/>
      <c r="AP2480" s="133"/>
      <c r="AQ2480" s="133"/>
      <c r="AR2480" s="133"/>
      <c r="AS2480" s="153">
        <v>0</v>
      </c>
      <c r="AT2480" s="153">
        <v>0</v>
      </c>
      <c r="AU2480" s="153">
        <v>0</v>
      </c>
      <c r="AV2480" s="135"/>
      <c r="AW2480" s="135"/>
      <c r="AX2480" s="135"/>
      <c r="AY2480" s="135"/>
      <c r="AZ2480" s="135"/>
      <c r="BA2480" s="135"/>
      <c r="BB2480" s="135"/>
      <c r="BC2480" s="135"/>
      <c r="BD2480" s="135"/>
      <c r="BE2480" s="135"/>
      <c r="BF2480" s="135"/>
      <c r="BG2480" s="135"/>
      <c r="BH2480" s="135"/>
      <c r="BI2480" s="2"/>
      <c r="BJ2480" s="136"/>
      <c r="BK2480" s="2"/>
      <c r="BL2480" s="136"/>
      <c r="BM2480" s="136"/>
      <c r="BN2480" s="2"/>
      <c r="BO2480" s="2"/>
      <c r="BP2480" s="136"/>
      <c r="BQ2480" s="137"/>
    </row>
    <row r="2481" spans="1:69" ht="12.75" customHeight="1" x14ac:dyDescent="0.2">
      <c r="A2481" s="2">
        <v>3970</v>
      </c>
      <c r="B2481" s="2"/>
      <c r="C2481" s="2"/>
      <c r="D2481" s="2"/>
      <c r="E2481" s="2"/>
      <c r="F2481" s="132">
        <v>0</v>
      </c>
      <c r="G2481" s="132"/>
      <c r="H2481" s="132">
        <f t="shared" si="283"/>
        <v>0</v>
      </c>
      <c r="I2481" s="132"/>
      <c r="J2481" s="132">
        <f t="shared" si="281"/>
        <v>0</v>
      </c>
      <c r="K2481" s="132">
        <f t="shared" si="277"/>
        <v>0</v>
      </c>
      <c r="L2481" s="132">
        <f t="shared" si="278"/>
        <v>0</v>
      </c>
      <c r="M2481" s="133"/>
      <c r="N2481" s="133">
        <f t="shared" si="282"/>
        <v>0</v>
      </c>
      <c r="O2481" s="134"/>
      <c r="P2481" s="133"/>
      <c r="Q2481" s="2"/>
      <c r="R2481" s="156">
        <f t="shared" si="279"/>
        <v>0</v>
      </c>
      <c r="S2481" s="156">
        <f t="shared" si="280"/>
        <v>0</v>
      </c>
      <c r="T2481" s="133"/>
      <c r="U2481" s="133"/>
      <c r="V2481" s="133"/>
      <c r="W2481" s="133"/>
      <c r="X2481" s="133"/>
      <c r="Y2481" s="133"/>
      <c r="Z2481" s="133"/>
      <c r="AA2481" s="133"/>
      <c r="AB2481" s="133"/>
      <c r="AC2481" s="133"/>
      <c r="AD2481" s="133"/>
      <c r="AE2481" s="133"/>
      <c r="AF2481" s="133"/>
      <c r="AG2481" s="133"/>
      <c r="AH2481" s="133"/>
      <c r="AI2481" s="133"/>
      <c r="AJ2481" s="133"/>
      <c r="AK2481" s="133"/>
      <c r="AL2481" s="133"/>
      <c r="AM2481" s="133"/>
      <c r="AN2481" s="133"/>
      <c r="AO2481" s="133"/>
      <c r="AP2481" s="133"/>
      <c r="AQ2481" s="133"/>
      <c r="AR2481" s="133"/>
      <c r="AS2481" s="153">
        <v>0</v>
      </c>
      <c r="AT2481" s="153">
        <v>0</v>
      </c>
      <c r="AU2481" s="153">
        <v>0</v>
      </c>
      <c r="AV2481" s="135"/>
      <c r="AW2481" s="135"/>
      <c r="AX2481" s="135"/>
      <c r="AY2481" s="135"/>
      <c r="AZ2481" s="135"/>
      <c r="BA2481" s="135"/>
      <c r="BB2481" s="135"/>
      <c r="BC2481" s="135"/>
      <c r="BD2481" s="135"/>
      <c r="BE2481" s="135"/>
      <c r="BF2481" s="135"/>
      <c r="BG2481" s="135"/>
      <c r="BH2481" s="135"/>
      <c r="BI2481" s="2"/>
      <c r="BJ2481" s="136"/>
      <c r="BK2481" s="2"/>
      <c r="BL2481" s="136"/>
      <c r="BM2481" s="136"/>
      <c r="BN2481" s="2"/>
      <c r="BO2481" s="2"/>
      <c r="BP2481" s="136"/>
      <c r="BQ2481" s="137"/>
    </row>
    <row r="2482" spans="1:69" ht="12.75" customHeight="1" x14ac:dyDescent="0.2">
      <c r="A2482" s="2">
        <v>3971</v>
      </c>
      <c r="B2482" s="2"/>
      <c r="C2482" s="2"/>
      <c r="D2482" s="2"/>
      <c r="E2482" s="2"/>
      <c r="F2482" s="132">
        <v>0</v>
      </c>
      <c r="G2482" s="132"/>
      <c r="H2482" s="132">
        <f t="shared" si="283"/>
        <v>0</v>
      </c>
      <c r="I2482" s="132"/>
      <c r="J2482" s="132">
        <f t="shared" si="281"/>
        <v>0</v>
      </c>
      <c r="K2482" s="132">
        <f t="shared" si="277"/>
        <v>0</v>
      </c>
      <c r="L2482" s="132">
        <f t="shared" si="278"/>
        <v>0</v>
      </c>
      <c r="M2482" s="133"/>
      <c r="N2482" s="133">
        <f t="shared" si="282"/>
        <v>0</v>
      </c>
      <c r="O2482" s="134"/>
      <c r="P2482" s="133"/>
      <c r="Q2482" s="2"/>
      <c r="R2482" s="156">
        <f t="shared" si="279"/>
        <v>0</v>
      </c>
      <c r="S2482" s="156">
        <f t="shared" si="280"/>
        <v>0</v>
      </c>
      <c r="T2482" s="133"/>
      <c r="U2482" s="133"/>
      <c r="V2482" s="133"/>
      <c r="W2482" s="133"/>
      <c r="X2482" s="133"/>
      <c r="Y2482" s="133"/>
      <c r="Z2482" s="133"/>
      <c r="AA2482" s="133"/>
      <c r="AB2482" s="133"/>
      <c r="AC2482" s="133"/>
      <c r="AD2482" s="133"/>
      <c r="AE2482" s="133"/>
      <c r="AF2482" s="133"/>
      <c r="AG2482" s="133"/>
      <c r="AH2482" s="133"/>
      <c r="AI2482" s="133"/>
      <c r="AJ2482" s="133"/>
      <c r="AK2482" s="133"/>
      <c r="AL2482" s="133"/>
      <c r="AM2482" s="133"/>
      <c r="AN2482" s="133"/>
      <c r="AO2482" s="133"/>
      <c r="AP2482" s="133"/>
      <c r="AQ2482" s="133"/>
      <c r="AR2482" s="133"/>
      <c r="AS2482" s="153">
        <v>0</v>
      </c>
      <c r="AT2482" s="153">
        <v>0</v>
      </c>
      <c r="AU2482" s="153">
        <v>0</v>
      </c>
      <c r="AV2482" s="135"/>
      <c r="AW2482" s="135"/>
      <c r="AX2482" s="135"/>
      <c r="AY2482" s="135"/>
      <c r="AZ2482" s="135"/>
      <c r="BA2482" s="135"/>
      <c r="BB2482" s="135"/>
      <c r="BC2482" s="135"/>
      <c r="BD2482" s="135"/>
      <c r="BE2482" s="135"/>
      <c r="BF2482" s="135"/>
      <c r="BG2482" s="135"/>
      <c r="BH2482" s="135"/>
      <c r="BI2482" s="2"/>
      <c r="BJ2482" s="136"/>
      <c r="BK2482" s="2"/>
      <c r="BL2482" s="136"/>
      <c r="BM2482" s="136"/>
      <c r="BN2482" s="2"/>
      <c r="BO2482" s="2"/>
      <c r="BP2482" s="136"/>
      <c r="BQ2482" s="137"/>
    </row>
    <row r="2483" spans="1:69" ht="12.75" customHeight="1" x14ac:dyDescent="0.2">
      <c r="A2483" s="2">
        <v>3972</v>
      </c>
      <c r="B2483" s="2"/>
      <c r="C2483" s="2"/>
      <c r="D2483" s="2"/>
      <c r="E2483" s="2"/>
      <c r="F2483" s="132">
        <v>0</v>
      </c>
      <c r="G2483" s="132"/>
      <c r="H2483" s="132">
        <f t="shared" si="283"/>
        <v>0</v>
      </c>
      <c r="I2483" s="132"/>
      <c r="J2483" s="132">
        <f t="shared" si="281"/>
        <v>0</v>
      </c>
      <c r="K2483" s="132">
        <f t="shared" si="277"/>
        <v>0</v>
      </c>
      <c r="L2483" s="132">
        <f t="shared" si="278"/>
        <v>0</v>
      </c>
      <c r="M2483" s="133"/>
      <c r="N2483" s="133">
        <f t="shared" si="282"/>
        <v>0</v>
      </c>
      <c r="O2483" s="134"/>
      <c r="P2483" s="133"/>
      <c r="Q2483" s="2"/>
      <c r="R2483" s="156">
        <f t="shared" si="279"/>
        <v>0</v>
      </c>
      <c r="S2483" s="156">
        <f t="shared" si="280"/>
        <v>0</v>
      </c>
      <c r="T2483" s="133"/>
      <c r="U2483" s="133"/>
      <c r="V2483" s="133"/>
      <c r="W2483" s="133"/>
      <c r="X2483" s="133"/>
      <c r="Y2483" s="133"/>
      <c r="Z2483" s="133"/>
      <c r="AA2483" s="133"/>
      <c r="AB2483" s="133"/>
      <c r="AC2483" s="133"/>
      <c r="AD2483" s="133"/>
      <c r="AE2483" s="133"/>
      <c r="AF2483" s="133"/>
      <c r="AG2483" s="133"/>
      <c r="AH2483" s="133"/>
      <c r="AI2483" s="133"/>
      <c r="AJ2483" s="133"/>
      <c r="AK2483" s="133"/>
      <c r="AL2483" s="133"/>
      <c r="AM2483" s="133"/>
      <c r="AN2483" s="133"/>
      <c r="AO2483" s="133"/>
      <c r="AP2483" s="133"/>
      <c r="AQ2483" s="133"/>
      <c r="AR2483" s="133"/>
      <c r="AS2483" s="153">
        <v>0</v>
      </c>
      <c r="AT2483" s="153">
        <v>0</v>
      </c>
      <c r="AU2483" s="153">
        <v>0</v>
      </c>
      <c r="AV2483" s="135"/>
      <c r="AW2483" s="135"/>
      <c r="AX2483" s="135"/>
      <c r="AY2483" s="135"/>
      <c r="AZ2483" s="135"/>
      <c r="BA2483" s="135"/>
      <c r="BB2483" s="135"/>
      <c r="BC2483" s="135"/>
      <c r="BD2483" s="135"/>
      <c r="BE2483" s="135"/>
      <c r="BF2483" s="135"/>
      <c r="BG2483" s="135"/>
      <c r="BH2483" s="135"/>
      <c r="BI2483" s="2"/>
      <c r="BJ2483" s="136"/>
      <c r="BK2483" s="2"/>
      <c r="BL2483" s="136"/>
      <c r="BM2483" s="136"/>
      <c r="BN2483" s="2"/>
      <c r="BO2483" s="2"/>
      <c r="BP2483" s="136"/>
      <c r="BQ2483" s="137"/>
    </row>
    <row r="2484" spans="1:69" ht="12.75" customHeight="1" x14ac:dyDescent="0.2">
      <c r="A2484" s="2">
        <v>3973</v>
      </c>
      <c r="B2484" s="2"/>
      <c r="C2484" s="2"/>
      <c r="D2484" s="2"/>
      <c r="E2484" s="2"/>
      <c r="F2484" s="132">
        <v>0</v>
      </c>
      <c r="G2484" s="132"/>
      <c r="H2484" s="132">
        <f t="shared" si="283"/>
        <v>0</v>
      </c>
      <c r="I2484" s="132"/>
      <c r="J2484" s="132">
        <f t="shared" si="281"/>
        <v>0</v>
      </c>
      <c r="K2484" s="132">
        <f t="shared" si="277"/>
        <v>0</v>
      </c>
      <c r="L2484" s="132">
        <f t="shared" si="278"/>
        <v>0</v>
      </c>
      <c r="M2484" s="133"/>
      <c r="N2484" s="133">
        <f t="shared" si="282"/>
        <v>0</v>
      </c>
      <c r="O2484" s="134"/>
      <c r="P2484" s="133"/>
      <c r="Q2484" s="2"/>
      <c r="R2484" s="156">
        <f t="shared" si="279"/>
        <v>0</v>
      </c>
      <c r="S2484" s="156">
        <f t="shared" si="280"/>
        <v>0</v>
      </c>
      <c r="T2484" s="133"/>
      <c r="U2484" s="133"/>
      <c r="V2484" s="133"/>
      <c r="W2484" s="133"/>
      <c r="X2484" s="133"/>
      <c r="Y2484" s="133"/>
      <c r="Z2484" s="133"/>
      <c r="AA2484" s="133"/>
      <c r="AB2484" s="133"/>
      <c r="AC2484" s="133"/>
      <c r="AD2484" s="133"/>
      <c r="AE2484" s="133"/>
      <c r="AF2484" s="133"/>
      <c r="AG2484" s="133"/>
      <c r="AH2484" s="133"/>
      <c r="AI2484" s="133"/>
      <c r="AJ2484" s="133"/>
      <c r="AK2484" s="133"/>
      <c r="AL2484" s="133"/>
      <c r="AM2484" s="133"/>
      <c r="AN2484" s="133"/>
      <c r="AO2484" s="133"/>
      <c r="AP2484" s="133"/>
      <c r="AQ2484" s="133"/>
      <c r="AR2484" s="133"/>
      <c r="AS2484" s="153">
        <v>0</v>
      </c>
      <c r="AT2484" s="153">
        <v>0</v>
      </c>
      <c r="AU2484" s="153">
        <v>0</v>
      </c>
      <c r="AV2484" s="135"/>
      <c r="AW2484" s="135"/>
      <c r="AX2484" s="135"/>
      <c r="AY2484" s="135"/>
      <c r="AZ2484" s="135"/>
      <c r="BA2484" s="135"/>
      <c r="BB2484" s="135"/>
      <c r="BC2484" s="135"/>
      <c r="BD2484" s="135"/>
      <c r="BE2484" s="135"/>
      <c r="BF2484" s="135"/>
      <c r="BG2484" s="135"/>
      <c r="BH2484" s="135"/>
      <c r="BI2484" s="2"/>
      <c r="BJ2484" s="136"/>
      <c r="BK2484" s="2"/>
      <c r="BL2484" s="136"/>
      <c r="BM2484" s="136"/>
      <c r="BN2484" s="2"/>
      <c r="BO2484" s="2"/>
      <c r="BP2484" s="136"/>
      <c r="BQ2484" s="137"/>
    </row>
    <row r="2485" spans="1:69" ht="12.75" customHeight="1" x14ac:dyDescent="0.2">
      <c r="A2485" s="2">
        <v>3974</v>
      </c>
      <c r="B2485" s="2"/>
      <c r="C2485" s="2"/>
      <c r="D2485" s="2"/>
      <c r="E2485" s="2"/>
      <c r="F2485" s="132">
        <v>0</v>
      </c>
      <c r="G2485" s="132"/>
      <c r="H2485" s="132">
        <f t="shared" si="283"/>
        <v>0</v>
      </c>
      <c r="I2485" s="132"/>
      <c r="J2485" s="132">
        <f t="shared" si="281"/>
        <v>0</v>
      </c>
      <c r="K2485" s="132">
        <f t="shared" si="277"/>
        <v>0</v>
      </c>
      <c r="L2485" s="132">
        <f t="shared" si="278"/>
        <v>0</v>
      </c>
      <c r="M2485" s="133"/>
      <c r="N2485" s="133">
        <f t="shared" si="282"/>
        <v>0</v>
      </c>
      <c r="O2485" s="134"/>
      <c r="P2485" s="133"/>
      <c r="Q2485" s="2"/>
      <c r="R2485" s="156">
        <f t="shared" si="279"/>
        <v>0</v>
      </c>
      <c r="S2485" s="156">
        <f t="shared" si="280"/>
        <v>0</v>
      </c>
      <c r="T2485" s="133"/>
      <c r="U2485" s="133"/>
      <c r="V2485" s="133"/>
      <c r="W2485" s="133"/>
      <c r="X2485" s="133"/>
      <c r="Y2485" s="133"/>
      <c r="Z2485" s="133"/>
      <c r="AA2485" s="133"/>
      <c r="AB2485" s="133"/>
      <c r="AC2485" s="133"/>
      <c r="AD2485" s="133"/>
      <c r="AE2485" s="133"/>
      <c r="AF2485" s="133"/>
      <c r="AG2485" s="133"/>
      <c r="AH2485" s="133"/>
      <c r="AI2485" s="133"/>
      <c r="AJ2485" s="133"/>
      <c r="AK2485" s="133"/>
      <c r="AL2485" s="133"/>
      <c r="AM2485" s="133"/>
      <c r="AN2485" s="133"/>
      <c r="AO2485" s="133"/>
      <c r="AP2485" s="133"/>
      <c r="AQ2485" s="133"/>
      <c r="AR2485" s="133"/>
      <c r="AS2485" s="153">
        <v>0</v>
      </c>
      <c r="AT2485" s="153">
        <v>0</v>
      </c>
      <c r="AU2485" s="153">
        <v>0</v>
      </c>
      <c r="AV2485" s="135"/>
      <c r="AW2485" s="135"/>
      <c r="AX2485" s="135"/>
      <c r="AY2485" s="135"/>
      <c r="AZ2485" s="135"/>
      <c r="BA2485" s="135"/>
      <c r="BB2485" s="135"/>
      <c r="BC2485" s="135"/>
      <c r="BD2485" s="135"/>
      <c r="BE2485" s="135"/>
      <c r="BF2485" s="135"/>
      <c r="BG2485" s="135"/>
      <c r="BH2485" s="135"/>
      <c r="BI2485" s="2"/>
      <c r="BJ2485" s="136"/>
      <c r="BK2485" s="2"/>
      <c r="BL2485" s="136"/>
      <c r="BM2485" s="136"/>
      <c r="BN2485" s="2"/>
      <c r="BO2485" s="2"/>
      <c r="BP2485" s="136"/>
      <c r="BQ2485" s="137"/>
    </row>
    <row r="2486" spans="1:69" ht="12.75" customHeight="1" x14ac:dyDescent="0.2">
      <c r="A2486" s="2">
        <v>3975</v>
      </c>
      <c r="B2486" s="2"/>
      <c r="C2486" s="2"/>
      <c r="D2486" s="2"/>
      <c r="E2486" s="2"/>
      <c r="F2486" s="132">
        <v>0</v>
      </c>
      <c r="G2486" s="132"/>
      <c r="H2486" s="132">
        <f t="shared" si="283"/>
        <v>0</v>
      </c>
      <c r="I2486" s="132"/>
      <c r="J2486" s="132">
        <f t="shared" si="281"/>
        <v>0</v>
      </c>
      <c r="K2486" s="132">
        <f t="shared" ref="K2486:K2549" si="284">F2486-J2486</f>
        <v>0</v>
      </c>
      <c r="L2486" s="132">
        <f t="shared" si="278"/>
        <v>0</v>
      </c>
      <c r="M2486" s="133"/>
      <c r="N2486" s="133">
        <f t="shared" si="282"/>
        <v>0</v>
      </c>
      <c r="O2486" s="134"/>
      <c r="P2486" s="133"/>
      <c r="Q2486" s="2"/>
      <c r="R2486" s="156">
        <f t="shared" si="279"/>
        <v>0</v>
      </c>
      <c r="S2486" s="156">
        <f t="shared" si="280"/>
        <v>0</v>
      </c>
      <c r="T2486" s="133"/>
      <c r="U2486" s="133"/>
      <c r="V2486" s="133"/>
      <c r="W2486" s="133"/>
      <c r="X2486" s="133"/>
      <c r="Y2486" s="133"/>
      <c r="Z2486" s="133"/>
      <c r="AA2486" s="133"/>
      <c r="AB2486" s="133"/>
      <c r="AC2486" s="133"/>
      <c r="AD2486" s="133"/>
      <c r="AE2486" s="133"/>
      <c r="AF2486" s="133"/>
      <c r="AG2486" s="133"/>
      <c r="AH2486" s="133"/>
      <c r="AI2486" s="133"/>
      <c r="AJ2486" s="133"/>
      <c r="AK2486" s="133"/>
      <c r="AL2486" s="133"/>
      <c r="AM2486" s="133"/>
      <c r="AN2486" s="133"/>
      <c r="AO2486" s="133"/>
      <c r="AP2486" s="133"/>
      <c r="AQ2486" s="133"/>
      <c r="AR2486" s="133"/>
      <c r="AS2486" s="153">
        <v>0</v>
      </c>
      <c r="AT2486" s="153">
        <v>0</v>
      </c>
      <c r="AU2486" s="153">
        <v>0</v>
      </c>
      <c r="AV2486" s="135"/>
      <c r="AW2486" s="135"/>
      <c r="AX2486" s="135"/>
      <c r="AY2486" s="135"/>
      <c r="AZ2486" s="135"/>
      <c r="BA2486" s="135"/>
      <c r="BB2486" s="135"/>
      <c r="BC2486" s="135"/>
      <c r="BD2486" s="135"/>
      <c r="BE2486" s="135"/>
      <c r="BF2486" s="135"/>
      <c r="BG2486" s="135"/>
      <c r="BH2486" s="135"/>
      <c r="BI2486" s="2"/>
      <c r="BJ2486" s="136"/>
      <c r="BK2486" s="2"/>
      <c r="BL2486" s="136"/>
      <c r="BM2486" s="136"/>
      <c r="BN2486" s="2"/>
      <c r="BO2486" s="2"/>
      <c r="BP2486" s="136"/>
      <c r="BQ2486" s="137"/>
    </row>
    <row r="2487" spans="1:69" ht="12.75" customHeight="1" x14ac:dyDescent="0.2">
      <c r="A2487" s="2">
        <v>3976</v>
      </c>
      <c r="B2487" s="2"/>
      <c r="C2487" s="2"/>
      <c r="D2487" s="2"/>
      <c r="E2487" s="2"/>
      <c r="F2487" s="132">
        <v>0</v>
      </c>
      <c r="G2487" s="132"/>
      <c r="H2487" s="132">
        <f t="shared" si="283"/>
        <v>0</v>
      </c>
      <c r="I2487" s="132"/>
      <c r="J2487" s="132">
        <f t="shared" si="281"/>
        <v>0</v>
      </c>
      <c r="K2487" s="132">
        <f t="shared" si="284"/>
        <v>0</v>
      </c>
      <c r="L2487" s="132">
        <f t="shared" si="278"/>
        <v>0</v>
      </c>
      <c r="M2487" s="133"/>
      <c r="N2487" s="133">
        <f t="shared" si="282"/>
        <v>0</v>
      </c>
      <c r="O2487" s="134"/>
      <c r="P2487" s="133"/>
      <c r="Q2487" s="2"/>
      <c r="R2487" s="156">
        <f t="shared" si="279"/>
        <v>0</v>
      </c>
      <c r="S2487" s="156">
        <f t="shared" si="280"/>
        <v>0</v>
      </c>
      <c r="T2487" s="133"/>
      <c r="U2487" s="133"/>
      <c r="V2487" s="133"/>
      <c r="W2487" s="133"/>
      <c r="X2487" s="133"/>
      <c r="Y2487" s="133"/>
      <c r="Z2487" s="133"/>
      <c r="AA2487" s="133"/>
      <c r="AB2487" s="133"/>
      <c r="AC2487" s="133"/>
      <c r="AD2487" s="133"/>
      <c r="AE2487" s="133"/>
      <c r="AF2487" s="133"/>
      <c r="AG2487" s="133"/>
      <c r="AH2487" s="133"/>
      <c r="AI2487" s="133"/>
      <c r="AJ2487" s="133"/>
      <c r="AK2487" s="133"/>
      <c r="AL2487" s="133"/>
      <c r="AM2487" s="133"/>
      <c r="AN2487" s="133"/>
      <c r="AO2487" s="133"/>
      <c r="AP2487" s="133"/>
      <c r="AQ2487" s="133"/>
      <c r="AR2487" s="133"/>
      <c r="AS2487" s="153">
        <v>0</v>
      </c>
      <c r="AT2487" s="153">
        <v>0</v>
      </c>
      <c r="AU2487" s="153">
        <v>0</v>
      </c>
      <c r="AV2487" s="135"/>
      <c r="AW2487" s="135"/>
      <c r="AX2487" s="135"/>
      <c r="AY2487" s="135"/>
      <c r="AZ2487" s="135"/>
      <c r="BA2487" s="135"/>
      <c r="BB2487" s="135"/>
      <c r="BC2487" s="135"/>
      <c r="BD2487" s="135"/>
      <c r="BE2487" s="135"/>
      <c r="BF2487" s="135"/>
      <c r="BG2487" s="135"/>
      <c r="BH2487" s="135"/>
      <c r="BI2487" s="2"/>
      <c r="BJ2487" s="136"/>
      <c r="BK2487" s="2"/>
      <c r="BL2487" s="136"/>
      <c r="BM2487" s="136"/>
      <c r="BN2487" s="2"/>
      <c r="BO2487" s="2"/>
      <c r="BP2487" s="136"/>
      <c r="BQ2487" s="137"/>
    </row>
    <row r="2488" spans="1:69" ht="12.75" customHeight="1" x14ac:dyDescent="0.2">
      <c r="A2488" s="2">
        <v>3977</v>
      </c>
      <c r="B2488" s="2"/>
      <c r="C2488" s="2"/>
      <c r="D2488" s="2"/>
      <c r="E2488" s="2"/>
      <c r="F2488" s="132">
        <v>0</v>
      </c>
      <c r="G2488" s="132"/>
      <c r="H2488" s="132">
        <f t="shared" si="283"/>
        <v>0</v>
      </c>
      <c r="I2488" s="132"/>
      <c r="J2488" s="132">
        <f t="shared" si="281"/>
        <v>0</v>
      </c>
      <c r="K2488" s="132">
        <f t="shared" si="284"/>
        <v>0</v>
      </c>
      <c r="L2488" s="132">
        <f t="shared" si="278"/>
        <v>0</v>
      </c>
      <c r="M2488" s="133"/>
      <c r="N2488" s="133">
        <f t="shared" si="282"/>
        <v>0</v>
      </c>
      <c r="O2488" s="134"/>
      <c r="P2488" s="133"/>
      <c r="Q2488" s="2"/>
      <c r="R2488" s="156">
        <f t="shared" si="279"/>
        <v>0</v>
      </c>
      <c r="S2488" s="156">
        <f t="shared" si="280"/>
        <v>0</v>
      </c>
      <c r="T2488" s="133"/>
      <c r="U2488" s="133"/>
      <c r="V2488" s="133"/>
      <c r="W2488" s="133"/>
      <c r="X2488" s="133"/>
      <c r="Y2488" s="133"/>
      <c r="Z2488" s="133"/>
      <c r="AA2488" s="133"/>
      <c r="AB2488" s="133"/>
      <c r="AC2488" s="133"/>
      <c r="AD2488" s="133"/>
      <c r="AE2488" s="133"/>
      <c r="AF2488" s="133"/>
      <c r="AG2488" s="133"/>
      <c r="AH2488" s="133"/>
      <c r="AI2488" s="133"/>
      <c r="AJ2488" s="133"/>
      <c r="AK2488" s="133"/>
      <c r="AL2488" s="133"/>
      <c r="AM2488" s="133"/>
      <c r="AN2488" s="133"/>
      <c r="AO2488" s="133"/>
      <c r="AP2488" s="133"/>
      <c r="AQ2488" s="133"/>
      <c r="AR2488" s="133"/>
      <c r="AS2488" s="153">
        <v>0</v>
      </c>
      <c r="AT2488" s="153">
        <v>0</v>
      </c>
      <c r="AU2488" s="153">
        <v>0</v>
      </c>
      <c r="AV2488" s="135"/>
      <c r="AW2488" s="135"/>
      <c r="AX2488" s="135"/>
      <c r="AY2488" s="135"/>
      <c r="AZ2488" s="135"/>
      <c r="BA2488" s="135"/>
      <c r="BB2488" s="135"/>
      <c r="BC2488" s="135"/>
      <c r="BD2488" s="135"/>
      <c r="BE2488" s="135"/>
      <c r="BF2488" s="135"/>
      <c r="BG2488" s="135"/>
      <c r="BH2488" s="135"/>
      <c r="BI2488" s="2"/>
      <c r="BJ2488" s="136"/>
      <c r="BK2488" s="2"/>
      <c r="BL2488" s="136"/>
      <c r="BM2488" s="136"/>
      <c r="BN2488" s="2"/>
      <c r="BO2488" s="2"/>
      <c r="BP2488" s="136"/>
      <c r="BQ2488" s="137"/>
    </row>
    <row r="2489" spans="1:69" ht="12.75" customHeight="1" x14ac:dyDescent="0.2">
      <c r="A2489" s="2">
        <v>3978</v>
      </c>
      <c r="B2489" s="2"/>
      <c r="C2489" s="2"/>
      <c r="D2489" s="2"/>
      <c r="E2489" s="2"/>
      <c r="F2489" s="132">
        <v>0</v>
      </c>
      <c r="G2489" s="132"/>
      <c r="H2489" s="132">
        <f t="shared" si="283"/>
        <v>0</v>
      </c>
      <c r="I2489" s="132"/>
      <c r="J2489" s="132">
        <f t="shared" si="281"/>
        <v>0</v>
      </c>
      <c r="K2489" s="132">
        <f t="shared" si="284"/>
        <v>0</v>
      </c>
      <c r="L2489" s="132">
        <f t="shared" si="278"/>
        <v>0</v>
      </c>
      <c r="M2489" s="133"/>
      <c r="N2489" s="133">
        <f t="shared" si="282"/>
        <v>0</v>
      </c>
      <c r="O2489" s="134"/>
      <c r="P2489" s="133"/>
      <c r="Q2489" s="2"/>
      <c r="R2489" s="156">
        <f t="shared" si="279"/>
        <v>0</v>
      </c>
      <c r="S2489" s="156">
        <f t="shared" si="280"/>
        <v>0</v>
      </c>
      <c r="T2489" s="133"/>
      <c r="U2489" s="133"/>
      <c r="V2489" s="133"/>
      <c r="W2489" s="133"/>
      <c r="X2489" s="133"/>
      <c r="Y2489" s="133"/>
      <c r="Z2489" s="133"/>
      <c r="AA2489" s="133"/>
      <c r="AB2489" s="133"/>
      <c r="AC2489" s="133"/>
      <c r="AD2489" s="133"/>
      <c r="AE2489" s="133"/>
      <c r="AF2489" s="133"/>
      <c r="AG2489" s="133"/>
      <c r="AH2489" s="133"/>
      <c r="AI2489" s="133"/>
      <c r="AJ2489" s="133"/>
      <c r="AK2489" s="133"/>
      <c r="AL2489" s="133"/>
      <c r="AM2489" s="133"/>
      <c r="AN2489" s="133"/>
      <c r="AO2489" s="133"/>
      <c r="AP2489" s="133"/>
      <c r="AQ2489" s="133"/>
      <c r="AR2489" s="133"/>
      <c r="AS2489" s="153">
        <v>0</v>
      </c>
      <c r="AT2489" s="153">
        <v>0</v>
      </c>
      <c r="AU2489" s="153">
        <v>0</v>
      </c>
      <c r="AV2489" s="135"/>
      <c r="AW2489" s="135"/>
      <c r="AX2489" s="135"/>
      <c r="AY2489" s="135"/>
      <c r="AZ2489" s="135"/>
      <c r="BA2489" s="135"/>
      <c r="BB2489" s="135"/>
      <c r="BC2489" s="135"/>
      <c r="BD2489" s="135"/>
      <c r="BE2489" s="135"/>
      <c r="BF2489" s="135"/>
      <c r="BG2489" s="135"/>
      <c r="BH2489" s="135"/>
      <c r="BI2489" s="2"/>
      <c r="BJ2489" s="136"/>
      <c r="BK2489" s="2"/>
      <c r="BL2489" s="136"/>
      <c r="BM2489" s="136"/>
      <c r="BN2489" s="2"/>
      <c r="BO2489" s="2"/>
      <c r="BP2489" s="136"/>
      <c r="BQ2489" s="137"/>
    </row>
    <row r="2490" spans="1:69" ht="12.75" customHeight="1" x14ac:dyDescent="0.2">
      <c r="A2490" s="2">
        <v>3979</v>
      </c>
      <c r="B2490" s="2"/>
      <c r="C2490" s="2"/>
      <c r="D2490" s="2"/>
      <c r="E2490" s="2"/>
      <c r="F2490" s="132">
        <v>0</v>
      </c>
      <c r="G2490" s="132"/>
      <c r="H2490" s="132">
        <f t="shared" si="283"/>
        <v>0</v>
      </c>
      <c r="I2490" s="132"/>
      <c r="J2490" s="132">
        <f t="shared" si="281"/>
        <v>0</v>
      </c>
      <c r="K2490" s="132">
        <f t="shared" si="284"/>
        <v>0</v>
      </c>
      <c r="L2490" s="132">
        <f t="shared" si="278"/>
        <v>0</v>
      </c>
      <c r="M2490" s="133"/>
      <c r="N2490" s="133">
        <f t="shared" si="282"/>
        <v>0</v>
      </c>
      <c r="O2490" s="134"/>
      <c r="P2490" s="133"/>
      <c r="Q2490" s="2"/>
      <c r="R2490" s="156">
        <f t="shared" si="279"/>
        <v>0</v>
      </c>
      <c r="S2490" s="156">
        <f t="shared" si="280"/>
        <v>0</v>
      </c>
      <c r="T2490" s="133"/>
      <c r="U2490" s="133"/>
      <c r="V2490" s="133"/>
      <c r="W2490" s="133"/>
      <c r="X2490" s="133"/>
      <c r="Y2490" s="133"/>
      <c r="Z2490" s="133"/>
      <c r="AA2490" s="133"/>
      <c r="AB2490" s="133"/>
      <c r="AC2490" s="133"/>
      <c r="AD2490" s="133"/>
      <c r="AE2490" s="133"/>
      <c r="AF2490" s="133"/>
      <c r="AG2490" s="133"/>
      <c r="AH2490" s="133"/>
      <c r="AI2490" s="133"/>
      <c r="AJ2490" s="133"/>
      <c r="AK2490" s="133"/>
      <c r="AL2490" s="133"/>
      <c r="AM2490" s="133"/>
      <c r="AN2490" s="133"/>
      <c r="AO2490" s="133"/>
      <c r="AP2490" s="133"/>
      <c r="AQ2490" s="133"/>
      <c r="AR2490" s="133"/>
      <c r="AS2490" s="153">
        <v>0</v>
      </c>
      <c r="AT2490" s="153">
        <v>0</v>
      </c>
      <c r="AU2490" s="153">
        <v>0</v>
      </c>
      <c r="AV2490" s="135"/>
      <c r="AW2490" s="135"/>
      <c r="AX2490" s="135"/>
      <c r="AY2490" s="135"/>
      <c r="AZ2490" s="135"/>
      <c r="BA2490" s="135"/>
      <c r="BB2490" s="135"/>
      <c r="BC2490" s="135"/>
      <c r="BD2490" s="135"/>
      <c r="BE2490" s="135"/>
      <c r="BF2490" s="135"/>
      <c r="BG2490" s="135"/>
      <c r="BH2490" s="135"/>
      <c r="BI2490" s="2"/>
      <c r="BJ2490" s="136"/>
      <c r="BK2490" s="2"/>
      <c r="BL2490" s="136"/>
      <c r="BM2490" s="136"/>
      <c r="BN2490" s="2"/>
      <c r="BO2490" s="2"/>
      <c r="BP2490" s="136"/>
      <c r="BQ2490" s="137"/>
    </row>
    <row r="2491" spans="1:69" ht="12.75" customHeight="1" x14ac:dyDescent="0.2">
      <c r="A2491" s="2">
        <v>3980</v>
      </c>
      <c r="B2491" s="2"/>
      <c r="C2491" s="2"/>
      <c r="D2491" s="2"/>
      <c r="E2491" s="2"/>
      <c r="F2491" s="132">
        <v>0</v>
      </c>
      <c r="G2491" s="132"/>
      <c r="H2491" s="132">
        <f t="shared" si="283"/>
        <v>0</v>
      </c>
      <c r="I2491" s="132"/>
      <c r="J2491" s="132">
        <f t="shared" si="281"/>
        <v>0</v>
      </c>
      <c r="K2491" s="132">
        <f t="shared" si="284"/>
        <v>0</v>
      </c>
      <c r="L2491" s="132">
        <f t="shared" si="278"/>
        <v>0</v>
      </c>
      <c r="M2491" s="133"/>
      <c r="N2491" s="133">
        <f t="shared" si="282"/>
        <v>0</v>
      </c>
      <c r="O2491" s="134"/>
      <c r="P2491" s="133"/>
      <c r="Q2491" s="2"/>
      <c r="R2491" s="156">
        <f t="shared" si="279"/>
        <v>0</v>
      </c>
      <c r="S2491" s="156">
        <f t="shared" si="280"/>
        <v>0</v>
      </c>
      <c r="T2491" s="133"/>
      <c r="U2491" s="133"/>
      <c r="V2491" s="133"/>
      <c r="W2491" s="133"/>
      <c r="X2491" s="133"/>
      <c r="Y2491" s="133"/>
      <c r="Z2491" s="133"/>
      <c r="AA2491" s="133"/>
      <c r="AB2491" s="133"/>
      <c r="AC2491" s="133"/>
      <c r="AD2491" s="133"/>
      <c r="AE2491" s="133"/>
      <c r="AF2491" s="133"/>
      <c r="AG2491" s="133"/>
      <c r="AH2491" s="133"/>
      <c r="AI2491" s="133"/>
      <c r="AJ2491" s="133"/>
      <c r="AK2491" s="133"/>
      <c r="AL2491" s="133"/>
      <c r="AM2491" s="133"/>
      <c r="AN2491" s="133"/>
      <c r="AO2491" s="133"/>
      <c r="AP2491" s="133"/>
      <c r="AQ2491" s="133"/>
      <c r="AR2491" s="133"/>
      <c r="AS2491" s="153">
        <v>0</v>
      </c>
      <c r="AT2491" s="153">
        <v>0</v>
      </c>
      <c r="AU2491" s="153">
        <v>0</v>
      </c>
      <c r="AV2491" s="135"/>
      <c r="AW2491" s="135"/>
      <c r="AX2491" s="135"/>
      <c r="AY2491" s="135"/>
      <c r="AZ2491" s="135"/>
      <c r="BA2491" s="135"/>
      <c r="BB2491" s="135"/>
      <c r="BC2491" s="135"/>
      <c r="BD2491" s="135"/>
      <c r="BE2491" s="135"/>
      <c r="BF2491" s="135"/>
      <c r="BG2491" s="135"/>
      <c r="BH2491" s="135"/>
      <c r="BI2491" s="2"/>
      <c r="BJ2491" s="136"/>
      <c r="BK2491" s="2"/>
      <c r="BL2491" s="136"/>
      <c r="BM2491" s="136"/>
      <c r="BN2491" s="2"/>
      <c r="BO2491" s="2"/>
      <c r="BP2491" s="136"/>
      <c r="BQ2491" s="137"/>
    </row>
    <row r="2492" spans="1:69" ht="12.75" customHeight="1" x14ac:dyDescent="0.2">
      <c r="A2492" s="2">
        <v>3981</v>
      </c>
      <c r="B2492" s="2"/>
      <c r="C2492" s="2"/>
      <c r="D2492" s="2"/>
      <c r="E2492" s="2"/>
      <c r="F2492" s="132">
        <v>0</v>
      </c>
      <c r="G2492" s="132"/>
      <c r="H2492" s="132">
        <f t="shared" si="283"/>
        <v>0</v>
      </c>
      <c r="I2492" s="132"/>
      <c r="J2492" s="132">
        <f t="shared" si="281"/>
        <v>0</v>
      </c>
      <c r="K2492" s="132">
        <f t="shared" si="284"/>
        <v>0</v>
      </c>
      <c r="L2492" s="132">
        <f t="shared" si="278"/>
        <v>0</v>
      </c>
      <c r="M2492" s="133"/>
      <c r="N2492" s="133">
        <f t="shared" si="282"/>
        <v>0</v>
      </c>
      <c r="O2492" s="134"/>
      <c r="P2492" s="133"/>
      <c r="Q2492" s="2"/>
      <c r="R2492" s="156">
        <f t="shared" si="279"/>
        <v>0</v>
      </c>
      <c r="S2492" s="156">
        <f t="shared" si="280"/>
        <v>0</v>
      </c>
      <c r="T2492" s="133"/>
      <c r="U2492" s="133"/>
      <c r="V2492" s="133"/>
      <c r="W2492" s="133"/>
      <c r="X2492" s="133"/>
      <c r="Y2492" s="133"/>
      <c r="Z2492" s="133"/>
      <c r="AA2492" s="133"/>
      <c r="AB2492" s="133"/>
      <c r="AC2492" s="133"/>
      <c r="AD2492" s="133"/>
      <c r="AE2492" s="133"/>
      <c r="AF2492" s="133"/>
      <c r="AG2492" s="133"/>
      <c r="AH2492" s="133"/>
      <c r="AI2492" s="133"/>
      <c r="AJ2492" s="133"/>
      <c r="AK2492" s="133"/>
      <c r="AL2492" s="133"/>
      <c r="AM2492" s="133"/>
      <c r="AN2492" s="133"/>
      <c r="AO2492" s="133"/>
      <c r="AP2492" s="133"/>
      <c r="AQ2492" s="133"/>
      <c r="AR2492" s="133"/>
      <c r="AS2492" s="153">
        <v>0</v>
      </c>
      <c r="AT2492" s="153">
        <v>0</v>
      </c>
      <c r="AU2492" s="153">
        <v>0</v>
      </c>
      <c r="AV2492" s="135"/>
      <c r="AW2492" s="135"/>
      <c r="AX2492" s="135"/>
      <c r="AY2492" s="135"/>
      <c r="AZ2492" s="135"/>
      <c r="BA2492" s="135"/>
      <c r="BB2492" s="135"/>
      <c r="BC2492" s="135"/>
      <c r="BD2492" s="135"/>
      <c r="BE2492" s="135"/>
      <c r="BF2492" s="135"/>
      <c r="BG2492" s="135"/>
      <c r="BH2492" s="135"/>
      <c r="BI2492" s="2"/>
      <c r="BJ2492" s="136"/>
      <c r="BK2492" s="2"/>
      <c r="BL2492" s="136"/>
      <c r="BM2492" s="136"/>
      <c r="BN2492" s="2"/>
      <c r="BO2492" s="2"/>
      <c r="BP2492" s="136"/>
      <c r="BQ2492" s="137"/>
    </row>
    <row r="2493" spans="1:69" ht="12.75" customHeight="1" x14ac:dyDescent="0.2">
      <c r="A2493" s="2">
        <v>3982</v>
      </c>
      <c r="B2493" s="2"/>
      <c r="C2493" s="2"/>
      <c r="D2493" s="2"/>
      <c r="E2493" s="2"/>
      <c r="F2493" s="132">
        <v>0</v>
      </c>
      <c r="G2493" s="132"/>
      <c r="H2493" s="132">
        <f t="shared" si="283"/>
        <v>0</v>
      </c>
      <c r="I2493" s="132"/>
      <c r="J2493" s="132">
        <f t="shared" si="281"/>
        <v>0</v>
      </c>
      <c r="K2493" s="132">
        <f t="shared" si="284"/>
        <v>0</v>
      </c>
      <c r="L2493" s="132">
        <f t="shared" si="278"/>
        <v>0</v>
      </c>
      <c r="M2493" s="133"/>
      <c r="N2493" s="133">
        <f t="shared" si="282"/>
        <v>0</v>
      </c>
      <c r="O2493" s="134"/>
      <c r="P2493" s="133"/>
      <c r="Q2493" s="2"/>
      <c r="R2493" s="156">
        <f t="shared" si="279"/>
        <v>0</v>
      </c>
      <c r="S2493" s="156">
        <f t="shared" si="280"/>
        <v>0</v>
      </c>
      <c r="T2493" s="133"/>
      <c r="U2493" s="133"/>
      <c r="V2493" s="133"/>
      <c r="W2493" s="133"/>
      <c r="X2493" s="133"/>
      <c r="Y2493" s="133"/>
      <c r="Z2493" s="133"/>
      <c r="AA2493" s="133"/>
      <c r="AB2493" s="133"/>
      <c r="AC2493" s="133"/>
      <c r="AD2493" s="133"/>
      <c r="AE2493" s="133"/>
      <c r="AF2493" s="133"/>
      <c r="AG2493" s="133"/>
      <c r="AH2493" s="133"/>
      <c r="AI2493" s="133"/>
      <c r="AJ2493" s="133"/>
      <c r="AK2493" s="133"/>
      <c r="AL2493" s="133"/>
      <c r="AM2493" s="133"/>
      <c r="AN2493" s="133"/>
      <c r="AO2493" s="133"/>
      <c r="AP2493" s="133"/>
      <c r="AQ2493" s="133"/>
      <c r="AR2493" s="133"/>
      <c r="AS2493" s="153">
        <v>0</v>
      </c>
      <c r="AT2493" s="153">
        <v>0</v>
      </c>
      <c r="AU2493" s="153">
        <v>0</v>
      </c>
      <c r="AV2493" s="135"/>
      <c r="AW2493" s="135"/>
      <c r="AX2493" s="135"/>
      <c r="AY2493" s="135"/>
      <c r="AZ2493" s="135"/>
      <c r="BA2493" s="135"/>
      <c r="BB2493" s="135"/>
      <c r="BC2493" s="135"/>
      <c r="BD2493" s="135"/>
      <c r="BE2493" s="135"/>
      <c r="BF2493" s="135"/>
      <c r="BG2493" s="135"/>
      <c r="BH2493" s="135"/>
      <c r="BI2493" s="2"/>
      <c r="BJ2493" s="136"/>
      <c r="BK2493" s="2"/>
      <c r="BL2493" s="136"/>
      <c r="BM2493" s="136"/>
      <c r="BN2493" s="2"/>
      <c r="BO2493" s="2"/>
      <c r="BP2493" s="136"/>
      <c r="BQ2493" s="137"/>
    </row>
    <row r="2494" spans="1:69" ht="12.75" customHeight="1" x14ac:dyDescent="0.2">
      <c r="A2494" s="2">
        <v>3983</v>
      </c>
      <c r="B2494" s="2"/>
      <c r="C2494" s="2"/>
      <c r="D2494" s="2"/>
      <c r="E2494" s="2"/>
      <c r="F2494" s="132">
        <v>0</v>
      </c>
      <c r="G2494" s="132"/>
      <c r="H2494" s="132">
        <f t="shared" si="283"/>
        <v>0</v>
      </c>
      <c r="I2494" s="132"/>
      <c r="J2494" s="132">
        <f t="shared" si="281"/>
        <v>0</v>
      </c>
      <c r="K2494" s="132">
        <f t="shared" si="284"/>
        <v>0</v>
      </c>
      <c r="L2494" s="132">
        <f t="shared" si="278"/>
        <v>0</v>
      </c>
      <c r="M2494" s="133"/>
      <c r="N2494" s="133">
        <f t="shared" si="282"/>
        <v>0</v>
      </c>
      <c r="O2494" s="134"/>
      <c r="P2494" s="133"/>
      <c r="Q2494" s="2"/>
      <c r="R2494" s="156">
        <f t="shared" si="279"/>
        <v>0</v>
      </c>
      <c r="S2494" s="156">
        <f t="shared" si="280"/>
        <v>0</v>
      </c>
      <c r="T2494" s="133"/>
      <c r="U2494" s="133"/>
      <c r="V2494" s="133"/>
      <c r="W2494" s="133"/>
      <c r="X2494" s="133"/>
      <c r="Y2494" s="133"/>
      <c r="Z2494" s="133"/>
      <c r="AA2494" s="133"/>
      <c r="AB2494" s="133"/>
      <c r="AC2494" s="133"/>
      <c r="AD2494" s="133"/>
      <c r="AE2494" s="133"/>
      <c r="AF2494" s="133"/>
      <c r="AG2494" s="133"/>
      <c r="AH2494" s="133"/>
      <c r="AI2494" s="133"/>
      <c r="AJ2494" s="133"/>
      <c r="AK2494" s="133"/>
      <c r="AL2494" s="133"/>
      <c r="AM2494" s="133"/>
      <c r="AN2494" s="133"/>
      <c r="AO2494" s="133"/>
      <c r="AP2494" s="133"/>
      <c r="AQ2494" s="133"/>
      <c r="AR2494" s="133"/>
      <c r="AS2494" s="153">
        <v>0</v>
      </c>
      <c r="AT2494" s="153">
        <v>0</v>
      </c>
      <c r="AU2494" s="153">
        <v>0</v>
      </c>
      <c r="AV2494" s="135"/>
      <c r="AW2494" s="135"/>
      <c r="AX2494" s="135"/>
      <c r="AY2494" s="135"/>
      <c r="AZ2494" s="135"/>
      <c r="BA2494" s="135"/>
      <c r="BB2494" s="135"/>
      <c r="BC2494" s="135"/>
      <c r="BD2494" s="135"/>
      <c r="BE2494" s="135"/>
      <c r="BF2494" s="135"/>
      <c r="BG2494" s="135"/>
      <c r="BH2494" s="135"/>
      <c r="BI2494" s="2"/>
      <c r="BJ2494" s="136"/>
      <c r="BK2494" s="2"/>
      <c r="BL2494" s="136"/>
      <c r="BM2494" s="136"/>
      <c r="BN2494" s="2"/>
      <c r="BO2494" s="2"/>
      <c r="BP2494" s="136"/>
      <c r="BQ2494" s="137"/>
    </row>
    <row r="2495" spans="1:69" ht="12.75" customHeight="1" x14ac:dyDescent="0.2">
      <c r="A2495" s="2">
        <v>3984</v>
      </c>
      <c r="B2495" s="2"/>
      <c r="C2495" s="2"/>
      <c r="D2495" s="2"/>
      <c r="E2495" s="2"/>
      <c r="F2495" s="132">
        <v>0</v>
      </c>
      <c r="G2495" s="132"/>
      <c r="H2495" s="132">
        <f t="shared" si="283"/>
        <v>0</v>
      </c>
      <c r="I2495" s="132"/>
      <c r="J2495" s="132">
        <f t="shared" si="281"/>
        <v>0</v>
      </c>
      <c r="K2495" s="132">
        <f t="shared" si="284"/>
        <v>0</v>
      </c>
      <c r="L2495" s="132">
        <f t="shared" si="278"/>
        <v>0</v>
      </c>
      <c r="M2495" s="133"/>
      <c r="N2495" s="133">
        <f t="shared" si="282"/>
        <v>0</v>
      </c>
      <c r="O2495" s="134"/>
      <c r="P2495" s="133"/>
      <c r="Q2495" s="2"/>
      <c r="R2495" s="156">
        <f t="shared" si="279"/>
        <v>0</v>
      </c>
      <c r="S2495" s="156">
        <f t="shared" si="280"/>
        <v>0</v>
      </c>
      <c r="T2495" s="133"/>
      <c r="U2495" s="133"/>
      <c r="V2495" s="133"/>
      <c r="W2495" s="133"/>
      <c r="X2495" s="133"/>
      <c r="Y2495" s="133"/>
      <c r="Z2495" s="133"/>
      <c r="AA2495" s="133"/>
      <c r="AB2495" s="133"/>
      <c r="AC2495" s="133"/>
      <c r="AD2495" s="133"/>
      <c r="AE2495" s="133"/>
      <c r="AF2495" s="133"/>
      <c r="AG2495" s="133"/>
      <c r="AH2495" s="133"/>
      <c r="AI2495" s="133"/>
      <c r="AJ2495" s="133"/>
      <c r="AK2495" s="133"/>
      <c r="AL2495" s="133"/>
      <c r="AM2495" s="133"/>
      <c r="AN2495" s="133"/>
      <c r="AO2495" s="133"/>
      <c r="AP2495" s="133"/>
      <c r="AQ2495" s="133"/>
      <c r="AR2495" s="133"/>
      <c r="AS2495" s="153">
        <v>0</v>
      </c>
      <c r="AT2495" s="153">
        <v>0</v>
      </c>
      <c r="AU2495" s="153">
        <v>0</v>
      </c>
      <c r="AV2495" s="135"/>
      <c r="AW2495" s="135"/>
      <c r="AX2495" s="135"/>
      <c r="AY2495" s="135"/>
      <c r="AZ2495" s="135"/>
      <c r="BA2495" s="135"/>
      <c r="BB2495" s="135"/>
      <c r="BC2495" s="135"/>
      <c r="BD2495" s="135"/>
      <c r="BE2495" s="135"/>
      <c r="BF2495" s="135"/>
      <c r="BG2495" s="135"/>
      <c r="BH2495" s="135"/>
      <c r="BI2495" s="2"/>
      <c r="BJ2495" s="136"/>
      <c r="BK2495" s="2"/>
      <c r="BL2495" s="136"/>
      <c r="BM2495" s="136"/>
      <c r="BN2495" s="2"/>
      <c r="BO2495" s="2"/>
      <c r="BP2495" s="136"/>
      <c r="BQ2495" s="137"/>
    </row>
    <row r="2496" spans="1:69" ht="12.75" customHeight="1" x14ac:dyDescent="0.2">
      <c r="A2496" s="2">
        <v>3985</v>
      </c>
      <c r="B2496" s="2"/>
      <c r="C2496" s="2"/>
      <c r="D2496" s="2"/>
      <c r="E2496" s="2"/>
      <c r="F2496" s="132">
        <v>0</v>
      </c>
      <c r="G2496" s="132"/>
      <c r="H2496" s="132">
        <f t="shared" si="283"/>
        <v>0</v>
      </c>
      <c r="I2496" s="132"/>
      <c r="J2496" s="132">
        <f t="shared" si="281"/>
        <v>0</v>
      </c>
      <c r="K2496" s="132">
        <f t="shared" si="284"/>
        <v>0</v>
      </c>
      <c r="L2496" s="132">
        <f t="shared" si="278"/>
        <v>0</v>
      </c>
      <c r="M2496" s="133"/>
      <c r="N2496" s="133">
        <f t="shared" si="282"/>
        <v>0</v>
      </c>
      <c r="O2496" s="134"/>
      <c r="P2496" s="133"/>
      <c r="Q2496" s="2"/>
      <c r="R2496" s="156">
        <f t="shared" si="279"/>
        <v>0</v>
      </c>
      <c r="S2496" s="156">
        <f t="shared" si="280"/>
        <v>0</v>
      </c>
      <c r="T2496" s="133"/>
      <c r="U2496" s="133"/>
      <c r="V2496" s="133"/>
      <c r="W2496" s="133"/>
      <c r="X2496" s="133"/>
      <c r="Y2496" s="133"/>
      <c r="Z2496" s="133"/>
      <c r="AA2496" s="133"/>
      <c r="AB2496" s="133"/>
      <c r="AC2496" s="133"/>
      <c r="AD2496" s="133"/>
      <c r="AE2496" s="133"/>
      <c r="AF2496" s="133"/>
      <c r="AG2496" s="133"/>
      <c r="AH2496" s="133"/>
      <c r="AI2496" s="133"/>
      <c r="AJ2496" s="133"/>
      <c r="AK2496" s="133"/>
      <c r="AL2496" s="133"/>
      <c r="AM2496" s="133"/>
      <c r="AN2496" s="133"/>
      <c r="AO2496" s="133"/>
      <c r="AP2496" s="133"/>
      <c r="AQ2496" s="133"/>
      <c r="AR2496" s="133"/>
      <c r="AS2496" s="153">
        <v>0</v>
      </c>
      <c r="AT2496" s="153">
        <v>0</v>
      </c>
      <c r="AU2496" s="153">
        <v>0</v>
      </c>
      <c r="AV2496" s="135"/>
      <c r="AW2496" s="135"/>
      <c r="AX2496" s="135"/>
      <c r="AY2496" s="135"/>
      <c r="AZ2496" s="135"/>
      <c r="BA2496" s="135"/>
      <c r="BB2496" s="135"/>
      <c r="BC2496" s="135"/>
      <c r="BD2496" s="135"/>
      <c r="BE2496" s="135"/>
      <c r="BF2496" s="135"/>
      <c r="BG2496" s="135"/>
      <c r="BH2496" s="135"/>
      <c r="BI2496" s="2"/>
      <c r="BJ2496" s="136"/>
      <c r="BK2496" s="2"/>
      <c r="BL2496" s="136"/>
      <c r="BM2496" s="136"/>
      <c r="BN2496" s="2"/>
      <c r="BO2496" s="2"/>
      <c r="BP2496" s="136"/>
      <c r="BQ2496" s="137"/>
    </row>
    <row r="2497" spans="1:69" ht="12.75" customHeight="1" x14ac:dyDescent="0.2">
      <c r="A2497" s="2">
        <v>3986</v>
      </c>
      <c r="B2497" s="2"/>
      <c r="C2497" s="2"/>
      <c r="D2497" s="2"/>
      <c r="E2497" s="2"/>
      <c r="F2497" s="132">
        <v>0</v>
      </c>
      <c r="G2497" s="132"/>
      <c r="H2497" s="132">
        <f t="shared" si="283"/>
        <v>0</v>
      </c>
      <c r="I2497" s="132"/>
      <c r="J2497" s="132">
        <f t="shared" si="281"/>
        <v>0</v>
      </c>
      <c r="K2497" s="132">
        <f t="shared" si="284"/>
        <v>0</v>
      </c>
      <c r="L2497" s="132">
        <f t="shared" si="278"/>
        <v>0</v>
      </c>
      <c r="M2497" s="133"/>
      <c r="N2497" s="133">
        <f t="shared" si="282"/>
        <v>0</v>
      </c>
      <c r="O2497" s="134"/>
      <c r="P2497" s="133"/>
      <c r="Q2497" s="2"/>
      <c r="R2497" s="156">
        <f t="shared" si="279"/>
        <v>0</v>
      </c>
      <c r="S2497" s="156">
        <f t="shared" si="280"/>
        <v>0</v>
      </c>
      <c r="T2497" s="133"/>
      <c r="U2497" s="133"/>
      <c r="V2497" s="133"/>
      <c r="W2497" s="133"/>
      <c r="X2497" s="133"/>
      <c r="Y2497" s="133"/>
      <c r="Z2497" s="133"/>
      <c r="AA2497" s="133"/>
      <c r="AB2497" s="133"/>
      <c r="AC2497" s="133"/>
      <c r="AD2497" s="133"/>
      <c r="AE2497" s="133"/>
      <c r="AF2497" s="133"/>
      <c r="AG2497" s="133"/>
      <c r="AH2497" s="133"/>
      <c r="AI2497" s="133"/>
      <c r="AJ2497" s="133"/>
      <c r="AK2497" s="133"/>
      <c r="AL2497" s="133"/>
      <c r="AM2497" s="133"/>
      <c r="AN2497" s="133"/>
      <c r="AO2497" s="133"/>
      <c r="AP2497" s="133"/>
      <c r="AQ2497" s="133"/>
      <c r="AR2497" s="133"/>
      <c r="AS2497" s="153">
        <v>0</v>
      </c>
      <c r="AT2497" s="153">
        <v>0</v>
      </c>
      <c r="AU2497" s="153">
        <v>0</v>
      </c>
      <c r="AV2497" s="135"/>
      <c r="AW2497" s="135"/>
      <c r="AX2497" s="135"/>
      <c r="AY2497" s="135"/>
      <c r="AZ2497" s="135"/>
      <c r="BA2497" s="135"/>
      <c r="BB2497" s="135"/>
      <c r="BC2497" s="135"/>
      <c r="BD2497" s="135"/>
      <c r="BE2497" s="135"/>
      <c r="BF2497" s="135"/>
      <c r="BG2497" s="135"/>
      <c r="BH2497" s="135"/>
      <c r="BI2497" s="2"/>
      <c r="BJ2497" s="136"/>
      <c r="BK2497" s="2"/>
      <c r="BL2497" s="136"/>
      <c r="BM2497" s="136"/>
      <c r="BN2497" s="2"/>
      <c r="BO2497" s="2"/>
      <c r="BP2497" s="136"/>
      <c r="BQ2497" s="137"/>
    </row>
    <row r="2498" spans="1:69" ht="12.75" customHeight="1" x14ac:dyDescent="0.2">
      <c r="A2498" s="2">
        <v>3987</v>
      </c>
      <c r="B2498" s="2"/>
      <c r="C2498" s="2"/>
      <c r="D2498" s="2"/>
      <c r="E2498" s="2"/>
      <c r="F2498" s="132">
        <v>0</v>
      </c>
      <c r="G2498" s="132"/>
      <c r="H2498" s="132">
        <f t="shared" si="283"/>
        <v>0</v>
      </c>
      <c r="I2498" s="132"/>
      <c r="J2498" s="132">
        <f t="shared" si="281"/>
        <v>0</v>
      </c>
      <c r="K2498" s="132">
        <f t="shared" si="284"/>
        <v>0</v>
      </c>
      <c r="L2498" s="132">
        <f t="shared" si="278"/>
        <v>0</v>
      </c>
      <c r="M2498" s="133"/>
      <c r="N2498" s="133">
        <f t="shared" si="282"/>
        <v>0</v>
      </c>
      <c r="O2498" s="134"/>
      <c r="P2498" s="133"/>
      <c r="Q2498" s="2"/>
      <c r="R2498" s="156">
        <f t="shared" si="279"/>
        <v>0</v>
      </c>
      <c r="S2498" s="156">
        <f t="shared" si="280"/>
        <v>0</v>
      </c>
      <c r="T2498" s="133"/>
      <c r="U2498" s="133"/>
      <c r="V2498" s="133"/>
      <c r="W2498" s="133"/>
      <c r="X2498" s="133"/>
      <c r="Y2498" s="133"/>
      <c r="Z2498" s="133"/>
      <c r="AA2498" s="133"/>
      <c r="AB2498" s="133"/>
      <c r="AC2498" s="133"/>
      <c r="AD2498" s="133"/>
      <c r="AE2498" s="133"/>
      <c r="AF2498" s="133"/>
      <c r="AG2498" s="133"/>
      <c r="AH2498" s="133"/>
      <c r="AI2498" s="133"/>
      <c r="AJ2498" s="133"/>
      <c r="AK2498" s="133"/>
      <c r="AL2498" s="133"/>
      <c r="AM2498" s="133"/>
      <c r="AN2498" s="133"/>
      <c r="AO2498" s="133"/>
      <c r="AP2498" s="133"/>
      <c r="AQ2498" s="133"/>
      <c r="AR2498" s="133"/>
      <c r="AS2498" s="153">
        <v>0</v>
      </c>
      <c r="AT2498" s="153">
        <v>0</v>
      </c>
      <c r="AU2498" s="153">
        <v>0</v>
      </c>
      <c r="AV2498" s="135"/>
      <c r="AW2498" s="135"/>
      <c r="AX2498" s="135"/>
      <c r="AY2498" s="135"/>
      <c r="AZ2498" s="135"/>
      <c r="BA2498" s="135"/>
      <c r="BB2498" s="135"/>
      <c r="BC2498" s="135"/>
      <c r="BD2498" s="135"/>
      <c r="BE2498" s="135"/>
      <c r="BF2498" s="135"/>
      <c r="BG2498" s="135"/>
      <c r="BH2498" s="135"/>
      <c r="BI2498" s="2"/>
      <c r="BJ2498" s="136"/>
      <c r="BK2498" s="2"/>
      <c r="BL2498" s="136"/>
      <c r="BM2498" s="136"/>
      <c r="BN2498" s="2"/>
      <c r="BO2498" s="2"/>
      <c r="BP2498" s="136"/>
      <c r="BQ2498" s="137"/>
    </row>
    <row r="2499" spans="1:69" ht="12.75" customHeight="1" x14ac:dyDescent="0.2">
      <c r="A2499" s="2">
        <v>3988</v>
      </c>
      <c r="B2499" s="2"/>
      <c r="C2499" s="2"/>
      <c r="D2499" s="2"/>
      <c r="E2499" s="2"/>
      <c r="F2499" s="132">
        <v>0</v>
      </c>
      <c r="G2499" s="132"/>
      <c r="H2499" s="132">
        <f t="shared" si="283"/>
        <v>0</v>
      </c>
      <c r="I2499" s="132"/>
      <c r="J2499" s="132">
        <f t="shared" si="281"/>
        <v>0</v>
      </c>
      <c r="K2499" s="132">
        <f t="shared" si="284"/>
        <v>0</v>
      </c>
      <c r="L2499" s="132">
        <f t="shared" si="278"/>
        <v>0</v>
      </c>
      <c r="M2499" s="133"/>
      <c r="N2499" s="133">
        <f t="shared" si="282"/>
        <v>0</v>
      </c>
      <c r="O2499" s="134"/>
      <c r="P2499" s="133"/>
      <c r="Q2499" s="2"/>
      <c r="R2499" s="156">
        <f t="shared" si="279"/>
        <v>0</v>
      </c>
      <c r="S2499" s="156">
        <f t="shared" si="280"/>
        <v>0</v>
      </c>
      <c r="T2499" s="133"/>
      <c r="U2499" s="133"/>
      <c r="V2499" s="133"/>
      <c r="W2499" s="133"/>
      <c r="X2499" s="133"/>
      <c r="Y2499" s="133"/>
      <c r="Z2499" s="133"/>
      <c r="AA2499" s="133"/>
      <c r="AB2499" s="133"/>
      <c r="AC2499" s="133"/>
      <c r="AD2499" s="133"/>
      <c r="AE2499" s="133"/>
      <c r="AF2499" s="133"/>
      <c r="AG2499" s="133"/>
      <c r="AH2499" s="133"/>
      <c r="AI2499" s="133"/>
      <c r="AJ2499" s="133"/>
      <c r="AK2499" s="133"/>
      <c r="AL2499" s="133"/>
      <c r="AM2499" s="133"/>
      <c r="AN2499" s="133"/>
      <c r="AO2499" s="133"/>
      <c r="AP2499" s="133"/>
      <c r="AQ2499" s="133"/>
      <c r="AR2499" s="133"/>
      <c r="AS2499" s="153">
        <v>0</v>
      </c>
      <c r="AT2499" s="153">
        <v>0</v>
      </c>
      <c r="AU2499" s="153">
        <v>0</v>
      </c>
      <c r="AV2499" s="135"/>
      <c r="AW2499" s="135"/>
      <c r="AX2499" s="135"/>
      <c r="AY2499" s="135"/>
      <c r="AZ2499" s="135"/>
      <c r="BA2499" s="135"/>
      <c r="BB2499" s="135"/>
      <c r="BC2499" s="135"/>
      <c r="BD2499" s="135"/>
      <c r="BE2499" s="135"/>
      <c r="BF2499" s="135"/>
      <c r="BG2499" s="135"/>
      <c r="BH2499" s="135"/>
      <c r="BI2499" s="2"/>
      <c r="BJ2499" s="136"/>
      <c r="BK2499" s="2"/>
      <c r="BL2499" s="136"/>
      <c r="BM2499" s="136"/>
      <c r="BN2499" s="2"/>
      <c r="BO2499" s="2"/>
      <c r="BP2499" s="136"/>
      <c r="BQ2499" s="137"/>
    </row>
    <row r="2500" spans="1:69" ht="12.75" customHeight="1" x14ac:dyDescent="0.2">
      <c r="A2500" s="2">
        <v>3989</v>
      </c>
      <c r="B2500" s="2"/>
      <c r="C2500" s="2"/>
      <c r="D2500" s="2"/>
      <c r="E2500" s="2"/>
      <c r="F2500" s="132">
        <v>0</v>
      </c>
      <c r="G2500" s="132"/>
      <c r="H2500" s="132">
        <f t="shared" si="283"/>
        <v>0</v>
      </c>
      <c r="I2500" s="132"/>
      <c r="J2500" s="132">
        <f t="shared" si="281"/>
        <v>0</v>
      </c>
      <c r="K2500" s="132">
        <f t="shared" si="284"/>
        <v>0</v>
      </c>
      <c r="L2500" s="132">
        <f t="shared" si="278"/>
        <v>0</v>
      </c>
      <c r="M2500" s="133"/>
      <c r="N2500" s="133">
        <f t="shared" si="282"/>
        <v>0</v>
      </c>
      <c r="O2500" s="134"/>
      <c r="P2500" s="133"/>
      <c r="Q2500" s="2"/>
      <c r="R2500" s="156">
        <f t="shared" si="279"/>
        <v>0</v>
      </c>
      <c r="S2500" s="156">
        <f t="shared" si="280"/>
        <v>0</v>
      </c>
      <c r="T2500" s="133"/>
      <c r="U2500" s="133"/>
      <c r="V2500" s="133"/>
      <c r="W2500" s="133"/>
      <c r="X2500" s="133"/>
      <c r="Y2500" s="133"/>
      <c r="Z2500" s="133"/>
      <c r="AA2500" s="133"/>
      <c r="AB2500" s="133"/>
      <c r="AC2500" s="133"/>
      <c r="AD2500" s="133"/>
      <c r="AE2500" s="133"/>
      <c r="AF2500" s="133"/>
      <c r="AG2500" s="133"/>
      <c r="AH2500" s="133"/>
      <c r="AI2500" s="133"/>
      <c r="AJ2500" s="133"/>
      <c r="AK2500" s="133"/>
      <c r="AL2500" s="133"/>
      <c r="AM2500" s="133"/>
      <c r="AN2500" s="133"/>
      <c r="AO2500" s="133"/>
      <c r="AP2500" s="133"/>
      <c r="AQ2500" s="133"/>
      <c r="AR2500" s="133"/>
      <c r="AS2500" s="153">
        <v>0</v>
      </c>
      <c r="AT2500" s="153">
        <v>0</v>
      </c>
      <c r="AU2500" s="153">
        <v>0</v>
      </c>
      <c r="AV2500" s="135"/>
      <c r="AW2500" s="135"/>
      <c r="AX2500" s="135"/>
      <c r="AY2500" s="135"/>
      <c r="AZ2500" s="135"/>
      <c r="BA2500" s="135"/>
      <c r="BB2500" s="135"/>
      <c r="BC2500" s="135"/>
      <c r="BD2500" s="135"/>
      <c r="BE2500" s="135"/>
      <c r="BF2500" s="135"/>
      <c r="BG2500" s="135"/>
      <c r="BH2500" s="135"/>
      <c r="BI2500" s="2"/>
      <c r="BJ2500" s="136"/>
      <c r="BK2500" s="2"/>
      <c r="BL2500" s="136"/>
      <c r="BM2500" s="136"/>
      <c r="BN2500" s="2"/>
      <c r="BO2500" s="2"/>
      <c r="BP2500" s="136"/>
      <c r="BQ2500" s="137"/>
    </row>
    <row r="2501" spans="1:69" ht="12.75" customHeight="1" x14ac:dyDescent="0.2">
      <c r="A2501" s="2">
        <v>3990</v>
      </c>
      <c r="B2501" s="2"/>
      <c r="C2501" s="2"/>
      <c r="D2501" s="2"/>
      <c r="E2501" s="2"/>
      <c r="F2501" s="132">
        <v>0</v>
      </c>
      <c r="G2501" s="132"/>
      <c r="H2501" s="132">
        <f t="shared" si="283"/>
        <v>0</v>
      </c>
      <c r="I2501" s="132"/>
      <c r="J2501" s="132">
        <f t="shared" si="281"/>
        <v>0</v>
      </c>
      <c r="K2501" s="132">
        <f t="shared" si="284"/>
        <v>0</v>
      </c>
      <c r="L2501" s="132">
        <f t="shared" si="278"/>
        <v>0</v>
      </c>
      <c r="M2501" s="133"/>
      <c r="N2501" s="133">
        <f t="shared" si="282"/>
        <v>0</v>
      </c>
      <c r="O2501" s="134"/>
      <c r="P2501" s="133"/>
      <c r="Q2501" s="2"/>
      <c r="R2501" s="156">
        <f t="shared" si="279"/>
        <v>0</v>
      </c>
      <c r="S2501" s="156">
        <f t="shared" si="280"/>
        <v>0</v>
      </c>
      <c r="T2501" s="133"/>
      <c r="U2501" s="133"/>
      <c r="V2501" s="133"/>
      <c r="W2501" s="133"/>
      <c r="X2501" s="133"/>
      <c r="Y2501" s="133"/>
      <c r="Z2501" s="133"/>
      <c r="AA2501" s="133"/>
      <c r="AB2501" s="133"/>
      <c r="AC2501" s="133"/>
      <c r="AD2501" s="133"/>
      <c r="AE2501" s="133"/>
      <c r="AF2501" s="133"/>
      <c r="AG2501" s="133"/>
      <c r="AH2501" s="133"/>
      <c r="AI2501" s="133"/>
      <c r="AJ2501" s="133"/>
      <c r="AK2501" s="133"/>
      <c r="AL2501" s="133"/>
      <c r="AM2501" s="133"/>
      <c r="AN2501" s="133"/>
      <c r="AO2501" s="133"/>
      <c r="AP2501" s="133"/>
      <c r="AQ2501" s="133"/>
      <c r="AR2501" s="133"/>
      <c r="AS2501" s="153">
        <v>0</v>
      </c>
      <c r="AT2501" s="153">
        <v>0</v>
      </c>
      <c r="AU2501" s="153">
        <v>0</v>
      </c>
      <c r="AV2501" s="135"/>
      <c r="AW2501" s="135"/>
      <c r="AX2501" s="135"/>
      <c r="AY2501" s="135"/>
      <c r="AZ2501" s="135"/>
      <c r="BA2501" s="135"/>
      <c r="BB2501" s="135"/>
      <c r="BC2501" s="135"/>
      <c r="BD2501" s="135"/>
      <c r="BE2501" s="135"/>
      <c r="BF2501" s="135"/>
      <c r="BG2501" s="135"/>
      <c r="BH2501" s="135"/>
      <c r="BI2501" s="2"/>
      <c r="BJ2501" s="136"/>
      <c r="BK2501" s="2"/>
      <c r="BL2501" s="136"/>
      <c r="BM2501" s="136"/>
      <c r="BN2501" s="2"/>
      <c r="BO2501" s="2"/>
      <c r="BP2501" s="136"/>
      <c r="BQ2501" s="137"/>
    </row>
    <row r="2502" spans="1:69" ht="12.75" customHeight="1" x14ac:dyDescent="0.2">
      <c r="A2502" s="2">
        <v>3991</v>
      </c>
      <c r="B2502" s="2"/>
      <c r="C2502" s="2"/>
      <c r="D2502" s="2"/>
      <c r="E2502" s="2"/>
      <c r="F2502" s="132">
        <v>0</v>
      </c>
      <c r="G2502" s="132"/>
      <c r="H2502" s="132">
        <f t="shared" si="283"/>
        <v>0</v>
      </c>
      <c r="I2502" s="132"/>
      <c r="J2502" s="132">
        <f t="shared" si="281"/>
        <v>0</v>
      </c>
      <c r="K2502" s="132">
        <f t="shared" si="284"/>
        <v>0</v>
      </c>
      <c r="L2502" s="132">
        <f t="shared" si="278"/>
        <v>0</v>
      </c>
      <c r="M2502" s="133"/>
      <c r="N2502" s="133">
        <f t="shared" si="282"/>
        <v>0</v>
      </c>
      <c r="O2502" s="134"/>
      <c r="P2502" s="133"/>
      <c r="Q2502" s="2"/>
      <c r="R2502" s="156">
        <f t="shared" si="279"/>
        <v>0</v>
      </c>
      <c r="S2502" s="156">
        <f t="shared" si="280"/>
        <v>0</v>
      </c>
      <c r="T2502" s="133"/>
      <c r="U2502" s="133"/>
      <c r="V2502" s="133"/>
      <c r="W2502" s="133"/>
      <c r="X2502" s="133"/>
      <c r="Y2502" s="133"/>
      <c r="Z2502" s="133"/>
      <c r="AA2502" s="133"/>
      <c r="AB2502" s="133"/>
      <c r="AC2502" s="133"/>
      <c r="AD2502" s="133"/>
      <c r="AE2502" s="133"/>
      <c r="AF2502" s="133"/>
      <c r="AG2502" s="133"/>
      <c r="AH2502" s="133"/>
      <c r="AI2502" s="133"/>
      <c r="AJ2502" s="133"/>
      <c r="AK2502" s="133"/>
      <c r="AL2502" s="133"/>
      <c r="AM2502" s="133"/>
      <c r="AN2502" s="133"/>
      <c r="AO2502" s="133"/>
      <c r="AP2502" s="133"/>
      <c r="AQ2502" s="133"/>
      <c r="AR2502" s="133"/>
      <c r="AS2502" s="153">
        <v>0</v>
      </c>
      <c r="AT2502" s="153">
        <v>0</v>
      </c>
      <c r="AU2502" s="153">
        <v>0</v>
      </c>
      <c r="AV2502" s="135"/>
      <c r="AW2502" s="135"/>
      <c r="AX2502" s="135"/>
      <c r="AY2502" s="135"/>
      <c r="AZ2502" s="135"/>
      <c r="BA2502" s="135"/>
      <c r="BB2502" s="135"/>
      <c r="BC2502" s="135"/>
      <c r="BD2502" s="135"/>
      <c r="BE2502" s="135"/>
      <c r="BF2502" s="135"/>
      <c r="BG2502" s="135"/>
      <c r="BH2502" s="135"/>
      <c r="BI2502" s="2"/>
      <c r="BJ2502" s="136"/>
      <c r="BK2502" s="2"/>
      <c r="BL2502" s="136"/>
      <c r="BM2502" s="136"/>
      <c r="BN2502" s="2"/>
      <c r="BO2502" s="2"/>
      <c r="BP2502" s="136"/>
      <c r="BQ2502" s="137"/>
    </row>
    <row r="2503" spans="1:69" ht="12.75" customHeight="1" x14ac:dyDescent="0.2">
      <c r="A2503" s="2">
        <v>3992</v>
      </c>
      <c r="B2503" s="2"/>
      <c r="C2503" s="2"/>
      <c r="D2503" s="2"/>
      <c r="E2503" s="2"/>
      <c r="F2503" s="132">
        <v>0</v>
      </c>
      <c r="G2503" s="132"/>
      <c r="H2503" s="132">
        <f t="shared" si="283"/>
        <v>0</v>
      </c>
      <c r="I2503" s="132"/>
      <c r="J2503" s="132">
        <f t="shared" si="281"/>
        <v>0</v>
      </c>
      <c r="K2503" s="132">
        <f t="shared" si="284"/>
        <v>0</v>
      </c>
      <c r="L2503" s="132">
        <f t="shared" si="278"/>
        <v>0</v>
      </c>
      <c r="M2503" s="133"/>
      <c r="N2503" s="133">
        <f t="shared" si="282"/>
        <v>0</v>
      </c>
      <c r="O2503" s="134"/>
      <c r="P2503" s="133"/>
      <c r="Q2503" s="2"/>
      <c r="R2503" s="156">
        <f t="shared" si="279"/>
        <v>0</v>
      </c>
      <c r="S2503" s="156">
        <f t="shared" si="280"/>
        <v>0</v>
      </c>
      <c r="T2503" s="133"/>
      <c r="U2503" s="133"/>
      <c r="V2503" s="133"/>
      <c r="W2503" s="133"/>
      <c r="X2503" s="133"/>
      <c r="Y2503" s="133"/>
      <c r="Z2503" s="133"/>
      <c r="AA2503" s="133"/>
      <c r="AB2503" s="133"/>
      <c r="AC2503" s="133"/>
      <c r="AD2503" s="133"/>
      <c r="AE2503" s="133"/>
      <c r="AF2503" s="133"/>
      <c r="AG2503" s="133"/>
      <c r="AH2503" s="133"/>
      <c r="AI2503" s="133"/>
      <c r="AJ2503" s="133"/>
      <c r="AK2503" s="133"/>
      <c r="AL2503" s="133"/>
      <c r="AM2503" s="133"/>
      <c r="AN2503" s="133"/>
      <c r="AO2503" s="133"/>
      <c r="AP2503" s="133"/>
      <c r="AQ2503" s="133"/>
      <c r="AR2503" s="133"/>
      <c r="AS2503" s="153">
        <v>0</v>
      </c>
      <c r="AT2503" s="153">
        <v>0</v>
      </c>
      <c r="AU2503" s="153">
        <v>0</v>
      </c>
      <c r="AV2503" s="135"/>
      <c r="AW2503" s="135"/>
      <c r="AX2503" s="135"/>
      <c r="AY2503" s="135"/>
      <c r="AZ2503" s="135"/>
      <c r="BA2503" s="135"/>
      <c r="BB2503" s="135"/>
      <c r="BC2503" s="135"/>
      <c r="BD2503" s="135"/>
      <c r="BE2503" s="135"/>
      <c r="BF2503" s="135"/>
      <c r="BG2503" s="135"/>
      <c r="BH2503" s="135"/>
      <c r="BI2503" s="2"/>
      <c r="BJ2503" s="136"/>
      <c r="BK2503" s="2"/>
      <c r="BL2503" s="136"/>
      <c r="BM2503" s="136"/>
      <c r="BN2503" s="2"/>
      <c r="BO2503" s="2"/>
      <c r="BP2503" s="136"/>
      <c r="BQ2503" s="137"/>
    </row>
    <row r="2504" spans="1:69" ht="12.75" customHeight="1" x14ac:dyDescent="0.2">
      <c r="A2504" s="2">
        <v>3993</v>
      </c>
      <c r="B2504" s="2"/>
      <c r="C2504" s="2"/>
      <c r="D2504" s="2"/>
      <c r="E2504" s="2"/>
      <c r="F2504" s="132">
        <v>0</v>
      </c>
      <c r="G2504" s="132"/>
      <c r="H2504" s="132">
        <f t="shared" si="283"/>
        <v>0</v>
      </c>
      <c r="I2504" s="132"/>
      <c r="J2504" s="132">
        <f t="shared" si="281"/>
        <v>0</v>
      </c>
      <c r="K2504" s="132">
        <f t="shared" si="284"/>
        <v>0</v>
      </c>
      <c r="L2504" s="132">
        <f t="shared" si="278"/>
        <v>0</v>
      </c>
      <c r="M2504" s="133"/>
      <c r="N2504" s="133">
        <f t="shared" si="282"/>
        <v>0</v>
      </c>
      <c r="O2504" s="134"/>
      <c r="P2504" s="133"/>
      <c r="Q2504" s="2"/>
      <c r="R2504" s="156">
        <f t="shared" si="279"/>
        <v>0</v>
      </c>
      <c r="S2504" s="156">
        <f t="shared" si="280"/>
        <v>0</v>
      </c>
      <c r="T2504" s="133"/>
      <c r="U2504" s="133"/>
      <c r="V2504" s="133"/>
      <c r="W2504" s="133"/>
      <c r="X2504" s="133"/>
      <c r="Y2504" s="133"/>
      <c r="Z2504" s="133"/>
      <c r="AA2504" s="133"/>
      <c r="AB2504" s="133"/>
      <c r="AC2504" s="133"/>
      <c r="AD2504" s="133"/>
      <c r="AE2504" s="133"/>
      <c r="AF2504" s="133"/>
      <c r="AG2504" s="133"/>
      <c r="AH2504" s="133"/>
      <c r="AI2504" s="133"/>
      <c r="AJ2504" s="133"/>
      <c r="AK2504" s="133"/>
      <c r="AL2504" s="133"/>
      <c r="AM2504" s="133"/>
      <c r="AN2504" s="133"/>
      <c r="AO2504" s="133"/>
      <c r="AP2504" s="133"/>
      <c r="AQ2504" s="133"/>
      <c r="AR2504" s="133"/>
      <c r="AS2504" s="153">
        <v>0</v>
      </c>
      <c r="AT2504" s="153">
        <v>0</v>
      </c>
      <c r="AU2504" s="153">
        <v>0</v>
      </c>
      <c r="AV2504" s="135"/>
      <c r="AW2504" s="135"/>
      <c r="AX2504" s="135"/>
      <c r="AY2504" s="135"/>
      <c r="AZ2504" s="135"/>
      <c r="BA2504" s="135"/>
      <c r="BB2504" s="135"/>
      <c r="BC2504" s="135"/>
      <c r="BD2504" s="135"/>
      <c r="BE2504" s="135"/>
      <c r="BF2504" s="135"/>
      <c r="BG2504" s="135"/>
      <c r="BH2504" s="135"/>
      <c r="BI2504" s="2"/>
      <c r="BJ2504" s="136"/>
      <c r="BK2504" s="2"/>
      <c r="BL2504" s="136"/>
      <c r="BM2504" s="136"/>
      <c r="BN2504" s="2"/>
      <c r="BO2504" s="2"/>
      <c r="BP2504" s="136"/>
      <c r="BQ2504" s="137"/>
    </row>
    <row r="2505" spans="1:69" ht="12.75" customHeight="1" x14ac:dyDescent="0.2">
      <c r="A2505" s="2">
        <v>3994</v>
      </c>
      <c r="B2505" s="2"/>
      <c r="C2505" s="2"/>
      <c r="D2505" s="2"/>
      <c r="E2505" s="2"/>
      <c r="F2505" s="132">
        <v>0</v>
      </c>
      <c r="G2505" s="132"/>
      <c r="H2505" s="132">
        <f t="shared" si="283"/>
        <v>0</v>
      </c>
      <c r="I2505" s="132"/>
      <c r="J2505" s="132">
        <f t="shared" si="281"/>
        <v>0</v>
      </c>
      <c r="K2505" s="132">
        <f t="shared" si="284"/>
        <v>0</v>
      </c>
      <c r="L2505" s="132">
        <f t="shared" si="278"/>
        <v>0</v>
      </c>
      <c r="M2505" s="133"/>
      <c r="N2505" s="133">
        <f t="shared" si="282"/>
        <v>0</v>
      </c>
      <c r="O2505" s="134"/>
      <c r="P2505" s="133"/>
      <c r="Q2505" s="2"/>
      <c r="R2505" s="156">
        <f t="shared" si="279"/>
        <v>0</v>
      </c>
      <c r="S2505" s="156">
        <f t="shared" si="280"/>
        <v>0</v>
      </c>
      <c r="T2505" s="133"/>
      <c r="U2505" s="133"/>
      <c r="V2505" s="133"/>
      <c r="W2505" s="133"/>
      <c r="X2505" s="133"/>
      <c r="Y2505" s="133"/>
      <c r="Z2505" s="133"/>
      <c r="AA2505" s="133"/>
      <c r="AB2505" s="133"/>
      <c r="AC2505" s="133"/>
      <c r="AD2505" s="133"/>
      <c r="AE2505" s="133"/>
      <c r="AF2505" s="133"/>
      <c r="AG2505" s="133"/>
      <c r="AH2505" s="133"/>
      <c r="AI2505" s="133"/>
      <c r="AJ2505" s="133"/>
      <c r="AK2505" s="133"/>
      <c r="AL2505" s="133"/>
      <c r="AM2505" s="133"/>
      <c r="AN2505" s="133"/>
      <c r="AO2505" s="133"/>
      <c r="AP2505" s="133"/>
      <c r="AQ2505" s="133"/>
      <c r="AR2505" s="133"/>
      <c r="AS2505" s="153">
        <v>0</v>
      </c>
      <c r="AT2505" s="153">
        <v>0</v>
      </c>
      <c r="AU2505" s="153">
        <v>0</v>
      </c>
      <c r="AV2505" s="135"/>
      <c r="AW2505" s="135"/>
      <c r="AX2505" s="135"/>
      <c r="AY2505" s="135"/>
      <c r="AZ2505" s="135"/>
      <c r="BA2505" s="135"/>
      <c r="BB2505" s="135"/>
      <c r="BC2505" s="135"/>
      <c r="BD2505" s="135"/>
      <c r="BE2505" s="135"/>
      <c r="BF2505" s="135"/>
      <c r="BG2505" s="135"/>
      <c r="BH2505" s="135"/>
      <c r="BI2505" s="2"/>
      <c r="BJ2505" s="136"/>
      <c r="BK2505" s="2"/>
      <c r="BL2505" s="136"/>
      <c r="BM2505" s="136"/>
      <c r="BN2505" s="2"/>
      <c r="BO2505" s="2"/>
      <c r="BP2505" s="136"/>
      <c r="BQ2505" s="137"/>
    </row>
    <row r="2506" spans="1:69" ht="12.75" customHeight="1" x14ac:dyDescent="0.2">
      <c r="A2506" s="2">
        <v>3995</v>
      </c>
      <c r="B2506" s="2"/>
      <c r="C2506" s="2"/>
      <c r="D2506" s="2"/>
      <c r="E2506" s="2"/>
      <c r="F2506" s="132">
        <v>0</v>
      </c>
      <c r="G2506" s="132"/>
      <c r="H2506" s="132">
        <f t="shared" si="283"/>
        <v>0</v>
      </c>
      <c r="I2506" s="132"/>
      <c r="J2506" s="132">
        <f t="shared" si="281"/>
        <v>0</v>
      </c>
      <c r="K2506" s="132">
        <f t="shared" si="284"/>
        <v>0</v>
      </c>
      <c r="L2506" s="132">
        <f t="shared" si="278"/>
        <v>0</v>
      </c>
      <c r="M2506" s="133"/>
      <c r="N2506" s="133">
        <f t="shared" si="282"/>
        <v>0</v>
      </c>
      <c r="O2506" s="134"/>
      <c r="P2506" s="133"/>
      <c r="Q2506" s="2"/>
      <c r="R2506" s="156">
        <f t="shared" si="279"/>
        <v>0</v>
      </c>
      <c r="S2506" s="156">
        <f t="shared" si="280"/>
        <v>0</v>
      </c>
      <c r="T2506" s="133"/>
      <c r="U2506" s="133"/>
      <c r="V2506" s="133"/>
      <c r="W2506" s="133"/>
      <c r="X2506" s="133"/>
      <c r="Y2506" s="133"/>
      <c r="Z2506" s="133"/>
      <c r="AA2506" s="133"/>
      <c r="AB2506" s="133"/>
      <c r="AC2506" s="133"/>
      <c r="AD2506" s="133"/>
      <c r="AE2506" s="133"/>
      <c r="AF2506" s="133"/>
      <c r="AG2506" s="133"/>
      <c r="AH2506" s="133"/>
      <c r="AI2506" s="133"/>
      <c r="AJ2506" s="133"/>
      <c r="AK2506" s="133"/>
      <c r="AL2506" s="133"/>
      <c r="AM2506" s="133"/>
      <c r="AN2506" s="133"/>
      <c r="AO2506" s="133"/>
      <c r="AP2506" s="133"/>
      <c r="AQ2506" s="133"/>
      <c r="AR2506" s="133"/>
      <c r="AS2506" s="153">
        <v>0</v>
      </c>
      <c r="AT2506" s="153">
        <v>0</v>
      </c>
      <c r="AU2506" s="153">
        <v>0</v>
      </c>
      <c r="AV2506" s="135"/>
      <c r="AW2506" s="135"/>
      <c r="AX2506" s="135"/>
      <c r="AY2506" s="135"/>
      <c r="AZ2506" s="135"/>
      <c r="BA2506" s="135"/>
      <c r="BB2506" s="135"/>
      <c r="BC2506" s="135"/>
      <c r="BD2506" s="135"/>
      <c r="BE2506" s="135"/>
      <c r="BF2506" s="135"/>
      <c r="BG2506" s="135"/>
      <c r="BH2506" s="135"/>
      <c r="BI2506" s="2"/>
      <c r="BJ2506" s="136"/>
      <c r="BK2506" s="2"/>
      <c r="BL2506" s="136"/>
      <c r="BM2506" s="136"/>
      <c r="BN2506" s="2"/>
      <c r="BO2506" s="2"/>
      <c r="BP2506" s="136"/>
      <c r="BQ2506" s="137"/>
    </row>
    <row r="2507" spans="1:69" ht="12.75" customHeight="1" x14ac:dyDescent="0.2">
      <c r="A2507" s="2">
        <v>3996</v>
      </c>
      <c r="B2507" s="2"/>
      <c r="C2507" s="2"/>
      <c r="D2507" s="2"/>
      <c r="E2507" s="2"/>
      <c r="F2507" s="132">
        <v>0</v>
      </c>
      <c r="G2507" s="132"/>
      <c r="H2507" s="132">
        <f t="shared" si="283"/>
        <v>0</v>
      </c>
      <c r="I2507" s="132"/>
      <c r="J2507" s="132">
        <f t="shared" si="281"/>
        <v>0</v>
      </c>
      <c r="K2507" s="132">
        <f t="shared" si="284"/>
        <v>0</v>
      </c>
      <c r="L2507" s="132">
        <f t="shared" ref="L2507:L2570" si="285">H2507-J2507</f>
        <v>0</v>
      </c>
      <c r="M2507" s="133"/>
      <c r="N2507" s="133">
        <f t="shared" si="282"/>
        <v>0</v>
      </c>
      <c r="O2507" s="134"/>
      <c r="P2507" s="133"/>
      <c r="Q2507" s="2"/>
      <c r="R2507" s="156">
        <f t="shared" ref="R2507:R2570" si="286">T2507+V2507+X2507+Z2507+AB2507+AD2507+AF2507+AH2507+AJ2507+AL2507+AN2507+AP2507</f>
        <v>0</v>
      </c>
      <c r="S2507" s="156">
        <f t="shared" ref="S2507:S2570" si="287">U2507+W2507+Y2507+AA2507+AC2507+AE2507+AG2507+AI2507+AK2507+AM2507+AO2507+AQ2507</f>
        <v>0</v>
      </c>
      <c r="T2507" s="133"/>
      <c r="U2507" s="133"/>
      <c r="V2507" s="133"/>
      <c r="W2507" s="133"/>
      <c r="X2507" s="133"/>
      <c r="Y2507" s="133"/>
      <c r="Z2507" s="133"/>
      <c r="AA2507" s="133"/>
      <c r="AB2507" s="133"/>
      <c r="AC2507" s="133"/>
      <c r="AD2507" s="133"/>
      <c r="AE2507" s="133"/>
      <c r="AF2507" s="133"/>
      <c r="AG2507" s="133"/>
      <c r="AH2507" s="133"/>
      <c r="AI2507" s="133"/>
      <c r="AJ2507" s="133"/>
      <c r="AK2507" s="133"/>
      <c r="AL2507" s="133"/>
      <c r="AM2507" s="133"/>
      <c r="AN2507" s="133"/>
      <c r="AO2507" s="133"/>
      <c r="AP2507" s="133"/>
      <c r="AQ2507" s="133"/>
      <c r="AR2507" s="133"/>
      <c r="AS2507" s="153">
        <v>0</v>
      </c>
      <c r="AT2507" s="153">
        <v>0</v>
      </c>
      <c r="AU2507" s="153">
        <v>0</v>
      </c>
      <c r="AV2507" s="135"/>
      <c r="AW2507" s="135"/>
      <c r="AX2507" s="135"/>
      <c r="AY2507" s="135"/>
      <c r="AZ2507" s="135"/>
      <c r="BA2507" s="135"/>
      <c r="BB2507" s="135"/>
      <c r="BC2507" s="135"/>
      <c r="BD2507" s="135"/>
      <c r="BE2507" s="135"/>
      <c r="BF2507" s="135"/>
      <c r="BG2507" s="135"/>
      <c r="BH2507" s="135"/>
      <c r="BI2507" s="2"/>
      <c r="BJ2507" s="136"/>
      <c r="BK2507" s="2"/>
      <c r="BL2507" s="136"/>
      <c r="BM2507" s="136"/>
      <c r="BN2507" s="2"/>
      <c r="BO2507" s="2"/>
      <c r="BP2507" s="136"/>
      <c r="BQ2507" s="137"/>
    </row>
    <row r="2508" spans="1:69" ht="12.75" customHeight="1" x14ac:dyDescent="0.2">
      <c r="A2508" s="2">
        <v>3997</v>
      </c>
      <c r="B2508" s="2"/>
      <c r="C2508" s="2"/>
      <c r="D2508" s="2"/>
      <c r="E2508" s="2"/>
      <c r="F2508" s="132">
        <v>0</v>
      </c>
      <c r="G2508" s="132"/>
      <c r="H2508" s="132">
        <f t="shared" si="283"/>
        <v>0</v>
      </c>
      <c r="I2508" s="132"/>
      <c r="J2508" s="132">
        <f t="shared" si="281"/>
        <v>0</v>
      </c>
      <c r="K2508" s="132">
        <f t="shared" si="284"/>
        <v>0</v>
      </c>
      <c r="L2508" s="132">
        <f t="shared" si="285"/>
        <v>0</v>
      </c>
      <c r="M2508" s="133"/>
      <c r="N2508" s="133">
        <f t="shared" si="282"/>
        <v>0</v>
      </c>
      <c r="O2508" s="134"/>
      <c r="P2508" s="133"/>
      <c r="Q2508" s="2"/>
      <c r="R2508" s="156">
        <f t="shared" si="286"/>
        <v>0</v>
      </c>
      <c r="S2508" s="156">
        <f t="shared" si="287"/>
        <v>0</v>
      </c>
      <c r="T2508" s="133"/>
      <c r="U2508" s="133"/>
      <c r="V2508" s="133"/>
      <c r="W2508" s="133"/>
      <c r="X2508" s="133"/>
      <c r="Y2508" s="133"/>
      <c r="Z2508" s="133"/>
      <c r="AA2508" s="133"/>
      <c r="AB2508" s="133"/>
      <c r="AC2508" s="133"/>
      <c r="AD2508" s="133"/>
      <c r="AE2508" s="133"/>
      <c r="AF2508" s="133"/>
      <c r="AG2508" s="133"/>
      <c r="AH2508" s="133"/>
      <c r="AI2508" s="133"/>
      <c r="AJ2508" s="133"/>
      <c r="AK2508" s="133"/>
      <c r="AL2508" s="133"/>
      <c r="AM2508" s="133"/>
      <c r="AN2508" s="133"/>
      <c r="AO2508" s="133"/>
      <c r="AP2508" s="133"/>
      <c r="AQ2508" s="133"/>
      <c r="AR2508" s="133"/>
      <c r="AS2508" s="153">
        <v>0</v>
      </c>
      <c r="AT2508" s="153">
        <v>0</v>
      </c>
      <c r="AU2508" s="153">
        <v>0</v>
      </c>
      <c r="AV2508" s="135"/>
      <c r="AW2508" s="135"/>
      <c r="AX2508" s="135"/>
      <c r="AY2508" s="135"/>
      <c r="AZ2508" s="135"/>
      <c r="BA2508" s="135"/>
      <c r="BB2508" s="135"/>
      <c r="BC2508" s="135"/>
      <c r="BD2508" s="135"/>
      <c r="BE2508" s="135"/>
      <c r="BF2508" s="135"/>
      <c r="BG2508" s="135"/>
      <c r="BH2508" s="135"/>
      <c r="BI2508" s="2"/>
      <c r="BJ2508" s="136"/>
      <c r="BK2508" s="2"/>
      <c r="BL2508" s="136"/>
      <c r="BM2508" s="136"/>
      <c r="BN2508" s="2"/>
      <c r="BO2508" s="2"/>
      <c r="BP2508" s="136"/>
      <c r="BQ2508" s="137"/>
    </row>
    <row r="2509" spans="1:69" ht="12.75" customHeight="1" x14ac:dyDescent="0.2">
      <c r="A2509" s="2">
        <v>3998</v>
      </c>
      <c r="B2509" s="2"/>
      <c r="C2509" s="2"/>
      <c r="D2509" s="2"/>
      <c r="E2509" s="2"/>
      <c r="F2509" s="132">
        <v>0</v>
      </c>
      <c r="G2509" s="132"/>
      <c r="H2509" s="132">
        <f t="shared" si="283"/>
        <v>0</v>
      </c>
      <c r="I2509" s="132"/>
      <c r="J2509" s="132">
        <f t="shared" si="281"/>
        <v>0</v>
      </c>
      <c r="K2509" s="132">
        <f t="shared" si="284"/>
        <v>0</v>
      </c>
      <c r="L2509" s="132">
        <f t="shared" si="285"/>
        <v>0</v>
      </c>
      <c r="M2509" s="133"/>
      <c r="N2509" s="133">
        <f t="shared" si="282"/>
        <v>0</v>
      </c>
      <c r="O2509" s="134"/>
      <c r="P2509" s="133"/>
      <c r="Q2509" s="2"/>
      <c r="R2509" s="156">
        <f t="shared" si="286"/>
        <v>0</v>
      </c>
      <c r="S2509" s="156">
        <f t="shared" si="287"/>
        <v>0</v>
      </c>
      <c r="T2509" s="133"/>
      <c r="U2509" s="133"/>
      <c r="V2509" s="133"/>
      <c r="W2509" s="133"/>
      <c r="X2509" s="133"/>
      <c r="Y2509" s="133"/>
      <c r="Z2509" s="133"/>
      <c r="AA2509" s="133"/>
      <c r="AB2509" s="133"/>
      <c r="AC2509" s="133"/>
      <c r="AD2509" s="133"/>
      <c r="AE2509" s="133"/>
      <c r="AF2509" s="133"/>
      <c r="AG2509" s="133"/>
      <c r="AH2509" s="133"/>
      <c r="AI2509" s="133"/>
      <c r="AJ2509" s="133"/>
      <c r="AK2509" s="133"/>
      <c r="AL2509" s="133"/>
      <c r="AM2509" s="133"/>
      <c r="AN2509" s="133"/>
      <c r="AO2509" s="133"/>
      <c r="AP2509" s="133"/>
      <c r="AQ2509" s="133"/>
      <c r="AR2509" s="133"/>
      <c r="AS2509" s="153">
        <v>0</v>
      </c>
      <c r="AT2509" s="153">
        <v>0</v>
      </c>
      <c r="AU2509" s="153">
        <v>0</v>
      </c>
      <c r="AV2509" s="135"/>
      <c r="AW2509" s="135"/>
      <c r="AX2509" s="135"/>
      <c r="AY2509" s="135"/>
      <c r="AZ2509" s="135"/>
      <c r="BA2509" s="135"/>
      <c r="BB2509" s="135"/>
      <c r="BC2509" s="135"/>
      <c r="BD2509" s="135"/>
      <c r="BE2509" s="135"/>
      <c r="BF2509" s="135"/>
      <c r="BG2509" s="135"/>
      <c r="BH2509" s="135"/>
      <c r="BI2509" s="2"/>
      <c r="BJ2509" s="136"/>
      <c r="BK2509" s="2"/>
      <c r="BL2509" s="136"/>
      <c r="BM2509" s="136"/>
      <c r="BN2509" s="2"/>
      <c r="BO2509" s="2"/>
      <c r="BP2509" s="136"/>
      <c r="BQ2509" s="137"/>
    </row>
    <row r="2510" spans="1:69" ht="12.75" customHeight="1" x14ac:dyDescent="0.2">
      <c r="A2510" s="2">
        <v>3999</v>
      </c>
      <c r="B2510" s="2"/>
      <c r="C2510" s="2"/>
      <c r="D2510" s="2"/>
      <c r="E2510" s="2"/>
      <c r="F2510" s="132">
        <v>0</v>
      </c>
      <c r="G2510" s="132"/>
      <c r="H2510" s="132">
        <f t="shared" si="283"/>
        <v>0</v>
      </c>
      <c r="I2510" s="132"/>
      <c r="J2510" s="132">
        <f t="shared" si="281"/>
        <v>0</v>
      </c>
      <c r="K2510" s="132">
        <f t="shared" si="284"/>
        <v>0</v>
      </c>
      <c r="L2510" s="132">
        <f t="shared" si="285"/>
        <v>0</v>
      </c>
      <c r="M2510" s="133"/>
      <c r="N2510" s="133">
        <f t="shared" si="282"/>
        <v>0</v>
      </c>
      <c r="O2510" s="134"/>
      <c r="P2510" s="133"/>
      <c r="Q2510" s="2"/>
      <c r="R2510" s="156">
        <f t="shared" si="286"/>
        <v>0</v>
      </c>
      <c r="S2510" s="156">
        <f t="shared" si="287"/>
        <v>0</v>
      </c>
      <c r="T2510" s="133"/>
      <c r="U2510" s="133"/>
      <c r="V2510" s="133"/>
      <c r="W2510" s="133"/>
      <c r="X2510" s="133"/>
      <c r="Y2510" s="133"/>
      <c r="Z2510" s="133"/>
      <c r="AA2510" s="133"/>
      <c r="AB2510" s="133"/>
      <c r="AC2510" s="133"/>
      <c r="AD2510" s="133"/>
      <c r="AE2510" s="133"/>
      <c r="AF2510" s="133"/>
      <c r="AG2510" s="133"/>
      <c r="AH2510" s="133"/>
      <c r="AI2510" s="133"/>
      <c r="AJ2510" s="133"/>
      <c r="AK2510" s="133"/>
      <c r="AL2510" s="133"/>
      <c r="AM2510" s="133"/>
      <c r="AN2510" s="133"/>
      <c r="AO2510" s="133"/>
      <c r="AP2510" s="133"/>
      <c r="AQ2510" s="133"/>
      <c r="AR2510" s="133"/>
      <c r="AS2510" s="153">
        <v>0</v>
      </c>
      <c r="AT2510" s="153">
        <v>0</v>
      </c>
      <c r="AU2510" s="153">
        <v>0</v>
      </c>
      <c r="AV2510" s="135"/>
      <c r="AW2510" s="135"/>
      <c r="AX2510" s="135"/>
      <c r="AY2510" s="135"/>
      <c r="AZ2510" s="135"/>
      <c r="BA2510" s="135"/>
      <c r="BB2510" s="135"/>
      <c r="BC2510" s="135"/>
      <c r="BD2510" s="135"/>
      <c r="BE2510" s="135"/>
      <c r="BF2510" s="135"/>
      <c r="BG2510" s="135"/>
      <c r="BH2510" s="135"/>
      <c r="BI2510" s="2"/>
      <c r="BJ2510" s="136"/>
      <c r="BK2510" s="2"/>
      <c r="BL2510" s="136"/>
      <c r="BM2510" s="136"/>
      <c r="BN2510" s="2"/>
      <c r="BO2510" s="2"/>
      <c r="BP2510" s="136"/>
      <c r="BQ2510" s="137"/>
    </row>
    <row r="2511" spans="1:69" ht="12.75" customHeight="1" x14ac:dyDescent="0.2">
      <c r="A2511" s="2">
        <v>4000</v>
      </c>
      <c r="B2511" s="2"/>
      <c r="C2511" s="2"/>
      <c r="D2511" s="2"/>
      <c r="E2511" s="2"/>
      <c r="F2511" s="132">
        <v>0</v>
      </c>
      <c r="G2511" s="132"/>
      <c r="H2511" s="132">
        <f t="shared" si="283"/>
        <v>0</v>
      </c>
      <c r="I2511" s="132"/>
      <c r="J2511" s="132">
        <f t="shared" si="281"/>
        <v>0</v>
      </c>
      <c r="K2511" s="132">
        <f t="shared" si="284"/>
        <v>0</v>
      </c>
      <c r="L2511" s="132">
        <f t="shared" si="285"/>
        <v>0</v>
      </c>
      <c r="M2511" s="133"/>
      <c r="N2511" s="133">
        <f t="shared" si="282"/>
        <v>0</v>
      </c>
      <c r="O2511" s="134"/>
      <c r="P2511" s="133"/>
      <c r="Q2511" s="2"/>
      <c r="R2511" s="156">
        <f t="shared" si="286"/>
        <v>0</v>
      </c>
      <c r="S2511" s="156">
        <f t="shared" si="287"/>
        <v>0</v>
      </c>
      <c r="T2511" s="133"/>
      <c r="U2511" s="133"/>
      <c r="V2511" s="133"/>
      <c r="W2511" s="133"/>
      <c r="X2511" s="133"/>
      <c r="Y2511" s="133"/>
      <c r="Z2511" s="133"/>
      <c r="AA2511" s="133"/>
      <c r="AB2511" s="133"/>
      <c r="AC2511" s="133"/>
      <c r="AD2511" s="133"/>
      <c r="AE2511" s="133"/>
      <c r="AF2511" s="133"/>
      <c r="AG2511" s="133"/>
      <c r="AH2511" s="133"/>
      <c r="AI2511" s="133"/>
      <c r="AJ2511" s="133"/>
      <c r="AK2511" s="133"/>
      <c r="AL2511" s="133"/>
      <c r="AM2511" s="133"/>
      <c r="AN2511" s="133"/>
      <c r="AO2511" s="133"/>
      <c r="AP2511" s="133"/>
      <c r="AQ2511" s="133"/>
      <c r="AR2511" s="133"/>
      <c r="AS2511" s="153">
        <v>0</v>
      </c>
      <c r="AT2511" s="153">
        <v>0</v>
      </c>
      <c r="AU2511" s="153">
        <v>0</v>
      </c>
      <c r="AV2511" s="135"/>
      <c r="AW2511" s="135"/>
      <c r="AX2511" s="135"/>
      <c r="AY2511" s="135"/>
      <c r="AZ2511" s="135"/>
      <c r="BA2511" s="135"/>
      <c r="BB2511" s="135"/>
      <c r="BC2511" s="135"/>
      <c r="BD2511" s="135"/>
      <c r="BE2511" s="135"/>
      <c r="BF2511" s="135"/>
      <c r="BG2511" s="135"/>
      <c r="BH2511" s="135"/>
      <c r="BI2511" s="2"/>
      <c r="BJ2511" s="136"/>
      <c r="BK2511" s="2"/>
      <c r="BL2511" s="136"/>
      <c r="BM2511" s="136"/>
      <c r="BN2511" s="2"/>
      <c r="BO2511" s="2"/>
      <c r="BP2511" s="136"/>
      <c r="BQ2511" s="137"/>
    </row>
    <row r="2512" spans="1:69" ht="12.75" customHeight="1" x14ac:dyDescent="0.2">
      <c r="A2512" s="2">
        <v>4001</v>
      </c>
      <c r="B2512" s="2"/>
      <c r="C2512" s="2"/>
      <c r="D2512" s="2"/>
      <c r="E2512" s="2"/>
      <c r="F2512" s="132">
        <v>0</v>
      </c>
      <c r="G2512" s="132"/>
      <c r="H2512" s="132">
        <f t="shared" si="283"/>
        <v>0</v>
      </c>
      <c r="I2512" s="132"/>
      <c r="J2512" s="132">
        <f t="shared" si="281"/>
        <v>0</v>
      </c>
      <c r="K2512" s="132">
        <f t="shared" si="284"/>
        <v>0</v>
      </c>
      <c r="L2512" s="132">
        <f t="shared" si="285"/>
        <v>0</v>
      </c>
      <c r="M2512" s="133"/>
      <c r="N2512" s="133">
        <f t="shared" si="282"/>
        <v>0</v>
      </c>
      <c r="O2512" s="134"/>
      <c r="P2512" s="133"/>
      <c r="Q2512" s="2"/>
      <c r="R2512" s="156">
        <f t="shared" si="286"/>
        <v>0</v>
      </c>
      <c r="S2512" s="156">
        <f t="shared" si="287"/>
        <v>0</v>
      </c>
      <c r="T2512" s="133"/>
      <c r="U2512" s="133"/>
      <c r="V2512" s="133"/>
      <c r="W2512" s="133"/>
      <c r="X2512" s="133"/>
      <c r="Y2512" s="133"/>
      <c r="Z2512" s="133"/>
      <c r="AA2512" s="133"/>
      <c r="AB2512" s="133"/>
      <c r="AC2512" s="133"/>
      <c r="AD2512" s="133"/>
      <c r="AE2512" s="133"/>
      <c r="AF2512" s="133"/>
      <c r="AG2512" s="133"/>
      <c r="AH2512" s="133"/>
      <c r="AI2512" s="133"/>
      <c r="AJ2512" s="133"/>
      <c r="AK2512" s="133"/>
      <c r="AL2512" s="133"/>
      <c r="AM2512" s="133"/>
      <c r="AN2512" s="133"/>
      <c r="AO2512" s="133"/>
      <c r="AP2512" s="133"/>
      <c r="AQ2512" s="133"/>
      <c r="AR2512" s="133"/>
      <c r="AS2512" s="153">
        <v>0</v>
      </c>
      <c r="AT2512" s="153">
        <v>0</v>
      </c>
      <c r="AU2512" s="153">
        <v>0</v>
      </c>
      <c r="AV2512" s="135"/>
      <c r="AW2512" s="135"/>
      <c r="AX2512" s="135"/>
      <c r="AY2512" s="135"/>
      <c r="AZ2512" s="135"/>
      <c r="BA2512" s="135"/>
      <c r="BB2512" s="135"/>
      <c r="BC2512" s="135"/>
      <c r="BD2512" s="135"/>
      <c r="BE2512" s="135"/>
      <c r="BF2512" s="135"/>
      <c r="BG2512" s="135"/>
      <c r="BH2512" s="135"/>
      <c r="BI2512" s="2"/>
      <c r="BJ2512" s="136"/>
      <c r="BK2512" s="2"/>
      <c r="BL2512" s="136"/>
      <c r="BM2512" s="136"/>
      <c r="BN2512" s="2"/>
      <c r="BO2512" s="2"/>
      <c r="BP2512" s="136"/>
      <c r="BQ2512" s="137"/>
    </row>
    <row r="2513" spans="1:69" ht="12.75" customHeight="1" x14ac:dyDescent="0.2">
      <c r="A2513" s="2">
        <v>4002</v>
      </c>
      <c r="B2513" s="2"/>
      <c r="C2513" s="2"/>
      <c r="D2513" s="2"/>
      <c r="E2513" s="2"/>
      <c r="F2513" s="132">
        <v>0</v>
      </c>
      <c r="G2513" s="132"/>
      <c r="H2513" s="132">
        <f t="shared" si="283"/>
        <v>0</v>
      </c>
      <c r="I2513" s="132"/>
      <c r="J2513" s="132">
        <f t="shared" si="281"/>
        <v>0</v>
      </c>
      <c r="K2513" s="132">
        <f t="shared" si="284"/>
        <v>0</v>
      </c>
      <c r="L2513" s="132">
        <f t="shared" si="285"/>
        <v>0</v>
      </c>
      <c r="M2513" s="133"/>
      <c r="N2513" s="133">
        <f t="shared" si="282"/>
        <v>0</v>
      </c>
      <c r="O2513" s="134"/>
      <c r="P2513" s="133"/>
      <c r="Q2513" s="2"/>
      <c r="R2513" s="156">
        <f t="shared" si="286"/>
        <v>0</v>
      </c>
      <c r="S2513" s="156">
        <f t="shared" si="287"/>
        <v>0</v>
      </c>
      <c r="T2513" s="133"/>
      <c r="U2513" s="133"/>
      <c r="V2513" s="133"/>
      <c r="W2513" s="133"/>
      <c r="X2513" s="133"/>
      <c r="Y2513" s="133"/>
      <c r="Z2513" s="133"/>
      <c r="AA2513" s="133"/>
      <c r="AB2513" s="133"/>
      <c r="AC2513" s="133"/>
      <c r="AD2513" s="133"/>
      <c r="AE2513" s="133"/>
      <c r="AF2513" s="133"/>
      <c r="AG2513" s="133"/>
      <c r="AH2513" s="133"/>
      <c r="AI2513" s="133"/>
      <c r="AJ2513" s="133"/>
      <c r="AK2513" s="133"/>
      <c r="AL2513" s="133"/>
      <c r="AM2513" s="133"/>
      <c r="AN2513" s="133"/>
      <c r="AO2513" s="133"/>
      <c r="AP2513" s="133"/>
      <c r="AQ2513" s="133"/>
      <c r="AR2513" s="133"/>
      <c r="AS2513" s="153">
        <v>0</v>
      </c>
      <c r="AT2513" s="153">
        <v>0</v>
      </c>
      <c r="AU2513" s="153">
        <v>0</v>
      </c>
      <c r="AV2513" s="135"/>
      <c r="AW2513" s="135"/>
      <c r="AX2513" s="135"/>
      <c r="AY2513" s="135"/>
      <c r="AZ2513" s="135"/>
      <c r="BA2513" s="135"/>
      <c r="BB2513" s="135"/>
      <c r="BC2513" s="135"/>
      <c r="BD2513" s="135"/>
      <c r="BE2513" s="135"/>
      <c r="BF2513" s="135"/>
      <c r="BG2513" s="135"/>
      <c r="BH2513" s="135"/>
      <c r="BI2513" s="2"/>
      <c r="BJ2513" s="136"/>
      <c r="BK2513" s="2"/>
      <c r="BL2513" s="136"/>
      <c r="BM2513" s="136"/>
      <c r="BN2513" s="2"/>
      <c r="BO2513" s="2"/>
      <c r="BP2513" s="136"/>
      <c r="BQ2513" s="137"/>
    </row>
    <row r="2514" spans="1:69" ht="12.75" customHeight="1" x14ac:dyDescent="0.2">
      <c r="A2514" s="2">
        <v>4003</v>
      </c>
      <c r="B2514" s="2"/>
      <c r="C2514" s="2"/>
      <c r="D2514" s="2"/>
      <c r="E2514" s="2"/>
      <c r="F2514" s="132">
        <v>0</v>
      </c>
      <c r="G2514" s="132"/>
      <c r="H2514" s="132">
        <f t="shared" si="283"/>
        <v>0</v>
      </c>
      <c r="I2514" s="132"/>
      <c r="J2514" s="132">
        <f t="shared" si="281"/>
        <v>0</v>
      </c>
      <c r="K2514" s="132">
        <f t="shared" si="284"/>
        <v>0</v>
      </c>
      <c r="L2514" s="132">
        <f t="shared" si="285"/>
        <v>0</v>
      </c>
      <c r="M2514" s="133"/>
      <c r="N2514" s="133">
        <f t="shared" si="282"/>
        <v>0</v>
      </c>
      <c r="O2514" s="134"/>
      <c r="P2514" s="133"/>
      <c r="Q2514" s="2"/>
      <c r="R2514" s="156">
        <f t="shared" si="286"/>
        <v>0</v>
      </c>
      <c r="S2514" s="156">
        <f t="shared" si="287"/>
        <v>0</v>
      </c>
      <c r="T2514" s="133"/>
      <c r="U2514" s="133"/>
      <c r="V2514" s="133"/>
      <c r="W2514" s="133"/>
      <c r="X2514" s="133"/>
      <c r="Y2514" s="133"/>
      <c r="Z2514" s="133"/>
      <c r="AA2514" s="133"/>
      <c r="AB2514" s="133"/>
      <c r="AC2514" s="133"/>
      <c r="AD2514" s="133"/>
      <c r="AE2514" s="133"/>
      <c r="AF2514" s="133"/>
      <c r="AG2514" s="133"/>
      <c r="AH2514" s="133"/>
      <c r="AI2514" s="133"/>
      <c r="AJ2514" s="133"/>
      <c r="AK2514" s="133"/>
      <c r="AL2514" s="133"/>
      <c r="AM2514" s="133"/>
      <c r="AN2514" s="133"/>
      <c r="AO2514" s="133"/>
      <c r="AP2514" s="133"/>
      <c r="AQ2514" s="133"/>
      <c r="AR2514" s="133"/>
      <c r="AS2514" s="153">
        <v>0</v>
      </c>
      <c r="AT2514" s="153">
        <v>0</v>
      </c>
      <c r="AU2514" s="153">
        <v>0</v>
      </c>
      <c r="AV2514" s="135"/>
      <c r="AW2514" s="135"/>
      <c r="AX2514" s="135"/>
      <c r="AY2514" s="135"/>
      <c r="AZ2514" s="135"/>
      <c r="BA2514" s="135"/>
      <c r="BB2514" s="135"/>
      <c r="BC2514" s="135"/>
      <c r="BD2514" s="135"/>
      <c r="BE2514" s="135"/>
      <c r="BF2514" s="135"/>
      <c r="BG2514" s="135"/>
      <c r="BH2514" s="135"/>
      <c r="BI2514" s="2"/>
      <c r="BJ2514" s="136"/>
      <c r="BK2514" s="2"/>
      <c r="BL2514" s="136"/>
      <c r="BM2514" s="136"/>
      <c r="BN2514" s="2"/>
      <c r="BO2514" s="2"/>
      <c r="BP2514" s="136"/>
      <c r="BQ2514" s="137"/>
    </row>
    <row r="2515" spans="1:69" ht="12.75" customHeight="1" x14ac:dyDescent="0.2">
      <c r="A2515" s="2">
        <v>4004</v>
      </c>
      <c r="B2515" s="2"/>
      <c r="C2515" s="2"/>
      <c r="D2515" s="2"/>
      <c r="E2515" s="2"/>
      <c r="F2515" s="132">
        <v>0</v>
      </c>
      <c r="G2515" s="132"/>
      <c r="H2515" s="132">
        <f t="shared" si="283"/>
        <v>0</v>
      </c>
      <c r="I2515" s="132"/>
      <c r="J2515" s="132">
        <f t="shared" si="281"/>
        <v>0</v>
      </c>
      <c r="K2515" s="132">
        <f t="shared" si="284"/>
        <v>0</v>
      </c>
      <c r="L2515" s="132">
        <f t="shared" si="285"/>
        <v>0</v>
      </c>
      <c r="M2515" s="133"/>
      <c r="N2515" s="133">
        <f t="shared" si="282"/>
        <v>0</v>
      </c>
      <c r="O2515" s="134"/>
      <c r="P2515" s="133"/>
      <c r="Q2515" s="2"/>
      <c r="R2515" s="156">
        <f t="shared" si="286"/>
        <v>0</v>
      </c>
      <c r="S2515" s="156">
        <f t="shared" si="287"/>
        <v>0</v>
      </c>
      <c r="T2515" s="133"/>
      <c r="U2515" s="133"/>
      <c r="V2515" s="133"/>
      <c r="W2515" s="133"/>
      <c r="X2515" s="133"/>
      <c r="Y2515" s="133"/>
      <c r="Z2515" s="133"/>
      <c r="AA2515" s="133"/>
      <c r="AB2515" s="133"/>
      <c r="AC2515" s="133"/>
      <c r="AD2515" s="133"/>
      <c r="AE2515" s="133"/>
      <c r="AF2515" s="133"/>
      <c r="AG2515" s="133"/>
      <c r="AH2515" s="133"/>
      <c r="AI2515" s="133"/>
      <c r="AJ2515" s="133"/>
      <c r="AK2515" s="133"/>
      <c r="AL2515" s="133"/>
      <c r="AM2515" s="133"/>
      <c r="AN2515" s="133"/>
      <c r="AO2515" s="133"/>
      <c r="AP2515" s="133"/>
      <c r="AQ2515" s="133"/>
      <c r="AR2515" s="133"/>
      <c r="AS2515" s="153">
        <v>0</v>
      </c>
      <c r="AT2515" s="153">
        <v>0</v>
      </c>
      <c r="AU2515" s="153">
        <v>0</v>
      </c>
      <c r="AV2515" s="135"/>
      <c r="AW2515" s="135"/>
      <c r="AX2515" s="135"/>
      <c r="AY2515" s="135"/>
      <c r="AZ2515" s="135"/>
      <c r="BA2515" s="135"/>
      <c r="BB2515" s="135"/>
      <c r="BC2515" s="135"/>
      <c r="BD2515" s="135"/>
      <c r="BE2515" s="135"/>
      <c r="BF2515" s="135"/>
      <c r="BG2515" s="135"/>
      <c r="BH2515" s="135"/>
      <c r="BI2515" s="2"/>
      <c r="BJ2515" s="136"/>
      <c r="BK2515" s="2"/>
      <c r="BL2515" s="136"/>
      <c r="BM2515" s="136"/>
      <c r="BN2515" s="2"/>
      <c r="BO2515" s="2"/>
      <c r="BP2515" s="136"/>
      <c r="BQ2515" s="137"/>
    </row>
    <row r="2516" spans="1:69" ht="12.75" customHeight="1" x14ac:dyDescent="0.2">
      <c r="A2516" s="2">
        <v>4005</v>
      </c>
      <c r="B2516" s="2"/>
      <c r="C2516" s="2"/>
      <c r="D2516" s="2"/>
      <c r="E2516" s="2"/>
      <c r="F2516" s="132">
        <v>0</v>
      </c>
      <c r="G2516" s="132"/>
      <c r="H2516" s="132">
        <f t="shared" si="283"/>
        <v>0</v>
      </c>
      <c r="I2516" s="132"/>
      <c r="J2516" s="132">
        <f t="shared" si="281"/>
        <v>0</v>
      </c>
      <c r="K2516" s="132">
        <f t="shared" si="284"/>
        <v>0</v>
      </c>
      <c r="L2516" s="132">
        <f t="shared" si="285"/>
        <v>0</v>
      </c>
      <c r="M2516" s="133"/>
      <c r="N2516" s="133">
        <f t="shared" si="282"/>
        <v>0</v>
      </c>
      <c r="O2516" s="134"/>
      <c r="P2516" s="133"/>
      <c r="Q2516" s="2"/>
      <c r="R2516" s="156">
        <f t="shared" si="286"/>
        <v>0</v>
      </c>
      <c r="S2516" s="156">
        <f t="shared" si="287"/>
        <v>0</v>
      </c>
      <c r="T2516" s="133"/>
      <c r="U2516" s="133"/>
      <c r="V2516" s="133"/>
      <c r="W2516" s="133"/>
      <c r="X2516" s="133"/>
      <c r="Y2516" s="133"/>
      <c r="Z2516" s="133"/>
      <c r="AA2516" s="133"/>
      <c r="AB2516" s="133"/>
      <c r="AC2516" s="133"/>
      <c r="AD2516" s="133"/>
      <c r="AE2516" s="133"/>
      <c r="AF2516" s="133"/>
      <c r="AG2516" s="133"/>
      <c r="AH2516" s="133"/>
      <c r="AI2516" s="133"/>
      <c r="AJ2516" s="133"/>
      <c r="AK2516" s="133"/>
      <c r="AL2516" s="133"/>
      <c r="AM2516" s="133"/>
      <c r="AN2516" s="133"/>
      <c r="AO2516" s="133"/>
      <c r="AP2516" s="133"/>
      <c r="AQ2516" s="133"/>
      <c r="AR2516" s="133"/>
      <c r="AS2516" s="153">
        <v>0</v>
      </c>
      <c r="AT2516" s="153">
        <v>0</v>
      </c>
      <c r="AU2516" s="153">
        <v>0</v>
      </c>
      <c r="AV2516" s="135"/>
      <c r="AW2516" s="135"/>
      <c r="AX2516" s="135"/>
      <c r="AY2516" s="135"/>
      <c r="AZ2516" s="135"/>
      <c r="BA2516" s="135"/>
      <c r="BB2516" s="135"/>
      <c r="BC2516" s="135"/>
      <c r="BD2516" s="135"/>
      <c r="BE2516" s="135"/>
      <c r="BF2516" s="135"/>
      <c r="BG2516" s="135"/>
      <c r="BH2516" s="135"/>
      <c r="BI2516" s="2"/>
      <c r="BJ2516" s="136"/>
      <c r="BK2516" s="2"/>
      <c r="BL2516" s="136"/>
      <c r="BM2516" s="136"/>
      <c r="BN2516" s="2"/>
      <c r="BO2516" s="2"/>
      <c r="BP2516" s="136"/>
      <c r="BQ2516" s="137"/>
    </row>
    <row r="2517" spans="1:69" ht="12.75" customHeight="1" x14ac:dyDescent="0.2">
      <c r="A2517" s="2">
        <v>4006</v>
      </c>
      <c r="B2517" s="2"/>
      <c r="C2517" s="2"/>
      <c r="D2517" s="2"/>
      <c r="E2517" s="2"/>
      <c r="F2517" s="132">
        <v>0</v>
      </c>
      <c r="G2517" s="132"/>
      <c r="H2517" s="132">
        <f t="shared" si="283"/>
        <v>0</v>
      </c>
      <c r="I2517" s="132"/>
      <c r="J2517" s="132">
        <f t="shared" si="281"/>
        <v>0</v>
      </c>
      <c r="K2517" s="132">
        <f t="shared" si="284"/>
        <v>0</v>
      </c>
      <c r="L2517" s="132">
        <f t="shared" si="285"/>
        <v>0</v>
      </c>
      <c r="M2517" s="133"/>
      <c r="N2517" s="133">
        <f t="shared" si="282"/>
        <v>0</v>
      </c>
      <c r="O2517" s="134"/>
      <c r="P2517" s="133"/>
      <c r="Q2517" s="2"/>
      <c r="R2517" s="156">
        <f t="shared" si="286"/>
        <v>0</v>
      </c>
      <c r="S2517" s="156">
        <f t="shared" si="287"/>
        <v>0</v>
      </c>
      <c r="T2517" s="133"/>
      <c r="U2517" s="133"/>
      <c r="V2517" s="133"/>
      <c r="W2517" s="133"/>
      <c r="X2517" s="133"/>
      <c r="Y2517" s="133"/>
      <c r="Z2517" s="133"/>
      <c r="AA2517" s="133"/>
      <c r="AB2517" s="133"/>
      <c r="AC2517" s="133"/>
      <c r="AD2517" s="133"/>
      <c r="AE2517" s="133"/>
      <c r="AF2517" s="133"/>
      <c r="AG2517" s="133"/>
      <c r="AH2517" s="133"/>
      <c r="AI2517" s="133"/>
      <c r="AJ2517" s="133"/>
      <c r="AK2517" s="133"/>
      <c r="AL2517" s="133"/>
      <c r="AM2517" s="133"/>
      <c r="AN2517" s="133"/>
      <c r="AO2517" s="133"/>
      <c r="AP2517" s="133"/>
      <c r="AQ2517" s="133"/>
      <c r="AR2517" s="133"/>
      <c r="AS2517" s="153">
        <v>0</v>
      </c>
      <c r="AT2517" s="153">
        <v>0</v>
      </c>
      <c r="AU2517" s="153">
        <v>0</v>
      </c>
      <c r="AV2517" s="135"/>
      <c r="AW2517" s="135"/>
      <c r="AX2517" s="135"/>
      <c r="AY2517" s="135"/>
      <c r="AZ2517" s="135"/>
      <c r="BA2517" s="135"/>
      <c r="BB2517" s="135"/>
      <c r="BC2517" s="135"/>
      <c r="BD2517" s="135"/>
      <c r="BE2517" s="135"/>
      <c r="BF2517" s="135"/>
      <c r="BG2517" s="135"/>
      <c r="BH2517" s="135"/>
      <c r="BI2517" s="2"/>
      <c r="BJ2517" s="136"/>
      <c r="BK2517" s="2"/>
      <c r="BL2517" s="136"/>
      <c r="BM2517" s="136"/>
      <c r="BN2517" s="2"/>
      <c r="BO2517" s="2"/>
      <c r="BP2517" s="136"/>
      <c r="BQ2517" s="137"/>
    </row>
    <row r="2518" spans="1:69" ht="12.75" customHeight="1" x14ac:dyDescent="0.2">
      <c r="A2518" s="2">
        <v>4007</v>
      </c>
      <c r="B2518" s="2"/>
      <c r="C2518" s="2"/>
      <c r="D2518" s="2"/>
      <c r="E2518" s="2"/>
      <c r="F2518" s="132">
        <v>0</v>
      </c>
      <c r="G2518" s="132"/>
      <c r="H2518" s="132">
        <f t="shared" si="283"/>
        <v>0</v>
      </c>
      <c r="I2518" s="132"/>
      <c r="J2518" s="132">
        <f t="shared" si="281"/>
        <v>0</v>
      </c>
      <c r="K2518" s="132">
        <f t="shared" si="284"/>
        <v>0</v>
      </c>
      <c r="L2518" s="132">
        <f t="shared" si="285"/>
        <v>0</v>
      </c>
      <c r="M2518" s="133"/>
      <c r="N2518" s="133">
        <f t="shared" si="282"/>
        <v>0</v>
      </c>
      <c r="O2518" s="134"/>
      <c r="P2518" s="133"/>
      <c r="Q2518" s="2"/>
      <c r="R2518" s="156">
        <f t="shared" si="286"/>
        <v>0</v>
      </c>
      <c r="S2518" s="156">
        <f t="shared" si="287"/>
        <v>0</v>
      </c>
      <c r="T2518" s="133"/>
      <c r="U2518" s="133"/>
      <c r="V2518" s="133"/>
      <c r="W2518" s="133"/>
      <c r="X2518" s="133"/>
      <c r="Y2518" s="133"/>
      <c r="Z2518" s="133"/>
      <c r="AA2518" s="133"/>
      <c r="AB2518" s="133"/>
      <c r="AC2518" s="133"/>
      <c r="AD2518" s="133"/>
      <c r="AE2518" s="133"/>
      <c r="AF2518" s="133"/>
      <c r="AG2518" s="133"/>
      <c r="AH2518" s="133"/>
      <c r="AI2518" s="133"/>
      <c r="AJ2518" s="133"/>
      <c r="AK2518" s="133"/>
      <c r="AL2518" s="133"/>
      <c r="AM2518" s="133"/>
      <c r="AN2518" s="133"/>
      <c r="AO2518" s="133"/>
      <c r="AP2518" s="133"/>
      <c r="AQ2518" s="133"/>
      <c r="AR2518" s="133"/>
      <c r="AS2518" s="153">
        <v>0</v>
      </c>
      <c r="AT2518" s="153">
        <v>0</v>
      </c>
      <c r="AU2518" s="153">
        <v>0</v>
      </c>
      <c r="AV2518" s="135"/>
      <c r="AW2518" s="135"/>
      <c r="AX2518" s="135"/>
      <c r="AY2518" s="135"/>
      <c r="AZ2518" s="135"/>
      <c r="BA2518" s="135"/>
      <c r="BB2518" s="135"/>
      <c r="BC2518" s="135"/>
      <c r="BD2518" s="135"/>
      <c r="BE2518" s="135"/>
      <c r="BF2518" s="135"/>
      <c r="BG2518" s="135"/>
      <c r="BH2518" s="135"/>
      <c r="BI2518" s="2"/>
      <c r="BJ2518" s="136"/>
      <c r="BK2518" s="2"/>
      <c r="BL2518" s="136"/>
      <c r="BM2518" s="136"/>
      <c r="BN2518" s="2"/>
      <c r="BO2518" s="2"/>
      <c r="BP2518" s="136"/>
      <c r="BQ2518" s="137"/>
    </row>
    <row r="2519" spans="1:69" ht="12.75" customHeight="1" x14ac:dyDescent="0.2">
      <c r="A2519" s="2">
        <v>4008</v>
      </c>
      <c r="B2519" s="2"/>
      <c r="C2519" s="2"/>
      <c r="D2519" s="2"/>
      <c r="E2519" s="2"/>
      <c r="F2519" s="132">
        <v>0</v>
      </c>
      <c r="G2519" s="132"/>
      <c r="H2519" s="132">
        <f t="shared" si="283"/>
        <v>0</v>
      </c>
      <c r="I2519" s="132"/>
      <c r="J2519" s="132">
        <f t="shared" si="281"/>
        <v>0</v>
      </c>
      <c r="K2519" s="132">
        <f t="shared" si="284"/>
        <v>0</v>
      </c>
      <c r="L2519" s="132">
        <f t="shared" si="285"/>
        <v>0</v>
      </c>
      <c r="M2519" s="133"/>
      <c r="N2519" s="133">
        <f t="shared" si="282"/>
        <v>0</v>
      </c>
      <c r="O2519" s="134"/>
      <c r="P2519" s="133"/>
      <c r="Q2519" s="2"/>
      <c r="R2519" s="156">
        <f t="shared" si="286"/>
        <v>0</v>
      </c>
      <c r="S2519" s="156">
        <f t="shared" si="287"/>
        <v>0</v>
      </c>
      <c r="T2519" s="133"/>
      <c r="U2519" s="133"/>
      <c r="V2519" s="133"/>
      <c r="W2519" s="133"/>
      <c r="X2519" s="133"/>
      <c r="Y2519" s="133"/>
      <c r="Z2519" s="133"/>
      <c r="AA2519" s="133"/>
      <c r="AB2519" s="133"/>
      <c r="AC2519" s="133"/>
      <c r="AD2519" s="133"/>
      <c r="AE2519" s="133"/>
      <c r="AF2519" s="133"/>
      <c r="AG2519" s="133"/>
      <c r="AH2519" s="133"/>
      <c r="AI2519" s="133"/>
      <c r="AJ2519" s="133"/>
      <c r="AK2519" s="133"/>
      <c r="AL2519" s="133"/>
      <c r="AM2519" s="133"/>
      <c r="AN2519" s="133"/>
      <c r="AO2519" s="133"/>
      <c r="AP2519" s="133"/>
      <c r="AQ2519" s="133"/>
      <c r="AR2519" s="133"/>
      <c r="AS2519" s="153">
        <v>0</v>
      </c>
      <c r="AT2519" s="153">
        <v>0</v>
      </c>
      <c r="AU2519" s="153">
        <v>0</v>
      </c>
      <c r="AV2519" s="135"/>
      <c r="AW2519" s="135"/>
      <c r="AX2519" s="135"/>
      <c r="AY2519" s="135"/>
      <c r="AZ2519" s="135"/>
      <c r="BA2519" s="135"/>
      <c r="BB2519" s="135"/>
      <c r="BC2519" s="135"/>
      <c r="BD2519" s="135"/>
      <c r="BE2519" s="135"/>
      <c r="BF2519" s="135"/>
      <c r="BG2519" s="135"/>
      <c r="BH2519" s="135"/>
      <c r="BI2519" s="2"/>
      <c r="BJ2519" s="136"/>
      <c r="BK2519" s="2"/>
      <c r="BL2519" s="136"/>
      <c r="BM2519" s="136"/>
      <c r="BN2519" s="2"/>
      <c r="BO2519" s="2"/>
      <c r="BP2519" s="136"/>
      <c r="BQ2519" s="137"/>
    </row>
    <row r="2520" spans="1:69" ht="12.75" customHeight="1" x14ac:dyDescent="0.2">
      <c r="A2520" s="2">
        <v>4009</v>
      </c>
      <c r="B2520" s="2"/>
      <c r="C2520" s="2"/>
      <c r="D2520" s="2"/>
      <c r="E2520" s="2"/>
      <c r="F2520" s="132">
        <v>0</v>
      </c>
      <c r="G2520" s="132"/>
      <c r="H2520" s="132">
        <f t="shared" si="283"/>
        <v>0</v>
      </c>
      <c r="I2520" s="132"/>
      <c r="J2520" s="132">
        <f t="shared" si="281"/>
        <v>0</v>
      </c>
      <c r="K2520" s="132">
        <f t="shared" si="284"/>
        <v>0</v>
      </c>
      <c r="L2520" s="132">
        <f t="shared" si="285"/>
        <v>0</v>
      </c>
      <c r="M2520" s="133"/>
      <c r="N2520" s="133">
        <f t="shared" si="282"/>
        <v>0</v>
      </c>
      <c r="O2520" s="134"/>
      <c r="P2520" s="133"/>
      <c r="Q2520" s="2"/>
      <c r="R2520" s="156">
        <f t="shared" si="286"/>
        <v>0</v>
      </c>
      <c r="S2520" s="156">
        <f t="shared" si="287"/>
        <v>0</v>
      </c>
      <c r="T2520" s="133"/>
      <c r="U2520" s="133"/>
      <c r="V2520" s="133"/>
      <c r="W2520" s="133"/>
      <c r="X2520" s="133"/>
      <c r="Y2520" s="133"/>
      <c r="Z2520" s="133"/>
      <c r="AA2520" s="133"/>
      <c r="AB2520" s="133"/>
      <c r="AC2520" s="133"/>
      <c r="AD2520" s="133"/>
      <c r="AE2520" s="133"/>
      <c r="AF2520" s="133"/>
      <c r="AG2520" s="133"/>
      <c r="AH2520" s="133"/>
      <c r="AI2520" s="133"/>
      <c r="AJ2520" s="133"/>
      <c r="AK2520" s="133"/>
      <c r="AL2520" s="133"/>
      <c r="AM2520" s="133"/>
      <c r="AN2520" s="133"/>
      <c r="AO2520" s="133"/>
      <c r="AP2520" s="133"/>
      <c r="AQ2520" s="133"/>
      <c r="AR2520" s="133"/>
      <c r="AS2520" s="153">
        <v>0</v>
      </c>
      <c r="AT2520" s="153">
        <v>0</v>
      </c>
      <c r="AU2520" s="153">
        <v>0</v>
      </c>
      <c r="AV2520" s="135"/>
      <c r="AW2520" s="135"/>
      <c r="AX2520" s="135"/>
      <c r="AY2520" s="135"/>
      <c r="AZ2520" s="135"/>
      <c r="BA2520" s="135"/>
      <c r="BB2520" s="135"/>
      <c r="BC2520" s="135"/>
      <c r="BD2520" s="135"/>
      <c r="BE2520" s="135"/>
      <c r="BF2520" s="135"/>
      <c r="BG2520" s="135"/>
      <c r="BH2520" s="135"/>
      <c r="BI2520" s="2"/>
      <c r="BJ2520" s="136"/>
      <c r="BK2520" s="2"/>
      <c r="BL2520" s="136"/>
      <c r="BM2520" s="136"/>
      <c r="BN2520" s="2"/>
      <c r="BO2520" s="2"/>
      <c r="BP2520" s="136"/>
      <c r="BQ2520" s="137"/>
    </row>
    <row r="2521" spans="1:69" ht="12.75" customHeight="1" x14ac:dyDescent="0.2">
      <c r="A2521" s="2">
        <v>4010</v>
      </c>
      <c r="B2521" s="2"/>
      <c r="C2521" s="2"/>
      <c r="D2521" s="2"/>
      <c r="E2521" s="2"/>
      <c r="F2521" s="132">
        <v>0</v>
      </c>
      <c r="G2521" s="132"/>
      <c r="H2521" s="132">
        <f t="shared" si="283"/>
        <v>0</v>
      </c>
      <c r="I2521" s="132"/>
      <c r="J2521" s="132">
        <f t="shared" si="281"/>
        <v>0</v>
      </c>
      <c r="K2521" s="132">
        <f t="shared" si="284"/>
        <v>0</v>
      </c>
      <c r="L2521" s="132">
        <f t="shared" si="285"/>
        <v>0</v>
      </c>
      <c r="M2521" s="133"/>
      <c r="N2521" s="133">
        <f t="shared" si="282"/>
        <v>0</v>
      </c>
      <c r="O2521" s="134"/>
      <c r="P2521" s="133"/>
      <c r="Q2521" s="2"/>
      <c r="R2521" s="156">
        <f t="shared" si="286"/>
        <v>0</v>
      </c>
      <c r="S2521" s="156">
        <f t="shared" si="287"/>
        <v>0</v>
      </c>
      <c r="T2521" s="133"/>
      <c r="U2521" s="133"/>
      <c r="V2521" s="133"/>
      <c r="W2521" s="133"/>
      <c r="X2521" s="133"/>
      <c r="Y2521" s="133"/>
      <c r="Z2521" s="133"/>
      <c r="AA2521" s="133"/>
      <c r="AB2521" s="133"/>
      <c r="AC2521" s="133"/>
      <c r="AD2521" s="133"/>
      <c r="AE2521" s="133"/>
      <c r="AF2521" s="133"/>
      <c r="AG2521" s="133"/>
      <c r="AH2521" s="133"/>
      <c r="AI2521" s="133"/>
      <c r="AJ2521" s="133"/>
      <c r="AK2521" s="133"/>
      <c r="AL2521" s="133"/>
      <c r="AM2521" s="133"/>
      <c r="AN2521" s="133"/>
      <c r="AO2521" s="133"/>
      <c r="AP2521" s="133"/>
      <c r="AQ2521" s="133"/>
      <c r="AR2521" s="133"/>
      <c r="AS2521" s="153">
        <v>0</v>
      </c>
      <c r="AT2521" s="153">
        <v>0</v>
      </c>
      <c r="AU2521" s="153">
        <v>0</v>
      </c>
      <c r="AV2521" s="135"/>
      <c r="AW2521" s="135"/>
      <c r="AX2521" s="135"/>
      <c r="AY2521" s="135"/>
      <c r="AZ2521" s="135"/>
      <c r="BA2521" s="135"/>
      <c r="BB2521" s="135"/>
      <c r="BC2521" s="135"/>
      <c r="BD2521" s="135"/>
      <c r="BE2521" s="135"/>
      <c r="BF2521" s="135"/>
      <c r="BG2521" s="135"/>
      <c r="BH2521" s="135"/>
      <c r="BI2521" s="2"/>
      <c r="BJ2521" s="136"/>
      <c r="BK2521" s="2"/>
      <c r="BL2521" s="136"/>
      <c r="BM2521" s="136"/>
      <c r="BN2521" s="2"/>
      <c r="BO2521" s="2"/>
      <c r="BP2521" s="136"/>
      <c r="BQ2521" s="137"/>
    </row>
    <row r="2522" spans="1:69" ht="12.75" customHeight="1" x14ac:dyDescent="0.2">
      <c r="A2522" s="2">
        <v>4011</v>
      </c>
      <c r="B2522" s="2"/>
      <c r="C2522" s="2"/>
      <c r="D2522" s="2"/>
      <c r="E2522" s="2"/>
      <c r="F2522" s="132">
        <v>0</v>
      </c>
      <c r="G2522" s="132"/>
      <c r="H2522" s="132">
        <f t="shared" si="283"/>
        <v>0</v>
      </c>
      <c r="I2522" s="132"/>
      <c r="J2522" s="132">
        <f t="shared" si="281"/>
        <v>0</v>
      </c>
      <c r="K2522" s="132">
        <f t="shared" si="284"/>
        <v>0</v>
      </c>
      <c r="L2522" s="132">
        <f t="shared" si="285"/>
        <v>0</v>
      </c>
      <c r="M2522" s="133"/>
      <c r="N2522" s="133">
        <f t="shared" si="282"/>
        <v>0</v>
      </c>
      <c r="O2522" s="134"/>
      <c r="P2522" s="133"/>
      <c r="Q2522" s="2"/>
      <c r="R2522" s="156">
        <f t="shared" si="286"/>
        <v>0</v>
      </c>
      <c r="S2522" s="156">
        <f t="shared" si="287"/>
        <v>0</v>
      </c>
      <c r="T2522" s="133"/>
      <c r="U2522" s="133"/>
      <c r="V2522" s="133"/>
      <c r="W2522" s="133"/>
      <c r="X2522" s="133"/>
      <c r="Y2522" s="133"/>
      <c r="Z2522" s="133"/>
      <c r="AA2522" s="133"/>
      <c r="AB2522" s="133"/>
      <c r="AC2522" s="133"/>
      <c r="AD2522" s="133"/>
      <c r="AE2522" s="133"/>
      <c r="AF2522" s="133"/>
      <c r="AG2522" s="133"/>
      <c r="AH2522" s="133"/>
      <c r="AI2522" s="133"/>
      <c r="AJ2522" s="133"/>
      <c r="AK2522" s="133"/>
      <c r="AL2522" s="133"/>
      <c r="AM2522" s="133"/>
      <c r="AN2522" s="133"/>
      <c r="AO2522" s="133"/>
      <c r="AP2522" s="133"/>
      <c r="AQ2522" s="133"/>
      <c r="AR2522" s="133"/>
      <c r="AS2522" s="153">
        <v>0</v>
      </c>
      <c r="AT2522" s="153">
        <v>0</v>
      </c>
      <c r="AU2522" s="153">
        <v>0</v>
      </c>
      <c r="AV2522" s="135"/>
      <c r="AW2522" s="135"/>
      <c r="AX2522" s="135"/>
      <c r="AY2522" s="135"/>
      <c r="AZ2522" s="135"/>
      <c r="BA2522" s="135"/>
      <c r="BB2522" s="135"/>
      <c r="BC2522" s="135"/>
      <c r="BD2522" s="135"/>
      <c r="BE2522" s="135"/>
      <c r="BF2522" s="135"/>
      <c r="BG2522" s="135"/>
      <c r="BH2522" s="135"/>
      <c r="BI2522" s="2"/>
      <c r="BJ2522" s="136"/>
      <c r="BK2522" s="2"/>
      <c r="BL2522" s="136"/>
      <c r="BM2522" s="136"/>
      <c r="BN2522" s="2"/>
      <c r="BO2522" s="2"/>
      <c r="BP2522" s="136"/>
      <c r="BQ2522" s="137"/>
    </row>
    <row r="2523" spans="1:69" ht="12.75" customHeight="1" x14ac:dyDescent="0.2">
      <c r="A2523" s="2">
        <v>4012</v>
      </c>
      <c r="B2523" s="2"/>
      <c r="C2523" s="2"/>
      <c r="D2523" s="2"/>
      <c r="E2523" s="2"/>
      <c r="F2523" s="132">
        <v>0</v>
      </c>
      <c r="G2523" s="132"/>
      <c r="H2523" s="132">
        <f t="shared" si="283"/>
        <v>0</v>
      </c>
      <c r="I2523" s="132"/>
      <c r="J2523" s="132">
        <f t="shared" si="281"/>
        <v>0</v>
      </c>
      <c r="K2523" s="132">
        <f t="shared" si="284"/>
        <v>0</v>
      </c>
      <c r="L2523" s="132">
        <f t="shared" si="285"/>
        <v>0</v>
      </c>
      <c r="M2523" s="133"/>
      <c r="N2523" s="133">
        <f t="shared" si="282"/>
        <v>0</v>
      </c>
      <c r="O2523" s="134"/>
      <c r="P2523" s="133"/>
      <c r="Q2523" s="2"/>
      <c r="R2523" s="156">
        <f t="shared" si="286"/>
        <v>0</v>
      </c>
      <c r="S2523" s="156">
        <f t="shared" si="287"/>
        <v>0</v>
      </c>
      <c r="T2523" s="133"/>
      <c r="U2523" s="133"/>
      <c r="V2523" s="133"/>
      <c r="W2523" s="133"/>
      <c r="X2523" s="133"/>
      <c r="Y2523" s="133"/>
      <c r="Z2523" s="133"/>
      <c r="AA2523" s="133"/>
      <c r="AB2523" s="133"/>
      <c r="AC2523" s="133"/>
      <c r="AD2523" s="133"/>
      <c r="AE2523" s="133"/>
      <c r="AF2523" s="133"/>
      <c r="AG2523" s="133"/>
      <c r="AH2523" s="133"/>
      <c r="AI2523" s="133"/>
      <c r="AJ2523" s="133"/>
      <c r="AK2523" s="133"/>
      <c r="AL2523" s="133"/>
      <c r="AM2523" s="133"/>
      <c r="AN2523" s="133"/>
      <c r="AO2523" s="133"/>
      <c r="AP2523" s="133"/>
      <c r="AQ2523" s="133"/>
      <c r="AR2523" s="133"/>
      <c r="AS2523" s="153">
        <v>0</v>
      </c>
      <c r="AT2523" s="153">
        <v>0</v>
      </c>
      <c r="AU2523" s="153">
        <v>0</v>
      </c>
      <c r="AV2523" s="135"/>
      <c r="AW2523" s="135"/>
      <c r="AX2523" s="135"/>
      <c r="AY2523" s="135"/>
      <c r="AZ2523" s="135"/>
      <c r="BA2523" s="135"/>
      <c r="BB2523" s="135"/>
      <c r="BC2523" s="135"/>
      <c r="BD2523" s="135"/>
      <c r="BE2523" s="135"/>
      <c r="BF2523" s="135"/>
      <c r="BG2523" s="135"/>
      <c r="BH2523" s="135"/>
      <c r="BI2523" s="2"/>
      <c r="BJ2523" s="136"/>
      <c r="BK2523" s="2"/>
      <c r="BL2523" s="136"/>
      <c r="BM2523" s="136"/>
      <c r="BN2523" s="2"/>
      <c r="BO2523" s="2"/>
      <c r="BP2523" s="136"/>
      <c r="BQ2523" s="137"/>
    </row>
    <row r="2524" spans="1:69" ht="12.75" customHeight="1" x14ac:dyDescent="0.2">
      <c r="A2524" s="2">
        <v>4013</v>
      </c>
      <c r="B2524" s="2"/>
      <c r="C2524" s="2"/>
      <c r="D2524" s="2"/>
      <c r="E2524" s="2"/>
      <c r="F2524" s="132">
        <v>0</v>
      </c>
      <c r="G2524" s="132"/>
      <c r="H2524" s="132">
        <f t="shared" si="283"/>
        <v>0</v>
      </c>
      <c r="I2524" s="132"/>
      <c r="J2524" s="132">
        <f t="shared" si="281"/>
        <v>0</v>
      </c>
      <c r="K2524" s="132">
        <f t="shared" si="284"/>
        <v>0</v>
      </c>
      <c r="L2524" s="132">
        <f t="shared" si="285"/>
        <v>0</v>
      </c>
      <c r="M2524" s="133"/>
      <c r="N2524" s="133">
        <f t="shared" si="282"/>
        <v>0</v>
      </c>
      <c r="O2524" s="134"/>
      <c r="P2524" s="133"/>
      <c r="Q2524" s="2"/>
      <c r="R2524" s="156">
        <f t="shared" si="286"/>
        <v>0</v>
      </c>
      <c r="S2524" s="156">
        <f t="shared" si="287"/>
        <v>0</v>
      </c>
      <c r="T2524" s="133"/>
      <c r="U2524" s="133"/>
      <c r="V2524" s="133"/>
      <c r="W2524" s="133"/>
      <c r="X2524" s="133"/>
      <c r="Y2524" s="133"/>
      <c r="Z2524" s="133"/>
      <c r="AA2524" s="133"/>
      <c r="AB2524" s="133"/>
      <c r="AC2524" s="133"/>
      <c r="AD2524" s="133"/>
      <c r="AE2524" s="133"/>
      <c r="AF2524" s="133"/>
      <c r="AG2524" s="133"/>
      <c r="AH2524" s="133"/>
      <c r="AI2524" s="133"/>
      <c r="AJ2524" s="133"/>
      <c r="AK2524" s="133"/>
      <c r="AL2524" s="133"/>
      <c r="AM2524" s="133"/>
      <c r="AN2524" s="133"/>
      <c r="AO2524" s="133"/>
      <c r="AP2524" s="133"/>
      <c r="AQ2524" s="133"/>
      <c r="AR2524" s="133"/>
      <c r="AS2524" s="153">
        <v>0</v>
      </c>
      <c r="AT2524" s="153">
        <v>0</v>
      </c>
      <c r="AU2524" s="153">
        <v>0</v>
      </c>
      <c r="AV2524" s="135"/>
      <c r="AW2524" s="135"/>
      <c r="AX2524" s="135"/>
      <c r="AY2524" s="135"/>
      <c r="AZ2524" s="135"/>
      <c r="BA2524" s="135"/>
      <c r="BB2524" s="135"/>
      <c r="BC2524" s="135"/>
      <c r="BD2524" s="135"/>
      <c r="BE2524" s="135"/>
      <c r="BF2524" s="135"/>
      <c r="BG2524" s="135"/>
      <c r="BH2524" s="135"/>
      <c r="BI2524" s="2"/>
      <c r="BJ2524" s="136"/>
      <c r="BK2524" s="2"/>
      <c r="BL2524" s="136"/>
      <c r="BM2524" s="136"/>
      <c r="BN2524" s="2"/>
      <c r="BO2524" s="2"/>
      <c r="BP2524" s="136"/>
      <c r="BQ2524" s="137"/>
    </row>
    <row r="2525" spans="1:69" ht="12.75" customHeight="1" x14ac:dyDescent="0.2">
      <c r="A2525" s="2">
        <v>4014</v>
      </c>
      <c r="B2525" s="2"/>
      <c r="C2525" s="2"/>
      <c r="D2525" s="2"/>
      <c r="E2525" s="2"/>
      <c r="F2525" s="132">
        <v>0</v>
      </c>
      <c r="G2525" s="132"/>
      <c r="H2525" s="132">
        <f t="shared" si="283"/>
        <v>0</v>
      </c>
      <c r="I2525" s="132"/>
      <c r="J2525" s="132">
        <f t="shared" si="281"/>
        <v>0</v>
      </c>
      <c r="K2525" s="132">
        <f t="shared" si="284"/>
        <v>0</v>
      </c>
      <c r="L2525" s="132">
        <f t="shared" si="285"/>
        <v>0</v>
      </c>
      <c r="M2525" s="133"/>
      <c r="N2525" s="133">
        <f t="shared" si="282"/>
        <v>0</v>
      </c>
      <c r="O2525" s="134"/>
      <c r="P2525" s="133"/>
      <c r="Q2525" s="2"/>
      <c r="R2525" s="156">
        <f t="shared" si="286"/>
        <v>0</v>
      </c>
      <c r="S2525" s="156">
        <f t="shared" si="287"/>
        <v>0</v>
      </c>
      <c r="T2525" s="133"/>
      <c r="U2525" s="133"/>
      <c r="V2525" s="133"/>
      <c r="W2525" s="133"/>
      <c r="X2525" s="133"/>
      <c r="Y2525" s="133"/>
      <c r="Z2525" s="133"/>
      <c r="AA2525" s="133"/>
      <c r="AB2525" s="133"/>
      <c r="AC2525" s="133"/>
      <c r="AD2525" s="133"/>
      <c r="AE2525" s="133"/>
      <c r="AF2525" s="133"/>
      <c r="AG2525" s="133"/>
      <c r="AH2525" s="133"/>
      <c r="AI2525" s="133"/>
      <c r="AJ2525" s="133"/>
      <c r="AK2525" s="133"/>
      <c r="AL2525" s="133"/>
      <c r="AM2525" s="133"/>
      <c r="AN2525" s="133"/>
      <c r="AO2525" s="133"/>
      <c r="AP2525" s="133"/>
      <c r="AQ2525" s="133"/>
      <c r="AR2525" s="133"/>
      <c r="AS2525" s="153">
        <v>0</v>
      </c>
      <c r="AT2525" s="153">
        <v>0</v>
      </c>
      <c r="AU2525" s="153">
        <v>0</v>
      </c>
      <c r="AV2525" s="135"/>
      <c r="AW2525" s="135"/>
      <c r="AX2525" s="135"/>
      <c r="AY2525" s="135"/>
      <c r="AZ2525" s="135"/>
      <c r="BA2525" s="135"/>
      <c r="BB2525" s="135"/>
      <c r="BC2525" s="135"/>
      <c r="BD2525" s="135"/>
      <c r="BE2525" s="135"/>
      <c r="BF2525" s="135"/>
      <c r="BG2525" s="135"/>
      <c r="BH2525" s="135"/>
      <c r="BI2525" s="2"/>
      <c r="BJ2525" s="136"/>
      <c r="BK2525" s="2"/>
      <c r="BL2525" s="136"/>
      <c r="BM2525" s="136"/>
      <c r="BN2525" s="2"/>
      <c r="BO2525" s="2"/>
      <c r="BP2525" s="136"/>
      <c r="BQ2525" s="137"/>
    </row>
    <row r="2526" spans="1:69" ht="12.75" customHeight="1" x14ac:dyDescent="0.2">
      <c r="A2526" s="2">
        <v>4015</v>
      </c>
      <c r="B2526" s="2"/>
      <c r="C2526" s="2"/>
      <c r="D2526" s="2"/>
      <c r="E2526" s="2"/>
      <c r="F2526" s="132">
        <v>0</v>
      </c>
      <c r="G2526" s="132"/>
      <c r="H2526" s="132">
        <f t="shared" si="283"/>
        <v>0</v>
      </c>
      <c r="I2526" s="132"/>
      <c r="J2526" s="132">
        <f t="shared" si="281"/>
        <v>0</v>
      </c>
      <c r="K2526" s="132">
        <f t="shared" si="284"/>
        <v>0</v>
      </c>
      <c r="L2526" s="132">
        <f t="shared" si="285"/>
        <v>0</v>
      </c>
      <c r="M2526" s="133"/>
      <c r="N2526" s="133">
        <f t="shared" si="282"/>
        <v>0</v>
      </c>
      <c r="O2526" s="134"/>
      <c r="P2526" s="133"/>
      <c r="Q2526" s="2"/>
      <c r="R2526" s="156">
        <f t="shared" si="286"/>
        <v>0</v>
      </c>
      <c r="S2526" s="156">
        <f t="shared" si="287"/>
        <v>0</v>
      </c>
      <c r="T2526" s="133"/>
      <c r="U2526" s="133"/>
      <c r="V2526" s="133"/>
      <c r="W2526" s="133"/>
      <c r="X2526" s="133"/>
      <c r="Y2526" s="133"/>
      <c r="Z2526" s="133"/>
      <c r="AA2526" s="133"/>
      <c r="AB2526" s="133"/>
      <c r="AC2526" s="133"/>
      <c r="AD2526" s="133"/>
      <c r="AE2526" s="133"/>
      <c r="AF2526" s="133"/>
      <c r="AG2526" s="133"/>
      <c r="AH2526" s="133"/>
      <c r="AI2526" s="133"/>
      <c r="AJ2526" s="133"/>
      <c r="AK2526" s="133"/>
      <c r="AL2526" s="133"/>
      <c r="AM2526" s="133"/>
      <c r="AN2526" s="133"/>
      <c r="AO2526" s="133"/>
      <c r="AP2526" s="133"/>
      <c r="AQ2526" s="133"/>
      <c r="AR2526" s="133"/>
      <c r="AS2526" s="153">
        <v>0</v>
      </c>
      <c r="AT2526" s="153">
        <v>0</v>
      </c>
      <c r="AU2526" s="153">
        <v>0</v>
      </c>
      <c r="AV2526" s="135"/>
      <c r="AW2526" s="135"/>
      <c r="AX2526" s="135"/>
      <c r="AY2526" s="135"/>
      <c r="AZ2526" s="135"/>
      <c r="BA2526" s="135"/>
      <c r="BB2526" s="135"/>
      <c r="BC2526" s="135"/>
      <c r="BD2526" s="135"/>
      <c r="BE2526" s="135"/>
      <c r="BF2526" s="135"/>
      <c r="BG2526" s="135"/>
      <c r="BH2526" s="135"/>
      <c r="BI2526" s="2"/>
      <c r="BJ2526" s="136"/>
      <c r="BK2526" s="2"/>
      <c r="BL2526" s="136"/>
      <c r="BM2526" s="136"/>
      <c r="BN2526" s="2"/>
      <c r="BO2526" s="2"/>
      <c r="BP2526" s="136"/>
      <c r="BQ2526" s="137"/>
    </row>
    <row r="2527" spans="1:69" ht="12.75" customHeight="1" x14ac:dyDescent="0.2">
      <c r="A2527" s="2">
        <v>4016</v>
      </c>
      <c r="B2527" s="2"/>
      <c r="C2527" s="2"/>
      <c r="D2527" s="2"/>
      <c r="E2527" s="2"/>
      <c r="F2527" s="132">
        <v>0</v>
      </c>
      <c r="G2527" s="132"/>
      <c r="H2527" s="132">
        <f t="shared" si="283"/>
        <v>0</v>
      </c>
      <c r="I2527" s="132"/>
      <c r="J2527" s="132">
        <f t="shared" si="281"/>
        <v>0</v>
      </c>
      <c r="K2527" s="132">
        <f t="shared" si="284"/>
        <v>0</v>
      </c>
      <c r="L2527" s="132">
        <f t="shared" si="285"/>
        <v>0</v>
      </c>
      <c r="M2527" s="133"/>
      <c r="N2527" s="133">
        <f t="shared" si="282"/>
        <v>0</v>
      </c>
      <c r="O2527" s="134"/>
      <c r="P2527" s="133"/>
      <c r="Q2527" s="2"/>
      <c r="R2527" s="156">
        <f t="shared" si="286"/>
        <v>0</v>
      </c>
      <c r="S2527" s="156">
        <f t="shared" si="287"/>
        <v>0</v>
      </c>
      <c r="T2527" s="133"/>
      <c r="U2527" s="133"/>
      <c r="V2527" s="133"/>
      <c r="W2527" s="133"/>
      <c r="X2527" s="133"/>
      <c r="Y2527" s="133"/>
      <c r="Z2527" s="133"/>
      <c r="AA2527" s="133"/>
      <c r="AB2527" s="133"/>
      <c r="AC2527" s="133"/>
      <c r="AD2527" s="133"/>
      <c r="AE2527" s="133"/>
      <c r="AF2527" s="133"/>
      <c r="AG2527" s="133"/>
      <c r="AH2527" s="133"/>
      <c r="AI2527" s="133"/>
      <c r="AJ2527" s="133"/>
      <c r="AK2527" s="133"/>
      <c r="AL2527" s="133"/>
      <c r="AM2527" s="133"/>
      <c r="AN2527" s="133"/>
      <c r="AO2527" s="133"/>
      <c r="AP2527" s="133"/>
      <c r="AQ2527" s="133"/>
      <c r="AR2527" s="133"/>
      <c r="AS2527" s="153">
        <v>0</v>
      </c>
      <c r="AT2527" s="153">
        <v>0</v>
      </c>
      <c r="AU2527" s="153">
        <v>0</v>
      </c>
      <c r="AV2527" s="135"/>
      <c r="AW2527" s="135"/>
      <c r="AX2527" s="135"/>
      <c r="AY2527" s="135"/>
      <c r="AZ2527" s="135"/>
      <c r="BA2527" s="135"/>
      <c r="BB2527" s="135"/>
      <c r="BC2527" s="135"/>
      <c r="BD2527" s="135"/>
      <c r="BE2527" s="135"/>
      <c r="BF2527" s="135"/>
      <c r="BG2527" s="135"/>
      <c r="BH2527" s="135"/>
      <c r="BI2527" s="2"/>
      <c r="BJ2527" s="136"/>
      <c r="BK2527" s="2"/>
      <c r="BL2527" s="136"/>
      <c r="BM2527" s="136"/>
      <c r="BN2527" s="2"/>
      <c r="BO2527" s="2"/>
      <c r="BP2527" s="136"/>
      <c r="BQ2527" s="137"/>
    </row>
    <row r="2528" spans="1:69" ht="12.75" customHeight="1" x14ac:dyDescent="0.2">
      <c r="A2528" s="2">
        <v>4017</v>
      </c>
      <c r="B2528" s="2"/>
      <c r="C2528" s="2"/>
      <c r="D2528" s="2"/>
      <c r="E2528" s="2"/>
      <c r="F2528" s="132">
        <v>0</v>
      </c>
      <c r="G2528" s="132"/>
      <c r="H2528" s="132">
        <f t="shared" si="283"/>
        <v>0</v>
      </c>
      <c r="I2528" s="132"/>
      <c r="J2528" s="132">
        <f t="shared" si="281"/>
        <v>0</v>
      </c>
      <c r="K2528" s="132">
        <f t="shared" si="284"/>
        <v>0</v>
      </c>
      <c r="L2528" s="132">
        <f t="shared" si="285"/>
        <v>0</v>
      </c>
      <c r="M2528" s="133"/>
      <c r="N2528" s="133">
        <f t="shared" si="282"/>
        <v>0</v>
      </c>
      <c r="O2528" s="134"/>
      <c r="P2528" s="133"/>
      <c r="Q2528" s="2"/>
      <c r="R2528" s="156">
        <f t="shared" si="286"/>
        <v>0</v>
      </c>
      <c r="S2528" s="156">
        <f t="shared" si="287"/>
        <v>0</v>
      </c>
      <c r="T2528" s="133"/>
      <c r="U2528" s="133"/>
      <c r="V2528" s="133"/>
      <c r="W2528" s="133"/>
      <c r="X2528" s="133"/>
      <c r="Y2528" s="133"/>
      <c r="Z2528" s="133"/>
      <c r="AA2528" s="133"/>
      <c r="AB2528" s="133"/>
      <c r="AC2528" s="133"/>
      <c r="AD2528" s="133"/>
      <c r="AE2528" s="133"/>
      <c r="AF2528" s="133"/>
      <c r="AG2528" s="133"/>
      <c r="AH2528" s="133"/>
      <c r="AI2528" s="133"/>
      <c r="AJ2528" s="133"/>
      <c r="AK2528" s="133"/>
      <c r="AL2528" s="133"/>
      <c r="AM2528" s="133"/>
      <c r="AN2528" s="133"/>
      <c r="AO2528" s="133"/>
      <c r="AP2528" s="133"/>
      <c r="AQ2528" s="133"/>
      <c r="AR2528" s="133"/>
      <c r="AS2528" s="153">
        <v>0</v>
      </c>
      <c r="AT2528" s="153">
        <v>0</v>
      </c>
      <c r="AU2528" s="153">
        <v>0</v>
      </c>
      <c r="AV2528" s="135"/>
      <c r="AW2528" s="135"/>
      <c r="AX2528" s="135"/>
      <c r="AY2528" s="135"/>
      <c r="AZ2528" s="135"/>
      <c r="BA2528" s="135"/>
      <c r="BB2528" s="135"/>
      <c r="BC2528" s="135"/>
      <c r="BD2528" s="135"/>
      <c r="BE2528" s="135"/>
      <c r="BF2528" s="135"/>
      <c r="BG2528" s="135"/>
      <c r="BH2528" s="135"/>
      <c r="BI2528" s="2"/>
      <c r="BJ2528" s="136"/>
      <c r="BK2528" s="2"/>
      <c r="BL2528" s="136"/>
      <c r="BM2528" s="136"/>
      <c r="BN2528" s="2"/>
      <c r="BO2528" s="2"/>
      <c r="BP2528" s="136"/>
      <c r="BQ2528" s="137"/>
    </row>
    <row r="2529" spans="1:69" ht="12.75" customHeight="1" x14ac:dyDescent="0.2">
      <c r="A2529" s="2">
        <v>4018</v>
      </c>
      <c r="B2529" s="2"/>
      <c r="C2529" s="2"/>
      <c r="D2529" s="2"/>
      <c r="E2529" s="2"/>
      <c r="F2529" s="132">
        <v>0</v>
      </c>
      <c r="G2529" s="132"/>
      <c r="H2529" s="132">
        <f t="shared" si="283"/>
        <v>0</v>
      </c>
      <c r="I2529" s="132"/>
      <c r="J2529" s="132">
        <f t="shared" si="281"/>
        <v>0</v>
      </c>
      <c r="K2529" s="132">
        <f t="shared" si="284"/>
        <v>0</v>
      </c>
      <c r="L2529" s="132">
        <f t="shared" si="285"/>
        <v>0</v>
      </c>
      <c r="M2529" s="133"/>
      <c r="N2529" s="133">
        <f t="shared" si="282"/>
        <v>0</v>
      </c>
      <c r="O2529" s="134"/>
      <c r="P2529" s="133"/>
      <c r="Q2529" s="2"/>
      <c r="R2529" s="156">
        <f t="shared" si="286"/>
        <v>0</v>
      </c>
      <c r="S2529" s="156">
        <f t="shared" si="287"/>
        <v>0</v>
      </c>
      <c r="T2529" s="133"/>
      <c r="U2529" s="133"/>
      <c r="V2529" s="133"/>
      <c r="W2529" s="133"/>
      <c r="X2529" s="133"/>
      <c r="Y2529" s="133"/>
      <c r="Z2529" s="133"/>
      <c r="AA2529" s="133"/>
      <c r="AB2529" s="133"/>
      <c r="AC2529" s="133"/>
      <c r="AD2529" s="133"/>
      <c r="AE2529" s="133"/>
      <c r="AF2529" s="133"/>
      <c r="AG2529" s="133"/>
      <c r="AH2529" s="133"/>
      <c r="AI2529" s="133"/>
      <c r="AJ2529" s="133"/>
      <c r="AK2529" s="133"/>
      <c r="AL2529" s="133"/>
      <c r="AM2529" s="133"/>
      <c r="AN2529" s="133"/>
      <c r="AO2529" s="133"/>
      <c r="AP2529" s="133"/>
      <c r="AQ2529" s="133"/>
      <c r="AR2529" s="133"/>
      <c r="AS2529" s="153">
        <v>0</v>
      </c>
      <c r="AT2529" s="153">
        <v>0</v>
      </c>
      <c r="AU2529" s="153">
        <v>0</v>
      </c>
      <c r="AV2529" s="135"/>
      <c r="AW2529" s="135"/>
      <c r="AX2529" s="135"/>
      <c r="AY2529" s="135"/>
      <c r="AZ2529" s="135"/>
      <c r="BA2529" s="135"/>
      <c r="BB2529" s="135"/>
      <c r="BC2529" s="135"/>
      <c r="BD2529" s="135"/>
      <c r="BE2529" s="135"/>
      <c r="BF2529" s="135"/>
      <c r="BG2529" s="135"/>
      <c r="BH2529" s="135"/>
      <c r="BI2529" s="2"/>
      <c r="BJ2529" s="136"/>
      <c r="BK2529" s="2"/>
      <c r="BL2529" s="136"/>
      <c r="BM2529" s="136"/>
      <c r="BN2529" s="2"/>
      <c r="BO2529" s="2"/>
      <c r="BP2529" s="136"/>
      <c r="BQ2529" s="137"/>
    </row>
    <row r="2530" spans="1:69" ht="12.75" customHeight="1" x14ac:dyDescent="0.2">
      <c r="A2530" s="2">
        <v>4019</v>
      </c>
      <c r="B2530" s="2"/>
      <c r="C2530" s="2"/>
      <c r="D2530" s="2"/>
      <c r="E2530" s="2"/>
      <c r="F2530" s="132">
        <v>0</v>
      </c>
      <c r="G2530" s="132"/>
      <c r="H2530" s="132">
        <f t="shared" si="283"/>
        <v>0</v>
      </c>
      <c r="I2530" s="132"/>
      <c r="J2530" s="132">
        <f t="shared" si="281"/>
        <v>0</v>
      </c>
      <c r="K2530" s="132">
        <f t="shared" si="284"/>
        <v>0</v>
      </c>
      <c r="L2530" s="132">
        <f t="shared" si="285"/>
        <v>0</v>
      </c>
      <c r="M2530" s="133"/>
      <c r="N2530" s="133">
        <f t="shared" si="282"/>
        <v>0</v>
      </c>
      <c r="O2530" s="134"/>
      <c r="P2530" s="133"/>
      <c r="Q2530" s="2"/>
      <c r="R2530" s="156">
        <f t="shared" si="286"/>
        <v>0</v>
      </c>
      <c r="S2530" s="156">
        <f t="shared" si="287"/>
        <v>0</v>
      </c>
      <c r="T2530" s="133"/>
      <c r="U2530" s="133"/>
      <c r="V2530" s="133"/>
      <c r="W2530" s="133"/>
      <c r="X2530" s="133"/>
      <c r="Y2530" s="133"/>
      <c r="Z2530" s="133"/>
      <c r="AA2530" s="133"/>
      <c r="AB2530" s="133"/>
      <c r="AC2530" s="133"/>
      <c r="AD2530" s="133"/>
      <c r="AE2530" s="133"/>
      <c r="AF2530" s="133"/>
      <c r="AG2530" s="133"/>
      <c r="AH2530" s="133"/>
      <c r="AI2530" s="133"/>
      <c r="AJ2530" s="133"/>
      <c r="AK2530" s="133"/>
      <c r="AL2530" s="133"/>
      <c r="AM2530" s="133"/>
      <c r="AN2530" s="133"/>
      <c r="AO2530" s="133"/>
      <c r="AP2530" s="133"/>
      <c r="AQ2530" s="133"/>
      <c r="AR2530" s="133"/>
      <c r="AS2530" s="153">
        <v>0</v>
      </c>
      <c r="AT2530" s="153">
        <v>0</v>
      </c>
      <c r="AU2530" s="153">
        <v>0</v>
      </c>
      <c r="AV2530" s="135"/>
      <c r="AW2530" s="135"/>
      <c r="AX2530" s="135"/>
      <c r="AY2530" s="135"/>
      <c r="AZ2530" s="135"/>
      <c r="BA2530" s="135"/>
      <c r="BB2530" s="135"/>
      <c r="BC2530" s="135"/>
      <c r="BD2530" s="135"/>
      <c r="BE2530" s="135"/>
      <c r="BF2530" s="135"/>
      <c r="BG2530" s="135"/>
      <c r="BH2530" s="135"/>
      <c r="BI2530" s="2"/>
      <c r="BJ2530" s="136"/>
      <c r="BK2530" s="2"/>
      <c r="BL2530" s="136"/>
      <c r="BM2530" s="136"/>
      <c r="BN2530" s="2"/>
      <c r="BO2530" s="2"/>
      <c r="BP2530" s="136"/>
      <c r="BQ2530" s="137"/>
    </row>
    <row r="2531" spans="1:69" ht="12.75" customHeight="1" x14ac:dyDescent="0.2">
      <c r="A2531" s="2">
        <v>4020</v>
      </c>
      <c r="B2531" s="2"/>
      <c r="C2531" s="2"/>
      <c r="D2531" s="2"/>
      <c r="E2531" s="2"/>
      <c r="F2531" s="132">
        <v>0</v>
      </c>
      <c r="G2531" s="132"/>
      <c r="H2531" s="132">
        <f t="shared" si="283"/>
        <v>0</v>
      </c>
      <c r="I2531" s="132"/>
      <c r="J2531" s="132">
        <f t="shared" si="281"/>
        <v>0</v>
      </c>
      <c r="K2531" s="132">
        <f t="shared" si="284"/>
        <v>0</v>
      </c>
      <c r="L2531" s="132">
        <f t="shared" si="285"/>
        <v>0</v>
      </c>
      <c r="M2531" s="133"/>
      <c r="N2531" s="133">
        <f t="shared" si="282"/>
        <v>0</v>
      </c>
      <c r="O2531" s="134"/>
      <c r="P2531" s="133"/>
      <c r="Q2531" s="2"/>
      <c r="R2531" s="156">
        <f t="shared" si="286"/>
        <v>0</v>
      </c>
      <c r="S2531" s="156">
        <f t="shared" si="287"/>
        <v>0</v>
      </c>
      <c r="T2531" s="133"/>
      <c r="U2531" s="133"/>
      <c r="V2531" s="133"/>
      <c r="W2531" s="133"/>
      <c r="X2531" s="133"/>
      <c r="Y2531" s="133"/>
      <c r="Z2531" s="133"/>
      <c r="AA2531" s="133"/>
      <c r="AB2531" s="133"/>
      <c r="AC2531" s="133"/>
      <c r="AD2531" s="133"/>
      <c r="AE2531" s="133"/>
      <c r="AF2531" s="133"/>
      <c r="AG2531" s="133"/>
      <c r="AH2531" s="133"/>
      <c r="AI2531" s="133"/>
      <c r="AJ2531" s="133"/>
      <c r="AK2531" s="133"/>
      <c r="AL2531" s="133"/>
      <c r="AM2531" s="133"/>
      <c r="AN2531" s="133"/>
      <c r="AO2531" s="133"/>
      <c r="AP2531" s="133"/>
      <c r="AQ2531" s="133"/>
      <c r="AR2531" s="133"/>
      <c r="AS2531" s="153">
        <v>0</v>
      </c>
      <c r="AT2531" s="153">
        <v>0</v>
      </c>
      <c r="AU2531" s="153">
        <v>0</v>
      </c>
      <c r="AV2531" s="135"/>
      <c r="AW2531" s="135"/>
      <c r="AX2531" s="135"/>
      <c r="AY2531" s="135"/>
      <c r="AZ2531" s="135"/>
      <c r="BA2531" s="135"/>
      <c r="BB2531" s="135"/>
      <c r="BC2531" s="135"/>
      <c r="BD2531" s="135"/>
      <c r="BE2531" s="135"/>
      <c r="BF2531" s="135"/>
      <c r="BG2531" s="135"/>
      <c r="BH2531" s="135"/>
      <c r="BI2531" s="2"/>
      <c r="BJ2531" s="136"/>
      <c r="BK2531" s="2"/>
      <c r="BL2531" s="136"/>
      <c r="BM2531" s="136"/>
      <c r="BN2531" s="2"/>
      <c r="BO2531" s="2"/>
      <c r="BP2531" s="136"/>
      <c r="BQ2531" s="137"/>
    </row>
    <row r="2532" spans="1:69" ht="12.75" customHeight="1" x14ac:dyDescent="0.2">
      <c r="A2532" s="2">
        <v>4021</v>
      </c>
      <c r="B2532" s="2"/>
      <c r="C2532" s="2"/>
      <c r="D2532" s="2"/>
      <c r="E2532" s="2"/>
      <c r="F2532" s="132">
        <v>0</v>
      </c>
      <c r="G2532" s="132"/>
      <c r="H2532" s="132">
        <f t="shared" si="283"/>
        <v>0</v>
      </c>
      <c r="I2532" s="132"/>
      <c r="J2532" s="132">
        <f t="shared" ref="J2532:J2595" si="288">S2532</f>
        <v>0</v>
      </c>
      <c r="K2532" s="132">
        <f t="shared" si="284"/>
        <v>0</v>
      </c>
      <c r="L2532" s="132">
        <f t="shared" si="285"/>
        <v>0</v>
      </c>
      <c r="M2532" s="133"/>
      <c r="N2532" s="133">
        <f t="shared" si="282"/>
        <v>0</v>
      </c>
      <c r="O2532" s="134"/>
      <c r="P2532" s="133"/>
      <c r="Q2532" s="2"/>
      <c r="R2532" s="156">
        <f t="shared" si="286"/>
        <v>0</v>
      </c>
      <c r="S2532" s="156">
        <f t="shared" si="287"/>
        <v>0</v>
      </c>
      <c r="T2532" s="133"/>
      <c r="U2532" s="133"/>
      <c r="V2532" s="133"/>
      <c r="W2532" s="133"/>
      <c r="X2532" s="133"/>
      <c r="Y2532" s="133"/>
      <c r="Z2532" s="133"/>
      <c r="AA2532" s="133"/>
      <c r="AB2532" s="133"/>
      <c r="AC2532" s="133"/>
      <c r="AD2532" s="133"/>
      <c r="AE2532" s="133"/>
      <c r="AF2532" s="133"/>
      <c r="AG2532" s="133"/>
      <c r="AH2532" s="133"/>
      <c r="AI2532" s="133"/>
      <c r="AJ2532" s="133"/>
      <c r="AK2532" s="133"/>
      <c r="AL2532" s="133"/>
      <c r="AM2532" s="133"/>
      <c r="AN2532" s="133"/>
      <c r="AO2532" s="133"/>
      <c r="AP2532" s="133"/>
      <c r="AQ2532" s="133"/>
      <c r="AR2532" s="133"/>
      <c r="AS2532" s="153">
        <v>0</v>
      </c>
      <c r="AT2532" s="153">
        <v>0</v>
      </c>
      <c r="AU2532" s="153">
        <v>0</v>
      </c>
      <c r="AV2532" s="135"/>
      <c r="AW2532" s="135"/>
      <c r="AX2532" s="135"/>
      <c r="AY2532" s="135"/>
      <c r="AZ2532" s="135"/>
      <c r="BA2532" s="135"/>
      <c r="BB2532" s="135"/>
      <c r="BC2532" s="135"/>
      <c r="BD2532" s="135"/>
      <c r="BE2532" s="135"/>
      <c r="BF2532" s="135"/>
      <c r="BG2532" s="135"/>
      <c r="BH2532" s="135"/>
      <c r="BI2532" s="2"/>
      <c r="BJ2532" s="136"/>
      <c r="BK2532" s="2"/>
      <c r="BL2532" s="136"/>
      <c r="BM2532" s="136"/>
      <c r="BN2532" s="2"/>
      <c r="BO2532" s="2"/>
      <c r="BP2532" s="136"/>
      <c r="BQ2532" s="137"/>
    </row>
    <row r="2533" spans="1:69" ht="12.75" customHeight="1" x14ac:dyDescent="0.2">
      <c r="A2533" s="2">
        <v>4022</v>
      </c>
      <c r="B2533" s="2"/>
      <c r="C2533" s="2"/>
      <c r="D2533" s="2"/>
      <c r="E2533" s="2"/>
      <c r="F2533" s="132">
        <v>0</v>
      </c>
      <c r="G2533" s="132"/>
      <c r="H2533" s="132">
        <f t="shared" si="283"/>
        <v>0</v>
      </c>
      <c r="I2533" s="132"/>
      <c r="J2533" s="132">
        <f t="shared" si="288"/>
        <v>0</v>
      </c>
      <c r="K2533" s="132">
        <f t="shared" si="284"/>
        <v>0</v>
      </c>
      <c r="L2533" s="132">
        <f t="shared" si="285"/>
        <v>0</v>
      </c>
      <c r="M2533" s="133"/>
      <c r="N2533" s="133">
        <f t="shared" si="282"/>
        <v>0</v>
      </c>
      <c r="O2533" s="134"/>
      <c r="P2533" s="133"/>
      <c r="Q2533" s="2"/>
      <c r="R2533" s="156">
        <f t="shared" si="286"/>
        <v>0</v>
      </c>
      <c r="S2533" s="156">
        <f t="shared" si="287"/>
        <v>0</v>
      </c>
      <c r="T2533" s="133"/>
      <c r="U2533" s="133"/>
      <c r="V2533" s="133"/>
      <c r="W2533" s="133"/>
      <c r="X2533" s="133"/>
      <c r="Y2533" s="133"/>
      <c r="Z2533" s="133"/>
      <c r="AA2533" s="133"/>
      <c r="AB2533" s="133"/>
      <c r="AC2533" s="133"/>
      <c r="AD2533" s="133"/>
      <c r="AE2533" s="133"/>
      <c r="AF2533" s="133"/>
      <c r="AG2533" s="133"/>
      <c r="AH2533" s="133"/>
      <c r="AI2533" s="133"/>
      <c r="AJ2533" s="133"/>
      <c r="AK2533" s="133"/>
      <c r="AL2533" s="133"/>
      <c r="AM2533" s="133"/>
      <c r="AN2533" s="133"/>
      <c r="AO2533" s="133"/>
      <c r="AP2533" s="133"/>
      <c r="AQ2533" s="133"/>
      <c r="AR2533" s="133"/>
      <c r="AS2533" s="153">
        <v>0</v>
      </c>
      <c r="AT2533" s="153">
        <v>0</v>
      </c>
      <c r="AU2533" s="153">
        <v>0</v>
      </c>
      <c r="AV2533" s="135"/>
      <c r="AW2533" s="135"/>
      <c r="AX2533" s="135"/>
      <c r="AY2533" s="135"/>
      <c r="AZ2533" s="135"/>
      <c r="BA2533" s="135"/>
      <c r="BB2533" s="135"/>
      <c r="BC2533" s="135"/>
      <c r="BD2533" s="135"/>
      <c r="BE2533" s="135"/>
      <c r="BF2533" s="135"/>
      <c r="BG2533" s="135"/>
      <c r="BH2533" s="135"/>
      <c r="BI2533" s="2"/>
      <c r="BJ2533" s="136"/>
      <c r="BK2533" s="2"/>
      <c r="BL2533" s="136"/>
      <c r="BM2533" s="136"/>
      <c r="BN2533" s="2"/>
      <c r="BO2533" s="2"/>
      <c r="BP2533" s="136"/>
      <c r="BQ2533" s="137"/>
    </row>
    <row r="2534" spans="1:69" ht="12.75" customHeight="1" x14ac:dyDescent="0.2">
      <c r="A2534" s="2">
        <v>4023</v>
      </c>
      <c r="B2534" s="2"/>
      <c r="C2534" s="2"/>
      <c r="D2534" s="2"/>
      <c r="E2534" s="2"/>
      <c r="F2534" s="132">
        <v>0</v>
      </c>
      <c r="G2534" s="132"/>
      <c r="H2534" s="132">
        <f t="shared" si="283"/>
        <v>0</v>
      </c>
      <c r="I2534" s="132"/>
      <c r="J2534" s="132">
        <f t="shared" si="288"/>
        <v>0</v>
      </c>
      <c r="K2534" s="132">
        <f t="shared" si="284"/>
        <v>0</v>
      </c>
      <c r="L2534" s="132">
        <f t="shared" si="285"/>
        <v>0</v>
      </c>
      <c r="M2534" s="133"/>
      <c r="N2534" s="133">
        <f t="shared" si="282"/>
        <v>0</v>
      </c>
      <c r="O2534" s="134"/>
      <c r="P2534" s="133"/>
      <c r="Q2534" s="2"/>
      <c r="R2534" s="156">
        <f t="shared" si="286"/>
        <v>0</v>
      </c>
      <c r="S2534" s="156">
        <f t="shared" si="287"/>
        <v>0</v>
      </c>
      <c r="T2534" s="133"/>
      <c r="U2534" s="133"/>
      <c r="V2534" s="133"/>
      <c r="W2534" s="133"/>
      <c r="X2534" s="133"/>
      <c r="Y2534" s="133"/>
      <c r="Z2534" s="133"/>
      <c r="AA2534" s="133"/>
      <c r="AB2534" s="133"/>
      <c r="AC2534" s="133"/>
      <c r="AD2534" s="133"/>
      <c r="AE2534" s="133"/>
      <c r="AF2534" s="133"/>
      <c r="AG2534" s="133"/>
      <c r="AH2534" s="133"/>
      <c r="AI2534" s="133"/>
      <c r="AJ2534" s="133"/>
      <c r="AK2534" s="133"/>
      <c r="AL2534" s="133"/>
      <c r="AM2534" s="133"/>
      <c r="AN2534" s="133"/>
      <c r="AO2534" s="133"/>
      <c r="AP2534" s="133"/>
      <c r="AQ2534" s="133"/>
      <c r="AR2534" s="133"/>
      <c r="AS2534" s="153">
        <v>0</v>
      </c>
      <c r="AT2534" s="153">
        <v>0</v>
      </c>
      <c r="AU2534" s="153">
        <v>0</v>
      </c>
      <c r="AV2534" s="135"/>
      <c r="AW2534" s="135"/>
      <c r="AX2534" s="135"/>
      <c r="AY2534" s="135"/>
      <c r="AZ2534" s="135"/>
      <c r="BA2534" s="135"/>
      <c r="BB2534" s="135"/>
      <c r="BC2534" s="135"/>
      <c r="BD2534" s="135"/>
      <c r="BE2534" s="135"/>
      <c r="BF2534" s="135"/>
      <c r="BG2534" s="135"/>
      <c r="BH2534" s="135"/>
      <c r="BI2534" s="2"/>
      <c r="BJ2534" s="136"/>
      <c r="BK2534" s="2"/>
      <c r="BL2534" s="136"/>
      <c r="BM2534" s="136"/>
      <c r="BN2534" s="2"/>
      <c r="BO2534" s="2"/>
      <c r="BP2534" s="136"/>
      <c r="BQ2534" s="137"/>
    </row>
    <row r="2535" spans="1:69" ht="12.75" customHeight="1" x14ac:dyDescent="0.2">
      <c r="A2535" s="2">
        <v>4024</v>
      </c>
      <c r="B2535" s="2"/>
      <c r="C2535" s="2"/>
      <c r="D2535" s="2"/>
      <c r="E2535" s="2"/>
      <c r="F2535" s="132">
        <v>0</v>
      </c>
      <c r="G2535" s="132"/>
      <c r="H2535" s="132">
        <f t="shared" si="283"/>
        <v>0</v>
      </c>
      <c r="I2535" s="132"/>
      <c r="J2535" s="132">
        <f t="shared" si="288"/>
        <v>0</v>
      </c>
      <c r="K2535" s="132">
        <f t="shared" si="284"/>
        <v>0</v>
      </c>
      <c r="L2535" s="132">
        <f t="shared" si="285"/>
        <v>0</v>
      </c>
      <c r="M2535" s="133"/>
      <c r="N2535" s="133">
        <f t="shared" si="282"/>
        <v>0</v>
      </c>
      <c r="O2535" s="134"/>
      <c r="P2535" s="133"/>
      <c r="Q2535" s="2"/>
      <c r="R2535" s="156">
        <f t="shared" si="286"/>
        <v>0</v>
      </c>
      <c r="S2535" s="156">
        <f t="shared" si="287"/>
        <v>0</v>
      </c>
      <c r="T2535" s="133"/>
      <c r="U2535" s="133"/>
      <c r="V2535" s="133"/>
      <c r="W2535" s="133"/>
      <c r="X2535" s="133"/>
      <c r="Y2535" s="133"/>
      <c r="Z2535" s="133"/>
      <c r="AA2535" s="133"/>
      <c r="AB2535" s="133"/>
      <c r="AC2535" s="133"/>
      <c r="AD2535" s="133"/>
      <c r="AE2535" s="133"/>
      <c r="AF2535" s="133"/>
      <c r="AG2535" s="133"/>
      <c r="AH2535" s="133"/>
      <c r="AI2535" s="133"/>
      <c r="AJ2535" s="133"/>
      <c r="AK2535" s="133"/>
      <c r="AL2535" s="133"/>
      <c r="AM2535" s="133"/>
      <c r="AN2535" s="133"/>
      <c r="AO2535" s="133"/>
      <c r="AP2535" s="133"/>
      <c r="AQ2535" s="133"/>
      <c r="AR2535" s="133"/>
      <c r="AS2535" s="153">
        <v>0</v>
      </c>
      <c r="AT2535" s="153">
        <v>0</v>
      </c>
      <c r="AU2535" s="153">
        <v>0</v>
      </c>
      <c r="AV2535" s="135"/>
      <c r="AW2535" s="135"/>
      <c r="AX2535" s="135"/>
      <c r="AY2535" s="135"/>
      <c r="AZ2535" s="135"/>
      <c r="BA2535" s="135"/>
      <c r="BB2535" s="135"/>
      <c r="BC2535" s="135"/>
      <c r="BD2535" s="135"/>
      <c r="BE2535" s="135"/>
      <c r="BF2535" s="135"/>
      <c r="BG2535" s="135"/>
      <c r="BH2535" s="135"/>
      <c r="BI2535" s="2"/>
      <c r="BJ2535" s="136"/>
      <c r="BK2535" s="2"/>
      <c r="BL2535" s="136"/>
      <c r="BM2535" s="136"/>
      <c r="BN2535" s="2"/>
      <c r="BO2535" s="2"/>
      <c r="BP2535" s="136"/>
      <c r="BQ2535" s="137"/>
    </row>
    <row r="2536" spans="1:69" ht="12.75" customHeight="1" x14ac:dyDescent="0.2">
      <c r="A2536" s="2">
        <v>4025</v>
      </c>
      <c r="B2536" s="2"/>
      <c r="C2536" s="2"/>
      <c r="D2536" s="2"/>
      <c r="E2536" s="2"/>
      <c r="F2536" s="132">
        <v>0</v>
      </c>
      <c r="G2536" s="132"/>
      <c r="H2536" s="132">
        <f t="shared" si="283"/>
        <v>0</v>
      </c>
      <c r="I2536" s="132"/>
      <c r="J2536" s="132">
        <f t="shared" si="288"/>
        <v>0</v>
      </c>
      <c r="K2536" s="132">
        <f t="shared" si="284"/>
        <v>0</v>
      </c>
      <c r="L2536" s="132">
        <f t="shared" si="285"/>
        <v>0</v>
      </c>
      <c r="M2536" s="133"/>
      <c r="N2536" s="133">
        <f t="shared" si="282"/>
        <v>0</v>
      </c>
      <c r="O2536" s="134"/>
      <c r="P2536" s="133"/>
      <c r="Q2536" s="2"/>
      <c r="R2536" s="156">
        <f t="shared" si="286"/>
        <v>0</v>
      </c>
      <c r="S2536" s="156">
        <f t="shared" si="287"/>
        <v>0</v>
      </c>
      <c r="T2536" s="133"/>
      <c r="U2536" s="133"/>
      <c r="V2536" s="133"/>
      <c r="W2536" s="133"/>
      <c r="X2536" s="133"/>
      <c r="Y2536" s="133"/>
      <c r="Z2536" s="133"/>
      <c r="AA2536" s="133"/>
      <c r="AB2536" s="133"/>
      <c r="AC2536" s="133"/>
      <c r="AD2536" s="133"/>
      <c r="AE2536" s="133"/>
      <c r="AF2536" s="133"/>
      <c r="AG2536" s="133"/>
      <c r="AH2536" s="133"/>
      <c r="AI2536" s="133"/>
      <c r="AJ2536" s="133"/>
      <c r="AK2536" s="133"/>
      <c r="AL2536" s="133"/>
      <c r="AM2536" s="133"/>
      <c r="AN2536" s="133"/>
      <c r="AO2536" s="133"/>
      <c r="AP2536" s="133"/>
      <c r="AQ2536" s="133"/>
      <c r="AR2536" s="133"/>
      <c r="AS2536" s="153">
        <v>0</v>
      </c>
      <c r="AT2536" s="153">
        <v>0</v>
      </c>
      <c r="AU2536" s="153">
        <v>0</v>
      </c>
      <c r="AV2536" s="135"/>
      <c r="AW2536" s="135"/>
      <c r="AX2536" s="135"/>
      <c r="AY2536" s="135"/>
      <c r="AZ2536" s="135"/>
      <c r="BA2536" s="135"/>
      <c r="BB2536" s="135"/>
      <c r="BC2536" s="135"/>
      <c r="BD2536" s="135"/>
      <c r="BE2536" s="135"/>
      <c r="BF2536" s="135"/>
      <c r="BG2536" s="135"/>
      <c r="BH2536" s="135"/>
      <c r="BI2536" s="2"/>
      <c r="BJ2536" s="136"/>
      <c r="BK2536" s="2"/>
      <c r="BL2536" s="136"/>
      <c r="BM2536" s="136"/>
      <c r="BN2536" s="2"/>
      <c r="BO2536" s="2"/>
      <c r="BP2536" s="136"/>
      <c r="BQ2536" s="137"/>
    </row>
    <row r="2537" spans="1:69" ht="12.75" customHeight="1" x14ac:dyDescent="0.2">
      <c r="A2537" s="2">
        <v>4026</v>
      </c>
      <c r="B2537" s="2"/>
      <c r="C2537" s="2"/>
      <c r="D2537" s="2"/>
      <c r="E2537" s="2"/>
      <c r="F2537" s="132">
        <v>0</v>
      </c>
      <c r="G2537" s="132"/>
      <c r="H2537" s="132">
        <f t="shared" si="283"/>
        <v>0</v>
      </c>
      <c r="I2537" s="132"/>
      <c r="J2537" s="132">
        <f t="shared" si="288"/>
        <v>0</v>
      </c>
      <c r="K2537" s="132">
        <f t="shared" si="284"/>
        <v>0</v>
      </c>
      <c r="L2537" s="132">
        <f t="shared" si="285"/>
        <v>0</v>
      </c>
      <c r="M2537" s="133"/>
      <c r="N2537" s="133">
        <f t="shared" si="282"/>
        <v>0</v>
      </c>
      <c r="O2537" s="134"/>
      <c r="P2537" s="133"/>
      <c r="Q2537" s="2"/>
      <c r="R2537" s="156">
        <f t="shared" si="286"/>
        <v>0</v>
      </c>
      <c r="S2537" s="156">
        <f t="shared" si="287"/>
        <v>0</v>
      </c>
      <c r="T2537" s="133"/>
      <c r="U2537" s="133"/>
      <c r="V2537" s="133"/>
      <c r="W2537" s="133"/>
      <c r="X2537" s="133"/>
      <c r="Y2537" s="133"/>
      <c r="Z2537" s="133"/>
      <c r="AA2537" s="133"/>
      <c r="AB2537" s="133"/>
      <c r="AC2537" s="133"/>
      <c r="AD2537" s="133"/>
      <c r="AE2537" s="133"/>
      <c r="AF2537" s="133"/>
      <c r="AG2537" s="133"/>
      <c r="AH2537" s="133"/>
      <c r="AI2537" s="133"/>
      <c r="AJ2537" s="133"/>
      <c r="AK2537" s="133"/>
      <c r="AL2537" s="133"/>
      <c r="AM2537" s="133"/>
      <c r="AN2537" s="133"/>
      <c r="AO2537" s="133"/>
      <c r="AP2537" s="133"/>
      <c r="AQ2537" s="133"/>
      <c r="AR2537" s="133"/>
      <c r="AS2537" s="153">
        <v>0</v>
      </c>
      <c r="AT2537" s="153">
        <v>0</v>
      </c>
      <c r="AU2537" s="153">
        <v>0</v>
      </c>
      <c r="AV2537" s="135"/>
      <c r="AW2537" s="135"/>
      <c r="AX2537" s="135"/>
      <c r="AY2537" s="135"/>
      <c r="AZ2537" s="135"/>
      <c r="BA2537" s="135"/>
      <c r="BB2537" s="135"/>
      <c r="BC2537" s="135"/>
      <c r="BD2537" s="135"/>
      <c r="BE2537" s="135"/>
      <c r="BF2537" s="135"/>
      <c r="BG2537" s="135"/>
      <c r="BH2537" s="135"/>
      <c r="BI2537" s="2"/>
      <c r="BJ2537" s="136"/>
      <c r="BK2537" s="2"/>
      <c r="BL2537" s="136"/>
      <c r="BM2537" s="136"/>
      <c r="BN2537" s="2"/>
      <c r="BO2537" s="2"/>
      <c r="BP2537" s="136"/>
      <c r="BQ2537" s="137"/>
    </row>
    <row r="2538" spans="1:69" ht="12.75" customHeight="1" x14ac:dyDescent="0.2">
      <c r="A2538" s="2">
        <v>4027</v>
      </c>
      <c r="B2538" s="2"/>
      <c r="C2538" s="2"/>
      <c r="D2538" s="2"/>
      <c r="E2538" s="2"/>
      <c r="F2538" s="132">
        <v>0</v>
      </c>
      <c r="G2538" s="132"/>
      <c r="H2538" s="132">
        <f t="shared" si="283"/>
        <v>0</v>
      </c>
      <c r="I2538" s="132"/>
      <c r="J2538" s="132">
        <f t="shared" si="288"/>
        <v>0</v>
      </c>
      <c r="K2538" s="132">
        <f t="shared" si="284"/>
        <v>0</v>
      </c>
      <c r="L2538" s="132">
        <f t="shared" si="285"/>
        <v>0</v>
      </c>
      <c r="M2538" s="133"/>
      <c r="N2538" s="133">
        <f t="shared" ref="N2538:N2601" si="289">IF(OR(BK2538="принят",BK2538="Завершено",BK2538="ПриПро"),H2538-J2538,F2538-J2538)</f>
        <v>0</v>
      </c>
      <c r="O2538" s="134"/>
      <c r="P2538" s="133"/>
      <c r="Q2538" s="2"/>
      <c r="R2538" s="156">
        <f t="shared" si="286"/>
        <v>0</v>
      </c>
      <c r="S2538" s="156">
        <f t="shared" si="287"/>
        <v>0</v>
      </c>
      <c r="T2538" s="133"/>
      <c r="U2538" s="133"/>
      <c r="V2538" s="133"/>
      <c r="W2538" s="133"/>
      <c r="X2538" s="133"/>
      <c r="Y2538" s="133"/>
      <c r="Z2538" s="133"/>
      <c r="AA2538" s="133"/>
      <c r="AB2538" s="133"/>
      <c r="AC2538" s="133"/>
      <c r="AD2538" s="133"/>
      <c r="AE2538" s="133"/>
      <c r="AF2538" s="133"/>
      <c r="AG2538" s="133"/>
      <c r="AH2538" s="133"/>
      <c r="AI2538" s="133"/>
      <c r="AJ2538" s="133"/>
      <c r="AK2538" s="133"/>
      <c r="AL2538" s="133"/>
      <c r="AM2538" s="133"/>
      <c r="AN2538" s="133"/>
      <c r="AO2538" s="133"/>
      <c r="AP2538" s="133"/>
      <c r="AQ2538" s="133"/>
      <c r="AR2538" s="133"/>
      <c r="AS2538" s="153">
        <v>0</v>
      </c>
      <c r="AT2538" s="153">
        <v>0</v>
      </c>
      <c r="AU2538" s="153">
        <v>0</v>
      </c>
      <c r="AV2538" s="135"/>
      <c r="AW2538" s="135"/>
      <c r="AX2538" s="135"/>
      <c r="AY2538" s="135"/>
      <c r="AZ2538" s="135"/>
      <c r="BA2538" s="135"/>
      <c r="BB2538" s="135"/>
      <c r="BC2538" s="135"/>
      <c r="BD2538" s="135"/>
      <c r="BE2538" s="135"/>
      <c r="BF2538" s="135"/>
      <c r="BG2538" s="135"/>
      <c r="BH2538" s="135"/>
      <c r="BI2538" s="2"/>
      <c r="BJ2538" s="136"/>
      <c r="BK2538" s="2"/>
      <c r="BL2538" s="136"/>
      <c r="BM2538" s="136"/>
      <c r="BN2538" s="2"/>
      <c r="BO2538" s="2"/>
      <c r="BP2538" s="136"/>
      <c r="BQ2538" s="137"/>
    </row>
    <row r="2539" spans="1:69" ht="12.75" customHeight="1" x14ac:dyDescent="0.2">
      <c r="A2539" s="2">
        <v>4028</v>
      </c>
      <c r="B2539" s="2"/>
      <c r="C2539" s="2"/>
      <c r="D2539" s="2"/>
      <c r="E2539" s="2"/>
      <c r="F2539" s="132">
        <v>0</v>
      </c>
      <c r="G2539" s="132"/>
      <c r="H2539" s="132">
        <f t="shared" si="283"/>
        <v>0</v>
      </c>
      <c r="I2539" s="132"/>
      <c r="J2539" s="132">
        <f t="shared" si="288"/>
        <v>0</v>
      </c>
      <c r="K2539" s="132">
        <f t="shared" si="284"/>
        <v>0</v>
      </c>
      <c r="L2539" s="132">
        <f t="shared" si="285"/>
        <v>0</v>
      </c>
      <c r="M2539" s="133"/>
      <c r="N2539" s="133">
        <f t="shared" si="289"/>
        <v>0</v>
      </c>
      <c r="O2539" s="134"/>
      <c r="P2539" s="133"/>
      <c r="Q2539" s="2"/>
      <c r="R2539" s="156">
        <f t="shared" si="286"/>
        <v>0</v>
      </c>
      <c r="S2539" s="156">
        <f t="shared" si="287"/>
        <v>0</v>
      </c>
      <c r="T2539" s="133"/>
      <c r="U2539" s="133"/>
      <c r="V2539" s="133"/>
      <c r="W2539" s="133"/>
      <c r="X2539" s="133"/>
      <c r="Y2539" s="133"/>
      <c r="Z2539" s="133"/>
      <c r="AA2539" s="133"/>
      <c r="AB2539" s="133"/>
      <c r="AC2539" s="133"/>
      <c r="AD2539" s="133"/>
      <c r="AE2539" s="133"/>
      <c r="AF2539" s="133"/>
      <c r="AG2539" s="133"/>
      <c r="AH2539" s="133"/>
      <c r="AI2539" s="133"/>
      <c r="AJ2539" s="133"/>
      <c r="AK2539" s="133"/>
      <c r="AL2539" s="133"/>
      <c r="AM2539" s="133"/>
      <c r="AN2539" s="133"/>
      <c r="AO2539" s="133"/>
      <c r="AP2539" s="133"/>
      <c r="AQ2539" s="133"/>
      <c r="AR2539" s="133"/>
      <c r="AS2539" s="153">
        <v>0</v>
      </c>
      <c r="AT2539" s="153">
        <v>0</v>
      </c>
      <c r="AU2539" s="153">
        <v>0</v>
      </c>
      <c r="AV2539" s="135"/>
      <c r="AW2539" s="135"/>
      <c r="AX2539" s="135"/>
      <c r="AY2539" s="135"/>
      <c r="AZ2539" s="135"/>
      <c r="BA2539" s="135"/>
      <c r="BB2539" s="135"/>
      <c r="BC2539" s="135"/>
      <c r="BD2539" s="135"/>
      <c r="BE2539" s="135"/>
      <c r="BF2539" s="135"/>
      <c r="BG2539" s="135"/>
      <c r="BH2539" s="135"/>
      <c r="BI2539" s="2"/>
      <c r="BJ2539" s="136"/>
      <c r="BK2539" s="2"/>
      <c r="BL2539" s="136"/>
      <c r="BM2539" s="136"/>
      <c r="BN2539" s="2"/>
      <c r="BO2539" s="2"/>
      <c r="BP2539" s="136"/>
      <c r="BQ2539" s="137"/>
    </row>
    <row r="2540" spans="1:69" ht="12.75" customHeight="1" x14ac:dyDescent="0.2">
      <c r="A2540" s="2">
        <v>4029</v>
      </c>
      <c r="B2540" s="2"/>
      <c r="C2540" s="2"/>
      <c r="D2540" s="2"/>
      <c r="E2540" s="2"/>
      <c r="F2540" s="132">
        <v>0</v>
      </c>
      <c r="G2540" s="132"/>
      <c r="H2540" s="132">
        <f t="shared" si="283"/>
        <v>0</v>
      </c>
      <c r="I2540" s="132"/>
      <c r="J2540" s="132">
        <f t="shared" si="288"/>
        <v>0</v>
      </c>
      <c r="K2540" s="132">
        <f t="shared" si="284"/>
        <v>0</v>
      </c>
      <c r="L2540" s="132">
        <f t="shared" si="285"/>
        <v>0</v>
      </c>
      <c r="M2540" s="133"/>
      <c r="N2540" s="133">
        <f t="shared" si="289"/>
        <v>0</v>
      </c>
      <c r="O2540" s="134"/>
      <c r="P2540" s="133"/>
      <c r="Q2540" s="2"/>
      <c r="R2540" s="156">
        <f t="shared" si="286"/>
        <v>0</v>
      </c>
      <c r="S2540" s="156">
        <f t="shared" si="287"/>
        <v>0</v>
      </c>
      <c r="T2540" s="133"/>
      <c r="U2540" s="133"/>
      <c r="V2540" s="133"/>
      <c r="W2540" s="133"/>
      <c r="X2540" s="133"/>
      <c r="Y2540" s="133"/>
      <c r="Z2540" s="133"/>
      <c r="AA2540" s="133"/>
      <c r="AB2540" s="133"/>
      <c r="AC2540" s="133"/>
      <c r="AD2540" s="133"/>
      <c r="AE2540" s="133"/>
      <c r="AF2540" s="133"/>
      <c r="AG2540" s="133"/>
      <c r="AH2540" s="133"/>
      <c r="AI2540" s="133"/>
      <c r="AJ2540" s="133"/>
      <c r="AK2540" s="133"/>
      <c r="AL2540" s="133"/>
      <c r="AM2540" s="133"/>
      <c r="AN2540" s="133"/>
      <c r="AO2540" s="133"/>
      <c r="AP2540" s="133"/>
      <c r="AQ2540" s="133"/>
      <c r="AR2540" s="133"/>
      <c r="AS2540" s="153">
        <v>0</v>
      </c>
      <c r="AT2540" s="153">
        <v>0</v>
      </c>
      <c r="AU2540" s="153">
        <v>0</v>
      </c>
      <c r="AV2540" s="135"/>
      <c r="AW2540" s="135"/>
      <c r="AX2540" s="135"/>
      <c r="AY2540" s="135"/>
      <c r="AZ2540" s="135"/>
      <c r="BA2540" s="135"/>
      <c r="BB2540" s="135"/>
      <c r="BC2540" s="135"/>
      <c r="BD2540" s="135"/>
      <c r="BE2540" s="135"/>
      <c r="BF2540" s="135"/>
      <c r="BG2540" s="135"/>
      <c r="BH2540" s="135"/>
      <c r="BI2540" s="2"/>
      <c r="BJ2540" s="136"/>
      <c r="BK2540" s="2"/>
      <c r="BL2540" s="136"/>
      <c r="BM2540" s="136"/>
      <c r="BN2540" s="2"/>
      <c r="BO2540" s="2"/>
      <c r="BP2540" s="136"/>
      <c r="BQ2540" s="137"/>
    </row>
    <row r="2541" spans="1:69" ht="12.75" customHeight="1" x14ac:dyDescent="0.2">
      <c r="A2541" s="2">
        <v>4030</v>
      </c>
      <c r="B2541" s="2"/>
      <c r="C2541" s="2"/>
      <c r="D2541" s="2"/>
      <c r="E2541" s="2"/>
      <c r="F2541" s="132">
        <v>0</v>
      </c>
      <c r="G2541" s="132"/>
      <c r="H2541" s="132">
        <f t="shared" si="283"/>
        <v>0</v>
      </c>
      <c r="I2541" s="132"/>
      <c r="J2541" s="132">
        <f t="shared" si="288"/>
        <v>0</v>
      </c>
      <c r="K2541" s="132">
        <f t="shared" si="284"/>
        <v>0</v>
      </c>
      <c r="L2541" s="132">
        <f t="shared" si="285"/>
        <v>0</v>
      </c>
      <c r="M2541" s="133"/>
      <c r="N2541" s="133">
        <f t="shared" si="289"/>
        <v>0</v>
      </c>
      <c r="O2541" s="134"/>
      <c r="P2541" s="133"/>
      <c r="Q2541" s="2"/>
      <c r="R2541" s="156">
        <f t="shared" si="286"/>
        <v>0</v>
      </c>
      <c r="S2541" s="156">
        <f t="shared" si="287"/>
        <v>0</v>
      </c>
      <c r="T2541" s="133"/>
      <c r="U2541" s="133"/>
      <c r="V2541" s="133"/>
      <c r="W2541" s="133"/>
      <c r="X2541" s="133"/>
      <c r="Y2541" s="133"/>
      <c r="Z2541" s="133"/>
      <c r="AA2541" s="133"/>
      <c r="AB2541" s="133"/>
      <c r="AC2541" s="133"/>
      <c r="AD2541" s="133"/>
      <c r="AE2541" s="133"/>
      <c r="AF2541" s="133"/>
      <c r="AG2541" s="133"/>
      <c r="AH2541" s="133"/>
      <c r="AI2541" s="133"/>
      <c r="AJ2541" s="133"/>
      <c r="AK2541" s="133"/>
      <c r="AL2541" s="133"/>
      <c r="AM2541" s="133"/>
      <c r="AN2541" s="133"/>
      <c r="AO2541" s="133"/>
      <c r="AP2541" s="133"/>
      <c r="AQ2541" s="133"/>
      <c r="AR2541" s="133"/>
      <c r="AS2541" s="153">
        <v>0</v>
      </c>
      <c r="AT2541" s="153">
        <v>0</v>
      </c>
      <c r="AU2541" s="153">
        <v>0</v>
      </c>
      <c r="AV2541" s="135"/>
      <c r="AW2541" s="135"/>
      <c r="AX2541" s="135"/>
      <c r="AY2541" s="135"/>
      <c r="AZ2541" s="135"/>
      <c r="BA2541" s="135"/>
      <c r="BB2541" s="135"/>
      <c r="BC2541" s="135"/>
      <c r="BD2541" s="135"/>
      <c r="BE2541" s="135"/>
      <c r="BF2541" s="135"/>
      <c r="BG2541" s="135"/>
      <c r="BH2541" s="135"/>
      <c r="BI2541" s="2"/>
      <c r="BJ2541" s="136"/>
      <c r="BK2541" s="2"/>
      <c r="BL2541" s="136"/>
      <c r="BM2541" s="136"/>
      <c r="BN2541" s="2"/>
      <c r="BO2541" s="2"/>
      <c r="BP2541" s="136"/>
      <c r="BQ2541" s="137"/>
    </row>
    <row r="2542" spans="1:69" ht="12.75" customHeight="1" x14ac:dyDescent="0.2">
      <c r="A2542" s="2">
        <v>4031</v>
      </c>
      <c r="B2542" s="2"/>
      <c r="C2542" s="2"/>
      <c r="D2542" s="2"/>
      <c r="E2542" s="2"/>
      <c r="F2542" s="132">
        <v>0</v>
      </c>
      <c r="G2542" s="132"/>
      <c r="H2542" s="132">
        <f t="shared" ref="H2542:H2605" si="290">R2542</f>
        <v>0</v>
      </c>
      <c r="I2542" s="132"/>
      <c r="J2542" s="132">
        <f t="shared" si="288"/>
        <v>0</v>
      </c>
      <c r="K2542" s="132">
        <f t="shared" si="284"/>
        <v>0</v>
      </c>
      <c r="L2542" s="132">
        <f t="shared" si="285"/>
        <v>0</v>
      </c>
      <c r="M2542" s="133"/>
      <c r="N2542" s="133">
        <f t="shared" si="289"/>
        <v>0</v>
      </c>
      <c r="O2542" s="134"/>
      <c r="P2542" s="133"/>
      <c r="Q2542" s="2"/>
      <c r="R2542" s="156">
        <f t="shared" si="286"/>
        <v>0</v>
      </c>
      <c r="S2542" s="156">
        <f t="shared" si="287"/>
        <v>0</v>
      </c>
      <c r="T2542" s="133"/>
      <c r="U2542" s="133"/>
      <c r="V2542" s="133"/>
      <c r="W2542" s="133"/>
      <c r="X2542" s="133"/>
      <c r="Y2542" s="133"/>
      <c r="Z2542" s="133"/>
      <c r="AA2542" s="133"/>
      <c r="AB2542" s="133"/>
      <c r="AC2542" s="133"/>
      <c r="AD2542" s="133"/>
      <c r="AE2542" s="133"/>
      <c r="AF2542" s="133"/>
      <c r="AG2542" s="133"/>
      <c r="AH2542" s="133"/>
      <c r="AI2542" s="133"/>
      <c r="AJ2542" s="133"/>
      <c r="AK2542" s="133"/>
      <c r="AL2542" s="133"/>
      <c r="AM2542" s="133"/>
      <c r="AN2542" s="133"/>
      <c r="AO2542" s="133"/>
      <c r="AP2542" s="133"/>
      <c r="AQ2542" s="133"/>
      <c r="AR2542" s="133"/>
      <c r="AS2542" s="153">
        <v>0</v>
      </c>
      <c r="AT2542" s="153">
        <v>0</v>
      </c>
      <c r="AU2542" s="153">
        <v>0</v>
      </c>
      <c r="AV2542" s="135"/>
      <c r="AW2542" s="135"/>
      <c r="AX2542" s="135"/>
      <c r="AY2542" s="135"/>
      <c r="AZ2542" s="135"/>
      <c r="BA2542" s="135"/>
      <c r="BB2542" s="135"/>
      <c r="BC2542" s="135"/>
      <c r="BD2542" s="135"/>
      <c r="BE2542" s="135"/>
      <c r="BF2542" s="135"/>
      <c r="BG2542" s="135"/>
      <c r="BH2542" s="135"/>
      <c r="BI2542" s="2"/>
      <c r="BJ2542" s="136"/>
      <c r="BK2542" s="2"/>
      <c r="BL2542" s="136"/>
      <c r="BM2542" s="136"/>
      <c r="BN2542" s="2"/>
      <c r="BO2542" s="2"/>
      <c r="BP2542" s="136"/>
      <c r="BQ2542" s="137"/>
    </row>
    <row r="2543" spans="1:69" ht="12.75" customHeight="1" x14ac:dyDescent="0.2">
      <c r="A2543" s="2">
        <v>4032</v>
      </c>
      <c r="B2543" s="2"/>
      <c r="C2543" s="2"/>
      <c r="D2543" s="2"/>
      <c r="E2543" s="2"/>
      <c r="F2543" s="132">
        <v>0</v>
      </c>
      <c r="G2543" s="132"/>
      <c r="H2543" s="132">
        <f t="shared" si="290"/>
        <v>0</v>
      </c>
      <c r="I2543" s="132"/>
      <c r="J2543" s="132">
        <f t="shared" si="288"/>
        <v>0</v>
      </c>
      <c r="K2543" s="132">
        <f t="shared" si="284"/>
        <v>0</v>
      </c>
      <c r="L2543" s="132">
        <f t="shared" si="285"/>
        <v>0</v>
      </c>
      <c r="M2543" s="133"/>
      <c r="N2543" s="133">
        <f t="shared" si="289"/>
        <v>0</v>
      </c>
      <c r="O2543" s="134"/>
      <c r="P2543" s="133"/>
      <c r="Q2543" s="2"/>
      <c r="R2543" s="156">
        <f t="shared" si="286"/>
        <v>0</v>
      </c>
      <c r="S2543" s="156">
        <f t="shared" si="287"/>
        <v>0</v>
      </c>
      <c r="T2543" s="133"/>
      <c r="U2543" s="133"/>
      <c r="V2543" s="133"/>
      <c r="W2543" s="133"/>
      <c r="X2543" s="133"/>
      <c r="Y2543" s="133"/>
      <c r="Z2543" s="133"/>
      <c r="AA2543" s="133"/>
      <c r="AB2543" s="133"/>
      <c r="AC2543" s="133"/>
      <c r="AD2543" s="133"/>
      <c r="AE2543" s="133"/>
      <c r="AF2543" s="133"/>
      <c r="AG2543" s="133"/>
      <c r="AH2543" s="133"/>
      <c r="AI2543" s="133"/>
      <c r="AJ2543" s="133"/>
      <c r="AK2543" s="133"/>
      <c r="AL2543" s="133"/>
      <c r="AM2543" s="133"/>
      <c r="AN2543" s="133"/>
      <c r="AO2543" s="133"/>
      <c r="AP2543" s="133"/>
      <c r="AQ2543" s="133"/>
      <c r="AR2543" s="133"/>
      <c r="AS2543" s="153">
        <v>0</v>
      </c>
      <c r="AT2543" s="153">
        <v>0</v>
      </c>
      <c r="AU2543" s="153">
        <v>0</v>
      </c>
      <c r="AV2543" s="135"/>
      <c r="AW2543" s="135"/>
      <c r="AX2543" s="135"/>
      <c r="AY2543" s="135"/>
      <c r="AZ2543" s="135"/>
      <c r="BA2543" s="135"/>
      <c r="BB2543" s="135"/>
      <c r="BC2543" s="135"/>
      <c r="BD2543" s="135"/>
      <c r="BE2543" s="135"/>
      <c r="BF2543" s="135"/>
      <c r="BG2543" s="135"/>
      <c r="BH2543" s="135"/>
      <c r="BI2543" s="2"/>
      <c r="BJ2543" s="136"/>
      <c r="BK2543" s="2"/>
      <c r="BL2543" s="136"/>
      <c r="BM2543" s="136"/>
      <c r="BN2543" s="2"/>
      <c r="BO2543" s="2"/>
      <c r="BP2543" s="136"/>
      <c r="BQ2543" s="137"/>
    </row>
    <row r="2544" spans="1:69" ht="12.75" customHeight="1" x14ac:dyDescent="0.2">
      <c r="A2544" s="2">
        <v>4033</v>
      </c>
      <c r="B2544" s="2"/>
      <c r="C2544" s="2"/>
      <c r="D2544" s="2"/>
      <c r="E2544" s="2"/>
      <c r="F2544" s="132">
        <v>0</v>
      </c>
      <c r="G2544" s="132"/>
      <c r="H2544" s="132">
        <f t="shared" si="290"/>
        <v>0</v>
      </c>
      <c r="I2544" s="132"/>
      <c r="J2544" s="132">
        <f t="shared" si="288"/>
        <v>0</v>
      </c>
      <c r="K2544" s="132">
        <f t="shared" si="284"/>
        <v>0</v>
      </c>
      <c r="L2544" s="132">
        <f t="shared" si="285"/>
        <v>0</v>
      </c>
      <c r="M2544" s="133"/>
      <c r="N2544" s="133">
        <f t="shared" si="289"/>
        <v>0</v>
      </c>
      <c r="O2544" s="134"/>
      <c r="P2544" s="133"/>
      <c r="Q2544" s="2"/>
      <c r="R2544" s="156">
        <f t="shared" si="286"/>
        <v>0</v>
      </c>
      <c r="S2544" s="156">
        <f t="shared" si="287"/>
        <v>0</v>
      </c>
      <c r="T2544" s="133"/>
      <c r="U2544" s="133"/>
      <c r="V2544" s="133"/>
      <c r="W2544" s="133"/>
      <c r="X2544" s="133"/>
      <c r="Y2544" s="133"/>
      <c r="Z2544" s="133"/>
      <c r="AA2544" s="133"/>
      <c r="AB2544" s="133"/>
      <c r="AC2544" s="133"/>
      <c r="AD2544" s="133"/>
      <c r="AE2544" s="133"/>
      <c r="AF2544" s="133"/>
      <c r="AG2544" s="133"/>
      <c r="AH2544" s="133"/>
      <c r="AI2544" s="133"/>
      <c r="AJ2544" s="133"/>
      <c r="AK2544" s="133"/>
      <c r="AL2544" s="133"/>
      <c r="AM2544" s="133"/>
      <c r="AN2544" s="133"/>
      <c r="AO2544" s="133"/>
      <c r="AP2544" s="133"/>
      <c r="AQ2544" s="133"/>
      <c r="AR2544" s="133"/>
      <c r="AS2544" s="153">
        <v>0</v>
      </c>
      <c r="AT2544" s="153">
        <v>0</v>
      </c>
      <c r="AU2544" s="153">
        <v>0</v>
      </c>
      <c r="AV2544" s="135"/>
      <c r="AW2544" s="135"/>
      <c r="AX2544" s="135"/>
      <c r="AY2544" s="135"/>
      <c r="AZ2544" s="135"/>
      <c r="BA2544" s="135"/>
      <c r="BB2544" s="135"/>
      <c r="BC2544" s="135"/>
      <c r="BD2544" s="135"/>
      <c r="BE2544" s="135"/>
      <c r="BF2544" s="135"/>
      <c r="BG2544" s="135"/>
      <c r="BH2544" s="135"/>
      <c r="BI2544" s="2"/>
      <c r="BJ2544" s="136"/>
      <c r="BK2544" s="2"/>
      <c r="BL2544" s="136"/>
      <c r="BM2544" s="136"/>
      <c r="BN2544" s="2"/>
      <c r="BO2544" s="2"/>
      <c r="BP2544" s="136"/>
      <c r="BQ2544" s="137"/>
    </row>
    <row r="2545" spans="1:69" ht="12.75" customHeight="1" x14ac:dyDescent="0.2">
      <c r="A2545" s="2">
        <v>4034</v>
      </c>
      <c r="B2545" s="2"/>
      <c r="C2545" s="2"/>
      <c r="D2545" s="2"/>
      <c r="E2545" s="2"/>
      <c r="F2545" s="132">
        <v>0</v>
      </c>
      <c r="G2545" s="132"/>
      <c r="H2545" s="132">
        <f t="shared" si="290"/>
        <v>0</v>
      </c>
      <c r="I2545" s="132"/>
      <c r="J2545" s="132">
        <f t="shared" si="288"/>
        <v>0</v>
      </c>
      <c r="K2545" s="132">
        <f t="shared" si="284"/>
        <v>0</v>
      </c>
      <c r="L2545" s="132">
        <f t="shared" si="285"/>
        <v>0</v>
      </c>
      <c r="M2545" s="133"/>
      <c r="N2545" s="133">
        <f t="shared" si="289"/>
        <v>0</v>
      </c>
      <c r="O2545" s="134"/>
      <c r="P2545" s="133"/>
      <c r="Q2545" s="2"/>
      <c r="R2545" s="156">
        <f t="shared" si="286"/>
        <v>0</v>
      </c>
      <c r="S2545" s="156">
        <f t="shared" si="287"/>
        <v>0</v>
      </c>
      <c r="T2545" s="133"/>
      <c r="U2545" s="133"/>
      <c r="V2545" s="133"/>
      <c r="W2545" s="133"/>
      <c r="X2545" s="133"/>
      <c r="Y2545" s="133"/>
      <c r="Z2545" s="133"/>
      <c r="AA2545" s="133"/>
      <c r="AB2545" s="133"/>
      <c r="AC2545" s="133"/>
      <c r="AD2545" s="133"/>
      <c r="AE2545" s="133"/>
      <c r="AF2545" s="133"/>
      <c r="AG2545" s="133"/>
      <c r="AH2545" s="133"/>
      <c r="AI2545" s="133"/>
      <c r="AJ2545" s="133"/>
      <c r="AK2545" s="133"/>
      <c r="AL2545" s="133"/>
      <c r="AM2545" s="133"/>
      <c r="AN2545" s="133"/>
      <c r="AO2545" s="133"/>
      <c r="AP2545" s="133"/>
      <c r="AQ2545" s="133"/>
      <c r="AR2545" s="133"/>
      <c r="AS2545" s="153">
        <v>0</v>
      </c>
      <c r="AT2545" s="153">
        <v>0</v>
      </c>
      <c r="AU2545" s="153">
        <v>0</v>
      </c>
      <c r="AV2545" s="135"/>
      <c r="AW2545" s="135"/>
      <c r="AX2545" s="135"/>
      <c r="AY2545" s="135"/>
      <c r="AZ2545" s="135"/>
      <c r="BA2545" s="135"/>
      <c r="BB2545" s="135"/>
      <c r="BC2545" s="135"/>
      <c r="BD2545" s="135"/>
      <c r="BE2545" s="135"/>
      <c r="BF2545" s="135"/>
      <c r="BG2545" s="135"/>
      <c r="BH2545" s="135"/>
      <c r="BI2545" s="2"/>
      <c r="BJ2545" s="136"/>
      <c r="BK2545" s="2"/>
      <c r="BL2545" s="136"/>
      <c r="BM2545" s="136"/>
      <c r="BN2545" s="2"/>
      <c r="BO2545" s="2"/>
      <c r="BP2545" s="136"/>
      <c r="BQ2545" s="137"/>
    </row>
    <row r="2546" spans="1:69" ht="12.75" customHeight="1" x14ac:dyDescent="0.2">
      <c r="A2546" s="2">
        <v>4035</v>
      </c>
      <c r="B2546" s="2"/>
      <c r="C2546" s="2"/>
      <c r="D2546" s="2"/>
      <c r="E2546" s="2"/>
      <c r="F2546" s="132">
        <v>0</v>
      </c>
      <c r="G2546" s="132"/>
      <c r="H2546" s="132">
        <f t="shared" si="290"/>
        <v>0</v>
      </c>
      <c r="I2546" s="132"/>
      <c r="J2546" s="132">
        <f t="shared" si="288"/>
        <v>0</v>
      </c>
      <c r="K2546" s="132">
        <f t="shared" si="284"/>
        <v>0</v>
      </c>
      <c r="L2546" s="132">
        <f t="shared" si="285"/>
        <v>0</v>
      </c>
      <c r="M2546" s="133"/>
      <c r="N2546" s="133">
        <f t="shared" si="289"/>
        <v>0</v>
      </c>
      <c r="O2546" s="134"/>
      <c r="P2546" s="133"/>
      <c r="Q2546" s="2"/>
      <c r="R2546" s="156">
        <f t="shared" si="286"/>
        <v>0</v>
      </c>
      <c r="S2546" s="156">
        <f t="shared" si="287"/>
        <v>0</v>
      </c>
      <c r="T2546" s="133"/>
      <c r="U2546" s="133"/>
      <c r="V2546" s="133"/>
      <c r="W2546" s="133"/>
      <c r="X2546" s="133"/>
      <c r="Y2546" s="133"/>
      <c r="Z2546" s="133"/>
      <c r="AA2546" s="133"/>
      <c r="AB2546" s="133"/>
      <c r="AC2546" s="133"/>
      <c r="AD2546" s="133"/>
      <c r="AE2546" s="133"/>
      <c r="AF2546" s="133"/>
      <c r="AG2546" s="133"/>
      <c r="AH2546" s="133"/>
      <c r="AI2546" s="133"/>
      <c r="AJ2546" s="133"/>
      <c r="AK2546" s="133"/>
      <c r="AL2546" s="133"/>
      <c r="AM2546" s="133"/>
      <c r="AN2546" s="133"/>
      <c r="AO2546" s="133"/>
      <c r="AP2546" s="133"/>
      <c r="AQ2546" s="133"/>
      <c r="AR2546" s="133"/>
      <c r="AS2546" s="153">
        <v>0</v>
      </c>
      <c r="AT2546" s="153">
        <v>0</v>
      </c>
      <c r="AU2546" s="153">
        <v>0</v>
      </c>
      <c r="AV2546" s="135"/>
      <c r="AW2546" s="135"/>
      <c r="AX2546" s="135"/>
      <c r="AY2546" s="135"/>
      <c r="AZ2546" s="135"/>
      <c r="BA2546" s="135"/>
      <c r="BB2546" s="135"/>
      <c r="BC2546" s="135"/>
      <c r="BD2546" s="135"/>
      <c r="BE2546" s="135"/>
      <c r="BF2546" s="135"/>
      <c r="BG2546" s="135"/>
      <c r="BH2546" s="135"/>
      <c r="BI2546" s="2"/>
      <c r="BJ2546" s="136"/>
      <c r="BK2546" s="2"/>
      <c r="BL2546" s="136"/>
      <c r="BM2546" s="136"/>
      <c r="BN2546" s="2"/>
      <c r="BO2546" s="2"/>
      <c r="BP2546" s="136"/>
      <c r="BQ2546" s="137"/>
    </row>
    <row r="2547" spans="1:69" ht="12.75" customHeight="1" x14ac:dyDescent="0.2">
      <c r="A2547" s="2">
        <v>4036</v>
      </c>
      <c r="B2547" s="2"/>
      <c r="C2547" s="2"/>
      <c r="D2547" s="2"/>
      <c r="E2547" s="2"/>
      <c r="F2547" s="132">
        <v>0</v>
      </c>
      <c r="G2547" s="132"/>
      <c r="H2547" s="132">
        <f t="shared" si="290"/>
        <v>0</v>
      </c>
      <c r="I2547" s="132"/>
      <c r="J2547" s="132">
        <f t="shared" si="288"/>
        <v>0</v>
      </c>
      <c r="K2547" s="132">
        <f t="shared" si="284"/>
        <v>0</v>
      </c>
      <c r="L2547" s="132">
        <f t="shared" si="285"/>
        <v>0</v>
      </c>
      <c r="M2547" s="133"/>
      <c r="N2547" s="133">
        <f t="shared" si="289"/>
        <v>0</v>
      </c>
      <c r="O2547" s="134"/>
      <c r="P2547" s="133"/>
      <c r="Q2547" s="2"/>
      <c r="R2547" s="156">
        <f t="shared" si="286"/>
        <v>0</v>
      </c>
      <c r="S2547" s="156">
        <f t="shared" si="287"/>
        <v>0</v>
      </c>
      <c r="T2547" s="133"/>
      <c r="U2547" s="133"/>
      <c r="V2547" s="133"/>
      <c r="W2547" s="133"/>
      <c r="X2547" s="133"/>
      <c r="Y2547" s="133"/>
      <c r="Z2547" s="133"/>
      <c r="AA2547" s="133"/>
      <c r="AB2547" s="133"/>
      <c r="AC2547" s="133"/>
      <c r="AD2547" s="133"/>
      <c r="AE2547" s="133"/>
      <c r="AF2547" s="133"/>
      <c r="AG2547" s="133"/>
      <c r="AH2547" s="133"/>
      <c r="AI2547" s="133"/>
      <c r="AJ2547" s="133"/>
      <c r="AK2547" s="133"/>
      <c r="AL2547" s="133"/>
      <c r="AM2547" s="133"/>
      <c r="AN2547" s="133"/>
      <c r="AO2547" s="133"/>
      <c r="AP2547" s="133"/>
      <c r="AQ2547" s="133"/>
      <c r="AR2547" s="133"/>
      <c r="AS2547" s="153">
        <v>0</v>
      </c>
      <c r="AT2547" s="153">
        <v>0</v>
      </c>
      <c r="AU2547" s="153">
        <v>0</v>
      </c>
      <c r="AV2547" s="135"/>
      <c r="AW2547" s="135"/>
      <c r="AX2547" s="135"/>
      <c r="AY2547" s="135"/>
      <c r="AZ2547" s="135"/>
      <c r="BA2547" s="135"/>
      <c r="BB2547" s="135"/>
      <c r="BC2547" s="135"/>
      <c r="BD2547" s="135"/>
      <c r="BE2547" s="135"/>
      <c r="BF2547" s="135"/>
      <c r="BG2547" s="135"/>
      <c r="BH2547" s="135"/>
      <c r="BI2547" s="2"/>
      <c r="BJ2547" s="136"/>
      <c r="BK2547" s="2"/>
      <c r="BL2547" s="136"/>
      <c r="BM2547" s="136"/>
      <c r="BN2547" s="2"/>
      <c r="BO2547" s="2"/>
      <c r="BP2547" s="136"/>
      <c r="BQ2547" s="137"/>
    </row>
    <row r="2548" spans="1:69" ht="12.75" customHeight="1" x14ac:dyDescent="0.2">
      <c r="A2548" s="2">
        <v>4037</v>
      </c>
      <c r="B2548" s="2"/>
      <c r="C2548" s="2"/>
      <c r="D2548" s="2"/>
      <c r="E2548" s="2"/>
      <c r="F2548" s="132">
        <v>0</v>
      </c>
      <c r="G2548" s="132"/>
      <c r="H2548" s="132">
        <f t="shared" si="290"/>
        <v>0</v>
      </c>
      <c r="I2548" s="132"/>
      <c r="J2548" s="132">
        <f t="shared" si="288"/>
        <v>0</v>
      </c>
      <c r="K2548" s="132">
        <f t="shared" si="284"/>
        <v>0</v>
      </c>
      <c r="L2548" s="132">
        <f t="shared" si="285"/>
        <v>0</v>
      </c>
      <c r="M2548" s="133"/>
      <c r="N2548" s="133">
        <f t="shared" si="289"/>
        <v>0</v>
      </c>
      <c r="O2548" s="134"/>
      <c r="P2548" s="133"/>
      <c r="Q2548" s="2"/>
      <c r="R2548" s="156">
        <f t="shared" si="286"/>
        <v>0</v>
      </c>
      <c r="S2548" s="156">
        <f t="shared" si="287"/>
        <v>0</v>
      </c>
      <c r="T2548" s="133"/>
      <c r="U2548" s="133"/>
      <c r="V2548" s="133"/>
      <c r="W2548" s="133"/>
      <c r="X2548" s="133"/>
      <c r="Y2548" s="133"/>
      <c r="Z2548" s="133"/>
      <c r="AA2548" s="133"/>
      <c r="AB2548" s="133"/>
      <c r="AC2548" s="133"/>
      <c r="AD2548" s="133"/>
      <c r="AE2548" s="133"/>
      <c r="AF2548" s="133"/>
      <c r="AG2548" s="133"/>
      <c r="AH2548" s="133"/>
      <c r="AI2548" s="133"/>
      <c r="AJ2548" s="133"/>
      <c r="AK2548" s="133"/>
      <c r="AL2548" s="133"/>
      <c r="AM2548" s="133"/>
      <c r="AN2548" s="133"/>
      <c r="AO2548" s="133"/>
      <c r="AP2548" s="133"/>
      <c r="AQ2548" s="133"/>
      <c r="AR2548" s="133"/>
      <c r="AS2548" s="153">
        <v>0</v>
      </c>
      <c r="AT2548" s="153">
        <v>0</v>
      </c>
      <c r="AU2548" s="153">
        <v>0</v>
      </c>
      <c r="AV2548" s="135"/>
      <c r="AW2548" s="135"/>
      <c r="AX2548" s="135"/>
      <c r="AY2548" s="135"/>
      <c r="AZ2548" s="135"/>
      <c r="BA2548" s="135"/>
      <c r="BB2548" s="135"/>
      <c r="BC2548" s="135"/>
      <c r="BD2548" s="135"/>
      <c r="BE2548" s="135"/>
      <c r="BF2548" s="135"/>
      <c r="BG2548" s="135"/>
      <c r="BH2548" s="135"/>
      <c r="BI2548" s="2"/>
      <c r="BJ2548" s="136"/>
      <c r="BK2548" s="2"/>
      <c r="BL2548" s="136"/>
      <c r="BM2548" s="136"/>
      <c r="BN2548" s="2"/>
      <c r="BO2548" s="2"/>
      <c r="BP2548" s="136"/>
      <c r="BQ2548" s="137"/>
    </row>
    <row r="2549" spans="1:69" ht="12.75" customHeight="1" x14ac:dyDescent="0.2">
      <c r="A2549" s="2">
        <v>4038</v>
      </c>
      <c r="B2549" s="2"/>
      <c r="C2549" s="2"/>
      <c r="D2549" s="2"/>
      <c r="E2549" s="2"/>
      <c r="F2549" s="132">
        <v>0</v>
      </c>
      <c r="G2549" s="132"/>
      <c r="H2549" s="132">
        <f t="shared" si="290"/>
        <v>0</v>
      </c>
      <c r="I2549" s="132"/>
      <c r="J2549" s="132">
        <f t="shared" si="288"/>
        <v>0</v>
      </c>
      <c r="K2549" s="132">
        <f t="shared" si="284"/>
        <v>0</v>
      </c>
      <c r="L2549" s="132">
        <f t="shared" si="285"/>
        <v>0</v>
      </c>
      <c r="M2549" s="133"/>
      <c r="N2549" s="133">
        <f t="shared" si="289"/>
        <v>0</v>
      </c>
      <c r="O2549" s="134"/>
      <c r="P2549" s="133"/>
      <c r="Q2549" s="2"/>
      <c r="R2549" s="156">
        <f t="shared" si="286"/>
        <v>0</v>
      </c>
      <c r="S2549" s="156">
        <f t="shared" si="287"/>
        <v>0</v>
      </c>
      <c r="T2549" s="133"/>
      <c r="U2549" s="133"/>
      <c r="V2549" s="133"/>
      <c r="W2549" s="133"/>
      <c r="X2549" s="133"/>
      <c r="Y2549" s="133"/>
      <c r="Z2549" s="133"/>
      <c r="AA2549" s="133"/>
      <c r="AB2549" s="133"/>
      <c r="AC2549" s="133"/>
      <c r="AD2549" s="133"/>
      <c r="AE2549" s="133"/>
      <c r="AF2549" s="133"/>
      <c r="AG2549" s="133"/>
      <c r="AH2549" s="133"/>
      <c r="AI2549" s="133"/>
      <c r="AJ2549" s="133"/>
      <c r="AK2549" s="133"/>
      <c r="AL2549" s="133"/>
      <c r="AM2549" s="133"/>
      <c r="AN2549" s="133"/>
      <c r="AO2549" s="133"/>
      <c r="AP2549" s="133"/>
      <c r="AQ2549" s="133"/>
      <c r="AR2549" s="133"/>
      <c r="AS2549" s="153">
        <v>0</v>
      </c>
      <c r="AT2549" s="153">
        <v>0</v>
      </c>
      <c r="AU2549" s="153">
        <v>0</v>
      </c>
      <c r="AV2549" s="135"/>
      <c r="AW2549" s="135"/>
      <c r="AX2549" s="135"/>
      <c r="AY2549" s="135"/>
      <c r="AZ2549" s="135"/>
      <c r="BA2549" s="135"/>
      <c r="BB2549" s="135"/>
      <c r="BC2549" s="135"/>
      <c r="BD2549" s="135"/>
      <c r="BE2549" s="135"/>
      <c r="BF2549" s="135"/>
      <c r="BG2549" s="135"/>
      <c r="BH2549" s="135"/>
      <c r="BI2549" s="2"/>
      <c r="BJ2549" s="136"/>
      <c r="BK2549" s="2"/>
      <c r="BL2549" s="136"/>
      <c r="BM2549" s="136"/>
      <c r="BN2549" s="2"/>
      <c r="BO2549" s="2"/>
      <c r="BP2549" s="136"/>
      <c r="BQ2549" s="137"/>
    </row>
    <row r="2550" spans="1:69" ht="12.75" customHeight="1" x14ac:dyDescent="0.2">
      <c r="A2550" s="2">
        <v>4039</v>
      </c>
      <c r="B2550" s="2"/>
      <c r="C2550" s="2"/>
      <c r="D2550" s="2"/>
      <c r="E2550" s="2"/>
      <c r="F2550" s="132">
        <v>0</v>
      </c>
      <c r="G2550" s="132"/>
      <c r="H2550" s="132">
        <f t="shared" si="290"/>
        <v>0</v>
      </c>
      <c r="I2550" s="132"/>
      <c r="J2550" s="132">
        <f t="shared" si="288"/>
        <v>0</v>
      </c>
      <c r="K2550" s="132">
        <f t="shared" ref="K2550:K2613" si="291">F2550-J2550</f>
        <v>0</v>
      </c>
      <c r="L2550" s="132">
        <f t="shared" si="285"/>
        <v>0</v>
      </c>
      <c r="M2550" s="133"/>
      <c r="N2550" s="133">
        <f t="shared" si="289"/>
        <v>0</v>
      </c>
      <c r="O2550" s="134"/>
      <c r="P2550" s="133"/>
      <c r="Q2550" s="2"/>
      <c r="R2550" s="156">
        <f t="shared" si="286"/>
        <v>0</v>
      </c>
      <c r="S2550" s="156">
        <f t="shared" si="287"/>
        <v>0</v>
      </c>
      <c r="T2550" s="133"/>
      <c r="U2550" s="133"/>
      <c r="V2550" s="133"/>
      <c r="W2550" s="133"/>
      <c r="X2550" s="133"/>
      <c r="Y2550" s="133"/>
      <c r="Z2550" s="133"/>
      <c r="AA2550" s="133"/>
      <c r="AB2550" s="133"/>
      <c r="AC2550" s="133"/>
      <c r="AD2550" s="133"/>
      <c r="AE2550" s="133"/>
      <c r="AF2550" s="133"/>
      <c r="AG2550" s="133"/>
      <c r="AH2550" s="133"/>
      <c r="AI2550" s="133"/>
      <c r="AJ2550" s="133"/>
      <c r="AK2550" s="133"/>
      <c r="AL2550" s="133"/>
      <c r="AM2550" s="133"/>
      <c r="AN2550" s="133"/>
      <c r="AO2550" s="133"/>
      <c r="AP2550" s="133"/>
      <c r="AQ2550" s="133"/>
      <c r="AR2550" s="133"/>
      <c r="AS2550" s="153">
        <v>0</v>
      </c>
      <c r="AT2550" s="153">
        <v>0</v>
      </c>
      <c r="AU2550" s="153">
        <v>0</v>
      </c>
      <c r="AV2550" s="135"/>
      <c r="AW2550" s="135"/>
      <c r="AX2550" s="135"/>
      <c r="AY2550" s="135"/>
      <c r="AZ2550" s="135"/>
      <c r="BA2550" s="135"/>
      <c r="BB2550" s="135"/>
      <c r="BC2550" s="135"/>
      <c r="BD2550" s="135"/>
      <c r="BE2550" s="135"/>
      <c r="BF2550" s="135"/>
      <c r="BG2550" s="135"/>
      <c r="BH2550" s="135"/>
      <c r="BI2550" s="2"/>
      <c r="BJ2550" s="136"/>
      <c r="BK2550" s="2"/>
      <c r="BL2550" s="136"/>
      <c r="BM2550" s="136"/>
      <c r="BN2550" s="2"/>
      <c r="BO2550" s="2"/>
      <c r="BP2550" s="136"/>
      <c r="BQ2550" s="137"/>
    </row>
    <row r="2551" spans="1:69" ht="12.75" customHeight="1" x14ac:dyDescent="0.2">
      <c r="A2551" s="2">
        <v>4040</v>
      </c>
      <c r="B2551" s="2"/>
      <c r="C2551" s="2"/>
      <c r="D2551" s="2"/>
      <c r="E2551" s="2"/>
      <c r="F2551" s="132">
        <v>0</v>
      </c>
      <c r="G2551" s="132"/>
      <c r="H2551" s="132">
        <f t="shared" si="290"/>
        <v>0</v>
      </c>
      <c r="I2551" s="132"/>
      <c r="J2551" s="132">
        <f t="shared" si="288"/>
        <v>0</v>
      </c>
      <c r="K2551" s="132">
        <f t="shared" si="291"/>
        <v>0</v>
      </c>
      <c r="L2551" s="132">
        <f t="shared" si="285"/>
        <v>0</v>
      </c>
      <c r="M2551" s="133"/>
      <c r="N2551" s="133">
        <f t="shared" si="289"/>
        <v>0</v>
      </c>
      <c r="O2551" s="134"/>
      <c r="P2551" s="133"/>
      <c r="Q2551" s="2"/>
      <c r="R2551" s="156">
        <f t="shared" si="286"/>
        <v>0</v>
      </c>
      <c r="S2551" s="156">
        <f t="shared" si="287"/>
        <v>0</v>
      </c>
      <c r="T2551" s="133"/>
      <c r="U2551" s="133"/>
      <c r="V2551" s="133"/>
      <c r="W2551" s="133"/>
      <c r="X2551" s="133"/>
      <c r="Y2551" s="133"/>
      <c r="Z2551" s="133"/>
      <c r="AA2551" s="133"/>
      <c r="AB2551" s="133"/>
      <c r="AC2551" s="133"/>
      <c r="AD2551" s="133"/>
      <c r="AE2551" s="133"/>
      <c r="AF2551" s="133"/>
      <c r="AG2551" s="133"/>
      <c r="AH2551" s="133"/>
      <c r="AI2551" s="133"/>
      <c r="AJ2551" s="133"/>
      <c r="AK2551" s="133"/>
      <c r="AL2551" s="133"/>
      <c r="AM2551" s="133"/>
      <c r="AN2551" s="133"/>
      <c r="AO2551" s="133"/>
      <c r="AP2551" s="133"/>
      <c r="AQ2551" s="133"/>
      <c r="AR2551" s="133"/>
      <c r="AS2551" s="153">
        <v>0</v>
      </c>
      <c r="AT2551" s="153">
        <v>0</v>
      </c>
      <c r="AU2551" s="153">
        <v>0</v>
      </c>
      <c r="AV2551" s="135"/>
      <c r="AW2551" s="135"/>
      <c r="AX2551" s="135"/>
      <c r="AY2551" s="135"/>
      <c r="AZ2551" s="135"/>
      <c r="BA2551" s="135"/>
      <c r="BB2551" s="135"/>
      <c r="BC2551" s="135"/>
      <c r="BD2551" s="135"/>
      <c r="BE2551" s="135"/>
      <c r="BF2551" s="135"/>
      <c r="BG2551" s="135"/>
      <c r="BH2551" s="135"/>
      <c r="BI2551" s="2"/>
      <c r="BJ2551" s="136"/>
      <c r="BK2551" s="2"/>
      <c r="BL2551" s="136"/>
      <c r="BM2551" s="136"/>
      <c r="BN2551" s="2"/>
      <c r="BO2551" s="2"/>
      <c r="BP2551" s="136"/>
      <c r="BQ2551" s="137"/>
    </row>
    <row r="2552" spans="1:69" ht="12.75" customHeight="1" x14ac:dyDescent="0.2">
      <c r="A2552" s="2">
        <v>4041</v>
      </c>
      <c r="B2552" s="2"/>
      <c r="C2552" s="2"/>
      <c r="D2552" s="2"/>
      <c r="E2552" s="2"/>
      <c r="F2552" s="132">
        <v>0</v>
      </c>
      <c r="G2552" s="132"/>
      <c r="H2552" s="132">
        <f t="shared" si="290"/>
        <v>0</v>
      </c>
      <c r="I2552" s="132"/>
      <c r="J2552" s="132">
        <f t="shared" si="288"/>
        <v>0</v>
      </c>
      <c r="K2552" s="132">
        <f t="shared" si="291"/>
        <v>0</v>
      </c>
      <c r="L2552" s="132">
        <f t="shared" si="285"/>
        <v>0</v>
      </c>
      <c r="M2552" s="133"/>
      <c r="N2552" s="133">
        <f t="shared" si="289"/>
        <v>0</v>
      </c>
      <c r="O2552" s="134"/>
      <c r="P2552" s="133"/>
      <c r="Q2552" s="2"/>
      <c r="R2552" s="156">
        <f t="shared" si="286"/>
        <v>0</v>
      </c>
      <c r="S2552" s="156">
        <f t="shared" si="287"/>
        <v>0</v>
      </c>
      <c r="T2552" s="133"/>
      <c r="U2552" s="133"/>
      <c r="V2552" s="133"/>
      <c r="W2552" s="133"/>
      <c r="X2552" s="133"/>
      <c r="Y2552" s="133"/>
      <c r="Z2552" s="133"/>
      <c r="AA2552" s="133"/>
      <c r="AB2552" s="133"/>
      <c r="AC2552" s="133"/>
      <c r="AD2552" s="133"/>
      <c r="AE2552" s="133"/>
      <c r="AF2552" s="133"/>
      <c r="AG2552" s="133"/>
      <c r="AH2552" s="133"/>
      <c r="AI2552" s="133"/>
      <c r="AJ2552" s="133"/>
      <c r="AK2552" s="133"/>
      <c r="AL2552" s="133"/>
      <c r="AM2552" s="133"/>
      <c r="AN2552" s="133"/>
      <c r="AO2552" s="133"/>
      <c r="AP2552" s="133"/>
      <c r="AQ2552" s="133"/>
      <c r="AR2552" s="133"/>
      <c r="AS2552" s="153">
        <v>0</v>
      </c>
      <c r="AT2552" s="153">
        <v>0</v>
      </c>
      <c r="AU2552" s="153">
        <v>0</v>
      </c>
      <c r="AV2552" s="135"/>
      <c r="AW2552" s="135"/>
      <c r="AX2552" s="135"/>
      <c r="AY2552" s="135"/>
      <c r="AZ2552" s="135"/>
      <c r="BA2552" s="135"/>
      <c r="BB2552" s="135"/>
      <c r="BC2552" s="135"/>
      <c r="BD2552" s="135"/>
      <c r="BE2552" s="135"/>
      <c r="BF2552" s="135"/>
      <c r="BG2552" s="135"/>
      <c r="BH2552" s="135"/>
      <c r="BI2552" s="2"/>
      <c r="BJ2552" s="136"/>
      <c r="BK2552" s="2"/>
      <c r="BL2552" s="136"/>
      <c r="BM2552" s="136"/>
      <c r="BN2552" s="2"/>
      <c r="BO2552" s="2"/>
      <c r="BP2552" s="136"/>
      <c r="BQ2552" s="137"/>
    </row>
    <row r="2553" spans="1:69" ht="12.75" customHeight="1" x14ac:dyDescent="0.2">
      <c r="A2553" s="2">
        <v>4042</v>
      </c>
      <c r="B2553" s="2"/>
      <c r="C2553" s="2"/>
      <c r="D2553" s="2"/>
      <c r="E2553" s="2"/>
      <c r="F2553" s="132">
        <v>0</v>
      </c>
      <c r="G2553" s="132"/>
      <c r="H2553" s="132">
        <f t="shared" si="290"/>
        <v>0</v>
      </c>
      <c r="I2553" s="132"/>
      <c r="J2553" s="132">
        <f t="shared" si="288"/>
        <v>0</v>
      </c>
      <c r="K2553" s="132">
        <f t="shared" si="291"/>
        <v>0</v>
      </c>
      <c r="L2553" s="132">
        <f t="shared" si="285"/>
        <v>0</v>
      </c>
      <c r="M2553" s="133"/>
      <c r="N2553" s="133">
        <f t="shared" si="289"/>
        <v>0</v>
      </c>
      <c r="O2553" s="134"/>
      <c r="P2553" s="133"/>
      <c r="Q2553" s="2"/>
      <c r="R2553" s="156">
        <f t="shared" si="286"/>
        <v>0</v>
      </c>
      <c r="S2553" s="156">
        <f t="shared" si="287"/>
        <v>0</v>
      </c>
      <c r="T2553" s="133"/>
      <c r="U2553" s="133"/>
      <c r="V2553" s="133"/>
      <c r="W2553" s="133"/>
      <c r="X2553" s="133"/>
      <c r="Y2553" s="133"/>
      <c r="Z2553" s="133"/>
      <c r="AA2553" s="133"/>
      <c r="AB2553" s="133"/>
      <c r="AC2553" s="133"/>
      <c r="AD2553" s="133"/>
      <c r="AE2553" s="133"/>
      <c r="AF2553" s="133"/>
      <c r="AG2553" s="133"/>
      <c r="AH2553" s="133"/>
      <c r="AI2553" s="133"/>
      <c r="AJ2553" s="133"/>
      <c r="AK2553" s="133"/>
      <c r="AL2553" s="133"/>
      <c r="AM2553" s="133"/>
      <c r="AN2553" s="133"/>
      <c r="AO2553" s="133"/>
      <c r="AP2553" s="133"/>
      <c r="AQ2553" s="133"/>
      <c r="AR2553" s="133"/>
      <c r="AS2553" s="153">
        <v>0</v>
      </c>
      <c r="AT2553" s="153">
        <v>0</v>
      </c>
      <c r="AU2553" s="153">
        <v>0</v>
      </c>
      <c r="AV2553" s="135"/>
      <c r="AW2553" s="135"/>
      <c r="AX2553" s="135"/>
      <c r="AY2553" s="135"/>
      <c r="AZ2553" s="135"/>
      <c r="BA2553" s="135"/>
      <c r="BB2553" s="135"/>
      <c r="BC2553" s="135"/>
      <c r="BD2553" s="135"/>
      <c r="BE2553" s="135"/>
      <c r="BF2553" s="135"/>
      <c r="BG2553" s="135"/>
      <c r="BH2553" s="135"/>
      <c r="BI2553" s="2"/>
      <c r="BJ2553" s="136"/>
      <c r="BK2553" s="2"/>
      <c r="BL2553" s="136"/>
      <c r="BM2553" s="136"/>
      <c r="BN2553" s="2"/>
      <c r="BO2553" s="2"/>
      <c r="BP2553" s="136"/>
      <c r="BQ2553" s="137"/>
    </row>
    <row r="2554" spans="1:69" ht="12.75" customHeight="1" x14ac:dyDescent="0.2">
      <c r="A2554" s="2">
        <v>4043</v>
      </c>
      <c r="B2554" s="2"/>
      <c r="C2554" s="2"/>
      <c r="D2554" s="2"/>
      <c r="E2554" s="2"/>
      <c r="F2554" s="132">
        <v>0</v>
      </c>
      <c r="G2554" s="132"/>
      <c r="H2554" s="132">
        <f t="shared" si="290"/>
        <v>0</v>
      </c>
      <c r="I2554" s="132"/>
      <c r="J2554" s="132">
        <f t="shared" si="288"/>
        <v>0</v>
      </c>
      <c r="K2554" s="132">
        <f t="shared" si="291"/>
        <v>0</v>
      </c>
      <c r="L2554" s="132">
        <f t="shared" si="285"/>
        <v>0</v>
      </c>
      <c r="M2554" s="133"/>
      <c r="N2554" s="133">
        <f t="shared" si="289"/>
        <v>0</v>
      </c>
      <c r="O2554" s="134"/>
      <c r="P2554" s="133"/>
      <c r="Q2554" s="2"/>
      <c r="R2554" s="156">
        <f t="shared" si="286"/>
        <v>0</v>
      </c>
      <c r="S2554" s="156">
        <f t="shared" si="287"/>
        <v>0</v>
      </c>
      <c r="T2554" s="133"/>
      <c r="U2554" s="133"/>
      <c r="V2554" s="133"/>
      <c r="W2554" s="133"/>
      <c r="X2554" s="133"/>
      <c r="Y2554" s="133"/>
      <c r="Z2554" s="133"/>
      <c r="AA2554" s="133"/>
      <c r="AB2554" s="133"/>
      <c r="AC2554" s="133"/>
      <c r="AD2554" s="133"/>
      <c r="AE2554" s="133"/>
      <c r="AF2554" s="133"/>
      <c r="AG2554" s="133"/>
      <c r="AH2554" s="133"/>
      <c r="AI2554" s="133"/>
      <c r="AJ2554" s="133"/>
      <c r="AK2554" s="133"/>
      <c r="AL2554" s="133"/>
      <c r="AM2554" s="133"/>
      <c r="AN2554" s="133"/>
      <c r="AO2554" s="133"/>
      <c r="AP2554" s="133"/>
      <c r="AQ2554" s="133"/>
      <c r="AR2554" s="133"/>
      <c r="AS2554" s="153">
        <v>0</v>
      </c>
      <c r="AT2554" s="153">
        <v>0</v>
      </c>
      <c r="AU2554" s="153">
        <v>0</v>
      </c>
      <c r="AV2554" s="135"/>
      <c r="AW2554" s="135"/>
      <c r="AX2554" s="135"/>
      <c r="AY2554" s="135"/>
      <c r="AZ2554" s="135"/>
      <c r="BA2554" s="135"/>
      <c r="BB2554" s="135"/>
      <c r="BC2554" s="135"/>
      <c r="BD2554" s="135"/>
      <c r="BE2554" s="135"/>
      <c r="BF2554" s="135"/>
      <c r="BG2554" s="135"/>
      <c r="BH2554" s="135"/>
      <c r="BI2554" s="2"/>
      <c r="BJ2554" s="136"/>
      <c r="BK2554" s="2"/>
      <c r="BL2554" s="136"/>
      <c r="BM2554" s="136"/>
      <c r="BN2554" s="2"/>
      <c r="BO2554" s="2"/>
      <c r="BP2554" s="136"/>
      <c r="BQ2554" s="137"/>
    </row>
    <row r="2555" spans="1:69" ht="12.75" customHeight="1" x14ac:dyDescent="0.2">
      <c r="A2555" s="2">
        <v>4044</v>
      </c>
      <c r="B2555" s="2"/>
      <c r="C2555" s="2"/>
      <c r="D2555" s="2"/>
      <c r="E2555" s="2"/>
      <c r="F2555" s="132">
        <v>0</v>
      </c>
      <c r="G2555" s="132"/>
      <c r="H2555" s="132">
        <f t="shared" si="290"/>
        <v>0</v>
      </c>
      <c r="I2555" s="132"/>
      <c r="J2555" s="132">
        <f t="shared" si="288"/>
        <v>0</v>
      </c>
      <c r="K2555" s="132">
        <f t="shared" si="291"/>
        <v>0</v>
      </c>
      <c r="L2555" s="132">
        <f t="shared" si="285"/>
        <v>0</v>
      </c>
      <c r="M2555" s="133"/>
      <c r="N2555" s="133">
        <f t="shared" si="289"/>
        <v>0</v>
      </c>
      <c r="O2555" s="134"/>
      <c r="P2555" s="133"/>
      <c r="Q2555" s="2"/>
      <c r="R2555" s="156">
        <f t="shared" si="286"/>
        <v>0</v>
      </c>
      <c r="S2555" s="156">
        <f t="shared" si="287"/>
        <v>0</v>
      </c>
      <c r="T2555" s="133"/>
      <c r="U2555" s="133"/>
      <c r="V2555" s="133"/>
      <c r="W2555" s="133"/>
      <c r="X2555" s="133"/>
      <c r="Y2555" s="133"/>
      <c r="Z2555" s="133"/>
      <c r="AA2555" s="133"/>
      <c r="AB2555" s="133"/>
      <c r="AC2555" s="133"/>
      <c r="AD2555" s="133"/>
      <c r="AE2555" s="133"/>
      <c r="AF2555" s="133"/>
      <c r="AG2555" s="133"/>
      <c r="AH2555" s="133"/>
      <c r="AI2555" s="133"/>
      <c r="AJ2555" s="133"/>
      <c r="AK2555" s="133"/>
      <c r="AL2555" s="133"/>
      <c r="AM2555" s="133"/>
      <c r="AN2555" s="133"/>
      <c r="AO2555" s="133"/>
      <c r="AP2555" s="133"/>
      <c r="AQ2555" s="133"/>
      <c r="AR2555" s="133"/>
      <c r="AS2555" s="153">
        <v>0</v>
      </c>
      <c r="AT2555" s="153">
        <v>0</v>
      </c>
      <c r="AU2555" s="153">
        <v>0</v>
      </c>
      <c r="AV2555" s="135"/>
      <c r="AW2555" s="135"/>
      <c r="AX2555" s="135"/>
      <c r="AY2555" s="135"/>
      <c r="AZ2555" s="135"/>
      <c r="BA2555" s="135"/>
      <c r="BB2555" s="135"/>
      <c r="BC2555" s="135"/>
      <c r="BD2555" s="135"/>
      <c r="BE2555" s="135"/>
      <c r="BF2555" s="135"/>
      <c r="BG2555" s="135"/>
      <c r="BH2555" s="135"/>
      <c r="BI2555" s="2"/>
      <c r="BJ2555" s="136"/>
      <c r="BK2555" s="2"/>
      <c r="BL2555" s="136"/>
      <c r="BM2555" s="136"/>
      <c r="BN2555" s="2"/>
      <c r="BO2555" s="2"/>
      <c r="BP2555" s="136"/>
      <c r="BQ2555" s="137"/>
    </row>
    <row r="2556" spans="1:69" ht="12.75" customHeight="1" x14ac:dyDescent="0.2">
      <c r="A2556" s="2">
        <v>4045</v>
      </c>
      <c r="B2556" s="2"/>
      <c r="C2556" s="2"/>
      <c r="D2556" s="2"/>
      <c r="E2556" s="2"/>
      <c r="F2556" s="132">
        <v>0</v>
      </c>
      <c r="G2556" s="132"/>
      <c r="H2556" s="132">
        <f t="shared" si="290"/>
        <v>0</v>
      </c>
      <c r="I2556" s="132"/>
      <c r="J2556" s="132">
        <f t="shared" si="288"/>
        <v>0</v>
      </c>
      <c r="K2556" s="132">
        <f t="shared" si="291"/>
        <v>0</v>
      </c>
      <c r="L2556" s="132">
        <f t="shared" si="285"/>
        <v>0</v>
      </c>
      <c r="M2556" s="133"/>
      <c r="N2556" s="133">
        <f t="shared" si="289"/>
        <v>0</v>
      </c>
      <c r="O2556" s="134"/>
      <c r="P2556" s="133"/>
      <c r="Q2556" s="2"/>
      <c r="R2556" s="156">
        <f t="shared" si="286"/>
        <v>0</v>
      </c>
      <c r="S2556" s="156">
        <f t="shared" si="287"/>
        <v>0</v>
      </c>
      <c r="T2556" s="133"/>
      <c r="U2556" s="133"/>
      <c r="V2556" s="133"/>
      <c r="W2556" s="133"/>
      <c r="X2556" s="133"/>
      <c r="Y2556" s="133"/>
      <c r="Z2556" s="133"/>
      <c r="AA2556" s="133"/>
      <c r="AB2556" s="133"/>
      <c r="AC2556" s="133"/>
      <c r="AD2556" s="133"/>
      <c r="AE2556" s="133"/>
      <c r="AF2556" s="133"/>
      <c r="AG2556" s="133"/>
      <c r="AH2556" s="133"/>
      <c r="AI2556" s="133"/>
      <c r="AJ2556" s="133"/>
      <c r="AK2556" s="133"/>
      <c r="AL2556" s="133"/>
      <c r="AM2556" s="133"/>
      <c r="AN2556" s="133"/>
      <c r="AO2556" s="133"/>
      <c r="AP2556" s="133"/>
      <c r="AQ2556" s="133"/>
      <c r="AR2556" s="133"/>
      <c r="AS2556" s="153">
        <v>0</v>
      </c>
      <c r="AT2556" s="153">
        <v>0</v>
      </c>
      <c r="AU2556" s="153">
        <v>0</v>
      </c>
      <c r="AV2556" s="135"/>
      <c r="AW2556" s="135"/>
      <c r="AX2556" s="135"/>
      <c r="AY2556" s="135"/>
      <c r="AZ2556" s="135"/>
      <c r="BA2556" s="135"/>
      <c r="BB2556" s="135"/>
      <c r="BC2556" s="135"/>
      <c r="BD2556" s="135"/>
      <c r="BE2556" s="135"/>
      <c r="BF2556" s="135"/>
      <c r="BG2556" s="135"/>
      <c r="BH2556" s="135"/>
      <c r="BI2556" s="2"/>
      <c r="BJ2556" s="136"/>
      <c r="BK2556" s="2"/>
      <c r="BL2556" s="136"/>
      <c r="BM2556" s="136"/>
      <c r="BN2556" s="2"/>
      <c r="BO2556" s="2"/>
      <c r="BP2556" s="136"/>
      <c r="BQ2556" s="137"/>
    </row>
    <row r="2557" spans="1:69" ht="12.75" customHeight="1" x14ac:dyDescent="0.2">
      <c r="A2557" s="2">
        <v>4046</v>
      </c>
      <c r="B2557" s="2"/>
      <c r="C2557" s="2"/>
      <c r="D2557" s="2"/>
      <c r="E2557" s="2"/>
      <c r="F2557" s="132">
        <v>0</v>
      </c>
      <c r="G2557" s="132"/>
      <c r="H2557" s="132">
        <f t="shared" si="290"/>
        <v>0</v>
      </c>
      <c r="I2557" s="132"/>
      <c r="J2557" s="132">
        <f t="shared" si="288"/>
        <v>0</v>
      </c>
      <c r="K2557" s="132">
        <f t="shared" si="291"/>
        <v>0</v>
      </c>
      <c r="L2557" s="132">
        <f t="shared" si="285"/>
        <v>0</v>
      </c>
      <c r="M2557" s="133"/>
      <c r="N2557" s="133">
        <f t="shared" si="289"/>
        <v>0</v>
      </c>
      <c r="O2557" s="134"/>
      <c r="P2557" s="133"/>
      <c r="Q2557" s="2"/>
      <c r="R2557" s="156">
        <f t="shared" si="286"/>
        <v>0</v>
      </c>
      <c r="S2557" s="156">
        <f t="shared" si="287"/>
        <v>0</v>
      </c>
      <c r="T2557" s="133"/>
      <c r="U2557" s="133"/>
      <c r="V2557" s="133"/>
      <c r="W2557" s="133"/>
      <c r="X2557" s="133"/>
      <c r="Y2557" s="133"/>
      <c r="Z2557" s="133"/>
      <c r="AA2557" s="133"/>
      <c r="AB2557" s="133"/>
      <c r="AC2557" s="133"/>
      <c r="AD2557" s="133"/>
      <c r="AE2557" s="133"/>
      <c r="AF2557" s="133"/>
      <c r="AG2557" s="133"/>
      <c r="AH2557" s="133"/>
      <c r="AI2557" s="133"/>
      <c r="AJ2557" s="133"/>
      <c r="AK2557" s="133"/>
      <c r="AL2557" s="133"/>
      <c r="AM2557" s="133"/>
      <c r="AN2557" s="133"/>
      <c r="AO2557" s="133"/>
      <c r="AP2557" s="133"/>
      <c r="AQ2557" s="133"/>
      <c r="AR2557" s="133"/>
      <c r="AS2557" s="153">
        <v>0</v>
      </c>
      <c r="AT2557" s="153">
        <v>0</v>
      </c>
      <c r="AU2557" s="153">
        <v>0</v>
      </c>
      <c r="AV2557" s="135"/>
      <c r="AW2557" s="135"/>
      <c r="AX2557" s="135"/>
      <c r="AY2557" s="135"/>
      <c r="AZ2557" s="135"/>
      <c r="BA2557" s="135"/>
      <c r="BB2557" s="135"/>
      <c r="BC2557" s="135"/>
      <c r="BD2557" s="135"/>
      <c r="BE2557" s="135"/>
      <c r="BF2557" s="135"/>
      <c r="BG2557" s="135"/>
      <c r="BH2557" s="135"/>
      <c r="BI2557" s="2"/>
      <c r="BJ2557" s="136"/>
      <c r="BK2557" s="2"/>
      <c r="BL2557" s="136"/>
      <c r="BM2557" s="136"/>
      <c r="BN2557" s="2"/>
      <c r="BO2557" s="2"/>
      <c r="BP2557" s="136"/>
      <c r="BQ2557" s="137"/>
    </row>
    <row r="2558" spans="1:69" ht="12.75" customHeight="1" x14ac:dyDescent="0.2">
      <c r="A2558" s="2">
        <v>4047</v>
      </c>
      <c r="B2558" s="2"/>
      <c r="C2558" s="2"/>
      <c r="D2558" s="2"/>
      <c r="E2558" s="2"/>
      <c r="F2558" s="132">
        <v>0</v>
      </c>
      <c r="G2558" s="132"/>
      <c r="H2558" s="132">
        <f t="shared" si="290"/>
        <v>0</v>
      </c>
      <c r="I2558" s="132"/>
      <c r="J2558" s="132">
        <f t="shared" si="288"/>
        <v>0</v>
      </c>
      <c r="K2558" s="132">
        <f t="shared" si="291"/>
        <v>0</v>
      </c>
      <c r="L2558" s="132">
        <f t="shared" si="285"/>
        <v>0</v>
      </c>
      <c r="M2558" s="133"/>
      <c r="N2558" s="133">
        <f t="shared" si="289"/>
        <v>0</v>
      </c>
      <c r="O2558" s="134"/>
      <c r="P2558" s="133"/>
      <c r="Q2558" s="2"/>
      <c r="R2558" s="156">
        <f t="shared" si="286"/>
        <v>0</v>
      </c>
      <c r="S2558" s="156">
        <f t="shared" si="287"/>
        <v>0</v>
      </c>
      <c r="T2558" s="133"/>
      <c r="U2558" s="133"/>
      <c r="V2558" s="133"/>
      <c r="W2558" s="133"/>
      <c r="X2558" s="133"/>
      <c r="Y2558" s="133"/>
      <c r="Z2558" s="133"/>
      <c r="AA2558" s="133"/>
      <c r="AB2558" s="133"/>
      <c r="AC2558" s="133"/>
      <c r="AD2558" s="133"/>
      <c r="AE2558" s="133"/>
      <c r="AF2558" s="133"/>
      <c r="AG2558" s="133"/>
      <c r="AH2558" s="133"/>
      <c r="AI2558" s="133"/>
      <c r="AJ2558" s="133"/>
      <c r="AK2558" s="133"/>
      <c r="AL2558" s="133"/>
      <c r="AM2558" s="133"/>
      <c r="AN2558" s="133"/>
      <c r="AO2558" s="133"/>
      <c r="AP2558" s="133"/>
      <c r="AQ2558" s="133"/>
      <c r="AR2558" s="133"/>
      <c r="AS2558" s="153">
        <v>0</v>
      </c>
      <c r="AT2558" s="153">
        <v>0</v>
      </c>
      <c r="AU2558" s="153">
        <v>0</v>
      </c>
      <c r="AV2558" s="135"/>
      <c r="AW2558" s="135"/>
      <c r="AX2558" s="135"/>
      <c r="AY2558" s="135"/>
      <c r="AZ2558" s="135"/>
      <c r="BA2558" s="135"/>
      <c r="BB2558" s="135"/>
      <c r="BC2558" s="135"/>
      <c r="BD2558" s="135"/>
      <c r="BE2558" s="135"/>
      <c r="BF2558" s="135"/>
      <c r="BG2558" s="135"/>
      <c r="BH2558" s="135"/>
      <c r="BI2558" s="2"/>
      <c r="BJ2558" s="136"/>
      <c r="BK2558" s="2"/>
      <c r="BL2558" s="136"/>
      <c r="BM2558" s="136"/>
      <c r="BN2558" s="2"/>
      <c r="BO2558" s="2"/>
      <c r="BP2558" s="136"/>
      <c r="BQ2558" s="137"/>
    </row>
    <row r="2559" spans="1:69" ht="12.75" customHeight="1" x14ac:dyDescent="0.2">
      <c r="A2559" s="2">
        <v>4048</v>
      </c>
      <c r="B2559" s="2"/>
      <c r="C2559" s="2"/>
      <c r="D2559" s="2"/>
      <c r="E2559" s="2"/>
      <c r="F2559" s="132">
        <v>0</v>
      </c>
      <c r="G2559" s="132"/>
      <c r="H2559" s="132">
        <f t="shared" si="290"/>
        <v>0</v>
      </c>
      <c r="I2559" s="132"/>
      <c r="J2559" s="132">
        <f t="shared" si="288"/>
        <v>0</v>
      </c>
      <c r="K2559" s="132">
        <f t="shared" si="291"/>
        <v>0</v>
      </c>
      <c r="L2559" s="132">
        <f t="shared" si="285"/>
        <v>0</v>
      </c>
      <c r="M2559" s="133"/>
      <c r="N2559" s="133">
        <f t="shared" si="289"/>
        <v>0</v>
      </c>
      <c r="O2559" s="134"/>
      <c r="P2559" s="133"/>
      <c r="Q2559" s="2"/>
      <c r="R2559" s="156">
        <f t="shared" si="286"/>
        <v>0</v>
      </c>
      <c r="S2559" s="156">
        <f t="shared" si="287"/>
        <v>0</v>
      </c>
      <c r="T2559" s="133"/>
      <c r="U2559" s="133"/>
      <c r="V2559" s="133"/>
      <c r="W2559" s="133"/>
      <c r="X2559" s="133"/>
      <c r="Y2559" s="133"/>
      <c r="Z2559" s="133"/>
      <c r="AA2559" s="133"/>
      <c r="AB2559" s="133"/>
      <c r="AC2559" s="133"/>
      <c r="AD2559" s="133"/>
      <c r="AE2559" s="133"/>
      <c r="AF2559" s="133"/>
      <c r="AG2559" s="133"/>
      <c r="AH2559" s="133"/>
      <c r="AI2559" s="133"/>
      <c r="AJ2559" s="133"/>
      <c r="AK2559" s="133"/>
      <c r="AL2559" s="133"/>
      <c r="AM2559" s="133"/>
      <c r="AN2559" s="133"/>
      <c r="AO2559" s="133"/>
      <c r="AP2559" s="133"/>
      <c r="AQ2559" s="133"/>
      <c r="AR2559" s="133"/>
      <c r="AS2559" s="153">
        <v>0</v>
      </c>
      <c r="AT2559" s="153">
        <v>0</v>
      </c>
      <c r="AU2559" s="153">
        <v>0</v>
      </c>
      <c r="AV2559" s="135"/>
      <c r="AW2559" s="135"/>
      <c r="AX2559" s="135"/>
      <c r="AY2559" s="135"/>
      <c r="AZ2559" s="135"/>
      <c r="BA2559" s="135"/>
      <c r="BB2559" s="135"/>
      <c r="BC2559" s="135"/>
      <c r="BD2559" s="135"/>
      <c r="BE2559" s="135"/>
      <c r="BF2559" s="135"/>
      <c r="BG2559" s="135"/>
      <c r="BH2559" s="135"/>
      <c r="BI2559" s="2"/>
      <c r="BJ2559" s="136"/>
      <c r="BK2559" s="2"/>
      <c r="BL2559" s="136"/>
      <c r="BM2559" s="136"/>
      <c r="BN2559" s="2"/>
      <c r="BO2559" s="2"/>
      <c r="BP2559" s="136"/>
      <c r="BQ2559" s="137"/>
    </row>
    <row r="2560" spans="1:69" ht="12.75" customHeight="1" x14ac:dyDescent="0.2">
      <c r="A2560" s="2">
        <v>4049</v>
      </c>
      <c r="B2560" s="2"/>
      <c r="C2560" s="2"/>
      <c r="D2560" s="2"/>
      <c r="E2560" s="2"/>
      <c r="F2560" s="132">
        <v>0</v>
      </c>
      <c r="G2560" s="132"/>
      <c r="H2560" s="132">
        <f t="shared" si="290"/>
        <v>0</v>
      </c>
      <c r="I2560" s="132"/>
      <c r="J2560" s="132">
        <f t="shared" si="288"/>
        <v>0</v>
      </c>
      <c r="K2560" s="132">
        <f t="shared" si="291"/>
        <v>0</v>
      </c>
      <c r="L2560" s="132">
        <f t="shared" si="285"/>
        <v>0</v>
      </c>
      <c r="M2560" s="133"/>
      <c r="N2560" s="133">
        <f t="shared" si="289"/>
        <v>0</v>
      </c>
      <c r="O2560" s="134"/>
      <c r="P2560" s="133"/>
      <c r="Q2560" s="2"/>
      <c r="R2560" s="156">
        <f t="shared" si="286"/>
        <v>0</v>
      </c>
      <c r="S2560" s="156">
        <f t="shared" si="287"/>
        <v>0</v>
      </c>
      <c r="T2560" s="133"/>
      <c r="U2560" s="133"/>
      <c r="V2560" s="133"/>
      <c r="W2560" s="133"/>
      <c r="X2560" s="133"/>
      <c r="Y2560" s="133"/>
      <c r="Z2560" s="133"/>
      <c r="AA2560" s="133"/>
      <c r="AB2560" s="133"/>
      <c r="AC2560" s="133"/>
      <c r="AD2560" s="133"/>
      <c r="AE2560" s="133"/>
      <c r="AF2560" s="133"/>
      <c r="AG2560" s="133"/>
      <c r="AH2560" s="133"/>
      <c r="AI2560" s="133"/>
      <c r="AJ2560" s="133"/>
      <c r="AK2560" s="133"/>
      <c r="AL2560" s="133"/>
      <c r="AM2560" s="133"/>
      <c r="AN2560" s="133"/>
      <c r="AO2560" s="133"/>
      <c r="AP2560" s="133"/>
      <c r="AQ2560" s="133"/>
      <c r="AR2560" s="133"/>
      <c r="AS2560" s="153">
        <v>0</v>
      </c>
      <c r="AT2560" s="153">
        <v>0</v>
      </c>
      <c r="AU2560" s="153">
        <v>0</v>
      </c>
      <c r="AV2560" s="135"/>
      <c r="AW2560" s="135"/>
      <c r="AX2560" s="135"/>
      <c r="AY2560" s="135"/>
      <c r="AZ2560" s="135"/>
      <c r="BA2560" s="135"/>
      <c r="BB2560" s="135"/>
      <c r="BC2560" s="135"/>
      <c r="BD2560" s="135"/>
      <c r="BE2560" s="135"/>
      <c r="BF2560" s="135"/>
      <c r="BG2560" s="135"/>
      <c r="BH2560" s="135"/>
      <c r="BI2560" s="2"/>
      <c r="BJ2560" s="136"/>
      <c r="BK2560" s="2"/>
      <c r="BL2560" s="136"/>
      <c r="BM2560" s="136"/>
      <c r="BN2560" s="2"/>
      <c r="BO2560" s="2"/>
      <c r="BP2560" s="136"/>
      <c r="BQ2560" s="137"/>
    </row>
    <row r="2561" spans="1:69" ht="12.75" customHeight="1" x14ac:dyDescent="0.2">
      <c r="A2561" s="2">
        <v>4050</v>
      </c>
      <c r="B2561" s="2"/>
      <c r="C2561" s="2"/>
      <c r="D2561" s="2"/>
      <c r="E2561" s="2"/>
      <c r="F2561" s="132">
        <v>0</v>
      </c>
      <c r="G2561" s="132"/>
      <c r="H2561" s="132">
        <f t="shared" si="290"/>
        <v>0</v>
      </c>
      <c r="I2561" s="132"/>
      <c r="J2561" s="132">
        <f t="shared" si="288"/>
        <v>0</v>
      </c>
      <c r="K2561" s="132">
        <f t="shared" si="291"/>
        <v>0</v>
      </c>
      <c r="L2561" s="132">
        <f t="shared" si="285"/>
        <v>0</v>
      </c>
      <c r="M2561" s="133"/>
      <c r="N2561" s="133">
        <f t="shared" si="289"/>
        <v>0</v>
      </c>
      <c r="O2561" s="134"/>
      <c r="P2561" s="133"/>
      <c r="Q2561" s="2"/>
      <c r="R2561" s="156">
        <f t="shared" si="286"/>
        <v>0</v>
      </c>
      <c r="S2561" s="156">
        <f t="shared" si="287"/>
        <v>0</v>
      </c>
      <c r="T2561" s="133"/>
      <c r="U2561" s="133"/>
      <c r="V2561" s="133"/>
      <c r="W2561" s="133"/>
      <c r="X2561" s="133"/>
      <c r="Y2561" s="133"/>
      <c r="Z2561" s="133"/>
      <c r="AA2561" s="133"/>
      <c r="AB2561" s="133"/>
      <c r="AC2561" s="133"/>
      <c r="AD2561" s="133"/>
      <c r="AE2561" s="133"/>
      <c r="AF2561" s="133"/>
      <c r="AG2561" s="133"/>
      <c r="AH2561" s="133"/>
      <c r="AI2561" s="133"/>
      <c r="AJ2561" s="133"/>
      <c r="AK2561" s="133"/>
      <c r="AL2561" s="133"/>
      <c r="AM2561" s="133"/>
      <c r="AN2561" s="133"/>
      <c r="AO2561" s="133"/>
      <c r="AP2561" s="133"/>
      <c r="AQ2561" s="133"/>
      <c r="AR2561" s="133"/>
      <c r="AS2561" s="153">
        <v>0</v>
      </c>
      <c r="AT2561" s="153">
        <v>0</v>
      </c>
      <c r="AU2561" s="153">
        <v>0</v>
      </c>
      <c r="AV2561" s="135"/>
      <c r="AW2561" s="135"/>
      <c r="AX2561" s="135"/>
      <c r="AY2561" s="135"/>
      <c r="AZ2561" s="135"/>
      <c r="BA2561" s="135"/>
      <c r="BB2561" s="135"/>
      <c r="BC2561" s="135"/>
      <c r="BD2561" s="135"/>
      <c r="BE2561" s="135"/>
      <c r="BF2561" s="135"/>
      <c r="BG2561" s="135"/>
      <c r="BH2561" s="135"/>
      <c r="BI2561" s="2"/>
      <c r="BJ2561" s="136"/>
      <c r="BK2561" s="2"/>
      <c r="BL2561" s="136"/>
      <c r="BM2561" s="136"/>
      <c r="BN2561" s="2"/>
      <c r="BO2561" s="2"/>
      <c r="BP2561" s="136"/>
      <c r="BQ2561" s="137"/>
    </row>
    <row r="2562" spans="1:69" ht="12.75" customHeight="1" x14ac:dyDescent="0.2">
      <c r="A2562" s="2">
        <v>4051</v>
      </c>
      <c r="B2562" s="2"/>
      <c r="C2562" s="2"/>
      <c r="D2562" s="2"/>
      <c r="E2562" s="2"/>
      <c r="F2562" s="132">
        <v>0</v>
      </c>
      <c r="G2562" s="132"/>
      <c r="H2562" s="132">
        <f t="shared" si="290"/>
        <v>0</v>
      </c>
      <c r="I2562" s="132"/>
      <c r="J2562" s="132">
        <f t="shared" si="288"/>
        <v>0</v>
      </c>
      <c r="K2562" s="132">
        <f t="shared" si="291"/>
        <v>0</v>
      </c>
      <c r="L2562" s="132">
        <f t="shared" si="285"/>
        <v>0</v>
      </c>
      <c r="M2562" s="133"/>
      <c r="N2562" s="133">
        <f t="shared" si="289"/>
        <v>0</v>
      </c>
      <c r="O2562" s="134"/>
      <c r="P2562" s="133"/>
      <c r="Q2562" s="2"/>
      <c r="R2562" s="156">
        <f t="shared" si="286"/>
        <v>0</v>
      </c>
      <c r="S2562" s="156">
        <f t="shared" si="287"/>
        <v>0</v>
      </c>
      <c r="T2562" s="133"/>
      <c r="U2562" s="133"/>
      <c r="V2562" s="133"/>
      <c r="W2562" s="133"/>
      <c r="X2562" s="133"/>
      <c r="Y2562" s="133"/>
      <c r="Z2562" s="133"/>
      <c r="AA2562" s="133"/>
      <c r="AB2562" s="133"/>
      <c r="AC2562" s="133"/>
      <c r="AD2562" s="133"/>
      <c r="AE2562" s="133"/>
      <c r="AF2562" s="133"/>
      <c r="AG2562" s="133"/>
      <c r="AH2562" s="133"/>
      <c r="AI2562" s="133"/>
      <c r="AJ2562" s="133"/>
      <c r="AK2562" s="133"/>
      <c r="AL2562" s="133"/>
      <c r="AM2562" s="133"/>
      <c r="AN2562" s="133"/>
      <c r="AO2562" s="133"/>
      <c r="AP2562" s="133"/>
      <c r="AQ2562" s="133"/>
      <c r="AR2562" s="133"/>
      <c r="AS2562" s="153">
        <v>0</v>
      </c>
      <c r="AT2562" s="153">
        <v>0</v>
      </c>
      <c r="AU2562" s="153">
        <v>0</v>
      </c>
      <c r="AV2562" s="135"/>
      <c r="AW2562" s="135"/>
      <c r="AX2562" s="135"/>
      <c r="AY2562" s="135"/>
      <c r="AZ2562" s="135"/>
      <c r="BA2562" s="135"/>
      <c r="BB2562" s="135"/>
      <c r="BC2562" s="135"/>
      <c r="BD2562" s="135"/>
      <c r="BE2562" s="135"/>
      <c r="BF2562" s="135"/>
      <c r="BG2562" s="135"/>
      <c r="BH2562" s="135"/>
      <c r="BI2562" s="2"/>
      <c r="BJ2562" s="136"/>
      <c r="BK2562" s="2"/>
      <c r="BL2562" s="136"/>
      <c r="BM2562" s="136"/>
      <c r="BN2562" s="2"/>
      <c r="BO2562" s="2"/>
      <c r="BP2562" s="136"/>
      <c r="BQ2562" s="137"/>
    </row>
    <row r="2563" spans="1:69" ht="12.75" customHeight="1" x14ac:dyDescent="0.2">
      <c r="A2563" s="2">
        <v>4052</v>
      </c>
      <c r="B2563" s="2"/>
      <c r="C2563" s="2"/>
      <c r="D2563" s="2"/>
      <c r="E2563" s="2"/>
      <c r="F2563" s="132">
        <v>0</v>
      </c>
      <c r="G2563" s="132"/>
      <c r="H2563" s="132">
        <f t="shared" si="290"/>
        <v>0</v>
      </c>
      <c r="I2563" s="132"/>
      <c r="J2563" s="132">
        <f t="shared" si="288"/>
        <v>0</v>
      </c>
      <c r="K2563" s="132">
        <f t="shared" si="291"/>
        <v>0</v>
      </c>
      <c r="L2563" s="132">
        <f t="shared" si="285"/>
        <v>0</v>
      </c>
      <c r="M2563" s="133"/>
      <c r="N2563" s="133">
        <f t="shared" si="289"/>
        <v>0</v>
      </c>
      <c r="O2563" s="134"/>
      <c r="P2563" s="133"/>
      <c r="Q2563" s="2"/>
      <c r="R2563" s="156">
        <f t="shared" si="286"/>
        <v>0</v>
      </c>
      <c r="S2563" s="156">
        <f t="shared" si="287"/>
        <v>0</v>
      </c>
      <c r="T2563" s="133"/>
      <c r="U2563" s="133"/>
      <c r="V2563" s="133"/>
      <c r="W2563" s="133"/>
      <c r="X2563" s="133"/>
      <c r="Y2563" s="133"/>
      <c r="Z2563" s="133"/>
      <c r="AA2563" s="133"/>
      <c r="AB2563" s="133"/>
      <c r="AC2563" s="133"/>
      <c r="AD2563" s="133"/>
      <c r="AE2563" s="133"/>
      <c r="AF2563" s="133"/>
      <c r="AG2563" s="133"/>
      <c r="AH2563" s="133"/>
      <c r="AI2563" s="133"/>
      <c r="AJ2563" s="133"/>
      <c r="AK2563" s="133"/>
      <c r="AL2563" s="133"/>
      <c r="AM2563" s="133"/>
      <c r="AN2563" s="133"/>
      <c r="AO2563" s="133"/>
      <c r="AP2563" s="133"/>
      <c r="AQ2563" s="133"/>
      <c r="AR2563" s="133"/>
      <c r="AS2563" s="153">
        <v>0</v>
      </c>
      <c r="AT2563" s="153">
        <v>0</v>
      </c>
      <c r="AU2563" s="153">
        <v>0</v>
      </c>
      <c r="AV2563" s="135"/>
      <c r="AW2563" s="135"/>
      <c r="AX2563" s="135"/>
      <c r="AY2563" s="135"/>
      <c r="AZ2563" s="135"/>
      <c r="BA2563" s="135"/>
      <c r="BB2563" s="135"/>
      <c r="BC2563" s="135"/>
      <c r="BD2563" s="135"/>
      <c r="BE2563" s="135"/>
      <c r="BF2563" s="135"/>
      <c r="BG2563" s="135"/>
      <c r="BH2563" s="135"/>
      <c r="BI2563" s="2"/>
      <c r="BJ2563" s="136"/>
      <c r="BK2563" s="2"/>
      <c r="BL2563" s="136"/>
      <c r="BM2563" s="136"/>
      <c r="BN2563" s="2"/>
      <c r="BO2563" s="2"/>
      <c r="BP2563" s="136"/>
      <c r="BQ2563" s="137"/>
    </row>
    <row r="2564" spans="1:69" ht="12.75" customHeight="1" x14ac:dyDescent="0.2">
      <c r="A2564" s="2">
        <v>4053</v>
      </c>
      <c r="B2564" s="2"/>
      <c r="C2564" s="2"/>
      <c r="D2564" s="2"/>
      <c r="E2564" s="2"/>
      <c r="F2564" s="132">
        <v>0</v>
      </c>
      <c r="G2564" s="132"/>
      <c r="H2564" s="132">
        <f t="shared" si="290"/>
        <v>0</v>
      </c>
      <c r="I2564" s="132"/>
      <c r="J2564" s="132">
        <f t="shared" si="288"/>
        <v>0</v>
      </c>
      <c r="K2564" s="132">
        <f t="shared" si="291"/>
        <v>0</v>
      </c>
      <c r="L2564" s="132">
        <f t="shared" si="285"/>
        <v>0</v>
      </c>
      <c r="M2564" s="133"/>
      <c r="N2564" s="133">
        <f t="shared" si="289"/>
        <v>0</v>
      </c>
      <c r="O2564" s="134"/>
      <c r="P2564" s="133"/>
      <c r="Q2564" s="2"/>
      <c r="R2564" s="156">
        <f t="shared" si="286"/>
        <v>0</v>
      </c>
      <c r="S2564" s="156">
        <f t="shared" si="287"/>
        <v>0</v>
      </c>
      <c r="T2564" s="133"/>
      <c r="U2564" s="133"/>
      <c r="V2564" s="133"/>
      <c r="W2564" s="133"/>
      <c r="X2564" s="133"/>
      <c r="Y2564" s="133"/>
      <c r="Z2564" s="133"/>
      <c r="AA2564" s="133"/>
      <c r="AB2564" s="133"/>
      <c r="AC2564" s="133"/>
      <c r="AD2564" s="133"/>
      <c r="AE2564" s="133"/>
      <c r="AF2564" s="133"/>
      <c r="AG2564" s="133"/>
      <c r="AH2564" s="133"/>
      <c r="AI2564" s="133"/>
      <c r="AJ2564" s="133"/>
      <c r="AK2564" s="133"/>
      <c r="AL2564" s="133"/>
      <c r="AM2564" s="133"/>
      <c r="AN2564" s="133"/>
      <c r="AO2564" s="133"/>
      <c r="AP2564" s="133"/>
      <c r="AQ2564" s="133"/>
      <c r="AR2564" s="133"/>
      <c r="AS2564" s="153">
        <v>0</v>
      </c>
      <c r="AT2564" s="153">
        <v>0</v>
      </c>
      <c r="AU2564" s="153">
        <v>0</v>
      </c>
      <c r="AV2564" s="135"/>
      <c r="AW2564" s="135"/>
      <c r="AX2564" s="135"/>
      <c r="AY2564" s="135"/>
      <c r="AZ2564" s="135"/>
      <c r="BA2564" s="135"/>
      <c r="BB2564" s="135"/>
      <c r="BC2564" s="135"/>
      <c r="BD2564" s="135"/>
      <c r="BE2564" s="135"/>
      <c r="BF2564" s="135"/>
      <c r="BG2564" s="135"/>
      <c r="BH2564" s="135"/>
      <c r="BI2564" s="2"/>
      <c r="BJ2564" s="136"/>
      <c r="BK2564" s="2"/>
      <c r="BL2564" s="136"/>
      <c r="BM2564" s="136"/>
      <c r="BN2564" s="2"/>
      <c r="BO2564" s="2"/>
      <c r="BP2564" s="136"/>
      <c r="BQ2564" s="137"/>
    </row>
    <row r="2565" spans="1:69" ht="12.75" customHeight="1" x14ac:dyDescent="0.2">
      <c r="A2565" s="2">
        <v>4054</v>
      </c>
      <c r="B2565" s="2"/>
      <c r="C2565" s="2"/>
      <c r="D2565" s="2"/>
      <c r="E2565" s="2"/>
      <c r="F2565" s="132">
        <v>0</v>
      </c>
      <c r="G2565" s="132"/>
      <c r="H2565" s="132">
        <f t="shared" si="290"/>
        <v>0</v>
      </c>
      <c r="I2565" s="132"/>
      <c r="J2565" s="132">
        <f t="shared" si="288"/>
        <v>0</v>
      </c>
      <c r="K2565" s="132">
        <f t="shared" si="291"/>
        <v>0</v>
      </c>
      <c r="L2565" s="132">
        <f t="shared" si="285"/>
        <v>0</v>
      </c>
      <c r="M2565" s="133"/>
      <c r="N2565" s="133">
        <f t="shared" si="289"/>
        <v>0</v>
      </c>
      <c r="O2565" s="134"/>
      <c r="P2565" s="133"/>
      <c r="Q2565" s="2"/>
      <c r="R2565" s="156">
        <f t="shared" si="286"/>
        <v>0</v>
      </c>
      <c r="S2565" s="156">
        <f t="shared" si="287"/>
        <v>0</v>
      </c>
      <c r="T2565" s="133"/>
      <c r="U2565" s="133"/>
      <c r="V2565" s="133"/>
      <c r="W2565" s="133"/>
      <c r="X2565" s="133"/>
      <c r="Y2565" s="133"/>
      <c r="Z2565" s="133"/>
      <c r="AA2565" s="133"/>
      <c r="AB2565" s="133"/>
      <c r="AC2565" s="133"/>
      <c r="AD2565" s="133"/>
      <c r="AE2565" s="133"/>
      <c r="AF2565" s="133"/>
      <c r="AG2565" s="133"/>
      <c r="AH2565" s="133"/>
      <c r="AI2565" s="133"/>
      <c r="AJ2565" s="133"/>
      <c r="AK2565" s="133"/>
      <c r="AL2565" s="133"/>
      <c r="AM2565" s="133"/>
      <c r="AN2565" s="133"/>
      <c r="AO2565" s="133"/>
      <c r="AP2565" s="133"/>
      <c r="AQ2565" s="133"/>
      <c r="AR2565" s="133"/>
      <c r="AS2565" s="153">
        <v>0</v>
      </c>
      <c r="AT2565" s="153">
        <v>0</v>
      </c>
      <c r="AU2565" s="153">
        <v>0</v>
      </c>
      <c r="AV2565" s="135"/>
      <c r="AW2565" s="135"/>
      <c r="AX2565" s="135"/>
      <c r="AY2565" s="135"/>
      <c r="AZ2565" s="135"/>
      <c r="BA2565" s="135"/>
      <c r="BB2565" s="135"/>
      <c r="BC2565" s="135"/>
      <c r="BD2565" s="135"/>
      <c r="BE2565" s="135"/>
      <c r="BF2565" s="135"/>
      <c r="BG2565" s="135"/>
      <c r="BH2565" s="135"/>
      <c r="BI2565" s="2"/>
      <c r="BJ2565" s="136"/>
      <c r="BK2565" s="2"/>
      <c r="BL2565" s="136"/>
      <c r="BM2565" s="136"/>
      <c r="BN2565" s="2"/>
      <c r="BO2565" s="2"/>
      <c r="BP2565" s="136"/>
      <c r="BQ2565" s="137"/>
    </row>
    <row r="2566" spans="1:69" ht="12.75" customHeight="1" x14ac:dyDescent="0.2">
      <c r="A2566" s="2">
        <v>4055</v>
      </c>
      <c r="B2566" s="2"/>
      <c r="C2566" s="2"/>
      <c r="D2566" s="2"/>
      <c r="E2566" s="2"/>
      <c r="F2566" s="132">
        <v>0</v>
      </c>
      <c r="G2566" s="132"/>
      <c r="H2566" s="132">
        <f t="shared" si="290"/>
        <v>0</v>
      </c>
      <c r="I2566" s="132"/>
      <c r="J2566" s="132">
        <f t="shared" si="288"/>
        <v>0</v>
      </c>
      <c r="K2566" s="132">
        <f t="shared" si="291"/>
        <v>0</v>
      </c>
      <c r="L2566" s="132">
        <f t="shared" si="285"/>
        <v>0</v>
      </c>
      <c r="M2566" s="133"/>
      <c r="N2566" s="133">
        <f t="shared" si="289"/>
        <v>0</v>
      </c>
      <c r="O2566" s="134"/>
      <c r="P2566" s="133"/>
      <c r="Q2566" s="2"/>
      <c r="R2566" s="156">
        <f t="shared" si="286"/>
        <v>0</v>
      </c>
      <c r="S2566" s="156">
        <f t="shared" si="287"/>
        <v>0</v>
      </c>
      <c r="T2566" s="133"/>
      <c r="U2566" s="133"/>
      <c r="V2566" s="133"/>
      <c r="W2566" s="133"/>
      <c r="X2566" s="133"/>
      <c r="Y2566" s="133"/>
      <c r="Z2566" s="133"/>
      <c r="AA2566" s="133"/>
      <c r="AB2566" s="133"/>
      <c r="AC2566" s="133"/>
      <c r="AD2566" s="133"/>
      <c r="AE2566" s="133"/>
      <c r="AF2566" s="133"/>
      <c r="AG2566" s="133"/>
      <c r="AH2566" s="133"/>
      <c r="AI2566" s="133"/>
      <c r="AJ2566" s="133"/>
      <c r="AK2566" s="133"/>
      <c r="AL2566" s="133"/>
      <c r="AM2566" s="133"/>
      <c r="AN2566" s="133"/>
      <c r="AO2566" s="133"/>
      <c r="AP2566" s="133"/>
      <c r="AQ2566" s="133"/>
      <c r="AR2566" s="133"/>
      <c r="AS2566" s="153">
        <v>0</v>
      </c>
      <c r="AT2566" s="153">
        <v>0</v>
      </c>
      <c r="AU2566" s="153">
        <v>0</v>
      </c>
      <c r="AV2566" s="135"/>
      <c r="AW2566" s="135"/>
      <c r="AX2566" s="135"/>
      <c r="AY2566" s="135"/>
      <c r="AZ2566" s="135"/>
      <c r="BA2566" s="135"/>
      <c r="BB2566" s="135"/>
      <c r="BC2566" s="135"/>
      <c r="BD2566" s="135"/>
      <c r="BE2566" s="135"/>
      <c r="BF2566" s="135"/>
      <c r="BG2566" s="135"/>
      <c r="BH2566" s="135"/>
      <c r="BI2566" s="2"/>
      <c r="BJ2566" s="136"/>
      <c r="BK2566" s="2"/>
      <c r="BL2566" s="136"/>
      <c r="BM2566" s="136"/>
      <c r="BN2566" s="2"/>
      <c r="BO2566" s="2"/>
      <c r="BP2566" s="136"/>
      <c r="BQ2566" s="137"/>
    </row>
    <row r="2567" spans="1:69" ht="12.75" customHeight="1" x14ac:dyDescent="0.2">
      <c r="A2567" s="2">
        <v>4056</v>
      </c>
      <c r="B2567" s="2"/>
      <c r="C2567" s="2"/>
      <c r="D2567" s="2"/>
      <c r="E2567" s="2"/>
      <c r="F2567" s="132">
        <v>0</v>
      </c>
      <c r="G2567" s="132"/>
      <c r="H2567" s="132">
        <f t="shared" si="290"/>
        <v>0</v>
      </c>
      <c r="I2567" s="132"/>
      <c r="J2567" s="132">
        <f t="shared" si="288"/>
        <v>0</v>
      </c>
      <c r="K2567" s="132">
        <f t="shared" si="291"/>
        <v>0</v>
      </c>
      <c r="L2567" s="132">
        <f t="shared" si="285"/>
        <v>0</v>
      </c>
      <c r="M2567" s="133"/>
      <c r="N2567" s="133">
        <f t="shared" si="289"/>
        <v>0</v>
      </c>
      <c r="O2567" s="134"/>
      <c r="P2567" s="133"/>
      <c r="Q2567" s="2"/>
      <c r="R2567" s="156">
        <f t="shared" si="286"/>
        <v>0</v>
      </c>
      <c r="S2567" s="156">
        <f t="shared" si="287"/>
        <v>0</v>
      </c>
      <c r="T2567" s="133"/>
      <c r="U2567" s="133"/>
      <c r="V2567" s="133"/>
      <c r="W2567" s="133"/>
      <c r="X2567" s="133"/>
      <c r="Y2567" s="133"/>
      <c r="Z2567" s="133"/>
      <c r="AA2567" s="133"/>
      <c r="AB2567" s="133"/>
      <c r="AC2567" s="133"/>
      <c r="AD2567" s="133"/>
      <c r="AE2567" s="133"/>
      <c r="AF2567" s="133"/>
      <c r="AG2567" s="133"/>
      <c r="AH2567" s="133"/>
      <c r="AI2567" s="133"/>
      <c r="AJ2567" s="133"/>
      <c r="AK2567" s="133"/>
      <c r="AL2567" s="133"/>
      <c r="AM2567" s="133"/>
      <c r="AN2567" s="133"/>
      <c r="AO2567" s="133"/>
      <c r="AP2567" s="133"/>
      <c r="AQ2567" s="133"/>
      <c r="AR2567" s="133"/>
      <c r="AS2567" s="153">
        <v>0</v>
      </c>
      <c r="AT2567" s="153">
        <v>0</v>
      </c>
      <c r="AU2567" s="153">
        <v>0</v>
      </c>
      <c r="AV2567" s="135"/>
      <c r="AW2567" s="135"/>
      <c r="AX2567" s="135"/>
      <c r="AY2567" s="135"/>
      <c r="AZ2567" s="135"/>
      <c r="BA2567" s="135"/>
      <c r="BB2567" s="135"/>
      <c r="BC2567" s="135"/>
      <c r="BD2567" s="135"/>
      <c r="BE2567" s="135"/>
      <c r="BF2567" s="135"/>
      <c r="BG2567" s="135"/>
      <c r="BH2567" s="135"/>
      <c r="BI2567" s="2"/>
      <c r="BJ2567" s="136"/>
      <c r="BK2567" s="2"/>
      <c r="BL2567" s="136"/>
      <c r="BM2567" s="136"/>
      <c r="BN2567" s="2"/>
      <c r="BO2567" s="2"/>
      <c r="BP2567" s="136"/>
      <c r="BQ2567" s="137"/>
    </row>
    <row r="2568" spans="1:69" ht="12.75" customHeight="1" x14ac:dyDescent="0.2">
      <c r="A2568" s="2">
        <v>4057</v>
      </c>
      <c r="B2568" s="2"/>
      <c r="C2568" s="2"/>
      <c r="D2568" s="2"/>
      <c r="E2568" s="2"/>
      <c r="F2568" s="132">
        <v>0</v>
      </c>
      <c r="G2568" s="132"/>
      <c r="H2568" s="132">
        <f t="shared" si="290"/>
        <v>0</v>
      </c>
      <c r="I2568" s="132"/>
      <c r="J2568" s="132">
        <f t="shared" si="288"/>
        <v>0</v>
      </c>
      <c r="K2568" s="132">
        <f t="shared" si="291"/>
        <v>0</v>
      </c>
      <c r="L2568" s="132">
        <f t="shared" si="285"/>
        <v>0</v>
      </c>
      <c r="M2568" s="133"/>
      <c r="N2568" s="133">
        <f t="shared" si="289"/>
        <v>0</v>
      </c>
      <c r="O2568" s="134"/>
      <c r="P2568" s="133"/>
      <c r="Q2568" s="2"/>
      <c r="R2568" s="156">
        <f t="shared" si="286"/>
        <v>0</v>
      </c>
      <c r="S2568" s="156">
        <f t="shared" si="287"/>
        <v>0</v>
      </c>
      <c r="T2568" s="133"/>
      <c r="U2568" s="133"/>
      <c r="V2568" s="133"/>
      <c r="W2568" s="133"/>
      <c r="X2568" s="133"/>
      <c r="Y2568" s="133"/>
      <c r="Z2568" s="133"/>
      <c r="AA2568" s="133"/>
      <c r="AB2568" s="133"/>
      <c r="AC2568" s="133"/>
      <c r="AD2568" s="133"/>
      <c r="AE2568" s="133"/>
      <c r="AF2568" s="133"/>
      <c r="AG2568" s="133"/>
      <c r="AH2568" s="133"/>
      <c r="AI2568" s="133"/>
      <c r="AJ2568" s="133"/>
      <c r="AK2568" s="133"/>
      <c r="AL2568" s="133"/>
      <c r="AM2568" s="133"/>
      <c r="AN2568" s="133"/>
      <c r="AO2568" s="133"/>
      <c r="AP2568" s="133"/>
      <c r="AQ2568" s="133"/>
      <c r="AR2568" s="133"/>
      <c r="AS2568" s="153">
        <v>0</v>
      </c>
      <c r="AT2568" s="153">
        <v>0</v>
      </c>
      <c r="AU2568" s="153">
        <v>0</v>
      </c>
      <c r="AV2568" s="135"/>
      <c r="AW2568" s="135"/>
      <c r="AX2568" s="135"/>
      <c r="AY2568" s="135"/>
      <c r="AZ2568" s="135"/>
      <c r="BA2568" s="135"/>
      <c r="BB2568" s="135"/>
      <c r="BC2568" s="135"/>
      <c r="BD2568" s="135"/>
      <c r="BE2568" s="135"/>
      <c r="BF2568" s="135"/>
      <c r="BG2568" s="135"/>
      <c r="BH2568" s="135"/>
      <c r="BI2568" s="2"/>
      <c r="BJ2568" s="136"/>
      <c r="BK2568" s="2"/>
      <c r="BL2568" s="136"/>
      <c r="BM2568" s="136"/>
      <c r="BN2568" s="2"/>
      <c r="BO2568" s="2"/>
      <c r="BP2568" s="136"/>
      <c r="BQ2568" s="137"/>
    </row>
    <row r="2569" spans="1:69" ht="12.75" customHeight="1" x14ac:dyDescent="0.2">
      <c r="A2569" s="2">
        <v>4058</v>
      </c>
      <c r="B2569" s="2"/>
      <c r="C2569" s="2"/>
      <c r="D2569" s="2"/>
      <c r="E2569" s="2"/>
      <c r="F2569" s="132">
        <v>0</v>
      </c>
      <c r="G2569" s="132"/>
      <c r="H2569" s="132">
        <f t="shared" si="290"/>
        <v>0</v>
      </c>
      <c r="I2569" s="132"/>
      <c r="J2569" s="132">
        <f t="shared" si="288"/>
        <v>0</v>
      </c>
      <c r="K2569" s="132">
        <f t="shared" si="291"/>
        <v>0</v>
      </c>
      <c r="L2569" s="132">
        <f t="shared" si="285"/>
        <v>0</v>
      </c>
      <c r="M2569" s="133"/>
      <c r="N2569" s="133">
        <f t="shared" si="289"/>
        <v>0</v>
      </c>
      <c r="O2569" s="134"/>
      <c r="P2569" s="133"/>
      <c r="Q2569" s="2"/>
      <c r="R2569" s="156">
        <f t="shared" si="286"/>
        <v>0</v>
      </c>
      <c r="S2569" s="156">
        <f t="shared" si="287"/>
        <v>0</v>
      </c>
      <c r="T2569" s="133"/>
      <c r="U2569" s="133"/>
      <c r="V2569" s="133"/>
      <c r="W2569" s="133"/>
      <c r="X2569" s="133"/>
      <c r="Y2569" s="133"/>
      <c r="Z2569" s="133"/>
      <c r="AA2569" s="133"/>
      <c r="AB2569" s="133"/>
      <c r="AC2569" s="133"/>
      <c r="AD2569" s="133"/>
      <c r="AE2569" s="133"/>
      <c r="AF2569" s="133"/>
      <c r="AG2569" s="133"/>
      <c r="AH2569" s="133"/>
      <c r="AI2569" s="133"/>
      <c r="AJ2569" s="133"/>
      <c r="AK2569" s="133"/>
      <c r="AL2569" s="133"/>
      <c r="AM2569" s="133"/>
      <c r="AN2569" s="133"/>
      <c r="AO2569" s="133"/>
      <c r="AP2569" s="133"/>
      <c r="AQ2569" s="133"/>
      <c r="AR2569" s="133"/>
      <c r="AS2569" s="153">
        <v>0</v>
      </c>
      <c r="AT2569" s="153">
        <v>0</v>
      </c>
      <c r="AU2569" s="153">
        <v>0</v>
      </c>
      <c r="AV2569" s="135"/>
      <c r="AW2569" s="135"/>
      <c r="AX2569" s="135"/>
      <c r="AY2569" s="135"/>
      <c r="AZ2569" s="135"/>
      <c r="BA2569" s="135"/>
      <c r="BB2569" s="135"/>
      <c r="BC2569" s="135"/>
      <c r="BD2569" s="135"/>
      <c r="BE2569" s="135"/>
      <c r="BF2569" s="135"/>
      <c r="BG2569" s="135"/>
      <c r="BH2569" s="135"/>
      <c r="BI2569" s="2"/>
      <c r="BJ2569" s="136"/>
      <c r="BK2569" s="2"/>
      <c r="BL2569" s="136"/>
      <c r="BM2569" s="136"/>
      <c r="BN2569" s="2"/>
      <c r="BO2569" s="2"/>
      <c r="BP2569" s="136"/>
      <c r="BQ2569" s="137"/>
    </row>
    <row r="2570" spans="1:69" ht="12.75" customHeight="1" x14ac:dyDescent="0.2">
      <c r="A2570" s="2">
        <v>4059</v>
      </c>
      <c r="B2570" s="2"/>
      <c r="C2570" s="2"/>
      <c r="D2570" s="2"/>
      <c r="E2570" s="2"/>
      <c r="F2570" s="132">
        <v>0</v>
      </c>
      <c r="G2570" s="132"/>
      <c r="H2570" s="132">
        <f t="shared" si="290"/>
        <v>0</v>
      </c>
      <c r="I2570" s="132"/>
      <c r="J2570" s="132">
        <f t="shared" si="288"/>
        <v>0</v>
      </c>
      <c r="K2570" s="132">
        <f t="shared" si="291"/>
        <v>0</v>
      </c>
      <c r="L2570" s="132">
        <f t="shared" si="285"/>
        <v>0</v>
      </c>
      <c r="M2570" s="133"/>
      <c r="N2570" s="133">
        <f t="shared" si="289"/>
        <v>0</v>
      </c>
      <c r="O2570" s="134"/>
      <c r="P2570" s="133"/>
      <c r="Q2570" s="2"/>
      <c r="R2570" s="156">
        <f t="shared" si="286"/>
        <v>0</v>
      </c>
      <c r="S2570" s="156">
        <f t="shared" si="287"/>
        <v>0</v>
      </c>
      <c r="T2570" s="133"/>
      <c r="U2570" s="133"/>
      <c r="V2570" s="133"/>
      <c r="W2570" s="133"/>
      <c r="X2570" s="133"/>
      <c r="Y2570" s="133"/>
      <c r="Z2570" s="133"/>
      <c r="AA2570" s="133"/>
      <c r="AB2570" s="133"/>
      <c r="AC2570" s="133"/>
      <c r="AD2570" s="133"/>
      <c r="AE2570" s="133"/>
      <c r="AF2570" s="133"/>
      <c r="AG2570" s="133"/>
      <c r="AH2570" s="133"/>
      <c r="AI2570" s="133"/>
      <c r="AJ2570" s="133"/>
      <c r="AK2570" s="133"/>
      <c r="AL2570" s="133"/>
      <c r="AM2570" s="133"/>
      <c r="AN2570" s="133"/>
      <c r="AO2570" s="133"/>
      <c r="AP2570" s="133"/>
      <c r="AQ2570" s="133"/>
      <c r="AR2570" s="133"/>
      <c r="AS2570" s="153">
        <v>0</v>
      </c>
      <c r="AT2570" s="153">
        <v>0</v>
      </c>
      <c r="AU2570" s="153">
        <v>0</v>
      </c>
      <c r="AV2570" s="135"/>
      <c r="AW2570" s="135"/>
      <c r="AX2570" s="135"/>
      <c r="AY2570" s="135"/>
      <c r="AZ2570" s="135"/>
      <c r="BA2570" s="135"/>
      <c r="BB2570" s="135"/>
      <c r="BC2570" s="135"/>
      <c r="BD2570" s="135"/>
      <c r="BE2570" s="135"/>
      <c r="BF2570" s="135"/>
      <c r="BG2570" s="135"/>
      <c r="BH2570" s="135"/>
      <c r="BI2570" s="2"/>
      <c r="BJ2570" s="136"/>
      <c r="BK2570" s="2"/>
      <c r="BL2570" s="136"/>
      <c r="BM2570" s="136"/>
      <c r="BN2570" s="2"/>
      <c r="BO2570" s="2"/>
      <c r="BP2570" s="136"/>
      <c r="BQ2570" s="137"/>
    </row>
    <row r="2571" spans="1:69" ht="12.75" customHeight="1" x14ac:dyDescent="0.2">
      <c r="A2571" s="2">
        <v>4060</v>
      </c>
      <c r="B2571" s="2"/>
      <c r="C2571" s="2"/>
      <c r="D2571" s="2"/>
      <c r="E2571" s="2"/>
      <c r="F2571" s="132">
        <v>0</v>
      </c>
      <c r="G2571" s="132"/>
      <c r="H2571" s="132">
        <f t="shared" si="290"/>
        <v>0</v>
      </c>
      <c r="I2571" s="132"/>
      <c r="J2571" s="132">
        <f t="shared" si="288"/>
        <v>0</v>
      </c>
      <c r="K2571" s="132">
        <f t="shared" si="291"/>
        <v>0</v>
      </c>
      <c r="L2571" s="132">
        <f t="shared" ref="L2571:L2634" si="292">H2571-J2571</f>
        <v>0</v>
      </c>
      <c r="M2571" s="133"/>
      <c r="N2571" s="133">
        <f t="shared" si="289"/>
        <v>0</v>
      </c>
      <c r="O2571" s="134"/>
      <c r="P2571" s="133"/>
      <c r="Q2571" s="2"/>
      <c r="R2571" s="156">
        <f t="shared" ref="R2571:R2634" si="293">T2571+V2571+X2571+Z2571+AB2571+AD2571+AF2571+AH2571+AJ2571+AL2571+AN2571+AP2571</f>
        <v>0</v>
      </c>
      <c r="S2571" s="156">
        <f t="shared" ref="S2571:S2634" si="294">U2571+W2571+Y2571+AA2571+AC2571+AE2571+AG2571+AI2571+AK2571+AM2571+AO2571+AQ2571</f>
        <v>0</v>
      </c>
      <c r="T2571" s="133"/>
      <c r="U2571" s="133"/>
      <c r="V2571" s="133"/>
      <c r="W2571" s="133"/>
      <c r="X2571" s="133"/>
      <c r="Y2571" s="133"/>
      <c r="Z2571" s="133"/>
      <c r="AA2571" s="133"/>
      <c r="AB2571" s="133"/>
      <c r="AC2571" s="133"/>
      <c r="AD2571" s="133"/>
      <c r="AE2571" s="133"/>
      <c r="AF2571" s="133"/>
      <c r="AG2571" s="133"/>
      <c r="AH2571" s="133"/>
      <c r="AI2571" s="133"/>
      <c r="AJ2571" s="133"/>
      <c r="AK2571" s="133"/>
      <c r="AL2571" s="133"/>
      <c r="AM2571" s="133"/>
      <c r="AN2571" s="133"/>
      <c r="AO2571" s="133"/>
      <c r="AP2571" s="133"/>
      <c r="AQ2571" s="133"/>
      <c r="AR2571" s="133"/>
      <c r="AS2571" s="153">
        <v>0</v>
      </c>
      <c r="AT2571" s="153">
        <v>0</v>
      </c>
      <c r="AU2571" s="153">
        <v>0</v>
      </c>
      <c r="AV2571" s="135"/>
      <c r="AW2571" s="135"/>
      <c r="AX2571" s="135"/>
      <c r="AY2571" s="135"/>
      <c r="AZ2571" s="135"/>
      <c r="BA2571" s="135"/>
      <c r="BB2571" s="135"/>
      <c r="BC2571" s="135"/>
      <c r="BD2571" s="135"/>
      <c r="BE2571" s="135"/>
      <c r="BF2571" s="135"/>
      <c r="BG2571" s="135"/>
      <c r="BH2571" s="135"/>
      <c r="BI2571" s="2"/>
      <c r="BJ2571" s="136"/>
      <c r="BK2571" s="2"/>
      <c r="BL2571" s="136"/>
      <c r="BM2571" s="136"/>
      <c r="BN2571" s="2"/>
      <c r="BO2571" s="2"/>
      <c r="BP2571" s="136"/>
      <c r="BQ2571" s="137"/>
    </row>
    <row r="2572" spans="1:69" ht="12.75" customHeight="1" x14ac:dyDescent="0.2">
      <c r="A2572" s="2">
        <v>4061</v>
      </c>
      <c r="B2572" s="2"/>
      <c r="C2572" s="2"/>
      <c r="D2572" s="2"/>
      <c r="E2572" s="2"/>
      <c r="F2572" s="132">
        <v>0</v>
      </c>
      <c r="G2572" s="132"/>
      <c r="H2572" s="132">
        <f t="shared" si="290"/>
        <v>0</v>
      </c>
      <c r="I2572" s="132"/>
      <c r="J2572" s="132">
        <f t="shared" si="288"/>
        <v>0</v>
      </c>
      <c r="K2572" s="132">
        <f t="shared" si="291"/>
        <v>0</v>
      </c>
      <c r="L2572" s="132">
        <f t="shared" si="292"/>
        <v>0</v>
      </c>
      <c r="M2572" s="133"/>
      <c r="N2572" s="133">
        <f t="shared" si="289"/>
        <v>0</v>
      </c>
      <c r="O2572" s="134"/>
      <c r="P2572" s="133"/>
      <c r="Q2572" s="2"/>
      <c r="R2572" s="156">
        <f t="shared" si="293"/>
        <v>0</v>
      </c>
      <c r="S2572" s="156">
        <f t="shared" si="294"/>
        <v>0</v>
      </c>
      <c r="T2572" s="133"/>
      <c r="U2572" s="133"/>
      <c r="V2572" s="133"/>
      <c r="W2572" s="133"/>
      <c r="X2572" s="133"/>
      <c r="Y2572" s="133"/>
      <c r="Z2572" s="133"/>
      <c r="AA2572" s="133"/>
      <c r="AB2572" s="133"/>
      <c r="AC2572" s="133"/>
      <c r="AD2572" s="133"/>
      <c r="AE2572" s="133"/>
      <c r="AF2572" s="133"/>
      <c r="AG2572" s="133"/>
      <c r="AH2572" s="133"/>
      <c r="AI2572" s="133"/>
      <c r="AJ2572" s="133"/>
      <c r="AK2572" s="133"/>
      <c r="AL2572" s="133"/>
      <c r="AM2572" s="133"/>
      <c r="AN2572" s="133"/>
      <c r="AO2572" s="133"/>
      <c r="AP2572" s="133"/>
      <c r="AQ2572" s="133"/>
      <c r="AR2572" s="133"/>
      <c r="AS2572" s="153">
        <v>0</v>
      </c>
      <c r="AT2572" s="153">
        <v>0</v>
      </c>
      <c r="AU2572" s="153">
        <v>0</v>
      </c>
      <c r="AV2572" s="135"/>
      <c r="AW2572" s="135"/>
      <c r="AX2572" s="135"/>
      <c r="AY2572" s="135"/>
      <c r="AZ2572" s="135"/>
      <c r="BA2572" s="135"/>
      <c r="BB2572" s="135"/>
      <c r="BC2572" s="135"/>
      <c r="BD2572" s="135"/>
      <c r="BE2572" s="135"/>
      <c r="BF2572" s="135"/>
      <c r="BG2572" s="135"/>
      <c r="BH2572" s="135"/>
      <c r="BI2572" s="2"/>
      <c r="BJ2572" s="136"/>
      <c r="BK2572" s="2"/>
      <c r="BL2572" s="136"/>
      <c r="BM2572" s="136"/>
      <c r="BN2572" s="2"/>
      <c r="BO2572" s="2"/>
      <c r="BP2572" s="136"/>
      <c r="BQ2572" s="137"/>
    </row>
    <row r="2573" spans="1:69" ht="12.75" customHeight="1" x14ac:dyDescent="0.2">
      <c r="A2573" s="2">
        <v>4062</v>
      </c>
      <c r="B2573" s="2"/>
      <c r="C2573" s="2"/>
      <c r="D2573" s="2"/>
      <c r="E2573" s="2"/>
      <c r="F2573" s="132">
        <v>0</v>
      </c>
      <c r="G2573" s="132"/>
      <c r="H2573" s="132">
        <f t="shared" si="290"/>
        <v>0</v>
      </c>
      <c r="I2573" s="132"/>
      <c r="J2573" s="132">
        <f t="shared" si="288"/>
        <v>0</v>
      </c>
      <c r="K2573" s="132">
        <f t="shared" si="291"/>
        <v>0</v>
      </c>
      <c r="L2573" s="132">
        <f t="shared" si="292"/>
        <v>0</v>
      </c>
      <c r="M2573" s="133"/>
      <c r="N2573" s="133">
        <f t="shared" si="289"/>
        <v>0</v>
      </c>
      <c r="O2573" s="134"/>
      <c r="P2573" s="133"/>
      <c r="Q2573" s="2"/>
      <c r="R2573" s="156">
        <f t="shared" si="293"/>
        <v>0</v>
      </c>
      <c r="S2573" s="156">
        <f t="shared" si="294"/>
        <v>0</v>
      </c>
      <c r="T2573" s="133"/>
      <c r="U2573" s="133"/>
      <c r="V2573" s="133"/>
      <c r="W2573" s="133"/>
      <c r="X2573" s="133"/>
      <c r="Y2573" s="133"/>
      <c r="Z2573" s="133"/>
      <c r="AA2573" s="133"/>
      <c r="AB2573" s="133"/>
      <c r="AC2573" s="133"/>
      <c r="AD2573" s="133"/>
      <c r="AE2573" s="133"/>
      <c r="AF2573" s="133"/>
      <c r="AG2573" s="133"/>
      <c r="AH2573" s="133"/>
      <c r="AI2573" s="133"/>
      <c r="AJ2573" s="133"/>
      <c r="AK2573" s="133"/>
      <c r="AL2573" s="133"/>
      <c r="AM2573" s="133"/>
      <c r="AN2573" s="133"/>
      <c r="AO2573" s="133"/>
      <c r="AP2573" s="133"/>
      <c r="AQ2573" s="133"/>
      <c r="AR2573" s="133"/>
      <c r="AS2573" s="153">
        <v>0</v>
      </c>
      <c r="AT2573" s="153">
        <v>0</v>
      </c>
      <c r="AU2573" s="153">
        <v>0</v>
      </c>
      <c r="AV2573" s="135"/>
      <c r="AW2573" s="135"/>
      <c r="AX2573" s="135"/>
      <c r="AY2573" s="135"/>
      <c r="AZ2573" s="135"/>
      <c r="BA2573" s="135"/>
      <c r="BB2573" s="135"/>
      <c r="BC2573" s="135"/>
      <c r="BD2573" s="135"/>
      <c r="BE2573" s="135"/>
      <c r="BF2573" s="135"/>
      <c r="BG2573" s="135"/>
      <c r="BH2573" s="135"/>
      <c r="BI2573" s="2"/>
      <c r="BJ2573" s="136"/>
      <c r="BK2573" s="2"/>
      <c r="BL2573" s="136"/>
      <c r="BM2573" s="136"/>
      <c r="BN2573" s="2"/>
      <c r="BO2573" s="2"/>
      <c r="BP2573" s="136"/>
      <c r="BQ2573" s="137"/>
    </row>
    <row r="2574" spans="1:69" ht="12.75" customHeight="1" x14ac:dyDescent="0.2">
      <c r="A2574" s="2">
        <v>4063</v>
      </c>
      <c r="B2574" s="2"/>
      <c r="C2574" s="2"/>
      <c r="D2574" s="2"/>
      <c r="E2574" s="2"/>
      <c r="F2574" s="132">
        <v>0</v>
      </c>
      <c r="G2574" s="132"/>
      <c r="H2574" s="132">
        <f t="shared" si="290"/>
        <v>0</v>
      </c>
      <c r="I2574" s="132"/>
      <c r="J2574" s="132">
        <f t="shared" si="288"/>
        <v>0</v>
      </c>
      <c r="K2574" s="132">
        <f t="shared" si="291"/>
        <v>0</v>
      </c>
      <c r="L2574" s="132">
        <f t="shared" si="292"/>
        <v>0</v>
      </c>
      <c r="M2574" s="133"/>
      <c r="N2574" s="133">
        <f t="shared" si="289"/>
        <v>0</v>
      </c>
      <c r="O2574" s="134"/>
      <c r="P2574" s="133"/>
      <c r="Q2574" s="2"/>
      <c r="R2574" s="156">
        <f t="shared" si="293"/>
        <v>0</v>
      </c>
      <c r="S2574" s="156">
        <f t="shared" si="294"/>
        <v>0</v>
      </c>
      <c r="T2574" s="133"/>
      <c r="U2574" s="133"/>
      <c r="V2574" s="133"/>
      <c r="W2574" s="133"/>
      <c r="X2574" s="133"/>
      <c r="Y2574" s="133"/>
      <c r="Z2574" s="133"/>
      <c r="AA2574" s="133"/>
      <c r="AB2574" s="133"/>
      <c r="AC2574" s="133"/>
      <c r="AD2574" s="133"/>
      <c r="AE2574" s="133"/>
      <c r="AF2574" s="133"/>
      <c r="AG2574" s="133"/>
      <c r="AH2574" s="133"/>
      <c r="AI2574" s="133"/>
      <c r="AJ2574" s="133"/>
      <c r="AK2574" s="133"/>
      <c r="AL2574" s="133"/>
      <c r="AM2574" s="133"/>
      <c r="AN2574" s="133"/>
      <c r="AO2574" s="133"/>
      <c r="AP2574" s="133"/>
      <c r="AQ2574" s="133"/>
      <c r="AR2574" s="133"/>
      <c r="AS2574" s="153">
        <v>0</v>
      </c>
      <c r="AT2574" s="153">
        <v>0</v>
      </c>
      <c r="AU2574" s="153">
        <v>0</v>
      </c>
      <c r="AV2574" s="135"/>
      <c r="AW2574" s="135"/>
      <c r="AX2574" s="135"/>
      <c r="AY2574" s="135"/>
      <c r="AZ2574" s="135"/>
      <c r="BA2574" s="135"/>
      <c r="BB2574" s="135"/>
      <c r="BC2574" s="135"/>
      <c r="BD2574" s="135"/>
      <c r="BE2574" s="135"/>
      <c r="BF2574" s="135"/>
      <c r="BG2574" s="135"/>
      <c r="BH2574" s="135"/>
      <c r="BI2574" s="2"/>
      <c r="BJ2574" s="136"/>
      <c r="BK2574" s="2"/>
      <c r="BL2574" s="136"/>
      <c r="BM2574" s="136"/>
      <c r="BN2574" s="2"/>
      <c r="BO2574" s="2"/>
      <c r="BP2574" s="136"/>
      <c r="BQ2574" s="137"/>
    </row>
    <row r="2575" spans="1:69" ht="12.75" customHeight="1" x14ac:dyDescent="0.2">
      <c r="A2575" s="2">
        <v>4064</v>
      </c>
      <c r="B2575" s="2"/>
      <c r="C2575" s="2"/>
      <c r="D2575" s="2"/>
      <c r="E2575" s="2"/>
      <c r="F2575" s="132">
        <v>0</v>
      </c>
      <c r="G2575" s="132"/>
      <c r="H2575" s="132">
        <f t="shared" si="290"/>
        <v>0</v>
      </c>
      <c r="I2575" s="132"/>
      <c r="J2575" s="132">
        <f t="shared" si="288"/>
        <v>0</v>
      </c>
      <c r="K2575" s="132">
        <f t="shared" si="291"/>
        <v>0</v>
      </c>
      <c r="L2575" s="132">
        <f t="shared" si="292"/>
        <v>0</v>
      </c>
      <c r="M2575" s="133"/>
      <c r="N2575" s="133">
        <f t="shared" si="289"/>
        <v>0</v>
      </c>
      <c r="O2575" s="134"/>
      <c r="P2575" s="133"/>
      <c r="Q2575" s="2"/>
      <c r="R2575" s="156">
        <f t="shared" si="293"/>
        <v>0</v>
      </c>
      <c r="S2575" s="156">
        <f t="shared" si="294"/>
        <v>0</v>
      </c>
      <c r="T2575" s="133"/>
      <c r="U2575" s="133"/>
      <c r="V2575" s="133"/>
      <c r="W2575" s="133"/>
      <c r="X2575" s="133"/>
      <c r="Y2575" s="133"/>
      <c r="Z2575" s="133"/>
      <c r="AA2575" s="133"/>
      <c r="AB2575" s="133"/>
      <c r="AC2575" s="133"/>
      <c r="AD2575" s="133"/>
      <c r="AE2575" s="133"/>
      <c r="AF2575" s="133"/>
      <c r="AG2575" s="133"/>
      <c r="AH2575" s="133"/>
      <c r="AI2575" s="133"/>
      <c r="AJ2575" s="133"/>
      <c r="AK2575" s="133"/>
      <c r="AL2575" s="133"/>
      <c r="AM2575" s="133"/>
      <c r="AN2575" s="133"/>
      <c r="AO2575" s="133"/>
      <c r="AP2575" s="133"/>
      <c r="AQ2575" s="133"/>
      <c r="AR2575" s="133"/>
      <c r="AS2575" s="153">
        <v>0</v>
      </c>
      <c r="AT2575" s="153">
        <v>0</v>
      </c>
      <c r="AU2575" s="153">
        <v>0</v>
      </c>
      <c r="AV2575" s="135"/>
      <c r="AW2575" s="135"/>
      <c r="AX2575" s="135"/>
      <c r="AY2575" s="135"/>
      <c r="AZ2575" s="135"/>
      <c r="BA2575" s="135"/>
      <c r="BB2575" s="135"/>
      <c r="BC2575" s="135"/>
      <c r="BD2575" s="135"/>
      <c r="BE2575" s="135"/>
      <c r="BF2575" s="135"/>
      <c r="BG2575" s="135"/>
      <c r="BH2575" s="135"/>
      <c r="BI2575" s="2"/>
      <c r="BJ2575" s="136"/>
      <c r="BK2575" s="2"/>
      <c r="BL2575" s="136"/>
      <c r="BM2575" s="136"/>
      <c r="BN2575" s="2"/>
      <c r="BO2575" s="2"/>
      <c r="BP2575" s="136"/>
      <c r="BQ2575" s="137"/>
    </row>
    <row r="2576" spans="1:69" ht="12.75" customHeight="1" x14ac:dyDescent="0.2">
      <c r="A2576" s="2">
        <v>4065</v>
      </c>
      <c r="B2576" s="2"/>
      <c r="C2576" s="2"/>
      <c r="D2576" s="2"/>
      <c r="E2576" s="2"/>
      <c r="F2576" s="132">
        <v>0</v>
      </c>
      <c r="G2576" s="132"/>
      <c r="H2576" s="132">
        <f t="shared" si="290"/>
        <v>0</v>
      </c>
      <c r="I2576" s="132"/>
      <c r="J2576" s="132">
        <f t="shared" si="288"/>
        <v>0</v>
      </c>
      <c r="K2576" s="132">
        <f t="shared" si="291"/>
        <v>0</v>
      </c>
      <c r="L2576" s="132">
        <f t="shared" si="292"/>
        <v>0</v>
      </c>
      <c r="M2576" s="133"/>
      <c r="N2576" s="133">
        <f t="shared" si="289"/>
        <v>0</v>
      </c>
      <c r="O2576" s="134"/>
      <c r="P2576" s="133"/>
      <c r="Q2576" s="2"/>
      <c r="R2576" s="156">
        <f t="shared" si="293"/>
        <v>0</v>
      </c>
      <c r="S2576" s="156">
        <f t="shared" si="294"/>
        <v>0</v>
      </c>
      <c r="T2576" s="133"/>
      <c r="U2576" s="133"/>
      <c r="V2576" s="133"/>
      <c r="W2576" s="133"/>
      <c r="X2576" s="133"/>
      <c r="Y2576" s="133"/>
      <c r="Z2576" s="133"/>
      <c r="AA2576" s="133"/>
      <c r="AB2576" s="133"/>
      <c r="AC2576" s="133"/>
      <c r="AD2576" s="133"/>
      <c r="AE2576" s="133"/>
      <c r="AF2576" s="133"/>
      <c r="AG2576" s="133"/>
      <c r="AH2576" s="133"/>
      <c r="AI2576" s="133"/>
      <c r="AJ2576" s="133"/>
      <c r="AK2576" s="133"/>
      <c r="AL2576" s="133"/>
      <c r="AM2576" s="133"/>
      <c r="AN2576" s="133"/>
      <c r="AO2576" s="133"/>
      <c r="AP2576" s="133"/>
      <c r="AQ2576" s="133"/>
      <c r="AR2576" s="133"/>
      <c r="AS2576" s="153">
        <v>0</v>
      </c>
      <c r="AT2576" s="153">
        <v>0</v>
      </c>
      <c r="AU2576" s="153">
        <v>0</v>
      </c>
      <c r="AV2576" s="135"/>
      <c r="AW2576" s="135"/>
      <c r="AX2576" s="135"/>
      <c r="AY2576" s="135"/>
      <c r="AZ2576" s="135"/>
      <c r="BA2576" s="135"/>
      <c r="BB2576" s="135"/>
      <c r="BC2576" s="135"/>
      <c r="BD2576" s="135"/>
      <c r="BE2576" s="135"/>
      <c r="BF2576" s="135"/>
      <c r="BG2576" s="135"/>
      <c r="BH2576" s="135"/>
      <c r="BI2576" s="2"/>
      <c r="BJ2576" s="136"/>
      <c r="BK2576" s="2"/>
      <c r="BL2576" s="136"/>
      <c r="BM2576" s="136"/>
      <c r="BN2576" s="2"/>
      <c r="BO2576" s="2"/>
      <c r="BP2576" s="136"/>
      <c r="BQ2576" s="137"/>
    </row>
    <row r="2577" spans="1:69" ht="12.75" customHeight="1" x14ac:dyDescent="0.2">
      <c r="A2577" s="2">
        <v>4066</v>
      </c>
      <c r="B2577" s="2"/>
      <c r="C2577" s="2"/>
      <c r="D2577" s="2"/>
      <c r="E2577" s="2"/>
      <c r="F2577" s="132">
        <v>0</v>
      </c>
      <c r="G2577" s="132"/>
      <c r="H2577" s="132">
        <f t="shared" si="290"/>
        <v>0</v>
      </c>
      <c r="I2577" s="132"/>
      <c r="J2577" s="132">
        <f t="shared" si="288"/>
        <v>0</v>
      </c>
      <c r="K2577" s="132">
        <f t="shared" si="291"/>
        <v>0</v>
      </c>
      <c r="L2577" s="132">
        <f t="shared" si="292"/>
        <v>0</v>
      </c>
      <c r="M2577" s="133"/>
      <c r="N2577" s="133">
        <f t="shared" si="289"/>
        <v>0</v>
      </c>
      <c r="O2577" s="134"/>
      <c r="P2577" s="133"/>
      <c r="Q2577" s="2"/>
      <c r="R2577" s="156">
        <f t="shared" si="293"/>
        <v>0</v>
      </c>
      <c r="S2577" s="156">
        <f t="shared" si="294"/>
        <v>0</v>
      </c>
      <c r="T2577" s="133"/>
      <c r="U2577" s="133"/>
      <c r="V2577" s="133"/>
      <c r="W2577" s="133"/>
      <c r="X2577" s="133"/>
      <c r="Y2577" s="133"/>
      <c r="Z2577" s="133"/>
      <c r="AA2577" s="133"/>
      <c r="AB2577" s="133"/>
      <c r="AC2577" s="133"/>
      <c r="AD2577" s="133"/>
      <c r="AE2577" s="133"/>
      <c r="AF2577" s="133"/>
      <c r="AG2577" s="133"/>
      <c r="AH2577" s="133"/>
      <c r="AI2577" s="133"/>
      <c r="AJ2577" s="133"/>
      <c r="AK2577" s="133"/>
      <c r="AL2577" s="133"/>
      <c r="AM2577" s="133"/>
      <c r="AN2577" s="133"/>
      <c r="AO2577" s="133"/>
      <c r="AP2577" s="133"/>
      <c r="AQ2577" s="133"/>
      <c r="AR2577" s="133"/>
      <c r="AS2577" s="153">
        <v>0</v>
      </c>
      <c r="AT2577" s="153">
        <v>0</v>
      </c>
      <c r="AU2577" s="153">
        <v>0</v>
      </c>
      <c r="AV2577" s="135"/>
      <c r="AW2577" s="135"/>
      <c r="AX2577" s="135"/>
      <c r="AY2577" s="135"/>
      <c r="AZ2577" s="135"/>
      <c r="BA2577" s="135"/>
      <c r="BB2577" s="135"/>
      <c r="BC2577" s="135"/>
      <c r="BD2577" s="135"/>
      <c r="BE2577" s="135"/>
      <c r="BF2577" s="135"/>
      <c r="BG2577" s="135"/>
      <c r="BH2577" s="135"/>
      <c r="BI2577" s="2"/>
      <c r="BJ2577" s="136"/>
      <c r="BK2577" s="2"/>
      <c r="BL2577" s="136"/>
      <c r="BM2577" s="136"/>
      <c r="BN2577" s="2"/>
      <c r="BO2577" s="2"/>
      <c r="BP2577" s="136"/>
      <c r="BQ2577" s="137"/>
    </row>
    <row r="2578" spans="1:69" ht="12.75" customHeight="1" x14ac:dyDescent="0.2">
      <c r="A2578" s="2">
        <v>4067</v>
      </c>
      <c r="B2578" s="2"/>
      <c r="C2578" s="2"/>
      <c r="D2578" s="2"/>
      <c r="E2578" s="2"/>
      <c r="F2578" s="132">
        <v>0</v>
      </c>
      <c r="G2578" s="132"/>
      <c r="H2578" s="132">
        <f t="shared" si="290"/>
        <v>0</v>
      </c>
      <c r="I2578" s="132"/>
      <c r="J2578" s="132">
        <f t="shared" si="288"/>
        <v>0</v>
      </c>
      <c r="K2578" s="132">
        <f t="shared" si="291"/>
        <v>0</v>
      </c>
      <c r="L2578" s="132">
        <f t="shared" si="292"/>
        <v>0</v>
      </c>
      <c r="M2578" s="133"/>
      <c r="N2578" s="133">
        <f t="shared" si="289"/>
        <v>0</v>
      </c>
      <c r="O2578" s="134"/>
      <c r="P2578" s="133"/>
      <c r="Q2578" s="2"/>
      <c r="R2578" s="156">
        <f t="shared" si="293"/>
        <v>0</v>
      </c>
      <c r="S2578" s="156">
        <f t="shared" si="294"/>
        <v>0</v>
      </c>
      <c r="T2578" s="133"/>
      <c r="U2578" s="133"/>
      <c r="V2578" s="133"/>
      <c r="W2578" s="133"/>
      <c r="X2578" s="133"/>
      <c r="Y2578" s="133"/>
      <c r="Z2578" s="133"/>
      <c r="AA2578" s="133"/>
      <c r="AB2578" s="133"/>
      <c r="AC2578" s="133"/>
      <c r="AD2578" s="133"/>
      <c r="AE2578" s="133"/>
      <c r="AF2578" s="133"/>
      <c r="AG2578" s="133"/>
      <c r="AH2578" s="133"/>
      <c r="AI2578" s="133"/>
      <c r="AJ2578" s="133"/>
      <c r="AK2578" s="133"/>
      <c r="AL2578" s="133"/>
      <c r="AM2578" s="133"/>
      <c r="AN2578" s="133"/>
      <c r="AO2578" s="133"/>
      <c r="AP2578" s="133"/>
      <c r="AQ2578" s="133"/>
      <c r="AR2578" s="133"/>
      <c r="AS2578" s="153">
        <v>0</v>
      </c>
      <c r="AT2578" s="153">
        <v>0</v>
      </c>
      <c r="AU2578" s="153">
        <v>0</v>
      </c>
      <c r="AV2578" s="135"/>
      <c r="AW2578" s="135"/>
      <c r="AX2578" s="135"/>
      <c r="AY2578" s="135"/>
      <c r="AZ2578" s="135"/>
      <c r="BA2578" s="135"/>
      <c r="BB2578" s="135"/>
      <c r="BC2578" s="135"/>
      <c r="BD2578" s="135"/>
      <c r="BE2578" s="135"/>
      <c r="BF2578" s="135"/>
      <c r="BG2578" s="135"/>
      <c r="BH2578" s="135"/>
      <c r="BI2578" s="2"/>
      <c r="BJ2578" s="136"/>
      <c r="BK2578" s="2"/>
      <c r="BL2578" s="136"/>
      <c r="BM2578" s="136"/>
      <c r="BN2578" s="2"/>
      <c r="BO2578" s="2"/>
      <c r="BP2578" s="136"/>
      <c r="BQ2578" s="137"/>
    </row>
    <row r="2579" spans="1:69" ht="12.75" customHeight="1" x14ac:dyDescent="0.2">
      <c r="A2579" s="2">
        <v>4068</v>
      </c>
      <c r="B2579" s="2"/>
      <c r="C2579" s="2"/>
      <c r="D2579" s="2"/>
      <c r="E2579" s="2"/>
      <c r="F2579" s="132">
        <v>0</v>
      </c>
      <c r="G2579" s="132"/>
      <c r="H2579" s="132">
        <f t="shared" si="290"/>
        <v>0</v>
      </c>
      <c r="I2579" s="132"/>
      <c r="J2579" s="132">
        <f t="shared" si="288"/>
        <v>0</v>
      </c>
      <c r="K2579" s="132">
        <f t="shared" si="291"/>
        <v>0</v>
      </c>
      <c r="L2579" s="132">
        <f t="shared" si="292"/>
        <v>0</v>
      </c>
      <c r="M2579" s="133"/>
      <c r="N2579" s="133">
        <f t="shared" si="289"/>
        <v>0</v>
      </c>
      <c r="O2579" s="134"/>
      <c r="P2579" s="133"/>
      <c r="Q2579" s="2"/>
      <c r="R2579" s="156">
        <f t="shared" si="293"/>
        <v>0</v>
      </c>
      <c r="S2579" s="156">
        <f t="shared" si="294"/>
        <v>0</v>
      </c>
      <c r="T2579" s="133"/>
      <c r="U2579" s="133"/>
      <c r="V2579" s="133"/>
      <c r="W2579" s="133"/>
      <c r="X2579" s="133"/>
      <c r="Y2579" s="133"/>
      <c r="Z2579" s="133"/>
      <c r="AA2579" s="133"/>
      <c r="AB2579" s="133"/>
      <c r="AC2579" s="133"/>
      <c r="AD2579" s="133"/>
      <c r="AE2579" s="133"/>
      <c r="AF2579" s="133"/>
      <c r="AG2579" s="133"/>
      <c r="AH2579" s="133"/>
      <c r="AI2579" s="133"/>
      <c r="AJ2579" s="133"/>
      <c r="AK2579" s="133"/>
      <c r="AL2579" s="133"/>
      <c r="AM2579" s="133"/>
      <c r="AN2579" s="133"/>
      <c r="AO2579" s="133"/>
      <c r="AP2579" s="133"/>
      <c r="AQ2579" s="133"/>
      <c r="AR2579" s="133"/>
      <c r="AS2579" s="153">
        <v>0</v>
      </c>
      <c r="AT2579" s="153">
        <v>0</v>
      </c>
      <c r="AU2579" s="153">
        <v>0</v>
      </c>
      <c r="AV2579" s="135"/>
      <c r="AW2579" s="135"/>
      <c r="AX2579" s="135"/>
      <c r="AY2579" s="135"/>
      <c r="AZ2579" s="135"/>
      <c r="BA2579" s="135"/>
      <c r="BB2579" s="135"/>
      <c r="BC2579" s="135"/>
      <c r="BD2579" s="135"/>
      <c r="BE2579" s="135"/>
      <c r="BF2579" s="135"/>
      <c r="BG2579" s="135"/>
      <c r="BH2579" s="135"/>
      <c r="BI2579" s="2"/>
      <c r="BJ2579" s="136"/>
      <c r="BK2579" s="2"/>
      <c r="BL2579" s="136"/>
      <c r="BM2579" s="136"/>
      <c r="BN2579" s="2"/>
      <c r="BO2579" s="2"/>
      <c r="BP2579" s="136"/>
      <c r="BQ2579" s="137"/>
    </row>
    <row r="2580" spans="1:69" ht="12.75" customHeight="1" x14ac:dyDescent="0.2">
      <c r="A2580" s="2">
        <v>4069</v>
      </c>
      <c r="B2580" s="2"/>
      <c r="C2580" s="2"/>
      <c r="D2580" s="2"/>
      <c r="E2580" s="2"/>
      <c r="F2580" s="132">
        <v>0</v>
      </c>
      <c r="G2580" s="132"/>
      <c r="H2580" s="132">
        <f t="shared" si="290"/>
        <v>0</v>
      </c>
      <c r="I2580" s="132"/>
      <c r="J2580" s="132">
        <f t="shared" si="288"/>
        <v>0</v>
      </c>
      <c r="K2580" s="132">
        <f t="shared" si="291"/>
        <v>0</v>
      </c>
      <c r="L2580" s="132">
        <f t="shared" si="292"/>
        <v>0</v>
      </c>
      <c r="M2580" s="133"/>
      <c r="N2580" s="133">
        <f t="shared" si="289"/>
        <v>0</v>
      </c>
      <c r="O2580" s="134"/>
      <c r="P2580" s="133"/>
      <c r="Q2580" s="2"/>
      <c r="R2580" s="156">
        <f t="shared" si="293"/>
        <v>0</v>
      </c>
      <c r="S2580" s="156">
        <f t="shared" si="294"/>
        <v>0</v>
      </c>
      <c r="T2580" s="133"/>
      <c r="U2580" s="133"/>
      <c r="V2580" s="133"/>
      <c r="W2580" s="133"/>
      <c r="X2580" s="133"/>
      <c r="Y2580" s="133"/>
      <c r="Z2580" s="133"/>
      <c r="AA2580" s="133"/>
      <c r="AB2580" s="133"/>
      <c r="AC2580" s="133"/>
      <c r="AD2580" s="133"/>
      <c r="AE2580" s="133"/>
      <c r="AF2580" s="133"/>
      <c r="AG2580" s="133"/>
      <c r="AH2580" s="133"/>
      <c r="AI2580" s="133"/>
      <c r="AJ2580" s="133"/>
      <c r="AK2580" s="133"/>
      <c r="AL2580" s="133"/>
      <c r="AM2580" s="133"/>
      <c r="AN2580" s="133"/>
      <c r="AO2580" s="133"/>
      <c r="AP2580" s="133"/>
      <c r="AQ2580" s="133"/>
      <c r="AR2580" s="133"/>
      <c r="AS2580" s="153">
        <v>0</v>
      </c>
      <c r="AT2580" s="153">
        <v>0</v>
      </c>
      <c r="AU2580" s="153">
        <v>0</v>
      </c>
      <c r="AV2580" s="135"/>
      <c r="AW2580" s="135"/>
      <c r="AX2580" s="135"/>
      <c r="AY2580" s="135"/>
      <c r="AZ2580" s="135"/>
      <c r="BA2580" s="135"/>
      <c r="BB2580" s="135"/>
      <c r="BC2580" s="135"/>
      <c r="BD2580" s="135"/>
      <c r="BE2580" s="135"/>
      <c r="BF2580" s="135"/>
      <c r="BG2580" s="135"/>
      <c r="BH2580" s="135"/>
      <c r="BI2580" s="2"/>
      <c r="BJ2580" s="136"/>
      <c r="BK2580" s="2"/>
      <c r="BL2580" s="136"/>
      <c r="BM2580" s="136"/>
      <c r="BN2580" s="2"/>
      <c r="BO2580" s="2"/>
      <c r="BP2580" s="136"/>
      <c r="BQ2580" s="137"/>
    </row>
    <row r="2581" spans="1:69" ht="12.75" customHeight="1" x14ac:dyDescent="0.2">
      <c r="A2581" s="2">
        <v>4070</v>
      </c>
      <c r="B2581" s="2"/>
      <c r="C2581" s="2"/>
      <c r="D2581" s="2"/>
      <c r="E2581" s="2"/>
      <c r="F2581" s="132">
        <v>0</v>
      </c>
      <c r="G2581" s="132"/>
      <c r="H2581" s="132">
        <f t="shared" si="290"/>
        <v>0</v>
      </c>
      <c r="I2581" s="132"/>
      <c r="J2581" s="132">
        <f t="shared" si="288"/>
        <v>0</v>
      </c>
      <c r="K2581" s="132">
        <f t="shared" si="291"/>
        <v>0</v>
      </c>
      <c r="L2581" s="132">
        <f t="shared" si="292"/>
        <v>0</v>
      </c>
      <c r="M2581" s="133"/>
      <c r="N2581" s="133">
        <f t="shared" si="289"/>
        <v>0</v>
      </c>
      <c r="O2581" s="134"/>
      <c r="P2581" s="133"/>
      <c r="Q2581" s="2"/>
      <c r="R2581" s="156">
        <f t="shared" si="293"/>
        <v>0</v>
      </c>
      <c r="S2581" s="156">
        <f t="shared" si="294"/>
        <v>0</v>
      </c>
      <c r="T2581" s="133"/>
      <c r="U2581" s="133"/>
      <c r="V2581" s="133"/>
      <c r="W2581" s="133"/>
      <c r="X2581" s="133"/>
      <c r="Y2581" s="133"/>
      <c r="Z2581" s="133"/>
      <c r="AA2581" s="133"/>
      <c r="AB2581" s="133"/>
      <c r="AC2581" s="133"/>
      <c r="AD2581" s="133"/>
      <c r="AE2581" s="133"/>
      <c r="AF2581" s="133"/>
      <c r="AG2581" s="133"/>
      <c r="AH2581" s="133"/>
      <c r="AI2581" s="133"/>
      <c r="AJ2581" s="133"/>
      <c r="AK2581" s="133"/>
      <c r="AL2581" s="133"/>
      <c r="AM2581" s="133"/>
      <c r="AN2581" s="133"/>
      <c r="AO2581" s="133"/>
      <c r="AP2581" s="133"/>
      <c r="AQ2581" s="133"/>
      <c r="AR2581" s="133"/>
      <c r="AS2581" s="153">
        <v>0</v>
      </c>
      <c r="AT2581" s="153">
        <v>0</v>
      </c>
      <c r="AU2581" s="153">
        <v>0</v>
      </c>
      <c r="AV2581" s="135"/>
      <c r="AW2581" s="135"/>
      <c r="AX2581" s="135"/>
      <c r="AY2581" s="135"/>
      <c r="AZ2581" s="135"/>
      <c r="BA2581" s="135"/>
      <c r="BB2581" s="135"/>
      <c r="BC2581" s="135"/>
      <c r="BD2581" s="135"/>
      <c r="BE2581" s="135"/>
      <c r="BF2581" s="135"/>
      <c r="BG2581" s="135"/>
      <c r="BH2581" s="135"/>
      <c r="BI2581" s="2"/>
      <c r="BJ2581" s="136"/>
      <c r="BK2581" s="2"/>
      <c r="BL2581" s="136"/>
      <c r="BM2581" s="136"/>
      <c r="BN2581" s="2"/>
      <c r="BO2581" s="2"/>
      <c r="BP2581" s="136"/>
      <c r="BQ2581" s="137"/>
    </row>
    <row r="2582" spans="1:69" ht="12.75" customHeight="1" x14ac:dyDescent="0.2">
      <c r="A2582" s="2">
        <v>4071</v>
      </c>
      <c r="B2582" s="2"/>
      <c r="C2582" s="2"/>
      <c r="D2582" s="2"/>
      <c r="E2582" s="2"/>
      <c r="F2582" s="132">
        <v>0</v>
      </c>
      <c r="G2582" s="132"/>
      <c r="H2582" s="132">
        <f t="shared" si="290"/>
        <v>0</v>
      </c>
      <c r="I2582" s="132"/>
      <c r="J2582" s="132">
        <f t="shared" si="288"/>
        <v>0</v>
      </c>
      <c r="K2582" s="132">
        <f t="shared" si="291"/>
        <v>0</v>
      </c>
      <c r="L2582" s="132">
        <f t="shared" si="292"/>
        <v>0</v>
      </c>
      <c r="M2582" s="133"/>
      <c r="N2582" s="133">
        <f t="shared" si="289"/>
        <v>0</v>
      </c>
      <c r="O2582" s="134"/>
      <c r="P2582" s="133"/>
      <c r="Q2582" s="2"/>
      <c r="R2582" s="156">
        <f t="shared" si="293"/>
        <v>0</v>
      </c>
      <c r="S2582" s="156">
        <f t="shared" si="294"/>
        <v>0</v>
      </c>
      <c r="T2582" s="133"/>
      <c r="U2582" s="133"/>
      <c r="V2582" s="133"/>
      <c r="W2582" s="133"/>
      <c r="X2582" s="133"/>
      <c r="Y2582" s="133"/>
      <c r="Z2582" s="133"/>
      <c r="AA2582" s="133"/>
      <c r="AB2582" s="133"/>
      <c r="AC2582" s="133"/>
      <c r="AD2582" s="133"/>
      <c r="AE2582" s="133"/>
      <c r="AF2582" s="133"/>
      <c r="AG2582" s="133"/>
      <c r="AH2582" s="133"/>
      <c r="AI2582" s="133"/>
      <c r="AJ2582" s="133"/>
      <c r="AK2582" s="133"/>
      <c r="AL2582" s="133"/>
      <c r="AM2582" s="133"/>
      <c r="AN2582" s="133"/>
      <c r="AO2582" s="133"/>
      <c r="AP2582" s="133"/>
      <c r="AQ2582" s="133"/>
      <c r="AR2582" s="133"/>
      <c r="AS2582" s="153">
        <v>0</v>
      </c>
      <c r="AT2582" s="153">
        <v>0</v>
      </c>
      <c r="AU2582" s="153">
        <v>0</v>
      </c>
      <c r="AV2582" s="135"/>
      <c r="AW2582" s="135"/>
      <c r="AX2582" s="135"/>
      <c r="AY2582" s="135"/>
      <c r="AZ2582" s="135"/>
      <c r="BA2582" s="135"/>
      <c r="BB2582" s="135"/>
      <c r="BC2582" s="135"/>
      <c r="BD2582" s="135"/>
      <c r="BE2582" s="135"/>
      <c r="BF2582" s="135"/>
      <c r="BG2582" s="135"/>
      <c r="BH2582" s="135"/>
      <c r="BI2582" s="2"/>
      <c r="BJ2582" s="136"/>
      <c r="BK2582" s="2"/>
      <c r="BL2582" s="136"/>
      <c r="BM2582" s="136"/>
      <c r="BN2582" s="2"/>
      <c r="BO2582" s="2"/>
      <c r="BP2582" s="136"/>
      <c r="BQ2582" s="137"/>
    </row>
    <row r="2583" spans="1:69" ht="12.75" customHeight="1" x14ac:dyDescent="0.2">
      <c r="A2583" s="2">
        <v>4072</v>
      </c>
      <c r="B2583" s="2"/>
      <c r="C2583" s="2"/>
      <c r="D2583" s="2"/>
      <c r="E2583" s="2"/>
      <c r="F2583" s="132">
        <v>0</v>
      </c>
      <c r="G2583" s="132"/>
      <c r="H2583" s="132">
        <f t="shared" si="290"/>
        <v>0</v>
      </c>
      <c r="I2583" s="132"/>
      <c r="J2583" s="132">
        <f t="shared" si="288"/>
        <v>0</v>
      </c>
      <c r="K2583" s="132">
        <f t="shared" si="291"/>
        <v>0</v>
      </c>
      <c r="L2583" s="132">
        <f t="shared" si="292"/>
        <v>0</v>
      </c>
      <c r="M2583" s="133"/>
      <c r="N2583" s="133">
        <f t="shared" si="289"/>
        <v>0</v>
      </c>
      <c r="O2583" s="134"/>
      <c r="P2583" s="133"/>
      <c r="Q2583" s="2"/>
      <c r="R2583" s="156">
        <f t="shared" si="293"/>
        <v>0</v>
      </c>
      <c r="S2583" s="156">
        <f t="shared" si="294"/>
        <v>0</v>
      </c>
      <c r="T2583" s="133"/>
      <c r="U2583" s="133"/>
      <c r="V2583" s="133"/>
      <c r="W2583" s="133"/>
      <c r="X2583" s="133"/>
      <c r="Y2583" s="133"/>
      <c r="Z2583" s="133"/>
      <c r="AA2583" s="133"/>
      <c r="AB2583" s="133"/>
      <c r="AC2583" s="133"/>
      <c r="AD2583" s="133"/>
      <c r="AE2583" s="133"/>
      <c r="AF2583" s="133"/>
      <c r="AG2583" s="133"/>
      <c r="AH2583" s="133"/>
      <c r="AI2583" s="133"/>
      <c r="AJ2583" s="133"/>
      <c r="AK2583" s="133"/>
      <c r="AL2583" s="133"/>
      <c r="AM2583" s="133"/>
      <c r="AN2583" s="133"/>
      <c r="AO2583" s="133"/>
      <c r="AP2583" s="133"/>
      <c r="AQ2583" s="133"/>
      <c r="AR2583" s="133"/>
      <c r="AS2583" s="153">
        <v>0</v>
      </c>
      <c r="AT2583" s="153">
        <v>0</v>
      </c>
      <c r="AU2583" s="153">
        <v>0</v>
      </c>
      <c r="AV2583" s="135"/>
      <c r="AW2583" s="135"/>
      <c r="AX2583" s="135"/>
      <c r="AY2583" s="135"/>
      <c r="AZ2583" s="135"/>
      <c r="BA2583" s="135"/>
      <c r="BB2583" s="135"/>
      <c r="BC2583" s="135"/>
      <c r="BD2583" s="135"/>
      <c r="BE2583" s="135"/>
      <c r="BF2583" s="135"/>
      <c r="BG2583" s="135"/>
      <c r="BH2583" s="135"/>
      <c r="BI2583" s="2"/>
      <c r="BJ2583" s="136"/>
      <c r="BK2583" s="2"/>
      <c r="BL2583" s="136"/>
      <c r="BM2583" s="136"/>
      <c r="BN2583" s="2"/>
      <c r="BO2583" s="2"/>
      <c r="BP2583" s="136"/>
      <c r="BQ2583" s="137"/>
    </row>
    <row r="2584" spans="1:69" ht="12.75" customHeight="1" x14ac:dyDescent="0.2">
      <c r="A2584" s="2">
        <v>4073</v>
      </c>
      <c r="B2584" s="2"/>
      <c r="C2584" s="2"/>
      <c r="D2584" s="2"/>
      <c r="E2584" s="2"/>
      <c r="F2584" s="132">
        <v>0</v>
      </c>
      <c r="G2584" s="132"/>
      <c r="H2584" s="132">
        <f t="shared" si="290"/>
        <v>0</v>
      </c>
      <c r="I2584" s="132"/>
      <c r="J2584" s="132">
        <f t="shared" si="288"/>
        <v>0</v>
      </c>
      <c r="K2584" s="132">
        <f t="shared" si="291"/>
        <v>0</v>
      </c>
      <c r="L2584" s="132">
        <f t="shared" si="292"/>
        <v>0</v>
      </c>
      <c r="M2584" s="133"/>
      <c r="N2584" s="133">
        <f t="shared" si="289"/>
        <v>0</v>
      </c>
      <c r="O2584" s="134"/>
      <c r="P2584" s="133"/>
      <c r="Q2584" s="2"/>
      <c r="R2584" s="156">
        <f t="shared" si="293"/>
        <v>0</v>
      </c>
      <c r="S2584" s="156">
        <f t="shared" si="294"/>
        <v>0</v>
      </c>
      <c r="T2584" s="133"/>
      <c r="U2584" s="133"/>
      <c r="V2584" s="133"/>
      <c r="W2584" s="133"/>
      <c r="X2584" s="133"/>
      <c r="Y2584" s="133"/>
      <c r="Z2584" s="133"/>
      <c r="AA2584" s="133"/>
      <c r="AB2584" s="133"/>
      <c r="AC2584" s="133"/>
      <c r="AD2584" s="133"/>
      <c r="AE2584" s="133"/>
      <c r="AF2584" s="133"/>
      <c r="AG2584" s="133"/>
      <c r="AH2584" s="133"/>
      <c r="AI2584" s="133"/>
      <c r="AJ2584" s="133"/>
      <c r="AK2584" s="133"/>
      <c r="AL2584" s="133"/>
      <c r="AM2584" s="133"/>
      <c r="AN2584" s="133"/>
      <c r="AO2584" s="133"/>
      <c r="AP2584" s="133"/>
      <c r="AQ2584" s="133"/>
      <c r="AR2584" s="133"/>
      <c r="AS2584" s="153">
        <v>0</v>
      </c>
      <c r="AT2584" s="153">
        <v>0</v>
      </c>
      <c r="AU2584" s="153">
        <v>0</v>
      </c>
      <c r="AV2584" s="135"/>
      <c r="AW2584" s="135"/>
      <c r="AX2584" s="135"/>
      <c r="AY2584" s="135"/>
      <c r="AZ2584" s="135"/>
      <c r="BA2584" s="135"/>
      <c r="BB2584" s="135"/>
      <c r="BC2584" s="135"/>
      <c r="BD2584" s="135"/>
      <c r="BE2584" s="135"/>
      <c r="BF2584" s="135"/>
      <c r="BG2584" s="135"/>
      <c r="BH2584" s="135"/>
      <c r="BI2584" s="2"/>
      <c r="BJ2584" s="136"/>
      <c r="BK2584" s="2"/>
      <c r="BL2584" s="136"/>
      <c r="BM2584" s="136"/>
      <c r="BN2584" s="2"/>
      <c r="BO2584" s="2"/>
      <c r="BP2584" s="136"/>
      <c r="BQ2584" s="137"/>
    </row>
    <row r="2585" spans="1:69" ht="12.75" customHeight="1" x14ac:dyDescent="0.2">
      <c r="A2585" s="2">
        <v>4074</v>
      </c>
      <c r="B2585" s="2"/>
      <c r="C2585" s="2"/>
      <c r="D2585" s="2"/>
      <c r="E2585" s="2"/>
      <c r="F2585" s="132">
        <v>0</v>
      </c>
      <c r="G2585" s="132"/>
      <c r="H2585" s="132">
        <f t="shared" si="290"/>
        <v>0</v>
      </c>
      <c r="I2585" s="132"/>
      <c r="J2585" s="132">
        <f t="shared" si="288"/>
        <v>0</v>
      </c>
      <c r="K2585" s="132">
        <f t="shared" si="291"/>
        <v>0</v>
      </c>
      <c r="L2585" s="132">
        <f t="shared" si="292"/>
        <v>0</v>
      </c>
      <c r="M2585" s="133"/>
      <c r="N2585" s="133">
        <f t="shared" si="289"/>
        <v>0</v>
      </c>
      <c r="O2585" s="134"/>
      <c r="P2585" s="133"/>
      <c r="Q2585" s="2"/>
      <c r="R2585" s="156">
        <f t="shared" si="293"/>
        <v>0</v>
      </c>
      <c r="S2585" s="156">
        <f t="shared" si="294"/>
        <v>0</v>
      </c>
      <c r="T2585" s="133"/>
      <c r="U2585" s="133"/>
      <c r="V2585" s="133"/>
      <c r="W2585" s="133"/>
      <c r="X2585" s="133"/>
      <c r="Y2585" s="133"/>
      <c r="Z2585" s="133"/>
      <c r="AA2585" s="133"/>
      <c r="AB2585" s="133"/>
      <c r="AC2585" s="133"/>
      <c r="AD2585" s="133"/>
      <c r="AE2585" s="133"/>
      <c r="AF2585" s="133"/>
      <c r="AG2585" s="133"/>
      <c r="AH2585" s="133"/>
      <c r="AI2585" s="133"/>
      <c r="AJ2585" s="133"/>
      <c r="AK2585" s="133"/>
      <c r="AL2585" s="133"/>
      <c r="AM2585" s="133"/>
      <c r="AN2585" s="133"/>
      <c r="AO2585" s="133"/>
      <c r="AP2585" s="133"/>
      <c r="AQ2585" s="133"/>
      <c r="AR2585" s="133"/>
      <c r="AS2585" s="153">
        <v>0</v>
      </c>
      <c r="AT2585" s="153">
        <v>0</v>
      </c>
      <c r="AU2585" s="153">
        <v>0</v>
      </c>
      <c r="AV2585" s="135"/>
      <c r="AW2585" s="135"/>
      <c r="AX2585" s="135"/>
      <c r="AY2585" s="135"/>
      <c r="AZ2585" s="135"/>
      <c r="BA2585" s="135"/>
      <c r="BB2585" s="135"/>
      <c r="BC2585" s="135"/>
      <c r="BD2585" s="135"/>
      <c r="BE2585" s="135"/>
      <c r="BF2585" s="135"/>
      <c r="BG2585" s="135"/>
      <c r="BH2585" s="135"/>
      <c r="BI2585" s="2"/>
      <c r="BJ2585" s="136"/>
      <c r="BK2585" s="2"/>
      <c r="BL2585" s="136"/>
      <c r="BM2585" s="136"/>
      <c r="BN2585" s="2"/>
      <c r="BO2585" s="2"/>
      <c r="BP2585" s="136"/>
      <c r="BQ2585" s="137"/>
    </row>
    <row r="2586" spans="1:69" ht="12.75" customHeight="1" x14ac:dyDescent="0.2">
      <c r="A2586" s="2">
        <v>4075</v>
      </c>
      <c r="B2586" s="2"/>
      <c r="C2586" s="2"/>
      <c r="D2586" s="2"/>
      <c r="E2586" s="2"/>
      <c r="F2586" s="132">
        <v>0</v>
      </c>
      <c r="G2586" s="132"/>
      <c r="H2586" s="132">
        <f t="shared" si="290"/>
        <v>0</v>
      </c>
      <c r="I2586" s="132"/>
      <c r="J2586" s="132">
        <f t="shared" si="288"/>
        <v>0</v>
      </c>
      <c r="K2586" s="132">
        <f t="shared" si="291"/>
        <v>0</v>
      </c>
      <c r="L2586" s="132">
        <f t="shared" si="292"/>
        <v>0</v>
      </c>
      <c r="M2586" s="133"/>
      <c r="N2586" s="133">
        <f t="shared" si="289"/>
        <v>0</v>
      </c>
      <c r="O2586" s="134"/>
      <c r="P2586" s="133"/>
      <c r="Q2586" s="2"/>
      <c r="R2586" s="156">
        <f t="shared" si="293"/>
        <v>0</v>
      </c>
      <c r="S2586" s="156">
        <f t="shared" si="294"/>
        <v>0</v>
      </c>
      <c r="T2586" s="133"/>
      <c r="U2586" s="133"/>
      <c r="V2586" s="133"/>
      <c r="W2586" s="133"/>
      <c r="X2586" s="133"/>
      <c r="Y2586" s="133"/>
      <c r="Z2586" s="133"/>
      <c r="AA2586" s="133"/>
      <c r="AB2586" s="133"/>
      <c r="AC2586" s="133"/>
      <c r="AD2586" s="133"/>
      <c r="AE2586" s="133"/>
      <c r="AF2586" s="133"/>
      <c r="AG2586" s="133"/>
      <c r="AH2586" s="133"/>
      <c r="AI2586" s="133"/>
      <c r="AJ2586" s="133"/>
      <c r="AK2586" s="133"/>
      <c r="AL2586" s="133"/>
      <c r="AM2586" s="133"/>
      <c r="AN2586" s="133"/>
      <c r="AO2586" s="133"/>
      <c r="AP2586" s="133"/>
      <c r="AQ2586" s="133"/>
      <c r="AR2586" s="133"/>
      <c r="AS2586" s="153">
        <v>0</v>
      </c>
      <c r="AT2586" s="153">
        <v>0</v>
      </c>
      <c r="AU2586" s="153">
        <v>0</v>
      </c>
      <c r="AV2586" s="135"/>
      <c r="AW2586" s="135"/>
      <c r="AX2586" s="135"/>
      <c r="AY2586" s="135"/>
      <c r="AZ2586" s="135"/>
      <c r="BA2586" s="135"/>
      <c r="BB2586" s="135"/>
      <c r="BC2586" s="135"/>
      <c r="BD2586" s="135"/>
      <c r="BE2586" s="135"/>
      <c r="BF2586" s="135"/>
      <c r="BG2586" s="135"/>
      <c r="BH2586" s="135"/>
      <c r="BI2586" s="2"/>
      <c r="BJ2586" s="136"/>
      <c r="BK2586" s="2"/>
      <c r="BL2586" s="136"/>
      <c r="BM2586" s="136"/>
      <c r="BN2586" s="2"/>
      <c r="BO2586" s="2"/>
      <c r="BP2586" s="136"/>
      <c r="BQ2586" s="137"/>
    </row>
    <row r="2587" spans="1:69" ht="12.75" customHeight="1" x14ac:dyDescent="0.2">
      <c r="A2587" s="2">
        <v>4076</v>
      </c>
      <c r="B2587" s="2"/>
      <c r="C2587" s="2"/>
      <c r="D2587" s="2"/>
      <c r="E2587" s="2"/>
      <c r="F2587" s="132">
        <v>0</v>
      </c>
      <c r="G2587" s="132"/>
      <c r="H2587" s="132">
        <f t="shared" si="290"/>
        <v>0</v>
      </c>
      <c r="I2587" s="132"/>
      <c r="J2587" s="132">
        <f t="shared" si="288"/>
        <v>0</v>
      </c>
      <c r="K2587" s="132">
        <f t="shared" si="291"/>
        <v>0</v>
      </c>
      <c r="L2587" s="132">
        <f t="shared" si="292"/>
        <v>0</v>
      </c>
      <c r="M2587" s="133"/>
      <c r="N2587" s="133">
        <f t="shared" si="289"/>
        <v>0</v>
      </c>
      <c r="O2587" s="134"/>
      <c r="P2587" s="133"/>
      <c r="Q2587" s="2"/>
      <c r="R2587" s="156">
        <f t="shared" si="293"/>
        <v>0</v>
      </c>
      <c r="S2587" s="156">
        <f t="shared" si="294"/>
        <v>0</v>
      </c>
      <c r="T2587" s="133"/>
      <c r="U2587" s="133"/>
      <c r="V2587" s="133"/>
      <c r="W2587" s="133"/>
      <c r="X2587" s="133"/>
      <c r="Y2587" s="133"/>
      <c r="Z2587" s="133"/>
      <c r="AA2587" s="133"/>
      <c r="AB2587" s="133"/>
      <c r="AC2587" s="133"/>
      <c r="AD2587" s="133"/>
      <c r="AE2587" s="133"/>
      <c r="AF2587" s="133"/>
      <c r="AG2587" s="133"/>
      <c r="AH2587" s="133"/>
      <c r="AI2587" s="133"/>
      <c r="AJ2587" s="133"/>
      <c r="AK2587" s="133"/>
      <c r="AL2587" s="133"/>
      <c r="AM2587" s="133"/>
      <c r="AN2587" s="133"/>
      <c r="AO2587" s="133"/>
      <c r="AP2587" s="133"/>
      <c r="AQ2587" s="133"/>
      <c r="AR2587" s="133"/>
      <c r="AS2587" s="153">
        <v>0</v>
      </c>
      <c r="AT2587" s="153">
        <v>0</v>
      </c>
      <c r="AU2587" s="153">
        <v>0</v>
      </c>
      <c r="AV2587" s="135"/>
      <c r="AW2587" s="135"/>
      <c r="AX2587" s="135"/>
      <c r="AY2587" s="135"/>
      <c r="AZ2587" s="135"/>
      <c r="BA2587" s="135"/>
      <c r="BB2587" s="135"/>
      <c r="BC2587" s="135"/>
      <c r="BD2587" s="135"/>
      <c r="BE2587" s="135"/>
      <c r="BF2587" s="135"/>
      <c r="BG2587" s="135"/>
      <c r="BH2587" s="135"/>
      <c r="BI2587" s="2"/>
      <c r="BJ2587" s="136"/>
      <c r="BK2587" s="2"/>
      <c r="BL2587" s="136"/>
      <c r="BM2587" s="136"/>
      <c r="BN2587" s="2"/>
      <c r="BO2587" s="2"/>
      <c r="BP2587" s="136"/>
      <c r="BQ2587" s="137"/>
    </row>
    <row r="2588" spans="1:69" ht="12.75" customHeight="1" x14ac:dyDescent="0.2">
      <c r="A2588" s="2">
        <v>4077</v>
      </c>
      <c r="B2588" s="2"/>
      <c r="C2588" s="2"/>
      <c r="D2588" s="2"/>
      <c r="E2588" s="2"/>
      <c r="F2588" s="132">
        <v>0</v>
      </c>
      <c r="G2588" s="132"/>
      <c r="H2588" s="132">
        <f t="shared" si="290"/>
        <v>0</v>
      </c>
      <c r="I2588" s="132"/>
      <c r="J2588" s="132">
        <f t="shared" si="288"/>
        <v>0</v>
      </c>
      <c r="K2588" s="132">
        <f t="shared" si="291"/>
        <v>0</v>
      </c>
      <c r="L2588" s="132">
        <f t="shared" si="292"/>
        <v>0</v>
      </c>
      <c r="M2588" s="133"/>
      <c r="N2588" s="133">
        <f t="shared" si="289"/>
        <v>0</v>
      </c>
      <c r="O2588" s="134"/>
      <c r="P2588" s="133"/>
      <c r="Q2588" s="2"/>
      <c r="R2588" s="156">
        <f t="shared" si="293"/>
        <v>0</v>
      </c>
      <c r="S2588" s="156">
        <f t="shared" si="294"/>
        <v>0</v>
      </c>
      <c r="T2588" s="133"/>
      <c r="U2588" s="133"/>
      <c r="V2588" s="133"/>
      <c r="W2588" s="133"/>
      <c r="X2588" s="133"/>
      <c r="Y2588" s="133"/>
      <c r="Z2588" s="133"/>
      <c r="AA2588" s="133"/>
      <c r="AB2588" s="133"/>
      <c r="AC2588" s="133"/>
      <c r="AD2588" s="133"/>
      <c r="AE2588" s="133"/>
      <c r="AF2588" s="133"/>
      <c r="AG2588" s="133"/>
      <c r="AH2588" s="133"/>
      <c r="AI2588" s="133"/>
      <c r="AJ2588" s="133"/>
      <c r="AK2588" s="133"/>
      <c r="AL2588" s="133"/>
      <c r="AM2588" s="133"/>
      <c r="AN2588" s="133"/>
      <c r="AO2588" s="133"/>
      <c r="AP2588" s="133"/>
      <c r="AQ2588" s="133"/>
      <c r="AR2588" s="133"/>
      <c r="AS2588" s="153">
        <v>0</v>
      </c>
      <c r="AT2588" s="153">
        <v>0</v>
      </c>
      <c r="AU2588" s="153">
        <v>0</v>
      </c>
      <c r="AV2588" s="135"/>
      <c r="AW2588" s="135"/>
      <c r="AX2588" s="135"/>
      <c r="AY2588" s="135"/>
      <c r="AZ2588" s="135"/>
      <c r="BA2588" s="135"/>
      <c r="BB2588" s="135"/>
      <c r="BC2588" s="135"/>
      <c r="BD2588" s="135"/>
      <c r="BE2588" s="135"/>
      <c r="BF2588" s="135"/>
      <c r="BG2588" s="135"/>
      <c r="BH2588" s="135"/>
      <c r="BI2588" s="2"/>
      <c r="BJ2588" s="136"/>
      <c r="BK2588" s="2"/>
      <c r="BL2588" s="136"/>
      <c r="BM2588" s="136"/>
      <c r="BN2588" s="2"/>
      <c r="BO2588" s="2"/>
      <c r="BP2588" s="136"/>
      <c r="BQ2588" s="137"/>
    </row>
    <row r="2589" spans="1:69" ht="12.75" customHeight="1" x14ac:dyDescent="0.2">
      <c r="A2589" s="2">
        <v>4078</v>
      </c>
      <c r="B2589" s="2"/>
      <c r="C2589" s="2"/>
      <c r="D2589" s="2"/>
      <c r="E2589" s="2"/>
      <c r="F2589" s="132">
        <v>0</v>
      </c>
      <c r="G2589" s="132"/>
      <c r="H2589" s="132">
        <f t="shared" si="290"/>
        <v>0</v>
      </c>
      <c r="I2589" s="132"/>
      <c r="J2589" s="132">
        <f t="shared" si="288"/>
        <v>0</v>
      </c>
      <c r="K2589" s="132">
        <f t="shared" si="291"/>
        <v>0</v>
      </c>
      <c r="L2589" s="132">
        <f t="shared" si="292"/>
        <v>0</v>
      </c>
      <c r="M2589" s="133"/>
      <c r="N2589" s="133">
        <f t="shared" si="289"/>
        <v>0</v>
      </c>
      <c r="O2589" s="134"/>
      <c r="P2589" s="133"/>
      <c r="Q2589" s="2"/>
      <c r="R2589" s="156">
        <f t="shared" si="293"/>
        <v>0</v>
      </c>
      <c r="S2589" s="156">
        <f t="shared" si="294"/>
        <v>0</v>
      </c>
      <c r="T2589" s="133"/>
      <c r="U2589" s="133"/>
      <c r="V2589" s="133"/>
      <c r="W2589" s="133"/>
      <c r="X2589" s="133"/>
      <c r="Y2589" s="133"/>
      <c r="Z2589" s="133"/>
      <c r="AA2589" s="133"/>
      <c r="AB2589" s="133"/>
      <c r="AC2589" s="133"/>
      <c r="AD2589" s="133"/>
      <c r="AE2589" s="133"/>
      <c r="AF2589" s="133"/>
      <c r="AG2589" s="133"/>
      <c r="AH2589" s="133"/>
      <c r="AI2589" s="133"/>
      <c r="AJ2589" s="133"/>
      <c r="AK2589" s="133"/>
      <c r="AL2589" s="133"/>
      <c r="AM2589" s="133"/>
      <c r="AN2589" s="133"/>
      <c r="AO2589" s="133"/>
      <c r="AP2589" s="133"/>
      <c r="AQ2589" s="133"/>
      <c r="AR2589" s="133"/>
      <c r="AS2589" s="153">
        <v>0</v>
      </c>
      <c r="AT2589" s="153">
        <v>0</v>
      </c>
      <c r="AU2589" s="153">
        <v>0</v>
      </c>
      <c r="AV2589" s="135"/>
      <c r="AW2589" s="135"/>
      <c r="AX2589" s="135"/>
      <c r="AY2589" s="135"/>
      <c r="AZ2589" s="135"/>
      <c r="BA2589" s="135"/>
      <c r="BB2589" s="135"/>
      <c r="BC2589" s="135"/>
      <c r="BD2589" s="135"/>
      <c r="BE2589" s="135"/>
      <c r="BF2589" s="135"/>
      <c r="BG2589" s="135"/>
      <c r="BH2589" s="135"/>
      <c r="BI2589" s="2"/>
      <c r="BJ2589" s="136"/>
      <c r="BK2589" s="2"/>
      <c r="BL2589" s="136"/>
      <c r="BM2589" s="136"/>
      <c r="BN2589" s="2"/>
      <c r="BO2589" s="2"/>
      <c r="BP2589" s="136"/>
      <c r="BQ2589" s="137"/>
    </row>
    <row r="2590" spans="1:69" ht="12.75" customHeight="1" x14ac:dyDescent="0.2">
      <c r="A2590" s="2">
        <v>4079</v>
      </c>
      <c r="B2590" s="2"/>
      <c r="C2590" s="2"/>
      <c r="D2590" s="2"/>
      <c r="E2590" s="2"/>
      <c r="F2590" s="132">
        <v>0</v>
      </c>
      <c r="G2590" s="132"/>
      <c r="H2590" s="132">
        <f t="shared" si="290"/>
        <v>0</v>
      </c>
      <c r="I2590" s="132"/>
      <c r="J2590" s="132">
        <f t="shared" si="288"/>
        <v>0</v>
      </c>
      <c r="K2590" s="132">
        <f t="shared" si="291"/>
        <v>0</v>
      </c>
      <c r="L2590" s="132">
        <f t="shared" si="292"/>
        <v>0</v>
      </c>
      <c r="M2590" s="133"/>
      <c r="N2590" s="133">
        <f t="shared" si="289"/>
        <v>0</v>
      </c>
      <c r="O2590" s="134"/>
      <c r="P2590" s="133"/>
      <c r="Q2590" s="2"/>
      <c r="R2590" s="156">
        <f t="shared" si="293"/>
        <v>0</v>
      </c>
      <c r="S2590" s="156">
        <f t="shared" si="294"/>
        <v>0</v>
      </c>
      <c r="T2590" s="133"/>
      <c r="U2590" s="133"/>
      <c r="V2590" s="133"/>
      <c r="W2590" s="133"/>
      <c r="X2590" s="133"/>
      <c r="Y2590" s="133"/>
      <c r="Z2590" s="133"/>
      <c r="AA2590" s="133"/>
      <c r="AB2590" s="133"/>
      <c r="AC2590" s="133"/>
      <c r="AD2590" s="133"/>
      <c r="AE2590" s="133"/>
      <c r="AF2590" s="133"/>
      <c r="AG2590" s="133"/>
      <c r="AH2590" s="133"/>
      <c r="AI2590" s="133"/>
      <c r="AJ2590" s="133"/>
      <c r="AK2590" s="133"/>
      <c r="AL2590" s="133"/>
      <c r="AM2590" s="133"/>
      <c r="AN2590" s="133"/>
      <c r="AO2590" s="133"/>
      <c r="AP2590" s="133"/>
      <c r="AQ2590" s="133"/>
      <c r="AR2590" s="133"/>
      <c r="AS2590" s="153">
        <v>0</v>
      </c>
      <c r="AT2590" s="153">
        <v>0</v>
      </c>
      <c r="AU2590" s="153">
        <v>0</v>
      </c>
      <c r="AV2590" s="135"/>
      <c r="AW2590" s="135"/>
      <c r="AX2590" s="135"/>
      <c r="AY2590" s="135"/>
      <c r="AZ2590" s="135"/>
      <c r="BA2590" s="135"/>
      <c r="BB2590" s="135"/>
      <c r="BC2590" s="135"/>
      <c r="BD2590" s="135"/>
      <c r="BE2590" s="135"/>
      <c r="BF2590" s="135"/>
      <c r="BG2590" s="135"/>
      <c r="BH2590" s="135"/>
      <c r="BI2590" s="2"/>
      <c r="BJ2590" s="136"/>
      <c r="BK2590" s="2"/>
      <c r="BL2590" s="136"/>
      <c r="BM2590" s="136"/>
      <c r="BN2590" s="2"/>
      <c r="BO2590" s="2"/>
      <c r="BP2590" s="136"/>
      <c r="BQ2590" s="137"/>
    </row>
    <row r="2591" spans="1:69" ht="12.75" customHeight="1" x14ac:dyDescent="0.2">
      <c r="A2591" s="2">
        <v>4080</v>
      </c>
      <c r="B2591" s="2"/>
      <c r="C2591" s="2"/>
      <c r="D2591" s="2"/>
      <c r="E2591" s="2"/>
      <c r="F2591" s="132">
        <v>0</v>
      </c>
      <c r="G2591" s="132"/>
      <c r="H2591" s="132">
        <f t="shared" si="290"/>
        <v>0</v>
      </c>
      <c r="I2591" s="132"/>
      <c r="J2591" s="132">
        <f t="shared" si="288"/>
        <v>0</v>
      </c>
      <c r="K2591" s="132">
        <f t="shared" si="291"/>
        <v>0</v>
      </c>
      <c r="L2591" s="132">
        <f t="shared" si="292"/>
        <v>0</v>
      </c>
      <c r="M2591" s="133"/>
      <c r="N2591" s="133">
        <f t="shared" si="289"/>
        <v>0</v>
      </c>
      <c r="O2591" s="134"/>
      <c r="P2591" s="133"/>
      <c r="Q2591" s="2"/>
      <c r="R2591" s="156">
        <f t="shared" si="293"/>
        <v>0</v>
      </c>
      <c r="S2591" s="156">
        <f t="shared" si="294"/>
        <v>0</v>
      </c>
      <c r="T2591" s="133"/>
      <c r="U2591" s="133"/>
      <c r="V2591" s="133"/>
      <c r="W2591" s="133"/>
      <c r="X2591" s="133"/>
      <c r="Y2591" s="133"/>
      <c r="Z2591" s="133"/>
      <c r="AA2591" s="133"/>
      <c r="AB2591" s="133"/>
      <c r="AC2591" s="133"/>
      <c r="AD2591" s="133"/>
      <c r="AE2591" s="133"/>
      <c r="AF2591" s="133"/>
      <c r="AG2591" s="133"/>
      <c r="AH2591" s="133"/>
      <c r="AI2591" s="133"/>
      <c r="AJ2591" s="133"/>
      <c r="AK2591" s="133"/>
      <c r="AL2591" s="133"/>
      <c r="AM2591" s="133"/>
      <c r="AN2591" s="133"/>
      <c r="AO2591" s="133"/>
      <c r="AP2591" s="133"/>
      <c r="AQ2591" s="133"/>
      <c r="AR2591" s="133"/>
      <c r="AS2591" s="153">
        <v>0</v>
      </c>
      <c r="AT2591" s="153">
        <v>0</v>
      </c>
      <c r="AU2591" s="153">
        <v>0</v>
      </c>
      <c r="AV2591" s="135"/>
      <c r="AW2591" s="135"/>
      <c r="AX2591" s="135"/>
      <c r="AY2591" s="135"/>
      <c r="AZ2591" s="135"/>
      <c r="BA2591" s="135"/>
      <c r="BB2591" s="135"/>
      <c r="BC2591" s="135"/>
      <c r="BD2591" s="135"/>
      <c r="BE2591" s="135"/>
      <c r="BF2591" s="135"/>
      <c r="BG2591" s="135"/>
      <c r="BH2591" s="135"/>
      <c r="BI2591" s="2"/>
      <c r="BJ2591" s="136"/>
      <c r="BK2591" s="2"/>
      <c r="BL2591" s="136"/>
      <c r="BM2591" s="136"/>
      <c r="BN2591" s="2"/>
      <c r="BO2591" s="2"/>
      <c r="BP2591" s="136"/>
      <c r="BQ2591" s="137"/>
    </row>
    <row r="2592" spans="1:69" ht="12.75" customHeight="1" x14ac:dyDescent="0.2">
      <c r="A2592" s="2">
        <v>4081</v>
      </c>
      <c r="B2592" s="2"/>
      <c r="C2592" s="2"/>
      <c r="D2592" s="2"/>
      <c r="E2592" s="2"/>
      <c r="F2592" s="132">
        <v>0</v>
      </c>
      <c r="G2592" s="132"/>
      <c r="H2592" s="132">
        <f t="shared" si="290"/>
        <v>0</v>
      </c>
      <c r="I2592" s="132"/>
      <c r="J2592" s="132">
        <f t="shared" si="288"/>
        <v>0</v>
      </c>
      <c r="K2592" s="132">
        <f t="shared" si="291"/>
        <v>0</v>
      </c>
      <c r="L2592" s="132">
        <f t="shared" si="292"/>
        <v>0</v>
      </c>
      <c r="M2592" s="133"/>
      <c r="N2592" s="133">
        <f t="shared" si="289"/>
        <v>0</v>
      </c>
      <c r="O2592" s="134"/>
      <c r="P2592" s="133"/>
      <c r="Q2592" s="2"/>
      <c r="R2592" s="156">
        <f t="shared" si="293"/>
        <v>0</v>
      </c>
      <c r="S2592" s="156">
        <f t="shared" si="294"/>
        <v>0</v>
      </c>
      <c r="T2592" s="133"/>
      <c r="U2592" s="133"/>
      <c r="V2592" s="133"/>
      <c r="W2592" s="133"/>
      <c r="X2592" s="133"/>
      <c r="Y2592" s="133"/>
      <c r="Z2592" s="133"/>
      <c r="AA2592" s="133"/>
      <c r="AB2592" s="133"/>
      <c r="AC2592" s="133"/>
      <c r="AD2592" s="133"/>
      <c r="AE2592" s="133"/>
      <c r="AF2592" s="133"/>
      <c r="AG2592" s="133"/>
      <c r="AH2592" s="133"/>
      <c r="AI2592" s="133"/>
      <c r="AJ2592" s="133"/>
      <c r="AK2592" s="133"/>
      <c r="AL2592" s="133"/>
      <c r="AM2592" s="133"/>
      <c r="AN2592" s="133"/>
      <c r="AO2592" s="133"/>
      <c r="AP2592" s="133"/>
      <c r="AQ2592" s="133"/>
      <c r="AR2592" s="133"/>
      <c r="AS2592" s="153">
        <v>0</v>
      </c>
      <c r="AT2592" s="153">
        <v>0</v>
      </c>
      <c r="AU2592" s="153">
        <v>0</v>
      </c>
      <c r="AV2592" s="135"/>
      <c r="AW2592" s="135"/>
      <c r="AX2592" s="135"/>
      <c r="AY2592" s="135"/>
      <c r="AZ2592" s="135"/>
      <c r="BA2592" s="135"/>
      <c r="BB2592" s="135"/>
      <c r="BC2592" s="135"/>
      <c r="BD2592" s="135"/>
      <c r="BE2592" s="135"/>
      <c r="BF2592" s="135"/>
      <c r="BG2592" s="135"/>
      <c r="BH2592" s="135"/>
      <c r="BI2592" s="2"/>
      <c r="BJ2592" s="136"/>
      <c r="BK2592" s="2"/>
      <c r="BL2592" s="136"/>
      <c r="BM2592" s="136"/>
      <c r="BN2592" s="2"/>
      <c r="BO2592" s="2"/>
      <c r="BP2592" s="136"/>
      <c r="BQ2592" s="137"/>
    </row>
    <row r="2593" spans="1:69" ht="12.75" customHeight="1" x14ac:dyDescent="0.2">
      <c r="A2593" s="2">
        <v>4082</v>
      </c>
      <c r="B2593" s="2"/>
      <c r="C2593" s="2"/>
      <c r="D2593" s="2"/>
      <c r="E2593" s="2"/>
      <c r="F2593" s="132">
        <v>0</v>
      </c>
      <c r="G2593" s="132"/>
      <c r="H2593" s="132">
        <f t="shared" si="290"/>
        <v>0</v>
      </c>
      <c r="I2593" s="132"/>
      <c r="J2593" s="132">
        <f t="shared" si="288"/>
        <v>0</v>
      </c>
      <c r="K2593" s="132">
        <f t="shared" si="291"/>
        <v>0</v>
      </c>
      <c r="L2593" s="132">
        <f t="shared" si="292"/>
        <v>0</v>
      </c>
      <c r="M2593" s="133"/>
      <c r="N2593" s="133">
        <f t="shared" si="289"/>
        <v>0</v>
      </c>
      <c r="O2593" s="134"/>
      <c r="P2593" s="133"/>
      <c r="Q2593" s="2"/>
      <c r="R2593" s="156">
        <f t="shared" si="293"/>
        <v>0</v>
      </c>
      <c r="S2593" s="156">
        <f t="shared" si="294"/>
        <v>0</v>
      </c>
      <c r="T2593" s="133"/>
      <c r="U2593" s="133"/>
      <c r="V2593" s="133"/>
      <c r="W2593" s="133"/>
      <c r="X2593" s="133"/>
      <c r="Y2593" s="133"/>
      <c r="Z2593" s="133"/>
      <c r="AA2593" s="133"/>
      <c r="AB2593" s="133"/>
      <c r="AC2593" s="133"/>
      <c r="AD2593" s="133"/>
      <c r="AE2593" s="133"/>
      <c r="AF2593" s="133"/>
      <c r="AG2593" s="133"/>
      <c r="AH2593" s="133"/>
      <c r="AI2593" s="133"/>
      <c r="AJ2593" s="133"/>
      <c r="AK2593" s="133"/>
      <c r="AL2593" s="133"/>
      <c r="AM2593" s="133"/>
      <c r="AN2593" s="133"/>
      <c r="AO2593" s="133"/>
      <c r="AP2593" s="133"/>
      <c r="AQ2593" s="133"/>
      <c r="AR2593" s="133"/>
      <c r="AS2593" s="153">
        <v>0</v>
      </c>
      <c r="AT2593" s="153">
        <v>0</v>
      </c>
      <c r="AU2593" s="153">
        <v>0</v>
      </c>
      <c r="AV2593" s="135"/>
      <c r="AW2593" s="135"/>
      <c r="AX2593" s="135"/>
      <c r="AY2593" s="135"/>
      <c r="AZ2593" s="135"/>
      <c r="BA2593" s="135"/>
      <c r="BB2593" s="135"/>
      <c r="BC2593" s="135"/>
      <c r="BD2593" s="135"/>
      <c r="BE2593" s="135"/>
      <c r="BF2593" s="135"/>
      <c r="BG2593" s="135"/>
      <c r="BH2593" s="135"/>
      <c r="BI2593" s="2"/>
      <c r="BJ2593" s="136"/>
      <c r="BK2593" s="2"/>
      <c r="BL2593" s="136"/>
      <c r="BM2593" s="136"/>
      <c r="BN2593" s="2"/>
      <c r="BO2593" s="2"/>
      <c r="BP2593" s="136"/>
      <c r="BQ2593" s="137"/>
    </row>
    <row r="2594" spans="1:69" ht="12.75" customHeight="1" x14ac:dyDescent="0.2">
      <c r="A2594" s="2">
        <v>4083</v>
      </c>
      <c r="B2594" s="2"/>
      <c r="C2594" s="2"/>
      <c r="D2594" s="2"/>
      <c r="E2594" s="2"/>
      <c r="F2594" s="132">
        <v>0</v>
      </c>
      <c r="G2594" s="132"/>
      <c r="H2594" s="132">
        <f t="shared" si="290"/>
        <v>0</v>
      </c>
      <c r="I2594" s="132"/>
      <c r="J2594" s="132">
        <f t="shared" si="288"/>
        <v>0</v>
      </c>
      <c r="K2594" s="132">
        <f t="shared" si="291"/>
        <v>0</v>
      </c>
      <c r="L2594" s="132">
        <f t="shared" si="292"/>
        <v>0</v>
      </c>
      <c r="M2594" s="133"/>
      <c r="N2594" s="133">
        <f t="shared" si="289"/>
        <v>0</v>
      </c>
      <c r="O2594" s="134"/>
      <c r="P2594" s="133"/>
      <c r="Q2594" s="2"/>
      <c r="R2594" s="156">
        <f t="shared" si="293"/>
        <v>0</v>
      </c>
      <c r="S2594" s="156">
        <f t="shared" si="294"/>
        <v>0</v>
      </c>
      <c r="T2594" s="133"/>
      <c r="U2594" s="133"/>
      <c r="V2594" s="133"/>
      <c r="W2594" s="133"/>
      <c r="X2594" s="133"/>
      <c r="Y2594" s="133"/>
      <c r="Z2594" s="133"/>
      <c r="AA2594" s="133"/>
      <c r="AB2594" s="133"/>
      <c r="AC2594" s="133"/>
      <c r="AD2594" s="133"/>
      <c r="AE2594" s="133"/>
      <c r="AF2594" s="133"/>
      <c r="AG2594" s="133"/>
      <c r="AH2594" s="133"/>
      <c r="AI2594" s="133"/>
      <c r="AJ2594" s="133"/>
      <c r="AK2594" s="133"/>
      <c r="AL2594" s="133"/>
      <c r="AM2594" s="133"/>
      <c r="AN2594" s="133"/>
      <c r="AO2594" s="133"/>
      <c r="AP2594" s="133"/>
      <c r="AQ2594" s="133"/>
      <c r="AR2594" s="133"/>
      <c r="AS2594" s="153">
        <v>0</v>
      </c>
      <c r="AT2594" s="153">
        <v>0</v>
      </c>
      <c r="AU2594" s="153">
        <v>0</v>
      </c>
      <c r="AV2594" s="135"/>
      <c r="AW2594" s="135"/>
      <c r="AX2594" s="135"/>
      <c r="AY2594" s="135"/>
      <c r="AZ2594" s="135"/>
      <c r="BA2594" s="135"/>
      <c r="BB2594" s="135"/>
      <c r="BC2594" s="135"/>
      <c r="BD2594" s="135"/>
      <c r="BE2594" s="135"/>
      <c r="BF2594" s="135"/>
      <c r="BG2594" s="135"/>
      <c r="BH2594" s="135"/>
      <c r="BI2594" s="2"/>
      <c r="BJ2594" s="136"/>
      <c r="BK2594" s="2"/>
      <c r="BL2594" s="136"/>
      <c r="BM2594" s="136"/>
      <c r="BN2594" s="2"/>
      <c r="BO2594" s="2"/>
      <c r="BP2594" s="136"/>
      <c r="BQ2594" s="137"/>
    </row>
    <row r="2595" spans="1:69" ht="12.75" customHeight="1" x14ac:dyDescent="0.2">
      <c r="A2595" s="2">
        <v>4084</v>
      </c>
      <c r="B2595" s="2"/>
      <c r="C2595" s="2"/>
      <c r="D2595" s="2"/>
      <c r="E2595" s="2"/>
      <c r="F2595" s="132">
        <v>0</v>
      </c>
      <c r="G2595" s="132"/>
      <c r="H2595" s="132">
        <f t="shared" si="290"/>
        <v>0</v>
      </c>
      <c r="I2595" s="132"/>
      <c r="J2595" s="132">
        <f t="shared" si="288"/>
        <v>0</v>
      </c>
      <c r="K2595" s="132">
        <f t="shared" si="291"/>
        <v>0</v>
      </c>
      <c r="L2595" s="132">
        <f t="shared" si="292"/>
        <v>0</v>
      </c>
      <c r="M2595" s="133"/>
      <c r="N2595" s="133">
        <f t="shared" si="289"/>
        <v>0</v>
      </c>
      <c r="O2595" s="134"/>
      <c r="P2595" s="133"/>
      <c r="Q2595" s="2"/>
      <c r="R2595" s="156">
        <f t="shared" si="293"/>
        <v>0</v>
      </c>
      <c r="S2595" s="156">
        <f t="shared" si="294"/>
        <v>0</v>
      </c>
      <c r="T2595" s="133"/>
      <c r="U2595" s="133"/>
      <c r="V2595" s="133"/>
      <c r="W2595" s="133"/>
      <c r="X2595" s="133"/>
      <c r="Y2595" s="133"/>
      <c r="Z2595" s="133"/>
      <c r="AA2595" s="133"/>
      <c r="AB2595" s="133"/>
      <c r="AC2595" s="133"/>
      <c r="AD2595" s="133"/>
      <c r="AE2595" s="133"/>
      <c r="AF2595" s="133"/>
      <c r="AG2595" s="133"/>
      <c r="AH2595" s="133"/>
      <c r="AI2595" s="133"/>
      <c r="AJ2595" s="133"/>
      <c r="AK2595" s="133"/>
      <c r="AL2595" s="133"/>
      <c r="AM2595" s="133"/>
      <c r="AN2595" s="133"/>
      <c r="AO2595" s="133"/>
      <c r="AP2595" s="133"/>
      <c r="AQ2595" s="133"/>
      <c r="AR2595" s="133"/>
      <c r="AS2595" s="153">
        <v>0</v>
      </c>
      <c r="AT2595" s="153">
        <v>0</v>
      </c>
      <c r="AU2595" s="153">
        <v>0</v>
      </c>
      <c r="AV2595" s="135"/>
      <c r="AW2595" s="135"/>
      <c r="AX2595" s="135"/>
      <c r="AY2595" s="135"/>
      <c r="AZ2595" s="135"/>
      <c r="BA2595" s="135"/>
      <c r="BB2595" s="135"/>
      <c r="BC2595" s="135"/>
      <c r="BD2595" s="135"/>
      <c r="BE2595" s="135"/>
      <c r="BF2595" s="135"/>
      <c r="BG2595" s="135"/>
      <c r="BH2595" s="135"/>
      <c r="BI2595" s="2"/>
      <c r="BJ2595" s="136"/>
      <c r="BK2595" s="2"/>
      <c r="BL2595" s="136"/>
      <c r="BM2595" s="136"/>
      <c r="BN2595" s="2"/>
      <c r="BO2595" s="2"/>
      <c r="BP2595" s="136"/>
      <c r="BQ2595" s="137"/>
    </row>
    <row r="2596" spans="1:69" ht="12.75" customHeight="1" x14ac:dyDescent="0.2">
      <c r="A2596" s="2">
        <v>4085</v>
      </c>
      <c r="B2596" s="2"/>
      <c r="C2596" s="2"/>
      <c r="D2596" s="2"/>
      <c r="E2596" s="2"/>
      <c r="F2596" s="132">
        <v>0</v>
      </c>
      <c r="G2596" s="132"/>
      <c r="H2596" s="132">
        <f t="shared" si="290"/>
        <v>0</v>
      </c>
      <c r="I2596" s="132"/>
      <c r="J2596" s="132">
        <f t="shared" ref="J2596:J2659" si="295">S2596</f>
        <v>0</v>
      </c>
      <c r="K2596" s="132">
        <f t="shared" si="291"/>
        <v>0</v>
      </c>
      <c r="L2596" s="132">
        <f t="shared" si="292"/>
        <v>0</v>
      </c>
      <c r="M2596" s="133"/>
      <c r="N2596" s="133">
        <f t="shared" si="289"/>
        <v>0</v>
      </c>
      <c r="O2596" s="134"/>
      <c r="P2596" s="133"/>
      <c r="Q2596" s="2"/>
      <c r="R2596" s="156">
        <f t="shared" si="293"/>
        <v>0</v>
      </c>
      <c r="S2596" s="156">
        <f t="shared" si="294"/>
        <v>0</v>
      </c>
      <c r="T2596" s="133"/>
      <c r="U2596" s="133"/>
      <c r="V2596" s="133"/>
      <c r="W2596" s="133"/>
      <c r="X2596" s="133"/>
      <c r="Y2596" s="133"/>
      <c r="Z2596" s="133"/>
      <c r="AA2596" s="133"/>
      <c r="AB2596" s="133"/>
      <c r="AC2596" s="133"/>
      <c r="AD2596" s="133"/>
      <c r="AE2596" s="133"/>
      <c r="AF2596" s="133"/>
      <c r="AG2596" s="133"/>
      <c r="AH2596" s="133"/>
      <c r="AI2596" s="133"/>
      <c r="AJ2596" s="133"/>
      <c r="AK2596" s="133"/>
      <c r="AL2596" s="133"/>
      <c r="AM2596" s="133"/>
      <c r="AN2596" s="133"/>
      <c r="AO2596" s="133"/>
      <c r="AP2596" s="133"/>
      <c r="AQ2596" s="133"/>
      <c r="AR2596" s="133"/>
      <c r="AS2596" s="153">
        <v>0</v>
      </c>
      <c r="AT2596" s="153">
        <v>0</v>
      </c>
      <c r="AU2596" s="153">
        <v>0</v>
      </c>
      <c r="AV2596" s="135"/>
      <c r="AW2596" s="135"/>
      <c r="AX2596" s="135"/>
      <c r="AY2596" s="135"/>
      <c r="AZ2596" s="135"/>
      <c r="BA2596" s="135"/>
      <c r="BB2596" s="135"/>
      <c r="BC2596" s="135"/>
      <c r="BD2596" s="135"/>
      <c r="BE2596" s="135"/>
      <c r="BF2596" s="135"/>
      <c r="BG2596" s="135"/>
      <c r="BH2596" s="135"/>
      <c r="BI2596" s="2"/>
      <c r="BJ2596" s="136"/>
      <c r="BK2596" s="2"/>
      <c r="BL2596" s="136"/>
      <c r="BM2596" s="136"/>
      <c r="BN2596" s="2"/>
      <c r="BO2596" s="2"/>
      <c r="BP2596" s="136"/>
      <c r="BQ2596" s="137"/>
    </row>
    <row r="2597" spans="1:69" ht="12.75" customHeight="1" x14ac:dyDescent="0.2">
      <c r="A2597" s="2">
        <v>4086</v>
      </c>
      <c r="B2597" s="2"/>
      <c r="C2597" s="2"/>
      <c r="D2597" s="2"/>
      <c r="E2597" s="2"/>
      <c r="F2597" s="132">
        <v>0</v>
      </c>
      <c r="G2597" s="132"/>
      <c r="H2597" s="132">
        <f t="shared" si="290"/>
        <v>0</v>
      </c>
      <c r="I2597" s="132"/>
      <c r="J2597" s="132">
        <f t="shared" si="295"/>
        <v>0</v>
      </c>
      <c r="K2597" s="132">
        <f t="shared" si="291"/>
        <v>0</v>
      </c>
      <c r="L2597" s="132">
        <f t="shared" si="292"/>
        <v>0</v>
      </c>
      <c r="M2597" s="133"/>
      <c r="N2597" s="133">
        <f t="shared" si="289"/>
        <v>0</v>
      </c>
      <c r="O2597" s="134"/>
      <c r="P2597" s="133"/>
      <c r="Q2597" s="2"/>
      <c r="R2597" s="156">
        <f t="shared" si="293"/>
        <v>0</v>
      </c>
      <c r="S2597" s="156">
        <f t="shared" si="294"/>
        <v>0</v>
      </c>
      <c r="T2597" s="133"/>
      <c r="U2597" s="133"/>
      <c r="V2597" s="133"/>
      <c r="W2597" s="133"/>
      <c r="X2597" s="133"/>
      <c r="Y2597" s="133"/>
      <c r="Z2597" s="133"/>
      <c r="AA2597" s="133"/>
      <c r="AB2597" s="133"/>
      <c r="AC2597" s="133"/>
      <c r="AD2597" s="133"/>
      <c r="AE2597" s="133"/>
      <c r="AF2597" s="133"/>
      <c r="AG2597" s="133"/>
      <c r="AH2597" s="133"/>
      <c r="AI2597" s="133"/>
      <c r="AJ2597" s="133"/>
      <c r="AK2597" s="133"/>
      <c r="AL2597" s="133"/>
      <c r="AM2597" s="133"/>
      <c r="AN2597" s="133"/>
      <c r="AO2597" s="133"/>
      <c r="AP2597" s="133"/>
      <c r="AQ2597" s="133"/>
      <c r="AR2597" s="133"/>
      <c r="AS2597" s="153">
        <v>0</v>
      </c>
      <c r="AT2597" s="153">
        <v>0</v>
      </c>
      <c r="AU2597" s="153">
        <v>0</v>
      </c>
      <c r="AV2597" s="135"/>
      <c r="AW2597" s="135"/>
      <c r="AX2597" s="135"/>
      <c r="AY2597" s="135"/>
      <c r="AZ2597" s="135"/>
      <c r="BA2597" s="135"/>
      <c r="BB2597" s="135"/>
      <c r="BC2597" s="135"/>
      <c r="BD2597" s="135"/>
      <c r="BE2597" s="135"/>
      <c r="BF2597" s="135"/>
      <c r="BG2597" s="135"/>
      <c r="BH2597" s="135"/>
      <c r="BI2597" s="2"/>
      <c r="BJ2597" s="136"/>
      <c r="BK2597" s="2"/>
      <c r="BL2597" s="136"/>
      <c r="BM2597" s="136"/>
      <c r="BN2597" s="2"/>
      <c r="BO2597" s="2"/>
      <c r="BP2597" s="136"/>
      <c r="BQ2597" s="137"/>
    </row>
    <row r="2598" spans="1:69" ht="12.75" customHeight="1" x14ac:dyDescent="0.2">
      <c r="A2598" s="2">
        <v>4087</v>
      </c>
      <c r="B2598" s="2"/>
      <c r="C2598" s="2"/>
      <c r="D2598" s="2"/>
      <c r="E2598" s="2"/>
      <c r="F2598" s="132">
        <v>0</v>
      </c>
      <c r="G2598" s="132"/>
      <c r="H2598" s="132">
        <f t="shared" si="290"/>
        <v>0</v>
      </c>
      <c r="I2598" s="132"/>
      <c r="J2598" s="132">
        <f t="shared" si="295"/>
        <v>0</v>
      </c>
      <c r="K2598" s="132">
        <f t="shared" si="291"/>
        <v>0</v>
      </c>
      <c r="L2598" s="132">
        <f t="shared" si="292"/>
        <v>0</v>
      </c>
      <c r="M2598" s="133"/>
      <c r="N2598" s="133">
        <f t="shared" si="289"/>
        <v>0</v>
      </c>
      <c r="O2598" s="134"/>
      <c r="P2598" s="133"/>
      <c r="Q2598" s="2"/>
      <c r="R2598" s="156">
        <f t="shared" si="293"/>
        <v>0</v>
      </c>
      <c r="S2598" s="156">
        <f t="shared" si="294"/>
        <v>0</v>
      </c>
      <c r="T2598" s="133"/>
      <c r="U2598" s="133"/>
      <c r="V2598" s="133"/>
      <c r="W2598" s="133"/>
      <c r="X2598" s="133"/>
      <c r="Y2598" s="133"/>
      <c r="Z2598" s="133"/>
      <c r="AA2598" s="133"/>
      <c r="AB2598" s="133"/>
      <c r="AC2598" s="133"/>
      <c r="AD2598" s="133"/>
      <c r="AE2598" s="133"/>
      <c r="AF2598" s="133"/>
      <c r="AG2598" s="133"/>
      <c r="AH2598" s="133"/>
      <c r="AI2598" s="133"/>
      <c r="AJ2598" s="133"/>
      <c r="AK2598" s="133"/>
      <c r="AL2598" s="133"/>
      <c r="AM2598" s="133"/>
      <c r="AN2598" s="133"/>
      <c r="AO2598" s="133"/>
      <c r="AP2598" s="133"/>
      <c r="AQ2598" s="133"/>
      <c r="AR2598" s="133"/>
      <c r="AS2598" s="153">
        <v>0</v>
      </c>
      <c r="AT2598" s="153">
        <v>0</v>
      </c>
      <c r="AU2598" s="153">
        <v>0</v>
      </c>
      <c r="AV2598" s="135"/>
      <c r="AW2598" s="135"/>
      <c r="AX2598" s="135"/>
      <c r="AY2598" s="135"/>
      <c r="AZ2598" s="135"/>
      <c r="BA2598" s="135"/>
      <c r="BB2598" s="135"/>
      <c r="BC2598" s="135"/>
      <c r="BD2598" s="135"/>
      <c r="BE2598" s="135"/>
      <c r="BF2598" s="135"/>
      <c r="BG2598" s="135"/>
      <c r="BH2598" s="135"/>
      <c r="BI2598" s="2"/>
      <c r="BJ2598" s="136"/>
      <c r="BK2598" s="2"/>
      <c r="BL2598" s="136"/>
      <c r="BM2598" s="136"/>
      <c r="BN2598" s="2"/>
      <c r="BO2598" s="2"/>
      <c r="BP2598" s="136"/>
      <c r="BQ2598" s="137"/>
    </row>
    <row r="2599" spans="1:69" ht="12.75" customHeight="1" x14ac:dyDescent="0.2">
      <c r="A2599" s="2">
        <v>4088</v>
      </c>
      <c r="B2599" s="2"/>
      <c r="C2599" s="2"/>
      <c r="D2599" s="2"/>
      <c r="E2599" s="2"/>
      <c r="F2599" s="132">
        <v>0</v>
      </c>
      <c r="G2599" s="132"/>
      <c r="H2599" s="132">
        <f t="shared" si="290"/>
        <v>0</v>
      </c>
      <c r="I2599" s="132"/>
      <c r="J2599" s="132">
        <f t="shared" si="295"/>
        <v>0</v>
      </c>
      <c r="K2599" s="132">
        <f t="shared" si="291"/>
        <v>0</v>
      </c>
      <c r="L2599" s="132">
        <f t="shared" si="292"/>
        <v>0</v>
      </c>
      <c r="M2599" s="133"/>
      <c r="N2599" s="133">
        <f t="shared" si="289"/>
        <v>0</v>
      </c>
      <c r="O2599" s="134"/>
      <c r="P2599" s="133"/>
      <c r="Q2599" s="2"/>
      <c r="R2599" s="156">
        <f t="shared" si="293"/>
        <v>0</v>
      </c>
      <c r="S2599" s="156">
        <f t="shared" si="294"/>
        <v>0</v>
      </c>
      <c r="T2599" s="133"/>
      <c r="U2599" s="133"/>
      <c r="V2599" s="133"/>
      <c r="W2599" s="133"/>
      <c r="X2599" s="133"/>
      <c r="Y2599" s="133"/>
      <c r="Z2599" s="133"/>
      <c r="AA2599" s="133"/>
      <c r="AB2599" s="133"/>
      <c r="AC2599" s="133"/>
      <c r="AD2599" s="133"/>
      <c r="AE2599" s="133"/>
      <c r="AF2599" s="133"/>
      <c r="AG2599" s="133"/>
      <c r="AH2599" s="133"/>
      <c r="AI2599" s="133"/>
      <c r="AJ2599" s="133"/>
      <c r="AK2599" s="133"/>
      <c r="AL2599" s="133"/>
      <c r="AM2599" s="133"/>
      <c r="AN2599" s="133"/>
      <c r="AO2599" s="133"/>
      <c r="AP2599" s="133"/>
      <c r="AQ2599" s="133"/>
      <c r="AR2599" s="133"/>
      <c r="AS2599" s="153">
        <v>0</v>
      </c>
      <c r="AT2599" s="153">
        <v>0</v>
      </c>
      <c r="AU2599" s="153">
        <v>0</v>
      </c>
      <c r="AV2599" s="135"/>
      <c r="AW2599" s="135"/>
      <c r="AX2599" s="135"/>
      <c r="AY2599" s="135"/>
      <c r="AZ2599" s="135"/>
      <c r="BA2599" s="135"/>
      <c r="BB2599" s="135"/>
      <c r="BC2599" s="135"/>
      <c r="BD2599" s="135"/>
      <c r="BE2599" s="135"/>
      <c r="BF2599" s="135"/>
      <c r="BG2599" s="135"/>
      <c r="BH2599" s="135"/>
      <c r="BI2599" s="2"/>
      <c r="BJ2599" s="136"/>
      <c r="BK2599" s="2"/>
      <c r="BL2599" s="136"/>
      <c r="BM2599" s="136"/>
      <c r="BN2599" s="2"/>
      <c r="BO2599" s="2"/>
      <c r="BP2599" s="136"/>
      <c r="BQ2599" s="137"/>
    </row>
    <row r="2600" spans="1:69" ht="12.75" customHeight="1" x14ac:dyDescent="0.2">
      <c r="A2600" s="2">
        <v>4089</v>
      </c>
      <c r="B2600" s="2"/>
      <c r="C2600" s="2"/>
      <c r="D2600" s="2"/>
      <c r="E2600" s="2"/>
      <c r="F2600" s="132">
        <v>0</v>
      </c>
      <c r="G2600" s="132"/>
      <c r="H2600" s="132">
        <f t="shared" si="290"/>
        <v>0</v>
      </c>
      <c r="I2600" s="132"/>
      <c r="J2600" s="132">
        <f t="shared" si="295"/>
        <v>0</v>
      </c>
      <c r="K2600" s="132">
        <f t="shared" si="291"/>
        <v>0</v>
      </c>
      <c r="L2600" s="132">
        <f t="shared" si="292"/>
        <v>0</v>
      </c>
      <c r="M2600" s="133"/>
      <c r="N2600" s="133">
        <f t="shared" si="289"/>
        <v>0</v>
      </c>
      <c r="O2600" s="134"/>
      <c r="P2600" s="133"/>
      <c r="Q2600" s="2"/>
      <c r="R2600" s="156">
        <f t="shared" si="293"/>
        <v>0</v>
      </c>
      <c r="S2600" s="156">
        <f t="shared" si="294"/>
        <v>0</v>
      </c>
      <c r="T2600" s="133"/>
      <c r="U2600" s="133"/>
      <c r="V2600" s="133"/>
      <c r="W2600" s="133"/>
      <c r="X2600" s="133"/>
      <c r="Y2600" s="133"/>
      <c r="Z2600" s="133"/>
      <c r="AA2600" s="133"/>
      <c r="AB2600" s="133"/>
      <c r="AC2600" s="133"/>
      <c r="AD2600" s="133"/>
      <c r="AE2600" s="133"/>
      <c r="AF2600" s="133"/>
      <c r="AG2600" s="133"/>
      <c r="AH2600" s="133"/>
      <c r="AI2600" s="133"/>
      <c r="AJ2600" s="133"/>
      <c r="AK2600" s="133"/>
      <c r="AL2600" s="133"/>
      <c r="AM2600" s="133"/>
      <c r="AN2600" s="133"/>
      <c r="AO2600" s="133"/>
      <c r="AP2600" s="133"/>
      <c r="AQ2600" s="133"/>
      <c r="AR2600" s="133"/>
      <c r="AS2600" s="153">
        <v>0</v>
      </c>
      <c r="AT2600" s="153">
        <v>0</v>
      </c>
      <c r="AU2600" s="153">
        <v>0</v>
      </c>
      <c r="AV2600" s="135"/>
      <c r="AW2600" s="135"/>
      <c r="AX2600" s="135"/>
      <c r="AY2600" s="135"/>
      <c r="AZ2600" s="135"/>
      <c r="BA2600" s="135"/>
      <c r="BB2600" s="135"/>
      <c r="BC2600" s="135"/>
      <c r="BD2600" s="135"/>
      <c r="BE2600" s="135"/>
      <c r="BF2600" s="135"/>
      <c r="BG2600" s="135"/>
      <c r="BH2600" s="135"/>
      <c r="BI2600" s="2"/>
      <c r="BJ2600" s="136"/>
      <c r="BK2600" s="2"/>
      <c r="BL2600" s="136"/>
      <c r="BM2600" s="136"/>
      <c r="BN2600" s="2"/>
      <c r="BO2600" s="2"/>
      <c r="BP2600" s="136"/>
      <c r="BQ2600" s="137"/>
    </row>
    <row r="2601" spans="1:69" ht="12.75" customHeight="1" x14ac:dyDescent="0.2">
      <c r="A2601" s="2">
        <v>4090</v>
      </c>
      <c r="B2601" s="2"/>
      <c r="C2601" s="2"/>
      <c r="D2601" s="2"/>
      <c r="E2601" s="2"/>
      <c r="F2601" s="132">
        <v>0</v>
      </c>
      <c r="G2601" s="132"/>
      <c r="H2601" s="132">
        <f t="shared" si="290"/>
        <v>0</v>
      </c>
      <c r="I2601" s="132"/>
      <c r="J2601" s="132">
        <f t="shared" si="295"/>
        <v>0</v>
      </c>
      <c r="K2601" s="132">
        <f t="shared" si="291"/>
        <v>0</v>
      </c>
      <c r="L2601" s="132">
        <f t="shared" si="292"/>
        <v>0</v>
      </c>
      <c r="M2601" s="133"/>
      <c r="N2601" s="133">
        <f t="shared" si="289"/>
        <v>0</v>
      </c>
      <c r="O2601" s="134"/>
      <c r="P2601" s="133"/>
      <c r="Q2601" s="2"/>
      <c r="R2601" s="156">
        <f t="shared" si="293"/>
        <v>0</v>
      </c>
      <c r="S2601" s="156">
        <f t="shared" si="294"/>
        <v>0</v>
      </c>
      <c r="T2601" s="133"/>
      <c r="U2601" s="133"/>
      <c r="V2601" s="133"/>
      <c r="W2601" s="133"/>
      <c r="X2601" s="133"/>
      <c r="Y2601" s="133"/>
      <c r="Z2601" s="133"/>
      <c r="AA2601" s="133"/>
      <c r="AB2601" s="133"/>
      <c r="AC2601" s="133"/>
      <c r="AD2601" s="133"/>
      <c r="AE2601" s="133"/>
      <c r="AF2601" s="133"/>
      <c r="AG2601" s="133"/>
      <c r="AH2601" s="133"/>
      <c r="AI2601" s="133"/>
      <c r="AJ2601" s="133"/>
      <c r="AK2601" s="133"/>
      <c r="AL2601" s="133"/>
      <c r="AM2601" s="133"/>
      <c r="AN2601" s="133"/>
      <c r="AO2601" s="133"/>
      <c r="AP2601" s="133"/>
      <c r="AQ2601" s="133"/>
      <c r="AR2601" s="133"/>
      <c r="AS2601" s="153">
        <v>0</v>
      </c>
      <c r="AT2601" s="153">
        <v>0</v>
      </c>
      <c r="AU2601" s="153">
        <v>0</v>
      </c>
      <c r="AV2601" s="135"/>
      <c r="AW2601" s="135"/>
      <c r="AX2601" s="135"/>
      <c r="AY2601" s="135"/>
      <c r="AZ2601" s="135"/>
      <c r="BA2601" s="135"/>
      <c r="BB2601" s="135"/>
      <c r="BC2601" s="135"/>
      <c r="BD2601" s="135"/>
      <c r="BE2601" s="135"/>
      <c r="BF2601" s="135"/>
      <c r="BG2601" s="135"/>
      <c r="BH2601" s="135"/>
      <c r="BI2601" s="2"/>
      <c r="BJ2601" s="136"/>
      <c r="BK2601" s="2"/>
      <c r="BL2601" s="136"/>
      <c r="BM2601" s="136"/>
      <c r="BN2601" s="2"/>
      <c r="BO2601" s="2"/>
      <c r="BP2601" s="136"/>
      <c r="BQ2601" s="137"/>
    </row>
    <row r="2602" spans="1:69" ht="12.75" customHeight="1" x14ac:dyDescent="0.2">
      <c r="A2602" s="2">
        <v>4091</v>
      </c>
      <c r="B2602" s="2"/>
      <c r="C2602" s="2"/>
      <c r="D2602" s="2"/>
      <c r="E2602" s="2"/>
      <c r="F2602" s="132">
        <v>0</v>
      </c>
      <c r="G2602" s="132"/>
      <c r="H2602" s="132">
        <f t="shared" si="290"/>
        <v>0</v>
      </c>
      <c r="I2602" s="132"/>
      <c r="J2602" s="132">
        <f t="shared" si="295"/>
        <v>0</v>
      </c>
      <c r="K2602" s="132">
        <f t="shared" si="291"/>
        <v>0</v>
      </c>
      <c r="L2602" s="132">
        <f t="shared" si="292"/>
        <v>0</v>
      </c>
      <c r="M2602" s="133"/>
      <c r="N2602" s="133">
        <f t="shared" ref="N2602:N2665" si="296">IF(OR(BK2602="принят",BK2602="Завершено",BK2602="ПриПро"),H2602-J2602,F2602-J2602)</f>
        <v>0</v>
      </c>
      <c r="O2602" s="134"/>
      <c r="P2602" s="133"/>
      <c r="Q2602" s="2"/>
      <c r="R2602" s="156">
        <f t="shared" si="293"/>
        <v>0</v>
      </c>
      <c r="S2602" s="156">
        <f t="shared" si="294"/>
        <v>0</v>
      </c>
      <c r="T2602" s="133"/>
      <c r="U2602" s="133"/>
      <c r="V2602" s="133"/>
      <c r="W2602" s="133"/>
      <c r="X2602" s="133"/>
      <c r="Y2602" s="133"/>
      <c r="Z2602" s="133"/>
      <c r="AA2602" s="133"/>
      <c r="AB2602" s="133"/>
      <c r="AC2602" s="133"/>
      <c r="AD2602" s="133"/>
      <c r="AE2602" s="133"/>
      <c r="AF2602" s="133"/>
      <c r="AG2602" s="133"/>
      <c r="AH2602" s="133"/>
      <c r="AI2602" s="133"/>
      <c r="AJ2602" s="133"/>
      <c r="AK2602" s="133"/>
      <c r="AL2602" s="133"/>
      <c r="AM2602" s="133"/>
      <c r="AN2602" s="133"/>
      <c r="AO2602" s="133"/>
      <c r="AP2602" s="133"/>
      <c r="AQ2602" s="133"/>
      <c r="AR2602" s="133"/>
      <c r="AS2602" s="153">
        <v>0</v>
      </c>
      <c r="AT2602" s="153">
        <v>0</v>
      </c>
      <c r="AU2602" s="153">
        <v>0</v>
      </c>
      <c r="AV2602" s="135"/>
      <c r="AW2602" s="135"/>
      <c r="AX2602" s="135"/>
      <c r="AY2602" s="135"/>
      <c r="AZ2602" s="135"/>
      <c r="BA2602" s="135"/>
      <c r="BB2602" s="135"/>
      <c r="BC2602" s="135"/>
      <c r="BD2602" s="135"/>
      <c r="BE2602" s="135"/>
      <c r="BF2602" s="135"/>
      <c r="BG2602" s="135"/>
      <c r="BH2602" s="135"/>
      <c r="BI2602" s="2"/>
      <c r="BJ2602" s="136"/>
      <c r="BK2602" s="2"/>
      <c r="BL2602" s="136"/>
      <c r="BM2602" s="136"/>
      <c r="BN2602" s="2"/>
      <c r="BO2602" s="2"/>
      <c r="BP2602" s="136"/>
      <c r="BQ2602" s="137"/>
    </row>
    <row r="2603" spans="1:69" ht="12.75" customHeight="1" x14ac:dyDescent="0.2">
      <c r="A2603" s="2">
        <v>4092</v>
      </c>
      <c r="B2603" s="2"/>
      <c r="C2603" s="2"/>
      <c r="D2603" s="2"/>
      <c r="E2603" s="2"/>
      <c r="F2603" s="132">
        <v>0</v>
      </c>
      <c r="G2603" s="132"/>
      <c r="H2603" s="132">
        <f t="shared" si="290"/>
        <v>0</v>
      </c>
      <c r="I2603" s="132"/>
      <c r="J2603" s="132">
        <f t="shared" si="295"/>
        <v>0</v>
      </c>
      <c r="K2603" s="132">
        <f t="shared" si="291"/>
        <v>0</v>
      </c>
      <c r="L2603" s="132">
        <f t="shared" si="292"/>
        <v>0</v>
      </c>
      <c r="M2603" s="133"/>
      <c r="N2603" s="133">
        <f t="shared" si="296"/>
        <v>0</v>
      </c>
      <c r="O2603" s="134"/>
      <c r="P2603" s="133"/>
      <c r="Q2603" s="2"/>
      <c r="R2603" s="156">
        <f t="shared" si="293"/>
        <v>0</v>
      </c>
      <c r="S2603" s="156">
        <f t="shared" si="294"/>
        <v>0</v>
      </c>
      <c r="T2603" s="133"/>
      <c r="U2603" s="133"/>
      <c r="V2603" s="133"/>
      <c r="W2603" s="133"/>
      <c r="X2603" s="133"/>
      <c r="Y2603" s="133"/>
      <c r="Z2603" s="133"/>
      <c r="AA2603" s="133"/>
      <c r="AB2603" s="133"/>
      <c r="AC2603" s="133"/>
      <c r="AD2603" s="133"/>
      <c r="AE2603" s="133"/>
      <c r="AF2603" s="133"/>
      <c r="AG2603" s="133"/>
      <c r="AH2603" s="133"/>
      <c r="AI2603" s="133"/>
      <c r="AJ2603" s="133"/>
      <c r="AK2603" s="133"/>
      <c r="AL2603" s="133"/>
      <c r="AM2603" s="133"/>
      <c r="AN2603" s="133"/>
      <c r="AO2603" s="133"/>
      <c r="AP2603" s="133"/>
      <c r="AQ2603" s="133"/>
      <c r="AR2603" s="133"/>
      <c r="AS2603" s="153">
        <v>0</v>
      </c>
      <c r="AT2603" s="153">
        <v>0</v>
      </c>
      <c r="AU2603" s="153">
        <v>0</v>
      </c>
      <c r="AV2603" s="135"/>
      <c r="AW2603" s="135"/>
      <c r="AX2603" s="135"/>
      <c r="AY2603" s="135"/>
      <c r="AZ2603" s="135"/>
      <c r="BA2603" s="135"/>
      <c r="BB2603" s="135"/>
      <c r="BC2603" s="135"/>
      <c r="BD2603" s="135"/>
      <c r="BE2603" s="135"/>
      <c r="BF2603" s="135"/>
      <c r="BG2603" s="135"/>
      <c r="BH2603" s="135"/>
      <c r="BI2603" s="2"/>
      <c r="BJ2603" s="136"/>
      <c r="BK2603" s="2"/>
      <c r="BL2603" s="136"/>
      <c r="BM2603" s="136"/>
      <c r="BN2603" s="2"/>
      <c r="BO2603" s="2"/>
      <c r="BP2603" s="136"/>
      <c r="BQ2603" s="137"/>
    </row>
    <row r="2604" spans="1:69" ht="12.75" customHeight="1" x14ac:dyDescent="0.2">
      <c r="A2604" s="2">
        <v>4093</v>
      </c>
      <c r="B2604" s="2"/>
      <c r="C2604" s="2"/>
      <c r="D2604" s="2"/>
      <c r="E2604" s="2"/>
      <c r="F2604" s="132">
        <v>0</v>
      </c>
      <c r="G2604" s="132"/>
      <c r="H2604" s="132">
        <f t="shared" si="290"/>
        <v>0</v>
      </c>
      <c r="I2604" s="132"/>
      <c r="J2604" s="132">
        <f t="shared" si="295"/>
        <v>0</v>
      </c>
      <c r="K2604" s="132">
        <f t="shared" si="291"/>
        <v>0</v>
      </c>
      <c r="L2604" s="132">
        <f t="shared" si="292"/>
        <v>0</v>
      </c>
      <c r="M2604" s="133"/>
      <c r="N2604" s="133">
        <f t="shared" si="296"/>
        <v>0</v>
      </c>
      <c r="O2604" s="134"/>
      <c r="P2604" s="133"/>
      <c r="Q2604" s="2"/>
      <c r="R2604" s="156">
        <f t="shared" si="293"/>
        <v>0</v>
      </c>
      <c r="S2604" s="156">
        <f t="shared" si="294"/>
        <v>0</v>
      </c>
      <c r="T2604" s="133"/>
      <c r="U2604" s="133"/>
      <c r="V2604" s="133"/>
      <c r="W2604" s="133"/>
      <c r="X2604" s="133"/>
      <c r="Y2604" s="133"/>
      <c r="Z2604" s="133"/>
      <c r="AA2604" s="133"/>
      <c r="AB2604" s="133"/>
      <c r="AC2604" s="133"/>
      <c r="AD2604" s="133"/>
      <c r="AE2604" s="133"/>
      <c r="AF2604" s="133"/>
      <c r="AG2604" s="133"/>
      <c r="AH2604" s="133"/>
      <c r="AI2604" s="133"/>
      <c r="AJ2604" s="133"/>
      <c r="AK2604" s="133"/>
      <c r="AL2604" s="133"/>
      <c r="AM2604" s="133"/>
      <c r="AN2604" s="133"/>
      <c r="AO2604" s="133"/>
      <c r="AP2604" s="133"/>
      <c r="AQ2604" s="133"/>
      <c r="AR2604" s="133"/>
      <c r="AS2604" s="153">
        <v>0</v>
      </c>
      <c r="AT2604" s="153">
        <v>0</v>
      </c>
      <c r="AU2604" s="153">
        <v>0</v>
      </c>
      <c r="AV2604" s="135"/>
      <c r="AW2604" s="135"/>
      <c r="AX2604" s="135"/>
      <c r="AY2604" s="135"/>
      <c r="AZ2604" s="135"/>
      <c r="BA2604" s="135"/>
      <c r="BB2604" s="135"/>
      <c r="BC2604" s="135"/>
      <c r="BD2604" s="135"/>
      <c r="BE2604" s="135"/>
      <c r="BF2604" s="135"/>
      <c r="BG2604" s="135"/>
      <c r="BH2604" s="135"/>
      <c r="BI2604" s="2"/>
      <c r="BJ2604" s="136"/>
      <c r="BK2604" s="2"/>
      <c r="BL2604" s="136"/>
      <c r="BM2604" s="136"/>
      <c r="BN2604" s="2"/>
      <c r="BO2604" s="2"/>
      <c r="BP2604" s="136"/>
      <c r="BQ2604" s="137"/>
    </row>
    <row r="2605" spans="1:69" ht="12.75" customHeight="1" x14ac:dyDescent="0.2">
      <c r="A2605" s="2">
        <v>4094</v>
      </c>
      <c r="B2605" s="2"/>
      <c r="C2605" s="2"/>
      <c r="D2605" s="2"/>
      <c r="E2605" s="2"/>
      <c r="F2605" s="132">
        <v>0</v>
      </c>
      <c r="G2605" s="132"/>
      <c r="H2605" s="132">
        <f t="shared" si="290"/>
        <v>0</v>
      </c>
      <c r="I2605" s="132"/>
      <c r="J2605" s="132">
        <f t="shared" si="295"/>
        <v>0</v>
      </c>
      <c r="K2605" s="132">
        <f t="shared" si="291"/>
        <v>0</v>
      </c>
      <c r="L2605" s="132">
        <f t="shared" si="292"/>
        <v>0</v>
      </c>
      <c r="M2605" s="133"/>
      <c r="N2605" s="133">
        <f t="shared" si="296"/>
        <v>0</v>
      </c>
      <c r="O2605" s="134"/>
      <c r="P2605" s="133"/>
      <c r="Q2605" s="2"/>
      <c r="R2605" s="156">
        <f t="shared" si="293"/>
        <v>0</v>
      </c>
      <c r="S2605" s="156">
        <f t="shared" si="294"/>
        <v>0</v>
      </c>
      <c r="T2605" s="133"/>
      <c r="U2605" s="133"/>
      <c r="V2605" s="133"/>
      <c r="W2605" s="133"/>
      <c r="X2605" s="133"/>
      <c r="Y2605" s="133"/>
      <c r="Z2605" s="133"/>
      <c r="AA2605" s="133"/>
      <c r="AB2605" s="133"/>
      <c r="AC2605" s="133"/>
      <c r="AD2605" s="133"/>
      <c r="AE2605" s="133"/>
      <c r="AF2605" s="133"/>
      <c r="AG2605" s="133"/>
      <c r="AH2605" s="133"/>
      <c r="AI2605" s="133"/>
      <c r="AJ2605" s="133"/>
      <c r="AK2605" s="133"/>
      <c r="AL2605" s="133"/>
      <c r="AM2605" s="133"/>
      <c r="AN2605" s="133"/>
      <c r="AO2605" s="133"/>
      <c r="AP2605" s="133"/>
      <c r="AQ2605" s="133"/>
      <c r="AR2605" s="133"/>
      <c r="AS2605" s="153">
        <v>0</v>
      </c>
      <c r="AT2605" s="153">
        <v>0</v>
      </c>
      <c r="AU2605" s="153">
        <v>0</v>
      </c>
      <c r="AV2605" s="135"/>
      <c r="AW2605" s="135"/>
      <c r="AX2605" s="135"/>
      <c r="AY2605" s="135"/>
      <c r="AZ2605" s="135"/>
      <c r="BA2605" s="135"/>
      <c r="BB2605" s="135"/>
      <c r="BC2605" s="135"/>
      <c r="BD2605" s="135"/>
      <c r="BE2605" s="135"/>
      <c r="BF2605" s="135"/>
      <c r="BG2605" s="135"/>
      <c r="BH2605" s="135"/>
      <c r="BI2605" s="2"/>
      <c r="BJ2605" s="136"/>
      <c r="BK2605" s="2"/>
      <c r="BL2605" s="136"/>
      <c r="BM2605" s="136"/>
      <c r="BN2605" s="2"/>
      <c r="BO2605" s="2"/>
      <c r="BP2605" s="136"/>
      <c r="BQ2605" s="137"/>
    </row>
    <row r="2606" spans="1:69" ht="12.75" customHeight="1" x14ac:dyDescent="0.2">
      <c r="A2606" s="2">
        <v>4095</v>
      </c>
      <c r="B2606" s="2"/>
      <c r="C2606" s="2"/>
      <c r="D2606" s="2"/>
      <c r="E2606" s="2"/>
      <c r="F2606" s="132">
        <v>0</v>
      </c>
      <c r="G2606" s="132"/>
      <c r="H2606" s="132">
        <f t="shared" ref="H2606:H2669" si="297">R2606</f>
        <v>0</v>
      </c>
      <c r="I2606" s="132"/>
      <c r="J2606" s="132">
        <f t="shared" si="295"/>
        <v>0</v>
      </c>
      <c r="K2606" s="132">
        <f t="shared" si="291"/>
        <v>0</v>
      </c>
      <c r="L2606" s="132">
        <f t="shared" si="292"/>
        <v>0</v>
      </c>
      <c r="M2606" s="133"/>
      <c r="N2606" s="133">
        <f t="shared" si="296"/>
        <v>0</v>
      </c>
      <c r="O2606" s="134"/>
      <c r="P2606" s="133"/>
      <c r="Q2606" s="2"/>
      <c r="R2606" s="156">
        <f t="shared" si="293"/>
        <v>0</v>
      </c>
      <c r="S2606" s="156">
        <f t="shared" si="294"/>
        <v>0</v>
      </c>
      <c r="T2606" s="133"/>
      <c r="U2606" s="133"/>
      <c r="V2606" s="133"/>
      <c r="W2606" s="133"/>
      <c r="X2606" s="133"/>
      <c r="Y2606" s="133"/>
      <c r="Z2606" s="133"/>
      <c r="AA2606" s="133"/>
      <c r="AB2606" s="133"/>
      <c r="AC2606" s="133"/>
      <c r="AD2606" s="133"/>
      <c r="AE2606" s="133"/>
      <c r="AF2606" s="133"/>
      <c r="AG2606" s="133"/>
      <c r="AH2606" s="133"/>
      <c r="AI2606" s="133"/>
      <c r="AJ2606" s="133"/>
      <c r="AK2606" s="133"/>
      <c r="AL2606" s="133"/>
      <c r="AM2606" s="133"/>
      <c r="AN2606" s="133"/>
      <c r="AO2606" s="133"/>
      <c r="AP2606" s="133"/>
      <c r="AQ2606" s="133"/>
      <c r="AR2606" s="133"/>
      <c r="AS2606" s="153">
        <v>0</v>
      </c>
      <c r="AT2606" s="153">
        <v>0</v>
      </c>
      <c r="AU2606" s="153">
        <v>0</v>
      </c>
      <c r="AV2606" s="135"/>
      <c r="AW2606" s="135"/>
      <c r="AX2606" s="135"/>
      <c r="AY2606" s="135"/>
      <c r="AZ2606" s="135"/>
      <c r="BA2606" s="135"/>
      <c r="BB2606" s="135"/>
      <c r="BC2606" s="135"/>
      <c r="BD2606" s="135"/>
      <c r="BE2606" s="135"/>
      <c r="BF2606" s="135"/>
      <c r="BG2606" s="135"/>
      <c r="BH2606" s="135"/>
      <c r="BI2606" s="2"/>
      <c r="BJ2606" s="136"/>
      <c r="BK2606" s="2"/>
      <c r="BL2606" s="136"/>
      <c r="BM2606" s="136"/>
      <c r="BN2606" s="2"/>
      <c r="BO2606" s="2"/>
      <c r="BP2606" s="136"/>
      <c r="BQ2606" s="137"/>
    </row>
    <row r="2607" spans="1:69" ht="12.75" customHeight="1" x14ac:dyDescent="0.2">
      <c r="A2607" s="2">
        <v>4096</v>
      </c>
      <c r="B2607" s="2"/>
      <c r="C2607" s="2"/>
      <c r="D2607" s="2"/>
      <c r="E2607" s="2"/>
      <c r="F2607" s="132">
        <v>0</v>
      </c>
      <c r="G2607" s="132"/>
      <c r="H2607" s="132">
        <f t="shared" si="297"/>
        <v>0</v>
      </c>
      <c r="I2607" s="132"/>
      <c r="J2607" s="132">
        <f t="shared" si="295"/>
        <v>0</v>
      </c>
      <c r="K2607" s="132">
        <f t="shared" si="291"/>
        <v>0</v>
      </c>
      <c r="L2607" s="132">
        <f t="shared" si="292"/>
        <v>0</v>
      </c>
      <c r="M2607" s="133"/>
      <c r="N2607" s="133">
        <f t="shared" si="296"/>
        <v>0</v>
      </c>
      <c r="O2607" s="134"/>
      <c r="P2607" s="133"/>
      <c r="Q2607" s="2"/>
      <c r="R2607" s="156">
        <f t="shared" si="293"/>
        <v>0</v>
      </c>
      <c r="S2607" s="156">
        <f t="shared" si="294"/>
        <v>0</v>
      </c>
      <c r="T2607" s="133"/>
      <c r="U2607" s="133"/>
      <c r="V2607" s="133"/>
      <c r="W2607" s="133"/>
      <c r="X2607" s="133"/>
      <c r="Y2607" s="133"/>
      <c r="Z2607" s="133"/>
      <c r="AA2607" s="133"/>
      <c r="AB2607" s="133"/>
      <c r="AC2607" s="133"/>
      <c r="AD2607" s="133"/>
      <c r="AE2607" s="133"/>
      <c r="AF2607" s="133"/>
      <c r="AG2607" s="133"/>
      <c r="AH2607" s="133"/>
      <c r="AI2607" s="133"/>
      <c r="AJ2607" s="133"/>
      <c r="AK2607" s="133"/>
      <c r="AL2607" s="133"/>
      <c r="AM2607" s="133"/>
      <c r="AN2607" s="133"/>
      <c r="AO2607" s="133"/>
      <c r="AP2607" s="133"/>
      <c r="AQ2607" s="133"/>
      <c r="AR2607" s="133"/>
      <c r="AS2607" s="153">
        <v>0</v>
      </c>
      <c r="AT2607" s="153">
        <v>0</v>
      </c>
      <c r="AU2607" s="153">
        <v>0</v>
      </c>
      <c r="AV2607" s="135"/>
      <c r="AW2607" s="135"/>
      <c r="AX2607" s="135"/>
      <c r="AY2607" s="135"/>
      <c r="AZ2607" s="135"/>
      <c r="BA2607" s="135"/>
      <c r="BB2607" s="135"/>
      <c r="BC2607" s="135"/>
      <c r="BD2607" s="135"/>
      <c r="BE2607" s="135"/>
      <c r="BF2607" s="135"/>
      <c r="BG2607" s="135"/>
      <c r="BH2607" s="135"/>
      <c r="BI2607" s="2"/>
      <c r="BJ2607" s="136"/>
      <c r="BK2607" s="2"/>
      <c r="BL2607" s="136"/>
      <c r="BM2607" s="136"/>
      <c r="BN2607" s="2"/>
      <c r="BO2607" s="2"/>
      <c r="BP2607" s="136"/>
      <c r="BQ2607" s="137"/>
    </row>
    <row r="2608" spans="1:69" ht="12.75" customHeight="1" x14ac:dyDescent="0.2">
      <c r="A2608" s="2">
        <v>4097</v>
      </c>
      <c r="B2608" s="2"/>
      <c r="C2608" s="2"/>
      <c r="D2608" s="2"/>
      <c r="E2608" s="2"/>
      <c r="F2608" s="132">
        <v>0</v>
      </c>
      <c r="G2608" s="132"/>
      <c r="H2608" s="132">
        <f t="shared" si="297"/>
        <v>0</v>
      </c>
      <c r="I2608" s="132"/>
      <c r="J2608" s="132">
        <f t="shared" si="295"/>
        <v>0</v>
      </c>
      <c r="K2608" s="132">
        <f t="shared" si="291"/>
        <v>0</v>
      </c>
      <c r="L2608" s="132">
        <f t="shared" si="292"/>
        <v>0</v>
      </c>
      <c r="M2608" s="133"/>
      <c r="N2608" s="133">
        <f t="shared" si="296"/>
        <v>0</v>
      </c>
      <c r="O2608" s="134"/>
      <c r="P2608" s="133"/>
      <c r="Q2608" s="2"/>
      <c r="R2608" s="156">
        <f t="shared" si="293"/>
        <v>0</v>
      </c>
      <c r="S2608" s="156">
        <f t="shared" si="294"/>
        <v>0</v>
      </c>
      <c r="T2608" s="133"/>
      <c r="U2608" s="133"/>
      <c r="V2608" s="133"/>
      <c r="W2608" s="133"/>
      <c r="X2608" s="133"/>
      <c r="Y2608" s="133"/>
      <c r="Z2608" s="133"/>
      <c r="AA2608" s="133"/>
      <c r="AB2608" s="133"/>
      <c r="AC2608" s="133"/>
      <c r="AD2608" s="133"/>
      <c r="AE2608" s="133"/>
      <c r="AF2608" s="133"/>
      <c r="AG2608" s="133"/>
      <c r="AH2608" s="133"/>
      <c r="AI2608" s="133"/>
      <c r="AJ2608" s="133"/>
      <c r="AK2608" s="133"/>
      <c r="AL2608" s="133"/>
      <c r="AM2608" s="133"/>
      <c r="AN2608" s="133"/>
      <c r="AO2608" s="133"/>
      <c r="AP2608" s="133"/>
      <c r="AQ2608" s="133"/>
      <c r="AR2608" s="133"/>
      <c r="AS2608" s="153">
        <v>0</v>
      </c>
      <c r="AT2608" s="153">
        <v>0</v>
      </c>
      <c r="AU2608" s="153">
        <v>0</v>
      </c>
      <c r="AV2608" s="135"/>
      <c r="AW2608" s="135"/>
      <c r="AX2608" s="135"/>
      <c r="AY2608" s="135"/>
      <c r="AZ2608" s="135"/>
      <c r="BA2608" s="135"/>
      <c r="BB2608" s="135"/>
      <c r="BC2608" s="135"/>
      <c r="BD2608" s="135"/>
      <c r="BE2608" s="135"/>
      <c r="BF2608" s="135"/>
      <c r="BG2608" s="135"/>
      <c r="BH2608" s="135"/>
      <c r="BI2608" s="2"/>
      <c r="BJ2608" s="136"/>
      <c r="BK2608" s="2"/>
      <c r="BL2608" s="136"/>
      <c r="BM2608" s="136"/>
      <c r="BN2608" s="2"/>
      <c r="BO2608" s="2"/>
      <c r="BP2608" s="136"/>
      <c r="BQ2608" s="137"/>
    </row>
    <row r="2609" spans="1:69" ht="12.75" customHeight="1" x14ac:dyDescent="0.2">
      <c r="A2609" s="2">
        <v>4098</v>
      </c>
      <c r="B2609" s="2"/>
      <c r="C2609" s="2"/>
      <c r="D2609" s="2"/>
      <c r="E2609" s="2"/>
      <c r="F2609" s="132">
        <v>0</v>
      </c>
      <c r="G2609" s="132"/>
      <c r="H2609" s="132">
        <f t="shared" si="297"/>
        <v>0</v>
      </c>
      <c r="I2609" s="132"/>
      <c r="J2609" s="132">
        <f t="shared" si="295"/>
        <v>0</v>
      </c>
      <c r="K2609" s="132">
        <f t="shared" si="291"/>
        <v>0</v>
      </c>
      <c r="L2609" s="132">
        <f t="shared" si="292"/>
        <v>0</v>
      </c>
      <c r="M2609" s="133"/>
      <c r="N2609" s="133">
        <f t="shared" si="296"/>
        <v>0</v>
      </c>
      <c r="O2609" s="134"/>
      <c r="P2609" s="133"/>
      <c r="Q2609" s="2"/>
      <c r="R2609" s="156">
        <f t="shared" si="293"/>
        <v>0</v>
      </c>
      <c r="S2609" s="156">
        <f t="shared" si="294"/>
        <v>0</v>
      </c>
      <c r="T2609" s="133"/>
      <c r="U2609" s="133"/>
      <c r="V2609" s="133"/>
      <c r="W2609" s="133"/>
      <c r="X2609" s="133"/>
      <c r="Y2609" s="133"/>
      <c r="Z2609" s="133"/>
      <c r="AA2609" s="133"/>
      <c r="AB2609" s="133"/>
      <c r="AC2609" s="133"/>
      <c r="AD2609" s="133"/>
      <c r="AE2609" s="133"/>
      <c r="AF2609" s="133"/>
      <c r="AG2609" s="133"/>
      <c r="AH2609" s="133"/>
      <c r="AI2609" s="133"/>
      <c r="AJ2609" s="133"/>
      <c r="AK2609" s="133"/>
      <c r="AL2609" s="133"/>
      <c r="AM2609" s="133"/>
      <c r="AN2609" s="133"/>
      <c r="AO2609" s="133"/>
      <c r="AP2609" s="133"/>
      <c r="AQ2609" s="133"/>
      <c r="AR2609" s="133"/>
      <c r="AS2609" s="153">
        <v>0</v>
      </c>
      <c r="AT2609" s="153">
        <v>0</v>
      </c>
      <c r="AU2609" s="153">
        <v>0</v>
      </c>
      <c r="AV2609" s="135"/>
      <c r="AW2609" s="135"/>
      <c r="AX2609" s="135"/>
      <c r="AY2609" s="135"/>
      <c r="AZ2609" s="135"/>
      <c r="BA2609" s="135"/>
      <c r="BB2609" s="135"/>
      <c r="BC2609" s="135"/>
      <c r="BD2609" s="135"/>
      <c r="BE2609" s="135"/>
      <c r="BF2609" s="135"/>
      <c r="BG2609" s="135"/>
      <c r="BH2609" s="135"/>
      <c r="BI2609" s="2"/>
      <c r="BJ2609" s="136"/>
      <c r="BK2609" s="2"/>
      <c r="BL2609" s="136"/>
      <c r="BM2609" s="136"/>
      <c r="BN2609" s="2"/>
      <c r="BO2609" s="2"/>
      <c r="BP2609" s="136"/>
      <c r="BQ2609" s="137"/>
    </row>
    <row r="2610" spans="1:69" ht="12.75" customHeight="1" x14ac:dyDescent="0.2">
      <c r="A2610" s="2">
        <v>4099</v>
      </c>
      <c r="B2610" s="2"/>
      <c r="C2610" s="2"/>
      <c r="D2610" s="2"/>
      <c r="E2610" s="2"/>
      <c r="F2610" s="132">
        <v>0</v>
      </c>
      <c r="G2610" s="132"/>
      <c r="H2610" s="132">
        <f t="shared" si="297"/>
        <v>0</v>
      </c>
      <c r="I2610" s="132"/>
      <c r="J2610" s="132">
        <f t="shared" si="295"/>
        <v>0</v>
      </c>
      <c r="K2610" s="132">
        <f t="shared" si="291"/>
        <v>0</v>
      </c>
      <c r="L2610" s="132">
        <f t="shared" si="292"/>
        <v>0</v>
      </c>
      <c r="M2610" s="133"/>
      <c r="N2610" s="133">
        <f t="shared" si="296"/>
        <v>0</v>
      </c>
      <c r="O2610" s="134"/>
      <c r="P2610" s="133"/>
      <c r="Q2610" s="2"/>
      <c r="R2610" s="156">
        <f t="shared" si="293"/>
        <v>0</v>
      </c>
      <c r="S2610" s="156">
        <f t="shared" si="294"/>
        <v>0</v>
      </c>
      <c r="T2610" s="133"/>
      <c r="U2610" s="133"/>
      <c r="V2610" s="133"/>
      <c r="W2610" s="133"/>
      <c r="X2610" s="133"/>
      <c r="Y2610" s="133"/>
      <c r="Z2610" s="133"/>
      <c r="AA2610" s="133"/>
      <c r="AB2610" s="133"/>
      <c r="AC2610" s="133"/>
      <c r="AD2610" s="133"/>
      <c r="AE2610" s="133"/>
      <c r="AF2610" s="133"/>
      <c r="AG2610" s="133"/>
      <c r="AH2610" s="133"/>
      <c r="AI2610" s="133"/>
      <c r="AJ2610" s="133"/>
      <c r="AK2610" s="133"/>
      <c r="AL2610" s="133"/>
      <c r="AM2610" s="133"/>
      <c r="AN2610" s="133"/>
      <c r="AO2610" s="133"/>
      <c r="AP2610" s="133"/>
      <c r="AQ2610" s="133"/>
      <c r="AR2610" s="133"/>
      <c r="AS2610" s="153">
        <v>0</v>
      </c>
      <c r="AT2610" s="153">
        <v>0</v>
      </c>
      <c r="AU2610" s="153">
        <v>0</v>
      </c>
      <c r="AV2610" s="135"/>
      <c r="AW2610" s="135"/>
      <c r="AX2610" s="135"/>
      <c r="AY2610" s="135"/>
      <c r="AZ2610" s="135"/>
      <c r="BA2610" s="135"/>
      <c r="BB2610" s="135"/>
      <c r="BC2610" s="135"/>
      <c r="BD2610" s="135"/>
      <c r="BE2610" s="135"/>
      <c r="BF2610" s="135"/>
      <c r="BG2610" s="135"/>
      <c r="BH2610" s="135"/>
      <c r="BI2610" s="2"/>
      <c r="BJ2610" s="136"/>
      <c r="BK2610" s="2"/>
      <c r="BL2610" s="136"/>
      <c r="BM2610" s="136"/>
      <c r="BN2610" s="2"/>
      <c r="BO2610" s="2"/>
      <c r="BP2610" s="136"/>
      <c r="BQ2610" s="137"/>
    </row>
    <row r="2611" spans="1:69" ht="12.75" customHeight="1" x14ac:dyDescent="0.2">
      <c r="A2611" s="2">
        <v>4100</v>
      </c>
      <c r="B2611" s="2"/>
      <c r="C2611" s="2"/>
      <c r="D2611" s="2"/>
      <c r="E2611" s="2"/>
      <c r="F2611" s="132">
        <v>0</v>
      </c>
      <c r="G2611" s="132"/>
      <c r="H2611" s="132">
        <f t="shared" si="297"/>
        <v>0</v>
      </c>
      <c r="I2611" s="132"/>
      <c r="J2611" s="132">
        <f t="shared" si="295"/>
        <v>0</v>
      </c>
      <c r="K2611" s="132">
        <f t="shared" si="291"/>
        <v>0</v>
      </c>
      <c r="L2611" s="132">
        <f t="shared" si="292"/>
        <v>0</v>
      </c>
      <c r="M2611" s="133"/>
      <c r="N2611" s="133">
        <f t="shared" si="296"/>
        <v>0</v>
      </c>
      <c r="O2611" s="134"/>
      <c r="P2611" s="133"/>
      <c r="Q2611" s="2"/>
      <c r="R2611" s="156">
        <f t="shared" si="293"/>
        <v>0</v>
      </c>
      <c r="S2611" s="156">
        <f t="shared" si="294"/>
        <v>0</v>
      </c>
      <c r="T2611" s="133"/>
      <c r="U2611" s="133"/>
      <c r="V2611" s="133"/>
      <c r="W2611" s="133"/>
      <c r="X2611" s="133"/>
      <c r="Y2611" s="133"/>
      <c r="Z2611" s="133"/>
      <c r="AA2611" s="133"/>
      <c r="AB2611" s="133"/>
      <c r="AC2611" s="133"/>
      <c r="AD2611" s="133"/>
      <c r="AE2611" s="133"/>
      <c r="AF2611" s="133"/>
      <c r="AG2611" s="133"/>
      <c r="AH2611" s="133"/>
      <c r="AI2611" s="133"/>
      <c r="AJ2611" s="133"/>
      <c r="AK2611" s="133"/>
      <c r="AL2611" s="133"/>
      <c r="AM2611" s="133"/>
      <c r="AN2611" s="133"/>
      <c r="AO2611" s="133"/>
      <c r="AP2611" s="133"/>
      <c r="AQ2611" s="133"/>
      <c r="AR2611" s="133"/>
      <c r="AS2611" s="153">
        <v>0</v>
      </c>
      <c r="AT2611" s="153">
        <v>0</v>
      </c>
      <c r="AU2611" s="153">
        <v>0</v>
      </c>
      <c r="AV2611" s="135"/>
      <c r="AW2611" s="135"/>
      <c r="AX2611" s="135"/>
      <c r="AY2611" s="135"/>
      <c r="AZ2611" s="135"/>
      <c r="BA2611" s="135"/>
      <c r="BB2611" s="135"/>
      <c r="BC2611" s="135"/>
      <c r="BD2611" s="135"/>
      <c r="BE2611" s="135"/>
      <c r="BF2611" s="135"/>
      <c r="BG2611" s="135"/>
      <c r="BH2611" s="135"/>
      <c r="BI2611" s="2"/>
      <c r="BJ2611" s="136"/>
      <c r="BK2611" s="2"/>
      <c r="BL2611" s="136"/>
      <c r="BM2611" s="136"/>
      <c r="BN2611" s="2"/>
      <c r="BO2611" s="2"/>
      <c r="BP2611" s="136"/>
      <c r="BQ2611" s="137"/>
    </row>
    <row r="2612" spans="1:69" ht="12.75" customHeight="1" x14ac:dyDescent="0.2">
      <c r="A2612" s="2">
        <v>4101</v>
      </c>
      <c r="B2612" s="2"/>
      <c r="C2612" s="2"/>
      <c r="D2612" s="2"/>
      <c r="E2612" s="2"/>
      <c r="F2612" s="132">
        <v>0</v>
      </c>
      <c r="G2612" s="132"/>
      <c r="H2612" s="132">
        <f t="shared" si="297"/>
        <v>0</v>
      </c>
      <c r="I2612" s="132"/>
      <c r="J2612" s="132">
        <f t="shared" si="295"/>
        <v>0</v>
      </c>
      <c r="K2612" s="132">
        <f t="shared" si="291"/>
        <v>0</v>
      </c>
      <c r="L2612" s="132">
        <f t="shared" si="292"/>
        <v>0</v>
      </c>
      <c r="M2612" s="133"/>
      <c r="N2612" s="133">
        <f t="shared" si="296"/>
        <v>0</v>
      </c>
      <c r="O2612" s="134"/>
      <c r="P2612" s="133"/>
      <c r="Q2612" s="2"/>
      <c r="R2612" s="156">
        <f t="shared" si="293"/>
        <v>0</v>
      </c>
      <c r="S2612" s="156">
        <f t="shared" si="294"/>
        <v>0</v>
      </c>
      <c r="T2612" s="133"/>
      <c r="U2612" s="133"/>
      <c r="V2612" s="133"/>
      <c r="W2612" s="133"/>
      <c r="X2612" s="133"/>
      <c r="Y2612" s="133"/>
      <c r="Z2612" s="133"/>
      <c r="AA2612" s="133"/>
      <c r="AB2612" s="133"/>
      <c r="AC2612" s="133"/>
      <c r="AD2612" s="133"/>
      <c r="AE2612" s="133"/>
      <c r="AF2612" s="133"/>
      <c r="AG2612" s="133"/>
      <c r="AH2612" s="133"/>
      <c r="AI2612" s="133"/>
      <c r="AJ2612" s="133"/>
      <c r="AK2612" s="133"/>
      <c r="AL2612" s="133"/>
      <c r="AM2612" s="133"/>
      <c r="AN2612" s="133"/>
      <c r="AO2612" s="133"/>
      <c r="AP2612" s="133"/>
      <c r="AQ2612" s="133"/>
      <c r="AR2612" s="133"/>
      <c r="AS2612" s="153">
        <v>0</v>
      </c>
      <c r="AT2612" s="153">
        <v>0</v>
      </c>
      <c r="AU2612" s="153">
        <v>0</v>
      </c>
      <c r="AV2612" s="135"/>
      <c r="AW2612" s="135"/>
      <c r="AX2612" s="135"/>
      <c r="AY2612" s="135"/>
      <c r="AZ2612" s="135"/>
      <c r="BA2612" s="135"/>
      <c r="BB2612" s="135"/>
      <c r="BC2612" s="135"/>
      <c r="BD2612" s="135"/>
      <c r="BE2612" s="135"/>
      <c r="BF2612" s="135"/>
      <c r="BG2612" s="135"/>
      <c r="BH2612" s="135"/>
      <c r="BI2612" s="2"/>
      <c r="BJ2612" s="136"/>
      <c r="BK2612" s="2"/>
      <c r="BL2612" s="136"/>
      <c r="BM2612" s="136"/>
      <c r="BN2612" s="2"/>
      <c r="BO2612" s="2"/>
      <c r="BP2612" s="136"/>
      <c r="BQ2612" s="137"/>
    </row>
    <row r="2613" spans="1:69" ht="12.75" customHeight="1" x14ac:dyDescent="0.2">
      <c r="A2613" s="2">
        <v>4102</v>
      </c>
      <c r="B2613" s="2"/>
      <c r="C2613" s="2"/>
      <c r="D2613" s="2"/>
      <c r="E2613" s="2"/>
      <c r="F2613" s="132">
        <v>0</v>
      </c>
      <c r="G2613" s="132"/>
      <c r="H2613" s="132">
        <f t="shared" si="297"/>
        <v>0</v>
      </c>
      <c r="I2613" s="132"/>
      <c r="J2613" s="132">
        <f t="shared" si="295"/>
        <v>0</v>
      </c>
      <c r="K2613" s="132">
        <f t="shared" si="291"/>
        <v>0</v>
      </c>
      <c r="L2613" s="132">
        <f t="shared" si="292"/>
        <v>0</v>
      </c>
      <c r="M2613" s="133"/>
      <c r="N2613" s="133">
        <f t="shared" si="296"/>
        <v>0</v>
      </c>
      <c r="O2613" s="134"/>
      <c r="P2613" s="133"/>
      <c r="Q2613" s="2"/>
      <c r="R2613" s="156">
        <f t="shared" si="293"/>
        <v>0</v>
      </c>
      <c r="S2613" s="156">
        <f t="shared" si="294"/>
        <v>0</v>
      </c>
      <c r="T2613" s="133"/>
      <c r="U2613" s="133"/>
      <c r="V2613" s="133"/>
      <c r="W2613" s="133"/>
      <c r="X2613" s="133"/>
      <c r="Y2613" s="133"/>
      <c r="Z2613" s="133"/>
      <c r="AA2613" s="133"/>
      <c r="AB2613" s="133"/>
      <c r="AC2613" s="133"/>
      <c r="AD2613" s="133"/>
      <c r="AE2613" s="133"/>
      <c r="AF2613" s="133"/>
      <c r="AG2613" s="133"/>
      <c r="AH2613" s="133"/>
      <c r="AI2613" s="133"/>
      <c r="AJ2613" s="133"/>
      <c r="AK2613" s="133"/>
      <c r="AL2613" s="133"/>
      <c r="AM2613" s="133"/>
      <c r="AN2613" s="133"/>
      <c r="AO2613" s="133"/>
      <c r="AP2613" s="133"/>
      <c r="AQ2613" s="133"/>
      <c r="AR2613" s="133"/>
      <c r="AS2613" s="153">
        <v>0</v>
      </c>
      <c r="AT2613" s="153">
        <v>0</v>
      </c>
      <c r="AU2613" s="153">
        <v>0</v>
      </c>
      <c r="AV2613" s="135"/>
      <c r="AW2613" s="135"/>
      <c r="AX2613" s="135"/>
      <c r="AY2613" s="135"/>
      <c r="AZ2613" s="135"/>
      <c r="BA2613" s="135"/>
      <c r="BB2613" s="135"/>
      <c r="BC2613" s="135"/>
      <c r="BD2613" s="135"/>
      <c r="BE2613" s="135"/>
      <c r="BF2613" s="135"/>
      <c r="BG2613" s="135"/>
      <c r="BH2613" s="135"/>
      <c r="BI2613" s="2"/>
      <c r="BJ2613" s="136"/>
      <c r="BK2613" s="2"/>
      <c r="BL2613" s="136"/>
      <c r="BM2613" s="136"/>
      <c r="BN2613" s="2"/>
      <c r="BO2613" s="2"/>
      <c r="BP2613" s="136"/>
      <c r="BQ2613" s="137"/>
    </row>
    <row r="2614" spans="1:69" ht="12.75" customHeight="1" x14ac:dyDescent="0.2">
      <c r="A2614" s="2">
        <v>4103</v>
      </c>
      <c r="B2614" s="2"/>
      <c r="C2614" s="2"/>
      <c r="D2614" s="2"/>
      <c r="E2614" s="2"/>
      <c r="F2614" s="132">
        <v>0</v>
      </c>
      <c r="G2614" s="132"/>
      <c r="H2614" s="132">
        <f t="shared" si="297"/>
        <v>0</v>
      </c>
      <c r="I2614" s="132"/>
      <c r="J2614" s="132">
        <f t="shared" si="295"/>
        <v>0</v>
      </c>
      <c r="K2614" s="132">
        <f t="shared" ref="K2614:K2677" si="298">F2614-J2614</f>
        <v>0</v>
      </c>
      <c r="L2614" s="132">
        <f t="shared" si="292"/>
        <v>0</v>
      </c>
      <c r="M2614" s="133"/>
      <c r="N2614" s="133">
        <f t="shared" si="296"/>
        <v>0</v>
      </c>
      <c r="O2614" s="134"/>
      <c r="P2614" s="133"/>
      <c r="Q2614" s="2"/>
      <c r="R2614" s="156">
        <f t="shared" si="293"/>
        <v>0</v>
      </c>
      <c r="S2614" s="156">
        <f t="shared" si="294"/>
        <v>0</v>
      </c>
      <c r="T2614" s="133"/>
      <c r="U2614" s="133"/>
      <c r="V2614" s="133"/>
      <c r="W2614" s="133"/>
      <c r="X2614" s="133"/>
      <c r="Y2614" s="133"/>
      <c r="Z2614" s="133"/>
      <c r="AA2614" s="133"/>
      <c r="AB2614" s="133"/>
      <c r="AC2614" s="133"/>
      <c r="AD2614" s="133"/>
      <c r="AE2614" s="133"/>
      <c r="AF2614" s="133"/>
      <c r="AG2614" s="133"/>
      <c r="AH2614" s="133"/>
      <c r="AI2614" s="133"/>
      <c r="AJ2614" s="133"/>
      <c r="AK2614" s="133"/>
      <c r="AL2614" s="133"/>
      <c r="AM2614" s="133"/>
      <c r="AN2614" s="133"/>
      <c r="AO2614" s="133"/>
      <c r="AP2614" s="133"/>
      <c r="AQ2614" s="133"/>
      <c r="AR2614" s="133"/>
      <c r="AS2614" s="153">
        <v>0</v>
      </c>
      <c r="AT2614" s="153">
        <v>0</v>
      </c>
      <c r="AU2614" s="153">
        <v>0</v>
      </c>
      <c r="AV2614" s="135"/>
      <c r="AW2614" s="135"/>
      <c r="AX2614" s="135"/>
      <c r="AY2614" s="135"/>
      <c r="AZ2614" s="135"/>
      <c r="BA2614" s="135"/>
      <c r="BB2614" s="135"/>
      <c r="BC2614" s="135"/>
      <c r="BD2614" s="135"/>
      <c r="BE2614" s="135"/>
      <c r="BF2614" s="135"/>
      <c r="BG2614" s="135"/>
      <c r="BH2614" s="135"/>
      <c r="BI2614" s="2"/>
      <c r="BJ2614" s="136"/>
      <c r="BK2614" s="2"/>
      <c r="BL2614" s="136"/>
      <c r="BM2614" s="136"/>
      <c r="BN2614" s="2"/>
      <c r="BO2614" s="2"/>
      <c r="BP2614" s="136"/>
      <c r="BQ2614" s="137"/>
    </row>
    <row r="2615" spans="1:69" ht="12.75" customHeight="1" x14ac:dyDescent="0.2">
      <c r="A2615" s="2">
        <v>4104</v>
      </c>
      <c r="B2615" s="2"/>
      <c r="C2615" s="2"/>
      <c r="D2615" s="2"/>
      <c r="E2615" s="2"/>
      <c r="F2615" s="132">
        <v>0</v>
      </c>
      <c r="G2615" s="132"/>
      <c r="H2615" s="132">
        <f t="shared" si="297"/>
        <v>0</v>
      </c>
      <c r="I2615" s="132"/>
      <c r="J2615" s="132">
        <f t="shared" si="295"/>
        <v>0</v>
      </c>
      <c r="K2615" s="132">
        <f t="shared" si="298"/>
        <v>0</v>
      </c>
      <c r="L2615" s="132">
        <f t="shared" si="292"/>
        <v>0</v>
      </c>
      <c r="M2615" s="133"/>
      <c r="N2615" s="133">
        <f t="shared" si="296"/>
        <v>0</v>
      </c>
      <c r="O2615" s="134"/>
      <c r="P2615" s="133"/>
      <c r="Q2615" s="2"/>
      <c r="R2615" s="156">
        <f t="shared" si="293"/>
        <v>0</v>
      </c>
      <c r="S2615" s="156">
        <f t="shared" si="294"/>
        <v>0</v>
      </c>
      <c r="T2615" s="133"/>
      <c r="U2615" s="133"/>
      <c r="V2615" s="133"/>
      <c r="W2615" s="133"/>
      <c r="X2615" s="133"/>
      <c r="Y2615" s="133"/>
      <c r="Z2615" s="133"/>
      <c r="AA2615" s="133"/>
      <c r="AB2615" s="133"/>
      <c r="AC2615" s="133"/>
      <c r="AD2615" s="133"/>
      <c r="AE2615" s="133"/>
      <c r="AF2615" s="133"/>
      <c r="AG2615" s="133"/>
      <c r="AH2615" s="133"/>
      <c r="AI2615" s="133"/>
      <c r="AJ2615" s="133"/>
      <c r="AK2615" s="133"/>
      <c r="AL2615" s="133"/>
      <c r="AM2615" s="133"/>
      <c r="AN2615" s="133"/>
      <c r="AO2615" s="133"/>
      <c r="AP2615" s="133"/>
      <c r="AQ2615" s="133"/>
      <c r="AR2615" s="133"/>
      <c r="AS2615" s="153">
        <v>0</v>
      </c>
      <c r="AT2615" s="153">
        <v>0</v>
      </c>
      <c r="AU2615" s="153">
        <v>0</v>
      </c>
      <c r="AV2615" s="135"/>
      <c r="AW2615" s="135"/>
      <c r="AX2615" s="135"/>
      <c r="AY2615" s="135"/>
      <c r="AZ2615" s="135"/>
      <c r="BA2615" s="135"/>
      <c r="BB2615" s="135"/>
      <c r="BC2615" s="135"/>
      <c r="BD2615" s="135"/>
      <c r="BE2615" s="135"/>
      <c r="BF2615" s="135"/>
      <c r="BG2615" s="135"/>
      <c r="BH2615" s="135"/>
      <c r="BI2615" s="2"/>
      <c r="BJ2615" s="136"/>
      <c r="BK2615" s="2"/>
      <c r="BL2615" s="136"/>
      <c r="BM2615" s="136"/>
      <c r="BN2615" s="2"/>
      <c r="BO2615" s="2"/>
      <c r="BP2615" s="136"/>
      <c r="BQ2615" s="137"/>
    </row>
    <row r="2616" spans="1:69" ht="12.75" customHeight="1" x14ac:dyDescent="0.2">
      <c r="A2616" s="2">
        <v>4105</v>
      </c>
      <c r="B2616" s="2"/>
      <c r="C2616" s="2"/>
      <c r="D2616" s="2"/>
      <c r="E2616" s="2"/>
      <c r="F2616" s="132">
        <v>0</v>
      </c>
      <c r="G2616" s="132"/>
      <c r="H2616" s="132">
        <f t="shared" si="297"/>
        <v>0</v>
      </c>
      <c r="I2616" s="132"/>
      <c r="J2616" s="132">
        <f t="shared" si="295"/>
        <v>0</v>
      </c>
      <c r="K2616" s="132">
        <f t="shared" si="298"/>
        <v>0</v>
      </c>
      <c r="L2616" s="132">
        <f t="shared" si="292"/>
        <v>0</v>
      </c>
      <c r="M2616" s="133"/>
      <c r="N2616" s="133">
        <f t="shared" si="296"/>
        <v>0</v>
      </c>
      <c r="O2616" s="134"/>
      <c r="P2616" s="133"/>
      <c r="Q2616" s="2"/>
      <c r="R2616" s="156">
        <f t="shared" si="293"/>
        <v>0</v>
      </c>
      <c r="S2616" s="156">
        <f t="shared" si="294"/>
        <v>0</v>
      </c>
      <c r="T2616" s="133"/>
      <c r="U2616" s="133"/>
      <c r="V2616" s="133"/>
      <c r="W2616" s="133"/>
      <c r="X2616" s="133"/>
      <c r="Y2616" s="133"/>
      <c r="Z2616" s="133"/>
      <c r="AA2616" s="133"/>
      <c r="AB2616" s="133"/>
      <c r="AC2616" s="133"/>
      <c r="AD2616" s="133"/>
      <c r="AE2616" s="133"/>
      <c r="AF2616" s="133"/>
      <c r="AG2616" s="133"/>
      <c r="AH2616" s="133"/>
      <c r="AI2616" s="133"/>
      <c r="AJ2616" s="133"/>
      <c r="AK2616" s="133"/>
      <c r="AL2616" s="133"/>
      <c r="AM2616" s="133"/>
      <c r="AN2616" s="133"/>
      <c r="AO2616" s="133"/>
      <c r="AP2616" s="133"/>
      <c r="AQ2616" s="133"/>
      <c r="AR2616" s="133"/>
      <c r="AS2616" s="153">
        <v>0</v>
      </c>
      <c r="AT2616" s="153">
        <v>0</v>
      </c>
      <c r="AU2616" s="153">
        <v>0</v>
      </c>
      <c r="AV2616" s="135"/>
      <c r="AW2616" s="135"/>
      <c r="AX2616" s="135"/>
      <c r="AY2616" s="135"/>
      <c r="AZ2616" s="135"/>
      <c r="BA2616" s="135"/>
      <c r="BB2616" s="135"/>
      <c r="BC2616" s="135"/>
      <c r="BD2616" s="135"/>
      <c r="BE2616" s="135"/>
      <c r="BF2616" s="135"/>
      <c r="BG2616" s="135"/>
      <c r="BH2616" s="135"/>
      <c r="BI2616" s="2"/>
      <c r="BJ2616" s="136"/>
      <c r="BK2616" s="2"/>
      <c r="BL2616" s="136"/>
      <c r="BM2616" s="136"/>
      <c r="BN2616" s="2"/>
      <c r="BO2616" s="2"/>
      <c r="BP2616" s="136"/>
      <c r="BQ2616" s="137"/>
    </row>
    <row r="2617" spans="1:69" ht="12.75" customHeight="1" x14ac:dyDescent="0.2">
      <c r="A2617" s="2">
        <v>4106</v>
      </c>
      <c r="B2617" s="2"/>
      <c r="C2617" s="2"/>
      <c r="D2617" s="2"/>
      <c r="E2617" s="2"/>
      <c r="F2617" s="132">
        <v>0</v>
      </c>
      <c r="G2617" s="132"/>
      <c r="H2617" s="132">
        <f t="shared" si="297"/>
        <v>0</v>
      </c>
      <c r="I2617" s="132"/>
      <c r="J2617" s="132">
        <f t="shared" si="295"/>
        <v>0</v>
      </c>
      <c r="K2617" s="132">
        <f t="shared" si="298"/>
        <v>0</v>
      </c>
      <c r="L2617" s="132">
        <f t="shared" si="292"/>
        <v>0</v>
      </c>
      <c r="M2617" s="133"/>
      <c r="N2617" s="133">
        <f t="shared" si="296"/>
        <v>0</v>
      </c>
      <c r="O2617" s="134"/>
      <c r="P2617" s="133"/>
      <c r="Q2617" s="2"/>
      <c r="R2617" s="156">
        <f t="shared" si="293"/>
        <v>0</v>
      </c>
      <c r="S2617" s="156">
        <f t="shared" si="294"/>
        <v>0</v>
      </c>
      <c r="T2617" s="133"/>
      <c r="U2617" s="133"/>
      <c r="V2617" s="133"/>
      <c r="W2617" s="133"/>
      <c r="X2617" s="133"/>
      <c r="Y2617" s="133"/>
      <c r="Z2617" s="133"/>
      <c r="AA2617" s="133"/>
      <c r="AB2617" s="133"/>
      <c r="AC2617" s="133"/>
      <c r="AD2617" s="133"/>
      <c r="AE2617" s="133"/>
      <c r="AF2617" s="133"/>
      <c r="AG2617" s="133"/>
      <c r="AH2617" s="133"/>
      <c r="AI2617" s="133"/>
      <c r="AJ2617" s="133"/>
      <c r="AK2617" s="133"/>
      <c r="AL2617" s="133"/>
      <c r="AM2617" s="133"/>
      <c r="AN2617" s="133"/>
      <c r="AO2617" s="133"/>
      <c r="AP2617" s="133"/>
      <c r="AQ2617" s="133"/>
      <c r="AR2617" s="133"/>
      <c r="AS2617" s="153">
        <v>0</v>
      </c>
      <c r="AT2617" s="153">
        <v>0</v>
      </c>
      <c r="AU2617" s="153">
        <v>0</v>
      </c>
      <c r="AV2617" s="135"/>
      <c r="AW2617" s="135"/>
      <c r="AX2617" s="135"/>
      <c r="AY2617" s="135"/>
      <c r="AZ2617" s="135"/>
      <c r="BA2617" s="135"/>
      <c r="BB2617" s="135"/>
      <c r="BC2617" s="135"/>
      <c r="BD2617" s="135"/>
      <c r="BE2617" s="135"/>
      <c r="BF2617" s="135"/>
      <c r="BG2617" s="135"/>
      <c r="BH2617" s="135"/>
      <c r="BI2617" s="2"/>
      <c r="BJ2617" s="136"/>
      <c r="BK2617" s="2"/>
      <c r="BL2617" s="136"/>
      <c r="BM2617" s="136"/>
      <c r="BN2617" s="2"/>
      <c r="BO2617" s="2"/>
      <c r="BP2617" s="136"/>
      <c r="BQ2617" s="137"/>
    </row>
    <row r="2618" spans="1:69" ht="12.75" customHeight="1" x14ac:dyDescent="0.2">
      <c r="A2618" s="2">
        <v>4107</v>
      </c>
      <c r="B2618" s="2"/>
      <c r="C2618" s="2"/>
      <c r="D2618" s="2"/>
      <c r="E2618" s="2"/>
      <c r="F2618" s="132">
        <v>0</v>
      </c>
      <c r="G2618" s="132"/>
      <c r="H2618" s="132">
        <f t="shared" si="297"/>
        <v>0</v>
      </c>
      <c r="I2618" s="132"/>
      <c r="J2618" s="132">
        <f t="shared" si="295"/>
        <v>0</v>
      </c>
      <c r="K2618" s="132">
        <f t="shared" si="298"/>
        <v>0</v>
      </c>
      <c r="L2618" s="132">
        <f t="shared" si="292"/>
        <v>0</v>
      </c>
      <c r="M2618" s="133"/>
      <c r="N2618" s="133">
        <f t="shared" si="296"/>
        <v>0</v>
      </c>
      <c r="O2618" s="134"/>
      <c r="P2618" s="133"/>
      <c r="Q2618" s="2"/>
      <c r="R2618" s="156">
        <f t="shared" si="293"/>
        <v>0</v>
      </c>
      <c r="S2618" s="156">
        <f t="shared" si="294"/>
        <v>0</v>
      </c>
      <c r="T2618" s="133"/>
      <c r="U2618" s="133"/>
      <c r="V2618" s="133"/>
      <c r="W2618" s="133"/>
      <c r="X2618" s="133"/>
      <c r="Y2618" s="133"/>
      <c r="Z2618" s="133"/>
      <c r="AA2618" s="133"/>
      <c r="AB2618" s="133"/>
      <c r="AC2618" s="133"/>
      <c r="AD2618" s="133"/>
      <c r="AE2618" s="133"/>
      <c r="AF2618" s="133"/>
      <c r="AG2618" s="133"/>
      <c r="AH2618" s="133"/>
      <c r="AI2618" s="133"/>
      <c r="AJ2618" s="133"/>
      <c r="AK2618" s="133"/>
      <c r="AL2618" s="133"/>
      <c r="AM2618" s="133"/>
      <c r="AN2618" s="133"/>
      <c r="AO2618" s="133"/>
      <c r="AP2618" s="133"/>
      <c r="AQ2618" s="133"/>
      <c r="AR2618" s="133"/>
      <c r="AS2618" s="153">
        <v>0</v>
      </c>
      <c r="AT2618" s="153">
        <v>0</v>
      </c>
      <c r="AU2618" s="153">
        <v>0</v>
      </c>
      <c r="AV2618" s="135"/>
      <c r="AW2618" s="135"/>
      <c r="AX2618" s="135"/>
      <c r="AY2618" s="135"/>
      <c r="AZ2618" s="135"/>
      <c r="BA2618" s="135"/>
      <c r="BB2618" s="135"/>
      <c r="BC2618" s="135"/>
      <c r="BD2618" s="135"/>
      <c r="BE2618" s="135"/>
      <c r="BF2618" s="135"/>
      <c r="BG2618" s="135"/>
      <c r="BH2618" s="135"/>
      <c r="BI2618" s="2"/>
      <c r="BJ2618" s="136"/>
      <c r="BK2618" s="2"/>
      <c r="BL2618" s="136"/>
      <c r="BM2618" s="136"/>
      <c r="BN2618" s="2"/>
      <c r="BO2618" s="2"/>
      <c r="BP2618" s="136"/>
      <c r="BQ2618" s="137"/>
    </row>
    <row r="2619" spans="1:69" ht="12.75" customHeight="1" x14ac:dyDescent="0.2">
      <c r="A2619" s="2">
        <v>4108</v>
      </c>
      <c r="B2619" s="2"/>
      <c r="C2619" s="2"/>
      <c r="D2619" s="2"/>
      <c r="E2619" s="2"/>
      <c r="F2619" s="132">
        <v>0</v>
      </c>
      <c r="G2619" s="132"/>
      <c r="H2619" s="132">
        <f t="shared" si="297"/>
        <v>0</v>
      </c>
      <c r="I2619" s="132"/>
      <c r="J2619" s="132">
        <f t="shared" si="295"/>
        <v>0</v>
      </c>
      <c r="K2619" s="132">
        <f t="shared" si="298"/>
        <v>0</v>
      </c>
      <c r="L2619" s="132">
        <f t="shared" si="292"/>
        <v>0</v>
      </c>
      <c r="M2619" s="133"/>
      <c r="N2619" s="133">
        <f t="shared" si="296"/>
        <v>0</v>
      </c>
      <c r="O2619" s="134"/>
      <c r="P2619" s="133"/>
      <c r="Q2619" s="2"/>
      <c r="R2619" s="156">
        <f t="shared" si="293"/>
        <v>0</v>
      </c>
      <c r="S2619" s="156">
        <f t="shared" si="294"/>
        <v>0</v>
      </c>
      <c r="T2619" s="133"/>
      <c r="U2619" s="133"/>
      <c r="V2619" s="133"/>
      <c r="W2619" s="133"/>
      <c r="X2619" s="133"/>
      <c r="Y2619" s="133"/>
      <c r="Z2619" s="133"/>
      <c r="AA2619" s="133"/>
      <c r="AB2619" s="133"/>
      <c r="AC2619" s="133"/>
      <c r="AD2619" s="133"/>
      <c r="AE2619" s="133"/>
      <c r="AF2619" s="133"/>
      <c r="AG2619" s="133"/>
      <c r="AH2619" s="133"/>
      <c r="AI2619" s="133"/>
      <c r="AJ2619" s="133"/>
      <c r="AK2619" s="133"/>
      <c r="AL2619" s="133"/>
      <c r="AM2619" s="133"/>
      <c r="AN2619" s="133"/>
      <c r="AO2619" s="133"/>
      <c r="AP2619" s="133"/>
      <c r="AQ2619" s="133"/>
      <c r="AR2619" s="133"/>
      <c r="AS2619" s="153">
        <v>0</v>
      </c>
      <c r="AT2619" s="153">
        <v>0</v>
      </c>
      <c r="AU2619" s="153">
        <v>0</v>
      </c>
      <c r="AV2619" s="135"/>
      <c r="AW2619" s="135"/>
      <c r="AX2619" s="135"/>
      <c r="AY2619" s="135"/>
      <c r="AZ2619" s="135"/>
      <c r="BA2619" s="135"/>
      <c r="BB2619" s="135"/>
      <c r="BC2619" s="135"/>
      <c r="BD2619" s="135"/>
      <c r="BE2619" s="135"/>
      <c r="BF2619" s="135"/>
      <c r="BG2619" s="135"/>
      <c r="BH2619" s="135"/>
      <c r="BI2619" s="2"/>
      <c r="BJ2619" s="136"/>
      <c r="BK2619" s="2"/>
      <c r="BL2619" s="136"/>
      <c r="BM2619" s="136"/>
      <c r="BN2619" s="2"/>
      <c r="BO2619" s="2"/>
      <c r="BP2619" s="136"/>
      <c r="BQ2619" s="137"/>
    </row>
    <row r="2620" spans="1:69" ht="12.75" customHeight="1" x14ac:dyDescent="0.2">
      <c r="A2620" s="2">
        <v>4109</v>
      </c>
      <c r="B2620" s="2"/>
      <c r="C2620" s="2"/>
      <c r="D2620" s="2"/>
      <c r="E2620" s="2"/>
      <c r="F2620" s="132">
        <v>0</v>
      </c>
      <c r="G2620" s="132"/>
      <c r="H2620" s="132">
        <f t="shared" si="297"/>
        <v>0</v>
      </c>
      <c r="I2620" s="132"/>
      <c r="J2620" s="132">
        <f t="shared" si="295"/>
        <v>0</v>
      </c>
      <c r="K2620" s="132">
        <f t="shared" si="298"/>
        <v>0</v>
      </c>
      <c r="L2620" s="132">
        <f t="shared" si="292"/>
        <v>0</v>
      </c>
      <c r="M2620" s="133"/>
      <c r="N2620" s="133">
        <f t="shared" si="296"/>
        <v>0</v>
      </c>
      <c r="O2620" s="134"/>
      <c r="P2620" s="133"/>
      <c r="Q2620" s="2"/>
      <c r="R2620" s="156">
        <f t="shared" si="293"/>
        <v>0</v>
      </c>
      <c r="S2620" s="156">
        <f t="shared" si="294"/>
        <v>0</v>
      </c>
      <c r="T2620" s="133"/>
      <c r="U2620" s="133"/>
      <c r="V2620" s="133"/>
      <c r="W2620" s="133"/>
      <c r="X2620" s="133"/>
      <c r="Y2620" s="133"/>
      <c r="Z2620" s="133"/>
      <c r="AA2620" s="133"/>
      <c r="AB2620" s="133"/>
      <c r="AC2620" s="133"/>
      <c r="AD2620" s="133"/>
      <c r="AE2620" s="133"/>
      <c r="AF2620" s="133"/>
      <c r="AG2620" s="133"/>
      <c r="AH2620" s="133"/>
      <c r="AI2620" s="133"/>
      <c r="AJ2620" s="133"/>
      <c r="AK2620" s="133"/>
      <c r="AL2620" s="133"/>
      <c r="AM2620" s="133"/>
      <c r="AN2620" s="133"/>
      <c r="AO2620" s="133"/>
      <c r="AP2620" s="133"/>
      <c r="AQ2620" s="133"/>
      <c r="AR2620" s="133"/>
      <c r="AS2620" s="153">
        <v>0</v>
      </c>
      <c r="AT2620" s="153">
        <v>0</v>
      </c>
      <c r="AU2620" s="153">
        <v>0</v>
      </c>
      <c r="AV2620" s="135"/>
      <c r="AW2620" s="135"/>
      <c r="AX2620" s="135"/>
      <c r="AY2620" s="135"/>
      <c r="AZ2620" s="135"/>
      <c r="BA2620" s="135"/>
      <c r="BB2620" s="135"/>
      <c r="BC2620" s="135"/>
      <c r="BD2620" s="135"/>
      <c r="BE2620" s="135"/>
      <c r="BF2620" s="135"/>
      <c r="BG2620" s="135"/>
      <c r="BH2620" s="135"/>
      <c r="BI2620" s="2"/>
      <c r="BJ2620" s="136"/>
      <c r="BK2620" s="2"/>
      <c r="BL2620" s="136"/>
      <c r="BM2620" s="136"/>
      <c r="BN2620" s="2"/>
      <c r="BO2620" s="2"/>
      <c r="BP2620" s="136"/>
      <c r="BQ2620" s="137"/>
    </row>
    <row r="2621" spans="1:69" ht="12.75" customHeight="1" x14ac:dyDescent="0.2">
      <c r="A2621" s="2">
        <v>4110</v>
      </c>
      <c r="B2621" s="2"/>
      <c r="C2621" s="2"/>
      <c r="D2621" s="2"/>
      <c r="E2621" s="2"/>
      <c r="F2621" s="132">
        <v>0</v>
      </c>
      <c r="G2621" s="132"/>
      <c r="H2621" s="132">
        <f t="shared" si="297"/>
        <v>0</v>
      </c>
      <c r="I2621" s="132"/>
      <c r="J2621" s="132">
        <f t="shared" si="295"/>
        <v>0</v>
      </c>
      <c r="K2621" s="132">
        <f t="shared" si="298"/>
        <v>0</v>
      </c>
      <c r="L2621" s="132">
        <f t="shared" si="292"/>
        <v>0</v>
      </c>
      <c r="M2621" s="133"/>
      <c r="N2621" s="133">
        <f t="shared" si="296"/>
        <v>0</v>
      </c>
      <c r="O2621" s="134"/>
      <c r="P2621" s="133"/>
      <c r="Q2621" s="2"/>
      <c r="R2621" s="156">
        <f t="shared" si="293"/>
        <v>0</v>
      </c>
      <c r="S2621" s="156">
        <f t="shared" si="294"/>
        <v>0</v>
      </c>
      <c r="T2621" s="133"/>
      <c r="U2621" s="133"/>
      <c r="V2621" s="133"/>
      <c r="W2621" s="133"/>
      <c r="X2621" s="133"/>
      <c r="Y2621" s="133"/>
      <c r="Z2621" s="133"/>
      <c r="AA2621" s="133"/>
      <c r="AB2621" s="133"/>
      <c r="AC2621" s="133"/>
      <c r="AD2621" s="133"/>
      <c r="AE2621" s="133"/>
      <c r="AF2621" s="133"/>
      <c r="AG2621" s="133"/>
      <c r="AH2621" s="133"/>
      <c r="AI2621" s="133"/>
      <c r="AJ2621" s="133"/>
      <c r="AK2621" s="133"/>
      <c r="AL2621" s="133"/>
      <c r="AM2621" s="133"/>
      <c r="AN2621" s="133"/>
      <c r="AO2621" s="133"/>
      <c r="AP2621" s="133"/>
      <c r="AQ2621" s="133"/>
      <c r="AR2621" s="133"/>
      <c r="AS2621" s="153">
        <v>0</v>
      </c>
      <c r="AT2621" s="153">
        <v>0</v>
      </c>
      <c r="AU2621" s="153">
        <v>0</v>
      </c>
      <c r="AV2621" s="135"/>
      <c r="AW2621" s="135"/>
      <c r="AX2621" s="135"/>
      <c r="AY2621" s="135"/>
      <c r="AZ2621" s="135"/>
      <c r="BA2621" s="135"/>
      <c r="BB2621" s="135"/>
      <c r="BC2621" s="135"/>
      <c r="BD2621" s="135"/>
      <c r="BE2621" s="135"/>
      <c r="BF2621" s="135"/>
      <c r="BG2621" s="135"/>
      <c r="BH2621" s="135"/>
      <c r="BI2621" s="2"/>
      <c r="BJ2621" s="136"/>
      <c r="BK2621" s="2"/>
      <c r="BL2621" s="136"/>
      <c r="BM2621" s="136"/>
      <c r="BN2621" s="2"/>
      <c r="BO2621" s="2"/>
      <c r="BP2621" s="136"/>
      <c r="BQ2621" s="137"/>
    </row>
    <row r="2622" spans="1:69" ht="12.75" customHeight="1" x14ac:dyDescent="0.2">
      <c r="A2622" s="2">
        <v>4111</v>
      </c>
      <c r="B2622" s="2"/>
      <c r="C2622" s="2"/>
      <c r="D2622" s="2"/>
      <c r="E2622" s="2"/>
      <c r="F2622" s="132">
        <v>0</v>
      </c>
      <c r="G2622" s="132"/>
      <c r="H2622" s="132">
        <f t="shared" si="297"/>
        <v>0</v>
      </c>
      <c r="I2622" s="132"/>
      <c r="J2622" s="132">
        <f t="shared" si="295"/>
        <v>0</v>
      </c>
      <c r="K2622" s="132">
        <f t="shared" si="298"/>
        <v>0</v>
      </c>
      <c r="L2622" s="132">
        <f t="shared" si="292"/>
        <v>0</v>
      </c>
      <c r="M2622" s="133"/>
      <c r="N2622" s="133">
        <f t="shared" si="296"/>
        <v>0</v>
      </c>
      <c r="O2622" s="134"/>
      <c r="P2622" s="133"/>
      <c r="Q2622" s="2"/>
      <c r="R2622" s="156">
        <f t="shared" si="293"/>
        <v>0</v>
      </c>
      <c r="S2622" s="156">
        <f t="shared" si="294"/>
        <v>0</v>
      </c>
      <c r="T2622" s="133"/>
      <c r="U2622" s="133"/>
      <c r="V2622" s="133"/>
      <c r="W2622" s="133"/>
      <c r="X2622" s="133"/>
      <c r="Y2622" s="133"/>
      <c r="Z2622" s="133"/>
      <c r="AA2622" s="133"/>
      <c r="AB2622" s="133"/>
      <c r="AC2622" s="133"/>
      <c r="AD2622" s="133"/>
      <c r="AE2622" s="133"/>
      <c r="AF2622" s="133"/>
      <c r="AG2622" s="133"/>
      <c r="AH2622" s="133"/>
      <c r="AI2622" s="133"/>
      <c r="AJ2622" s="133"/>
      <c r="AK2622" s="133"/>
      <c r="AL2622" s="133"/>
      <c r="AM2622" s="133"/>
      <c r="AN2622" s="133"/>
      <c r="AO2622" s="133"/>
      <c r="AP2622" s="133"/>
      <c r="AQ2622" s="133"/>
      <c r="AR2622" s="133"/>
      <c r="AS2622" s="153">
        <v>0</v>
      </c>
      <c r="AT2622" s="153">
        <v>0</v>
      </c>
      <c r="AU2622" s="153">
        <v>0</v>
      </c>
      <c r="AV2622" s="135"/>
      <c r="AW2622" s="135"/>
      <c r="AX2622" s="135"/>
      <c r="AY2622" s="135"/>
      <c r="AZ2622" s="135"/>
      <c r="BA2622" s="135"/>
      <c r="BB2622" s="135"/>
      <c r="BC2622" s="135"/>
      <c r="BD2622" s="135"/>
      <c r="BE2622" s="135"/>
      <c r="BF2622" s="135"/>
      <c r="BG2622" s="135"/>
      <c r="BH2622" s="135"/>
      <c r="BI2622" s="2"/>
      <c r="BJ2622" s="136"/>
      <c r="BK2622" s="2"/>
      <c r="BL2622" s="136"/>
      <c r="BM2622" s="136"/>
      <c r="BN2622" s="2"/>
      <c r="BO2622" s="2"/>
      <c r="BP2622" s="136"/>
      <c r="BQ2622" s="137"/>
    </row>
    <row r="2623" spans="1:69" ht="12.75" customHeight="1" x14ac:dyDescent="0.2">
      <c r="A2623" s="2">
        <v>4112</v>
      </c>
      <c r="B2623" s="2"/>
      <c r="C2623" s="2"/>
      <c r="D2623" s="2"/>
      <c r="E2623" s="2"/>
      <c r="F2623" s="132">
        <v>0</v>
      </c>
      <c r="G2623" s="132"/>
      <c r="H2623" s="132">
        <f t="shared" si="297"/>
        <v>0</v>
      </c>
      <c r="I2623" s="132"/>
      <c r="J2623" s="132">
        <f t="shared" si="295"/>
        <v>0</v>
      </c>
      <c r="K2623" s="132">
        <f t="shared" si="298"/>
        <v>0</v>
      </c>
      <c r="L2623" s="132">
        <f t="shared" si="292"/>
        <v>0</v>
      </c>
      <c r="M2623" s="133"/>
      <c r="N2623" s="133">
        <f t="shared" si="296"/>
        <v>0</v>
      </c>
      <c r="O2623" s="134"/>
      <c r="P2623" s="133"/>
      <c r="Q2623" s="2"/>
      <c r="R2623" s="156">
        <f t="shared" si="293"/>
        <v>0</v>
      </c>
      <c r="S2623" s="156">
        <f t="shared" si="294"/>
        <v>0</v>
      </c>
      <c r="T2623" s="133"/>
      <c r="U2623" s="133"/>
      <c r="V2623" s="133"/>
      <c r="W2623" s="133"/>
      <c r="X2623" s="133"/>
      <c r="Y2623" s="133"/>
      <c r="Z2623" s="133"/>
      <c r="AA2623" s="133"/>
      <c r="AB2623" s="133"/>
      <c r="AC2623" s="133"/>
      <c r="AD2623" s="133"/>
      <c r="AE2623" s="133"/>
      <c r="AF2623" s="133"/>
      <c r="AG2623" s="133"/>
      <c r="AH2623" s="133"/>
      <c r="AI2623" s="133"/>
      <c r="AJ2623" s="133"/>
      <c r="AK2623" s="133"/>
      <c r="AL2623" s="133"/>
      <c r="AM2623" s="133"/>
      <c r="AN2623" s="133"/>
      <c r="AO2623" s="133"/>
      <c r="AP2623" s="133"/>
      <c r="AQ2623" s="133"/>
      <c r="AR2623" s="133"/>
      <c r="AS2623" s="153">
        <v>0</v>
      </c>
      <c r="AT2623" s="153">
        <v>0</v>
      </c>
      <c r="AU2623" s="153">
        <v>0</v>
      </c>
      <c r="AV2623" s="135"/>
      <c r="AW2623" s="135"/>
      <c r="AX2623" s="135"/>
      <c r="AY2623" s="135"/>
      <c r="AZ2623" s="135"/>
      <c r="BA2623" s="135"/>
      <c r="BB2623" s="135"/>
      <c r="BC2623" s="135"/>
      <c r="BD2623" s="135"/>
      <c r="BE2623" s="135"/>
      <c r="BF2623" s="135"/>
      <c r="BG2623" s="135"/>
      <c r="BH2623" s="135"/>
      <c r="BI2623" s="2"/>
      <c r="BJ2623" s="136"/>
      <c r="BK2623" s="2"/>
      <c r="BL2623" s="136"/>
      <c r="BM2623" s="136"/>
      <c r="BN2623" s="2"/>
      <c r="BO2623" s="2"/>
      <c r="BP2623" s="136"/>
      <c r="BQ2623" s="137"/>
    </row>
    <row r="2624" spans="1:69" ht="12.75" customHeight="1" x14ac:dyDescent="0.2">
      <c r="A2624" s="2">
        <v>4113</v>
      </c>
      <c r="B2624" s="2"/>
      <c r="C2624" s="2"/>
      <c r="D2624" s="2"/>
      <c r="E2624" s="2"/>
      <c r="F2624" s="132">
        <v>0</v>
      </c>
      <c r="G2624" s="132"/>
      <c r="H2624" s="132">
        <f t="shared" si="297"/>
        <v>0</v>
      </c>
      <c r="I2624" s="132"/>
      <c r="J2624" s="132">
        <f t="shared" si="295"/>
        <v>0</v>
      </c>
      <c r="K2624" s="132">
        <f t="shared" si="298"/>
        <v>0</v>
      </c>
      <c r="L2624" s="132">
        <f t="shared" si="292"/>
        <v>0</v>
      </c>
      <c r="M2624" s="133"/>
      <c r="N2624" s="133">
        <f t="shared" si="296"/>
        <v>0</v>
      </c>
      <c r="O2624" s="134"/>
      <c r="P2624" s="133"/>
      <c r="Q2624" s="2"/>
      <c r="R2624" s="156">
        <f t="shared" si="293"/>
        <v>0</v>
      </c>
      <c r="S2624" s="156">
        <f t="shared" si="294"/>
        <v>0</v>
      </c>
      <c r="T2624" s="133"/>
      <c r="U2624" s="133"/>
      <c r="V2624" s="133"/>
      <c r="W2624" s="133"/>
      <c r="X2624" s="133"/>
      <c r="Y2624" s="133"/>
      <c r="Z2624" s="133"/>
      <c r="AA2624" s="133"/>
      <c r="AB2624" s="133"/>
      <c r="AC2624" s="133"/>
      <c r="AD2624" s="133"/>
      <c r="AE2624" s="133"/>
      <c r="AF2624" s="133"/>
      <c r="AG2624" s="133"/>
      <c r="AH2624" s="133"/>
      <c r="AI2624" s="133"/>
      <c r="AJ2624" s="133"/>
      <c r="AK2624" s="133"/>
      <c r="AL2624" s="133"/>
      <c r="AM2624" s="133"/>
      <c r="AN2624" s="133"/>
      <c r="AO2624" s="133"/>
      <c r="AP2624" s="133"/>
      <c r="AQ2624" s="133"/>
      <c r="AR2624" s="133"/>
      <c r="AS2624" s="153">
        <v>0</v>
      </c>
      <c r="AT2624" s="153">
        <v>0</v>
      </c>
      <c r="AU2624" s="153">
        <v>0</v>
      </c>
      <c r="AV2624" s="135"/>
      <c r="AW2624" s="135"/>
      <c r="AX2624" s="135"/>
      <c r="AY2624" s="135"/>
      <c r="AZ2624" s="135"/>
      <c r="BA2624" s="135"/>
      <c r="BB2624" s="135"/>
      <c r="BC2624" s="135"/>
      <c r="BD2624" s="135"/>
      <c r="BE2624" s="135"/>
      <c r="BF2624" s="135"/>
      <c r="BG2624" s="135"/>
      <c r="BH2624" s="135"/>
      <c r="BI2624" s="2"/>
      <c r="BJ2624" s="136"/>
      <c r="BK2624" s="2"/>
      <c r="BL2624" s="136"/>
      <c r="BM2624" s="136"/>
      <c r="BN2624" s="2"/>
      <c r="BO2624" s="2"/>
      <c r="BP2624" s="136"/>
      <c r="BQ2624" s="137"/>
    </row>
    <row r="2625" spans="1:69" ht="12.75" customHeight="1" x14ac:dyDescent="0.2">
      <c r="A2625" s="2">
        <v>4114</v>
      </c>
      <c r="B2625" s="2"/>
      <c r="C2625" s="2"/>
      <c r="D2625" s="2"/>
      <c r="E2625" s="2"/>
      <c r="F2625" s="132">
        <v>0</v>
      </c>
      <c r="G2625" s="132"/>
      <c r="H2625" s="132">
        <f t="shared" si="297"/>
        <v>0</v>
      </c>
      <c r="I2625" s="132"/>
      <c r="J2625" s="132">
        <f t="shared" si="295"/>
        <v>0</v>
      </c>
      <c r="K2625" s="132">
        <f t="shared" si="298"/>
        <v>0</v>
      </c>
      <c r="L2625" s="132">
        <f t="shared" si="292"/>
        <v>0</v>
      </c>
      <c r="M2625" s="133"/>
      <c r="N2625" s="133">
        <f t="shared" si="296"/>
        <v>0</v>
      </c>
      <c r="O2625" s="134"/>
      <c r="P2625" s="133"/>
      <c r="Q2625" s="2"/>
      <c r="R2625" s="156">
        <f t="shared" si="293"/>
        <v>0</v>
      </c>
      <c r="S2625" s="156">
        <f t="shared" si="294"/>
        <v>0</v>
      </c>
      <c r="T2625" s="133"/>
      <c r="U2625" s="133"/>
      <c r="V2625" s="133"/>
      <c r="W2625" s="133"/>
      <c r="X2625" s="133"/>
      <c r="Y2625" s="133"/>
      <c r="Z2625" s="133"/>
      <c r="AA2625" s="133"/>
      <c r="AB2625" s="133"/>
      <c r="AC2625" s="133"/>
      <c r="AD2625" s="133"/>
      <c r="AE2625" s="133"/>
      <c r="AF2625" s="133"/>
      <c r="AG2625" s="133"/>
      <c r="AH2625" s="133"/>
      <c r="AI2625" s="133"/>
      <c r="AJ2625" s="133"/>
      <c r="AK2625" s="133"/>
      <c r="AL2625" s="133"/>
      <c r="AM2625" s="133"/>
      <c r="AN2625" s="133"/>
      <c r="AO2625" s="133"/>
      <c r="AP2625" s="133"/>
      <c r="AQ2625" s="133"/>
      <c r="AR2625" s="133"/>
      <c r="AS2625" s="153">
        <v>0</v>
      </c>
      <c r="AT2625" s="153">
        <v>0</v>
      </c>
      <c r="AU2625" s="153">
        <v>0</v>
      </c>
      <c r="AV2625" s="135"/>
      <c r="AW2625" s="135"/>
      <c r="AX2625" s="135"/>
      <c r="AY2625" s="135"/>
      <c r="AZ2625" s="135"/>
      <c r="BA2625" s="135"/>
      <c r="BB2625" s="135"/>
      <c r="BC2625" s="135"/>
      <c r="BD2625" s="135"/>
      <c r="BE2625" s="135"/>
      <c r="BF2625" s="135"/>
      <c r="BG2625" s="135"/>
      <c r="BH2625" s="135"/>
      <c r="BI2625" s="2"/>
      <c r="BJ2625" s="136"/>
      <c r="BK2625" s="2"/>
      <c r="BL2625" s="136"/>
      <c r="BM2625" s="136"/>
      <c r="BN2625" s="2"/>
      <c r="BO2625" s="2"/>
      <c r="BP2625" s="136"/>
      <c r="BQ2625" s="137"/>
    </row>
    <row r="2626" spans="1:69" ht="12.75" customHeight="1" x14ac:dyDescent="0.2">
      <c r="A2626" s="2">
        <v>4115</v>
      </c>
      <c r="B2626" s="2"/>
      <c r="C2626" s="2"/>
      <c r="D2626" s="2"/>
      <c r="E2626" s="2"/>
      <c r="F2626" s="132">
        <v>0</v>
      </c>
      <c r="G2626" s="132"/>
      <c r="H2626" s="132">
        <f t="shared" si="297"/>
        <v>0</v>
      </c>
      <c r="I2626" s="132"/>
      <c r="J2626" s="132">
        <f t="shared" si="295"/>
        <v>0</v>
      </c>
      <c r="K2626" s="132">
        <f t="shared" si="298"/>
        <v>0</v>
      </c>
      <c r="L2626" s="132">
        <f t="shared" si="292"/>
        <v>0</v>
      </c>
      <c r="M2626" s="133"/>
      <c r="N2626" s="133">
        <f t="shared" si="296"/>
        <v>0</v>
      </c>
      <c r="O2626" s="134"/>
      <c r="P2626" s="133"/>
      <c r="Q2626" s="2"/>
      <c r="R2626" s="156">
        <f t="shared" si="293"/>
        <v>0</v>
      </c>
      <c r="S2626" s="156">
        <f t="shared" si="294"/>
        <v>0</v>
      </c>
      <c r="T2626" s="133"/>
      <c r="U2626" s="133"/>
      <c r="V2626" s="133"/>
      <c r="W2626" s="133"/>
      <c r="X2626" s="133"/>
      <c r="Y2626" s="133"/>
      <c r="Z2626" s="133"/>
      <c r="AA2626" s="133"/>
      <c r="AB2626" s="133"/>
      <c r="AC2626" s="133"/>
      <c r="AD2626" s="133"/>
      <c r="AE2626" s="133"/>
      <c r="AF2626" s="133"/>
      <c r="AG2626" s="133"/>
      <c r="AH2626" s="133"/>
      <c r="AI2626" s="133"/>
      <c r="AJ2626" s="133"/>
      <c r="AK2626" s="133"/>
      <c r="AL2626" s="133"/>
      <c r="AM2626" s="133"/>
      <c r="AN2626" s="133"/>
      <c r="AO2626" s="133"/>
      <c r="AP2626" s="133"/>
      <c r="AQ2626" s="133"/>
      <c r="AR2626" s="133"/>
      <c r="AS2626" s="153">
        <v>0</v>
      </c>
      <c r="AT2626" s="153">
        <v>0</v>
      </c>
      <c r="AU2626" s="153">
        <v>0</v>
      </c>
      <c r="AV2626" s="135"/>
      <c r="AW2626" s="135"/>
      <c r="AX2626" s="135"/>
      <c r="AY2626" s="135"/>
      <c r="AZ2626" s="135"/>
      <c r="BA2626" s="135"/>
      <c r="BB2626" s="135"/>
      <c r="BC2626" s="135"/>
      <c r="BD2626" s="135"/>
      <c r="BE2626" s="135"/>
      <c r="BF2626" s="135"/>
      <c r="BG2626" s="135"/>
      <c r="BH2626" s="135"/>
      <c r="BI2626" s="2"/>
      <c r="BJ2626" s="136"/>
      <c r="BK2626" s="2"/>
      <c r="BL2626" s="136"/>
      <c r="BM2626" s="136"/>
      <c r="BN2626" s="2"/>
      <c r="BO2626" s="2"/>
      <c r="BP2626" s="136"/>
      <c r="BQ2626" s="137"/>
    </row>
    <row r="2627" spans="1:69" ht="12.75" customHeight="1" x14ac:dyDescent="0.2">
      <c r="A2627" s="2">
        <v>4116</v>
      </c>
      <c r="B2627" s="2"/>
      <c r="C2627" s="2"/>
      <c r="D2627" s="2"/>
      <c r="E2627" s="2"/>
      <c r="F2627" s="132">
        <v>0</v>
      </c>
      <c r="G2627" s="132"/>
      <c r="H2627" s="132">
        <f t="shared" si="297"/>
        <v>0</v>
      </c>
      <c r="I2627" s="132"/>
      <c r="J2627" s="132">
        <f t="shared" si="295"/>
        <v>0</v>
      </c>
      <c r="K2627" s="132">
        <f t="shared" si="298"/>
        <v>0</v>
      </c>
      <c r="L2627" s="132">
        <f t="shared" si="292"/>
        <v>0</v>
      </c>
      <c r="M2627" s="133"/>
      <c r="N2627" s="133">
        <f t="shared" si="296"/>
        <v>0</v>
      </c>
      <c r="O2627" s="134"/>
      <c r="P2627" s="133"/>
      <c r="Q2627" s="2"/>
      <c r="R2627" s="156">
        <f t="shared" si="293"/>
        <v>0</v>
      </c>
      <c r="S2627" s="156">
        <f t="shared" si="294"/>
        <v>0</v>
      </c>
      <c r="T2627" s="133"/>
      <c r="U2627" s="133"/>
      <c r="V2627" s="133"/>
      <c r="W2627" s="133"/>
      <c r="X2627" s="133"/>
      <c r="Y2627" s="133"/>
      <c r="Z2627" s="133"/>
      <c r="AA2627" s="133"/>
      <c r="AB2627" s="133"/>
      <c r="AC2627" s="133"/>
      <c r="AD2627" s="133"/>
      <c r="AE2627" s="133"/>
      <c r="AF2627" s="133"/>
      <c r="AG2627" s="133"/>
      <c r="AH2627" s="133"/>
      <c r="AI2627" s="133"/>
      <c r="AJ2627" s="133"/>
      <c r="AK2627" s="133"/>
      <c r="AL2627" s="133"/>
      <c r="AM2627" s="133"/>
      <c r="AN2627" s="133"/>
      <c r="AO2627" s="133"/>
      <c r="AP2627" s="133"/>
      <c r="AQ2627" s="133"/>
      <c r="AR2627" s="133"/>
      <c r="AS2627" s="153">
        <v>0</v>
      </c>
      <c r="AT2627" s="153">
        <v>0</v>
      </c>
      <c r="AU2627" s="153">
        <v>0</v>
      </c>
      <c r="AV2627" s="135"/>
      <c r="AW2627" s="135"/>
      <c r="AX2627" s="135"/>
      <c r="AY2627" s="135"/>
      <c r="AZ2627" s="135"/>
      <c r="BA2627" s="135"/>
      <c r="BB2627" s="135"/>
      <c r="BC2627" s="135"/>
      <c r="BD2627" s="135"/>
      <c r="BE2627" s="135"/>
      <c r="BF2627" s="135"/>
      <c r="BG2627" s="135"/>
      <c r="BH2627" s="135"/>
      <c r="BI2627" s="2"/>
      <c r="BJ2627" s="136"/>
      <c r="BK2627" s="2"/>
      <c r="BL2627" s="136"/>
      <c r="BM2627" s="136"/>
      <c r="BN2627" s="2"/>
      <c r="BO2627" s="2"/>
      <c r="BP2627" s="136"/>
      <c r="BQ2627" s="137"/>
    </row>
    <row r="2628" spans="1:69" ht="12.75" customHeight="1" x14ac:dyDescent="0.2">
      <c r="A2628" s="2">
        <v>4117</v>
      </c>
      <c r="B2628" s="2"/>
      <c r="C2628" s="2"/>
      <c r="D2628" s="2"/>
      <c r="E2628" s="2"/>
      <c r="F2628" s="132">
        <v>0</v>
      </c>
      <c r="G2628" s="132"/>
      <c r="H2628" s="132">
        <f t="shared" si="297"/>
        <v>0</v>
      </c>
      <c r="I2628" s="132"/>
      <c r="J2628" s="132">
        <f t="shared" si="295"/>
        <v>0</v>
      </c>
      <c r="K2628" s="132">
        <f t="shared" si="298"/>
        <v>0</v>
      </c>
      <c r="L2628" s="132">
        <f t="shared" si="292"/>
        <v>0</v>
      </c>
      <c r="M2628" s="133"/>
      <c r="N2628" s="133">
        <f t="shared" si="296"/>
        <v>0</v>
      </c>
      <c r="O2628" s="134"/>
      <c r="P2628" s="133"/>
      <c r="Q2628" s="2"/>
      <c r="R2628" s="156">
        <f t="shared" si="293"/>
        <v>0</v>
      </c>
      <c r="S2628" s="156">
        <f t="shared" si="294"/>
        <v>0</v>
      </c>
      <c r="T2628" s="133"/>
      <c r="U2628" s="133"/>
      <c r="V2628" s="133"/>
      <c r="W2628" s="133"/>
      <c r="X2628" s="133"/>
      <c r="Y2628" s="133"/>
      <c r="Z2628" s="133"/>
      <c r="AA2628" s="133"/>
      <c r="AB2628" s="133"/>
      <c r="AC2628" s="133"/>
      <c r="AD2628" s="133"/>
      <c r="AE2628" s="133"/>
      <c r="AF2628" s="133"/>
      <c r="AG2628" s="133"/>
      <c r="AH2628" s="133"/>
      <c r="AI2628" s="133"/>
      <c r="AJ2628" s="133"/>
      <c r="AK2628" s="133"/>
      <c r="AL2628" s="133"/>
      <c r="AM2628" s="133"/>
      <c r="AN2628" s="133"/>
      <c r="AO2628" s="133"/>
      <c r="AP2628" s="133"/>
      <c r="AQ2628" s="133"/>
      <c r="AR2628" s="133"/>
      <c r="AS2628" s="153">
        <v>0</v>
      </c>
      <c r="AT2628" s="153">
        <v>0</v>
      </c>
      <c r="AU2628" s="153">
        <v>0</v>
      </c>
      <c r="AV2628" s="135"/>
      <c r="AW2628" s="135"/>
      <c r="AX2628" s="135"/>
      <c r="AY2628" s="135"/>
      <c r="AZ2628" s="135"/>
      <c r="BA2628" s="135"/>
      <c r="BB2628" s="135"/>
      <c r="BC2628" s="135"/>
      <c r="BD2628" s="135"/>
      <c r="BE2628" s="135"/>
      <c r="BF2628" s="135"/>
      <c r="BG2628" s="135"/>
      <c r="BH2628" s="135"/>
      <c r="BI2628" s="2"/>
      <c r="BJ2628" s="136"/>
      <c r="BK2628" s="2"/>
      <c r="BL2628" s="136"/>
      <c r="BM2628" s="136"/>
      <c r="BN2628" s="2"/>
      <c r="BO2628" s="2"/>
      <c r="BP2628" s="136"/>
      <c r="BQ2628" s="137"/>
    </row>
    <row r="2629" spans="1:69" ht="12.75" customHeight="1" x14ac:dyDescent="0.2">
      <c r="A2629" s="2">
        <v>4118</v>
      </c>
      <c r="B2629" s="2"/>
      <c r="C2629" s="2"/>
      <c r="D2629" s="2"/>
      <c r="E2629" s="2"/>
      <c r="F2629" s="132">
        <v>0</v>
      </c>
      <c r="G2629" s="132"/>
      <c r="H2629" s="132">
        <f t="shared" si="297"/>
        <v>0</v>
      </c>
      <c r="I2629" s="132"/>
      <c r="J2629" s="132">
        <f t="shared" si="295"/>
        <v>0</v>
      </c>
      <c r="K2629" s="132">
        <f t="shared" si="298"/>
        <v>0</v>
      </c>
      <c r="L2629" s="132">
        <f t="shared" si="292"/>
        <v>0</v>
      </c>
      <c r="M2629" s="133"/>
      <c r="N2629" s="133">
        <f t="shared" si="296"/>
        <v>0</v>
      </c>
      <c r="O2629" s="134"/>
      <c r="P2629" s="133"/>
      <c r="Q2629" s="2"/>
      <c r="R2629" s="156">
        <f t="shared" si="293"/>
        <v>0</v>
      </c>
      <c r="S2629" s="156">
        <f t="shared" si="294"/>
        <v>0</v>
      </c>
      <c r="T2629" s="133"/>
      <c r="U2629" s="133"/>
      <c r="V2629" s="133"/>
      <c r="W2629" s="133"/>
      <c r="X2629" s="133"/>
      <c r="Y2629" s="133"/>
      <c r="Z2629" s="133"/>
      <c r="AA2629" s="133"/>
      <c r="AB2629" s="133"/>
      <c r="AC2629" s="133"/>
      <c r="AD2629" s="133"/>
      <c r="AE2629" s="133"/>
      <c r="AF2629" s="133"/>
      <c r="AG2629" s="133"/>
      <c r="AH2629" s="133"/>
      <c r="AI2629" s="133"/>
      <c r="AJ2629" s="133"/>
      <c r="AK2629" s="133"/>
      <c r="AL2629" s="133"/>
      <c r="AM2629" s="133"/>
      <c r="AN2629" s="133"/>
      <c r="AO2629" s="133"/>
      <c r="AP2629" s="133"/>
      <c r="AQ2629" s="133"/>
      <c r="AR2629" s="133"/>
      <c r="AS2629" s="153">
        <v>0</v>
      </c>
      <c r="AT2629" s="153">
        <v>0</v>
      </c>
      <c r="AU2629" s="153">
        <v>0</v>
      </c>
      <c r="AV2629" s="135"/>
      <c r="AW2629" s="135"/>
      <c r="AX2629" s="135"/>
      <c r="AY2629" s="135"/>
      <c r="AZ2629" s="135"/>
      <c r="BA2629" s="135"/>
      <c r="BB2629" s="135"/>
      <c r="BC2629" s="135"/>
      <c r="BD2629" s="135"/>
      <c r="BE2629" s="135"/>
      <c r="BF2629" s="135"/>
      <c r="BG2629" s="135"/>
      <c r="BH2629" s="135"/>
      <c r="BI2629" s="2"/>
      <c r="BJ2629" s="136"/>
      <c r="BK2629" s="2"/>
      <c r="BL2629" s="136"/>
      <c r="BM2629" s="136"/>
      <c r="BN2629" s="2"/>
      <c r="BO2629" s="2"/>
      <c r="BP2629" s="136"/>
      <c r="BQ2629" s="137"/>
    </row>
    <row r="2630" spans="1:69" ht="12.75" customHeight="1" x14ac:dyDescent="0.2">
      <c r="A2630" s="2">
        <v>4119</v>
      </c>
      <c r="B2630" s="2"/>
      <c r="C2630" s="2"/>
      <c r="D2630" s="2"/>
      <c r="E2630" s="2"/>
      <c r="F2630" s="132">
        <v>0</v>
      </c>
      <c r="G2630" s="132"/>
      <c r="H2630" s="132">
        <f t="shared" si="297"/>
        <v>0</v>
      </c>
      <c r="I2630" s="132"/>
      <c r="J2630" s="132">
        <f t="shared" si="295"/>
        <v>0</v>
      </c>
      <c r="K2630" s="132">
        <f t="shared" si="298"/>
        <v>0</v>
      </c>
      <c r="L2630" s="132">
        <f t="shared" si="292"/>
        <v>0</v>
      </c>
      <c r="M2630" s="133"/>
      <c r="N2630" s="133">
        <f t="shared" si="296"/>
        <v>0</v>
      </c>
      <c r="O2630" s="134"/>
      <c r="P2630" s="133"/>
      <c r="Q2630" s="2"/>
      <c r="R2630" s="156">
        <f t="shared" si="293"/>
        <v>0</v>
      </c>
      <c r="S2630" s="156">
        <f t="shared" si="294"/>
        <v>0</v>
      </c>
      <c r="T2630" s="133"/>
      <c r="U2630" s="133"/>
      <c r="V2630" s="133"/>
      <c r="W2630" s="133"/>
      <c r="X2630" s="133"/>
      <c r="Y2630" s="133"/>
      <c r="Z2630" s="133"/>
      <c r="AA2630" s="133"/>
      <c r="AB2630" s="133"/>
      <c r="AC2630" s="133"/>
      <c r="AD2630" s="133"/>
      <c r="AE2630" s="133"/>
      <c r="AF2630" s="133"/>
      <c r="AG2630" s="133"/>
      <c r="AH2630" s="133"/>
      <c r="AI2630" s="133"/>
      <c r="AJ2630" s="133"/>
      <c r="AK2630" s="133"/>
      <c r="AL2630" s="133"/>
      <c r="AM2630" s="133"/>
      <c r="AN2630" s="133"/>
      <c r="AO2630" s="133"/>
      <c r="AP2630" s="133"/>
      <c r="AQ2630" s="133"/>
      <c r="AR2630" s="133"/>
      <c r="AS2630" s="153">
        <v>0</v>
      </c>
      <c r="AT2630" s="153">
        <v>0</v>
      </c>
      <c r="AU2630" s="153">
        <v>0</v>
      </c>
      <c r="AV2630" s="135"/>
      <c r="AW2630" s="135"/>
      <c r="AX2630" s="135"/>
      <c r="AY2630" s="135"/>
      <c r="AZ2630" s="135"/>
      <c r="BA2630" s="135"/>
      <c r="BB2630" s="135"/>
      <c r="BC2630" s="135"/>
      <c r="BD2630" s="135"/>
      <c r="BE2630" s="135"/>
      <c r="BF2630" s="135"/>
      <c r="BG2630" s="135"/>
      <c r="BH2630" s="135"/>
      <c r="BI2630" s="2"/>
      <c r="BJ2630" s="136"/>
      <c r="BK2630" s="2"/>
      <c r="BL2630" s="136"/>
      <c r="BM2630" s="136"/>
      <c r="BN2630" s="2"/>
      <c r="BO2630" s="2"/>
      <c r="BP2630" s="136"/>
      <c r="BQ2630" s="137"/>
    </row>
    <row r="2631" spans="1:69" ht="12.75" customHeight="1" x14ac:dyDescent="0.2">
      <c r="A2631" s="2">
        <v>4120</v>
      </c>
      <c r="B2631" s="2"/>
      <c r="C2631" s="2"/>
      <c r="D2631" s="2"/>
      <c r="E2631" s="2"/>
      <c r="F2631" s="132">
        <v>0</v>
      </c>
      <c r="G2631" s="132"/>
      <c r="H2631" s="132">
        <f t="shared" si="297"/>
        <v>0</v>
      </c>
      <c r="I2631" s="132"/>
      <c r="J2631" s="132">
        <f t="shared" si="295"/>
        <v>0</v>
      </c>
      <c r="K2631" s="132">
        <f t="shared" si="298"/>
        <v>0</v>
      </c>
      <c r="L2631" s="132">
        <f t="shared" si="292"/>
        <v>0</v>
      </c>
      <c r="M2631" s="133"/>
      <c r="N2631" s="133">
        <f t="shared" si="296"/>
        <v>0</v>
      </c>
      <c r="O2631" s="134"/>
      <c r="P2631" s="133"/>
      <c r="Q2631" s="2"/>
      <c r="R2631" s="156">
        <f t="shared" si="293"/>
        <v>0</v>
      </c>
      <c r="S2631" s="156">
        <f t="shared" si="294"/>
        <v>0</v>
      </c>
      <c r="T2631" s="133"/>
      <c r="U2631" s="133"/>
      <c r="V2631" s="133"/>
      <c r="W2631" s="133"/>
      <c r="X2631" s="133"/>
      <c r="Y2631" s="133"/>
      <c r="Z2631" s="133"/>
      <c r="AA2631" s="133"/>
      <c r="AB2631" s="133"/>
      <c r="AC2631" s="133"/>
      <c r="AD2631" s="133"/>
      <c r="AE2631" s="133"/>
      <c r="AF2631" s="133"/>
      <c r="AG2631" s="133"/>
      <c r="AH2631" s="133"/>
      <c r="AI2631" s="133"/>
      <c r="AJ2631" s="133"/>
      <c r="AK2631" s="133"/>
      <c r="AL2631" s="133"/>
      <c r="AM2631" s="133"/>
      <c r="AN2631" s="133"/>
      <c r="AO2631" s="133"/>
      <c r="AP2631" s="133"/>
      <c r="AQ2631" s="133"/>
      <c r="AR2631" s="133"/>
      <c r="AS2631" s="153">
        <v>0</v>
      </c>
      <c r="AT2631" s="153">
        <v>0</v>
      </c>
      <c r="AU2631" s="153">
        <v>0</v>
      </c>
      <c r="AV2631" s="135"/>
      <c r="AW2631" s="135"/>
      <c r="AX2631" s="135"/>
      <c r="AY2631" s="135"/>
      <c r="AZ2631" s="135"/>
      <c r="BA2631" s="135"/>
      <c r="BB2631" s="135"/>
      <c r="BC2631" s="135"/>
      <c r="BD2631" s="135"/>
      <c r="BE2631" s="135"/>
      <c r="BF2631" s="135"/>
      <c r="BG2631" s="135"/>
      <c r="BH2631" s="135"/>
      <c r="BI2631" s="2"/>
      <c r="BJ2631" s="136"/>
      <c r="BK2631" s="2"/>
      <c r="BL2631" s="136"/>
      <c r="BM2631" s="136"/>
      <c r="BN2631" s="2"/>
      <c r="BO2631" s="2"/>
      <c r="BP2631" s="136"/>
      <c r="BQ2631" s="137"/>
    </row>
    <row r="2632" spans="1:69" ht="12.75" customHeight="1" x14ac:dyDescent="0.2">
      <c r="A2632" s="2">
        <v>4121</v>
      </c>
      <c r="B2632" s="2"/>
      <c r="C2632" s="2"/>
      <c r="D2632" s="2"/>
      <c r="E2632" s="2"/>
      <c r="F2632" s="132">
        <v>0</v>
      </c>
      <c r="G2632" s="132"/>
      <c r="H2632" s="132">
        <f t="shared" si="297"/>
        <v>0</v>
      </c>
      <c r="I2632" s="132"/>
      <c r="J2632" s="132">
        <f t="shared" si="295"/>
        <v>0</v>
      </c>
      <c r="K2632" s="132">
        <f t="shared" si="298"/>
        <v>0</v>
      </c>
      <c r="L2632" s="132">
        <f t="shared" si="292"/>
        <v>0</v>
      </c>
      <c r="M2632" s="133"/>
      <c r="N2632" s="133">
        <f t="shared" si="296"/>
        <v>0</v>
      </c>
      <c r="O2632" s="134"/>
      <c r="P2632" s="133"/>
      <c r="Q2632" s="2"/>
      <c r="R2632" s="156">
        <f t="shared" si="293"/>
        <v>0</v>
      </c>
      <c r="S2632" s="156">
        <f t="shared" si="294"/>
        <v>0</v>
      </c>
      <c r="T2632" s="133"/>
      <c r="U2632" s="133"/>
      <c r="V2632" s="133"/>
      <c r="W2632" s="133"/>
      <c r="X2632" s="133"/>
      <c r="Y2632" s="133"/>
      <c r="Z2632" s="133"/>
      <c r="AA2632" s="133"/>
      <c r="AB2632" s="133"/>
      <c r="AC2632" s="133"/>
      <c r="AD2632" s="133"/>
      <c r="AE2632" s="133"/>
      <c r="AF2632" s="133"/>
      <c r="AG2632" s="133"/>
      <c r="AH2632" s="133"/>
      <c r="AI2632" s="133"/>
      <c r="AJ2632" s="133"/>
      <c r="AK2632" s="133"/>
      <c r="AL2632" s="133"/>
      <c r="AM2632" s="133"/>
      <c r="AN2632" s="133"/>
      <c r="AO2632" s="133"/>
      <c r="AP2632" s="133"/>
      <c r="AQ2632" s="133"/>
      <c r="AR2632" s="133"/>
      <c r="AS2632" s="153">
        <v>0</v>
      </c>
      <c r="AT2632" s="153">
        <v>0</v>
      </c>
      <c r="AU2632" s="153">
        <v>0</v>
      </c>
      <c r="AV2632" s="135"/>
      <c r="AW2632" s="135"/>
      <c r="AX2632" s="135"/>
      <c r="AY2632" s="135"/>
      <c r="AZ2632" s="135"/>
      <c r="BA2632" s="135"/>
      <c r="BB2632" s="135"/>
      <c r="BC2632" s="135"/>
      <c r="BD2632" s="135"/>
      <c r="BE2632" s="135"/>
      <c r="BF2632" s="135"/>
      <c r="BG2632" s="135"/>
      <c r="BH2632" s="135"/>
      <c r="BI2632" s="2"/>
      <c r="BJ2632" s="136"/>
      <c r="BK2632" s="2"/>
      <c r="BL2632" s="136"/>
      <c r="BM2632" s="136"/>
      <c r="BN2632" s="2"/>
      <c r="BO2632" s="2"/>
      <c r="BP2632" s="136"/>
      <c r="BQ2632" s="137"/>
    </row>
    <row r="2633" spans="1:69" ht="12.75" customHeight="1" x14ac:dyDescent="0.2">
      <c r="A2633" s="2">
        <v>4122</v>
      </c>
      <c r="B2633" s="2"/>
      <c r="C2633" s="2"/>
      <c r="D2633" s="2"/>
      <c r="E2633" s="2"/>
      <c r="F2633" s="132">
        <v>0</v>
      </c>
      <c r="G2633" s="132"/>
      <c r="H2633" s="132">
        <f t="shared" si="297"/>
        <v>0</v>
      </c>
      <c r="I2633" s="132"/>
      <c r="J2633" s="132">
        <f t="shared" si="295"/>
        <v>0</v>
      </c>
      <c r="K2633" s="132">
        <f t="shared" si="298"/>
        <v>0</v>
      </c>
      <c r="L2633" s="132">
        <f t="shared" si="292"/>
        <v>0</v>
      </c>
      <c r="M2633" s="133"/>
      <c r="N2633" s="133">
        <f t="shared" si="296"/>
        <v>0</v>
      </c>
      <c r="O2633" s="134"/>
      <c r="P2633" s="133"/>
      <c r="Q2633" s="2"/>
      <c r="R2633" s="156">
        <f t="shared" si="293"/>
        <v>0</v>
      </c>
      <c r="S2633" s="156">
        <f t="shared" si="294"/>
        <v>0</v>
      </c>
      <c r="T2633" s="133"/>
      <c r="U2633" s="133"/>
      <c r="V2633" s="133"/>
      <c r="W2633" s="133"/>
      <c r="X2633" s="133"/>
      <c r="Y2633" s="133"/>
      <c r="Z2633" s="133"/>
      <c r="AA2633" s="133"/>
      <c r="AB2633" s="133"/>
      <c r="AC2633" s="133"/>
      <c r="AD2633" s="133"/>
      <c r="AE2633" s="133"/>
      <c r="AF2633" s="133"/>
      <c r="AG2633" s="133"/>
      <c r="AH2633" s="133"/>
      <c r="AI2633" s="133"/>
      <c r="AJ2633" s="133"/>
      <c r="AK2633" s="133"/>
      <c r="AL2633" s="133"/>
      <c r="AM2633" s="133"/>
      <c r="AN2633" s="133"/>
      <c r="AO2633" s="133"/>
      <c r="AP2633" s="133"/>
      <c r="AQ2633" s="133"/>
      <c r="AR2633" s="133"/>
      <c r="AS2633" s="153">
        <v>0</v>
      </c>
      <c r="AT2633" s="153">
        <v>0</v>
      </c>
      <c r="AU2633" s="153">
        <v>0</v>
      </c>
      <c r="AV2633" s="135"/>
      <c r="AW2633" s="135"/>
      <c r="AX2633" s="135"/>
      <c r="AY2633" s="135"/>
      <c r="AZ2633" s="135"/>
      <c r="BA2633" s="135"/>
      <c r="BB2633" s="135"/>
      <c r="BC2633" s="135"/>
      <c r="BD2633" s="135"/>
      <c r="BE2633" s="135"/>
      <c r="BF2633" s="135"/>
      <c r="BG2633" s="135"/>
      <c r="BH2633" s="135"/>
      <c r="BI2633" s="2"/>
      <c r="BJ2633" s="136"/>
      <c r="BK2633" s="2"/>
      <c r="BL2633" s="136"/>
      <c r="BM2633" s="136"/>
      <c r="BN2633" s="2"/>
      <c r="BO2633" s="2"/>
      <c r="BP2633" s="136"/>
      <c r="BQ2633" s="137"/>
    </row>
    <row r="2634" spans="1:69" ht="12.75" customHeight="1" x14ac:dyDescent="0.2">
      <c r="A2634" s="2">
        <v>4123</v>
      </c>
      <c r="B2634" s="2"/>
      <c r="C2634" s="2"/>
      <c r="D2634" s="2"/>
      <c r="E2634" s="2"/>
      <c r="F2634" s="132">
        <v>0</v>
      </c>
      <c r="G2634" s="132"/>
      <c r="H2634" s="132">
        <f t="shared" si="297"/>
        <v>0</v>
      </c>
      <c r="I2634" s="132"/>
      <c r="J2634" s="132">
        <f t="shared" si="295"/>
        <v>0</v>
      </c>
      <c r="K2634" s="132">
        <f t="shared" si="298"/>
        <v>0</v>
      </c>
      <c r="L2634" s="132">
        <f t="shared" si="292"/>
        <v>0</v>
      </c>
      <c r="M2634" s="133"/>
      <c r="N2634" s="133">
        <f t="shared" si="296"/>
        <v>0</v>
      </c>
      <c r="O2634" s="134"/>
      <c r="P2634" s="133"/>
      <c r="Q2634" s="2"/>
      <c r="R2634" s="156">
        <f t="shared" si="293"/>
        <v>0</v>
      </c>
      <c r="S2634" s="156">
        <f t="shared" si="294"/>
        <v>0</v>
      </c>
      <c r="T2634" s="133"/>
      <c r="U2634" s="133"/>
      <c r="V2634" s="133"/>
      <c r="W2634" s="133"/>
      <c r="X2634" s="133"/>
      <c r="Y2634" s="133"/>
      <c r="Z2634" s="133"/>
      <c r="AA2634" s="133"/>
      <c r="AB2634" s="133"/>
      <c r="AC2634" s="133"/>
      <c r="AD2634" s="133"/>
      <c r="AE2634" s="133"/>
      <c r="AF2634" s="133"/>
      <c r="AG2634" s="133"/>
      <c r="AH2634" s="133"/>
      <c r="AI2634" s="133"/>
      <c r="AJ2634" s="133"/>
      <c r="AK2634" s="133"/>
      <c r="AL2634" s="133"/>
      <c r="AM2634" s="133"/>
      <c r="AN2634" s="133"/>
      <c r="AO2634" s="133"/>
      <c r="AP2634" s="133"/>
      <c r="AQ2634" s="133"/>
      <c r="AR2634" s="133"/>
      <c r="AS2634" s="153">
        <v>0</v>
      </c>
      <c r="AT2634" s="153">
        <v>0</v>
      </c>
      <c r="AU2634" s="153">
        <v>0</v>
      </c>
      <c r="AV2634" s="135"/>
      <c r="AW2634" s="135"/>
      <c r="AX2634" s="135"/>
      <c r="AY2634" s="135"/>
      <c r="AZ2634" s="135"/>
      <c r="BA2634" s="135"/>
      <c r="BB2634" s="135"/>
      <c r="BC2634" s="135"/>
      <c r="BD2634" s="135"/>
      <c r="BE2634" s="135"/>
      <c r="BF2634" s="135"/>
      <c r="BG2634" s="135"/>
      <c r="BH2634" s="135"/>
      <c r="BI2634" s="2"/>
      <c r="BJ2634" s="136"/>
      <c r="BK2634" s="2"/>
      <c r="BL2634" s="136"/>
      <c r="BM2634" s="136"/>
      <c r="BN2634" s="2"/>
      <c r="BO2634" s="2"/>
      <c r="BP2634" s="136"/>
      <c r="BQ2634" s="137"/>
    </row>
    <row r="2635" spans="1:69" ht="12.75" customHeight="1" x14ac:dyDescent="0.2">
      <c r="A2635" s="2">
        <v>4124</v>
      </c>
      <c r="B2635" s="2"/>
      <c r="C2635" s="2"/>
      <c r="D2635" s="2"/>
      <c r="E2635" s="2"/>
      <c r="F2635" s="132">
        <v>0</v>
      </c>
      <c r="G2635" s="132"/>
      <c r="H2635" s="132">
        <f t="shared" si="297"/>
        <v>0</v>
      </c>
      <c r="I2635" s="132"/>
      <c r="J2635" s="132">
        <f t="shared" si="295"/>
        <v>0</v>
      </c>
      <c r="K2635" s="132">
        <f t="shared" si="298"/>
        <v>0</v>
      </c>
      <c r="L2635" s="132">
        <f t="shared" ref="L2635:L2698" si="299">H2635-J2635</f>
        <v>0</v>
      </c>
      <c r="M2635" s="133"/>
      <c r="N2635" s="133">
        <f t="shared" si="296"/>
        <v>0</v>
      </c>
      <c r="O2635" s="134"/>
      <c r="P2635" s="133"/>
      <c r="Q2635" s="2"/>
      <c r="R2635" s="156">
        <f t="shared" ref="R2635:R2698" si="300">T2635+V2635+X2635+Z2635+AB2635+AD2635+AF2635+AH2635+AJ2635+AL2635+AN2635+AP2635</f>
        <v>0</v>
      </c>
      <c r="S2635" s="156">
        <f t="shared" ref="S2635:S2698" si="301">U2635+W2635+Y2635+AA2635+AC2635+AE2635+AG2635+AI2635+AK2635+AM2635+AO2635+AQ2635</f>
        <v>0</v>
      </c>
      <c r="T2635" s="133"/>
      <c r="U2635" s="133"/>
      <c r="V2635" s="133"/>
      <c r="W2635" s="133"/>
      <c r="X2635" s="133"/>
      <c r="Y2635" s="133"/>
      <c r="Z2635" s="133"/>
      <c r="AA2635" s="133"/>
      <c r="AB2635" s="133"/>
      <c r="AC2635" s="133"/>
      <c r="AD2635" s="133"/>
      <c r="AE2635" s="133"/>
      <c r="AF2635" s="133"/>
      <c r="AG2635" s="133"/>
      <c r="AH2635" s="133"/>
      <c r="AI2635" s="133"/>
      <c r="AJ2635" s="133"/>
      <c r="AK2635" s="133"/>
      <c r="AL2635" s="133"/>
      <c r="AM2635" s="133"/>
      <c r="AN2635" s="133"/>
      <c r="AO2635" s="133"/>
      <c r="AP2635" s="133"/>
      <c r="AQ2635" s="133"/>
      <c r="AR2635" s="133"/>
      <c r="AS2635" s="153">
        <v>0</v>
      </c>
      <c r="AT2635" s="153">
        <v>0</v>
      </c>
      <c r="AU2635" s="153">
        <v>0</v>
      </c>
      <c r="AV2635" s="135"/>
      <c r="AW2635" s="135"/>
      <c r="AX2635" s="135"/>
      <c r="AY2635" s="135"/>
      <c r="AZ2635" s="135"/>
      <c r="BA2635" s="135"/>
      <c r="BB2635" s="135"/>
      <c r="BC2635" s="135"/>
      <c r="BD2635" s="135"/>
      <c r="BE2635" s="135"/>
      <c r="BF2635" s="135"/>
      <c r="BG2635" s="135"/>
      <c r="BH2635" s="135"/>
      <c r="BI2635" s="2"/>
      <c r="BJ2635" s="136"/>
      <c r="BK2635" s="2"/>
      <c r="BL2635" s="136"/>
      <c r="BM2635" s="136"/>
      <c r="BN2635" s="2"/>
      <c r="BO2635" s="2"/>
      <c r="BP2635" s="136"/>
      <c r="BQ2635" s="137"/>
    </row>
    <row r="2636" spans="1:69" ht="12.75" customHeight="1" x14ac:dyDescent="0.2">
      <c r="A2636" s="2">
        <v>4125</v>
      </c>
      <c r="B2636" s="2"/>
      <c r="C2636" s="2"/>
      <c r="D2636" s="2"/>
      <c r="E2636" s="2"/>
      <c r="F2636" s="132">
        <v>0</v>
      </c>
      <c r="G2636" s="132"/>
      <c r="H2636" s="132">
        <f t="shared" si="297"/>
        <v>0</v>
      </c>
      <c r="I2636" s="132"/>
      <c r="J2636" s="132">
        <f t="shared" si="295"/>
        <v>0</v>
      </c>
      <c r="K2636" s="132">
        <f t="shared" si="298"/>
        <v>0</v>
      </c>
      <c r="L2636" s="132">
        <f t="shared" si="299"/>
        <v>0</v>
      </c>
      <c r="M2636" s="133"/>
      <c r="N2636" s="133">
        <f t="shared" si="296"/>
        <v>0</v>
      </c>
      <c r="O2636" s="134"/>
      <c r="P2636" s="133"/>
      <c r="Q2636" s="2"/>
      <c r="R2636" s="156">
        <f t="shared" si="300"/>
        <v>0</v>
      </c>
      <c r="S2636" s="156">
        <f t="shared" si="301"/>
        <v>0</v>
      </c>
      <c r="T2636" s="133"/>
      <c r="U2636" s="133"/>
      <c r="V2636" s="133"/>
      <c r="W2636" s="133"/>
      <c r="X2636" s="133"/>
      <c r="Y2636" s="133"/>
      <c r="Z2636" s="133"/>
      <c r="AA2636" s="133"/>
      <c r="AB2636" s="133"/>
      <c r="AC2636" s="133"/>
      <c r="AD2636" s="133"/>
      <c r="AE2636" s="133"/>
      <c r="AF2636" s="133"/>
      <c r="AG2636" s="133"/>
      <c r="AH2636" s="133"/>
      <c r="AI2636" s="133"/>
      <c r="AJ2636" s="133"/>
      <c r="AK2636" s="133"/>
      <c r="AL2636" s="133"/>
      <c r="AM2636" s="133"/>
      <c r="AN2636" s="133"/>
      <c r="AO2636" s="133"/>
      <c r="AP2636" s="133"/>
      <c r="AQ2636" s="133"/>
      <c r="AR2636" s="133"/>
      <c r="AS2636" s="153">
        <v>0</v>
      </c>
      <c r="AT2636" s="153">
        <v>0</v>
      </c>
      <c r="AU2636" s="153">
        <v>0</v>
      </c>
      <c r="AV2636" s="135"/>
      <c r="AW2636" s="135"/>
      <c r="AX2636" s="135"/>
      <c r="AY2636" s="135"/>
      <c r="AZ2636" s="135"/>
      <c r="BA2636" s="135"/>
      <c r="BB2636" s="135"/>
      <c r="BC2636" s="135"/>
      <c r="BD2636" s="135"/>
      <c r="BE2636" s="135"/>
      <c r="BF2636" s="135"/>
      <c r="BG2636" s="135"/>
      <c r="BH2636" s="135"/>
      <c r="BI2636" s="2"/>
      <c r="BJ2636" s="136"/>
      <c r="BK2636" s="2"/>
      <c r="BL2636" s="136"/>
      <c r="BM2636" s="136"/>
      <c r="BN2636" s="2"/>
      <c r="BO2636" s="2"/>
      <c r="BP2636" s="136"/>
      <c r="BQ2636" s="137"/>
    </row>
    <row r="2637" spans="1:69" ht="12.75" customHeight="1" x14ac:dyDescent="0.2">
      <c r="A2637" s="2">
        <v>4126</v>
      </c>
      <c r="B2637" s="2"/>
      <c r="C2637" s="2"/>
      <c r="D2637" s="2"/>
      <c r="E2637" s="2"/>
      <c r="F2637" s="132">
        <v>0</v>
      </c>
      <c r="G2637" s="132"/>
      <c r="H2637" s="132">
        <f t="shared" si="297"/>
        <v>0</v>
      </c>
      <c r="I2637" s="132"/>
      <c r="J2637" s="132">
        <f t="shared" si="295"/>
        <v>0</v>
      </c>
      <c r="K2637" s="132">
        <f t="shared" si="298"/>
        <v>0</v>
      </c>
      <c r="L2637" s="132">
        <f t="shared" si="299"/>
        <v>0</v>
      </c>
      <c r="M2637" s="133"/>
      <c r="N2637" s="133">
        <f t="shared" si="296"/>
        <v>0</v>
      </c>
      <c r="O2637" s="134"/>
      <c r="P2637" s="133"/>
      <c r="Q2637" s="2"/>
      <c r="R2637" s="156">
        <f t="shared" si="300"/>
        <v>0</v>
      </c>
      <c r="S2637" s="156">
        <f t="shared" si="301"/>
        <v>0</v>
      </c>
      <c r="T2637" s="133"/>
      <c r="U2637" s="133"/>
      <c r="V2637" s="133"/>
      <c r="W2637" s="133"/>
      <c r="X2637" s="133"/>
      <c r="Y2637" s="133"/>
      <c r="Z2637" s="133"/>
      <c r="AA2637" s="133"/>
      <c r="AB2637" s="133"/>
      <c r="AC2637" s="133"/>
      <c r="AD2637" s="133"/>
      <c r="AE2637" s="133"/>
      <c r="AF2637" s="133"/>
      <c r="AG2637" s="133"/>
      <c r="AH2637" s="133"/>
      <c r="AI2637" s="133"/>
      <c r="AJ2637" s="133"/>
      <c r="AK2637" s="133"/>
      <c r="AL2637" s="133"/>
      <c r="AM2637" s="133"/>
      <c r="AN2637" s="133"/>
      <c r="AO2637" s="133"/>
      <c r="AP2637" s="133"/>
      <c r="AQ2637" s="133"/>
      <c r="AR2637" s="133"/>
      <c r="AS2637" s="153">
        <v>0</v>
      </c>
      <c r="AT2637" s="153">
        <v>0</v>
      </c>
      <c r="AU2637" s="153">
        <v>0</v>
      </c>
      <c r="AV2637" s="135"/>
      <c r="AW2637" s="135"/>
      <c r="AX2637" s="135"/>
      <c r="AY2637" s="135"/>
      <c r="AZ2637" s="135"/>
      <c r="BA2637" s="135"/>
      <c r="BB2637" s="135"/>
      <c r="BC2637" s="135"/>
      <c r="BD2637" s="135"/>
      <c r="BE2637" s="135"/>
      <c r="BF2637" s="135"/>
      <c r="BG2637" s="135"/>
      <c r="BH2637" s="135"/>
      <c r="BI2637" s="2"/>
      <c r="BJ2637" s="136"/>
      <c r="BK2637" s="2"/>
      <c r="BL2637" s="136"/>
      <c r="BM2637" s="136"/>
      <c r="BN2637" s="2"/>
      <c r="BO2637" s="2"/>
      <c r="BP2637" s="136"/>
      <c r="BQ2637" s="137"/>
    </row>
    <row r="2638" spans="1:69" ht="12.75" customHeight="1" x14ac:dyDescent="0.2">
      <c r="A2638" s="2">
        <v>4127</v>
      </c>
      <c r="B2638" s="2"/>
      <c r="C2638" s="2"/>
      <c r="D2638" s="2"/>
      <c r="E2638" s="2"/>
      <c r="F2638" s="132">
        <v>0</v>
      </c>
      <c r="G2638" s="132"/>
      <c r="H2638" s="132">
        <f t="shared" si="297"/>
        <v>0</v>
      </c>
      <c r="I2638" s="132"/>
      <c r="J2638" s="132">
        <f t="shared" si="295"/>
        <v>0</v>
      </c>
      <c r="K2638" s="132">
        <f t="shared" si="298"/>
        <v>0</v>
      </c>
      <c r="L2638" s="132">
        <f t="shared" si="299"/>
        <v>0</v>
      </c>
      <c r="M2638" s="133"/>
      <c r="N2638" s="133">
        <f t="shared" si="296"/>
        <v>0</v>
      </c>
      <c r="O2638" s="134"/>
      <c r="P2638" s="133"/>
      <c r="Q2638" s="2"/>
      <c r="R2638" s="156">
        <f t="shared" si="300"/>
        <v>0</v>
      </c>
      <c r="S2638" s="156">
        <f t="shared" si="301"/>
        <v>0</v>
      </c>
      <c r="T2638" s="133"/>
      <c r="U2638" s="133"/>
      <c r="V2638" s="133"/>
      <c r="W2638" s="133"/>
      <c r="X2638" s="133"/>
      <c r="Y2638" s="133"/>
      <c r="Z2638" s="133"/>
      <c r="AA2638" s="133"/>
      <c r="AB2638" s="133"/>
      <c r="AC2638" s="133"/>
      <c r="AD2638" s="133"/>
      <c r="AE2638" s="133"/>
      <c r="AF2638" s="133"/>
      <c r="AG2638" s="133"/>
      <c r="AH2638" s="133"/>
      <c r="AI2638" s="133"/>
      <c r="AJ2638" s="133"/>
      <c r="AK2638" s="133"/>
      <c r="AL2638" s="133"/>
      <c r="AM2638" s="133"/>
      <c r="AN2638" s="133"/>
      <c r="AO2638" s="133"/>
      <c r="AP2638" s="133"/>
      <c r="AQ2638" s="133"/>
      <c r="AR2638" s="133"/>
      <c r="AS2638" s="153">
        <v>0</v>
      </c>
      <c r="AT2638" s="153">
        <v>0</v>
      </c>
      <c r="AU2638" s="153">
        <v>0</v>
      </c>
      <c r="AV2638" s="135"/>
      <c r="AW2638" s="135"/>
      <c r="AX2638" s="135"/>
      <c r="AY2638" s="135"/>
      <c r="AZ2638" s="135"/>
      <c r="BA2638" s="135"/>
      <c r="BB2638" s="135"/>
      <c r="BC2638" s="135"/>
      <c r="BD2638" s="135"/>
      <c r="BE2638" s="135"/>
      <c r="BF2638" s="135"/>
      <c r="BG2638" s="135"/>
      <c r="BH2638" s="135"/>
      <c r="BI2638" s="2"/>
      <c r="BJ2638" s="136"/>
      <c r="BK2638" s="2"/>
      <c r="BL2638" s="136"/>
      <c r="BM2638" s="136"/>
      <c r="BN2638" s="2"/>
      <c r="BO2638" s="2"/>
      <c r="BP2638" s="136"/>
      <c r="BQ2638" s="137"/>
    </row>
    <row r="2639" spans="1:69" ht="12.75" customHeight="1" x14ac:dyDescent="0.2">
      <c r="A2639" s="2">
        <v>4128</v>
      </c>
      <c r="B2639" s="2"/>
      <c r="C2639" s="2"/>
      <c r="D2639" s="2"/>
      <c r="E2639" s="2"/>
      <c r="F2639" s="132">
        <v>0</v>
      </c>
      <c r="G2639" s="132"/>
      <c r="H2639" s="132">
        <f t="shared" si="297"/>
        <v>0</v>
      </c>
      <c r="I2639" s="132"/>
      <c r="J2639" s="132">
        <f t="shared" si="295"/>
        <v>0</v>
      </c>
      <c r="K2639" s="132">
        <f t="shared" si="298"/>
        <v>0</v>
      </c>
      <c r="L2639" s="132">
        <f t="shared" si="299"/>
        <v>0</v>
      </c>
      <c r="M2639" s="133"/>
      <c r="N2639" s="133">
        <f t="shared" si="296"/>
        <v>0</v>
      </c>
      <c r="O2639" s="134"/>
      <c r="P2639" s="133"/>
      <c r="Q2639" s="2"/>
      <c r="R2639" s="156">
        <f t="shared" si="300"/>
        <v>0</v>
      </c>
      <c r="S2639" s="156">
        <f t="shared" si="301"/>
        <v>0</v>
      </c>
      <c r="T2639" s="133"/>
      <c r="U2639" s="133"/>
      <c r="V2639" s="133"/>
      <c r="W2639" s="133"/>
      <c r="X2639" s="133"/>
      <c r="Y2639" s="133"/>
      <c r="Z2639" s="133"/>
      <c r="AA2639" s="133"/>
      <c r="AB2639" s="133"/>
      <c r="AC2639" s="133"/>
      <c r="AD2639" s="133"/>
      <c r="AE2639" s="133"/>
      <c r="AF2639" s="133"/>
      <c r="AG2639" s="133"/>
      <c r="AH2639" s="133"/>
      <c r="AI2639" s="133"/>
      <c r="AJ2639" s="133"/>
      <c r="AK2639" s="133"/>
      <c r="AL2639" s="133"/>
      <c r="AM2639" s="133"/>
      <c r="AN2639" s="133"/>
      <c r="AO2639" s="133"/>
      <c r="AP2639" s="133"/>
      <c r="AQ2639" s="133"/>
      <c r="AR2639" s="133"/>
      <c r="AS2639" s="153">
        <v>0</v>
      </c>
      <c r="AT2639" s="153">
        <v>0</v>
      </c>
      <c r="AU2639" s="153">
        <v>0</v>
      </c>
      <c r="AV2639" s="135"/>
      <c r="AW2639" s="135"/>
      <c r="AX2639" s="135"/>
      <c r="AY2639" s="135"/>
      <c r="AZ2639" s="135"/>
      <c r="BA2639" s="135"/>
      <c r="BB2639" s="135"/>
      <c r="BC2639" s="135"/>
      <c r="BD2639" s="135"/>
      <c r="BE2639" s="135"/>
      <c r="BF2639" s="135"/>
      <c r="BG2639" s="135"/>
      <c r="BH2639" s="135"/>
      <c r="BI2639" s="2"/>
      <c r="BJ2639" s="136"/>
      <c r="BK2639" s="2"/>
      <c r="BL2639" s="136"/>
      <c r="BM2639" s="136"/>
      <c r="BN2639" s="2"/>
      <c r="BO2639" s="2"/>
      <c r="BP2639" s="136"/>
      <c r="BQ2639" s="137"/>
    </row>
    <row r="2640" spans="1:69" ht="12.75" customHeight="1" x14ac:dyDescent="0.2">
      <c r="A2640" s="2">
        <v>4129</v>
      </c>
      <c r="B2640" s="2"/>
      <c r="C2640" s="2"/>
      <c r="D2640" s="2"/>
      <c r="E2640" s="2"/>
      <c r="F2640" s="132">
        <v>0</v>
      </c>
      <c r="G2640" s="132"/>
      <c r="H2640" s="132">
        <f t="shared" si="297"/>
        <v>0</v>
      </c>
      <c r="I2640" s="132"/>
      <c r="J2640" s="132">
        <f t="shared" si="295"/>
        <v>0</v>
      </c>
      <c r="K2640" s="132">
        <f t="shared" si="298"/>
        <v>0</v>
      </c>
      <c r="L2640" s="132">
        <f t="shared" si="299"/>
        <v>0</v>
      </c>
      <c r="M2640" s="133"/>
      <c r="N2640" s="133">
        <f t="shared" si="296"/>
        <v>0</v>
      </c>
      <c r="O2640" s="134"/>
      <c r="P2640" s="133"/>
      <c r="Q2640" s="2"/>
      <c r="R2640" s="156">
        <f t="shared" si="300"/>
        <v>0</v>
      </c>
      <c r="S2640" s="156">
        <f t="shared" si="301"/>
        <v>0</v>
      </c>
      <c r="T2640" s="133"/>
      <c r="U2640" s="133"/>
      <c r="V2640" s="133"/>
      <c r="W2640" s="133"/>
      <c r="X2640" s="133"/>
      <c r="Y2640" s="133"/>
      <c r="Z2640" s="133"/>
      <c r="AA2640" s="133"/>
      <c r="AB2640" s="133"/>
      <c r="AC2640" s="133"/>
      <c r="AD2640" s="133"/>
      <c r="AE2640" s="133"/>
      <c r="AF2640" s="133"/>
      <c r="AG2640" s="133"/>
      <c r="AH2640" s="133"/>
      <c r="AI2640" s="133"/>
      <c r="AJ2640" s="133"/>
      <c r="AK2640" s="133"/>
      <c r="AL2640" s="133"/>
      <c r="AM2640" s="133"/>
      <c r="AN2640" s="133"/>
      <c r="AO2640" s="133"/>
      <c r="AP2640" s="133"/>
      <c r="AQ2640" s="133"/>
      <c r="AR2640" s="133"/>
      <c r="AS2640" s="153">
        <v>0</v>
      </c>
      <c r="AT2640" s="153">
        <v>0</v>
      </c>
      <c r="AU2640" s="153">
        <v>0</v>
      </c>
      <c r="AV2640" s="135"/>
      <c r="AW2640" s="135"/>
      <c r="AX2640" s="135"/>
      <c r="AY2640" s="135"/>
      <c r="AZ2640" s="135"/>
      <c r="BA2640" s="135"/>
      <c r="BB2640" s="135"/>
      <c r="BC2640" s="135"/>
      <c r="BD2640" s="135"/>
      <c r="BE2640" s="135"/>
      <c r="BF2640" s="135"/>
      <c r="BG2640" s="135"/>
      <c r="BH2640" s="135"/>
      <c r="BI2640" s="2"/>
      <c r="BJ2640" s="136"/>
      <c r="BK2640" s="2"/>
      <c r="BL2640" s="136"/>
      <c r="BM2640" s="136"/>
      <c r="BN2640" s="2"/>
      <c r="BO2640" s="2"/>
      <c r="BP2640" s="136"/>
      <c r="BQ2640" s="137"/>
    </row>
    <row r="2641" spans="1:69" ht="12.75" customHeight="1" x14ac:dyDescent="0.2">
      <c r="A2641" s="2">
        <v>4130</v>
      </c>
      <c r="B2641" s="2"/>
      <c r="C2641" s="2"/>
      <c r="D2641" s="2"/>
      <c r="E2641" s="2"/>
      <c r="F2641" s="132">
        <v>0</v>
      </c>
      <c r="G2641" s="132"/>
      <c r="H2641" s="132">
        <f t="shared" si="297"/>
        <v>0</v>
      </c>
      <c r="I2641" s="132"/>
      <c r="J2641" s="132">
        <f t="shared" si="295"/>
        <v>0</v>
      </c>
      <c r="K2641" s="132">
        <f t="shared" si="298"/>
        <v>0</v>
      </c>
      <c r="L2641" s="132">
        <f t="shared" si="299"/>
        <v>0</v>
      </c>
      <c r="M2641" s="133"/>
      <c r="N2641" s="133">
        <f t="shared" si="296"/>
        <v>0</v>
      </c>
      <c r="O2641" s="134"/>
      <c r="P2641" s="133"/>
      <c r="Q2641" s="2"/>
      <c r="R2641" s="156">
        <f t="shared" si="300"/>
        <v>0</v>
      </c>
      <c r="S2641" s="156">
        <f t="shared" si="301"/>
        <v>0</v>
      </c>
      <c r="T2641" s="133"/>
      <c r="U2641" s="133"/>
      <c r="V2641" s="133"/>
      <c r="W2641" s="133"/>
      <c r="X2641" s="133"/>
      <c r="Y2641" s="133"/>
      <c r="Z2641" s="133"/>
      <c r="AA2641" s="133"/>
      <c r="AB2641" s="133"/>
      <c r="AC2641" s="133"/>
      <c r="AD2641" s="133"/>
      <c r="AE2641" s="133"/>
      <c r="AF2641" s="133"/>
      <c r="AG2641" s="133"/>
      <c r="AH2641" s="133"/>
      <c r="AI2641" s="133"/>
      <c r="AJ2641" s="133"/>
      <c r="AK2641" s="133"/>
      <c r="AL2641" s="133"/>
      <c r="AM2641" s="133"/>
      <c r="AN2641" s="133"/>
      <c r="AO2641" s="133"/>
      <c r="AP2641" s="133"/>
      <c r="AQ2641" s="133"/>
      <c r="AR2641" s="133"/>
      <c r="AS2641" s="153">
        <v>0</v>
      </c>
      <c r="AT2641" s="153">
        <v>0</v>
      </c>
      <c r="AU2641" s="153">
        <v>0</v>
      </c>
      <c r="AV2641" s="135"/>
      <c r="AW2641" s="135"/>
      <c r="AX2641" s="135"/>
      <c r="AY2641" s="135"/>
      <c r="AZ2641" s="135"/>
      <c r="BA2641" s="135"/>
      <c r="BB2641" s="135"/>
      <c r="BC2641" s="135"/>
      <c r="BD2641" s="135"/>
      <c r="BE2641" s="135"/>
      <c r="BF2641" s="135"/>
      <c r="BG2641" s="135"/>
      <c r="BH2641" s="135"/>
      <c r="BI2641" s="2"/>
      <c r="BJ2641" s="136"/>
      <c r="BK2641" s="2"/>
      <c r="BL2641" s="136"/>
      <c r="BM2641" s="136"/>
      <c r="BN2641" s="2"/>
      <c r="BO2641" s="2"/>
      <c r="BP2641" s="136"/>
      <c r="BQ2641" s="137"/>
    </row>
    <row r="2642" spans="1:69" ht="12.75" customHeight="1" x14ac:dyDescent="0.2">
      <c r="A2642" s="2">
        <v>4131</v>
      </c>
      <c r="B2642" s="2"/>
      <c r="C2642" s="2"/>
      <c r="D2642" s="2"/>
      <c r="E2642" s="2"/>
      <c r="F2642" s="132">
        <v>0</v>
      </c>
      <c r="G2642" s="132"/>
      <c r="H2642" s="132">
        <f t="shared" si="297"/>
        <v>0</v>
      </c>
      <c r="I2642" s="132"/>
      <c r="J2642" s="132">
        <f t="shared" si="295"/>
        <v>0</v>
      </c>
      <c r="K2642" s="132">
        <f t="shared" si="298"/>
        <v>0</v>
      </c>
      <c r="L2642" s="132">
        <f t="shared" si="299"/>
        <v>0</v>
      </c>
      <c r="M2642" s="133"/>
      <c r="N2642" s="133">
        <f t="shared" si="296"/>
        <v>0</v>
      </c>
      <c r="O2642" s="134"/>
      <c r="P2642" s="133"/>
      <c r="Q2642" s="2"/>
      <c r="R2642" s="156">
        <f t="shared" si="300"/>
        <v>0</v>
      </c>
      <c r="S2642" s="156">
        <f t="shared" si="301"/>
        <v>0</v>
      </c>
      <c r="T2642" s="133"/>
      <c r="U2642" s="133"/>
      <c r="V2642" s="133"/>
      <c r="W2642" s="133"/>
      <c r="X2642" s="133"/>
      <c r="Y2642" s="133"/>
      <c r="Z2642" s="133"/>
      <c r="AA2642" s="133"/>
      <c r="AB2642" s="133"/>
      <c r="AC2642" s="133"/>
      <c r="AD2642" s="133"/>
      <c r="AE2642" s="133"/>
      <c r="AF2642" s="133"/>
      <c r="AG2642" s="133"/>
      <c r="AH2642" s="133"/>
      <c r="AI2642" s="133"/>
      <c r="AJ2642" s="133"/>
      <c r="AK2642" s="133"/>
      <c r="AL2642" s="133"/>
      <c r="AM2642" s="133"/>
      <c r="AN2642" s="133"/>
      <c r="AO2642" s="133"/>
      <c r="AP2642" s="133"/>
      <c r="AQ2642" s="133"/>
      <c r="AR2642" s="133"/>
      <c r="AS2642" s="153">
        <v>0</v>
      </c>
      <c r="AT2642" s="153">
        <v>0</v>
      </c>
      <c r="AU2642" s="153">
        <v>0</v>
      </c>
      <c r="AV2642" s="135"/>
      <c r="AW2642" s="135"/>
      <c r="AX2642" s="135"/>
      <c r="AY2642" s="135"/>
      <c r="AZ2642" s="135"/>
      <c r="BA2642" s="135"/>
      <c r="BB2642" s="135"/>
      <c r="BC2642" s="135"/>
      <c r="BD2642" s="135"/>
      <c r="BE2642" s="135"/>
      <c r="BF2642" s="135"/>
      <c r="BG2642" s="135"/>
      <c r="BH2642" s="135"/>
      <c r="BI2642" s="2"/>
      <c r="BJ2642" s="136"/>
      <c r="BK2642" s="2"/>
      <c r="BL2642" s="136"/>
      <c r="BM2642" s="136"/>
      <c r="BN2642" s="2"/>
      <c r="BO2642" s="2"/>
      <c r="BP2642" s="136"/>
      <c r="BQ2642" s="137"/>
    </row>
    <row r="2643" spans="1:69" ht="12.75" customHeight="1" x14ac:dyDescent="0.2">
      <c r="A2643" s="2">
        <v>4132</v>
      </c>
      <c r="B2643" s="2"/>
      <c r="C2643" s="2"/>
      <c r="D2643" s="2"/>
      <c r="E2643" s="2"/>
      <c r="F2643" s="132">
        <v>0</v>
      </c>
      <c r="G2643" s="132"/>
      <c r="H2643" s="132">
        <f t="shared" si="297"/>
        <v>0</v>
      </c>
      <c r="I2643" s="132"/>
      <c r="J2643" s="132">
        <f t="shared" si="295"/>
        <v>0</v>
      </c>
      <c r="K2643" s="132">
        <f t="shared" si="298"/>
        <v>0</v>
      </c>
      <c r="L2643" s="132">
        <f t="shared" si="299"/>
        <v>0</v>
      </c>
      <c r="M2643" s="133"/>
      <c r="N2643" s="133">
        <f t="shared" si="296"/>
        <v>0</v>
      </c>
      <c r="O2643" s="134"/>
      <c r="P2643" s="133"/>
      <c r="Q2643" s="2"/>
      <c r="R2643" s="156">
        <f t="shared" si="300"/>
        <v>0</v>
      </c>
      <c r="S2643" s="156">
        <f t="shared" si="301"/>
        <v>0</v>
      </c>
      <c r="T2643" s="133"/>
      <c r="U2643" s="133"/>
      <c r="V2643" s="133"/>
      <c r="W2643" s="133"/>
      <c r="X2643" s="133"/>
      <c r="Y2643" s="133"/>
      <c r="Z2643" s="133"/>
      <c r="AA2643" s="133"/>
      <c r="AB2643" s="133"/>
      <c r="AC2643" s="133"/>
      <c r="AD2643" s="133"/>
      <c r="AE2643" s="133"/>
      <c r="AF2643" s="133"/>
      <c r="AG2643" s="133"/>
      <c r="AH2643" s="133"/>
      <c r="AI2643" s="133"/>
      <c r="AJ2643" s="133"/>
      <c r="AK2643" s="133"/>
      <c r="AL2643" s="133"/>
      <c r="AM2643" s="133"/>
      <c r="AN2643" s="133"/>
      <c r="AO2643" s="133"/>
      <c r="AP2643" s="133"/>
      <c r="AQ2643" s="133"/>
      <c r="AR2643" s="133"/>
      <c r="AS2643" s="153">
        <v>0</v>
      </c>
      <c r="AT2643" s="153">
        <v>0</v>
      </c>
      <c r="AU2643" s="153">
        <v>0</v>
      </c>
      <c r="AV2643" s="135"/>
      <c r="AW2643" s="135"/>
      <c r="AX2643" s="135"/>
      <c r="AY2643" s="135"/>
      <c r="AZ2643" s="135"/>
      <c r="BA2643" s="135"/>
      <c r="BB2643" s="135"/>
      <c r="BC2643" s="135"/>
      <c r="BD2643" s="135"/>
      <c r="BE2643" s="135"/>
      <c r="BF2643" s="135"/>
      <c r="BG2643" s="135"/>
      <c r="BH2643" s="135"/>
      <c r="BI2643" s="2"/>
      <c r="BJ2643" s="136"/>
      <c r="BK2643" s="2"/>
      <c r="BL2643" s="136"/>
      <c r="BM2643" s="136"/>
      <c r="BN2643" s="2"/>
      <c r="BO2643" s="2"/>
      <c r="BP2643" s="136"/>
      <c r="BQ2643" s="137"/>
    </row>
    <row r="2644" spans="1:69" ht="12.75" customHeight="1" x14ac:dyDescent="0.2">
      <c r="A2644" s="2">
        <v>4133</v>
      </c>
      <c r="B2644" s="2"/>
      <c r="C2644" s="2"/>
      <c r="D2644" s="2"/>
      <c r="E2644" s="2"/>
      <c r="F2644" s="132">
        <v>0</v>
      </c>
      <c r="G2644" s="132"/>
      <c r="H2644" s="132">
        <f t="shared" si="297"/>
        <v>0</v>
      </c>
      <c r="I2644" s="132"/>
      <c r="J2644" s="132">
        <f t="shared" si="295"/>
        <v>0</v>
      </c>
      <c r="K2644" s="132">
        <f t="shared" si="298"/>
        <v>0</v>
      </c>
      <c r="L2644" s="132">
        <f t="shared" si="299"/>
        <v>0</v>
      </c>
      <c r="M2644" s="133"/>
      <c r="N2644" s="133">
        <f t="shared" si="296"/>
        <v>0</v>
      </c>
      <c r="O2644" s="134"/>
      <c r="P2644" s="133"/>
      <c r="Q2644" s="2"/>
      <c r="R2644" s="156">
        <f t="shared" si="300"/>
        <v>0</v>
      </c>
      <c r="S2644" s="156">
        <f t="shared" si="301"/>
        <v>0</v>
      </c>
      <c r="T2644" s="133"/>
      <c r="U2644" s="133"/>
      <c r="V2644" s="133"/>
      <c r="W2644" s="133"/>
      <c r="X2644" s="133"/>
      <c r="Y2644" s="133"/>
      <c r="Z2644" s="133"/>
      <c r="AA2644" s="133"/>
      <c r="AB2644" s="133"/>
      <c r="AC2644" s="133"/>
      <c r="AD2644" s="133"/>
      <c r="AE2644" s="133"/>
      <c r="AF2644" s="133"/>
      <c r="AG2644" s="133"/>
      <c r="AH2644" s="133"/>
      <c r="AI2644" s="133"/>
      <c r="AJ2644" s="133"/>
      <c r="AK2644" s="133"/>
      <c r="AL2644" s="133"/>
      <c r="AM2644" s="133"/>
      <c r="AN2644" s="133"/>
      <c r="AO2644" s="133"/>
      <c r="AP2644" s="133"/>
      <c r="AQ2644" s="133"/>
      <c r="AR2644" s="133"/>
      <c r="AS2644" s="153">
        <v>0</v>
      </c>
      <c r="AT2644" s="153">
        <v>0</v>
      </c>
      <c r="AU2644" s="153">
        <v>0</v>
      </c>
      <c r="AV2644" s="135"/>
      <c r="AW2644" s="135"/>
      <c r="AX2644" s="135"/>
      <c r="AY2644" s="135"/>
      <c r="AZ2644" s="135"/>
      <c r="BA2644" s="135"/>
      <c r="BB2644" s="135"/>
      <c r="BC2644" s="135"/>
      <c r="BD2644" s="135"/>
      <c r="BE2644" s="135"/>
      <c r="BF2644" s="135"/>
      <c r="BG2644" s="135"/>
      <c r="BH2644" s="135"/>
      <c r="BI2644" s="2"/>
      <c r="BJ2644" s="136"/>
      <c r="BK2644" s="2"/>
      <c r="BL2644" s="136"/>
      <c r="BM2644" s="136"/>
      <c r="BN2644" s="2"/>
      <c r="BO2644" s="2"/>
      <c r="BP2644" s="136"/>
      <c r="BQ2644" s="137"/>
    </row>
    <row r="2645" spans="1:69" ht="12.75" customHeight="1" x14ac:dyDescent="0.2">
      <c r="A2645" s="2">
        <v>4134</v>
      </c>
      <c r="B2645" s="2"/>
      <c r="C2645" s="2"/>
      <c r="D2645" s="2"/>
      <c r="E2645" s="2"/>
      <c r="F2645" s="132">
        <v>0</v>
      </c>
      <c r="G2645" s="132"/>
      <c r="H2645" s="132">
        <f t="shared" si="297"/>
        <v>0</v>
      </c>
      <c r="I2645" s="132"/>
      <c r="J2645" s="132">
        <f t="shared" si="295"/>
        <v>0</v>
      </c>
      <c r="K2645" s="132">
        <f t="shared" si="298"/>
        <v>0</v>
      </c>
      <c r="L2645" s="132">
        <f t="shared" si="299"/>
        <v>0</v>
      </c>
      <c r="M2645" s="133"/>
      <c r="N2645" s="133">
        <f t="shared" si="296"/>
        <v>0</v>
      </c>
      <c r="O2645" s="134"/>
      <c r="P2645" s="133"/>
      <c r="Q2645" s="2"/>
      <c r="R2645" s="156">
        <f t="shared" si="300"/>
        <v>0</v>
      </c>
      <c r="S2645" s="156">
        <f t="shared" si="301"/>
        <v>0</v>
      </c>
      <c r="T2645" s="133"/>
      <c r="U2645" s="133"/>
      <c r="V2645" s="133"/>
      <c r="W2645" s="133"/>
      <c r="X2645" s="133"/>
      <c r="Y2645" s="133"/>
      <c r="Z2645" s="133"/>
      <c r="AA2645" s="133"/>
      <c r="AB2645" s="133"/>
      <c r="AC2645" s="133"/>
      <c r="AD2645" s="133"/>
      <c r="AE2645" s="133"/>
      <c r="AF2645" s="133"/>
      <c r="AG2645" s="133"/>
      <c r="AH2645" s="133"/>
      <c r="AI2645" s="133"/>
      <c r="AJ2645" s="133"/>
      <c r="AK2645" s="133"/>
      <c r="AL2645" s="133"/>
      <c r="AM2645" s="133"/>
      <c r="AN2645" s="133"/>
      <c r="AO2645" s="133"/>
      <c r="AP2645" s="133"/>
      <c r="AQ2645" s="133"/>
      <c r="AR2645" s="133"/>
      <c r="AS2645" s="153">
        <v>0</v>
      </c>
      <c r="AT2645" s="153">
        <v>0</v>
      </c>
      <c r="AU2645" s="153">
        <v>0</v>
      </c>
      <c r="AV2645" s="135"/>
      <c r="AW2645" s="135"/>
      <c r="AX2645" s="135"/>
      <c r="AY2645" s="135"/>
      <c r="AZ2645" s="135"/>
      <c r="BA2645" s="135"/>
      <c r="BB2645" s="135"/>
      <c r="BC2645" s="135"/>
      <c r="BD2645" s="135"/>
      <c r="BE2645" s="135"/>
      <c r="BF2645" s="135"/>
      <c r="BG2645" s="135"/>
      <c r="BH2645" s="135"/>
      <c r="BI2645" s="2"/>
      <c r="BJ2645" s="136"/>
      <c r="BK2645" s="2"/>
      <c r="BL2645" s="136"/>
      <c r="BM2645" s="136"/>
      <c r="BN2645" s="2"/>
      <c r="BO2645" s="2"/>
      <c r="BP2645" s="136"/>
      <c r="BQ2645" s="137"/>
    </row>
    <row r="2646" spans="1:69" ht="12.75" customHeight="1" x14ac:dyDescent="0.2">
      <c r="A2646" s="2">
        <v>4135</v>
      </c>
      <c r="B2646" s="2"/>
      <c r="C2646" s="2"/>
      <c r="D2646" s="2"/>
      <c r="E2646" s="2"/>
      <c r="F2646" s="132">
        <v>0</v>
      </c>
      <c r="G2646" s="132"/>
      <c r="H2646" s="132">
        <f t="shared" si="297"/>
        <v>0</v>
      </c>
      <c r="I2646" s="132"/>
      <c r="J2646" s="132">
        <f t="shared" si="295"/>
        <v>0</v>
      </c>
      <c r="K2646" s="132">
        <f t="shared" si="298"/>
        <v>0</v>
      </c>
      <c r="L2646" s="132">
        <f t="shared" si="299"/>
        <v>0</v>
      </c>
      <c r="M2646" s="133"/>
      <c r="N2646" s="133">
        <f t="shared" si="296"/>
        <v>0</v>
      </c>
      <c r="O2646" s="134"/>
      <c r="P2646" s="133"/>
      <c r="Q2646" s="2"/>
      <c r="R2646" s="156">
        <f t="shared" si="300"/>
        <v>0</v>
      </c>
      <c r="S2646" s="156">
        <f t="shared" si="301"/>
        <v>0</v>
      </c>
      <c r="T2646" s="133"/>
      <c r="U2646" s="133"/>
      <c r="V2646" s="133"/>
      <c r="W2646" s="133"/>
      <c r="X2646" s="133"/>
      <c r="Y2646" s="133"/>
      <c r="Z2646" s="133"/>
      <c r="AA2646" s="133"/>
      <c r="AB2646" s="133"/>
      <c r="AC2646" s="133"/>
      <c r="AD2646" s="133"/>
      <c r="AE2646" s="133"/>
      <c r="AF2646" s="133"/>
      <c r="AG2646" s="133"/>
      <c r="AH2646" s="133"/>
      <c r="AI2646" s="133"/>
      <c r="AJ2646" s="133"/>
      <c r="AK2646" s="133"/>
      <c r="AL2646" s="133"/>
      <c r="AM2646" s="133"/>
      <c r="AN2646" s="133"/>
      <c r="AO2646" s="133"/>
      <c r="AP2646" s="133"/>
      <c r="AQ2646" s="133"/>
      <c r="AR2646" s="133"/>
      <c r="AS2646" s="153">
        <v>0</v>
      </c>
      <c r="AT2646" s="153">
        <v>0</v>
      </c>
      <c r="AU2646" s="153">
        <v>0</v>
      </c>
      <c r="AV2646" s="135"/>
      <c r="AW2646" s="135"/>
      <c r="AX2646" s="135"/>
      <c r="AY2646" s="135"/>
      <c r="AZ2646" s="135"/>
      <c r="BA2646" s="135"/>
      <c r="BB2646" s="135"/>
      <c r="BC2646" s="135"/>
      <c r="BD2646" s="135"/>
      <c r="BE2646" s="135"/>
      <c r="BF2646" s="135"/>
      <c r="BG2646" s="135"/>
      <c r="BH2646" s="135"/>
      <c r="BI2646" s="2"/>
      <c r="BJ2646" s="136"/>
      <c r="BK2646" s="2"/>
      <c r="BL2646" s="136"/>
      <c r="BM2646" s="136"/>
      <c r="BN2646" s="2"/>
      <c r="BO2646" s="2"/>
      <c r="BP2646" s="136"/>
      <c r="BQ2646" s="137"/>
    </row>
    <row r="2647" spans="1:69" ht="12.75" customHeight="1" x14ac:dyDescent="0.2">
      <c r="A2647" s="2">
        <v>4136</v>
      </c>
      <c r="B2647" s="2"/>
      <c r="C2647" s="2"/>
      <c r="D2647" s="2"/>
      <c r="E2647" s="2"/>
      <c r="F2647" s="132">
        <v>0</v>
      </c>
      <c r="G2647" s="132"/>
      <c r="H2647" s="132">
        <f t="shared" si="297"/>
        <v>0</v>
      </c>
      <c r="I2647" s="132"/>
      <c r="J2647" s="132">
        <f t="shared" si="295"/>
        <v>0</v>
      </c>
      <c r="K2647" s="132">
        <f t="shared" si="298"/>
        <v>0</v>
      </c>
      <c r="L2647" s="132">
        <f t="shared" si="299"/>
        <v>0</v>
      </c>
      <c r="M2647" s="133"/>
      <c r="N2647" s="133">
        <f t="shared" si="296"/>
        <v>0</v>
      </c>
      <c r="O2647" s="134"/>
      <c r="P2647" s="133"/>
      <c r="Q2647" s="2"/>
      <c r="R2647" s="156">
        <f t="shared" si="300"/>
        <v>0</v>
      </c>
      <c r="S2647" s="156">
        <f t="shared" si="301"/>
        <v>0</v>
      </c>
      <c r="T2647" s="133"/>
      <c r="U2647" s="133"/>
      <c r="V2647" s="133"/>
      <c r="W2647" s="133"/>
      <c r="X2647" s="133"/>
      <c r="Y2647" s="133"/>
      <c r="Z2647" s="133"/>
      <c r="AA2647" s="133"/>
      <c r="AB2647" s="133"/>
      <c r="AC2647" s="133"/>
      <c r="AD2647" s="133"/>
      <c r="AE2647" s="133"/>
      <c r="AF2647" s="133"/>
      <c r="AG2647" s="133"/>
      <c r="AH2647" s="133"/>
      <c r="AI2647" s="133"/>
      <c r="AJ2647" s="133"/>
      <c r="AK2647" s="133"/>
      <c r="AL2647" s="133"/>
      <c r="AM2647" s="133"/>
      <c r="AN2647" s="133"/>
      <c r="AO2647" s="133"/>
      <c r="AP2647" s="133"/>
      <c r="AQ2647" s="133"/>
      <c r="AR2647" s="133"/>
      <c r="AS2647" s="153">
        <v>0</v>
      </c>
      <c r="AT2647" s="153">
        <v>0</v>
      </c>
      <c r="AU2647" s="153">
        <v>0</v>
      </c>
      <c r="AV2647" s="135"/>
      <c r="AW2647" s="135"/>
      <c r="AX2647" s="135"/>
      <c r="AY2647" s="135"/>
      <c r="AZ2647" s="135"/>
      <c r="BA2647" s="135"/>
      <c r="BB2647" s="135"/>
      <c r="BC2647" s="135"/>
      <c r="BD2647" s="135"/>
      <c r="BE2647" s="135"/>
      <c r="BF2647" s="135"/>
      <c r="BG2647" s="135"/>
      <c r="BH2647" s="135"/>
      <c r="BI2647" s="2"/>
      <c r="BJ2647" s="136"/>
      <c r="BK2647" s="2"/>
      <c r="BL2647" s="136"/>
      <c r="BM2647" s="136"/>
      <c r="BN2647" s="2"/>
      <c r="BO2647" s="2"/>
      <c r="BP2647" s="136"/>
      <c r="BQ2647" s="137"/>
    </row>
    <row r="2648" spans="1:69" ht="12.75" customHeight="1" x14ac:dyDescent="0.2">
      <c r="A2648" s="2">
        <v>4137</v>
      </c>
      <c r="B2648" s="2"/>
      <c r="C2648" s="2"/>
      <c r="D2648" s="2"/>
      <c r="E2648" s="2"/>
      <c r="F2648" s="132">
        <v>0</v>
      </c>
      <c r="G2648" s="132"/>
      <c r="H2648" s="132">
        <f t="shared" si="297"/>
        <v>0</v>
      </c>
      <c r="I2648" s="132"/>
      <c r="J2648" s="132">
        <f t="shared" si="295"/>
        <v>0</v>
      </c>
      <c r="K2648" s="132">
        <f t="shared" si="298"/>
        <v>0</v>
      </c>
      <c r="L2648" s="132">
        <f t="shared" si="299"/>
        <v>0</v>
      </c>
      <c r="M2648" s="133"/>
      <c r="N2648" s="133">
        <f t="shared" si="296"/>
        <v>0</v>
      </c>
      <c r="O2648" s="134"/>
      <c r="P2648" s="133"/>
      <c r="Q2648" s="2"/>
      <c r="R2648" s="156">
        <f t="shared" si="300"/>
        <v>0</v>
      </c>
      <c r="S2648" s="156">
        <f t="shared" si="301"/>
        <v>0</v>
      </c>
      <c r="T2648" s="133"/>
      <c r="U2648" s="133"/>
      <c r="V2648" s="133"/>
      <c r="W2648" s="133"/>
      <c r="X2648" s="133"/>
      <c r="Y2648" s="133"/>
      <c r="Z2648" s="133"/>
      <c r="AA2648" s="133"/>
      <c r="AB2648" s="133"/>
      <c r="AC2648" s="133"/>
      <c r="AD2648" s="133"/>
      <c r="AE2648" s="133"/>
      <c r="AF2648" s="133"/>
      <c r="AG2648" s="133"/>
      <c r="AH2648" s="133"/>
      <c r="AI2648" s="133"/>
      <c r="AJ2648" s="133"/>
      <c r="AK2648" s="133"/>
      <c r="AL2648" s="133"/>
      <c r="AM2648" s="133"/>
      <c r="AN2648" s="133"/>
      <c r="AO2648" s="133"/>
      <c r="AP2648" s="133"/>
      <c r="AQ2648" s="133"/>
      <c r="AR2648" s="133"/>
      <c r="AS2648" s="153">
        <v>0</v>
      </c>
      <c r="AT2648" s="153">
        <v>0</v>
      </c>
      <c r="AU2648" s="153">
        <v>0</v>
      </c>
      <c r="AV2648" s="135"/>
      <c r="AW2648" s="135"/>
      <c r="AX2648" s="135"/>
      <c r="AY2648" s="135"/>
      <c r="AZ2648" s="135"/>
      <c r="BA2648" s="135"/>
      <c r="BB2648" s="135"/>
      <c r="BC2648" s="135"/>
      <c r="BD2648" s="135"/>
      <c r="BE2648" s="135"/>
      <c r="BF2648" s="135"/>
      <c r="BG2648" s="135"/>
      <c r="BH2648" s="135"/>
      <c r="BI2648" s="2"/>
      <c r="BJ2648" s="136"/>
      <c r="BK2648" s="2"/>
      <c r="BL2648" s="136"/>
      <c r="BM2648" s="136"/>
      <c r="BN2648" s="2"/>
      <c r="BO2648" s="2"/>
      <c r="BP2648" s="136"/>
      <c r="BQ2648" s="137"/>
    </row>
    <row r="2649" spans="1:69" ht="12.75" customHeight="1" x14ac:dyDescent="0.2">
      <c r="A2649" s="2">
        <v>4138</v>
      </c>
      <c r="B2649" s="2"/>
      <c r="C2649" s="2"/>
      <c r="D2649" s="2"/>
      <c r="E2649" s="2"/>
      <c r="F2649" s="132">
        <v>0</v>
      </c>
      <c r="G2649" s="132"/>
      <c r="H2649" s="132">
        <f t="shared" si="297"/>
        <v>0</v>
      </c>
      <c r="I2649" s="132"/>
      <c r="J2649" s="132">
        <f t="shared" si="295"/>
        <v>0</v>
      </c>
      <c r="K2649" s="132">
        <f t="shared" si="298"/>
        <v>0</v>
      </c>
      <c r="L2649" s="132">
        <f t="shared" si="299"/>
        <v>0</v>
      </c>
      <c r="M2649" s="133"/>
      <c r="N2649" s="133">
        <f t="shared" si="296"/>
        <v>0</v>
      </c>
      <c r="O2649" s="134"/>
      <c r="P2649" s="133"/>
      <c r="Q2649" s="2"/>
      <c r="R2649" s="156">
        <f t="shared" si="300"/>
        <v>0</v>
      </c>
      <c r="S2649" s="156">
        <f t="shared" si="301"/>
        <v>0</v>
      </c>
      <c r="T2649" s="133"/>
      <c r="U2649" s="133"/>
      <c r="V2649" s="133"/>
      <c r="W2649" s="133"/>
      <c r="X2649" s="133"/>
      <c r="Y2649" s="133"/>
      <c r="Z2649" s="133"/>
      <c r="AA2649" s="133"/>
      <c r="AB2649" s="133"/>
      <c r="AC2649" s="133"/>
      <c r="AD2649" s="133"/>
      <c r="AE2649" s="133"/>
      <c r="AF2649" s="133"/>
      <c r="AG2649" s="133"/>
      <c r="AH2649" s="133"/>
      <c r="AI2649" s="133"/>
      <c r="AJ2649" s="133"/>
      <c r="AK2649" s="133"/>
      <c r="AL2649" s="133"/>
      <c r="AM2649" s="133"/>
      <c r="AN2649" s="133"/>
      <c r="AO2649" s="133"/>
      <c r="AP2649" s="133"/>
      <c r="AQ2649" s="133"/>
      <c r="AR2649" s="133"/>
      <c r="AS2649" s="153">
        <v>0</v>
      </c>
      <c r="AT2649" s="153">
        <v>0</v>
      </c>
      <c r="AU2649" s="153">
        <v>0</v>
      </c>
      <c r="AV2649" s="135"/>
      <c r="AW2649" s="135"/>
      <c r="AX2649" s="135"/>
      <c r="AY2649" s="135"/>
      <c r="AZ2649" s="135"/>
      <c r="BA2649" s="135"/>
      <c r="BB2649" s="135"/>
      <c r="BC2649" s="135"/>
      <c r="BD2649" s="135"/>
      <c r="BE2649" s="135"/>
      <c r="BF2649" s="135"/>
      <c r="BG2649" s="135"/>
      <c r="BH2649" s="135"/>
      <c r="BI2649" s="2"/>
      <c r="BJ2649" s="136"/>
      <c r="BK2649" s="2"/>
      <c r="BL2649" s="136"/>
      <c r="BM2649" s="136"/>
      <c r="BN2649" s="2"/>
      <c r="BO2649" s="2"/>
      <c r="BP2649" s="136"/>
      <c r="BQ2649" s="137"/>
    </row>
    <row r="2650" spans="1:69" ht="12.75" customHeight="1" x14ac:dyDescent="0.2">
      <c r="A2650" s="2">
        <v>4139</v>
      </c>
      <c r="B2650" s="2"/>
      <c r="C2650" s="2"/>
      <c r="D2650" s="2"/>
      <c r="E2650" s="2"/>
      <c r="F2650" s="132">
        <v>0</v>
      </c>
      <c r="G2650" s="132"/>
      <c r="H2650" s="132">
        <f t="shared" si="297"/>
        <v>0</v>
      </c>
      <c r="I2650" s="132"/>
      <c r="J2650" s="132">
        <f t="shared" si="295"/>
        <v>0</v>
      </c>
      <c r="K2650" s="132">
        <f t="shared" si="298"/>
        <v>0</v>
      </c>
      <c r="L2650" s="132">
        <f t="shared" si="299"/>
        <v>0</v>
      </c>
      <c r="M2650" s="133"/>
      <c r="N2650" s="133">
        <f t="shared" si="296"/>
        <v>0</v>
      </c>
      <c r="O2650" s="134"/>
      <c r="P2650" s="133"/>
      <c r="Q2650" s="2"/>
      <c r="R2650" s="156">
        <f t="shared" si="300"/>
        <v>0</v>
      </c>
      <c r="S2650" s="156">
        <f t="shared" si="301"/>
        <v>0</v>
      </c>
      <c r="T2650" s="133"/>
      <c r="U2650" s="133"/>
      <c r="V2650" s="133"/>
      <c r="W2650" s="133"/>
      <c r="X2650" s="133"/>
      <c r="Y2650" s="133"/>
      <c r="Z2650" s="133"/>
      <c r="AA2650" s="133"/>
      <c r="AB2650" s="133"/>
      <c r="AC2650" s="133"/>
      <c r="AD2650" s="133"/>
      <c r="AE2650" s="133"/>
      <c r="AF2650" s="133"/>
      <c r="AG2650" s="133"/>
      <c r="AH2650" s="133"/>
      <c r="AI2650" s="133"/>
      <c r="AJ2650" s="133"/>
      <c r="AK2650" s="133"/>
      <c r="AL2650" s="133"/>
      <c r="AM2650" s="133"/>
      <c r="AN2650" s="133"/>
      <c r="AO2650" s="133"/>
      <c r="AP2650" s="133"/>
      <c r="AQ2650" s="133"/>
      <c r="AR2650" s="133"/>
      <c r="AS2650" s="153">
        <v>0</v>
      </c>
      <c r="AT2650" s="153">
        <v>0</v>
      </c>
      <c r="AU2650" s="153">
        <v>0</v>
      </c>
      <c r="AV2650" s="135"/>
      <c r="AW2650" s="135"/>
      <c r="AX2650" s="135"/>
      <c r="AY2650" s="135"/>
      <c r="AZ2650" s="135"/>
      <c r="BA2650" s="135"/>
      <c r="BB2650" s="135"/>
      <c r="BC2650" s="135"/>
      <c r="BD2650" s="135"/>
      <c r="BE2650" s="135"/>
      <c r="BF2650" s="135"/>
      <c r="BG2650" s="135"/>
      <c r="BH2650" s="135"/>
      <c r="BI2650" s="2"/>
      <c r="BJ2650" s="136"/>
      <c r="BK2650" s="2"/>
      <c r="BL2650" s="136"/>
      <c r="BM2650" s="136"/>
      <c r="BN2650" s="2"/>
      <c r="BO2650" s="2"/>
      <c r="BP2650" s="136"/>
      <c r="BQ2650" s="137"/>
    </row>
    <row r="2651" spans="1:69" ht="12.75" customHeight="1" x14ac:dyDescent="0.2">
      <c r="A2651" s="2">
        <v>4140</v>
      </c>
      <c r="B2651" s="2"/>
      <c r="C2651" s="2"/>
      <c r="D2651" s="2"/>
      <c r="E2651" s="2"/>
      <c r="F2651" s="132">
        <v>0</v>
      </c>
      <c r="G2651" s="132"/>
      <c r="H2651" s="132">
        <f t="shared" si="297"/>
        <v>0</v>
      </c>
      <c r="I2651" s="132"/>
      <c r="J2651" s="132">
        <f t="shared" si="295"/>
        <v>0</v>
      </c>
      <c r="K2651" s="132">
        <f t="shared" si="298"/>
        <v>0</v>
      </c>
      <c r="L2651" s="132">
        <f t="shared" si="299"/>
        <v>0</v>
      </c>
      <c r="M2651" s="133"/>
      <c r="N2651" s="133">
        <f t="shared" si="296"/>
        <v>0</v>
      </c>
      <c r="O2651" s="134"/>
      <c r="P2651" s="133"/>
      <c r="Q2651" s="2"/>
      <c r="R2651" s="156">
        <f t="shared" si="300"/>
        <v>0</v>
      </c>
      <c r="S2651" s="156">
        <f t="shared" si="301"/>
        <v>0</v>
      </c>
      <c r="T2651" s="133"/>
      <c r="U2651" s="133"/>
      <c r="V2651" s="133"/>
      <c r="W2651" s="133"/>
      <c r="X2651" s="133"/>
      <c r="Y2651" s="133"/>
      <c r="Z2651" s="133"/>
      <c r="AA2651" s="133"/>
      <c r="AB2651" s="133"/>
      <c r="AC2651" s="133"/>
      <c r="AD2651" s="133"/>
      <c r="AE2651" s="133"/>
      <c r="AF2651" s="133"/>
      <c r="AG2651" s="133"/>
      <c r="AH2651" s="133"/>
      <c r="AI2651" s="133"/>
      <c r="AJ2651" s="133"/>
      <c r="AK2651" s="133"/>
      <c r="AL2651" s="133"/>
      <c r="AM2651" s="133"/>
      <c r="AN2651" s="133"/>
      <c r="AO2651" s="133"/>
      <c r="AP2651" s="133"/>
      <c r="AQ2651" s="133"/>
      <c r="AR2651" s="133"/>
      <c r="AS2651" s="153">
        <v>0</v>
      </c>
      <c r="AT2651" s="153">
        <v>0</v>
      </c>
      <c r="AU2651" s="153">
        <v>0</v>
      </c>
      <c r="AV2651" s="135"/>
      <c r="AW2651" s="135"/>
      <c r="AX2651" s="135"/>
      <c r="AY2651" s="135"/>
      <c r="AZ2651" s="135"/>
      <c r="BA2651" s="135"/>
      <c r="BB2651" s="135"/>
      <c r="BC2651" s="135"/>
      <c r="BD2651" s="135"/>
      <c r="BE2651" s="135"/>
      <c r="BF2651" s="135"/>
      <c r="BG2651" s="135"/>
      <c r="BH2651" s="135"/>
      <c r="BI2651" s="2"/>
      <c r="BJ2651" s="136"/>
      <c r="BK2651" s="2"/>
      <c r="BL2651" s="136"/>
      <c r="BM2651" s="136"/>
      <c r="BN2651" s="2"/>
      <c r="BO2651" s="2"/>
      <c r="BP2651" s="136"/>
      <c r="BQ2651" s="137"/>
    </row>
    <row r="2652" spans="1:69" ht="12.75" customHeight="1" x14ac:dyDescent="0.2">
      <c r="A2652" s="2">
        <v>4141</v>
      </c>
      <c r="B2652" s="2"/>
      <c r="C2652" s="2"/>
      <c r="D2652" s="2"/>
      <c r="E2652" s="2"/>
      <c r="F2652" s="132">
        <v>0</v>
      </c>
      <c r="G2652" s="132"/>
      <c r="H2652" s="132">
        <f t="shared" si="297"/>
        <v>0</v>
      </c>
      <c r="I2652" s="132"/>
      <c r="J2652" s="132">
        <f t="shared" si="295"/>
        <v>0</v>
      </c>
      <c r="K2652" s="132">
        <f t="shared" si="298"/>
        <v>0</v>
      </c>
      <c r="L2652" s="132">
        <f t="shared" si="299"/>
        <v>0</v>
      </c>
      <c r="M2652" s="133"/>
      <c r="N2652" s="133">
        <f t="shared" si="296"/>
        <v>0</v>
      </c>
      <c r="O2652" s="134"/>
      <c r="P2652" s="133"/>
      <c r="Q2652" s="2"/>
      <c r="R2652" s="156">
        <f t="shared" si="300"/>
        <v>0</v>
      </c>
      <c r="S2652" s="156">
        <f t="shared" si="301"/>
        <v>0</v>
      </c>
      <c r="T2652" s="133"/>
      <c r="U2652" s="133"/>
      <c r="V2652" s="133"/>
      <c r="W2652" s="133"/>
      <c r="X2652" s="133"/>
      <c r="Y2652" s="133"/>
      <c r="Z2652" s="133"/>
      <c r="AA2652" s="133"/>
      <c r="AB2652" s="133"/>
      <c r="AC2652" s="133"/>
      <c r="AD2652" s="133"/>
      <c r="AE2652" s="133"/>
      <c r="AF2652" s="133"/>
      <c r="AG2652" s="133"/>
      <c r="AH2652" s="133"/>
      <c r="AI2652" s="133"/>
      <c r="AJ2652" s="133"/>
      <c r="AK2652" s="133"/>
      <c r="AL2652" s="133"/>
      <c r="AM2652" s="133"/>
      <c r="AN2652" s="133"/>
      <c r="AO2652" s="133"/>
      <c r="AP2652" s="133"/>
      <c r="AQ2652" s="133"/>
      <c r="AR2652" s="133"/>
      <c r="AS2652" s="153">
        <v>0</v>
      </c>
      <c r="AT2652" s="153">
        <v>0</v>
      </c>
      <c r="AU2652" s="153">
        <v>0</v>
      </c>
      <c r="AV2652" s="135"/>
      <c r="AW2652" s="135"/>
      <c r="AX2652" s="135"/>
      <c r="AY2652" s="135"/>
      <c r="AZ2652" s="135"/>
      <c r="BA2652" s="135"/>
      <c r="BB2652" s="135"/>
      <c r="BC2652" s="135"/>
      <c r="BD2652" s="135"/>
      <c r="BE2652" s="135"/>
      <c r="BF2652" s="135"/>
      <c r="BG2652" s="135"/>
      <c r="BH2652" s="135"/>
      <c r="BI2652" s="2"/>
      <c r="BJ2652" s="136"/>
      <c r="BK2652" s="2"/>
      <c r="BL2652" s="136"/>
      <c r="BM2652" s="136"/>
      <c r="BN2652" s="2"/>
      <c r="BO2652" s="2"/>
      <c r="BP2652" s="136"/>
      <c r="BQ2652" s="137"/>
    </row>
    <row r="2653" spans="1:69" ht="12.75" customHeight="1" x14ac:dyDescent="0.2">
      <c r="A2653" s="2">
        <v>4142</v>
      </c>
      <c r="B2653" s="2"/>
      <c r="C2653" s="2"/>
      <c r="D2653" s="2"/>
      <c r="E2653" s="2"/>
      <c r="F2653" s="132">
        <v>0</v>
      </c>
      <c r="G2653" s="132"/>
      <c r="H2653" s="132">
        <f t="shared" si="297"/>
        <v>0</v>
      </c>
      <c r="I2653" s="132"/>
      <c r="J2653" s="132">
        <f t="shared" si="295"/>
        <v>0</v>
      </c>
      <c r="K2653" s="132">
        <f t="shared" si="298"/>
        <v>0</v>
      </c>
      <c r="L2653" s="132">
        <f t="shared" si="299"/>
        <v>0</v>
      </c>
      <c r="M2653" s="133"/>
      <c r="N2653" s="133">
        <f t="shared" si="296"/>
        <v>0</v>
      </c>
      <c r="O2653" s="134"/>
      <c r="P2653" s="133"/>
      <c r="Q2653" s="2"/>
      <c r="R2653" s="156">
        <f t="shared" si="300"/>
        <v>0</v>
      </c>
      <c r="S2653" s="156">
        <f t="shared" si="301"/>
        <v>0</v>
      </c>
      <c r="T2653" s="133"/>
      <c r="U2653" s="133"/>
      <c r="V2653" s="133"/>
      <c r="W2653" s="133"/>
      <c r="X2653" s="133"/>
      <c r="Y2653" s="133"/>
      <c r="Z2653" s="133"/>
      <c r="AA2653" s="133"/>
      <c r="AB2653" s="133"/>
      <c r="AC2653" s="133"/>
      <c r="AD2653" s="133"/>
      <c r="AE2653" s="133"/>
      <c r="AF2653" s="133"/>
      <c r="AG2653" s="133"/>
      <c r="AH2653" s="133"/>
      <c r="AI2653" s="133"/>
      <c r="AJ2653" s="133"/>
      <c r="AK2653" s="133"/>
      <c r="AL2653" s="133"/>
      <c r="AM2653" s="133"/>
      <c r="AN2653" s="133"/>
      <c r="AO2653" s="133"/>
      <c r="AP2653" s="133"/>
      <c r="AQ2653" s="133"/>
      <c r="AR2653" s="133"/>
      <c r="AS2653" s="153">
        <v>0</v>
      </c>
      <c r="AT2653" s="153">
        <v>0</v>
      </c>
      <c r="AU2653" s="153">
        <v>0</v>
      </c>
      <c r="AV2653" s="135"/>
      <c r="AW2653" s="135"/>
      <c r="AX2653" s="135"/>
      <c r="AY2653" s="135"/>
      <c r="AZ2653" s="135"/>
      <c r="BA2653" s="135"/>
      <c r="BB2653" s="135"/>
      <c r="BC2653" s="135"/>
      <c r="BD2653" s="135"/>
      <c r="BE2653" s="135"/>
      <c r="BF2653" s="135"/>
      <c r="BG2653" s="135"/>
      <c r="BH2653" s="135"/>
      <c r="BI2653" s="2"/>
      <c r="BJ2653" s="136"/>
      <c r="BK2653" s="2"/>
      <c r="BL2653" s="136"/>
      <c r="BM2653" s="136"/>
      <c r="BN2653" s="2"/>
      <c r="BO2653" s="2"/>
      <c r="BP2653" s="136"/>
      <c r="BQ2653" s="137"/>
    </row>
    <row r="2654" spans="1:69" ht="12.75" customHeight="1" x14ac:dyDescent="0.2">
      <c r="A2654" s="2">
        <v>4143</v>
      </c>
      <c r="B2654" s="2"/>
      <c r="C2654" s="2"/>
      <c r="D2654" s="2"/>
      <c r="E2654" s="2"/>
      <c r="F2654" s="132">
        <v>0</v>
      </c>
      <c r="G2654" s="132"/>
      <c r="H2654" s="132">
        <f t="shared" si="297"/>
        <v>0</v>
      </c>
      <c r="I2654" s="132"/>
      <c r="J2654" s="132">
        <f t="shared" si="295"/>
        <v>0</v>
      </c>
      <c r="K2654" s="132">
        <f t="shared" si="298"/>
        <v>0</v>
      </c>
      <c r="L2654" s="132">
        <f t="shared" si="299"/>
        <v>0</v>
      </c>
      <c r="M2654" s="133"/>
      <c r="N2654" s="133">
        <f t="shared" si="296"/>
        <v>0</v>
      </c>
      <c r="O2654" s="134"/>
      <c r="P2654" s="133"/>
      <c r="Q2654" s="2"/>
      <c r="R2654" s="156">
        <f t="shared" si="300"/>
        <v>0</v>
      </c>
      <c r="S2654" s="156">
        <f t="shared" si="301"/>
        <v>0</v>
      </c>
      <c r="T2654" s="133"/>
      <c r="U2654" s="133"/>
      <c r="V2654" s="133"/>
      <c r="W2654" s="133"/>
      <c r="X2654" s="133"/>
      <c r="Y2654" s="133"/>
      <c r="Z2654" s="133"/>
      <c r="AA2654" s="133"/>
      <c r="AB2654" s="133"/>
      <c r="AC2654" s="133"/>
      <c r="AD2654" s="133"/>
      <c r="AE2654" s="133"/>
      <c r="AF2654" s="133"/>
      <c r="AG2654" s="133"/>
      <c r="AH2654" s="133"/>
      <c r="AI2654" s="133"/>
      <c r="AJ2654" s="133"/>
      <c r="AK2654" s="133"/>
      <c r="AL2654" s="133"/>
      <c r="AM2654" s="133"/>
      <c r="AN2654" s="133"/>
      <c r="AO2654" s="133"/>
      <c r="AP2654" s="133"/>
      <c r="AQ2654" s="133"/>
      <c r="AR2654" s="133"/>
      <c r="AS2654" s="153">
        <v>0</v>
      </c>
      <c r="AT2654" s="153">
        <v>0</v>
      </c>
      <c r="AU2654" s="153">
        <v>0</v>
      </c>
      <c r="AV2654" s="135"/>
      <c r="AW2654" s="135"/>
      <c r="AX2654" s="135"/>
      <c r="AY2654" s="135"/>
      <c r="AZ2654" s="135"/>
      <c r="BA2654" s="135"/>
      <c r="BB2654" s="135"/>
      <c r="BC2654" s="135"/>
      <c r="BD2654" s="135"/>
      <c r="BE2654" s="135"/>
      <c r="BF2654" s="135"/>
      <c r="BG2654" s="135"/>
      <c r="BH2654" s="135"/>
      <c r="BI2654" s="2"/>
      <c r="BJ2654" s="136"/>
      <c r="BK2654" s="2"/>
      <c r="BL2654" s="136"/>
      <c r="BM2654" s="136"/>
      <c r="BN2654" s="2"/>
      <c r="BO2654" s="2"/>
      <c r="BP2654" s="136"/>
      <c r="BQ2654" s="137"/>
    </row>
    <row r="2655" spans="1:69" ht="12.75" customHeight="1" x14ac:dyDescent="0.2">
      <c r="A2655" s="2">
        <v>4144</v>
      </c>
      <c r="B2655" s="2"/>
      <c r="C2655" s="2"/>
      <c r="D2655" s="2"/>
      <c r="E2655" s="2"/>
      <c r="F2655" s="132">
        <v>0</v>
      </c>
      <c r="G2655" s="132"/>
      <c r="H2655" s="132">
        <f t="shared" si="297"/>
        <v>0</v>
      </c>
      <c r="I2655" s="132"/>
      <c r="J2655" s="132">
        <f t="shared" si="295"/>
        <v>0</v>
      </c>
      <c r="K2655" s="132">
        <f t="shared" si="298"/>
        <v>0</v>
      </c>
      <c r="L2655" s="132">
        <f t="shared" si="299"/>
        <v>0</v>
      </c>
      <c r="M2655" s="133"/>
      <c r="N2655" s="133">
        <f t="shared" si="296"/>
        <v>0</v>
      </c>
      <c r="O2655" s="134"/>
      <c r="P2655" s="133"/>
      <c r="Q2655" s="2"/>
      <c r="R2655" s="156">
        <f t="shared" si="300"/>
        <v>0</v>
      </c>
      <c r="S2655" s="156">
        <f t="shared" si="301"/>
        <v>0</v>
      </c>
      <c r="T2655" s="133"/>
      <c r="U2655" s="133"/>
      <c r="V2655" s="133"/>
      <c r="W2655" s="133"/>
      <c r="X2655" s="133"/>
      <c r="Y2655" s="133"/>
      <c r="Z2655" s="133"/>
      <c r="AA2655" s="133"/>
      <c r="AB2655" s="133"/>
      <c r="AC2655" s="133"/>
      <c r="AD2655" s="133"/>
      <c r="AE2655" s="133"/>
      <c r="AF2655" s="133"/>
      <c r="AG2655" s="133"/>
      <c r="AH2655" s="133"/>
      <c r="AI2655" s="133"/>
      <c r="AJ2655" s="133"/>
      <c r="AK2655" s="133"/>
      <c r="AL2655" s="133"/>
      <c r="AM2655" s="133"/>
      <c r="AN2655" s="133"/>
      <c r="AO2655" s="133"/>
      <c r="AP2655" s="133"/>
      <c r="AQ2655" s="133"/>
      <c r="AR2655" s="133"/>
      <c r="AS2655" s="153">
        <v>0</v>
      </c>
      <c r="AT2655" s="153">
        <v>0</v>
      </c>
      <c r="AU2655" s="153">
        <v>0</v>
      </c>
      <c r="AV2655" s="135"/>
      <c r="AW2655" s="135"/>
      <c r="AX2655" s="135"/>
      <c r="AY2655" s="135"/>
      <c r="AZ2655" s="135"/>
      <c r="BA2655" s="135"/>
      <c r="BB2655" s="135"/>
      <c r="BC2655" s="135"/>
      <c r="BD2655" s="135"/>
      <c r="BE2655" s="135"/>
      <c r="BF2655" s="135"/>
      <c r="BG2655" s="135"/>
      <c r="BH2655" s="135"/>
      <c r="BI2655" s="2"/>
      <c r="BJ2655" s="136"/>
      <c r="BK2655" s="2"/>
      <c r="BL2655" s="136"/>
      <c r="BM2655" s="136"/>
      <c r="BN2655" s="2"/>
      <c r="BO2655" s="2"/>
      <c r="BP2655" s="136"/>
      <c r="BQ2655" s="137"/>
    </row>
    <row r="2656" spans="1:69" ht="12.75" customHeight="1" x14ac:dyDescent="0.2">
      <c r="A2656" s="2">
        <v>4145</v>
      </c>
      <c r="B2656" s="2"/>
      <c r="C2656" s="2"/>
      <c r="D2656" s="2"/>
      <c r="E2656" s="2"/>
      <c r="F2656" s="132">
        <v>0</v>
      </c>
      <c r="G2656" s="132"/>
      <c r="H2656" s="132">
        <f t="shared" si="297"/>
        <v>0</v>
      </c>
      <c r="I2656" s="132"/>
      <c r="J2656" s="132">
        <f t="shared" si="295"/>
        <v>0</v>
      </c>
      <c r="K2656" s="132">
        <f t="shared" si="298"/>
        <v>0</v>
      </c>
      <c r="L2656" s="132">
        <f t="shared" si="299"/>
        <v>0</v>
      </c>
      <c r="M2656" s="133"/>
      <c r="N2656" s="133">
        <f t="shared" si="296"/>
        <v>0</v>
      </c>
      <c r="O2656" s="134"/>
      <c r="P2656" s="133"/>
      <c r="Q2656" s="2"/>
      <c r="R2656" s="156">
        <f t="shared" si="300"/>
        <v>0</v>
      </c>
      <c r="S2656" s="156">
        <f t="shared" si="301"/>
        <v>0</v>
      </c>
      <c r="T2656" s="133"/>
      <c r="U2656" s="133"/>
      <c r="V2656" s="133"/>
      <c r="W2656" s="133"/>
      <c r="X2656" s="133"/>
      <c r="Y2656" s="133"/>
      <c r="Z2656" s="133"/>
      <c r="AA2656" s="133"/>
      <c r="AB2656" s="133"/>
      <c r="AC2656" s="133"/>
      <c r="AD2656" s="133"/>
      <c r="AE2656" s="133"/>
      <c r="AF2656" s="133"/>
      <c r="AG2656" s="133"/>
      <c r="AH2656" s="133"/>
      <c r="AI2656" s="133"/>
      <c r="AJ2656" s="133"/>
      <c r="AK2656" s="133"/>
      <c r="AL2656" s="133"/>
      <c r="AM2656" s="133"/>
      <c r="AN2656" s="133"/>
      <c r="AO2656" s="133"/>
      <c r="AP2656" s="133"/>
      <c r="AQ2656" s="133"/>
      <c r="AR2656" s="133"/>
      <c r="AS2656" s="153">
        <v>0</v>
      </c>
      <c r="AT2656" s="153">
        <v>0</v>
      </c>
      <c r="AU2656" s="153">
        <v>0</v>
      </c>
      <c r="AV2656" s="135"/>
      <c r="AW2656" s="135"/>
      <c r="AX2656" s="135"/>
      <c r="AY2656" s="135"/>
      <c r="AZ2656" s="135"/>
      <c r="BA2656" s="135"/>
      <c r="BB2656" s="135"/>
      <c r="BC2656" s="135"/>
      <c r="BD2656" s="135"/>
      <c r="BE2656" s="135"/>
      <c r="BF2656" s="135"/>
      <c r="BG2656" s="135"/>
      <c r="BH2656" s="135"/>
      <c r="BI2656" s="2"/>
      <c r="BJ2656" s="136"/>
      <c r="BK2656" s="2"/>
      <c r="BL2656" s="136"/>
      <c r="BM2656" s="136"/>
      <c r="BN2656" s="2"/>
      <c r="BO2656" s="2"/>
      <c r="BP2656" s="136"/>
      <c r="BQ2656" s="137"/>
    </row>
    <row r="2657" spans="1:69" ht="12.75" customHeight="1" x14ac:dyDescent="0.2">
      <c r="A2657" s="2">
        <v>4146</v>
      </c>
      <c r="B2657" s="2"/>
      <c r="C2657" s="2"/>
      <c r="D2657" s="2"/>
      <c r="E2657" s="2"/>
      <c r="F2657" s="132">
        <v>0</v>
      </c>
      <c r="G2657" s="132"/>
      <c r="H2657" s="132">
        <f t="shared" si="297"/>
        <v>0</v>
      </c>
      <c r="I2657" s="132"/>
      <c r="J2657" s="132">
        <f t="shared" si="295"/>
        <v>0</v>
      </c>
      <c r="K2657" s="132">
        <f t="shared" si="298"/>
        <v>0</v>
      </c>
      <c r="L2657" s="132">
        <f t="shared" si="299"/>
        <v>0</v>
      </c>
      <c r="M2657" s="133"/>
      <c r="N2657" s="133">
        <f t="shared" si="296"/>
        <v>0</v>
      </c>
      <c r="O2657" s="134"/>
      <c r="P2657" s="133"/>
      <c r="Q2657" s="2"/>
      <c r="R2657" s="156">
        <f t="shared" si="300"/>
        <v>0</v>
      </c>
      <c r="S2657" s="156">
        <f t="shared" si="301"/>
        <v>0</v>
      </c>
      <c r="T2657" s="133"/>
      <c r="U2657" s="133"/>
      <c r="V2657" s="133"/>
      <c r="W2657" s="133"/>
      <c r="X2657" s="133"/>
      <c r="Y2657" s="133"/>
      <c r="Z2657" s="133"/>
      <c r="AA2657" s="133"/>
      <c r="AB2657" s="133"/>
      <c r="AC2657" s="133"/>
      <c r="AD2657" s="133"/>
      <c r="AE2657" s="133"/>
      <c r="AF2657" s="133"/>
      <c r="AG2657" s="133"/>
      <c r="AH2657" s="133"/>
      <c r="AI2657" s="133"/>
      <c r="AJ2657" s="133"/>
      <c r="AK2657" s="133"/>
      <c r="AL2657" s="133"/>
      <c r="AM2657" s="133"/>
      <c r="AN2657" s="133"/>
      <c r="AO2657" s="133"/>
      <c r="AP2657" s="133"/>
      <c r="AQ2657" s="133"/>
      <c r="AR2657" s="133"/>
      <c r="AS2657" s="153">
        <v>0</v>
      </c>
      <c r="AT2657" s="153">
        <v>0</v>
      </c>
      <c r="AU2657" s="153">
        <v>0</v>
      </c>
      <c r="AV2657" s="135"/>
      <c r="AW2657" s="135"/>
      <c r="AX2657" s="135"/>
      <c r="AY2657" s="135"/>
      <c r="AZ2657" s="135"/>
      <c r="BA2657" s="135"/>
      <c r="BB2657" s="135"/>
      <c r="BC2657" s="135"/>
      <c r="BD2657" s="135"/>
      <c r="BE2657" s="135"/>
      <c r="BF2657" s="135"/>
      <c r="BG2657" s="135"/>
      <c r="BH2657" s="135"/>
      <c r="BI2657" s="2"/>
      <c r="BJ2657" s="136"/>
      <c r="BK2657" s="2"/>
      <c r="BL2657" s="136"/>
      <c r="BM2657" s="136"/>
      <c r="BN2657" s="2"/>
      <c r="BO2657" s="2"/>
      <c r="BP2657" s="136"/>
      <c r="BQ2657" s="137"/>
    </row>
    <row r="2658" spans="1:69" ht="12.75" customHeight="1" x14ac:dyDescent="0.2">
      <c r="A2658" s="2">
        <v>4147</v>
      </c>
      <c r="B2658" s="2"/>
      <c r="C2658" s="2"/>
      <c r="D2658" s="2"/>
      <c r="E2658" s="2"/>
      <c r="F2658" s="132">
        <v>0</v>
      </c>
      <c r="G2658" s="132"/>
      <c r="H2658" s="132">
        <f t="shared" si="297"/>
        <v>0</v>
      </c>
      <c r="I2658" s="132"/>
      <c r="J2658" s="132">
        <f t="shared" si="295"/>
        <v>0</v>
      </c>
      <c r="K2658" s="132">
        <f t="shared" si="298"/>
        <v>0</v>
      </c>
      <c r="L2658" s="132">
        <f t="shared" si="299"/>
        <v>0</v>
      </c>
      <c r="M2658" s="133"/>
      <c r="N2658" s="133">
        <f t="shared" si="296"/>
        <v>0</v>
      </c>
      <c r="O2658" s="134"/>
      <c r="P2658" s="133"/>
      <c r="Q2658" s="2"/>
      <c r="R2658" s="156">
        <f t="shared" si="300"/>
        <v>0</v>
      </c>
      <c r="S2658" s="156">
        <f t="shared" si="301"/>
        <v>0</v>
      </c>
      <c r="T2658" s="133"/>
      <c r="U2658" s="133"/>
      <c r="V2658" s="133"/>
      <c r="W2658" s="133"/>
      <c r="X2658" s="133"/>
      <c r="Y2658" s="133"/>
      <c r="Z2658" s="133"/>
      <c r="AA2658" s="133"/>
      <c r="AB2658" s="133"/>
      <c r="AC2658" s="133"/>
      <c r="AD2658" s="133"/>
      <c r="AE2658" s="133"/>
      <c r="AF2658" s="133"/>
      <c r="AG2658" s="133"/>
      <c r="AH2658" s="133"/>
      <c r="AI2658" s="133"/>
      <c r="AJ2658" s="133"/>
      <c r="AK2658" s="133"/>
      <c r="AL2658" s="133"/>
      <c r="AM2658" s="133"/>
      <c r="AN2658" s="133"/>
      <c r="AO2658" s="133"/>
      <c r="AP2658" s="133"/>
      <c r="AQ2658" s="133"/>
      <c r="AR2658" s="133"/>
      <c r="AS2658" s="153">
        <v>0</v>
      </c>
      <c r="AT2658" s="153">
        <v>0</v>
      </c>
      <c r="AU2658" s="153">
        <v>0</v>
      </c>
      <c r="AV2658" s="135"/>
      <c r="AW2658" s="135"/>
      <c r="AX2658" s="135"/>
      <c r="AY2658" s="135"/>
      <c r="AZ2658" s="135"/>
      <c r="BA2658" s="135"/>
      <c r="BB2658" s="135"/>
      <c r="BC2658" s="135"/>
      <c r="BD2658" s="135"/>
      <c r="BE2658" s="135"/>
      <c r="BF2658" s="135"/>
      <c r="BG2658" s="135"/>
      <c r="BH2658" s="135"/>
      <c r="BI2658" s="2"/>
      <c r="BJ2658" s="136"/>
      <c r="BK2658" s="2"/>
      <c r="BL2658" s="136"/>
      <c r="BM2658" s="136"/>
      <c r="BN2658" s="2"/>
      <c r="BO2658" s="2"/>
      <c r="BP2658" s="136"/>
      <c r="BQ2658" s="137"/>
    </row>
    <row r="2659" spans="1:69" ht="12.75" customHeight="1" x14ac:dyDescent="0.2">
      <c r="A2659" s="2">
        <v>4148</v>
      </c>
      <c r="B2659" s="2"/>
      <c r="C2659" s="2"/>
      <c r="D2659" s="2"/>
      <c r="E2659" s="2"/>
      <c r="F2659" s="132">
        <v>0</v>
      </c>
      <c r="G2659" s="132"/>
      <c r="H2659" s="132">
        <f t="shared" si="297"/>
        <v>0</v>
      </c>
      <c r="I2659" s="132"/>
      <c r="J2659" s="132">
        <f t="shared" si="295"/>
        <v>0</v>
      </c>
      <c r="K2659" s="132">
        <f t="shared" si="298"/>
        <v>0</v>
      </c>
      <c r="L2659" s="132">
        <f t="shared" si="299"/>
        <v>0</v>
      </c>
      <c r="M2659" s="133"/>
      <c r="N2659" s="133">
        <f t="shared" si="296"/>
        <v>0</v>
      </c>
      <c r="O2659" s="134"/>
      <c r="P2659" s="133"/>
      <c r="Q2659" s="2"/>
      <c r="R2659" s="156">
        <f t="shared" si="300"/>
        <v>0</v>
      </c>
      <c r="S2659" s="156">
        <f t="shared" si="301"/>
        <v>0</v>
      </c>
      <c r="T2659" s="133"/>
      <c r="U2659" s="133"/>
      <c r="V2659" s="133"/>
      <c r="W2659" s="133"/>
      <c r="X2659" s="133"/>
      <c r="Y2659" s="133"/>
      <c r="Z2659" s="133"/>
      <c r="AA2659" s="133"/>
      <c r="AB2659" s="133"/>
      <c r="AC2659" s="133"/>
      <c r="AD2659" s="133"/>
      <c r="AE2659" s="133"/>
      <c r="AF2659" s="133"/>
      <c r="AG2659" s="133"/>
      <c r="AH2659" s="133"/>
      <c r="AI2659" s="133"/>
      <c r="AJ2659" s="133"/>
      <c r="AK2659" s="133"/>
      <c r="AL2659" s="133"/>
      <c r="AM2659" s="133"/>
      <c r="AN2659" s="133"/>
      <c r="AO2659" s="133"/>
      <c r="AP2659" s="133"/>
      <c r="AQ2659" s="133"/>
      <c r="AR2659" s="133"/>
      <c r="AS2659" s="153">
        <v>0</v>
      </c>
      <c r="AT2659" s="153">
        <v>0</v>
      </c>
      <c r="AU2659" s="153">
        <v>0</v>
      </c>
      <c r="AV2659" s="135"/>
      <c r="AW2659" s="135"/>
      <c r="AX2659" s="135"/>
      <c r="AY2659" s="135"/>
      <c r="AZ2659" s="135"/>
      <c r="BA2659" s="135"/>
      <c r="BB2659" s="135"/>
      <c r="BC2659" s="135"/>
      <c r="BD2659" s="135"/>
      <c r="BE2659" s="135"/>
      <c r="BF2659" s="135"/>
      <c r="BG2659" s="135"/>
      <c r="BH2659" s="135"/>
      <c r="BI2659" s="2"/>
      <c r="BJ2659" s="136"/>
      <c r="BK2659" s="2"/>
      <c r="BL2659" s="136"/>
      <c r="BM2659" s="136"/>
      <c r="BN2659" s="2"/>
      <c r="BO2659" s="2"/>
      <c r="BP2659" s="136"/>
      <c r="BQ2659" s="137"/>
    </row>
    <row r="2660" spans="1:69" ht="12.75" customHeight="1" x14ac:dyDescent="0.2">
      <c r="A2660" s="2">
        <v>4149</v>
      </c>
      <c r="B2660" s="2"/>
      <c r="C2660" s="2"/>
      <c r="D2660" s="2"/>
      <c r="E2660" s="2"/>
      <c r="F2660" s="132">
        <v>0</v>
      </c>
      <c r="G2660" s="132"/>
      <c r="H2660" s="132">
        <f t="shared" si="297"/>
        <v>0</v>
      </c>
      <c r="I2660" s="132"/>
      <c r="J2660" s="132">
        <f t="shared" ref="J2660:J2723" si="302">S2660</f>
        <v>0</v>
      </c>
      <c r="K2660" s="132">
        <f t="shared" si="298"/>
        <v>0</v>
      </c>
      <c r="L2660" s="132">
        <f t="shared" si="299"/>
        <v>0</v>
      </c>
      <c r="M2660" s="133"/>
      <c r="N2660" s="133">
        <f t="shared" si="296"/>
        <v>0</v>
      </c>
      <c r="O2660" s="134"/>
      <c r="P2660" s="133"/>
      <c r="Q2660" s="2"/>
      <c r="R2660" s="156">
        <f t="shared" si="300"/>
        <v>0</v>
      </c>
      <c r="S2660" s="156">
        <f t="shared" si="301"/>
        <v>0</v>
      </c>
      <c r="T2660" s="133"/>
      <c r="U2660" s="133"/>
      <c r="V2660" s="133"/>
      <c r="W2660" s="133"/>
      <c r="X2660" s="133"/>
      <c r="Y2660" s="133"/>
      <c r="Z2660" s="133"/>
      <c r="AA2660" s="133"/>
      <c r="AB2660" s="133"/>
      <c r="AC2660" s="133"/>
      <c r="AD2660" s="133"/>
      <c r="AE2660" s="133"/>
      <c r="AF2660" s="133"/>
      <c r="AG2660" s="133"/>
      <c r="AH2660" s="133"/>
      <c r="AI2660" s="133"/>
      <c r="AJ2660" s="133"/>
      <c r="AK2660" s="133"/>
      <c r="AL2660" s="133"/>
      <c r="AM2660" s="133"/>
      <c r="AN2660" s="133"/>
      <c r="AO2660" s="133"/>
      <c r="AP2660" s="133"/>
      <c r="AQ2660" s="133"/>
      <c r="AR2660" s="133"/>
      <c r="AS2660" s="153">
        <v>0</v>
      </c>
      <c r="AT2660" s="153">
        <v>0</v>
      </c>
      <c r="AU2660" s="153">
        <v>0</v>
      </c>
      <c r="AV2660" s="135"/>
      <c r="AW2660" s="135"/>
      <c r="AX2660" s="135"/>
      <c r="AY2660" s="135"/>
      <c r="AZ2660" s="135"/>
      <c r="BA2660" s="135"/>
      <c r="BB2660" s="135"/>
      <c r="BC2660" s="135"/>
      <c r="BD2660" s="135"/>
      <c r="BE2660" s="135"/>
      <c r="BF2660" s="135"/>
      <c r="BG2660" s="135"/>
      <c r="BH2660" s="135"/>
      <c r="BI2660" s="2"/>
      <c r="BJ2660" s="136"/>
      <c r="BK2660" s="2"/>
      <c r="BL2660" s="136"/>
      <c r="BM2660" s="136"/>
      <c r="BN2660" s="2"/>
      <c r="BO2660" s="2"/>
      <c r="BP2660" s="136"/>
      <c r="BQ2660" s="137"/>
    </row>
    <row r="2661" spans="1:69" ht="12.75" customHeight="1" x14ac:dyDescent="0.2">
      <c r="A2661" s="2">
        <v>4150</v>
      </c>
      <c r="B2661" s="2"/>
      <c r="C2661" s="2"/>
      <c r="D2661" s="2"/>
      <c r="E2661" s="2"/>
      <c r="F2661" s="132">
        <v>0</v>
      </c>
      <c r="G2661" s="132"/>
      <c r="H2661" s="132">
        <f t="shared" si="297"/>
        <v>0</v>
      </c>
      <c r="I2661" s="132"/>
      <c r="J2661" s="132">
        <f t="shared" si="302"/>
        <v>0</v>
      </c>
      <c r="K2661" s="132">
        <f t="shared" si="298"/>
        <v>0</v>
      </c>
      <c r="L2661" s="132">
        <f t="shared" si="299"/>
        <v>0</v>
      </c>
      <c r="M2661" s="133"/>
      <c r="N2661" s="133">
        <f t="shared" si="296"/>
        <v>0</v>
      </c>
      <c r="O2661" s="134"/>
      <c r="P2661" s="133"/>
      <c r="Q2661" s="2"/>
      <c r="R2661" s="156">
        <f t="shared" si="300"/>
        <v>0</v>
      </c>
      <c r="S2661" s="156">
        <f t="shared" si="301"/>
        <v>0</v>
      </c>
      <c r="T2661" s="133"/>
      <c r="U2661" s="133"/>
      <c r="V2661" s="133"/>
      <c r="W2661" s="133"/>
      <c r="X2661" s="133"/>
      <c r="Y2661" s="133"/>
      <c r="Z2661" s="133"/>
      <c r="AA2661" s="133"/>
      <c r="AB2661" s="133"/>
      <c r="AC2661" s="133"/>
      <c r="AD2661" s="133"/>
      <c r="AE2661" s="133"/>
      <c r="AF2661" s="133"/>
      <c r="AG2661" s="133"/>
      <c r="AH2661" s="133"/>
      <c r="AI2661" s="133"/>
      <c r="AJ2661" s="133"/>
      <c r="AK2661" s="133"/>
      <c r="AL2661" s="133"/>
      <c r="AM2661" s="133"/>
      <c r="AN2661" s="133"/>
      <c r="AO2661" s="133"/>
      <c r="AP2661" s="133"/>
      <c r="AQ2661" s="133"/>
      <c r="AR2661" s="133"/>
      <c r="AS2661" s="153">
        <v>0</v>
      </c>
      <c r="AT2661" s="153">
        <v>0</v>
      </c>
      <c r="AU2661" s="153">
        <v>0</v>
      </c>
      <c r="AV2661" s="135"/>
      <c r="AW2661" s="135"/>
      <c r="AX2661" s="135"/>
      <c r="AY2661" s="135"/>
      <c r="AZ2661" s="135"/>
      <c r="BA2661" s="135"/>
      <c r="BB2661" s="135"/>
      <c r="BC2661" s="135"/>
      <c r="BD2661" s="135"/>
      <c r="BE2661" s="135"/>
      <c r="BF2661" s="135"/>
      <c r="BG2661" s="135"/>
      <c r="BH2661" s="135"/>
      <c r="BI2661" s="2"/>
      <c r="BJ2661" s="136"/>
      <c r="BK2661" s="2"/>
      <c r="BL2661" s="136"/>
      <c r="BM2661" s="136"/>
      <c r="BN2661" s="2"/>
      <c r="BO2661" s="2"/>
      <c r="BP2661" s="136"/>
      <c r="BQ2661" s="137"/>
    </row>
    <row r="2662" spans="1:69" ht="12.75" customHeight="1" x14ac:dyDescent="0.2">
      <c r="A2662" s="2">
        <v>4151</v>
      </c>
      <c r="B2662" s="2"/>
      <c r="C2662" s="2"/>
      <c r="D2662" s="2"/>
      <c r="E2662" s="2"/>
      <c r="F2662" s="132">
        <v>0</v>
      </c>
      <c r="G2662" s="132"/>
      <c r="H2662" s="132">
        <f t="shared" si="297"/>
        <v>0</v>
      </c>
      <c r="I2662" s="132"/>
      <c r="J2662" s="132">
        <f t="shared" si="302"/>
        <v>0</v>
      </c>
      <c r="K2662" s="132">
        <f t="shared" si="298"/>
        <v>0</v>
      </c>
      <c r="L2662" s="132">
        <f t="shared" si="299"/>
        <v>0</v>
      </c>
      <c r="M2662" s="133"/>
      <c r="N2662" s="133">
        <f t="shared" si="296"/>
        <v>0</v>
      </c>
      <c r="O2662" s="134"/>
      <c r="P2662" s="133"/>
      <c r="Q2662" s="2"/>
      <c r="R2662" s="156">
        <f t="shared" si="300"/>
        <v>0</v>
      </c>
      <c r="S2662" s="156">
        <f t="shared" si="301"/>
        <v>0</v>
      </c>
      <c r="T2662" s="133"/>
      <c r="U2662" s="133"/>
      <c r="V2662" s="133"/>
      <c r="W2662" s="133"/>
      <c r="X2662" s="133"/>
      <c r="Y2662" s="133"/>
      <c r="Z2662" s="133"/>
      <c r="AA2662" s="133"/>
      <c r="AB2662" s="133"/>
      <c r="AC2662" s="133"/>
      <c r="AD2662" s="133"/>
      <c r="AE2662" s="133"/>
      <c r="AF2662" s="133"/>
      <c r="AG2662" s="133"/>
      <c r="AH2662" s="133"/>
      <c r="AI2662" s="133"/>
      <c r="AJ2662" s="133"/>
      <c r="AK2662" s="133"/>
      <c r="AL2662" s="133"/>
      <c r="AM2662" s="133"/>
      <c r="AN2662" s="133"/>
      <c r="AO2662" s="133"/>
      <c r="AP2662" s="133"/>
      <c r="AQ2662" s="133"/>
      <c r="AR2662" s="133"/>
      <c r="AS2662" s="153">
        <v>0</v>
      </c>
      <c r="AT2662" s="153">
        <v>0</v>
      </c>
      <c r="AU2662" s="153">
        <v>0</v>
      </c>
      <c r="AV2662" s="135"/>
      <c r="AW2662" s="135"/>
      <c r="AX2662" s="135"/>
      <c r="AY2662" s="135"/>
      <c r="AZ2662" s="135"/>
      <c r="BA2662" s="135"/>
      <c r="BB2662" s="135"/>
      <c r="BC2662" s="135"/>
      <c r="BD2662" s="135"/>
      <c r="BE2662" s="135"/>
      <c r="BF2662" s="135"/>
      <c r="BG2662" s="135"/>
      <c r="BH2662" s="135"/>
      <c r="BI2662" s="2"/>
      <c r="BJ2662" s="136"/>
      <c r="BK2662" s="2"/>
      <c r="BL2662" s="136"/>
      <c r="BM2662" s="136"/>
      <c r="BN2662" s="2"/>
      <c r="BO2662" s="2"/>
      <c r="BP2662" s="136"/>
      <c r="BQ2662" s="137"/>
    </row>
    <row r="2663" spans="1:69" ht="12.75" customHeight="1" x14ac:dyDescent="0.2">
      <c r="A2663" s="2">
        <v>4152</v>
      </c>
      <c r="B2663" s="2"/>
      <c r="C2663" s="2"/>
      <c r="D2663" s="2"/>
      <c r="E2663" s="2"/>
      <c r="F2663" s="132">
        <v>0</v>
      </c>
      <c r="G2663" s="132"/>
      <c r="H2663" s="132">
        <f t="shared" si="297"/>
        <v>0</v>
      </c>
      <c r="I2663" s="132"/>
      <c r="J2663" s="132">
        <f t="shared" si="302"/>
        <v>0</v>
      </c>
      <c r="K2663" s="132">
        <f t="shared" si="298"/>
        <v>0</v>
      </c>
      <c r="L2663" s="132">
        <f t="shared" si="299"/>
        <v>0</v>
      </c>
      <c r="M2663" s="133"/>
      <c r="N2663" s="133">
        <f t="shared" si="296"/>
        <v>0</v>
      </c>
      <c r="O2663" s="134"/>
      <c r="P2663" s="133"/>
      <c r="Q2663" s="2"/>
      <c r="R2663" s="156">
        <f t="shared" si="300"/>
        <v>0</v>
      </c>
      <c r="S2663" s="156">
        <f t="shared" si="301"/>
        <v>0</v>
      </c>
      <c r="T2663" s="133"/>
      <c r="U2663" s="133"/>
      <c r="V2663" s="133"/>
      <c r="W2663" s="133"/>
      <c r="X2663" s="133"/>
      <c r="Y2663" s="133"/>
      <c r="Z2663" s="133"/>
      <c r="AA2663" s="133"/>
      <c r="AB2663" s="133"/>
      <c r="AC2663" s="133"/>
      <c r="AD2663" s="133"/>
      <c r="AE2663" s="133"/>
      <c r="AF2663" s="133"/>
      <c r="AG2663" s="133"/>
      <c r="AH2663" s="133"/>
      <c r="AI2663" s="133"/>
      <c r="AJ2663" s="133"/>
      <c r="AK2663" s="133"/>
      <c r="AL2663" s="133"/>
      <c r="AM2663" s="133"/>
      <c r="AN2663" s="133"/>
      <c r="AO2663" s="133"/>
      <c r="AP2663" s="133"/>
      <c r="AQ2663" s="133"/>
      <c r="AR2663" s="133"/>
      <c r="AS2663" s="153">
        <v>0</v>
      </c>
      <c r="AT2663" s="153">
        <v>0</v>
      </c>
      <c r="AU2663" s="153">
        <v>0</v>
      </c>
      <c r="AV2663" s="135"/>
      <c r="AW2663" s="135"/>
      <c r="AX2663" s="135"/>
      <c r="AY2663" s="135"/>
      <c r="AZ2663" s="135"/>
      <c r="BA2663" s="135"/>
      <c r="BB2663" s="135"/>
      <c r="BC2663" s="135"/>
      <c r="BD2663" s="135"/>
      <c r="BE2663" s="135"/>
      <c r="BF2663" s="135"/>
      <c r="BG2663" s="135"/>
      <c r="BH2663" s="135"/>
      <c r="BI2663" s="2"/>
      <c r="BJ2663" s="136"/>
      <c r="BK2663" s="2"/>
      <c r="BL2663" s="136"/>
      <c r="BM2663" s="136"/>
      <c r="BN2663" s="2"/>
      <c r="BO2663" s="2"/>
      <c r="BP2663" s="136"/>
      <c r="BQ2663" s="137"/>
    </row>
    <row r="2664" spans="1:69" ht="12.75" customHeight="1" x14ac:dyDescent="0.2">
      <c r="A2664" s="2">
        <v>4153</v>
      </c>
      <c r="B2664" s="2"/>
      <c r="C2664" s="2"/>
      <c r="D2664" s="2"/>
      <c r="E2664" s="2"/>
      <c r="F2664" s="132">
        <v>0</v>
      </c>
      <c r="G2664" s="132"/>
      <c r="H2664" s="132">
        <f t="shared" si="297"/>
        <v>0</v>
      </c>
      <c r="I2664" s="132"/>
      <c r="J2664" s="132">
        <f t="shared" si="302"/>
        <v>0</v>
      </c>
      <c r="K2664" s="132">
        <f t="shared" si="298"/>
        <v>0</v>
      </c>
      <c r="L2664" s="132">
        <f t="shared" si="299"/>
        <v>0</v>
      </c>
      <c r="M2664" s="133"/>
      <c r="N2664" s="133">
        <f t="shared" si="296"/>
        <v>0</v>
      </c>
      <c r="O2664" s="134"/>
      <c r="P2664" s="133"/>
      <c r="Q2664" s="2"/>
      <c r="R2664" s="156">
        <f t="shared" si="300"/>
        <v>0</v>
      </c>
      <c r="S2664" s="156">
        <f t="shared" si="301"/>
        <v>0</v>
      </c>
      <c r="T2664" s="133"/>
      <c r="U2664" s="133"/>
      <c r="V2664" s="133"/>
      <c r="W2664" s="133"/>
      <c r="X2664" s="133"/>
      <c r="Y2664" s="133"/>
      <c r="Z2664" s="133"/>
      <c r="AA2664" s="133"/>
      <c r="AB2664" s="133"/>
      <c r="AC2664" s="133"/>
      <c r="AD2664" s="133"/>
      <c r="AE2664" s="133"/>
      <c r="AF2664" s="133"/>
      <c r="AG2664" s="133"/>
      <c r="AH2664" s="133"/>
      <c r="AI2664" s="133"/>
      <c r="AJ2664" s="133"/>
      <c r="AK2664" s="133"/>
      <c r="AL2664" s="133"/>
      <c r="AM2664" s="133"/>
      <c r="AN2664" s="133"/>
      <c r="AO2664" s="133"/>
      <c r="AP2664" s="133"/>
      <c r="AQ2664" s="133"/>
      <c r="AR2664" s="133"/>
      <c r="AS2664" s="153">
        <v>0</v>
      </c>
      <c r="AT2664" s="153">
        <v>0</v>
      </c>
      <c r="AU2664" s="153">
        <v>0</v>
      </c>
      <c r="AV2664" s="135"/>
      <c r="AW2664" s="135"/>
      <c r="AX2664" s="135"/>
      <c r="AY2664" s="135"/>
      <c r="AZ2664" s="135"/>
      <c r="BA2664" s="135"/>
      <c r="BB2664" s="135"/>
      <c r="BC2664" s="135"/>
      <c r="BD2664" s="135"/>
      <c r="BE2664" s="135"/>
      <c r="BF2664" s="135"/>
      <c r="BG2664" s="135"/>
      <c r="BH2664" s="135"/>
      <c r="BI2664" s="2"/>
      <c r="BJ2664" s="136"/>
      <c r="BK2664" s="2"/>
      <c r="BL2664" s="136"/>
      <c r="BM2664" s="136"/>
      <c r="BN2664" s="2"/>
      <c r="BO2664" s="2"/>
      <c r="BP2664" s="136"/>
      <c r="BQ2664" s="137"/>
    </row>
    <row r="2665" spans="1:69" ht="12.75" customHeight="1" x14ac:dyDescent="0.2">
      <c r="A2665" s="2">
        <v>4154</v>
      </c>
      <c r="B2665" s="2"/>
      <c r="C2665" s="2"/>
      <c r="D2665" s="2"/>
      <c r="E2665" s="2"/>
      <c r="F2665" s="132">
        <v>0</v>
      </c>
      <c r="G2665" s="132"/>
      <c r="H2665" s="132">
        <f t="shared" si="297"/>
        <v>0</v>
      </c>
      <c r="I2665" s="132"/>
      <c r="J2665" s="132">
        <f t="shared" si="302"/>
        <v>0</v>
      </c>
      <c r="K2665" s="132">
        <f t="shared" si="298"/>
        <v>0</v>
      </c>
      <c r="L2665" s="132">
        <f t="shared" si="299"/>
        <v>0</v>
      </c>
      <c r="M2665" s="133"/>
      <c r="N2665" s="133">
        <f t="shared" si="296"/>
        <v>0</v>
      </c>
      <c r="O2665" s="134"/>
      <c r="P2665" s="133"/>
      <c r="Q2665" s="2"/>
      <c r="R2665" s="156">
        <f t="shared" si="300"/>
        <v>0</v>
      </c>
      <c r="S2665" s="156">
        <f t="shared" si="301"/>
        <v>0</v>
      </c>
      <c r="T2665" s="133"/>
      <c r="U2665" s="133"/>
      <c r="V2665" s="133"/>
      <c r="W2665" s="133"/>
      <c r="X2665" s="133"/>
      <c r="Y2665" s="133"/>
      <c r="Z2665" s="133"/>
      <c r="AA2665" s="133"/>
      <c r="AB2665" s="133"/>
      <c r="AC2665" s="133"/>
      <c r="AD2665" s="133"/>
      <c r="AE2665" s="133"/>
      <c r="AF2665" s="133"/>
      <c r="AG2665" s="133"/>
      <c r="AH2665" s="133"/>
      <c r="AI2665" s="133"/>
      <c r="AJ2665" s="133"/>
      <c r="AK2665" s="133"/>
      <c r="AL2665" s="133"/>
      <c r="AM2665" s="133"/>
      <c r="AN2665" s="133"/>
      <c r="AO2665" s="133"/>
      <c r="AP2665" s="133"/>
      <c r="AQ2665" s="133"/>
      <c r="AR2665" s="133"/>
      <c r="AS2665" s="153">
        <v>0</v>
      </c>
      <c r="AT2665" s="153">
        <v>0</v>
      </c>
      <c r="AU2665" s="153">
        <v>0</v>
      </c>
      <c r="AV2665" s="135"/>
      <c r="AW2665" s="135"/>
      <c r="AX2665" s="135"/>
      <c r="AY2665" s="135"/>
      <c r="AZ2665" s="135"/>
      <c r="BA2665" s="135"/>
      <c r="BB2665" s="135"/>
      <c r="BC2665" s="135"/>
      <c r="BD2665" s="135"/>
      <c r="BE2665" s="135"/>
      <c r="BF2665" s="135"/>
      <c r="BG2665" s="135"/>
      <c r="BH2665" s="135"/>
      <c r="BI2665" s="2"/>
      <c r="BJ2665" s="136"/>
      <c r="BK2665" s="2"/>
      <c r="BL2665" s="136"/>
      <c r="BM2665" s="136"/>
      <c r="BN2665" s="2"/>
      <c r="BO2665" s="2"/>
      <c r="BP2665" s="136"/>
      <c r="BQ2665" s="137"/>
    </row>
    <row r="2666" spans="1:69" ht="12.75" customHeight="1" x14ac:dyDescent="0.2">
      <c r="A2666" s="2">
        <v>4155</v>
      </c>
      <c r="B2666" s="2"/>
      <c r="C2666" s="2"/>
      <c r="D2666" s="2"/>
      <c r="E2666" s="2"/>
      <c r="F2666" s="132">
        <v>0</v>
      </c>
      <c r="G2666" s="132"/>
      <c r="H2666" s="132">
        <f t="shared" si="297"/>
        <v>0</v>
      </c>
      <c r="I2666" s="132"/>
      <c r="J2666" s="132">
        <f t="shared" si="302"/>
        <v>0</v>
      </c>
      <c r="K2666" s="132">
        <f t="shared" si="298"/>
        <v>0</v>
      </c>
      <c r="L2666" s="132">
        <f t="shared" si="299"/>
        <v>0</v>
      </c>
      <c r="M2666" s="133"/>
      <c r="N2666" s="133">
        <f t="shared" ref="N2666:N2729" si="303">IF(OR(BK2666="принят",BK2666="Завершено",BK2666="ПриПро"),H2666-J2666,F2666-J2666)</f>
        <v>0</v>
      </c>
      <c r="O2666" s="134"/>
      <c r="P2666" s="133"/>
      <c r="Q2666" s="2"/>
      <c r="R2666" s="156">
        <f t="shared" si="300"/>
        <v>0</v>
      </c>
      <c r="S2666" s="156">
        <f t="shared" si="301"/>
        <v>0</v>
      </c>
      <c r="T2666" s="133"/>
      <c r="U2666" s="133"/>
      <c r="V2666" s="133"/>
      <c r="W2666" s="133"/>
      <c r="X2666" s="133"/>
      <c r="Y2666" s="133"/>
      <c r="Z2666" s="133"/>
      <c r="AA2666" s="133"/>
      <c r="AB2666" s="133"/>
      <c r="AC2666" s="133"/>
      <c r="AD2666" s="133"/>
      <c r="AE2666" s="133"/>
      <c r="AF2666" s="133"/>
      <c r="AG2666" s="133"/>
      <c r="AH2666" s="133"/>
      <c r="AI2666" s="133"/>
      <c r="AJ2666" s="133"/>
      <c r="AK2666" s="133"/>
      <c r="AL2666" s="133"/>
      <c r="AM2666" s="133"/>
      <c r="AN2666" s="133"/>
      <c r="AO2666" s="133"/>
      <c r="AP2666" s="133"/>
      <c r="AQ2666" s="133"/>
      <c r="AR2666" s="133"/>
      <c r="AS2666" s="153">
        <v>0</v>
      </c>
      <c r="AT2666" s="153">
        <v>0</v>
      </c>
      <c r="AU2666" s="153">
        <v>0</v>
      </c>
      <c r="AV2666" s="135"/>
      <c r="AW2666" s="135"/>
      <c r="AX2666" s="135"/>
      <c r="AY2666" s="135"/>
      <c r="AZ2666" s="135"/>
      <c r="BA2666" s="135"/>
      <c r="BB2666" s="135"/>
      <c r="BC2666" s="135"/>
      <c r="BD2666" s="135"/>
      <c r="BE2666" s="135"/>
      <c r="BF2666" s="135"/>
      <c r="BG2666" s="135"/>
      <c r="BH2666" s="135"/>
      <c r="BI2666" s="2"/>
      <c r="BJ2666" s="136"/>
      <c r="BK2666" s="2"/>
      <c r="BL2666" s="136"/>
      <c r="BM2666" s="136"/>
      <c r="BN2666" s="2"/>
      <c r="BO2666" s="2"/>
      <c r="BP2666" s="136"/>
      <c r="BQ2666" s="137"/>
    </row>
    <row r="2667" spans="1:69" ht="12.75" customHeight="1" x14ac:dyDescent="0.2">
      <c r="A2667" s="2">
        <v>4156</v>
      </c>
      <c r="B2667" s="2"/>
      <c r="C2667" s="2"/>
      <c r="D2667" s="2"/>
      <c r="E2667" s="2"/>
      <c r="F2667" s="132">
        <v>0</v>
      </c>
      <c r="G2667" s="132"/>
      <c r="H2667" s="132">
        <f t="shared" si="297"/>
        <v>0</v>
      </c>
      <c r="I2667" s="132"/>
      <c r="J2667" s="132">
        <f t="shared" si="302"/>
        <v>0</v>
      </c>
      <c r="K2667" s="132">
        <f t="shared" si="298"/>
        <v>0</v>
      </c>
      <c r="L2667" s="132">
        <f t="shared" si="299"/>
        <v>0</v>
      </c>
      <c r="M2667" s="133"/>
      <c r="N2667" s="133">
        <f t="shared" si="303"/>
        <v>0</v>
      </c>
      <c r="O2667" s="134"/>
      <c r="P2667" s="133"/>
      <c r="Q2667" s="2"/>
      <c r="R2667" s="156">
        <f t="shared" si="300"/>
        <v>0</v>
      </c>
      <c r="S2667" s="156">
        <f t="shared" si="301"/>
        <v>0</v>
      </c>
      <c r="T2667" s="133"/>
      <c r="U2667" s="133"/>
      <c r="V2667" s="133"/>
      <c r="W2667" s="133"/>
      <c r="X2667" s="133"/>
      <c r="Y2667" s="133"/>
      <c r="Z2667" s="133"/>
      <c r="AA2667" s="133"/>
      <c r="AB2667" s="133"/>
      <c r="AC2667" s="133"/>
      <c r="AD2667" s="133"/>
      <c r="AE2667" s="133"/>
      <c r="AF2667" s="133"/>
      <c r="AG2667" s="133"/>
      <c r="AH2667" s="133"/>
      <c r="AI2667" s="133"/>
      <c r="AJ2667" s="133"/>
      <c r="AK2667" s="133"/>
      <c r="AL2667" s="133"/>
      <c r="AM2667" s="133"/>
      <c r="AN2667" s="133"/>
      <c r="AO2667" s="133"/>
      <c r="AP2667" s="133"/>
      <c r="AQ2667" s="133"/>
      <c r="AR2667" s="133"/>
      <c r="AS2667" s="153">
        <v>0</v>
      </c>
      <c r="AT2667" s="153">
        <v>0</v>
      </c>
      <c r="AU2667" s="153">
        <v>0</v>
      </c>
      <c r="AV2667" s="135"/>
      <c r="AW2667" s="135"/>
      <c r="AX2667" s="135"/>
      <c r="AY2667" s="135"/>
      <c r="AZ2667" s="135"/>
      <c r="BA2667" s="135"/>
      <c r="BB2667" s="135"/>
      <c r="BC2667" s="135"/>
      <c r="BD2667" s="135"/>
      <c r="BE2667" s="135"/>
      <c r="BF2667" s="135"/>
      <c r="BG2667" s="135"/>
      <c r="BH2667" s="135"/>
      <c r="BI2667" s="2"/>
      <c r="BJ2667" s="136"/>
      <c r="BK2667" s="2"/>
      <c r="BL2667" s="136"/>
      <c r="BM2667" s="136"/>
      <c r="BN2667" s="2"/>
      <c r="BO2667" s="2"/>
      <c r="BP2667" s="136"/>
      <c r="BQ2667" s="137"/>
    </row>
    <row r="2668" spans="1:69" ht="12.75" customHeight="1" x14ac:dyDescent="0.2">
      <c r="A2668" s="2">
        <v>4157</v>
      </c>
      <c r="B2668" s="2"/>
      <c r="C2668" s="2"/>
      <c r="D2668" s="2"/>
      <c r="E2668" s="2"/>
      <c r="F2668" s="132">
        <v>0</v>
      </c>
      <c r="G2668" s="132"/>
      <c r="H2668" s="132">
        <f t="shared" si="297"/>
        <v>0</v>
      </c>
      <c r="I2668" s="132"/>
      <c r="J2668" s="132">
        <f t="shared" si="302"/>
        <v>0</v>
      </c>
      <c r="K2668" s="132">
        <f t="shared" si="298"/>
        <v>0</v>
      </c>
      <c r="L2668" s="132">
        <f t="shared" si="299"/>
        <v>0</v>
      </c>
      <c r="M2668" s="133"/>
      <c r="N2668" s="133">
        <f t="shared" si="303"/>
        <v>0</v>
      </c>
      <c r="O2668" s="134"/>
      <c r="P2668" s="133"/>
      <c r="Q2668" s="2"/>
      <c r="R2668" s="156">
        <f t="shared" si="300"/>
        <v>0</v>
      </c>
      <c r="S2668" s="156">
        <f t="shared" si="301"/>
        <v>0</v>
      </c>
      <c r="T2668" s="133"/>
      <c r="U2668" s="133"/>
      <c r="V2668" s="133"/>
      <c r="W2668" s="133"/>
      <c r="X2668" s="133"/>
      <c r="Y2668" s="133"/>
      <c r="Z2668" s="133"/>
      <c r="AA2668" s="133"/>
      <c r="AB2668" s="133"/>
      <c r="AC2668" s="133"/>
      <c r="AD2668" s="133"/>
      <c r="AE2668" s="133"/>
      <c r="AF2668" s="133"/>
      <c r="AG2668" s="133"/>
      <c r="AH2668" s="133"/>
      <c r="AI2668" s="133"/>
      <c r="AJ2668" s="133"/>
      <c r="AK2668" s="133"/>
      <c r="AL2668" s="133"/>
      <c r="AM2668" s="133"/>
      <c r="AN2668" s="133"/>
      <c r="AO2668" s="133"/>
      <c r="AP2668" s="133"/>
      <c r="AQ2668" s="133"/>
      <c r="AR2668" s="133"/>
      <c r="AS2668" s="153">
        <v>0</v>
      </c>
      <c r="AT2668" s="153">
        <v>0</v>
      </c>
      <c r="AU2668" s="153">
        <v>0</v>
      </c>
      <c r="AV2668" s="135"/>
      <c r="AW2668" s="135"/>
      <c r="AX2668" s="135"/>
      <c r="AY2668" s="135"/>
      <c r="AZ2668" s="135"/>
      <c r="BA2668" s="135"/>
      <c r="BB2668" s="135"/>
      <c r="BC2668" s="135"/>
      <c r="BD2668" s="135"/>
      <c r="BE2668" s="135"/>
      <c r="BF2668" s="135"/>
      <c r="BG2668" s="135"/>
      <c r="BH2668" s="135"/>
      <c r="BI2668" s="2"/>
      <c r="BJ2668" s="136"/>
      <c r="BK2668" s="2"/>
      <c r="BL2668" s="136"/>
      <c r="BM2668" s="136"/>
      <c r="BN2668" s="2"/>
      <c r="BO2668" s="2"/>
      <c r="BP2668" s="136"/>
      <c r="BQ2668" s="137"/>
    </row>
    <row r="2669" spans="1:69" ht="12.75" customHeight="1" x14ac:dyDescent="0.2">
      <c r="A2669" s="2">
        <v>4158</v>
      </c>
      <c r="B2669" s="2"/>
      <c r="C2669" s="2"/>
      <c r="D2669" s="2"/>
      <c r="E2669" s="2"/>
      <c r="F2669" s="132">
        <v>0</v>
      </c>
      <c r="G2669" s="132"/>
      <c r="H2669" s="132">
        <f t="shared" si="297"/>
        <v>0</v>
      </c>
      <c r="I2669" s="132"/>
      <c r="J2669" s="132">
        <f t="shared" si="302"/>
        <v>0</v>
      </c>
      <c r="K2669" s="132">
        <f t="shared" si="298"/>
        <v>0</v>
      </c>
      <c r="L2669" s="132">
        <f t="shared" si="299"/>
        <v>0</v>
      </c>
      <c r="M2669" s="133"/>
      <c r="N2669" s="133">
        <f t="shared" si="303"/>
        <v>0</v>
      </c>
      <c r="O2669" s="134"/>
      <c r="P2669" s="133"/>
      <c r="Q2669" s="2"/>
      <c r="R2669" s="156">
        <f t="shared" si="300"/>
        <v>0</v>
      </c>
      <c r="S2669" s="156">
        <f t="shared" si="301"/>
        <v>0</v>
      </c>
      <c r="T2669" s="133"/>
      <c r="U2669" s="133"/>
      <c r="V2669" s="133"/>
      <c r="W2669" s="133"/>
      <c r="X2669" s="133"/>
      <c r="Y2669" s="133"/>
      <c r="Z2669" s="133"/>
      <c r="AA2669" s="133"/>
      <c r="AB2669" s="133"/>
      <c r="AC2669" s="133"/>
      <c r="AD2669" s="133"/>
      <c r="AE2669" s="133"/>
      <c r="AF2669" s="133"/>
      <c r="AG2669" s="133"/>
      <c r="AH2669" s="133"/>
      <c r="AI2669" s="133"/>
      <c r="AJ2669" s="133"/>
      <c r="AK2669" s="133"/>
      <c r="AL2669" s="133"/>
      <c r="AM2669" s="133"/>
      <c r="AN2669" s="133"/>
      <c r="AO2669" s="133"/>
      <c r="AP2669" s="133"/>
      <c r="AQ2669" s="133"/>
      <c r="AR2669" s="133"/>
      <c r="AS2669" s="153">
        <v>0</v>
      </c>
      <c r="AT2669" s="153">
        <v>0</v>
      </c>
      <c r="AU2669" s="153">
        <v>0</v>
      </c>
      <c r="AV2669" s="135"/>
      <c r="AW2669" s="135"/>
      <c r="AX2669" s="135"/>
      <c r="AY2669" s="135"/>
      <c r="AZ2669" s="135"/>
      <c r="BA2669" s="135"/>
      <c r="BB2669" s="135"/>
      <c r="BC2669" s="135"/>
      <c r="BD2669" s="135"/>
      <c r="BE2669" s="135"/>
      <c r="BF2669" s="135"/>
      <c r="BG2669" s="135"/>
      <c r="BH2669" s="135"/>
      <c r="BI2669" s="2"/>
      <c r="BJ2669" s="136"/>
      <c r="BK2669" s="2"/>
      <c r="BL2669" s="136"/>
      <c r="BM2669" s="136"/>
      <c r="BN2669" s="2"/>
      <c r="BO2669" s="2"/>
      <c r="BP2669" s="136"/>
      <c r="BQ2669" s="137"/>
    </row>
    <row r="2670" spans="1:69" ht="12.75" customHeight="1" x14ac:dyDescent="0.2">
      <c r="A2670" s="2">
        <v>4159</v>
      </c>
      <c r="B2670" s="2"/>
      <c r="C2670" s="2"/>
      <c r="D2670" s="2"/>
      <c r="E2670" s="2"/>
      <c r="F2670" s="132">
        <v>0</v>
      </c>
      <c r="G2670" s="132"/>
      <c r="H2670" s="132">
        <f t="shared" ref="H2670:H2733" si="304">R2670</f>
        <v>0</v>
      </c>
      <c r="I2670" s="132"/>
      <c r="J2670" s="132">
        <f t="shared" si="302"/>
        <v>0</v>
      </c>
      <c r="K2670" s="132">
        <f t="shared" si="298"/>
        <v>0</v>
      </c>
      <c r="L2670" s="132">
        <f t="shared" si="299"/>
        <v>0</v>
      </c>
      <c r="M2670" s="133"/>
      <c r="N2670" s="133">
        <f t="shared" si="303"/>
        <v>0</v>
      </c>
      <c r="O2670" s="134"/>
      <c r="P2670" s="133"/>
      <c r="Q2670" s="2"/>
      <c r="R2670" s="156">
        <f t="shared" si="300"/>
        <v>0</v>
      </c>
      <c r="S2670" s="156">
        <f t="shared" si="301"/>
        <v>0</v>
      </c>
      <c r="T2670" s="133"/>
      <c r="U2670" s="133"/>
      <c r="V2670" s="133"/>
      <c r="W2670" s="133"/>
      <c r="X2670" s="133"/>
      <c r="Y2670" s="133"/>
      <c r="Z2670" s="133"/>
      <c r="AA2670" s="133"/>
      <c r="AB2670" s="133"/>
      <c r="AC2670" s="133"/>
      <c r="AD2670" s="133"/>
      <c r="AE2670" s="133"/>
      <c r="AF2670" s="133"/>
      <c r="AG2670" s="133"/>
      <c r="AH2670" s="133"/>
      <c r="AI2670" s="133"/>
      <c r="AJ2670" s="133"/>
      <c r="AK2670" s="133"/>
      <c r="AL2670" s="133"/>
      <c r="AM2670" s="133"/>
      <c r="AN2670" s="133"/>
      <c r="AO2670" s="133"/>
      <c r="AP2670" s="133"/>
      <c r="AQ2670" s="133"/>
      <c r="AR2670" s="133"/>
      <c r="AS2670" s="153">
        <v>0</v>
      </c>
      <c r="AT2670" s="153">
        <v>0</v>
      </c>
      <c r="AU2670" s="153">
        <v>0</v>
      </c>
      <c r="AV2670" s="135"/>
      <c r="AW2670" s="135"/>
      <c r="AX2670" s="135"/>
      <c r="AY2670" s="135"/>
      <c r="AZ2670" s="135"/>
      <c r="BA2670" s="135"/>
      <c r="BB2670" s="135"/>
      <c r="BC2670" s="135"/>
      <c r="BD2670" s="135"/>
      <c r="BE2670" s="135"/>
      <c r="BF2670" s="135"/>
      <c r="BG2670" s="135"/>
      <c r="BH2670" s="135"/>
      <c r="BI2670" s="2"/>
      <c r="BJ2670" s="136"/>
      <c r="BK2670" s="2"/>
      <c r="BL2670" s="136"/>
      <c r="BM2670" s="136"/>
      <c r="BN2670" s="2"/>
      <c r="BO2670" s="2"/>
      <c r="BP2670" s="136"/>
      <c r="BQ2670" s="137"/>
    </row>
    <row r="2671" spans="1:69" ht="12.75" customHeight="1" x14ac:dyDescent="0.2">
      <c r="A2671" s="2">
        <v>4160</v>
      </c>
      <c r="B2671" s="2"/>
      <c r="C2671" s="2"/>
      <c r="D2671" s="2"/>
      <c r="E2671" s="2"/>
      <c r="F2671" s="132">
        <v>0</v>
      </c>
      <c r="G2671" s="132"/>
      <c r="H2671" s="132">
        <f t="shared" si="304"/>
        <v>0</v>
      </c>
      <c r="I2671" s="132"/>
      <c r="J2671" s="132">
        <f t="shared" si="302"/>
        <v>0</v>
      </c>
      <c r="K2671" s="132">
        <f t="shared" si="298"/>
        <v>0</v>
      </c>
      <c r="L2671" s="132">
        <f t="shared" si="299"/>
        <v>0</v>
      </c>
      <c r="M2671" s="133"/>
      <c r="N2671" s="133">
        <f t="shared" si="303"/>
        <v>0</v>
      </c>
      <c r="O2671" s="134"/>
      <c r="P2671" s="133"/>
      <c r="Q2671" s="2"/>
      <c r="R2671" s="156">
        <f t="shared" si="300"/>
        <v>0</v>
      </c>
      <c r="S2671" s="156">
        <f t="shared" si="301"/>
        <v>0</v>
      </c>
      <c r="T2671" s="133"/>
      <c r="U2671" s="133"/>
      <c r="V2671" s="133"/>
      <c r="W2671" s="133"/>
      <c r="X2671" s="133"/>
      <c r="Y2671" s="133"/>
      <c r="Z2671" s="133"/>
      <c r="AA2671" s="133"/>
      <c r="AB2671" s="133"/>
      <c r="AC2671" s="133"/>
      <c r="AD2671" s="133"/>
      <c r="AE2671" s="133"/>
      <c r="AF2671" s="133"/>
      <c r="AG2671" s="133"/>
      <c r="AH2671" s="133"/>
      <c r="AI2671" s="133"/>
      <c r="AJ2671" s="133"/>
      <c r="AK2671" s="133"/>
      <c r="AL2671" s="133"/>
      <c r="AM2671" s="133"/>
      <c r="AN2671" s="133"/>
      <c r="AO2671" s="133"/>
      <c r="AP2671" s="133"/>
      <c r="AQ2671" s="133"/>
      <c r="AR2671" s="133"/>
      <c r="AS2671" s="153">
        <v>0</v>
      </c>
      <c r="AT2671" s="153">
        <v>0</v>
      </c>
      <c r="AU2671" s="153">
        <v>0</v>
      </c>
      <c r="AV2671" s="135"/>
      <c r="AW2671" s="135"/>
      <c r="AX2671" s="135"/>
      <c r="AY2671" s="135"/>
      <c r="AZ2671" s="135"/>
      <c r="BA2671" s="135"/>
      <c r="BB2671" s="135"/>
      <c r="BC2671" s="135"/>
      <c r="BD2671" s="135"/>
      <c r="BE2671" s="135"/>
      <c r="BF2671" s="135"/>
      <c r="BG2671" s="135"/>
      <c r="BH2671" s="135"/>
      <c r="BI2671" s="2"/>
      <c r="BJ2671" s="136"/>
      <c r="BK2671" s="2"/>
      <c r="BL2671" s="136"/>
      <c r="BM2671" s="136"/>
      <c r="BN2671" s="2"/>
      <c r="BO2671" s="2"/>
      <c r="BP2671" s="136"/>
      <c r="BQ2671" s="137"/>
    </row>
    <row r="2672" spans="1:69" ht="12.75" customHeight="1" x14ac:dyDescent="0.2">
      <c r="A2672" s="2">
        <v>4161</v>
      </c>
      <c r="B2672" s="2"/>
      <c r="C2672" s="2"/>
      <c r="D2672" s="2"/>
      <c r="E2672" s="2"/>
      <c r="F2672" s="132">
        <v>0</v>
      </c>
      <c r="G2672" s="132"/>
      <c r="H2672" s="132">
        <f t="shared" si="304"/>
        <v>0</v>
      </c>
      <c r="I2672" s="132"/>
      <c r="J2672" s="132">
        <f t="shared" si="302"/>
        <v>0</v>
      </c>
      <c r="K2672" s="132">
        <f t="shared" si="298"/>
        <v>0</v>
      </c>
      <c r="L2672" s="132">
        <f t="shared" si="299"/>
        <v>0</v>
      </c>
      <c r="M2672" s="133"/>
      <c r="N2672" s="133">
        <f t="shared" si="303"/>
        <v>0</v>
      </c>
      <c r="O2672" s="134"/>
      <c r="P2672" s="133"/>
      <c r="Q2672" s="2"/>
      <c r="R2672" s="156">
        <f t="shared" si="300"/>
        <v>0</v>
      </c>
      <c r="S2672" s="156">
        <f t="shared" si="301"/>
        <v>0</v>
      </c>
      <c r="T2672" s="133"/>
      <c r="U2672" s="133"/>
      <c r="V2672" s="133"/>
      <c r="W2672" s="133"/>
      <c r="X2672" s="133"/>
      <c r="Y2672" s="133"/>
      <c r="Z2672" s="133"/>
      <c r="AA2672" s="133"/>
      <c r="AB2672" s="133"/>
      <c r="AC2672" s="133"/>
      <c r="AD2672" s="133"/>
      <c r="AE2672" s="133"/>
      <c r="AF2672" s="133"/>
      <c r="AG2672" s="133"/>
      <c r="AH2672" s="133"/>
      <c r="AI2672" s="133"/>
      <c r="AJ2672" s="133"/>
      <c r="AK2672" s="133"/>
      <c r="AL2672" s="133"/>
      <c r="AM2672" s="133"/>
      <c r="AN2672" s="133"/>
      <c r="AO2672" s="133"/>
      <c r="AP2672" s="133"/>
      <c r="AQ2672" s="133"/>
      <c r="AR2672" s="133"/>
      <c r="AS2672" s="153">
        <v>0</v>
      </c>
      <c r="AT2672" s="153">
        <v>0</v>
      </c>
      <c r="AU2672" s="153">
        <v>0</v>
      </c>
      <c r="AV2672" s="135"/>
      <c r="AW2672" s="135"/>
      <c r="AX2672" s="135"/>
      <c r="AY2672" s="135"/>
      <c r="AZ2672" s="135"/>
      <c r="BA2672" s="135"/>
      <c r="BB2672" s="135"/>
      <c r="BC2672" s="135"/>
      <c r="BD2672" s="135"/>
      <c r="BE2672" s="135"/>
      <c r="BF2672" s="135"/>
      <c r="BG2672" s="135"/>
      <c r="BH2672" s="135"/>
      <c r="BI2672" s="2"/>
      <c r="BJ2672" s="136"/>
      <c r="BK2672" s="2"/>
      <c r="BL2672" s="136"/>
      <c r="BM2672" s="136"/>
      <c r="BN2672" s="2"/>
      <c r="BO2672" s="2"/>
      <c r="BP2672" s="136"/>
      <c r="BQ2672" s="137"/>
    </row>
    <row r="2673" spans="1:69" ht="12.75" customHeight="1" x14ac:dyDescent="0.2">
      <c r="A2673" s="2">
        <v>4162</v>
      </c>
      <c r="B2673" s="2"/>
      <c r="C2673" s="2"/>
      <c r="D2673" s="2"/>
      <c r="E2673" s="2"/>
      <c r="F2673" s="132">
        <v>0</v>
      </c>
      <c r="G2673" s="132"/>
      <c r="H2673" s="132">
        <f t="shared" si="304"/>
        <v>0</v>
      </c>
      <c r="I2673" s="132"/>
      <c r="J2673" s="132">
        <f t="shared" si="302"/>
        <v>0</v>
      </c>
      <c r="K2673" s="132">
        <f t="shared" si="298"/>
        <v>0</v>
      </c>
      <c r="L2673" s="132">
        <f t="shared" si="299"/>
        <v>0</v>
      </c>
      <c r="M2673" s="133"/>
      <c r="N2673" s="133">
        <f t="shared" si="303"/>
        <v>0</v>
      </c>
      <c r="O2673" s="134"/>
      <c r="P2673" s="133"/>
      <c r="Q2673" s="2"/>
      <c r="R2673" s="156">
        <f t="shared" si="300"/>
        <v>0</v>
      </c>
      <c r="S2673" s="156">
        <f t="shared" si="301"/>
        <v>0</v>
      </c>
      <c r="T2673" s="133"/>
      <c r="U2673" s="133"/>
      <c r="V2673" s="133"/>
      <c r="W2673" s="133"/>
      <c r="X2673" s="133"/>
      <c r="Y2673" s="133"/>
      <c r="Z2673" s="133"/>
      <c r="AA2673" s="133"/>
      <c r="AB2673" s="133"/>
      <c r="AC2673" s="133"/>
      <c r="AD2673" s="133"/>
      <c r="AE2673" s="133"/>
      <c r="AF2673" s="133"/>
      <c r="AG2673" s="133"/>
      <c r="AH2673" s="133"/>
      <c r="AI2673" s="133"/>
      <c r="AJ2673" s="133"/>
      <c r="AK2673" s="133"/>
      <c r="AL2673" s="133"/>
      <c r="AM2673" s="133"/>
      <c r="AN2673" s="133"/>
      <c r="AO2673" s="133"/>
      <c r="AP2673" s="133"/>
      <c r="AQ2673" s="133"/>
      <c r="AR2673" s="133"/>
      <c r="AS2673" s="153">
        <v>0</v>
      </c>
      <c r="AT2673" s="153">
        <v>0</v>
      </c>
      <c r="AU2673" s="153">
        <v>0</v>
      </c>
      <c r="AV2673" s="135"/>
      <c r="AW2673" s="135"/>
      <c r="AX2673" s="135"/>
      <c r="AY2673" s="135"/>
      <c r="AZ2673" s="135"/>
      <c r="BA2673" s="135"/>
      <c r="BB2673" s="135"/>
      <c r="BC2673" s="135"/>
      <c r="BD2673" s="135"/>
      <c r="BE2673" s="135"/>
      <c r="BF2673" s="135"/>
      <c r="BG2673" s="135"/>
      <c r="BH2673" s="135"/>
      <c r="BI2673" s="2"/>
      <c r="BJ2673" s="136"/>
      <c r="BK2673" s="2"/>
      <c r="BL2673" s="136"/>
      <c r="BM2673" s="136"/>
      <c r="BN2673" s="2"/>
      <c r="BO2673" s="2"/>
      <c r="BP2673" s="136"/>
      <c r="BQ2673" s="137"/>
    </row>
    <row r="2674" spans="1:69" ht="12.75" customHeight="1" x14ac:dyDescent="0.2">
      <c r="A2674" s="2">
        <v>4163</v>
      </c>
      <c r="B2674" s="2"/>
      <c r="C2674" s="2"/>
      <c r="D2674" s="2"/>
      <c r="E2674" s="2"/>
      <c r="F2674" s="132">
        <v>0</v>
      </c>
      <c r="G2674" s="132"/>
      <c r="H2674" s="132">
        <f t="shared" si="304"/>
        <v>0</v>
      </c>
      <c r="I2674" s="132"/>
      <c r="J2674" s="132">
        <f t="shared" si="302"/>
        <v>0</v>
      </c>
      <c r="K2674" s="132">
        <f t="shared" si="298"/>
        <v>0</v>
      </c>
      <c r="L2674" s="132">
        <f t="shared" si="299"/>
        <v>0</v>
      </c>
      <c r="M2674" s="133"/>
      <c r="N2674" s="133">
        <f t="shared" si="303"/>
        <v>0</v>
      </c>
      <c r="O2674" s="134"/>
      <c r="P2674" s="133"/>
      <c r="Q2674" s="2"/>
      <c r="R2674" s="156">
        <f t="shared" si="300"/>
        <v>0</v>
      </c>
      <c r="S2674" s="156">
        <f t="shared" si="301"/>
        <v>0</v>
      </c>
      <c r="T2674" s="133"/>
      <c r="U2674" s="133"/>
      <c r="V2674" s="133"/>
      <c r="W2674" s="133"/>
      <c r="X2674" s="133"/>
      <c r="Y2674" s="133"/>
      <c r="Z2674" s="133"/>
      <c r="AA2674" s="133"/>
      <c r="AB2674" s="133"/>
      <c r="AC2674" s="133"/>
      <c r="AD2674" s="133"/>
      <c r="AE2674" s="133"/>
      <c r="AF2674" s="133"/>
      <c r="AG2674" s="133"/>
      <c r="AH2674" s="133"/>
      <c r="AI2674" s="133"/>
      <c r="AJ2674" s="133"/>
      <c r="AK2674" s="133"/>
      <c r="AL2674" s="133"/>
      <c r="AM2674" s="133"/>
      <c r="AN2674" s="133"/>
      <c r="AO2674" s="133"/>
      <c r="AP2674" s="133"/>
      <c r="AQ2674" s="133"/>
      <c r="AR2674" s="133"/>
      <c r="AS2674" s="153">
        <v>0</v>
      </c>
      <c r="AT2674" s="153">
        <v>0</v>
      </c>
      <c r="AU2674" s="153">
        <v>0</v>
      </c>
      <c r="AV2674" s="135"/>
      <c r="AW2674" s="135"/>
      <c r="AX2674" s="135"/>
      <c r="AY2674" s="135"/>
      <c r="AZ2674" s="135"/>
      <c r="BA2674" s="135"/>
      <c r="BB2674" s="135"/>
      <c r="BC2674" s="135"/>
      <c r="BD2674" s="135"/>
      <c r="BE2674" s="135"/>
      <c r="BF2674" s="135"/>
      <c r="BG2674" s="135"/>
      <c r="BH2674" s="135"/>
      <c r="BI2674" s="2"/>
      <c r="BJ2674" s="136"/>
      <c r="BK2674" s="2"/>
      <c r="BL2674" s="136"/>
      <c r="BM2674" s="136"/>
      <c r="BN2674" s="2"/>
      <c r="BO2674" s="2"/>
      <c r="BP2674" s="136"/>
      <c r="BQ2674" s="137"/>
    </row>
    <row r="2675" spans="1:69" ht="12.75" customHeight="1" x14ac:dyDescent="0.2">
      <c r="A2675" s="2">
        <v>4164</v>
      </c>
      <c r="B2675" s="2"/>
      <c r="C2675" s="2"/>
      <c r="D2675" s="2"/>
      <c r="E2675" s="2"/>
      <c r="F2675" s="132">
        <v>0</v>
      </c>
      <c r="G2675" s="132"/>
      <c r="H2675" s="132">
        <f t="shared" si="304"/>
        <v>0</v>
      </c>
      <c r="I2675" s="132"/>
      <c r="J2675" s="132">
        <f t="shared" si="302"/>
        <v>0</v>
      </c>
      <c r="K2675" s="132">
        <f t="shared" si="298"/>
        <v>0</v>
      </c>
      <c r="L2675" s="132">
        <f t="shared" si="299"/>
        <v>0</v>
      </c>
      <c r="M2675" s="133"/>
      <c r="N2675" s="133">
        <f t="shared" si="303"/>
        <v>0</v>
      </c>
      <c r="O2675" s="134"/>
      <c r="P2675" s="133"/>
      <c r="Q2675" s="2"/>
      <c r="R2675" s="156">
        <f t="shared" si="300"/>
        <v>0</v>
      </c>
      <c r="S2675" s="156">
        <f t="shared" si="301"/>
        <v>0</v>
      </c>
      <c r="T2675" s="133"/>
      <c r="U2675" s="133"/>
      <c r="V2675" s="133"/>
      <c r="W2675" s="133"/>
      <c r="X2675" s="133"/>
      <c r="Y2675" s="133"/>
      <c r="Z2675" s="133"/>
      <c r="AA2675" s="133"/>
      <c r="AB2675" s="133"/>
      <c r="AC2675" s="133"/>
      <c r="AD2675" s="133"/>
      <c r="AE2675" s="133"/>
      <c r="AF2675" s="133"/>
      <c r="AG2675" s="133"/>
      <c r="AH2675" s="133"/>
      <c r="AI2675" s="133"/>
      <c r="AJ2675" s="133"/>
      <c r="AK2675" s="133"/>
      <c r="AL2675" s="133"/>
      <c r="AM2675" s="133"/>
      <c r="AN2675" s="133"/>
      <c r="AO2675" s="133"/>
      <c r="AP2675" s="133"/>
      <c r="AQ2675" s="133"/>
      <c r="AR2675" s="133"/>
      <c r="AS2675" s="153">
        <v>0</v>
      </c>
      <c r="AT2675" s="153">
        <v>0</v>
      </c>
      <c r="AU2675" s="153">
        <v>0</v>
      </c>
      <c r="AV2675" s="135"/>
      <c r="AW2675" s="135"/>
      <c r="AX2675" s="135"/>
      <c r="AY2675" s="135"/>
      <c r="AZ2675" s="135"/>
      <c r="BA2675" s="135"/>
      <c r="BB2675" s="135"/>
      <c r="BC2675" s="135"/>
      <c r="BD2675" s="135"/>
      <c r="BE2675" s="135"/>
      <c r="BF2675" s="135"/>
      <c r="BG2675" s="135"/>
      <c r="BH2675" s="135"/>
      <c r="BI2675" s="2"/>
      <c r="BJ2675" s="136"/>
      <c r="BK2675" s="2"/>
      <c r="BL2675" s="136"/>
      <c r="BM2675" s="136"/>
      <c r="BN2675" s="2"/>
      <c r="BO2675" s="2"/>
      <c r="BP2675" s="136"/>
      <c r="BQ2675" s="137"/>
    </row>
    <row r="2676" spans="1:69" ht="12.75" customHeight="1" x14ac:dyDescent="0.2">
      <c r="A2676" s="2">
        <v>4165</v>
      </c>
      <c r="B2676" s="2"/>
      <c r="C2676" s="2"/>
      <c r="D2676" s="2"/>
      <c r="E2676" s="2"/>
      <c r="F2676" s="132">
        <v>0</v>
      </c>
      <c r="G2676" s="132"/>
      <c r="H2676" s="132">
        <f t="shared" si="304"/>
        <v>0</v>
      </c>
      <c r="I2676" s="132"/>
      <c r="J2676" s="132">
        <f t="shared" si="302"/>
        <v>0</v>
      </c>
      <c r="K2676" s="132">
        <f t="shared" si="298"/>
        <v>0</v>
      </c>
      <c r="L2676" s="132">
        <f t="shared" si="299"/>
        <v>0</v>
      </c>
      <c r="M2676" s="133"/>
      <c r="N2676" s="133">
        <f t="shared" si="303"/>
        <v>0</v>
      </c>
      <c r="O2676" s="134"/>
      <c r="P2676" s="133"/>
      <c r="Q2676" s="2"/>
      <c r="R2676" s="156">
        <f t="shared" si="300"/>
        <v>0</v>
      </c>
      <c r="S2676" s="156">
        <f t="shared" si="301"/>
        <v>0</v>
      </c>
      <c r="T2676" s="133"/>
      <c r="U2676" s="133"/>
      <c r="V2676" s="133"/>
      <c r="W2676" s="133"/>
      <c r="X2676" s="133"/>
      <c r="Y2676" s="133"/>
      <c r="Z2676" s="133"/>
      <c r="AA2676" s="133"/>
      <c r="AB2676" s="133"/>
      <c r="AC2676" s="133"/>
      <c r="AD2676" s="133"/>
      <c r="AE2676" s="133"/>
      <c r="AF2676" s="133"/>
      <c r="AG2676" s="133"/>
      <c r="AH2676" s="133"/>
      <c r="AI2676" s="133"/>
      <c r="AJ2676" s="133"/>
      <c r="AK2676" s="133"/>
      <c r="AL2676" s="133"/>
      <c r="AM2676" s="133"/>
      <c r="AN2676" s="133"/>
      <c r="AO2676" s="133"/>
      <c r="AP2676" s="133"/>
      <c r="AQ2676" s="133"/>
      <c r="AR2676" s="133"/>
      <c r="AS2676" s="153">
        <v>0</v>
      </c>
      <c r="AT2676" s="153">
        <v>0</v>
      </c>
      <c r="AU2676" s="153">
        <v>0</v>
      </c>
      <c r="AV2676" s="135"/>
      <c r="AW2676" s="135"/>
      <c r="AX2676" s="135"/>
      <c r="AY2676" s="135"/>
      <c r="AZ2676" s="135"/>
      <c r="BA2676" s="135"/>
      <c r="BB2676" s="135"/>
      <c r="BC2676" s="135"/>
      <c r="BD2676" s="135"/>
      <c r="BE2676" s="135"/>
      <c r="BF2676" s="135"/>
      <c r="BG2676" s="135"/>
      <c r="BH2676" s="135"/>
      <c r="BI2676" s="2"/>
      <c r="BJ2676" s="136"/>
      <c r="BK2676" s="2"/>
      <c r="BL2676" s="136"/>
      <c r="BM2676" s="136"/>
      <c r="BN2676" s="2"/>
      <c r="BO2676" s="2"/>
      <c r="BP2676" s="136"/>
      <c r="BQ2676" s="137"/>
    </row>
    <row r="2677" spans="1:69" ht="12.75" customHeight="1" x14ac:dyDescent="0.2">
      <c r="A2677" s="2">
        <v>4166</v>
      </c>
      <c r="B2677" s="2"/>
      <c r="C2677" s="2"/>
      <c r="D2677" s="2"/>
      <c r="E2677" s="2"/>
      <c r="F2677" s="132">
        <v>0</v>
      </c>
      <c r="G2677" s="132"/>
      <c r="H2677" s="132">
        <f t="shared" si="304"/>
        <v>0</v>
      </c>
      <c r="I2677" s="132"/>
      <c r="J2677" s="132">
        <f t="shared" si="302"/>
        <v>0</v>
      </c>
      <c r="K2677" s="132">
        <f t="shared" si="298"/>
        <v>0</v>
      </c>
      <c r="L2677" s="132">
        <f t="shared" si="299"/>
        <v>0</v>
      </c>
      <c r="M2677" s="133"/>
      <c r="N2677" s="133">
        <f t="shared" si="303"/>
        <v>0</v>
      </c>
      <c r="O2677" s="134"/>
      <c r="P2677" s="133"/>
      <c r="Q2677" s="2"/>
      <c r="R2677" s="156">
        <f t="shared" si="300"/>
        <v>0</v>
      </c>
      <c r="S2677" s="156">
        <f t="shared" si="301"/>
        <v>0</v>
      </c>
      <c r="T2677" s="133"/>
      <c r="U2677" s="133"/>
      <c r="V2677" s="133"/>
      <c r="W2677" s="133"/>
      <c r="X2677" s="133"/>
      <c r="Y2677" s="133"/>
      <c r="Z2677" s="133"/>
      <c r="AA2677" s="133"/>
      <c r="AB2677" s="133"/>
      <c r="AC2677" s="133"/>
      <c r="AD2677" s="133"/>
      <c r="AE2677" s="133"/>
      <c r="AF2677" s="133"/>
      <c r="AG2677" s="133"/>
      <c r="AH2677" s="133"/>
      <c r="AI2677" s="133"/>
      <c r="AJ2677" s="133"/>
      <c r="AK2677" s="133"/>
      <c r="AL2677" s="133"/>
      <c r="AM2677" s="133"/>
      <c r="AN2677" s="133"/>
      <c r="AO2677" s="133"/>
      <c r="AP2677" s="133"/>
      <c r="AQ2677" s="133"/>
      <c r="AR2677" s="133"/>
      <c r="AS2677" s="153">
        <v>0</v>
      </c>
      <c r="AT2677" s="153">
        <v>0</v>
      </c>
      <c r="AU2677" s="153">
        <v>0</v>
      </c>
      <c r="AV2677" s="135"/>
      <c r="AW2677" s="135"/>
      <c r="AX2677" s="135"/>
      <c r="AY2677" s="135"/>
      <c r="AZ2677" s="135"/>
      <c r="BA2677" s="135"/>
      <c r="BB2677" s="135"/>
      <c r="BC2677" s="135"/>
      <c r="BD2677" s="135"/>
      <c r="BE2677" s="135"/>
      <c r="BF2677" s="135"/>
      <c r="BG2677" s="135"/>
      <c r="BH2677" s="135"/>
      <c r="BI2677" s="2"/>
      <c r="BJ2677" s="136"/>
      <c r="BK2677" s="2"/>
      <c r="BL2677" s="136"/>
      <c r="BM2677" s="136"/>
      <c r="BN2677" s="2"/>
      <c r="BO2677" s="2"/>
      <c r="BP2677" s="136"/>
      <c r="BQ2677" s="137"/>
    </row>
    <row r="2678" spans="1:69" ht="12.75" customHeight="1" x14ac:dyDescent="0.2">
      <c r="A2678" s="2">
        <v>4167</v>
      </c>
      <c r="B2678" s="2"/>
      <c r="C2678" s="2"/>
      <c r="D2678" s="2"/>
      <c r="E2678" s="2"/>
      <c r="F2678" s="132">
        <v>0</v>
      </c>
      <c r="G2678" s="132"/>
      <c r="H2678" s="132">
        <f t="shared" si="304"/>
        <v>0</v>
      </c>
      <c r="I2678" s="132"/>
      <c r="J2678" s="132">
        <f t="shared" si="302"/>
        <v>0</v>
      </c>
      <c r="K2678" s="132">
        <f t="shared" ref="K2678:K2741" si="305">F2678-J2678</f>
        <v>0</v>
      </c>
      <c r="L2678" s="132">
        <f t="shared" si="299"/>
        <v>0</v>
      </c>
      <c r="M2678" s="133"/>
      <c r="N2678" s="133">
        <f t="shared" si="303"/>
        <v>0</v>
      </c>
      <c r="O2678" s="134"/>
      <c r="P2678" s="133"/>
      <c r="Q2678" s="2"/>
      <c r="R2678" s="156">
        <f t="shared" si="300"/>
        <v>0</v>
      </c>
      <c r="S2678" s="156">
        <f t="shared" si="301"/>
        <v>0</v>
      </c>
      <c r="T2678" s="133"/>
      <c r="U2678" s="133"/>
      <c r="V2678" s="133"/>
      <c r="W2678" s="133"/>
      <c r="X2678" s="133"/>
      <c r="Y2678" s="133"/>
      <c r="Z2678" s="133"/>
      <c r="AA2678" s="133"/>
      <c r="AB2678" s="133"/>
      <c r="AC2678" s="133"/>
      <c r="AD2678" s="133"/>
      <c r="AE2678" s="133"/>
      <c r="AF2678" s="133"/>
      <c r="AG2678" s="133"/>
      <c r="AH2678" s="133"/>
      <c r="AI2678" s="133"/>
      <c r="AJ2678" s="133"/>
      <c r="AK2678" s="133"/>
      <c r="AL2678" s="133"/>
      <c r="AM2678" s="133"/>
      <c r="AN2678" s="133"/>
      <c r="AO2678" s="133"/>
      <c r="AP2678" s="133"/>
      <c r="AQ2678" s="133"/>
      <c r="AR2678" s="133"/>
      <c r="AS2678" s="153">
        <v>0</v>
      </c>
      <c r="AT2678" s="153">
        <v>0</v>
      </c>
      <c r="AU2678" s="153">
        <v>0</v>
      </c>
      <c r="AV2678" s="135"/>
      <c r="AW2678" s="135"/>
      <c r="AX2678" s="135"/>
      <c r="AY2678" s="135"/>
      <c r="AZ2678" s="135"/>
      <c r="BA2678" s="135"/>
      <c r="BB2678" s="135"/>
      <c r="BC2678" s="135"/>
      <c r="BD2678" s="135"/>
      <c r="BE2678" s="135"/>
      <c r="BF2678" s="135"/>
      <c r="BG2678" s="135"/>
      <c r="BH2678" s="135"/>
      <c r="BI2678" s="2"/>
      <c r="BJ2678" s="136"/>
      <c r="BK2678" s="2"/>
      <c r="BL2678" s="136"/>
      <c r="BM2678" s="136"/>
      <c r="BN2678" s="2"/>
      <c r="BO2678" s="2"/>
      <c r="BP2678" s="136"/>
      <c r="BQ2678" s="137"/>
    </row>
    <row r="2679" spans="1:69" ht="12.75" customHeight="1" x14ac:dyDescent="0.2">
      <c r="A2679" s="2">
        <v>4168</v>
      </c>
      <c r="B2679" s="2"/>
      <c r="C2679" s="2"/>
      <c r="D2679" s="2"/>
      <c r="E2679" s="2"/>
      <c r="F2679" s="132">
        <v>0</v>
      </c>
      <c r="G2679" s="132"/>
      <c r="H2679" s="132">
        <f t="shared" si="304"/>
        <v>0</v>
      </c>
      <c r="I2679" s="132"/>
      <c r="J2679" s="132">
        <f t="shared" si="302"/>
        <v>0</v>
      </c>
      <c r="K2679" s="132">
        <f t="shared" si="305"/>
        <v>0</v>
      </c>
      <c r="L2679" s="132">
        <f t="shared" si="299"/>
        <v>0</v>
      </c>
      <c r="M2679" s="133"/>
      <c r="N2679" s="133">
        <f t="shared" si="303"/>
        <v>0</v>
      </c>
      <c r="O2679" s="134"/>
      <c r="P2679" s="133"/>
      <c r="Q2679" s="2"/>
      <c r="R2679" s="156">
        <f t="shared" si="300"/>
        <v>0</v>
      </c>
      <c r="S2679" s="156">
        <f t="shared" si="301"/>
        <v>0</v>
      </c>
      <c r="T2679" s="133"/>
      <c r="U2679" s="133"/>
      <c r="V2679" s="133"/>
      <c r="W2679" s="133"/>
      <c r="X2679" s="133"/>
      <c r="Y2679" s="133"/>
      <c r="Z2679" s="133"/>
      <c r="AA2679" s="133"/>
      <c r="AB2679" s="133"/>
      <c r="AC2679" s="133"/>
      <c r="AD2679" s="133"/>
      <c r="AE2679" s="133"/>
      <c r="AF2679" s="133"/>
      <c r="AG2679" s="133"/>
      <c r="AH2679" s="133"/>
      <c r="AI2679" s="133"/>
      <c r="AJ2679" s="133"/>
      <c r="AK2679" s="133"/>
      <c r="AL2679" s="133"/>
      <c r="AM2679" s="133"/>
      <c r="AN2679" s="133"/>
      <c r="AO2679" s="133"/>
      <c r="AP2679" s="133"/>
      <c r="AQ2679" s="133"/>
      <c r="AR2679" s="133"/>
      <c r="AS2679" s="153">
        <v>0</v>
      </c>
      <c r="AT2679" s="153">
        <v>0</v>
      </c>
      <c r="AU2679" s="153">
        <v>0</v>
      </c>
      <c r="AV2679" s="135"/>
      <c r="AW2679" s="135"/>
      <c r="AX2679" s="135"/>
      <c r="AY2679" s="135"/>
      <c r="AZ2679" s="135"/>
      <c r="BA2679" s="135"/>
      <c r="BB2679" s="135"/>
      <c r="BC2679" s="135"/>
      <c r="BD2679" s="135"/>
      <c r="BE2679" s="135"/>
      <c r="BF2679" s="135"/>
      <c r="BG2679" s="135"/>
      <c r="BH2679" s="135"/>
      <c r="BI2679" s="2"/>
      <c r="BJ2679" s="136"/>
      <c r="BK2679" s="2"/>
      <c r="BL2679" s="136"/>
      <c r="BM2679" s="136"/>
      <c r="BN2679" s="2"/>
      <c r="BO2679" s="2"/>
      <c r="BP2679" s="136"/>
      <c r="BQ2679" s="137"/>
    </row>
    <row r="2680" spans="1:69" ht="12.75" customHeight="1" x14ac:dyDescent="0.2">
      <c r="A2680" s="2">
        <v>4169</v>
      </c>
      <c r="B2680" s="2"/>
      <c r="C2680" s="2"/>
      <c r="D2680" s="2"/>
      <c r="E2680" s="2"/>
      <c r="F2680" s="132">
        <v>0</v>
      </c>
      <c r="G2680" s="132"/>
      <c r="H2680" s="132">
        <f t="shared" si="304"/>
        <v>0</v>
      </c>
      <c r="I2680" s="132"/>
      <c r="J2680" s="132">
        <f t="shared" si="302"/>
        <v>0</v>
      </c>
      <c r="K2680" s="132">
        <f t="shared" si="305"/>
        <v>0</v>
      </c>
      <c r="L2680" s="132">
        <f t="shared" si="299"/>
        <v>0</v>
      </c>
      <c r="M2680" s="133"/>
      <c r="N2680" s="133">
        <f t="shared" si="303"/>
        <v>0</v>
      </c>
      <c r="O2680" s="134"/>
      <c r="P2680" s="133"/>
      <c r="Q2680" s="2"/>
      <c r="R2680" s="156">
        <f t="shared" si="300"/>
        <v>0</v>
      </c>
      <c r="S2680" s="156">
        <f t="shared" si="301"/>
        <v>0</v>
      </c>
      <c r="T2680" s="133"/>
      <c r="U2680" s="133"/>
      <c r="V2680" s="133"/>
      <c r="W2680" s="133"/>
      <c r="X2680" s="133"/>
      <c r="Y2680" s="133"/>
      <c r="Z2680" s="133"/>
      <c r="AA2680" s="133"/>
      <c r="AB2680" s="133"/>
      <c r="AC2680" s="133"/>
      <c r="AD2680" s="133"/>
      <c r="AE2680" s="133"/>
      <c r="AF2680" s="133"/>
      <c r="AG2680" s="133"/>
      <c r="AH2680" s="133"/>
      <c r="AI2680" s="133"/>
      <c r="AJ2680" s="133"/>
      <c r="AK2680" s="133"/>
      <c r="AL2680" s="133"/>
      <c r="AM2680" s="133"/>
      <c r="AN2680" s="133"/>
      <c r="AO2680" s="133"/>
      <c r="AP2680" s="133"/>
      <c r="AQ2680" s="133"/>
      <c r="AR2680" s="133"/>
      <c r="AS2680" s="153">
        <v>0</v>
      </c>
      <c r="AT2680" s="153">
        <v>0</v>
      </c>
      <c r="AU2680" s="153">
        <v>0</v>
      </c>
      <c r="AV2680" s="135"/>
      <c r="AW2680" s="135"/>
      <c r="AX2680" s="135"/>
      <c r="AY2680" s="135"/>
      <c r="AZ2680" s="135"/>
      <c r="BA2680" s="135"/>
      <c r="BB2680" s="135"/>
      <c r="BC2680" s="135"/>
      <c r="BD2680" s="135"/>
      <c r="BE2680" s="135"/>
      <c r="BF2680" s="135"/>
      <c r="BG2680" s="135"/>
      <c r="BH2680" s="135"/>
      <c r="BI2680" s="2"/>
      <c r="BJ2680" s="136"/>
      <c r="BK2680" s="2"/>
      <c r="BL2680" s="136"/>
      <c r="BM2680" s="136"/>
      <c r="BN2680" s="2"/>
      <c r="BO2680" s="2"/>
      <c r="BP2680" s="136"/>
      <c r="BQ2680" s="137"/>
    </row>
    <row r="2681" spans="1:69" ht="12.75" customHeight="1" x14ac:dyDescent="0.2">
      <c r="A2681" s="2">
        <v>4170</v>
      </c>
      <c r="B2681" s="2"/>
      <c r="C2681" s="2"/>
      <c r="D2681" s="2"/>
      <c r="E2681" s="2"/>
      <c r="F2681" s="132">
        <v>0</v>
      </c>
      <c r="G2681" s="132"/>
      <c r="H2681" s="132">
        <f t="shared" si="304"/>
        <v>0</v>
      </c>
      <c r="I2681" s="132"/>
      <c r="J2681" s="132">
        <f t="shared" si="302"/>
        <v>0</v>
      </c>
      <c r="K2681" s="132">
        <f t="shared" si="305"/>
        <v>0</v>
      </c>
      <c r="L2681" s="132">
        <f t="shared" si="299"/>
        <v>0</v>
      </c>
      <c r="M2681" s="133"/>
      <c r="N2681" s="133">
        <f t="shared" si="303"/>
        <v>0</v>
      </c>
      <c r="O2681" s="134"/>
      <c r="P2681" s="133"/>
      <c r="Q2681" s="2"/>
      <c r="R2681" s="156">
        <f t="shared" si="300"/>
        <v>0</v>
      </c>
      <c r="S2681" s="156">
        <f t="shared" si="301"/>
        <v>0</v>
      </c>
      <c r="T2681" s="133"/>
      <c r="U2681" s="133"/>
      <c r="V2681" s="133"/>
      <c r="W2681" s="133"/>
      <c r="X2681" s="133"/>
      <c r="Y2681" s="133"/>
      <c r="Z2681" s="133"/>
      <c r="AA2681" s="133"/>
      <c r="AB2681" s="133"/>
      <c r="AC2681" s="133"/>
      <c r="AD2681" s="133"/>
      <c r="AE2681" s="133"/>
      <c r="AF2681" s="133"/>
      <c r="AG2681" s="133"/>
      <c r="AH2681" s="133"/>
      <c r="AI2681" s="133"/>
      <c r="AJ2681" s="133"/>
      <c r="AK2681" s="133"/>
      <c r="AL2681" s="133"/>
      <c r="AM2681" s="133"/>
      <c r="AN2681" s="133"/>
      <c r="AO2681" s="133"/>
      <c r="AP2681" s="133"/>
      <c r="AQ2681" s="133"/>
      <c r="AR2681" s="133"/>
      <c r="AS2681" s="153">
        <v>0</v>
      </c>
      <c r="AT2681" s="153">
        <v>0</v>
      </c>
      <c r="AU2681" s="153">
        <v>0</v>
      </c>
      <c r="AV2681" s="135"/>
      <c r="AW2681" s="135"/>
      <c r="AX2681" s="135"/>
      <c r="AY2681" s="135"/>
      <c r="AZ2681" s="135"/>
      <c r="BA2681" s="135"/>
      <c r="BB2681" s="135"/>
      <c r="BC2681" s="135"/>
      <c r="BD2681" s="135"/>
      <c r="BE2681" s="135"/>
      <c r="BF2681" s="135"/>
      <c r="BG2681" s="135"/>
      <c r="BH2681" s="135"/>
      <c r="BI2681" s="2"/>
      <c r="BJ2681" s="136"/>
      <c r="BK2681" s="2"/>
      <c r="BL2681" s="136"/>
      <c r="BM2681" s="136"/>
      <c r="BN2681" s="2"/>
      <c r="BO2681" s="2"/>
      <c r="BP2681" s="136"/>
      <c r="BQ2681" s="137"/>
    </row>
    <row r="2682" spans="1:69" ht="12.75" customHeight="1" x14ac:dyDescent="0.2">
      <c r="A2682" s="2">
        <v>4171</v>
      </c>
      <c r="B2682" s="2"/>
      <c r="C2682" s="2"/>
      <c r="D2682" s="2"/>
      <c r="E2682" s="2"/>
      <c r="F2682" s="132">
        <v>0</v>
      </c>
      <c r="G2682" s="132"/>
      <c r="H2682" s="132">
        <f t="shared" si="304"/>
        <v>0</v>
      </c>
      <c r="I2682" s="132"/>
      <c r="J2682" s="132">
        <f t="shared" si="302"/>
        <v>0</v>
      </c>
      <c r="K2682" s="132">
        <f t="shared" si="305"/>
        <v>0</v>
      </c>
      <c r="L2682" s="132">
        <f t="shared" si="299"/>
        <v>0</v>
      </c>
      <c r="M2682" s="133"/>
      <c r="N2682" s="133">
        <f t="shared" si="303"/>
        <v>0</v>
      </c>
      <c r="O2682" s="134"/>
      <c r="P2682" s="133"/>
      <c r="Q2682" s="2"/>
      <c r="R2682" s="156">
        <f t="shared" si="300"/>
        <v>0</v>
      </c>
      <c r="S2682" s="156">
        <f t="shared" si="301"/>
        <v>0</v>
      </c>
      <c r="T2682" s="133"/>
      <c r="U2682" s="133"/>
      <c r="V2682" s="133"/>
      <c r="W2682" s="133"/>
      <c r="X2682" s="133"/>
      <c r="Y2682" s="133"/>
      <c r="Z2682" s="133"/>
      <c r="AA2682" s="133"/>
      <c r="AB2682" s="133"/>
      <c r="AC2682" s="133"/>
      <c r="AD2682" s="133"/>
      <c r="AE2682" s="133"/>
      <c r="AF2682" s="133"/>
      <c r="AG2682" s="133"/>
      <c r="AH2682" s="133"/>
      <c r="AI2682" s="133"/>
      <c r="AJ2682" s="133"/>
      <c r="AK2682" s="133"/>
      <c r="AL2682" s="133"/>
      <c r="AM2682" s="133"/>
      <c r="AN2682" s="133"/>
      <c r="AO2682" s="133"/>
      <c r="AP2682" s="133"/>
      <c r="AQ2682" s="133"/>
      <c r="AR2682" s="133"/>
      <c r="AS2682" s="153">
        <v>0</v>
      </c>
      <c r="AT2682" s="153">
        <v>0</v>
      </c>
      <c r="AU2682" s="153">
        <v>0</v>
      </c>
      <c r="AV2682" s="135"/>
      <c r="AW2682" s="135"/>
      <c r="AX2682" s="135"/>
      <c r="AY2682" s="135"/>
      <c r="AZ2682" s="135"/>
      <c r="BA2682" s="135"/>
      <c r="BB2682" s="135"/>
      <c r="BC2682" s="135"/>
      <c r="BD2682" s="135"/>
      <c r="BE2682" s="135"/>
      <c r="BF2682" s="135"/>
      <c r="BG2682" s="135"/>
      <c r="BH2682" s="135"/>
      <c r="BI2682" s="2"/>
      <c r="BJ2682" s="136"/>
      <c r="BK2682" s="2"/>
      <c r="BL2682" s="136"/>
      <c r="BM2682" s="136"/>
      <c r="BN2682" s="2"/>
      <c r="BO2682" s="2"/>
      <c r="BP2682" s="136"/>
      <c r="BQ2682" s="137"/>
    </row>
    <row r="2683" spans="1:69" ht="12.75" customHeight="1" x14ac:dyDescent="0.2">
      <c r="A2683" s="2">
        <v>4172</v>
      </c>
      <c r="B2683" s="2"/>
      <c r="C2683" s="2"/>
      <c r="D2683" s="2"/>
      <c r="E2683" s="2"/>
      <c r="F2683" s="132">
        <v>0</v>
      </c>
      <c r="G2683" s="132"/>
      <c r="H2683" s="132">
        <f t="shared" si="304"/>
        <v>0</v>
      </c>
      <c r="I2683" s="132"/>
      <c r="J2683" s="132">
        <f t="shared" si="302"/>
        <v>0</v>
      </c>
      <c r="K2683" s="132">
        <f t="shared" si="305"/>
        <v>0</v>
      </c>
      <c r="L2683" s="132">
        <f t="shared" si="299"/>
        <v>0</v>
      </c>
      <c r="M2683" s="133"/>
      <c r="N2683" s="133">
        <f t="shared" si="303"/>
        <v>0</v>
      </c>
      <c r="O2683" s="134"/>
      <c r="P2683" s="133"/>
      <c r="Q2683" s="2"/>
      <c r="R2683" s="156">
        <f t="shared" si="300"/>
        <v>0</v>
      </c>
      <c r="S2683" s="156">
        <f t="shared" si="301"/>
        <v>0</v>
      </c>
      <c r="T2683" s="133"/>
      <c r="U2683" s="133"/>
      <c r="V2683" s="133"/>
      <c r="W2683" s="133"/>
      <c r="X2683" s="133"/>
      <c r="Y2683" s="133"/>
      <c r="Z2683" s="133"/>
      <c r="AA2683" s="133"/>
      <c r="AB2683" s="133"/>
      <c r="AC2683" s="133"/>
      <c r="AD2683" s="133"/>
      <c r="AE2683" s="133"/>
      <c r="AF2683" s="133"/>
      <c r="AG2683" s="133"/>
      <c r="AH2683" s="133"/>
      <c r="AI2683" s="133"/>
      <c r="AJ2683" s="133"/>
      <c r="AK2683" s="133"/>
      <c r="AL2683" s="133"/>
      <c r="AM2683" s="133"/>
      <c r="AN2683" s="133"/>
      <c r="AO2683" s="133"/>
      <c r="AP2683" s="133"/>
      <c r="AQ2683" s="133"/>
      <c r="AR2683" s="133"/>
      <c r="AS2683" s="153">
        <v>0</v>
      </c>
      <c r="AT2683" s="153">
        <v>0</v>
      </c>
      <c r="AU2683" s="153">
        <v>0</v>
      </c>
      <c r="AV2683" s="135"/>
      <c r="AW2683" s="135"/>
      <c r="AX2683" s="135"/>
      <c r="AY2683" s="135"/>
      <c r="AZ2683" s="135"/>
      <c r="BA2683" s="135"/>
      <c r="BB2683" s="135"/>
      <c r="BC2683" s="135"/>
      <c r="BD2683" s="135"/>
      <c r="BE2683" s="135"/>
      <c r="BF2683" s="135"/>
      <c r="BG2683" s="135"/>
      <c r="BH2683" s="135"/>
      <c r="BI2683" s="2"/>
      <c r="BJ2683" s="136"/>
      <c r="BK2683" s="2"/>
      <c r="BL2683" s="136"/>
      <c r="BM2683" s="136"/>
      <c r="BN2683" s="2"/>
      <c r="BO2683" s="2"/>
      <c r="BP2683" s="136"/>
      <c r="BQ2683" s="137"/>
    </row>
    <row r="2684" spans="1:69" ht="12.75" customHeight="1" x14ac:dyDescent="0.2">
      <c r="A2684" s="2">
        <v>4173</v>
      </c>
      <c r="B2684" s="2"/>
      <c r="C2684" s="2"/>
      <c r="D2684" s="2"/>
      <c r="E2684" s="2"/>
      <c r="F2684" s="132">
        <v>0</v>
      </c>
      <c r="G2684" s="132"/>
      <c r="H2684" s="132">
        <f t="shared" si="304"/>
        <v>0</v>
      </c>
      <c r="I2684" s="132"/>
      <c r="J2684" s="132">
        <f t="shared" si="302"/>
        <v>0</v>
      </c>
      <c r="K2684" s="132">
        <f t="shared" si="305"/>
        <v>0</v>
      </c>
      <c r="L2684" s="132">
        <f t="shared" si="299"/>
        <v>0</v>
      </c>
      <c r="M2684" s="133"/>
      <c r="N2684" s="133">
        <f t="shared" si="303"/>
        <v>0</v>
      </c>
      <c r="O2684" s="134"/>
      <c r="P2684" s="133"/>
      <c r="Q2684" s="2"/>
      <c r="R2684" s="156">
        <f t="shared" si="300"/>
        <v>0</v>
      </c>
      <c r="S2684" s="156">
        <f t="shared" si="301"/>
        <v>0</v>
      </c>
      <c r="T2684" s="133"/>
      <c r="U2684" s="133"/>
      <c r="V2684" s="133"/>
      <c r="W2684" s="133"/>
      <c r="X2684" s="133"/>
      <c r="Y2684" s="133"/>
      <c r="Z2684" s="133"/>
      <c r="AA2684" s="133"/>
      <c r="AB2684" s="133"/>
      <c r="AC2684" s="133"/>
      <c r="AD2684" s="133"/>
      <c r="AE2684" s="133"/>
      <c r="AF2684" s="133"/>
      <c r="AG2684" s="133"/>
      <c r="AH2684" s="133"/>
      <c r="AI2684" s="133"/>
      <c r="AJ2684" s="133"/>
      <c r="AK2684" s="133"/>
      <c r="AL2684" s="133"/>
      <c r="AM2684" s="133"/>
      <c r="AN2684" s="133"/>
      <c r="AO2684" s="133"/>
      <c r="AP2684" s="133"/>
      <c r="AQ2684" s="133"/>
      <c r="AR2684" s="133"/>
      <c r="AS2684" s="153">
        <v>0</v>
      </c>
      <c r="AT2684" s="153">
        <v>0</v>
      </c>
      <c r="AU2684" s="153">
        <v>0</v>
      </c>
      <c r="AV2684" s="135"/>
      <c r="AW2684" s="135"/>
      <c r="AX2684" s="135"/>
      <c r="AY2684" s="135"/>
      <c r="AZ2684" s="135"/>
      <c r="BA2684" s="135"/>
      <c r="BB2684" s="135"/>
      <c r="BC2684" s="135"/>
      <c r="BD2684" s="135"/>
      <c r="BE2684" s="135"/>
      <c r="BF2684" s="135"/>
      <c r="BG2684" s="135"/>
      <c r="BH2684" s="135"/>
      <c r="BI2684" s="2"/>
      <c r="BJ2684" s="136"/>
      <c r="BK2684" s="2"/>
      <c r="BL2684" s="136"/>
      <c r="BM2684" s="136"/>
      <c r="BN2684" s="2"/>
      <c r="BO2684" s="2"/>
      <c r="BP2684" s="136"/>
      <c r="BQ2684" s="137"/>
    </row>
    <row r="2685" spans="1:69" ht="12.75" customHeight="1" x14ac:dyDescent="0.2">
      <c r="A2685" s="2">
        <v>4174</v>
      </c>
      <c r="B2685" s="2"/>
      <c r="C2685" s="2"/>
      <c r="D2685" s="2"/>
      <c r="E2685" s="2"/>
      <c r="F2685" s="132">
        <v>0</v>
      </c>
      <c r="G2685" s="132"/>
      <c r="H2685" s="132">
        <f t="shared" si="304"/>
        <v>0</v>
      </c>
      <c r="I2685" s="132"/>
      <c r="J2685" s="132">
        <f t="shared" si="302"/>
        <v>0</v>
      </c>
      <c r="K2685" s="132">
        <f t="shared" si="305"/>
        <v>0</v>
      </c>
      <c r="L2685" s="132">
        <f t="shared" si="299"/>
        <v>0</v>
      </c>
      <c r="M2685" s="133"/>
      <c r="N2685" s="133">
        <f t="shared" si="303"/>
        <v>0</v>
      </c>
      <c r="O2685" s="134"/>
      <c r="P2685" s="133"/>
      <c r="Q2685" s="2"/>
      <c r="R2685" s="156">
        <f t="shared" si="300"/>
        <v>0</v>
      </c>
      <c r="S2685" s="156">
        <f t="shared" si="301"/>
        <v>0</v>
      </c>
      <c r="T2685" s="133"/>
      <c r="U2685" s="133"/>
      <c r="V2685" s="133"/>
      <c r="W2685" s="133"/>
      <c r="X2685" s="133"/>
      <c r="Y2685" s="133"/>
      <c r="Z2685" s="133"/>
      <c r="AA2685" s="133"/>
      <c r="AB2685" s="133"/>
      <c r="AC2685" s="133"/>
      <c r="AD2685" s="133"/>
      <c r="AE2685" s="133"/>
      <c r="AF2685" s="133"/>
      <c r="AG2685" s="133"/>
      <c r="AH2685" s="133"/>
      <c r="AI2685" s="133"/>
      <c r="AJ2685" s="133"/>
      <c r="AK2685" s="133"/>
      <c r="AL2685" s="133"/>
      <c r="AM2685" s="133"/>
      <c r="AN2685" s="133"/>
      <c r="AO2685" s="133"/>
      <c r="AP2685" s="133"/>
      <c r="AQ2685" s="133"/>
      <c r="AR2685" s="133"/>
      <c r="AS2685" s="153">
        <v>0</v>
      </c>
      <c r="AT2685" s="153">
        <v>0</v>
      </c>
      <c r="AU2685" s="153">
        <v>0</v>
      </c>
      <c r="AV2685" s="135"/>
      <c r="AW2685" s="135"/>
      <c r="AX2685" s="135"/>
      <c r="AY2685" s="135"/>
      <c r="AZ2685" s="135"/>
      <c r="BA2685" s="135"/>
      <c r="BB2685" s="135"/>
      <c r="BC2685" s="135"/>
      <c r="BD2685" s="135"/>
      <c r="BE2685" s="135"/>
      <c r="BF2685" s="135"/>
      <c r="BG2685" s="135"/>
      <c r="BH2685" s="135"/>
      <c r="BI2685" s="2"/>
      <c r="BJ2685" s="136"/>
      <c r="BK2685" s="2"/>
      <c r="BL2685" s="136"/>
      <c r="BM2685" s="136"/>
      <c r="BN2685" s="2"/>
      <c r="BO2685" s="2"/>
      <c r="BP2685" s="136"/>
      <c r="BQ2685" s="137"/>
    </row>
    <row r="2686" spans="1:69" ht="12.75" customHeight="1" x14ac:dyDescent="0.2">
      <c r="A2686" s="2">
        <v>4175</v>
      </c>
      <c r="B2686" s="2"/>
      <c r="C2686" s="2"/>
      <c r="D2686" s="2"/>
      <c r="E2686" s="2"/>
      <c r="F2686" s="132">
        <v>0</v>
      </c>
      <c r="G2686" s="132"/>
      <c r="H2686" s="132">
        <f t="shared" si="304"/>
        <v>0</v>
      </c>
      <c r="I2686" s="132"/>
      <c r="J2686" s="132">
        <f t="shared" si="302"/>
        <v>0</v>
      </c>
      <c r="K2686" s="132">
        <f t="shared" si="305"/>
        <v>0</v>
      </c>
      <c r="L2686" s="132">
        <f t="shared" si="299"/>
        <v>0</v>
      </c>
      <c r="M2686" s="133"/>
      <c r="N2686" s="133">
        <f t="shared" si="303"/>
        <v>0</v>
      </c>
      <c r="O2686" s="134"/>
      <c r="P2686" s="133"/>
      <c r="Q2686" s="2"/>
      <c r="R2686" s="156">
        <f t="shared" si="300"/>
        <v>0</v>
      </c>
      <c r="S2686" s="156">
        <f t="shared" si="301"/>
        <v>0</v>
      </c>
      <c r="T2686" s="133"/>
      <c r="U2686" s="133"/>
      <c r="V2686" s="133"/>
      <c r="W2686" s="133"/>
      <c r="X2686" s="133"/>
      <c r="Y2686" s="133"/>
      <c r="Z2686" s="133"/>
      <c r="AA2686" s="133"/>
      <c r="AB2686" s="133"/>
      <c r="AC2686" s="133"/>
      <c r="AD2686" s="133"/>
      <c r="AE2686" s="133"/>
      <c r="AF2686" s="133"/>
      <c r="AG2686" s="133"/>
      <c r="AH2686" s="133"/>
      <c r="AI2686" s="133"/>
      <c r="AJ2686" s="133"/>
      <c r="AK2686" s="133"/>
      <c r="AL2686" s="133"/>
      <c r="AM2686" s="133"/>
      <c r="AN2686" s="133"/>
      <c r="AO2686" s="133"/>
      <c r="AP2686" s="133"/>
      <c r="AQ2686" s="133"/>
      <c r="AR2686" s="133"/>
      <c r="AS2686" s="153">
        <v>0</v>
      </c>
      <c r="AT2686" s="153">
        <v>0</v>
      </c>
      <c r="AU2686" s="153">
        <v>0</v>
      </c>
      <c r="AV2686" s="135"/>
      <c r="AW2686" s="135"/>
      <c r="AX2686" s="135"/>
      <c r="AY2686" s="135"/>
      <c r="AZ2686" s="135"/>
      <c r="BA2686" s="135"/>
      <c r="BB2686" s="135"/>
      <c r="BC2686" s="135"/>
      <c r="BD2686" s="135"/>
      <c r="BE2686" s="135"/>
      <c r="BF2686" s="135"/>
      <c r="BG2686" s="135"/>
      <c r="BH2686" s="135"/>
      <c r="BI2686" s="2"/>
      <c r="BJ2686" s="136"/>
      <c r="BK2686" s="2"/>
      <c r="BL2686" s="136"/>
      <c r="BM2686" s="136"/>
      <c r="BN2686" s="2"/>
      <c r="BO2686" s="2"/>
      <c r="BP2686" s="136"/>
      <c r="BQ2686" s="137"/>
    </row>
    <row r="2687" spans="1:69" ht="12.75" customHeight="1" x14ac:dyDescent="0.2">
      <c r="A2687" s="2">
        <v>4176</v>
      </c>
      <c r="B2687" s="2"/>
      <c r="C2687" s="2"/>
      <c r="D2687" s="2"/>
      <c r="E2687" s="2"/>
      <c r="F2687" s="132">
        <v>0</v>
      </c>
      <c r="G2687" s="132"/>
      <c r="H2687" s="132">
        <f t="shared" si="304"/>
        <v>0</v>
      </c>
      <c r="I2687" s="132"/>
      <c r="J2687" s="132">
        <f t="shared" si="302"/>
        <v>0</v>
      </c>
      <c r="K2687" s="132">
        <f t="shared" si="305"/>
        <v>0</v>
      </c>
      <c r="L2687" s="132">
        <f t="shared" si="299"/>
        <v>0</v>
      </c>
      <c r="M2687" s="133"/>
      <c r="N2687" s="133">
        <f t="shared" si="303"/>
        <v>0</v>
      </c>
      <c r="O2687" s="134"/>
      <c r="P2687" s="133"/>
      <c r="Q2687" s="2"/>
      <c r="R2687" s="156">
        <f t="shared" si="300"/>
        <v>0</v>
      </c>
      <c r="S2687" s="156">
        <f t="shared" si="301"/>
        <v>0</v>
      </c>
      <c r="T2687" s="133"/>
      <c r="U2687" s="133"/>
      <c r="V2687" s="133"/>
      <c r="W2687" s="133"/>
      <c r="X2687" s="133"/>
      <c r="Y2687" s="133"/>
      <c r="Z2687" s="133"/>
      <c r="AA2687" s="133"/>
      <c r="AB2687" s="133"/>
      <c r="AC2687" s="133"/>
      <c r="AD2687" s="133"/>
      <c r="AE2687" s="133"/>
      <c r="AF2687" s="133"/>
      <c r="AG2687" s="133"/>
      <c r="AH2687" s="133"/>
      <c r="AI2687" s="133"/>
      <c r="AJ2687" s="133"/>
      <c r="AK2687" s="133"/>
      <c r="AL2687" s="133"/>
      <c r="AM2687" s="133"/>
      <c r="AN2687" s="133"/>
      <c r="AO2687" s="133"/>
      <c r="AP2687" s="133"/>
      <c r="AQ2687" s="133"/>
      <c r="AR2687" s="133"/>
      <c r="AS2687" s="153">
        <v>0</v>
      </c>
      <c r="AT2687" s="153">
        <v>0</v>
      </c>
      <c r="AU2687" s="153">
        <v>0</v>
      </c>
      <c r="AV2687" s="135"/>
      <c r="AW2687" s="135"/>
      <c r="AX2687" s="135"/>
      <c r="AY2687" s="135"/>
      <c r="AZ2687" s="135"/>
      <c r="BA2687" s="135"/>
      <c r="BB2687" s="135"/>
      <c r="BC2687" s="135"/>
      <c r="BD2687" s="135"/>
      <c r="BE2687" s="135"/>
      <c r="BF2687" s="135"/>
      <c r="BG2687" s="135"/>
      <c r="BH2687" s="135"/>
      <c r="BI2687" s="2"/>
      <c r="BJ2687" s="136"/>
      <c r="BK2687" s="2"/>
      <c r="BL2687" s="136"/>
      <c r="BM2687" s="136"/>
      <c r="BN2687" s="2"/>
      <c r="BO2687" s="2"/>
      <c r="BP2687" s="136"/>
      <c r="BQ2687" s="137"/>
    </row>
    <row r="2688" spans="1:69" ht="12.75" customHeight="1" x14ac:dyDescent="0.2">
      <c r="A2688" s="2">
        <v>4177</v>
      </c>
      <c r="B2688" s="2"/>
      <c r="C2688" s="2"/>
      <c r="D2688" s="2"/>
      <c r="E2688" s="2"/>
      <c r="F2688" s="132">
        <v>0</v>
      </c>
      <c r="G2688" s="132"/>
      <c r="H2688" s="132">
        <f t="shared" si="304"/>
        <v>0</v>
      </c>
      <c r="I2688" s="132"/>
      <c r="J2688" s="132">
        <f t="shared" si="302"/>
        <v>0</v>
      </c>
      <c r="K2688" s="132">
        <f t="shared" si="305"/>
        <v>0</v>
      </c>
      <c r="L2688" s="132">
        <f t="shared" si="299"/>
        <v>0</v>
      </c>
      <c r="M2688" s="133"/>
      <c r="N2688" s="133">
        <f t="shared" si="303"/>
        <v>0</v>
      </c>
      <c r="O2688" s="134"/>
      <c r="P2688" s="133"/>
      <c r="Q2688" s="2"/>
      <c r="R2688" s="156">
        <f t="shared" si="300"/>
        <v>0</v>
      </c>
      <c r="S2688" s="156">
        <f t="shared" si="301"/>
        <v>0</v>
      </c>
      <c r="T2688" s="133"/>
      <c r="U2688" s="133"/>
      <c r="V2688" s="133"/>
      <c r="W2688" s="133"/>
      <c r="X2688" s="133"/>
      <c r="Y2688" s="133"/>
      <c r="Z2688" s="133"/>
      <c r="AA2688" s="133"/>
      <c r="AB2688" s="133"/>
      <c r="AC2688" s="133"/>
      <c r="AD2688" s="133"/>
      <c r="AE2688" s="133"/>
      <c r="AF2688" s="133"/>
      <c r="AG2688" s="133"/>
      <c r="AH2688" s="133"/>
      <c r="AI2688" s="133"/>
      <c r="AJ2688" s="133"/>
      <c r="AK2688" s="133"/>
      <c r="AL2688" s="133"/>
      <c r="AM2688" s="133"/>
      <c r="AN2688" s="133"/>
      <c r="AO2688" s="133"/>
      <c r="AP2688" s="133"/>
      <c r="AQ2688" s="133"/>
      <c r="AR2688" s="133"/>
      <c r="AS2688" s="153">
        <v>0</v>
      </c>
      <c r="AT2688" s="153">
        <v>0</v>
      </c>
      <c r="AU2688" s="153">
        <v>0</v>
      </c>
      <c r="AV2688" s="135"/>
      <c r="AW2688" s="135"/>
      <c r="AX2688" s="135"/>
      <c r="AY2688" s="135"/>
      <c r="AZ2688" s="135"/>
      <c r="BA2688" s="135"/>
      <c r="BB2688" s="135"/>
      <c r="BC2688" s="135"/>
      <c r="BD2688" s="135"/>
      <c r="BE2688" s="135"/>
      <c r="BF2688" s="135"/>
      <c r="BG2688" s="135"/>
      <c r="BH2688" s="135"/>
      <c r="BI2688" s="2"/>
      <c r="BJ2688" s="136"/>
      <c r="BK2688" s="2"/>
      <c r="BL2688" s="136"/>
      <c r="BM2688" s="136"/>
      <c r="BN2688" s="2"/>
      <c r="BO2688" s="2"/>
      <c r="BP2688" s="136"/>
      <c r="BQ2688" s="137"/>
    </row>
    <row r="2689" spans="1:69" ht="12.75" customHeight="1" x14ac:dyDescent="0.2">
      <c r="A2689" s="2">
        <v>4178</v>
      </c>
      <c r="B2689" s="2"/>
      <c r="C2689" s="2"/>
      <c r="D2689" s="2"/>
      <c r="E2689" s="2"/>
      <c r="F2689" s="132">
        <v>0</v>
      </c>
      <c r="G2689" s="132"/>
      <c r="H2689" s="132">
        <f t="shared" si="304"/>
        <v>0</v>
      </c>
      <c r="I2689" s="132"/>
      <c r="J2689" s="132">
        <f t="shared" si="302"/>
        <v>0</v>
      </c>
      <c r="K2689" s="132">
        <f t="shared" si="305"/>
        <v>0</v>
      </c>
      <c r="L2689" s="132">
        <f t="shared" si="299"/>
        <v>0</v>
      </c>
      <c r="M2689" s="133"/>
      <c r="N2689" s="133">
        <f t="shared" si="303"/>
        <v>0</v>
      </c>
      <c r="O2689" s="134"/>
      <c r="P2689" s="133"/>
      <c r="Q2689" s="2"/>
      <c r="R2689" s="156">
        <f t="shared" si="300"/>
        <v>0</v>
      </c>
      <c r="S2689" s="156">
        <f t="shared" si="301"/>
        <v>0</v>
      </c>
      <c r="T2689" s="133"/>
      <c r="U2689" s="133"/>
      <c r="V2689" s="133"/>
      <c r="W2689" s="133"/>
      <c r="X2689" s="133"/>
      <c r="Y2689" s="133"/>
      <c r="Z2689" s="133"/>
      <c r="AA2689" s="133"/>
      <c r="AB2689" s="133"/>
      <c r="AC2689" s="133"/>
      <c r="AD2689" s="133"/>
      <c r="AE2689" s="133"/>
      <c r="AF2689" s="133"/>
      <c r="AG2689" s="133"/>
      <c r="AH2689" s="133"/>
      <c r="AI2689" s="133"/>
      <c r="AJ2689" s="133"/>
      <c r="AK2689" s="133"/>
      <c r="AL2689" s="133"/>
      <c r="AM2689" s="133"/>
      <c r="AN2689" s="133"/>
      <c r="AO2689" s="133"/>
      <c r="AP2689" s="133"/>
      <c r="AQ2689" s="133"/>
      <c r="AR2689" s="133"/>
      <c r="AS2689" s="153">
        <v>0</v>
      </c>
      <c r="AT2689" s="153">
        <v>0</v>
      </c>
      <c r="AU2689" s="153">
        <v>0</v>
      </c>
      <c r="AV2689" s="135"/>
      <c r="AW2689" s="135"/>
      <c r="AX2689" s="135"/>
      <c r="AY2689" s="135"/>
      <c r="AZ2689" s="135"/>
      <c r="BA2689" s="135"/>
      <c r="BB2689" s="135"/>
      <c r="BC2689" s="135"/>
      <c r="BD2689" s="135"/>
      <c r="BE2689" s="135"/>
      <c r="BF2689" s="135"/>
      <c r="BG2689" s="135"/>
      <c r="BH2689" s="135"/>
      <c r="BI2689" s="2"/>
      <c r="BJ2689" s="136"/>
      <c r="BK2689" s="2"/>
      <c r="BL2689" s="136"/>
      <c r="BM2689" s="136"/>
      <c r="BN2689" s="2"/>
      <c r="BO2689" s="2"/>
      <c r="BP2689" s="136"/>
      <c r="BQ2689" s="137"/>
    </row>
    <row r="2690" spans="1:69" ht="12.75" customHeight="1" x14ac:dyDescent="0.2">
      <c r="A2690" s="2">
        <v>4179</v>
      </c>
      <c r="B2690" s="2"/>
      <c r="C2690" s="2"/>
      <c r="D2690" s="2"/>
      <c r="E2690" s="2"/>
      <c r="F2690" s="132">
        <v>0</v>
      </c>
      <c r="G2690" s="132"/>
      <c r="H2690" s="132">
        <f t="shared" si="304"/>
        <v>0</v>
      </c>
      <c r="I2690" s="132"/>
      <c r="J2690" s="132">
        <f t="shared" si="302"/>
        <v>0</v>
      </c>
      <c r="K2690" s="132">
        <f t="shared" si="305"/>
        <v>0</v>
      </c>
      <c r="L2690" s="132">
        <f t="shared" si="299"/>
        <v>0</v>
      </c>
      <c r="M2690" s="133"/>
      <c r="N2690" s="133">
        <f t="shared" si="303"/>
        <v>0</v>
      </c>
      <c r="O2690" s="134"/>
      <c r="P2690" s="133"/>
      <c r="Q2690" s="2"/>
      <c r="R2690" s="156">
        <f t="shared" si="300"/>
        <v>0</v>
      </c>
      <c r="S2690" s="156">
        <f t="shared" si="301"/>
        <v>0</v>
      </c>
      <c r="T2690" s="133"/>
      <c r="U2690" s="133"/>
      <c r="V2690" s="133"/>
      <c r="W2690" s="133"/>
      <c r="X2690" s="133"/>
      <c r="Y2690" s="133"/>
      <c r="Z2690" s="133"/>
      <c r="AA2690" s="133"/>
      <c r="AB2690" s="133"/>
      <c r="AC2690" s="133"/>
      <c r="AD2690" s="133"/>
      <c r="AE2690" s="133"/>
      <c r="AF2690" s="133"/>
      <c r="AG2690" s="133"/>
      <c r="AH2690" s="133"/>
      <c r="AI2690" s="133"/>
      <c r="AJ2690" s="133"/>
      <c r="AK2690" s="133"/>
      <c r="AL2690" s="133"/>
      <c r="AM2690" s="133"/>
      <c r="AN2690" s="133"/>
      <c r="AO2690" s="133"/>
      <c r="AP2690" s="133"/>
      <c r="AQ2690" s="133"/>
      <c r="AR2690" s="133"/>
      <c r="AS2690" s="153">
        <v>0</v>
      </c>
      <c r="AT2690" s="153">
        <v>0</v>
      </c>
      <c r="AU2690" s="153">
        <v>0</v>
      </c>
      <c r="AV2690" s="135"/>
      <c r="AW2690" s="135"/>
      <c r="AX2690" s="135"/>
      <c r="AY2690" s="135"/>
      <c r="AZ2690" s="135"/>
      <c r="BA2690" s="135"/>
      <c r="BB2690" s="135"/>
      <c r="BC2690" s="135"/>
      <c r="BD2690" s="135"/>
      <c r="BE2690" s="135"/>
      <c r="BF2690" s="135"/>
      <c r="BG2690" s="135"/>
      <c r="BH2690" s="135"/>
      <c r="BI2690" s="2"/>
      <c r="BJ2690" s="136"/>
      <c r="BK2690" s="2"/>
      <c r="BL2690" s="136"/>
      <c r="BM2690" s="136"/>
      <c r="BN2690" s="2"/>
      <c r="BO2690" s="2"/>
      <c r="BP2690" s="136"/>
      <c r="BQ2690" s="137"/>
    </row>
    <row r="2691" spans="1:69" ht="12.75" customHeight="1" x14ac:dyDescent="0.2">
      <c r="A2691" s="2">
        <v>4180</v>
      </c>
      <c r="B2691" s="2"/>
      <c r="C2691" s="2"/>
      <c r="D2691" s="2"/>
      <c r="E2691" s="2"/>
      <c r="F2691" s="132">
        <v>0</v>
      </c>
      <c r="G2691" s="132"/>
      <c r="H2691" s="132">
        <f t="shared" si="304"/>
        <v>0</v>
      </c>
      <c r="I2691" s="132"/>
      <c r="J2691" s="132">
        <f t="shared" si="302"/>
        <v>0</v>
      </c>
      <c r="K2691" s="132">
        <f t="shared" si="305"/>
        <v>0</v>
      </c>
      <c r="L2691" s="132">
        <f t="shared" si="299"/>
        <v>0</v>
      </c>
      <c r="M2691" s="133"/>
      <c r="N2691" s="133">
        <f t="shared" si="303"/>
        <v>0</v>
      </c>
      <c r="O2691" s="134"/>
      <c r="P2691" s="133"/>
      <c r="Q2691" s="2"/>
      <c r="R2691" s="156">
        <f t="shared" si="300"/>
        <v>0</v>
      </c>
      <c r="S2691" s="156">
        <f t="shared" si="301"/>
        <v>0</v>
      </c>
      <c r="T2691" s="133"/>
      <c r="U2691" s="133"/>
      <c r="V2691" s="133"/>
      <c r="W2691" s="133"/>
      <c r="X2691" s="133"/>
      <c r="Y2691" s="133"/>
      <c r="Z2691" s="133"/>
      <c r="AA2691" s="133"/>
      <c r="AB2691" s="133"/>
      <c r="AC2691" s="133"/>
      <c r="AD2691" s="133"/>
      <c r="AE2691" s="133"/>
      <c r="AF2691" s="133"/>
      <c r="AG2691" s="133"/>
      <c r="AH2691" s="133"/>
      <c r="AI2691" s="133"/>
      <c r="AJ2691" s="133"/>
      <c r="AK2691" s="133"/>
      <c r="AL2691" s="133"/>
      <c r="AM2691" s="133"/>
      <c r="AN2691" s="133"/>
      <c r="AO2691" s="133"/>
      <c r="AP2691" s="133"/>
      <c r="AQ2691" s="133"/>
      <c r="AR2691" s="133"/>
      <c r="AS2691" s="153">
        <v>0</v>
      </c>
      <c r="AT2691" s="153">
        <v>0</v>
      </c>
      <c r="AU2691" s="153">
        <v>0</v>
      </c>
      <c r="AV2691" s="135"/>
      <c r="AW2691" s="135"/>
      <c r="AX2691" s="135"/>
      <c r="AY2691" s="135"/>
      <c r="AZ2691" s="135"/>
      <c r="BA2691" s="135"/>
      <c r="BB2691" s="135"/>
      <c r="BC2691" s="135"/>
      <c r="BD2691" s="135"/>
      <c r="BE2691" s="135"/>
      <c r="BF2691" s="135"/>
      <c r="BG2691" s="135"/>
      <c r="BH2691" s="135"/>
      <c r="BI2691" s="2"/>
      <c r="BJ2691" s="136"/>
      <c r="BK2691" s="2"/>
      <c r="BL2691" s="136"/>
      <c r="BM2691" s="136"/>
      <c r="BN2691" s="2"/>
      <c r="BO2691" s="2"/>
      <c r="BP2691" s="136"/>
      <c r="BQ2691" s="137"/>
    </row>
    <row r="2692" spans="1:69" ht="12.75" customHeight="1" x14ac:dyDescent="0.2">
      <c r="A2692" s="2">
        <v>4181</v>
      </c>
      <c r="B2692" s="2"/>
      <c r="C2692" s="2"/>
      <c r="D2692" s="2"/>
      <c r="E2692" s="2"/>
      <c r="F2692" s="132">
        <v>0</v>
      </c>
      <c r="G2692" s="132"/>
      <c r="H2692" s="132">
        <f t="shared" si="304"/>
        <v>0</v>
      </c>
      <c r="I2692" s="132"/>
      <c r="J2692" s="132">
        <f t="shared" si="302"/>
        <v>0</v>
      </c>
      <c r="K2692" s="132">
        <f t="shared" si="305"/>
        <v>0</v>
      </c>
      <c r="L2692" s="132">
        <f t="shared" si="299"/>
        <v>0</v>
      </c>
      <c r="M2692" s="133"/>
      <c r="N2692" s="133">
        <f t="shared" si="303"/>
        <v>0</v>
      </c>
      <c r="O2692" s="134"/>
      <c r="P2692" s="133"/>
      <c r="Q2692" s="2"/>
      <c r="R2692" s="156">
        <f t="shared" si="300"/>
        <v>0</v>
      </c>
      <c r="S2692" s="156">
        <f t="shared" si="301"/>
        <v>0</v>
      </c>
      <c r="T2692" s="133"/>
      <c r="U2692" s="133"/>
      <c r="V2692" s="133"/>
      <c r="W2692" s="133"/>
      <c r="X2692" s="133"/>
      <c r="Y2692" s="133"/>
      <c r="Z2692" s="133"/>
      <c r="AA2692" s="133"/>
      <c r="AB2692" s="133"/>
      <c r="AC2692" s="133"/>
      <c r="AD2692" s="133"/>
      <c r="AE2692" s="133"/>
      <c r="AF2692" s="133"/>
      <c r="AG2692" s="133"/>
      <c r="AH2692" s="133"/>
      <c r="AI2692" s="133"/>
      <c r="AJ2692" s="133"/>
      <c r="AK2692" s="133"/>
      <c r="AL2692" s="133"/>
      <c r="AM2692" s="133"/>
      <c r="AN2692" s="133"/>
      <c r="AO2692" s="133"/>
      <c r="AP2692" s="133"/>
      <c r="AQ2692" s="133"/>
      <c r="AR2692" s="133"/>
      <c r="AS2692" s="153">
        <v>0</v>
      </c>
      <c r="AT2692" s="153">
        <v>0</v>
      </c>
      <c r="AU2692" s="153">
        <v>0</v>
      </c>
      <c r="AV2692" s="135"/>
      <c r="AW2692" s="135"/>
      <c r="AX2692" s="135"/>
      <c r="AY2692" s="135"/>
      <c r="AZ2692" s="135"/>
      <c r="BA2692" s="135"/>
      <c r="BB2692" s="135"/>
      <c r="BC2692" s="135"/>
      <c r="BD2692" s="135"/>
      <c r="BE2692" s="135"/>
      <c r="BF2692" s="135"/>
      <c r="BG2692" s="135"/>
      <c r="BH2692" s="135"/>
      <c r="BI2692" s="2"/>
      <c r="BJ2692" s="136"/>
      <c r="BK2692" s="2"/>
      <c r="BL2692" s="136"/>
      <c r="BM2692" s="136"/>
      <c r="BN2692" s="2"/>
      <c r="BO2692" s="2"/>
      <c r="BP2692" s="136"/>
      <c r="BQ2692" s="137"/>
    </row>
    <row r="2693" spans="1:69" ht="12.75" customHeight="1" x14ac:dyDescent="0.2">
      <c r="A2693" s="2">
        <v>4182</v>
      </c>
      <c r="B2693" s="2"/>
      <c r="C2693" s="2"/>
      <c r="D2693" s="2"/>
      <c r="E2693" s="2"/>
      <c r="F2693" s="132">
        <v>0</v>
      </c>
      <c r="G2693" s="132"/>
      <c r="H2693" s="132">
        <f t="shared" si="304"/>
        <v>0</v>
      </c>
      <c r="I2693" s="132"/>
      <c r="J2693" s="132">
        <f t="shared" si="302"/>
        <v>0</v>
      </c>
      <c r="K2693" s="132">
        <f t="shared" si="305"/>
        <v>0</v>
      </c>
      <c r="L2693" s="132">
        <f t="shared" si="299"/>
        <v>0</v>
      </c>
      <c r="M2693" s="133"/>
      <c r="N2693" s="133">
        <f t="shared" si="303"/>
        <v>0</v>
      </c>
      <c r="O2693" s="134"/>
      <c r="P2693" s="133"/>
      <c r="Q2693" s="2"/>
      <c r="R2693" s="156">
        <f t="shared" si="300"/>
        <v>0</v>
      </c>
      <c r="S2693" s="156">
        <f t="shared" si="301"/>
        <v>0</v>
      </c>
      <c r="T2693" s="133"/>
      <c r="U2693" s="133"/>
      <c r="V2693" s="133"/>
      <c r="W2693" s="133"/>
      <c r="X2693" s="133"/>
      <c r="Y2693" s="133"/>
      <c r="Z2693" s="133"/>
      <c r="AA2693" s="133"/>
      <c r="AB2693" s="133"/>
      <c r="AC2693" s="133"/>
      <c r="AD2693" s="133"/>
      <c r="AE2693" s="133"/>
      <c r="AF2693" s="133"/>
      <c r="AG2693" s="133"/>
      <c r="AH2693" s="133"/>
      <c r="AI2693" s="133"/>
      <c r="AJ2693" s="133"/>
      <c r="AK2693" s="133"/>
      <c r="AL2693" s="133"/>
      <c r="AM2693" s="133"/>
      <c r="AN2693" s="133"/>
      <c r="AO2693" s="133"/>
      <c r="AP2693" s="133"/>
      <c r="AQ2693" s="133"/>
      <c r="AR2693" s="133"/>
      <c r="AS2693" s="153">
        <v>0</v>
      </c>
      <c r="AT2693" s="153">
        <v>0</v>
      </c>
      <c r="AU2693" s="153">
        <v>0</v>
      </c>
      <c r="AV2693" s="135"/>
      <c r="AW2693" s="135"/>
      <c r="AX2693" s="135"/>
      <c r="AY2693" s="135"/>
      <c r="AZ2693" s="135"/>
      <c r="BA2693" s="135"/>
      <c r="BB2693" s="135"/>
      <c r="BC2693" s="135"/>
      <c r="BD2693" s="135"/>
      <c r="BE2693" s="135"/>
      <c r="BF2693" s="135"/>
      <c r="BG2693" s="135"/>
      <c r="BH2693" s="135"/>
      <c r="BI2693" s="2"/>
      <c r="BJ2693" s="136"/>
      <c r="BK2693" s="2"/>
      <c r="BL2693" s="136"/>
      <c r="BM2693" s="136"/>
      <c r="BN2693" s="2"/>
      <c r="BO2693" s="2"/>
      <c r="BP2693" s="136"/>
      <c r="BQ2693" s="137"/>
    </row>
    <row r="2694" spans="1:69" ht="12.75" customHeight="1" x14ac:dyDescent="0.2">
      <c r="A2694" s="2">
        <v>4183</v>
      </c>
      <c r="B2694" s="2"/>
      <c r="C2694" s="2"/>
      <c r="D2694" s="2"/>
      <c r="E2694" s="2"/>
      <c r="F2694" s="132">
        <v>0</v>
      </c>
      <c r="G2694" s="132"/>
      <c r="H2694" s="132">
        <f t="shared" si="304"/>
        <v>0</v>
      </c>
      <c r="I2694" s="132"/>
      <c r="J2694" s="132">
        <f t="shared" si="302"/>
        <v>0</v>
      </c>
      <c r="K2694" s="132">
        <f t="shared" si="305"/>
        <v>0</v>
      </c>
      <c r="L2694" s="132">
        <f t="shared" si="299"/>
        <v>0</v>
      </c>
      <c r="M2694" s="133"/>
      <c r="N2694" s="133">
        <f t="shared" si="303"/>
        <v>0</v>
      </c>
      <c r="O2694" s="134"/>
      <c r="P2694" s="133"/>
      <c r="Q2694" s="2"/>
      <c r="R2694" s="156">
        <f t="shared" si="300"/>
        <v>0</v>
      </c>
      <c r="S2694" s="156">
        <f t="shared" si="301"/>
        <v>0</v>
      </c>
      <c r="T2694" s="133"/>
      <c r="U2694" s="133"/>
      <c r="V2694" s="133"/>
      <c r="W2694" s="133"/>
      <c r="X2694" s="133"/>
      <c r="Y2694" s="133"/>
      <c r="Z2694" s="133"/>
      <c r="AA2694" s="133"/>
      <c r="AB2694" s="133"/>
      <c r="AC2694" s="133"/>
      <c r="AD2694" s="133"/>
      <c r="AE2694" s="133"/>
      <c r="AF2694" s="133"/>
      <c r="AG2694" s="133"/>
      <c r="AH2694" s="133"/>
      <c r="AI2694" s="133"/>
      <c r="AJ2694" s="133"/>
      <c r="AK2694" s="133"/>
      <c r="AL2694" s="133"/>
      <c r="AM2694" s="133"/>
      <c r="AN2694" s="133"/>
      <c r="AO2694" s="133"/>
      <c r="AP2694" s="133"/>
      <c r="AQ2694" s="133"/>
      <c r="AR2694" s="133"/>
      <c r="AS2694" s="153">
        <v>0</v>
      </c>
      <c r="AT2694" s="153">
        <v>0</v>
      </c>
      <c r="AU2694" s="153">
        <v>0</v>
      </c>
      <c r="AV2694" s="135"/>
      <c r="AW2694" s="135"/>
      <c r="AX2694" s="135"/>
      <c r="AY2694" s="135"/>
      <c r="AZ2694" s="135"/>
      <c r="BA2694" s="135"/>
      <c r="BB2694" s="135"/>
      <c r="BC2694" s="135"/>
      <c r="BD2694" s="135"/>
      <c r="BE2694" s="135"/>
      <c r="BF2694" s="135"/>
      <c r="BG2694" s="135"/>
      <c r="BH2694" s="135"/>
      <c r="BI2694" s="2"/>
      <c r="BJ2694" s="136"/>
      <c r="BK2694" s="2"/>
      <c r="BL2694" s="136"/>
      <c r="BM2694" s="136"/>
      <c r="BN2694" s="2"/>
      <c r="BO2694" s="2"/>
      <c r="BP2694" s="136"/>
      <c r="BQ2694" s="137"/>
    </row>
    <row r="2695" spans="1:69" ht="12.75" customHeight="1" x14ac:dyDescent="0.2">
      <c r="A2695" s="2">
        <v>4184</v>
      </c>
      <c r="B2695" s="2"/>
      <c r="C2695" s="2"/>
      <c r="D2695" s="2"/>
      <c r="E2695" s="2"/>
      <c r="F2695" s="132">
        <v>0</v>
      </c>
      <c r="G2695" s="132"/>
      <c r="H2695" s="132">
        <f t="shared" si="304"/>
        <v>0</v>
      </c>
      <c r="I2695" s="132"/>
      <c r="J2695" s="132">
        <f t="shared" si="302"/>
        <v>0</v>
      </c>
      <c r="K2695" s="132">
        <f t="shared" si="305"/>
        <v>0</v>
      </c>
      <c r="L2695" s="132">
        <f t="shared" si="299"/>
        <v>0</v>
      </c>
      <c r="M2695" s="133"/>
      <c r="N2695" s="133">
        <f t="shared" si="303"/>
        <v>0</v>
      </c>
      <c r="O2695" s="134"/>
      <c r="P2695" s="133"/>
      <c r="Q2695" s="2"/>
      <c r="R2695" s="156">
        <f t="shared" si="300"/>
        <v>0</v>
      </c>
      <c r="S2695" s="156">
        <f t="shared" si="301"/>
        <v>0</v>
      </c>
      <c r="T2695" s="133"/>
      <c r="U2695" s="133"/>
      <c r="V2695" s="133"/>
      <c r="W2695" s="133"/>
      <c r="X2695" s="133"/>
      <c r="Y2695" s="133"/>
      <c r="Z2695" s="133"/>
      <c r="AA2695" s="133"/>
      <c r="AB2695" s="133"/>
      <c r="AC2695" s="133"/>
      <c r="AD2695" s="133"/>
      <c r="AE2695" s="133"/>
      <c r="AF2695" s="133"/>
      <c r="AG2695" s="133"/>
      <c r="AH2695" s="133"/>
      <c r="AI2695" s="133"/>
      <c r="AJ2695" s="133"/>
      <c r="AK2695" s="133"/>
      <c r="AL2695" s="133"/>
      <c r="AM2695" s="133"/>
      <c r="AN2695" s="133"/>
      <c r="AO2695" s="133"/>
      <c r="AP2695" s="133"/>
      <c r="AQ2695" s="133"/>
      <c r="AR2695" s="133"/>
      <c r="AS2695" s="153">
        <v>0</v>
      </c>
      <c r="AT2695" s="153">
        <v>0</v>
      </c>
      <c r="AU2695" s="153">
        <v>0</v>
      </c>
      <c r="AV2695" s="135"/>
      <c r="AW2695" s="135"/>
      <c r="AX2695" s="135"/>
      <c r="AY2695" s="135"/>
      <c r="AZ2695" s="135"/>
      <c r="BA2695" s="135"/>
      <c r="BB2695" s="135"/>
      <c r="BC2695" s="135"/>
      <c r="BD2695" s="135"/>
      <c r="BE2695" s="135"/>
      <c r="BF2695" s="135"/>
      <c r="BG2695" s="135"/>
      <c r="BH2695" s="135"/>
      <c r="BI2695" s="2"/>
      <c r="BJ2695" s="136"/>
      <c r="BK2695" s="2"/>
      <c r="BL2695" s="136"/>
      <c r="BM2695" s="136"/>
      <c r="BN2695" s="2"/>
      <c r="BO2695" s="2"/>
      <c r="BP2695" s="136"/>
      <c r="BQ2695" s="137"/>
    </row>
    <row r="2696" spans="1:69" ht="12.75" customHeight="1" x14ac:dyDescent="0.2">
      <c r="A2696" s="2">
        <v>4185</v>
      </c>
      <c r="B2696" s="2"/>
      <c r="C2696" s="2"/>
      <c r="D2696" s="2"/>
      <c r="E2696" s="2"/>
      <c r="F2696" s="132">
        <v>0</v>
      </c>
      <c r="G2696" s="132"/>
      <c r="H2696" s="132">
        <f t="shared" si="304"/>
        <v>0</v>
      </c>
      <c r="I2696" s="132"/>
      <c r="J2696" s="132">
        <f t="shared" si="302"/>
        <v>0</v>
      </c>
      <c r="K2696" s="132">
        <f t="shared" si="305"/>
        <v>0</v>
      </c>
      <c r="L2696" s="132">
        <f t="shared" si="299"/>
        <v>0</v>
      </c>
      <c r="M2696" s="133"/>
      <c r="N2696" s="133">
        <f t="shared" si="303"/>
        <v>0</v>
      </c>
      <c r="O2696" s="134"/>
      <c r="P2696" s="133"/>
      <c r="Q2696" s="2"/>
      <c r="R2696" s="156">
        <f t="shared" si="300"/>
        <v>0</v>
      </c>
      <c r="S2696" s="156">
        <f t="shared" si="301"/>
        <v>0</v>
      </c>
      <c r="T2696" s="133"/>
      <c r="U2696" s="133"/>
      <c r="V2696" s="133"/>
      <c r="W2696" s="133"/>
      <c r="X2696" s="133"/>
      <c r="Y2696" s="133"/>
      <c r="Z2696" s="133"/>
      <c r="AA2696" s="133"/>
      <c r="AB2696" s="133"/>
      <c r="AC2696" s="133"/>
      <c r="AD2696" s="133"/>
      <c r="AE2696" s="133"/>
      <c r="AF2696" s="133"/>
      <c r="AG2696" s="133"/>
      <c r="AH2696" s="133"/>
      <c r="AI2696" s="133"/>
      <c r="AJ2696" s="133"/>
      <c r="AK2696" s="133"/>
      <c r="AL2696" s="133"/>
      <c r="AM2696" s="133"/>
      <c r="AN2696" s="133"/>
      <c r="AO2696" s="133"/>
      <c r="AP2696" s="133"/>
      <c r="AQ2696" s="133"/>
      <c r="AR2696" s="133"/>
      <c r="AS2696" s="153">
        <v>0</v>
      </c>
      <c r="AT2696" s="153">
        <v>0</v>
      </c>
      <c r="AU2696" s="153">
        <v>0</v>
      </c>
      <c r="AV2696" s="135"/>
      <c r="AW2696" s="135"/>
      <c r="AX2696" s="135"/>
      <c r="AY2696" s="135"/>
      <c r="AZ2696" s="135"/>
      <c r="BA2696" s="135"/>
      <c r="BB2696" s="135"/>
      <c r="BC2696" s="135"/>
      <c r="BD2696" s="135"/>
      <c r="BE2696" s="135"/>
      <c r="BF2696" s="135"/>
      <c r="BG2696" s="135"/>
      <c r="BH2696" s="135"/>
      <c r="BI2696" s="2"/>
      <c r="BJ2696" s="136"/>
      <c r="BK2696" s="2"/>
      <c r="BL2696" s="136"/>
      <c r="BM2696" s="136"/>
      <c r="BN2696" s="2"/>
      <c r="BO2696" s="2"/>
      <c r="BP2696" s="136"/>
      <c r="BQ2696" s="137"/>
    </row>
    <row r="2697" spans="1:69" ht="12.75" customHeight="1" x14ac:dyDescent="0.2">
      <c r="A2697" s="2">
        <v>4186</v>
      </c>
      <c r="B2697" s="2"/>
      <c r="C2697" s="2"/>
      <c r="D2697" s="2"/>
      <c r="E2697" s="2"/>
      <c r="F2697" s="132">
        <v>0</v>
      </c>
      <c r="G2697" s="132"/>
      <c r="H2697" s="132">
        <f t="shared" si="304"/>
        <v>0</v>
      </c>
      <c r="I2697" s="132"/>
      <c r="J2697" s="132">
        <f t="shared" si="302"/>
        <v>0</v>
      </c>
      <c r="K2697" s="132">
        <f t="shared" si="305"/>
        <v>0</v>
      </c>
      <c r="L2697" s="132">
        <f t="shared" si="299"/>
        <v>0</v>
      </c>
      <c r="M2697" s="133"/>
      <c r="N2697" s="133">
        <f t="shared" si="303"/>
        <v>0</v>
      </c>
      <c r="O2697" s="134"/>
      <c r="P2697" s="133"/>
      <c r="Q2697" s="2"/>
      <c r="R2697" s="156">
        <f t="shared" si="300"/>
        <v>0</v>
      </c>
      <c r="S2697" s="156">
        <f t="shared" si="301"/>
        <v>0</v>
      </c>
      <c r="T2697" s="133"/>
      <c r="U2697" s="133"/>
      <c r="V2697" s="133"/>
      <c r="W2697" s="133"/>
      <c r="X2697" s="133"/>
      <c r="Y2697" s="133"/>
      <c r="Z2697" s="133"/>
      <c r="AA2697" s="133"/>
      <c r="AB2697" s="133"/>
      <c r="AC2697" s="133"/>
      <c r="AD2697" s="133"/>
      <c r="AE2697" s="133"/>
      <c r="AF2697" s="133"/>
      <c r="AG2697" s="133"/>
      <c r="AH2697" s="133"/>
      <c r="AI2697" s="133"/>
      <c r="AJ2697" s="133"/>
      <c r="AK2697" s="133"/>
      <c r="AL2697" s="133"/>
      <c r="AM2697" s="133"/>
      <c r="AN2697" s="133"/>
      <c r="AO2697" s="133"/>
      <c r="AP2697" s="133"/>
      <c r="AQ2697" s="133"/>
      <c r="AR2697" s="133"/>
      <c r="AS2697" s="153">
        <v>0</v>
      </c>
      <c r="AT2697" s="153">
        <v>0</v>
      </c>
      <c r="AU2697" s="153">
        <v>0</v>
      </c>
      <c r="AV2697" s="135"/>
      <c r="AW2697" s="135"/>
      <c r="AX2697" s="135"/>
      <c r="AY2697" s="135"/>
      <c r="AZ2697" s="135"/>
      <c r="BA2697" s="135"/>
      <c r="BB2697" s="135"/>
      <c r="BC2697" s="135"/>
      <c r="BD2697" s="135"/>
      <c r="BE2697" s="135"/>
      <c r="BF2697" s="135"/>
      <c r="BG2697" s="135"/>
      <c r="BH2697" s="135"/>
      <c r="BI2697" s="2"/>
      <c r="BJ2697" s="136"/>
      <c r="BK2697" s="2"/>
      <c r="BL2697" s="136"/>
      <c r="BM2697" s="136"/>
      <c r="BN2697" s="2"/>
      <c r="BO2697" s="2"/>
      <c r="BP2697" s="136"/>
      <c r="BQ2697" s="137"/>
    </row>
    <row r="2698" spans="1:69" ht="12.75" customHeight="1" x14ac:dyDescent="0.2">
      <c r="A2698" s="2">
        <v>4187</v>
      </c>
      <c r="B2698" s="2"/>
      <c r="C2698" s="2"/>
      <c r="D2698" s="2"/>
      <c r="E2698" s="2"/>
      <c r="F2698" s="132">
        <v>0</v>
      </c>
      <c r="G2698" s="132"/>
      <c r="H2698" s="132">
        <f t="shared" si="304"/>
        <v>0</v>
      </c>
      <c r="I2698" s="132"/>
      <c r="J2698" s="132">
        <f t="shared" si="302"/>
        <v>0</v>
      </c>
      <c r="K2698" s="132">
        <f t="shared" si="305"/>
        <v>0</v>
      </c>
      <c r="L2698" s="132">
        <f t="shared" si="299"/>
        <v>0</v>
      </c>
      <c r="M2698" s="133"/>
      <c r="N2698" s="133">
        <f t="shared" si="303"/>
        <v>0</v>
      </c>
      <c r="O2698" s="134"/>
      <c r="P2698" s="133"/>
      <c r="Q2698" s="2"/>
      <c r="R2698" s="156">
        <f t="shared" si="300"/>
        <v>0</v>
      </c>
      <c r="S2698" s="156">
        <f t="shared" si="301"/>
        <v>0</v>
      </c>
      <c r="T2698" s="133"/>
      <c r="U2698" s="133"/>
      <c r="V2698" s="133"/>
      <c r="W2698" s="133"/>
      <c r="X2698" s="133"/>
      <c r="Y2698" s="133"/>
      <c r="Z2698" s="133"/>
      <c r="AA2698" s="133"/>
      <c r="AB2698" s="133"/>
      <c r="AC2698" s="133"/>
      <c r="AD2698" s="133"/>
      <c r="AE2698" s="133"/>
      <c r="AF2698" s="133"/>
      <c r="AG2698" s="133"/>
      <c r="AH2698" s="133"/>
      <c r="AI2698" s="133"/>
      <c r="AJ2698" s="133"/>
      <c r="AK2698" s="133"/>
      <c r="AL2698" s="133"/>
      <c r="AM2698" s="133"/>
      <c r="AN2698" s="133"/>
      <c r="AO2698" s="133"/>
      <c r="AP2698" s="133"/>
      <c r="AQ2698" s="133"/>
      <c r="AR2698" s="133"/>
      <c r="AS2698" s="153">
        <v>0</v>
      </c>
      <c r="AT2698" s="153">
        <v>0</v>
      </c>
      <c r="AU2698" s="153">
        <v>0</v>
      </c>
      <c r="AV2698" s="135"/>
      <c r="AW2698" s="135"/>
      <c r="AX2698" s="135"/>
      <c r="AY2698" s="135"/>
      <c r="AZ2698" s="135"/>
      <c r="BA2698" s="135"/>
      <c r="BB2698" s="135"/>
      <c r="BC2698" s="135"/>
      <c r="BD2698" s="135"/>
      <c r="BE2698" s="135"/>
      <c r="BF2698" s="135"/>
      <c r="BG2698" s="135"/>
      <c r="BH2698" s="135"/>
      <c r="BI2698" s="2"/>
      <c r="BJ2698" s="136"/>
      <c r="BK2698" s="2"/>
      <c r="BL2698" s="136"/>
      <c r="BM2698" s="136"/>
      <c r="BN2698" s="2"/>
      <c r="BO2698" s="2"/>
      <c r="BP2698" s="136"/>
      <c r="BQ2698" s="137"/>
    </row>
    <row r="2699" spans="1:69" ht="12.75" customHeight="1" x14ac:dyDescent="0.2">
      <c r="A2699" s="2">
        <v>4188</v>
      </c>
      <c r="B2699" s="2"/>
      <c r="C2699" s="2"/>
      <c r="D2699" s="2"/>
      <c r="E2699" s="2"/>
      <c r="F2699" s="132">
        <v>0</v>
      </c>
      <c r="G2699" s="132"/>
      <c r="H2699" s="132">
        <f t="shared" si="304"/>
        <v>0</v>
      </c>
      <c r="I2699" s="132"/>
      <c r="J2699" s="132">
        <f t="shared" si="302"/>
        <v>0</v>
      </c>
      <c r="K2699" s="132">
        <f t="shared" si="305"/>
        <v>0</v>
      </c>
      <c r="L2699" s="132">
        <f t="shared" ref="L2699:L2762" si="306">H2699-J2699</f>
        <v>0</v>
      </c>
      <c r="M2699" s="133"/>
      <c r="N2699" s="133">
        <f t="shared" si="303"/>
        <v>0</v>
      </c>
      <c r="O2699" s="134"/>
      <c r="P2699" s="133"/>
      <c r="Q2699" s="2"/>
      <c r="R2699" s="156">
        <f t="shared" ref="R2699:R2762" si="307">T2699+V2699+X2699+Z2699+AB2699+AD2699+AF2699+AH2699+AJ2699+AL2699+AN2699+AP2699</f>
        <v>0</v>
      </c>
      <c r="S2699" s="156">
        <f t="shared" ref="S2699:S2762" si="308">U2699+W2699+Y2699+AA2699+AC2699+AE2699+AG2699+AI2699+AK2699+AM2699+AO2699+AQ2699</f>
        <v>0</v>
      </c>
      <c r="T2699" s="133"/>
      <c r="U2699" s="133"/>
      <c r="V2699" s="133"/>
      <c r="W2699" s="133"/>
      <c r="X2699" s="133"/>
      <c r="Y2699" s="133"/>
      <c r="Z2699" s="133"/>
      <c r="AA2699" s="133"/>
      <c r="AB2699" s="133"/>
      <c r="AC2699" s="133"/>
      <c r="AD2699" s="133"/>
      <c r="AE2699" s="133"/>
      <c r="AF2699" s="133"/>
      <c r="AG2699" s="133"/>
      <c r="AH2699" s="133"/>
      <c r="AI2699" s="133"/>
      <c r="AJ2699" s="133"/>
      <c r="AK2699" s="133"/>
      <c r="AL2699" s="133"/>
      <c r="AM2699" s="133"/>
      <c r="AN2699" s="133"/>
      <c r="AO2699" s="133"/>
      <c r="AP2699" s="133"/>
      <c r="AQ2699" s="133"/>
      <c r="AR2699" s="133"/>
      <c r="AS2699" s="153">
        <v>0</v>
      </c>
      <c r="AT2699" s="153">
        <v>0</v>
      </c>
      <c r="AU2699" s="153">
        <v>0</v>
      </c>
      <c r="AV2699" s="135"/>
      <c r="AW2699" s="135"/>
      <c r="AX2699" s="135"/>
      <c r="AY2699" s="135"/>
      <c r="AZ2699" s="135"/>
      <c r="BA2699" s="135"/>
      <c r="BB2699" s="135"/>
      <c r="BC2699" s="135"/>
      <c r="BD2699" s="135"/>
      <c r="BE2699" s="135"/>
      <c r="BF2699" s="135"/>
      <c r="BG2699" s="135"/>
      <c r="BH2699" s="135"/>
      <c r="BI2699" s="2"/>
      <c r="BJ2699" s="136"/>
      <c r="BK2699" s="2"/>
      <c r="BL2699" s="136"/>
      <c r="BM2699" s="136"/>
      <c r="BN2699" s="2"/>
      <c r="BO2699" s="2"/>
      <c r="BP2699" s="136"/>
      <c r="BQ2699" s="137"/>
    </row>
    <row r="2700" spans="1:69" ht="12.75" customHeight="1" x14ac:dyDescent="0.2">
      <c r="A2700" s="2">
        <v>4189</v>
      </c>
      <c r="B2700" s="2"/>
      <c r="C2700" s="2"/>
      <c r="D2700" s="2"/>
      <c r="E2700" s="2"/>
      <c r="F2700" s="132">
        <v>0</v>
      </c>
      <c r="G2700" s="132"/>
      <c r="H2700" s="132">
        <f t="shared" si="304"/>
        <v>0</v>
      </c>
      <c r="I2700" s="132"/>
      <c r="J2700" s="132">
        <f t="shared" si="302"/>
        <v>0</v>
      </c>
      <c r="K2700" s="132">
        <f t="shared" si="305"/>
        <v>0</v>
      </c>
      <c r="L2700" s="132">
        <f t="shared" si="306"/>
        <v>0</v>
      </c>
      <c r="M2700" s="133"/>
      <c r="N2700" s="133">
        <f t="shared" si="303"/>
        <v>0</v>
      </c>
      <c r="O2700" s="134"/>
      <c r="P2700" s="133"/>
      <c r="Q2700" s="2"/>
      <c r="R2700" s="156">
        <f t="shared" si="307"/>
        <v>0</v>
      </c>
      <c r="S2700" s="156">
        <f t="shared" si="308"/>
        <v>0</v>
      </c>
      <c r="T2700" s="133"/>
      <c r="U2700" s="133"/>
      <c r="V2700" s="133"/>
      <c r="W2700" s="133"/>
      <c r="X2700" s="133"/>
      <c r="Y2700" s="133"/>
      <c r="Z2700" s="133"/>
      <c r="AA2700" s="133"/>
      <c r="AB2700" s="133"/>
      <c r="AC2700" s="133"/>
      <c r="AD2700" s="133"/>
      <c r="AE2700" s="133"/>
      <c r="AF2700" s="133"/>
      <c r="AG2700" s="133"/>
      <c r="AH2700" s="133"/>
      <c r="AI2700" s="133"/>
      <c r="AJ2700" s="133"/>
      <c r="AK2700" s="133"/>
      <c r="AL2700" s="133"/>
      <c r="AM2700" s="133"/>
      <c r="AN2700" s="133"/>
      <c r="AO2700" s="133"/>
      <c r="AP2700" s="133"/>
      <c r="AQ2700" s="133"/>
      <c r="AR2700" s="133"/>
      <c r="AS2700" s="153">
        <v>0</v>
      </c>
      <c r="AT2700" s="153">
        <v>0</v>
      </c>
      <c r="AU2700" s="153">
        <v>0</v>
      </c>
      <c r="AV2700" s="135"/>
      <c r="AW2700" s="135"/>
      <c r="AX2700" s="135"/>
      <c r="AY2700" s="135"/>
      <c r="AZ2700" s="135"/>
      <c r="BA2700" s="135"/>
      <c r="BB2700" s="135"/>
      <c r="BC2700" s="135"/>
      <c r="BD2700" s="135"/>
      <c r="BE2700" s="135"/>
      <c r="BF2700" s="135"/>
      <c r="BG2700" s="135"/>
      <c r="BH2700" s="135"/>
      <c r="BI2700" s="2"/>
      <c r="BJ2700" s="136"/>
      <c r="BK2700" s="2"/>
      <c r="BL2700" s="136"/>
      <c r="BM2700" s="136"/>
      <c r="BN2700" s="2"/>
      <c r="BO2700" s="2"/>
      <c r="BP2700" s="136"/>
      <c r="BQ2700" s="137"/>
    </row>
    <row r="2701" spans="1:69" ht="12.75" customHeight="1" x14ac:dyDescent="0.2">
      <c r="A2701" s="2">
        <v>4190</v>
      </c>
      <c r="B2701" s="2"/>
      <c r="C2701" s="2"/>
      <c r="D2701" s="2"/>
      <c r="E2701" s="2"/>
      <c r="F2701" s="132">
        <v>0</v>
      </c>
      <c r="G2701" s="132"/>
      <c r="H2701" s="132">
        <f t="shared" si="304"/>
        <v>0</v>
      </c>
      <c r="I2701" s="132"/>
      <c r="J2701" s="132">
        <f t="shared" si="302"/>
        <v>0</v>
      </c>
      <c r="K2701" s="132">
        <f t="shared" si="305"/>
        <v>0</v>
      </c>
      <c r="L2701" s="132">
        <f t="shared" si="306"/>
        <v>0</v>
      </c>
      <c r="M2701" s="133"/>
      <c r="N2701" s="133">
        <f t="shared" si="303"/>
        <v>0</v>
      </c>
      <c r="O2701" s="134"/>
      <c r="P2701" s="133"/>
      <c r="Q2701" s="2"/>
      <c r="R2701" s="156">
        <f t="shared" si="307"/>
        <v>0</v>
      </c>
      <c r="S2701" s="156">
        <f t="shared" si="308"/>
        <v>0</v>
      </c>
      <c r="T2701" s="133"/>
      <c r="U2701" s="133"/>
      <c r="V2701" s="133"/>
      <c r="W2701" s="133"/>
      <c r="X2701" s="133"/>
      <c r="Y2701" s="133"/>
      <c r="Z2701" s="133"/>
      <c r="AA2701" s="133"/>
      <c r="AB2701" s="133"/>
      <c r="AC2701" s="133"/>
      <c r="AD2701" s="133"/>
      <c r="AE2701" s="133"/>
      <c r="AF2701" s="133"/>
      <c r="AG2701" s="133"/>
      <c r="AH2701" s="133"/>
      <c r="AI2701" s="133"/>
      <c r="AJ2701" s="133"/>
      <c r="AK2701" s="133"/>
      <c r="AL2701" s="133"/>
      <c r="AM2701" s="133"/>
      <c r="AN2701" s="133"/>
      <c r="AO2701" s="133"/>
      <c r="AP2701" s="133"/>
      <c r="AQ2701" s="133"/>
      <c r="AR2701" s="133"/>
      <c r="AS2701" s="153">
        <v>0</v>
      </c>
      <c r="AT2701" s="153">
        <v>0</v>
      </c>
      <c r="AU2701" s="153">
        <v>0</v>
      </c>
      <c r="AV2701" s="135"/>
      <c r="AW2701" s="135"/>
      <c r="AX2701" s="135"/>
      <c r="AY2701" s="135"/>
      <c r="AZ2701" s="135"/>
      <c r="BA2701" s="135"/>
      <c r="BB2701" s="135"/>
      <c r="BC2701" s="135"/>
      <c r="BD2701" s="135"/>
      <c r="BE2701" s="135"/>
      <c r="BF2701" s="135"/>
      <c r="BG2701" s="135"/>
      <c r="BH2701" s="135"/>
      <c r="BI2701" s="2"/>
      <c r="BJ2701" s="136"/>
      <c r="BK2701" s="2"/>
      <c r="BL2701" s="136"/>
      <c r="BM2701" s="136"/>
      <c r="BN2701" s="2"/>
      <c r="BO2701" s="2"/>
      <c r="BP2701" s="136"/>
      <c r="BQ2701" s="137"/>
    </row>
    <row r="2702" spans="1:69" ht="12.75" customHeight="1" x14ac:dyDescent="0.2">
      <c r="A2702" s="2">
        <v>4191</v>
      </c>
      <c r="B2702" s="2"/>
      <c r="C2702" s="2"/>
      <c r="D2702" s="2"/>
      <c r="E2702" s="2"/>
      <c r="F2702" s="132">
        <v>0</v>
      </c>
      <c r="G2702" s="132"/>
      <c r="H2702" s="132">
        <f t="shared" si="304"/>
        <v>0</v>
      </c>
      <c r="I2702" s="132"/>
      <c r="J2702" s="132">
        <f t="shared" si="302"/>
        <v>0</v>
      </c>
      <c r="K2702" s="132">
        <f t="shared" si="305"/>
        <v>0</v>
      </c>
      <c r="L2702" s="132">
        <f t="shared" si="306"/>
        <v>0</v>
      </c>
      <c r="M2702" s="133"/>
      <c r="N2702" s="133">
        <f t="shared" si="303"/>
        <v>0</v>
      </c>
      <c r="O2702" s="134"/>
      <c r="P2702" s="133"/>
      <c r="Q2702" s="2"/>
      <c r="R2702" s="156">
        <f t="shared" si="307"/>
        <v>0</v>
      </c>
      <c r="S2702" s="156">
        <f t="shared" si="308"/>
        <v>0</v>
      </c>
      <c r="T2702" s="133"/>
      <c r="U2702" s="133"/>
      <c r="V2702" s="133"/>
      <c r="W2702" s="133"/>
      <c r="X2702" s="133"/>
      <c r="Y2702" s="133"/>
      <c r="Z2702" s="133"/>
      <c r="AA2702" s="133"/>
      <c r="AB2702" s="133"/>
      <c r="AC2702" s="133"/>
      <c r="AD2702" s="133"/>
      <c r="AE2702" s="133"/>
      <c r="AF2702" s="133"/>
      <c r="AG2702" s="133"/>
      <c r="AH2702" s="133"/>
      <c r="AI2702" s="133"/>
      <c r="AJ2702" s="133"/>
      <c r="AK2702" s="133"/>
      <c r="AL2702" s="133"/>
      <c r="AM2702" s="133"/>
      <c r="AN2702" s="133"/>
      <c r="AO2702" s="133"/>
      <c r="AP2702" s="133"/>
      <c r="AQ2702" s="133"/>
      <c r="AR2702" s="133"/>
      <c r="AS2702" s="153">
        <v>0</v>
      </c>
      <c r="AT2702" s="153">
        <v>0</v>
      </c>
      <c r="AU2702" s="153">
        <v>0</v>
      </c>
      <c r="AV2702" s="135"/>
      <c r="AW2702" s="135"/>
      <c r="AX2702" s="135"/>
      <c r="AY2702" s="135"/>
      <c r="AZ2702" s="135"/>
      <c r="BA2702" s="135"/>
      <c r="BB2702" s="135"/>
      <c r="BC2702" s="135"/>
      <c r="BD2702" s="135"/>
      <c r="BE2702" s="135"/>
      <c r="BF2702" s="135"/>
      <c r="BG2702" s="135"/>
      <c r="BH2702" s="135"/>
      <c r="BI2702" s="2"/>
      <c r="BJ2702" s="136"/>
      <c r="BK2702" s="2"/>
      <c r="BL2702" s="136"/>
      <c r="BM2702" s="136"/>
      <c r="BN2702" s="2"/>
      <c r="BO2702" s="2"/>
      <c r="BP2702" s="136"/>
      <c r="BQ2702" s="137"/>
    </row>
    <row r="2703" spans="1:69" ht="12.75" customHeight="1" x14ac:dyDescent="0.2">
      <c r="A2703" s="2">
        <v>4192</v>
      </c>
      <c r="B2703" s="2"/>
      <c r="C2703" s="2"/>
      <c r="D2703" s="2"/>
      <c r="E2703" s="2"/>
      <c r="F2703" s="132">
        <v>0</v>
      </c>
      <c r="G2703" s="132"/>
      <c r="H2703" s="132">
        <f t="shared" si="304"/>
        <v>0</v>
      </c>
      <c r="I2703" s="132"/>
      <c r="J2703" s="132">
        <f t="shared" si="302"/>
        <v>0</v>
      </c>
      <c r="K2703" s="132">
        <f t="shared" si="305"/>
        <v>0</v>
      </c>
      <c r="L2703" s="132">
        <f t="shared" si="306"/>
        <v>0</v>
      </c>
      <c r="M2703" s="133"/>
      <c r="N2703" s="133">
        <f t="shared" si="303"/>
        <v>0</v>
      </c>
      <c r="O2703" s="134"/>
      <c r="P2703" s="133"/>
      <c r="Q2703" s="2"/>
      <c r="R2703" s="156">
        <f t="shared" si="307"/>
        <v>0</v>
      </c>
      <c r="S2703" s="156">
        <f t="shared" si="308"/>
        <v>0</v>
      </c>
      <c r="T2703" s="133"/>
      <c r="U2703" s="133"/>
      <c r="V2703" s="133"/>
      <c r="W2703" s="133"/>
      <c r="X2703" s="133"/>
      <c r="Y2703" s="133"/>
      <c r="Z2703" s="133"/>
      <c r="AA2703" s="133"/>
      <c r="AB2703" s="133"/>
      <c r="AC2703" s="133"/>
      <c r="AD2703" s="133"/>
      <c r="AE2703" s="133"/>
      <c r="AF2703" s="133"/>
      <c r="AG2703" s="133"/>
      <c r="AH2703" s="133"/>
      <c r="AI2703" s="133"/>
      <c r="AJ2703" s="133"/>
      <c r="AK2703" s="133"/>
      <c r="AL2703" s="133"/>
      <c r="AM2703" s="133"/>
      <c r="AN2703" s="133"/>
      <c r="AO2703" s="133"/>
      <c r="AP2703" s="133"/>
      <c r="AQ2703" s="133"/>
      <c r="AR2703" s="133"/>
      <c r="AS2703" s="153">
        <v>0</v>
      </c>
      <c r="AT2703" s="153">
        <v>0</v>
      </c>
      <c r="AU2703" s="153">
        <v>0</v>
      </c>
      <c r="AV2703" s="135"/>
      <c r="AW2703" s="135"/>
      <c r="AX2703" s="135"/>
      <c r="AY2703" s="135"/>
      <c r="AZ2703" s="135"/>
      <c r="BA2703" s="135"/>
      <c r="BB2703" s="135"/>
      <c r="BC2703" s="135"/>
      <c r="BD2703" s="135"/>
      <c r="BE2703" s="135"/>
      <c r="BF2703" s="135"/>
      <c r="BG2703" s="135"/>
      <c r="BH2703" s="135"/>
      <c r="BI2703" s="2"/>
      <c r="BJ2703" s="136"/>
      <c r="BK2703" s="2"/>
      <c r="BL2703" s="136"/>
      <c r="BM2703" s="136"/>
      <c r="BN2703" s="2"/>
      <c r="BO2703" s="2"/>
      <c r="BP2703" s="136"/>
      <c r="BQ2703" s="137"/>
    </row>
    <row r="2704" spans="1:69" ht="12.75" customHeight="1" x14ac:dyDescent="0.2">
      <c r="A2704" s="2">
        <v>4193</v>
      </c>
      <c r="B2704" s="2"/>
      <c r="C2704" s="2"/>
      <c r="D2704" s="2"/>
      <c r="E2704" s="2"/>
      <c r="F2704" s="132">
        <v>0</v>
      </c>
      <c r="G2704" s="132"/>
      <c r="H2704" s="132">
        <f t="shared" si="304"/>
        <v>0</v>
      </c>
      <c r="I2704" s="132"/>
      <c r="J2704" s="132">
        <f t="shared" si="302"/>
        <v>0</v>
      </c>
      <c r="K2704" s="132">
        <f t="shared" si="305"/>
        <v>0</v>
      </c>
      <c r="L2704" s="132">
        <f t="shared" si="306"/>
        <v>0</v>
      </c>
      <c r="M2704" s="133"/>
      <c r="N2704" s="133">
        <f t="shared" si="303"/>
        <v>0</v>
      </c>
      <c r="O2704" s="134"/>
      <c r="P2704" s="133"/>
      <c r="Q2704" s="2"/>
      <c r="R2704" s="156">
        <f t="shared" si="307"/>
        <v>0</v>
      </c>
      <c r="S2704" s="156">
        <f t="shared" si="308"/>
        <v>0</v>
      </c>
      <c r="T2704" s="133"/>
      <c r="U2704" s="133"/>
      <c r="V2704" s="133"/>
      <c r="W2704" s="133"/>
      <c r="X2704" s="133"/>
      <c r="Y2704" s="133"/>
      <c r="Z2704" s="133"/>
      <c r="AA2704" s="133"/>
      <c r="AB2704" s="133"/>
      <c r="AC2704" s="133"/>
      <c r="AD2704" s="133"/>
      <c r="AE2704" s="133"/>
      <c r="AF2704" s="133"/>
      <c r="AG2704" s="133"/>
      <c r="AH2704" s="133"/>
      <c r="AI2704" s="133"/>
      <c r="AJ2704" s="133"/>
      <c r="AK2704" s="133"/>
      <c r="AL2704" s="133"/>
      <c r="AM2704" s="133"/>
      <c r="AN2704" s="133"/>
      <c r="AO2704" s="133"/>
      <c r="AP2704" s="133"/>
      <c r="AQ2704" s="133"/>
      <c r="AR2704" s="133"/>
      <c r="AS2704" s="153">
        <v>0</v>
      </c>
      <c r="AT2704" s="153">
        <v>0</v>
      </c>
      <c r="AU2704" s="153">
        <v>0</v>
      </c>
      <c r="AV2704" s="135"/>
      <c r="AW2704" s="135"/>
      <c r="AX2704" s="135"/>
      <c r="AY2704" s="135"/>
      <c r="AZ2704" s="135"/>
      <c r="BA2704" s="135"/>
      <c r="BB2704" s="135"/>
      <c r="BC2704" s="135"/>
      <c r="BD2704" s="135"/>
      <c r="BE2704" s="135"/>
      <c r="BF2704" s="135"/>
      <c r="BG2704" s="135"/>
      <c r="BH2704" s="135"/>
      <c r="BI2704" s="2"/>
      <c r="BJ2704" s="136"/>
      <c r="BK2704" s="2"/>
      <c r="BL2704" s="136"/>
      <c r="BM2704" s="136"/>
      <c r="BN2704" s="2"/>
      <c r="BO2704" s="2"/>
      <c r="BP2704" s="136"/>
      <c r="BQ2704" s="137"/>
    </row>
    <row r="2705" spans="1:69" ht="12.75" customHeight="1" x14ac:dyDescent="0.2">
      <c r="A2705" s="2">
        <v>4194</v>
      </c>
      <c r="B2705" s="2"/>
      <c r="C2705" s="2"/>
      <c r="D2705" s="2"/>
      <c r="E2705" s="2"/>
      <c r="F2705" s="132">
        <v>0</v>
      </c>
      <c r="G2705" s="132"/>
      <c r="H2705" s="132">
        <f t="shared" si="304"/>
        <v>0</v>
      </c>
      <c r="I2705" s="132"/>
      <c r="J2705" s="132">
        <f t="shared" si="302"/>
        <v>0</v>
      </c>
      <c r="K2705" s="132">
        <f t="shared" si="305"/>
        <v>0</v>
      </c>
      <c r="L2705" s="132">
        <f t="shared" si="306"/>
        <v>0</v>
      </c>
      <c r="M2705" s="133"/>
      <c r="N2705" s="133">
        <f t="shared" si="303"/>
        <v>0</v>
      </c>
      <c r="O2705" s="134"/>
      <c r="P2705" s="133"/>
      <c r="Q2705" s="2"/>
      <c r="R2705" s="156">
        <f t="shared" si="307"/>
        <v>0</v>
      </c>
      <c r="S2705" s="156">
        <f t="shared" si="308"/>
        <v>0</v>
      </c>
      <c r="T2705" s="133"/>
      <c r="U2705" s="133"/>
      <c r="V2705" s="133"/>
      <c r="W2705" s="133"/>
      <c r="X2705" s="133"/>
      <c r="Y2705" s="133"/>
      <c r="Z2705" s="133"/>
      <c r="AA2705" s="133"/>
      <c r="AB2705" s="133"/>
      <c r="AC2705" s="133"/>
      <c r="AD2705" s="133"/>
      <c r="AE2705" s="133"/>
      <c r="AF2705" s="133"/>
      <c r="AG2705" s="133"/>
      <c r="AH2705" s="133"/>
      <c r="AI2705" s="133"/>
      <c r="AJ2705" s="133"/>
      <c r="AK2705" s="133"/>
      <c r="AL2705" s="133"/>
      <c r="AM2705" s="133"/>
      <c r="AN2705" s="133"/>
      <c r="AO2705" s="133"/>
      <c r="AP2705" s="133"/>
      <c r="AQ2705" s="133"/>
      <c r="AR2705" s="133"/>
      <c r="AS2705" s="153">
        <v>0</v>
      </c>
      <c r="AT2705" s="153">
        <v>0</v>
      </c>
      <c r="AU2705" s="153">
        <v>0</v>
      </c>
      <c r="AV2705" s="135"/>
      <c r="AW2705" s="135"/>
      <c r="AX2705" s="135"/>
      <c r="AY2705" s="135"/>
      <c r="AZ2705" s="135"/>
      <c r="BA2705" s="135"/>
      <c r="BB2705" s="135"/>
      <c r="BC2705" s="135"/>
      <c r="BD2705" s="135"/>
      <c r="BE2705" s="135"/>
      <c r="BF2705" s="135"/>
      <c r="BG2705" s="135"/>
      <c r="BH2705" s="135"/>
      <c r="BI2705" s="2"/>
      <c r="BJ2705" s="136"/>
      <c r="BK2705" s="2"/>
      <c r="BL2705" s="136"/>
      <c r="BM2705" s="136"/>
      <c r="BN2705" s="2"/>
      <c r="BO2705" s="2"/>
      <c r="BP2705" s="136"/>
      <c r="BQ2705" s="137"/>
    </row>
    <row r="2706" spans="1:69" ht="12.75" customHeight="1" x14ac:dyDescent="0.2">
      <c r="A2706" s="2">
        <v>4195</v>
      </c>
      <c r="B2706" s="2"/>
      <c r="C2706" s="2"/>
      <c r="D2706" s="2"/>
      <c r="E2706" s="2"/>
      <c r="F2706" s="132">
        <v>0</v>
      </c>
      <c r="G2706" s="132"/>
      <c r="H2706" s="132">
        <f t="shared" si="304"/>
        <v>0</v>
      </c>
      <c r="I2706" s="132"/>
      <c r="J2706" s="132">
        <f t="shared" si="302"/>
        <v>0</v>
      </c>
      <c r="K2706" s="132">
        <f t="shared" si="305"/>
        <v>0</v>
      </c>
      <c r="L2706" s="132">
        <f t="shared" si="306"/>
        <v>0</v>
      </c>
      <c r="M2706" s="133"/>
      <c r="N2706" s="133">
        <f t="shared" si="303"/>
        <v>0</v>
      </c>
      <c r="O2706" s="134"/>
      <c r="P2706" s="133"/>
      <c r="Q2706" s="2"/>
      <c r="R2706" s="156">
        <f t="shared" si="307"/>
        <v>0</v>
      </c>
      <c r="S2706" s="156">
        <f t="shared" si="308"/>
        <v>0</v>
      </c>
      <c r="T2706" s="133"/>
      <c r="U2706" s="133"/>
      <c r="V2706" s="133"/>
      <c r="W2706" s="133"/>
      <c r="X2706" s="133"/>
      <c r="Y2706" s="133"/>
      <c r="Z2706" s="133"/>
      <c r="AA2706" s="133"/>
      <c r="AB2706" s="133"/>
      <c r="AC2706" s="133"/>
      <c r="AD2706" s="133"/>
      <c r="AE2706" s="133"/>
      <c r="AF2706" s="133"/>
      <c r="AG2706" s="133"/>
      <c r="AH2706" s="133"/>
      <c r="AI2706" s="133"/>
      <c r="AJ2706" s="133"/>
      <c r="AK2706" s="133"/>
      <c r="AL2706" s="133"/>
      <c r="AM2706" s="133"/>
      <c r="AN2706" s="133"/>
      <c r="AO2706" s="133"/>
      <c r="AP2706" s="133"/>
      <c r="AQ2706" s="133"/>
      <c r="AR2706" s="133"/>
      <c r="AS2706" s="153">
        <v>0</v>
      </c>
      <c r="AT2706" s="153">
        <v>0</v>
      </c>
      <c r="AU2706" s="153">
        <v>0</v>
      </c>
      <c r="AV2706" s="135"/>
      <c r="AW2706" s="135"/>
      <c r="AX2706" s="135"/>
      <c r="AY2706" s="135"/>
      <c r="AZ2706" s="135"/>
      <c r="BA2706" s="135"/>
      <c r="BB2706" s="135"/>
      <c r="BC2706" s="135"/>
      <c r="BD2706" s="135"/>
      <c r="BE2706" s="135"/>
      <c r="BF2706" s="135"/>
      <c r="BG2706" s="135"/>
      <c r="BH2706" s="135"/>
      <c r="BI2706" s="2"/>
      <c r="BJ2706" s="136"/>
      <c r="BK2706" s="2"/>
      <c r="BL2706" s="136"/>
      <c r="BM2706" s="136"/>
      <c r="BN2706" s="2"/>
      <c r="BO2706" s="2"/>
      <c r="BP2706" s="136"/>
      <c r="BQ2706" s="137"/>
    </row>
    <row r="2707" spans="1:69" ht="12.75" customHeight="1" x14ac:dyDescent="0.2">
      <c r="A2707" s="2">
        <v>4196</v>
      </c>
      <c r="B2707" s="2"/>
      <c r="C2707" s="2"/>
      <c r="D2707" s="2"/>
      <c r="E2707" s="2"/>
      <c r="F2707" s="132">
        <v>0</v>
      </c>
      <c r="G2707" s="132"/>
      <c r="H2707" s="132">
        <f t="shared" si="304"/>
        <v>0</v>
      </c>
      <c r="I2707" s="132"/>
      <c r="J2707" s="132">
        <f t="shared" si="302"/>
        <v>0</v>
      </c>
      <c r="K2707" s="132">
        <f t="shared" si="305"/>
        <v>0</v>
      </c>
      <c r="L2707" s="132">
        <f t="shared" si="306"/>
        <v>0</v>
      </c>
      <c r="M2707" s="133"/>
      <c r="N2707" s="133">
        <f t="shared" si="303"/>
        <v>0</v>
      </c>
      <c r="O2707" s="134"/>
      <c r="P2707" s="133"/>
      <c r="Q2707" s="2"/>
      <c r="R2707" s="156">
        <f t="shared" si="307"/>
        <v>0</v>
      </c>
      <c r="S2707" s="156">
        <f t="shared" si="308"/>
        <v>0</v>
      </c>
      <c r="T2707" s="133"/>
      <c r="U2707" s="133"/>
      <c r="V2707" s="133"/>
      <c r="W2707" s="133"/>
      <c r="X2707" s="133"/>
      <c r="Y2707" s="133"/>
      <c r="Z2707" s="133"/>
      <c r="AA2707" s="133"/>
      <c r="AB2707" s="133"/>
      <c r="AC2707" s="133"/>
      <c r="AD2707" s="133"/>
      <c r="AE2707" s="133"/>
      <c r="AF2707" s="133"/>
      <c r="AG2707" s="133"/>
      <c r="AH2707" s="133"/>
      <c r="AI2707" s="133"/>
      <c r="AJ2707" s="133"/>
      <c r="AK2707" s="133"/>
      <c r="AL2707" s="133"/>
      <c r="AM2707" s="133"/>
      <c r="AN2707" s="133"/>
      <c r="AO2707" s="133"/>
      <c r="AP2707" s="133"/>
      <c r="AQ2707" s="133"/>
      <c r="AR2707" s="133"/>
      <c r="AS2707" s="153">
        <v>0</v>
      </c>
      <c r="AT2707" s="153">
        <v>0</v>
      </c>
      <c r="AU2707" s="153">
        <v>0</v>
      </c>
      <c r="AV2707" s="135"/>
      <c r="AW2707" s="135"/>
      <c r="AX2707" s="135"/>
      <c r="AY2707" s="135"/>
      <c r="AZ2707" s="135"/>
      <c r="BA2707" s="135"/>
      <c r="BB2707" s="135"/>
      <c r="BC2707" s="135"/>
      <c r="BD2707" s="135"/>
      <c r="BE2707" s="135"/>
      <c r="BF2707" s="135"/>
      <c r="BG2707" s="135"/>
      <c r="BH2707" s="135"/>
      <c r="BI2707" s="2"/>
      <c r="BJ2707" s="136"/>
      <c r="BK2707" s="2"/>
      <c r="BL2707" s="136"/>
      <c r="BM2707" s="136"/>
      <c r="BN2707" s="2"/>
      <c r="BO2707" s="2"/>
      <c r="BP2707" s="136"/>
      <c r="BQ2707" s="137"/>
    </row>
    <row r="2708" spans="1:69" ht="12.75" customHeight="1" x14ac:dyDescent="0.2">
      <c r="A2708" s="2">
        <v>4197</v>
      </c>
      <c r="B2708" s="2"/>
      <c r="C2708" s="2"/>
      <c r="D2708" s="2"/>
      <c r="E2708" s="2"/>
      <c r="F2708" s="132">
        <v>0</v>
      </c>
      <c r="G2708" s="132"/>
      <c r="H2708" s="132">
        <f t="shared" si="304"/>
        <v>0</v>
      </c>
      <c r="I2708" s="132"/>
      <c r="J2708" s="132">
        <f t="shared" si="302"/>
        <v>0</v>
      </c>
      <c r="K2708" s="132">
        <f t="shared" si="305"/>
        <v>0</v>
      </c>
      <c r="L2708" s="132">
        <f t="shared" si="306"/>
        <v>0</v>
      </c>
      <c r="M2708" s="133"/>
      <c r="N2708" s="133">
        <f t="shared" si="303"/>
        <v>0</v>
      </c>
      <c r="O2708" s="134"/>
      <c r="P2708" s="133"/>
      <c r="Q2708" s="2"/>
      <c r="R2708" s="156">
        <f t="shared" si="307"/>
        <v>0</v>
      </c>
      <c r="S2708" s="156">
        <f t="shared" si="308"/>
        <v>0</v>
      </c>
      <c r="T2708" s="133"/>
      <c r="U2708" s="133"/>
      <c r="V2708" s="133"/>
      <c r="W2708" s="133"/>
      <c r="X2708" s="133"/>
      <c r="Y2708" s="133"/>
      <c r="Z2708" s="133"/>
      <c r="AA2708" s="133"/>
      <c r="AB2708" s="133"/>
      <c r="AC2708" s="133"/>
      <c r="AD2708" s="133"/>
      <c r="AE2708" s="133"/>
      <c r="AF2708" s="133"/>
      <c r="AG2708" s="133"/>
      <c r="AH2708" s="133"/>
      <c r="AI2708" s="133"/>
      <c r="AJ2708" s="133"/>
      <c r="AK2708" s="133"/>
      <c r="AL2708" s="133"/>
      <c r="AM2708" s="133"/>
      <c r="AN2708" s="133"/>
      <c r="AO2708" s="133"/>
      <c r="AP2708" s="133"/>
      <c r="AQ2708" s="133"/>
      <c r="AR2708" s="133"/>
      <c r="AS2708" s="153">
        <v>0</v>
      </c>
      <c r="AT2708" s="153">
        <v>0</v>
      </c>
      <c r="AU2708" s="153">
        <v>0</v>
      </c>
      <c r="AV2708" s="135"/>
      <c r="AW2708" s="135"/>
      <c r="AX2708" s="135"/>
      <c r="AY2708" s="135"/>
      <c r="AZ2708" s="135"/>
      <c r="BA2708" s="135"/>
      <c r="BB2708" s="135"/>
      <c r="BC2708" s="135"/>
      <c r="BD2708" s="135"/>
      <c r="BE2708" s="135"/>
      <c r="BF2708" s="135"/>
      <c r="BG2708" s="135"/>
      <c r="BH2708" s="135"/>
      <c r="BI2708" s="2"/>
      <c r="BJ2708" s="136"/>
      <c r="BK2708" s="2"/>
      <c r="BL2708" s="136"/>
      <c r="BM2708" s="136"/>
      <c r="BN2708" s="2"/>
      <c r="BO2708" s="2"/>
      <c r="BP2708" s="136"/>
      <c r="BQ2708" s="137"/>
    </row>
    <row r="2709" spans="1:69" ht="12.75" customHeight="1" x14ac:dyDescent="0.2">
      <c r="A2709" s="2">
        <v>4198</v>
      </c>
      <c r="B2709" s="2"/>
      <c r="C2709" s="2"/>
      <c r="D2709" s="2"/>
      <c r="E2709" s="2"/>
      <c r="F2709" s="132">
        <v>0</v>
      </c>
      <c r="G2709" s="132"/>
      <c r="H2709" s="132">
        <f t="shared" si="304"/>
        <v>0</v>
      </c>
      <c r="I2709" s="132"/>
      <c r="J2709" s="132">
        <f t="shared" si="302"/>
        <v>0</v>
      </c>
      <c r="K2709" s="132">
        <f t="shared" si="305"/>
        <v>0</v>
      </c>
      <c r="L2709" s="132">
        <f t="shared" si="306"/>
        <v>0</v>
      </c>
      <c r="M2709" s="133"/>
      <c r="N2709" s="133">
        <f t="shared" si="303"/>
        <v>0</v>
      </c>
      <c r="O2709" s="134"/>
      <c r="P2709" s="133"/>
      <c r="Q2709" s="2"/>
      <c r="R2709" s="156">
        <f t="shared" si="307"/>
        <v>0</v>
      </c>
      <c r="S2709" s="156">
        <f t="shared" si="308"/>
        <v>0</v>
      </c>
      <c r="T2709" s="133"/>
      <c r="U2709" s="133"/>
      <c r="V2709" s="133"/>
      <c r="W2709" s="133"/>
      <c r="X2709" s="133"/>
      <c r="Y2709" s="133"/>
      <c r="Z2709" s="133"/>
      <c r="AA2709" s="133"/>
      <c r="AB2709" s="133"/>
      <c r="AC2709" s="133"/>
      <c r="AD2709" s="133"/>
      <c r="AE2709" s="133"/>
      <c r="AF2709" s="133"/>
      <c r="AG2709" s="133"/>
      <c r="AH2709" s="133"/>
      <c r="AI2709" s="133"/>
      <c r="AJ2709" s="133"/>
      <c r="AK2709" s="133"/>
      <c r="AL2709" s="133"/>
      <c r="AM2709" s="133"/>
      <c r="AN2709" s="133"/>
      <c r="AO2709" s="133"/>
      <c r="AP2709" s="133"/>
      <c r="AQ2709" s="133"/>
      <c r="AR2709" s="133"/>
      <c r="AS2709" s="153">
        <v>0</v>
      </c>
      <c r="AT2709" s="153">
        <v>0</v>
      </c>
      <c r="AU2709" s="153">
        <v>0</v>
      </c>
      <c r="AV2709" s="135"/>
      <c r="AW2709" s="135"/>
      <c r="AX2709" s="135"/>
      <c r="AY2709" s="135"/>
      <c r="AZ2709" s="135"/>
      <c r="BA2709" s="135"/>
      <c r="BB2709" s="135"/>
      <c r="BC2709" s="135"/>
      <c r="BD2709" s="135"/>
      <c r="BE2709" s="135"/>
      <c r="BF2709" s="135"/>
      <c r="BG2709" s="135"/>
      <c r="BH2709" s="135"/>
      <c r="BI2709" s="2"/>
      <c r="BJ2709" s="136"/>
      <c r="BK2709" s="2"/>
      <c r="BL2709" s="136"/>
      <c r="BM2709" s="136"/>
      <c r="BN2709" s="2"/>
      <c r="BO2709" s="2"/>
      <c r="BP2709" s="136"/>
      <c r="BQ2709" s="137"/>
    </row>
    <row r="2710" spans="1:69" ht="12.75" customHeight="1" x14ac:dyDescent="0.2">
      <c r="A2710" s="2">
        <v>4199</v>
      </c>
      <c r="B2710" s="2"/>
      <c r="C2710" s="2"/>
      <c r="D2710" s="2"/>
      <c r="E2710" s="2"/>
      <c r="F2710" s="132">
        <v>0</v>
      </c>
      <c r="G2710" s="132"/>
      <c r="H2710" s="132">
        <f t="shared" si="304"/>
        <v>0</v>
      </c>
      <c r="I2710" s="132"/>
      <c r="J2710" s="132">
        <f t="shared" si="302"/>
        <v>0</v>
      </c>
      <c r="K2710" s="132">
        <f t="shared" si="305"/>
        <v>0</v>
      </c>
      <c r="L2710" s="132">
        <f t="shared" si="306"/>
        <v>0</v>
      </c>
      <c r="M2710" s="133"/>
      <c r="N2710" s="133">
        <f t="shared" si="303"/>
        <v>0</v>
      </c>
      <c r="O2710" s="134"/>
      <c r="P2710" s="133"/>
      <c r="Q2710" s="2"/>
      <c r="R2710" s="156">
        <f t="shared" si="307"/>
        <v>0</v>
      </c>
      <c r="S2710" s="156">
        <f t="shared" si="308"/>
        <v>0</v>
      </c>
      <c r="T2710" s="133"/>
      <c r="U2710" s="133"/>
      <c r="V2710" s="133"/>
      <c r="W2710" s="133"/>
      <c r="X2710" s="133"/>
      <c r="Y2710" s="133"/>
      <c r="Z2710" s="133"/>
      <c r="AA2710" s="133"/>
      <c r="AB2710" s="133"/>
      <c r="AC2710" s="133"/>
      <c r="AD2710" s="133"/>
      <c r="AE2710" s="133"/>
      <c r="AF2710" s="133"/>
      <c r="AG2710" s="133"/>
      <c r="AH2710" s="133"/>
      <c r="AI2710" s="133"/>
      <c r="AJ2710" s="133"/>
      <c r="AK2710" s="133"/>
      <c r="AL2710" s="133"/>
      <c r="AM2710" s="133"/>
      <c r="AN2710" s="133"/>
      <c r="AO2710" s="133"/>
      <c r="AP2710" s="133"/>
      <c r="AQ2710" s="133"/>
      <c r="AR2710" s="133"/>
      <c r="AS2710" s="153">
        <v>0</v>
      </c>
      <c r="AT2710" s="153">
        <v>0</v>
      </c>
      <c r="AU2710" s="153">
        <v>0</v>
      </c>
      <c r="AV2710" s="135"/>
      <c r="AW2710" s="135"/>
      <c r="AX2710" s="135"/>
      <c r="AY2710" s="135"/>
      <c r="AZ2710" s="135"/>
      <c r="BA2710" s="135"/>
      <c r="BB2710" s="135"/>
      <c r="BC2710" s="135"/>
      <c r="BD2710" s="135"/>
      <c r="BE2710" s="135"/>
      <c r="BF2710" s="135"/>
      <c r="BG2710" s="135"/>
      <c r="BH2710" s="135"/>
      <c r="BI2710" s="2"/>
      <c r="BJ2710" s="136"/>
      <c r="BK2710" s="2"/>
      <c r="BL2710" s="136"/>
      <c r="BM2710" s="136"/>
      <c r="BN2710" s="2"/>
      <c r="BO2710" s="2"/>
      <c r="BP2710" s="136"/>
      <c r="BQ2710" s="137"/>
    </row>
    <row r="2711" spans="1:69" ht="12.75" customHeight="1" x14ac:dyDescent="0.2">
      <c r="A2711" s="2">
        <v>4200</v>
      </c>
      <c r="B2711" s="2"/>
      <c r="C2711" s="2"/>
      <c r="D2711" s="2"/>
      <c r="E2711" s="2"/>
      <c r="F2711" s="132">
        <v>0</v>
      </c>
      <c r="G2711" s="132"/>
      <c r="H2711" s="132">
        <f t="shared" si="304"/>
        <v>0</v>
      </c>
      <c r="I2711" s="132"/>
      <c r="J2711" s="132">
        <f t="shared" si="302"/>
        <v>0</v>
      </c>
      <c r="K2711" s="132">
        <f t="shared" si="305"/>
        <v>0</v>
      </c>
      <c r="L2711" s="132">
        <f t="shared" si="306"/>
        <v>0</v>
      </c>
      <c r="M2711" s="133"/>
      <c r="N2711" s="133">
        <f t="shared" si="303"/>
        <v>0</v>
      </c>
      <c r="O2711" s="134"/>
      <c r="P2711" s="133"/>
      <c r="Q2711" s="2"/>
      <c r="R2711" s="156">
        <f t="shared" si="307"/>
        <v>0</v>
      </c>
      <c r="S2711" s="156">
        <f t="shared" si="308"/>
        <v>0</v>
      </c>
      <c r="T2711" s="133"/>
      <c r="U2711" s="133"/>
      <c r="V2711" s="133"/>
      <c r="W2711" s="133"/>
      <c r="X2711" s="133"/>
      <c r="Y2711" s="133"/>
      <c r="Z2711" s="133"/>
      <c r="AA2711" s="133"/>
      <c r="AB2711" s="133"/>
      <c r="AC2711" s="133"/>
      <c r="AD2711" s="133"/>
      <c r="AE2711" s="133"/>
      <c r="AF2711" s="133"/>
      <c r="AG2711" s="133"/>
      <c r="AH2711" s="133"/>
      <c r="AI2711" s="133"/>
      <c r="AJ2711" s="133"/>
      <c r="AK2711" s="133"/>
      <c r="AL2711" s="133"/>
      <c r="AM2711" s="133"/>
      <c r="AN2711" s="133"/>
      <c r="AO2711" s="133"/>
      <c r="AP2711" s="133"/>
      <c r="AQ2711" s="133"/>
      <c r="AR2711" s="133"/>
      <c r="AS2711" s="153">
        <v>0</v>
      </c>
      <c r="AT2711" s="153">
        <v>0</v>
      </c>
      <c r="AU2711" s="153">
        <v>0</v>
      </c>
      <c r="AV2711" s="135"/>
      <c r="AW2711" s="135"/>
      <c r="AX2711" s="135"/>
      <c r="AY2711" s="135"/>
      <c r="AZ2711" s="135"/>
      <c r="BA2711" s="135"/>
      <c r="BB2711" s="135"/>
      <c r="BC2711" s="135"/>
      <c r="BD2711" s="135"/>
      <c r="BE2711" s="135"/>
      <c r="BF2711" s="135"/>
      <c r="BG2711" s="135"/>
      <c r="BH2711" s="135"/>
      <c r="BI2711" s="2"/>
      <c r="BJ2711" s="136"/>
      <c r="BK2711" s="2"/>
      <c r="BL2711" s="136"/>
      <c r="BM2711" s="136"/>
      <c r="BN2711" s="2"/>
      <c r="BO2711" s="2"/>
      <c r="BP2711" s="136"/>
      <c r="BQ2711" s="137"/>
    </row>
    <row r="2712" spans="1:69" ht="12.75" customHeight="1" x14ac:dyDescent="0.2">
      <c r="A2712" s="2">
        <v>4201</v>
      </c>
      <c r="B2712" s="2"/>
      <c r="C2712" s="2"/>
      <c r="D2712" s="2"/>
      <c r="E2712" s="2"/>
      <c r="F2712" s="132">
        <v>0</v>
      </c>
      <c r="G2712" s="132"/>
      <c r="H2712" s="132">
        <f t="shared" si="304"/>
        <v>0</v>
      </c>
      <c r="I2712" s="132"/>
      <c r="J2712" s="132">
        <f t="shared" si="302"/>
        <v>0</v>
      </c>
      <c r="K2712" s="132">
        <f t="shared" si="305"/>
        <v>0</v>
      </c>
      <c r="L2712" s="132">
        <f t="shared" si="306"/>
        <v>0</v>
      </c>
      <c r="M2712" s="133"/>
      <c r="N2712" s="133">
        <f t="shared" si="303"/>
        <v>0</v>
      </c>
      <c r="O2712" s="134"/>
      <c r="P2712" s="133"/>
      <c r="Q2712" s="2"/>
      <c r="R2712" s="156">
        <f t="shared" si="307"/>
        <v>0</v>
      </c>
      <c r="S2712" s="156">
        <f t="shared" si="308"/>
        <v>0</v>
      </c>
      <c r="T2712" s="133"/>
      <c r="U2712" s="133"/>
      <c r="V2712" s="133"/>
      <c r="W2712" s="133"/>
      <c r="X2712" s="133"/>
      <c r="Y2712" s="133"/>
      <c r="Z2712" s="133"/>
      <c r="AA2712" s="133"/>
      <c r="AB2712" s="133"/>
      <c r="AC2712" s="133"/>
      <c r="AD2712" s="133"/>
      <c r="AE2712" s="133"/>
      <c r="AF2712" s="133"/>
      <c r="AG2712" s="133"/>
      <c r="AH2712" s="133"/>
      <c r="AI2712" s="133"/>
      <c r="AJ2712" s="133"/>
      <c r="AK2712" s="133"/>
      <c r="AL2712" s="133"/>
      <c r="AM2712" s="133"/>
      <c r="AN2712" s="133"/>
      <c r="AO2712" s="133"/>
      <c r="AP2712" s="133"/>
      <c r="AQ2712" s="133"/>
      <c r="AR2712" s="133"/>
      <c r="AS2712" s="153">
        <v>0</v>
      </c>
      <c r="AT2712" s="153">
        <v>0</v>
      </c>
      <c r="AU2712" s="153">
        <v>0</v>
      </c>
      <c r="AV2712" s="135"/>
      <c r="AW2712" s="135"/>
      <c r="AX2712" s="135"/>
      <c r="AY2712" s="135"/>
      <c r="AZ2712" s="135"/>
      <c r="BA2712" s="135"/>
      <c r="BB2712" s="135"/>
      <c r="BC2712" s="135"/>
      <c r="BD2712" s="135"/>
      <c r="BE2712" s="135"/>
      <c r="BF2712" s="135"/>
      <c r="BG2712" s="135"/>
      <c r="BH2712" s="135"/>
      <c r="BI2712" s="2"/>
      <c r="BJ2712" s="136"/>
      <c r="BK2712" s="2"/>
      <c r="BL2712" s="136"/>
      <c r="BM2712" s="136"/>
      <c r="BN2712" s="2"/>
      <c r="BO2712" s="2"/>
      <c r="BP2712" s="136"/>
      <c r="BQ2712" s="137"/>
    </row>
    <row r="2713" spans="1:69" ht="12.75" customHeight="1" x14ac:dyDescent="0.2">
      <c r="A2713" s="2">
        <v>4202</v>
      </c>
      <c r="B2713" s="2"/>
      <c r="C2713" s="2"/>
      <c r="D2713" s="2"/>
      <c r="E2713" s="2"/>
      <c r="F2713" s="132">
        <v>0</v>
      </c>
      <c r="G2713" s="132"/>
      <c r="H2713" s="132">
        <f t="shared" si="304"/>
        <v>0</v>
      </c>
      <c r="I2713" s="132"/>
      <c r="J2713" s="132">
        <f t="shared" si="302"/>
        <v>0</v>
      </c>
      <c r="K2713" s="132">
        <f t="shared" si="305"/>
        <v>0</v>
      </c>
      <c r="L2713" s="132">
        <f t="shared" si="306"/>
        <v>0</v>
      </c>
      <c r="M2713" s="133"/>
      <c r="N2713" s="133">
        <f t="shared" si="303"/>
        <v>0</v>
      </c>
      <c r="O2713" s="134"/>
      <c r="P2713" s="133"/>
      <c r="Q2713" s="2"/>
      <c r="R2713" s="156">
        <f t="shared" si="307"/>
        <v>0</v>
      </c>
      <c r="S2713" s="156">
        <f t="shared" si="308"/>
        <v>0</v>
      </c>
      <c r="T2713" s="133"/>
      <c r="U2713" s="133"/>
      <c r="V2713" s="133"/>
      <c r="W2713" s="133"/>
      <c r="X2713" s="133"/>
      <c r="Y2713" s="133"/>
      <c r="Z2713" s="133"/>
      <c r="AA2713" s="133"/>
      <c r="AB2713" s="133"/>
      <c r="AC2713" s="133"/>
      <c r="AD2713" s="133"/>
      <c r="AE2713" s="133"/>
      <c r="AF2713" s="133"/>
      <c r="AG2713" s="133"/>
      <c r="AH2713" s="133"/>
      <c r="AI2713" s="133"/>
      <c r="AJ2713" s="133"/>
      <c r="AK2713" s="133"/>
      <c r="AL2713" s="133"/>
      <c r="AM2713" s="133"/>
      <c r="AN2713" s="133"/>
      <c r="AO2713" s="133"/>
      <c r="AP2713" s="133"/>
      <c r="AQ2713" s="133"/>
      <c r="AR2713" s="133"/>
      <c r="AS2713" s="153">
        <v>0</v>
      </c>
      <c r="AT2713" s="153">
        <v>0</v>
      </c>
      <c r="AU2713" s="153">
        <v>0</v>
      </c>
      <c r="AV2713" s="135"/>
      <c r="AW2713" s="135"/>
      <c r="AX2713" s="135"/>
      <c r="AY2713" s="135"/>
      <c r="AZ2713" s="135"/>
      <c r="BA2713" s="135"/>
      <c r="BB2713" s="135"/>
      <c r="BC2713" s="135"/>
      <c r="BD2713" s="135"/>
      <c r="BE2713" s="135"/>
      <c r="BF2713" s="135"/>
      <c r="BG2713" s="135"/>
      <c r="BH2713" s="135"/>
      <c r="BI2713" s="2"/>
      <c r="BJ2713" s="136"/>
      <c r="BK2713" s="2"/>
      <c r="BL2713" s="136"/>
      <c r="BM2713" s="136"/>
      <c r="BN2713" s="2"/>
      <c r="BO2713" s="2"/>
      <c r="BP2713" s="136"/>
      <c r="BQ2713" s="137"/>
    </row>
    <row r="2714" spans="1:69" ht="12.75" customHeight="1" x14ac:dyDescent="0.2">
      <c r="A2714" s="2">
        <v>4203</v>
      </c>
      <c r="B2714" s="2"/>
      <c r="C2714" s="2"/>
      <c r="D2714" s="2"/>
      <c r="E2714" s="2"/>
      <c r="F2714" s="132">
        <v>0</v>
      </c>
      <c r="G2714" s="132"/>
      <c r="H2714" s="132">
        <f t="shared" si="304"/>
        <v>0</v>
      </c>
      <c r="I2714" s="132"/>
      <c r="J2714" s="132">
        <f t="shared" si="302"/>
        <v>0</v>
      </c>
      <c r="K2714" s="132">
        <f t="shared" si="305"/>
        <v>0</v>
      </c>
      <c r="L2714" s="132">
        <f t="shared" si="306"/>
        <v>0</v>
      </c>
      <c r="M2714" s="133"/>
      <c r="N2714" s="133">
        <f t="shared" si="303"/>
        <v>0</v>
      </c>
      <c r="O2714" s="134"/>
      <c r="P2714" s="133"/>
      <c r="Q2714" s="2"/>
      <c r="R2714" s="156">
        <f t="shared" si="307"/>
        <v>0</v>
      </c>
      <c r="S2714" s="156">
        <f t="shared" si="308"/>
        <v>0</v>
      </c>
      <c r="T2714" s="133"/>
      <c r="U2714" s="133"/>
      <c r="V2714" s="133"/>
      <c r="W2714" s="133"/>
      <c r="X2714" s="133"/>
      <c r="Y2714" s="133"/>
      <c r="Z2714" s="133"/>
      <c r="AA2714" s="133"/>
      <c r="AB2714" s="133"/>
      <c r="AC2714" s="133"/>
      <c r="AD2714" s="133"/>
      <c r="AE2714" s="133"/>
      <c r="AF2714" s="133"/>
      <c r="AG2714" s="133"/>
      <c r="AH2714" s="133"/>
      <c r="AI2714" s="133"/>
      <c r="AJ2714" s="133"/>
      <c r="AK2714" s="133"/>
      <c r="AL2714" s="133"/>
      <c r="AM2714" s="133"/>
      <c r="AN2714" s="133"/>
      <c r="AO2714" s="133"/>
      <c r="AP2714" s="133"/>
      <c r="AQ2714" s="133"/>
      <c r="AR2714" s="133"/>
      <c r="AS2714" s="153">
        <v>0</v>
      </c>
      <c r="AT2714" s="153">
        <v>0</v>
      </c>
      <c r="AU2714" s="153">
        <v>0</v>
      </c>
      <c r="AV2714" s="135"/>
      <c r="AW2714" s="135"/>
      <c r="AX2714" s="135"/>
      <c r="AY2714" s="135"/>
      <c r="AZ2714" s="135"/>
      <c r="BA2714" s="135"/>
      <c r="BB2714" s="135"/>
      <c r="BC2714" s="135"/>
      <c r="BD2714" s="135"/>
      <c r="BE2714" s="135"/>
      <c r="BF2714" s="135"/>
      <c r="BG2714" s="135"/>
      <c r="BH2714" s="135"/>
      <c r="BI2714" s="2"/>
      <c r="BJ2714" s="136"/>
      <c r="BK2714" s="2"/>
      <c r="BL2714" s="136"/>
      <c r="BM2714" s="136"/>
      <c r="BN2714" s="2"/>
      <c r="BO2714" s="2"/>
      <c r="BP2714" s="136"/>
      <c r="BQ2714" s="137"/>
    </row>
    <row r="2715" spans="1:69" ht="12.75" customHeight="1" x14ac:dyDescent="0.2">
      <c r="A2715" s="2">
        <v>4204</v>
      </c>
      <c r="B2715" s="2"/>
      <c r="C2715" s="2"/>
      <c r="D2715" s="2"/>
      <c r="E2715" s="2"/>
      <c r="F2715" s="132">
        <v>0</v>
      </c>
      <c r="G2715" s="132"/>
      <c r="H2715" s="132">
        <f t="shared" si="304"/>
        <v>0</v>
      </c>
      <c r="I2715" s="132"/>
      <c r="J2715" s="132">
        <f t="shared" si="302"/>
        <v>0</v>
      </c>
      <c r="K2715" s="132">
        <f t="shared" si="305"/>
        <v>0</v>
      </c>
      <c r="L2715" s="132">
        <f t="shared" si="306"/>
        <v>0</v>
      </c>
      <c r="M2715" s="133"/>
      <c r="N2715" s="133">
        <f t="shared" si="303"/>
        <v>0</v>
      </c>
      <c r="O2715" s="134"/>
      <c r="P2715" s="133"/>
      <c r="Q2715" s="2"/>
      <c r="R2715" s="156">
        <f t="shared" si="307"/>
        <v>0</v>
      </c>
      <c r="S2715" s="156">
        <f t="shared" si="308"/>
        <v>0</v>
      </c>
      <c r="T2715" s="133"/>
      <c r="U2715" s="133"/>
      <c r="V2715" s="133"/>
      <c r="W2715" s="133"/>
      <c r="X2715" s="133"/>
      <c r="Y2715" s="133"/>
      <c r="Z2715" s="133"/>
      <c r="AA2715" s="133"/>
      <c r="AB2715" s="133"/>
      <c r="AC2715" s="133"/>
      <c r="AD2715" s="133"/>
      <c r="AE2715" s="133"/>
      <c r="AF2715" s="133"/>
      <c r="AG2715" s="133"/>
      <c r="AH2715" s="133"/>
      <c r="AI2715" s="133"/>
      <c r="AJ2715" s="133"/>
      <c r="AK2715" s="133"/>
      <c r="AL2715" s="133"/>
      <c r="AM2715" s="133"/>
      <c r="AN2715" s="133"/>
      <c r="AO2715" s="133"/>
      <c r="AP2715" s="133"/>
      <c r="AQ2715" s="133"/>
      <c r="AR2715" s="133"/>
      <c r="AS2715" s="153">
        <v>0</v>
      </c>
      <c r="AT2715" s="153">
        <v>0</v>
      </c>
      <c r="AU2715" s="153">
        <v>0</v>
      </c>
      <c r="AV2715" s="135"/>
      <c r="AW2715" s="135"/>
      <c r="AX2715" s="135"/>
      <c r="AY2715" s="135"/>
      <c r="AZ2715" s="135"/>
      <c r="BA2715" s="135"/>
      <c r="BB2715" s="135"/>
      <c r="BC2715" s="135"/>
      <c r="BD2715" s="135"/>
      <c r="BE2715" s="135"/>
      <c r="BF2715" s="135"/>
      <c r="BG2715" s="135"/>
      <c r="BH2715" s="135"/>
      <c r="BI2715" s="2"/>
      <c r="BJ2715" s="136"/>
      <c r="BK2715" s="2"/>
      <c r="BL2715" s="136"/>
      <c r="BM2715" s="136"/>
      <c r="BN2715" s="2"/>
      <c r="BO2715" s="2"/>
      <c r="BP2715" s="136"/>
      <c r="BQ2715" s="137"/>
    </row>
    <row r="2716" spans="1:69" ht="12.75" customHeight="1" x14ac:dyDescent="0.2">
      <c r="A2716" s="2">
        <v>4205</v>
      </c>
      <c r="B2716" s="2"/>
      <c r="C2716" s="2"/>
      <c r="D2716" s="2"/>
      <c r="E2716" s="2"/>
      <c r="F2716" s="132">
        <v>0</v>
      </c>
      <c r="G2716" s="132"/>
      <c r="H2716" s="132">
        <f t="shared" si="304"/>
        <v>0</v>
      </c>
      <c r="I2716" s="132"/>
      <c r="J2716" s="132">
        <f t="shared" si="302"/>
        <v>0</v>
      </c>
      <c r="K2716" s="132">
        <f t="shared" si="305"/>
        <v>0</v>
      </c>
      <c r="L2716" s="132">
        <f t="shared" si="306"/>
        <v>0</v>
      </c>
      <c r="M2716" s="133"/>
      <c r="N2716" s="133">
        <f t="shared" si="303"/>
        <v>0</v>
      </c>
      <c r="O2716" s="134"/>
      <c r="P2716" s="133"/>
      <c r="Q2716" s="2"/>
      <c r="R2716" s="156">
        <f t="shared" si="307"/>
        <v>0</v>
      </c>
      <c r="S2716" s="156">
        <f t="shared" si="308"/>
        <v>0</v>
      </c>
      <c r="T2716" s="133"/>
      <c r="U2716" s="133"/>
      <c r="V2716" s="133"/>
      <c r="W2716" s="133"/>
      <c r="X2716" s="133"/>
      <c r="Y2716" s="133"/>
      <c r="Z2716" s="133"/>
      <c r="AA2716" s="133"/>
      <c r="AB2716" s="133"/>
      <c r="AC2716" s="133"/>
      <c r="AD2716" s="133"/>
      <c r="AE2716" s="133"/>
      <c r="AF2716" s="133"/>
      <c r="AG2716" s="133"/>
      <c r="AH2716" s="133"/>
      <c r="AI2716" s="133"/>
      <c r="AJ2716" s="133"/>
      <c r="AK2716" s="133"/>
      <c r="AL2716" s="133"/>
      <c r="AM2716" s="133"/>
      <c r="AN2716" s="133"/>
      <c r="AO2716" s="133"/>
      <c r="AP2716" s="133"/>
      <c r="AQ2716" s="133"/>
      <c r="AR2716" s="133"/>
      <c r="AS2716" s="153">
        <v>0</v>
      </c>
      <c r="AT2716" s="153">
        <v>0</v>
      </c>
      <c r="AU2716" s="153">
        <v>0</v>
      </c>
      <c r="AV2716" s="135"/>
      <c r="AW2716" s="135"/>
      <c r="AX2716" s="135"/>
      <c r="AY2716" s="135"/>
      <c r="AZ2716" s="135"/>
      <c r="BA2716" s="135"/>
      <c r="BB2716" s="135"/>
      <c r="BC2716" s="135"/>
      <c r="BD2716" s="135"/>
      <c r="BE2716" s="135"/>
      <c r="BF2716" s="135"/>
      <c r="BG2716" s="135"/>
      <c r="BH2716" s="135"/>
      <c r="BI2716" s="2"/>
      <c r="BJ2716" s="136"/>
      <c r="BK2716" s="2"/>
      <c r="BL2716" s="136"/>
      <c r="BM2716" s="136"/>
      <c r="BN2716" s="2"/>
      <c r="BO2716" s="2"/>
      <c r="BP2716" s="136"/>
      <c r="BQ2716" s="137"/>
    </row>
    <row r="2717" spans="1:69" ht="12.75" customHeight="1" x14ac:dyDescent="0.2">
      <c r="A2717" s="2">
        <v>4206</v>
      </c>
      <c r="B2717" s="2"/>
      <c r="C2717" s="2"/>
      <c r="D2717" s="2"/>
      <c r="E2717" s="2"/>
      <c r="F2717" s="132">
        <v>0</v>
      </c>
      <c r="G2717" s="132"/>
      <c r="H2717" s="132">
        <f t="shared" si="304"/>
        <v>0</v>
      </c>
      <c r="I2717" s="132"/>
      <c r="J2717" s="132">
        <f t="shared" si="302"/>
        <v>0</v>
      </c>
      <c r="K2717" s="132">
        <f t="shared" si="305"/>
        <v>0</v>
      </c>
      <c r="L2717" s="132">
        <f t="shared" si="306"/>
        <v>0</v>
      </c>
      <c r="M2717" s="133"/>
      <c r="N2717" s="133">
        <f t="shared" si="303"/>
        <v>0</v>
      </c>
      <c r="O2717" s="134"/>
      <c r="P2717" s="133"/>
      <c r="Q2717" s="2"/>
      <c r="R2717" s="156">
        <f t="shared" si="307"/>
        <v>0</v>
      </c>
      <c r="S2717" s="156">
        <f t="shared" si="308"/>
        <v>0</v>
      </c>
      <c r="T2717" s="133"/>
      <c r="U2717" s="133"/>
      <c r="V2717" s="133"/>
      <c r="W2717" s="133"/>
      <c r="X2717" s="133"/>
      <c r="Y2717" s="133"/>
      <c r="Z2717" s="133"/>
      <c r="AA2717" s="133"/>
      <c r="AB2717" s="133"/>
      <c r="AC2717" s="133"/>
      <c r="AD2717" s="133"/>
      <c r="AE2717" s="133"/>
      <c r="AF2717" s="133"/>
      <c r="AG2717" s="133"/>
      <c r="AH2717" s="133"/>
      <c r="AI2717" s="133"/>
      <c r="AJ2717" s="133"/>
      <c r="AK2717" s="133"/>
      <c r="AL2717" s="133"/>
      <c r="AM2717" s="133"/>
      <c r="AN2717" s="133"/>
      <c r="AO2717" s="133"/>
      <c r="AP2717" s="133"/>
      <c r="AQ2717" s="133"/>
      <c r="AR2717" s="133"/>
      <c r="AS2717" s="153">
        <v>0</v>
      </c>
      <c r="AT2717" s="153">
        <v>0</v>
      </c>
      <c r="AU2717" s="153">
        <v>0</v>
      </c>
      <c r="AV2717" s="135"/>
      <c r="AW2717" s="135"/>
      <c r="AX2717" s="135"/>
      <c r="AY2717" s="135"/>
      <c r="AZ2717" s="135"/>
      <c r="BA2717" s="135"/>
      <c r="BB2717" s="135"/>
      <c r="BC2717" s="135"/>
      <c r="BD2717" s="135"/>
      <c r="BE2717" s="135"/>
      <c r="BF2717" s="135"/>
      <c r="BG2717" s="135"/>
      <c r="BH2717" s="135"/>
      <c r="BI2717" s="2"/>
      <c r="BJ2717" s="136"/>
      <c r="BK2717" s="2"/>
      <c r="BL2717" s="136"/>
      <c r="BM2717" s="136"/>
      <c r="BN2717" s="2"/>
      <c r="BO2717" s="2"/>
      <c r="BP2717" s="136"/>
      <c r="BQ2717" s="137"/>
    </row>
    <row r="2718" spans="1:69" ht="12.75" customHeight="1" x14ac:dyDescent="0.2">
      <c r="A2718" s="2">
        <v>4207</v>
      </c>
      <c r="B2718" s="2"/>
      <c r="C2718" s="2"/>
      <c r="D2718" s="2"/>
      <c r="E2718" s="2"/>
      <c r="F2718" s="132">
        <v>0</v>
      </c>
      <c r="G2718" s="132"/>
      <c r="H2718" s="132">
        <f t="shared" si="304"/>
        <v>0</v>
      </c>
      <c r="I2718" s="132"/>
      <c r="J2718" s="132">
        <f t="shared" si="302"/>
        <v>0</v>
      </c>
      <c r="K2718" s="132">
        <f t="shared" si="305"/>
        <v>0</v>
      </c>
      <c r="L2718" s="132">
        <f t="shared" si="306"/>
        <v>0</v>
      </c>
      <c r="M2718" s="133"/>
      <c r="N2718" s="133">
        <f t="shared" si="303"/>
        <v>0</v>
      </c>
      <c r="O2718" s="134"/>
      <c r="P2718" s="133"/>
      <c r="Q2718" s="2"/>
      <c r="R2718" s="156">
        <f t="shared" si="307"/>
        <v>0</v>
      </c>
      <c r="S2718" s="156">
        <f t="shared" si="308"/>
        <v>0</v>
      </c>
      <c r="T2718" s="133"/>
      <c r="U2718" s="133"/>
      <c r="V2718" s="133"/>
      <c r="W2718" s="133"/>
      <c r="X2718" s="133"/>
      <c r="Y2718" s="133"/>
      <c r="Z2718" s="133"/>
      <c r="AA2718" s="133"/>
      <c r="AB2718" s="133"/>
      <c r="AC2718" s="133"/>
      <c r="AD2718" s="133"/>
      <c r="AE2718" s="133"/>
      <c r="AF2718" s="133"/>
      <c r="AG2718" s="133"/>
      <c r="AH2718" s="133"/>
      <c r="AI2718" s="133"/>
      <c r="AJ2718" s="133"/>
      <c r="AK2718" s="133"/>
      <c r="AL2718" s="133"/>
      <c r="AM2718" s="133"/>
      <c r="AN2718" s="133"/>
      <c r="AO2718" s="133"/>
      <c r="AP2718" s="133"/>
      <c r="AQ2718" s="133"/>
      <c r="AR2718" s="133"/>
      <c r="AS2718" s="153">
        <v>0</v>
      </c>
      <c r="AT2718" s="153">
        <v>0</v>
      </c>
      <c r="AU2718" s="153">
        <v>0</v>
      </c>
      <c r="AV2718" s="135"/>
      <c r="AW2718" s="135"/>
      <c r="AX2718" s="135"/>
      <c r="AY2718" s="135"/>
      <c r="AZ2718" s="135"/>
      <c r="BA2718" s="135"/>
      <c r="BB2718" s="135"/>
      <c r="BC2718" s="135"/>
      <c r="BD2718" s="135"/>
      <c r="BE2718" s="135"/>
      <c r="BF2718" s="135"/>
      <c r="BG2718" s="135"/>
      <c r="BH2718" s="135"/>
      <c r="BI2718" s="2"/>
      <c r="BJ2718" s="136"/>
      <c r="BK2718" s="2"/>
      <c r="BL2718" s="136"/>
      <c r="BM2718" s="136"/>
      <c r="BN2718" s="2"/>
      <c r="BO2718" s="2"/>
      <c r="BP2718" s="136"/>
      <c r="BQ2718" s="137"/>
    </row>
    <row r="2719" spans="1:69" ht="12.75" customHeight="1" x14ac:dyDescent="0.2">
      <c r="A2719" s="2">
        <v>4208</v>
      </c>
      <c r="B2719" s="2"/>
      <c r="C2719" s="2"/>
      <c r="D2719" s="2"/>
      <c r="E2719" s="2"/>
      <c r="F2719" s="132">
        <v>0</v>
      </c>
      <c r="G2719" s="132"/>
      <c r="H2719" s="132">
        <f t="shared" si="304"/>
        <v>0</v>
      </c>
      <c r="I2719" s="132"/>
      <c r="J2719" s="132">
        <f t="shared" si="302"/>
        <v>0</v>
      </c>
      <c r="K2719" s="132">
        <f t="shared" si="305"/>
        <v>0</v>
      </c>
      <c r="L2719" s="132">
        <f t="shared" si="306"/>
        <v>0</v>
      </c>
      <c r="M2719" s="133"/>
      <c r="N2719" s="133">
        <f t="shared" si="303"/>
        <v>0</v>
      </c>
      <c r="O2719" s="134"/>
      <c r="P2719" s="133"/>
      <c r="Q2719" s="2"/>
      <c r="R2719" s="156">
        <f t="shared" si="307"/>
        <v>0</v>
      </c>
      <c r="S2719" s="156">
        <f t="shared" si="308"/>
        <v>0</v>
      </c>
      <c r="T2719" s="133"/>
      <c r="U2719" s="133"/>
      <c r="V2719" s="133"/>
      <c r="W2719" s="133"/>
      <c r="X2719" s="133"/>
      <c r="Y2719" s="133"/>
      <c r="Z2719" s="133"/>
      <c r="AA2719" s="133"/>
      <c r="AB2719" s="133"/>
      <c r="AC2719" s="133"/>
      <c r="AD2719" s="133"/>
      <c r="AE2719" s="133"/>
      <c r="AF2719" s="133"/>
      <c r="AG2719" s="133"/>
      <c r="AH2719" s="133"/>
      <c r="AI2719" s="133"/>
      <c r="AJ2719" s="133"/>
      <c r="AK2719" s="133"/>
      <c r="AL2719" s="133"/>
      <c r="AM2719" s="133"/>
      <c r="AN2719" s="133"/>
      <c r="AO2719" s="133"/>
      <c r="AP2719" s="133"/>
      <c r="AQ2719" s="133"/>
      <c r="AR2719" s="133"/>
      <c r="AS2719" s="153">
        <v>0</v>
      </c>
      <c r="AT2719" s="153">
        <v>0</v>
      </c>
      <c r="AU2719" s="153">
        <v>0</v>
      </c>
      <c r="AV2719" s="135"/>
      <c r="AW2719" s="135"/>
      <c r="AX2719" s="135"/>
      <c r="AY2719" s="135"/>
      <c r="AZ2719" s="135"/>
      <c r="BA2719" s="135"/>
      <c r="BB2719" s="135"/>
      <c r="BC2719" s="135"/>
      <c r="BD2719" s="135"/>
      <c r="BE2719" s="135"/>
      <c r="BF2719" s="135"/>
      <c r="BG2719" s="135"/>
      <c r="BH2719" s="135"/>
      <c r="BI2719" s="2"/>
      <c r="BJ2719" s="136"/>
      <c r="BK2719" s="2"/>
      <c r="BL2719" s="136"/>
      <c r="BM2719" s="136"/>
      <c r="BN2719" s="2"/>
      <c r="BO2719" s="2"/>
      <c r="BP2719" s="136"/>
      <c r="BQ2719" s="137"/>
    </row>
    <row r="2720" spans="1:69" ht="12.75" customHeight="1" x14ac:dyDescent="0.2">
      <c r="A2720" s="2">
        <v>4209</v>
      </c>
      <c r="B2720" s="2"/>
      <c r="C2720" s="2"/>
      <c r="D2720" s="2"/>
      <c r="E2720" s="2"/>
      <c r="F2720" s="132">
        <v>0</v>
      </c>
      <c r="G2720" s="132"/>
      <c r="H2720" s="132">
        <f t="shared" si="304"/>
        <v>0</v>
      </c>
      <c r="I2720" s="132"/>
      <c r="J2720" s="132">
        <f t="shared" si="302"/>
        <v>0</v>
      </c>
      <c r="K2720" s="132">
        <f t="shared" si="305"/>
        <v>0</v>
      </c>
      <c r="L2720" s="132">
        <f t="shared" si="306"/>
        <v>0</v>
      </c>
      <c r="M2720" s="133"/>
      <c r="N2720" s="133">
        <f t="shared" si="303"/>
        <v>0</v>
      </c>
      <c r="O2720" s="134"/>
      <c r="P2720" s="133"/>
      <c r="Q2720" s="2"/>
      <c r="R2720" s="156">
        <f t="shared" si="307"/>
        <v>0</v>
      </c>
      <c r="S2720" s="156">
        <f t="shared" si="308"/>
        <v>0</v>
      </c>
      <c r="T2720" s="133"/>
      <c r="U2720" s="133"/>
      <c r="V2720" s="133"/>
      <c r="W2720" s="133"/>
      <c r="X2720" s="133"/>
      <c r="Y2720" s="133"/>
      <c r="Z2720" s="133"/>
      <c r="AA2720" s="133"/>
      <c r="AB2720" s="133"/>
      <c r="AC2720" s="133"/>
      <c r="AD2720" s="133"/>
      <c r="AE2720" s="133"/>
      <c r="AF2720" s="133"/>
      <c r="AG2720" s="133"/>
      <c r="AH2720" s="133"/>
      <c r="AI2720" s="133"/>
      <c r="AJ2720" s="133"/>
      <c r="AK2720" s="133"/>
      <c r="AL2720" s="133"/>
      <c r="AM2720" s="133"/>
      <c r="AN2720" s="133"/>
      <c r="AO2720" s="133"/>
      <c r="AP2720" s="133"/>
      <c r="AQ2720" s="133"/>
      <c r="AR2720" s="133"/>
      <c r="AS2720" s="153">
        <v>0</v>
      </c>
      <c r="AT2720" s="153">
        <v>0</v>
      </c>
      <c r="AU2720" s="153">
        <v>0</v>
      </c>
      <c r="AV2720" s="135"/>
      <c r="AW2720" s="135"/>
      <c r="AX2720" s="135"/>
      <c r="AY2720" s="135"/>
      <c r="AZ2720" s="135"/>
      <c r="BA2720" s="135"/>
      <c r="BB2720" s="135"/>
      <c r="BC2720" s="135"/>
      <c r="BD2720" s="135"/>
      <c r="BE2720" s="135"/>
      <c r="BF2720" s="135"/>
      <c r="BG2720" s="135"/>
      <c r="BH2720" s="135"/>
      <c r="BI2720" s="2"/>
      <c r="BJ2720" s="136"/>
      <c r="BK2720" s="2"/>
      <c r="BL2720" s="136"/>
      <c r="BM2720" s="136"/>
      <c r="BN2720" s="2"/>
      <c r="BO2720" s="2"/>
      <c r="BP2720" s="136"/>
      <c r="BQ2720" s="137"/>
    </row>
    <row r="2721" spans="1:69" ht="12.75" customHeight="1" x14ac:dyDescent="0.2">
      <c r="A2721" s="2">
        <v>4210</v>
      </c>
      <c r="B2721" s="2"/>
      <c r="C2721" s="2"/>
      <c r="D2721" s="2"/>
      <c r="E2721" s="2"/>
      <c r="F2721" s="132">
        <v>0</v>
      </c>
      <c r="G2721" s="132"/>
      <c r="H2721" s="132">
        <f t="shared" si="304"/>
        <v>0</v>
      </c>
      <c r="I2721" s="132"/>
      <c r="J2721" s="132">
        <f t="shared" si="302"/>
        <v>0</v>
      </c>
      <c r="K2721" s="132">
        <f t="shared" si="305"/>
        <v>0</v>
      </c>
      <c r="L2721" s="132">
        <f t="shared" si="306"/>
        <v>0</v>
      </c>
      <c r="M2721" s="133"/>
      <c r="N2721" s="133">
        <f t="shared" si="303"/>
        <v>0</v>
      </c>
      <c r="O2721" s="134"/>
      <c r="P2721" s="133"/>
      <c r="Q2721" s="2"/>
      <c r="R2721" s="156">
        <f t="shared" si="307"/>
        <v>0</v>
      </c>
      <c r="S2721" s="156">
        <f t="shared" si="308"/>
        <v>0</v>
      </c>
      <c r="T2721" s="133"/>
      <c r="U2721" s="133"/>
      <c r="V2721" s="133"/>
      <c r="W2721" s="133"/>
      <c r="X2721" s="133"/>
      <c r="Y2721" s="133"/>
      <c r="Z2721" s="133"/>
      <c r="AA2721" s="133"/>
      <c r="AB2721" s="133"/>
      <c r="AC2721" s="133"/>
      <c r="AD2721" s="133"/>
      <c r="AE2721" s="133"/>
      <c r="AF2721" s="133"/>
      <c r="AG2721" s="133"/>
      <c r="AH2721" s="133"/>
      <c r="AI2721" s="133"/>
      <c r="AJ2721" s="133"/>
      <c r="AK2721" s="133"/>
      <c r="AL2721" s="133"/>
      <c r="AM2721" s="133"/>
      <c r="AN2721" s="133"/>
      <c r="AO2721" s="133"/>
      <c r="AP2721" s="133"/>
      <c r="AQ2721" s="133"/>
      <c r="AR2721" s="133"/>
      <c r="AS2721" s="153">
        <v>0</v>
      </c>
      <c r="AT2721" s="153">
        <v>0</v>
      </c>
      <c r="AU2721" s="153">
        <v>0</v>
      </c>
      <c r="AV2721" s="135"/>
      <c r="AW2721" s="135"/>
      <c r="AX2721" s="135"/>
      <c r="AY2721" s="135"/>
      <c r="AZ2721" s="135"/>
      <c r="BA2721" s="135"/>
      <c r="BB2721" s="135"/>
      <c r="BC2721" s="135"/>
      <c r="BD2721" s="135"/>
      <c r="BE2721" s="135"/>
      <c r="BF2721" s="135"/>
      <c r="BG2721" s="135"/>
      <c r="BH2721" s="135"/>
      <c r="BI2721" s="2"/>
      <c r="BJ2721" s="136"/>
      <c r="BK2721" s="2"/>
      <c r="BL2721" s="136"/>
      <c r="BM2721" s="136"/>
      <c r="BN2721" s="2"/>
      <c r="BO2721" s="2"/>
      <c r="BP2721" s="136"/>
      <c r="BQ2721" s="137"/>
    </row>
    <row r="2722" spans="1:69" ht="12.75" customHeight="1" x14ac:dyDescent="0.2">
      <c r="A2722" s="2">
        <v>4211</v>
      </c>
      <c r="B2722" s="2"/>
      <c r="C2722" s="2"/>
      <c r="D2722" s="2"/>
      <c r="E2722" s="2"/>
      <c r="F2722" s="132">
        <v>0</v>
      </c>
      <c r="G2722" s="132"/>
      <c r="H2722" s="132">
        <f t="shared" si="304"/>
        <v>0</v>
      </c>
      <c r="I2722" s="132"/>
      <c r="J2722" s="132">
        <f t="shared" si="302"/>
        <v>0</v>
      </c>
      <c r="K2722" s="132">
        <f t="shared" si="305"/>
        <v>0</v>
      </c>
      <c r="L2722" s="132">
        <f t="shared" si="306"/>
        <v>0</v>
      </c>
      <c r="M2722" s="133"/>
      <c r="N2722" s="133">
        <f t="shared" si="303"/>
        <v>0</v>
      </c>
      <c r="O2722" s="134"/>
      <c r="P2722" s="133"/>
      <c r="Q2722" s="2"/>
      <c r="R2722" s="156">
        <f t="shared" si="307"/>
        <v>0</v>
      </c>
      <c r="S2722" s="156">
        <f t="shared" si="308"/>
        <v>0</v>
      </c>
      <c r="T2722" s="133"/>
      <c r="U2722" s="133"/>
      <c r="V2722" s="133"/>
      <c r="W2722" s="133"/>
      <c r="X2722" s="133"/>
      <c r="Y2722" s="133"/>
      <c r="Z2722" s="133"/>
      <c r="AA2722" s="133"/>
      <c r="AB2722" s="133"/>
      <c r="AC2722" s="133"/>
      <c r="AD2722" s="133"/>
      <c r="AE2722" s="133"/>
      <c r="AF2722" s="133"/>
      <c r="AG2722" s="133"/>
      <c r="AH2722" s="133"/>
      <c r="AI2722" s="133"/>
      <c r="AJ2722" s="133"/>
      <c r="AK2722" s="133"/>
      <c r="AL2722" s="133"/>
      <c r="AM2722" s="133"/>
      <c r="AN2722" s="133"/>
      <c r="AO2722" s="133"/>
      <c r="AP2722" s="133"/>
      <c r="AQ2722" s="133"/>
      <c r="AR2722" s="133"/>
      <c r="AS2722" s="153">
        <v>0</v>
      </c>
      <c r="AT2722" s="153">
        <v>0</v>
      </c>
      <c r="AU2722" s="153">
        <v>0</v>
      </c>
      <c r="AV2722" s="135"/>
      <c r="AW2722" s="135"/>
      <c r="AX2722" s="135"/>
      <c r="AY2722" s="135"/>
      <c r="AZ2722" s="135"/>
      <c r="BA2722" s="135"/>
      <c r="BB2722" s="135"/>
      <c r="BC2722" s="135"/>
      <c r="BD2722" s="135"/>
      <c r="BE2722" s="135"/>
      <c r="BF2722" s="135"/>
      <c r="BG2722" s="135"/>
      <c r="BH2722" s="135"/>
      <c r="BI2722" s="2"/>
      <c r="BJ2722" s="136"/>
      <c r="BK2722" s="2"/>
      <c r="BL2722" s="136"/>
      <c r="BM2722" s="136"/>
      <c r="BN2722" s="2"/>
      <c r="BO2722" s="2"/>
      <c r="BP2722" s="136"/>
      <c r="BQ2722" s="137"/>
    </row>
    <row r="2723" spans="1:69" ht="12.75" customHeight="1" x14ac:dyDescent="0.2">
      <c r="A2723" s="2">
        <v>4212</v>
      </c>
      <c r="B2723" s="2"/>
      <c r="C2723" s="2"/>
      <c r="D2723" s="2"/>
      <c r="E2723" s="2"/>
      <c r="F2723" s="132">
        <v>0</v>
      </c>
      <c r="G2723" s="132"/>
      <c r="H2723" s="132">
        <f t="shared" si="304"/>
        <v>0</v>
      </c>
      <c r="I2723" s="132"/>
      <c r="J2723" s="132">
        <f t="shared" si="302"/>
        <v>0</v>
      </c>
      <c r="K2723" s="132">
        <f t="shared" si="305"/>
        <v>0</v>
      </c>
      <c r="L2723" s="132">
        <f t="shared" si="306"/>
        <v>0</v>
      </c>
      <c r="M2723" s="133"/>
      <c r="N2723" s="133">
        <f t="shared" si="303"/>
        <v>0</v>
      </c>
      <c r="O2723" s="134"/>
      <c r="P2723" s="133"/>
      <c r="Q2723" s="2"/>
      <c r="R2723" s="156">
        <f t="shared" si="307"/>
        <v>0</v>
      </c>
      <c r="S2723" s="156">
        <f t="shared" si="308"/>
        <v>0</v>
      </c>
      <c r="T2723" s="133"/>
      <c r="U2723" s="133"/>
      <c r="V2723" s="133"/>
      <c r="W2723" s="133"/>
      <c r="X2723" s="133"/>
      <c r="Y2723" s="133"/>
      <c r="Z2723" s="133"/>
      <c r="AA2723" s="133"/>
      <c r="AB2723" s="133"/>
      <c r="AC2723" s="133"/>
      <c r="AD2723" s="133"/>
      <c r="AE2723" s="133"/>
      <c r="AF2723" s="133"/>
      <c r="AG2723" s="133"/>
      <c r="AH2723" s="133"/>
      <c r="AI2723" s="133"/>
      <c r="AJ2723" s="133"/>
      <c r="AK2723" s="133"/>
      <c r="AL2723" s="133"/>
      <c r="AM2723" s="133"/>
      <c r="AN2723" s="133"/>
      <c r="AO2723" s="133"/>
      <c r="AP2723" s="133"/>
      <c r="AQ2723" s="133"/>
      <c r="AR2723" s="133"/>
      <c r="AS2723" s="153">
        <v>0</v>
      </c>
      <c r="AT2723" s="153">
        <v>0</v>
      </c>
      <c r="AU2723" s="153">
        <v>0</v>
      </c>
      <c r="AV2723" s="135"/>
      <c r="AW2723" s="135"/>
      <c r="AX2723" s="135"/>
      <c r="AY2723" s="135"/>
      <c r="AZ2723" s="135"/>
      <c r="BA2723" s="135"/>
      <c r="BB2723" s="135"/>
      <c r="BC2723" s="135"/>
      <c r="BD2723" s="135"/>
      <c r="BE2723" s="135"/>
      <c r="BF2723" s="135"/>
      <c r="BG2723" s="135"/>
      <c r="BH2723" s="135"/>
      <c r="BI2723" s="2"/>
      <c r="BJ2723" s="136"/>
      <c r="BK2723" s="2"/>
      <c r="BL2723" s="136"/>
      <c r="BM2723" s="136"/>
      <c r="BN2723" s="2"/>
      <c r="BO2723" s="2"/>
      <c r="BP2723" s="136"/>
      <c r="BQ2723" s="137"/>
    </row>
    <row r="2724" spans="1:69" ht="12.75" customHeight="1" x14ac:dyDescent="0.2">
      <c r="A2724" s="2">
        <v>4213</v>
      </c>
      <c r="B2724" s="2"/>
      <c r="C2724" s="2"/>
      <c r="D2724" s="2"/>
      <c r="E2724" s="2"/>
      <c r="F2724" s="132">
        <v>0</v>
      </c>
      <c r="G2724" s="132"/>
      <c r="H2724" s="132">
        <f t="shared" si="304"/>
        <v>0</v>
      </c>
      <c r="I2724" s="132"/>
      <c r="J2724" s="132">
        <f t="shared" ref="J2724:J2787" si="309">S2724</f>
        <v>0</v>
      </c>
      <c r="K2724" s="132">
        <f t="shared" si="305"/>
        <v>0</v>
      </c>
      <c r="L2724" s="132">
        <f t="shared" si="306"/>
        <v>0</v>
      </c>
      <c r="M2724" s="133"/>
      <c r="N2724" s="133">
        <f t="shared" si="303"/>
        <v>0</v>
      </c>
      <c r="O2724" s="134"/>
      <c r="P2724" s="133"/>
      <c r="Q2724" s="2"/>
      <c r="R2724" s="156">
        <f t="shared" si="307"/>
        <v>0</v>
      </c>
      <c r="S2724" s="156">
        <f t="shared" si="308"/>
        <v>0</v>
      </c>
      <c r="T2724" s="133"/>
      <c r="U2724" s="133"/>
      <c r="V2724" s="133"/>
      <c r="W2724" s="133"/>
      <c r="X2724" s="133"/>
      <c r="Y2724" s="133"/>
      <c r="Z2724" s="133"/>
      <c r="AA2724" s="133"/>
      <c r="AB2724" s="133"/>
      <c r="AC2724" s="133"/>
      <c r="AD2724" s="133"/>
      <c r="AE2724" s="133"/>
      <c r="AF2724" s="133"/>
      <c r="AG2724" s="133"/>
      <c r="AH2724" s="133"/>
      <c r="AI2724" s="133"/>
      <c r="AJ2724" s="133"/>
      <c r="AK2724" s="133"/>
      <c r="AL2724" s="133"/>
      <c r="AM2724" s="133"/>
      <c r="AN2724" s="133"/>
      <c r="AO2724" s="133"/>
      <c r="AP2724" s="133"/>
      <c r="AQ2724" s="133"/>
      <c r="AR2724" s="133"/>
      <c r="AS2724" s="153">
        <v>0</v>
      </c>
      <c r="AT2724" s="153">
        <v>0</v>
      </c>
      <c r="AU2724" s="153">
        <v>0</v>
      </c>
      <c r="AV2724" s="135"/>
      <c r="AW2724" s="135"/>
      <c r="AX2724" s="135"/>
      <c r="AY2724" s="135"/>
      <c r="AZ2724" s="135"/>
      <c r="BA2724" s="135"/>
      <c r="BB2724" s="135"/>
      <c r="BC2724" s="135"/>
      <c r="BD2724" s="135"/>
      <c r="BE2724" s="135"/>
      <c r="BF2724" s="135"/>
      <c r="BG2724" s="135"/>
      <c r="BH2724" s="135"/>
      <c r="BI2724" s="2"/>
      <c r="BJ2724" s="136"/>
      <c r="BK2724" s="2"/>
      <c r="BL2724" s="136"/>
      <c r="BM2724" s="136"/>
      <c r="BN2724" s="2"/>
      <c r="BO2724" s="2"/>
      <c r="BP2724" s="136"/>
      <c r="BQ2724" s="137"/>
    </row>
    <row r="2725" spans="1:69" ht="12.75" customHeight="1" x14ac:dyDescent="0.2">
      <c r="A2725" s="2">
        <v>4214</v>
      </c>
      <c r="B2725" s="2"/>
      <c r="C2725" s="2"/>
      <c r="D2725" s="2"/>
      <c r="E2725" s="2"/>
      <c r="F2725" s="132">
        <v>0</v>
      </c>
      <c r="G2725" s="132"/>
      <c r="H2725" s="132">
        <f t="shared" si="304"/>
        <v>0</v>
      </c>
      <c r="I2725" s="132"/>
      <c r="J2725" s="132">
        <f t="shared" si="309"/>
        <v>0</v>
      </c>
      <c r="K2725" s="132">
        <f t="shared" si="305"/>
        <v>0</v>
      </c>
      <c r="L2725" s="132">
        <f t="shared" si="306"/>
        <v>0</v>
      </c>
      <c r="M2725" s="133"/>
      <c r="N2725" s="133">
        <f t="shared" si="303"/>
        <v>0</v>
      </c>
      <c r="O2725" s="134"/>
      <c r="P2725" s="133"/>
      <c r="Q2725" s="2"/>
      <c r="R2725" s="156">
        <f t="shared" si="307"/>
        <v>0</v>
      </c>
      <c r="S2725" s="156">
        <f t="shared" si="308"/>
        <v>0</v>
      </c>
      <c r="T2725" s="133"/>
      <c r="U2725" s="133"/>
      <c r="V2725" s="133"/>
      <c r="W2725" s="133"/>
      <c r="X2725" s="133"/>
      <c r="Y2725" s="133"/>
      <c r="Z2725" s="133"/>
      <c r="AA2725" s="133"/>
      <c r="AB2725" s="133"/>
      <c r="AC2725" s="133"/>
      <c r="AD2725" s="133"/>
      <c r="AE2725" s="133"/>
      <c r="AF2725" s="133"/>
      <c r="AG2725" s="133"/>
      <c r="AH2725" s="133"/>
      <c r="AI2725" s="133"/>
      <c r="AJ2725" s="133"/>
      <c r="AK2725" s="133"/>
      <c r="AL2725" s="133"/>
      <c r="AM2725" s="133"/>
      <c r="AN2725" s="133"/>
      <c r="AO2725" s="133"/>
      <c r="AP2725" s="133"/>
      <c r="AQ2725" s="133"/>
      <c r="AR2725" s="133"/>
      <c r="AS2725" s="153">
        <v>0</v>
      </c>
      <c r="AT2725" s="153">
        <v>0</v>
      </c>
      <c r="AU2725" s="153">
        <v>0</v>
      </c>
      <c r="AV2725" s="135"/>
      <c r="AW2725" s="135"/>
      <c r="AX2725" s="135"/>
      <c r="AY2725" s="135"/>
      <c r="AZ2725" s="135"/>
      <c r="BA2725" s="135"/>
      <c r="BB2725" s="135"/>
      <c r="BC2725" s="135"/>
      <c r="BD2725" s="135"/>
      <c r="BE2725" s="135"/>
      <c r="BF2725" s="135"/>
      <c r="BG2725" s="135"/>
      <c r="BH2725" s="135"/>
      <c r="BI2725" s="2"/>
      <c r="BJ2725" s="136"/>
      <c r="BK2725" s="2"/>
      <c r="BL2725" s="136"/>
      <c r="BM2725" s="136"/>
      <c r="BN2725" s="2"/>
      <c r="BO2725" s="2"/>
      <c r="BP2725" s="136"/>
      <c r="BQ2725" s="137"/>
    </row>
    <row r="2726" spans="1:69" ht="12.75" customHeight="1" x14ac:dyDescent="0.2">
      <c r="A2726" s="2">
        <v>4215</v>
      </c>
      <c r="B2726" s="2"/>
      <c r="C2726" s="2"/>
      <c r="D2726" s="2"/>
      <c r="E2726" s="2"/>
      <c r="F2726" s="132">
        <v>0</v>
      </c>
      <c r="G2726" s="132"/>
      <c r="H2726" s="132">
        <f t="shared" si="304"/>
        <v>0</v>
      </c>
      <c r="I2726" s="132"/>
      <c r="J2726" s="132">
        <f t="shared" si="309"/>
        <v>0</v>
      </c>
      <c r="K2726" s="132">
        <f t="shared" si="305"/>
        <v>0</v>
      </c>
      <c r="L2726" s="132">
        <f t="shared" si="306"/>
        <v>0</v>
      </c>
      <c r="M2726" s="133"/>
      <c r="N2726" s="133">
        <f t="shared" si="303"/>
        <v>0</v>
      </c>
      <c r="O2726" s="134"/>
      <c r="P2726" s="133"/>
      <c r="Q2726" s="2"/>
      <c r="R2726" s="156">
        <f t="shared" si="307"/>
        <v>0</v>
      </c>
      <c r="S2726" s="156">
        <f t="shared" si="308"/>
        <v>0</v>
      </c>
      <c r="T2726" s="133"/>
      <c r="U2726" s="133"/>
      <c r="V2726" s="133"/>
      <c r="W2726" s="133"/>
      <c r="X2726" s="133"/>
      <c r="Y2726" s="133"/>
      <c r="Z2726" s="133"/>
      <c r="AA2726" s="133"/>
      <c r="AB2726" s="133"/>
      <c r="AC2726" s="133"/>
      <c r="AD2726" s="133"/>
      <c r="AE2726" s="133"/>
      <c r="AF2726" s="133"/>
      <c r="AG2726" s="133"/>
      <c r="AH2726" s="133"/>
      <c r="AI2726" s="133"/>
      <c r="AJ2726" s="133"/>
      <c r="AK2726" s="133"/>
      <c r="AL2726" s="133"/>
      <c r="AM2726" s="133"/>
      <c r="AN2726" s="133"/>
      <c r="AO2726" s="133"/>
      <c r="AP2726" s="133"/>
      <c r="AQ2726" s="133"/>
      <c r="AR2726" s="133"/>
      <c r="AS2726" s="153">
        <v>0</v>
      </c>
      <c r="AT2726" s="153">
        <v>0</v>
      </c>
      <c r="AU2726" s="153">
        <v>0</v>
      </c>
      <c r="AV2726" s="135"/>
      <c r="AW2726" s="135"/>
      <c r="AX2726" s="135"/>
      <c r="AY2726" s="135"/>
      <c r="AZ2726" s="135"/>
      <c r="BA2726" s="135"/>
      <c r="BB2726" s="135"/>
      <c r="BC2726" s="135"/>
      <c r="BD2726" s="135"/>
      <c r="BE2726" s="135"/>
      <c r="BF2726" s="135"/>
      <c r="BG2726" s="135"/>
      <c r="BH2726" s="135"/>
      <c r="BI2726" s="2"/>
      <c r="BJ2726" s="136"/>
      <c r="BK2726" s="2"/>
      <c r="BL2726" s="136"/>
      <c r="BM2726" s="136"/>
      <c r="BN2726" s="2"/>
      <c r="BO2726" s="2"/>
      <c r="BP2726" s="136"/>
      <c r="BQ2726" s="137"/>
    </row>
    <row r="2727" spans="1:69" ht="12.75" customHeight="1" x14ac:dyDescent="0.2">
      <c r="A2727" s="2">
        <v>4216</v>
      </c>
      <c r="B2727" s="2"/>
      <c r="C2727" s="2"/>
      <c r="D2727" s="2"/>
      <c r="E2727" s="2"/>
      <c r="F2727" s="132">
        <v>0</v>
      </c>
      <c r="G2727" s="132"/>
      <c r="H2727" s="132">
        <f t="shared" si="304"/>
        <v>0</v>
      </c>
      <c r="I2727" s="132"/>
      <c r="J2727" s="132">
        <f t="shared" si="309"/>
        <v>0</v>
      </c>
      <c r="K2727" s="132">
        <f t="shared" si="305"/>
        <v>0</v>
      </c>
      <c r="L2727" s="132">
        <f t="shared" si="306"/>
        <v>0</v>
      </c>
      <c r="M2727" s="133"/>
      <c r="N2727" s="133">
        <f t="shared" si="303"/>
        <v>0</v>
      </c>
      <c r="O2727" s="134"/>
      <c r="P2727" s="133"/>
      <c r="Q2727" s="2"/>
      <c r="R2727" s="156">
        <f t="shared" si="307"/>
        <v>0</v>
      </c>
      <c r="S2727" s="156">
        <f t="shared" si="308"/>
        <v>0</v>
      </c>
      <c r="T2727" s="133"/>
      <c r="U2727" s="133"/>
      <c r="V2727" s="133"/>
      <c r="W2727" s="133"/>
      <c r="X2727" s="133"/>
      <c r="Y2727" s="133"/>
      <c r="Z2727" s="133"/>
      <c r="AA2727" s="133"/>
      <c r="AB2727" s="133"/>
      <c r="AC2727" s="133"/>
      <c r="AD2727" s="133"/>
      <c r="AE2727" s="133"/>
      <c r="AF2727" s="133"/>
      <c r="AG2727" s="133"/>
      <c r="AH2727" s="133"/>
      <c r="AI2727" s="133"/>
      <c r="AJ2727" s="133"/>
      <c r="AK2727" s="133"/>
      <c r="AL2727" s="133"/>
      <c r="AM2727" s="133"/>
      <c r="AN2727" s="133"/>
      <c r="AO2727" s="133"/>
      <c r="AP2727" s="133"/>
      <c r="AQ2727" s="133"/>
      <c r="AR2727" s="133"/>
      <c r="AS2727" s="153">
        <v>0</v>
      </c>
      <c r="AT2727" s="153">
        <v>0</v>
      </c>
      <c r="AU2727" s="153">
        <v>0</v>
      </c>
      <c r="AV2727" s="135"/>
      <c r="AW2727" s="135"/>
      <c r="AX2727" s="135"/>
      <c r="AY2727" s="135"/>
      <c r="AZ2727" s="135"/>
      <c r="BA2727" s="135"/>
      <c r="BB2727" s="135"/>
      <c r="BC2727" s="135"/>
      <c r="BD2727" s="135"/>
      <c r="BE2727" s="135"/>
      <c r="BF2727" s="135"/>
      <c r="BG2727" s="135"/>
      <c r="BH2727" s="135"/>
      <c r="BI2727" s="2"/>
      <c r="BJ2727" s="136"/>
      <c r="BK2727" s="2"/>
      <c r="BL2727" s="136"/>
      <c r="BM2727" s="136"/>
      <c r="BN2727" s="2"/>
      <c r="BO2727" s="2"/>
      <c r="BP2727" s="136"/>
      <c r="BQ2727" s="137"/>
    </row>
    <row r="2728" spans="1:69" ht="12.75" customHeight="1" x14ac:dyDescent="0.2">
      <c r="A2728" s="2">
        <v>4217</v>
      </c>
      <c r="B2728" s="2"/>
      <c r="C2728" s="2"/>
      <c r="D2728" s="2"/>
      <c r="E2728" s="2"/>
      <c r="F2728" s="132">
        <v>0</v>
      </c>
      <c r="G2728" s="132"/>
      <c r="H2728" s="132">
        <f t="shared" si="304"/>
        <v>0</v>
      </c>
      <c r="I2728" s="132"/>
      <c r="J2728" s="132">
        <f t="shared" si="309"/>
        <v>0</v>
      </c>
      <c r="K2728" s="132">
        <f t="shared" si="305"/>
        <v>0</v>
      </c>
      <c r="L2728" s="132">
        <f t="shared" si="306"/>
        <v>0</v>
      </c>
      <c r="M2728" s="133"/>
      <c r="N2728" s="133">
        <f t="shared" si="303"/>
        <v>0</v>
      </c>
      <c r="O2728" s="134"/>
      <c r="P2728" s="133"/>
      <c r="Q2728" s="2"/>
      <c r="R2728" s="156">
        <f t="shared" si="307"/>
        <v>0</v>
      </c>
      <c r="S2728" s="156">
        <f t="shared" si="308"/>
        <v>0</v>
      </c>
      <c r="T2728" s="133"/>
      <c r="U2728" s="133"/>
      <c r="V2728" s="133"/>
      <c r="W2728" s="133"/>
      <c r="X2728" s="133"/>
      <c r="Y2728" s="133"/>
      <c r="Z2728" s="133"/>
      <c r="AA2728" s="133"/>
      <c r="AB2728" s="133"/>
      <c r="AC2728" s="133"/>
      <c r="AD2728" s="133"/>
      <c r="AE2728" s="133"/>
      <c r="AF2728" s="133"/>
      <c r="AG2728" s="133"/>
      <c r="AH2728" s="133"/>
      <c r="AI2728" s="133"/>
      <c r="AJ2728" s="133"/>
      <c r="AK2728" s="133"/>
      <c r="AL2728" s="133"/>
      <c r="AM2728" s="133"/>
      <c r="AN2728" s="133"/>
      <c r="AO2728" s="133"/>
      <c r="AP2728" s="133"/>
      <c r="AQ2728" s="133"/>
      <c r="AR2728" s="133"/>
      <c r="AS2728" s="153">
        <v>0</v>
      </c>
      <c r="AT2728" s="153">
        <v>0</v>
      </c>
      <c r="AU2728" s="153">
        <v>0</v>
      </c>
      <c r="AV2728" s="135"/>
      <c r="AW2728" s="135"/>
      <c r="AX2728" s="135"/>
      <c r="AY2728" s="135"/>
      <c r="AZ2728" s="135"/>
      <c r="BA2728" s="135"/>
      <c r="BB2728" s="135"/>
      <c r="BC2728" s="135"/>
      <c r="BD2728" s="135"/>
      <c r="BE2728" s="135"/>
      <c r="BF2728" s="135"/>
      <c r="BG2728" s="135"/>
      <c r="BH2728" s="135"/>
      <c r="BI2728" s="2"/>
      <c r="BJ2728" s="136"/>
      <c r="BK2728" s="2"/>
      <c r="BL2728" s="136"/>
      <c r="BM2728" s="136"/>
      <c r="BN2728" s="2"/>
      <c r="BO2728" s="2"/>
      <c r="BP2728" s="136"/>
      <c r="BQ2728" s="137"/>
    </row>
    <row r="2729" spans="1:69" ht="12.75" customHeight="1" x14ac:dyDescent="0.2">
      <c r="A2729" s="2">
        <v>4218</v>
      </c>
      <c r="B2729" s="2"/>
      <c r="C2729" s="2"/>
      <c r="D2729" s="2"/>
      <c r="E2729" s="2"/>
      <c r="F2729" s="132">
        <v>0</v>
      </c>
      <c r="G2729" s="132"/>
      <c r="H2729" s="132">
        <f t="shared" si="304"/>
        <v>0</v>
      </c>
      <c r="I2729" s="132"/>
      <c r="J2729" s="132">
        <f t="shared" si="309"/>
        <v>0</v>
      </c>
      <c r="K2729" s="132">
        <f t="shared" si="305"/>
        <v>0</v>
      </c>
      <c r="L2729" s="132">
        <f t="shared" si="306"/>
        <v>0</v>
      </c>
      <c r="M2729" s="133"/>
      <c r="N2729" s="133">
        <f t="shared" si="303"/>
        <v>0</v>
      </c>
      <c r="O2729" s="134"/>
      <c r="P2729" s="133"/>
      <c r="Q2729" s="2"/>
      <c r="R2729" s="156">
        <f t="shared" si="307"/>
        <v>0</v>
      </c>
      <c r="S2729" s="156">
        <f t="shared" si="308"/>
        <v>0</v>
      </c>
      <c r="T2729" s="133"/>
      <c r="U2729" s="133"/>
      <c r="V2729" s="133"/>
      <c r="W2729" s="133"/>
      <c r="X2729" s="133"/>
      <c r="Y2729" s="133"/>
      <c r="Z2729" s="133"/>
      <c r="AA2729" s="133"/>
      <c r="AB2729" s="133"/>
      <c r="AC2729" s="133"/>
      <c r="AD2729" s="133"/>
      <c r="AE2729" s="133"/>
      <c r="AF2729" s="133"/>
      <c r="AG2729" s="133"/>
      <c r="AH2729" s="133"/>
      <c r="AI2729" s="133"/>
      <c r="AJ2729" s="133"/>
      <c r="AK2729" s="133"/>
      <c r="AL2729" s="133"/>
      <c r="AM2729" s="133"/>
      <c r="AN2729" s="133"/>
      <c r="AO2729" s="133"/>
      <c r="AP2729" s="133"/>
      <c r="AQ2729" s="133"/>
      <c r="AR2729" s="133"/>
      <c r="AS2729" s="153">
        <v>0</v>
      </c>
      <c r="AT2729" s="153">
        <v>0</v>
      </c>
      <c r="AU2729" s="153">
        <v>0</v>
      </c>
      <c r="AV2729" s="135"/>
      <c r="AW2729" s="135"/>
      <c r="AX2729" s="135"/>
      <c r="AY2729" s="135"/>
      <c r="AZ2729" s="135"/>
      <c r="BA2729" s="135"/>
      <c r="BB2729" s="135"/>
      <c r="BC2729" s="135"/>
      <c r="BD2729" s="135"/>
      <c r="BE2729" s="135"/>
      <c r="BF2729" s="135"/>
      <c r="BG2729" s="135"/>
      <c r="BH2729" s="135"/>
      <c r="BI2729" s="2"/>
      <c r="BJ2729" s="136"/>
      <c r="BK2729" s="2"/>
      <c r="BL2729" s="136"/>
      <c r="BM2729" s="136"/>
      <c r="BN2729" s="2"/>
      <c r="BO2729" s="2"/>
      <c r="BP2729" s="136"/>
      <c r="BQ2729" s="137"/>
    </row>
    <row r="2730" spans="1:69" ht="12.75" customHeight="1" x14ac:dyDescent="0.2">
      <c r="A2730" s="2">
        <v>4219</v>
      </c>
      <c r="B2730" s="2"/>
      <c r="C2730" s="2"/>
      <c r="D2730" s="2"/>
      <c r="E2730" s="2"/>
      <c r="F2730" s="132">
        <v>0</v>
      </c>
      <c r="G2730" s="132"/>
      <c r="H2730" s="132">
        <f t="shared" si="304"/>
        <v>0</v>
      </c>
      <c r="I2730" s="132"/>
      <c r="J2730" s="132">
        <f t="shared" si="309"/>
        <v>0</v>
      </c>
      <c r="K2730" s="132">
        <f t="shared" si="305"/>
        <v>0</v>
      </c>
      <c r="L2730" s="132">
        <f t="shared" si="306"/>
        <v>0</v>
      </c>
      <c r="M2730" s="133"/>
      <c r="N2730" s="133">
        <f t="shared" ref="N2730:N2793" si="310">IF(OR(BK2730="принят",BK2730="Завершено",BK2730="ПриПро"),H2730-J2730,F2730-J2730)</f>
        <v>0</v>
      </c>
      <c r="O2730" s="134"/>
      <c r="P2730" s="133"/>
      <c r="Q2730" s="2"/>
      <c r="R2730" s="156">
        <f t="shared" si="307"/>
        <v>0</v>
      </c>
      <c r="S2730" s="156">
        <f t="shared" si="308"/>
        <v>0</v>
      </c>
      <c r="T2730" s="133"/>
      <c r="U2730" s="133"/>
      <c r="V2730" s="133"/>
      <c r="W2730" s="133"/>
      <c r="X2730" s="133"/>
      <c r="Y2730" s="133"/>
      <c r="Z2730" s="133"/>
      <c r="AA2730" s="133"/>
      <c r="AB2730" s="133"/>
      <c r="AC2730" s="133"/>
      <c r="AD2730" s="133"/>
      <c r="AE2730" s="133"/>
      <c r="AF2730" s="133"/>
      <c r="AG2730" s="133"/>
      <c r="AH2730" s="133"/>
      <c r="AI2730" s="133"/>
      <c r="AJ2730" s="133"/>
      <c r="AK2730" s="133"/>
      <c r="AL2730" s="133"/>
      <c r="AM2730" s="133"/>
      <c r="AN2730" s="133"/>
      <c r="AO2730" s="133"/>
      <c r="AP2730" s="133"/>
      <c r="AQ2730" s="133"/>
      <c r="AR2730" s="133"/>
      <c r="AS2730" s="153">
        <v>0</v>
      </c>
      <c r="AT2730" s="153">
        <v>0</v>
      </c>
      <c r="AU2730" s="153">
        <v>0</v>
      </c>
      <c r="AV2730" s="135"/>
      <c r="AW2730" s="135"/>
      <c r="AX2730" s="135"/>
      <c r="AY2730" s="135"/>
      <c r="AZ2730" s="135"/>
      <c r="BA2730" s="135"/>
      <c r="BB2730" s="135"/>
      <c r="BC2730" s="135"/>
      <c r="BD2730" s="135"/>
      <c r="BE2730" s="135"/>
      <c r="BF2730" s="135"/>
      <c r="BG2730" s="135"/>
      <c r="BH2730" s="135"/>
      <c r="BI2730" s="2"/>
      <c r="BJ2730" s="136"/>
      <c r="BK2730" s="2"/>
      <c r="BL2730" s="136"/>
      <c r="BM2730" s="136"/>
      <c r="BN2730" s="2"/>
      <c r="BO2730" s="2"/>
      <c r="BP2730" s="136"/>
      <c r="BQ2730" s="137"/>
    </row>
    <row r="2731" spans="1:69" ht="12.75" customHeight="1" x14ac:dyDescent="0.2">
      <c r="A2731" s="2">
        <v>4220</v>
      </c>
      <c r="B2731" s="2"/>
      <c r="C2731" s="2"/>
      <c r="D2731" s="2"/>
      <c r="E2731" s="2"/>
      <c r="F2731" s="132">
        <v>0</v>
      </c>
      <c r="G2731" s="132"/>
      <c r="H2731" s="132">
        <f t="shared" si="304"/>
        <v>0</v>
      </c>
      <c r="I2731" s="132"/>
      <c r="J2731" s="132">
        <f t="shared" si="309"/>
        <v>0</v>
      </c>
      <c r="K2731" s="132">
        <f t="shared" si="305"/>
        <v>0</v>
      </c>
      <c r="L2731" s="132">
        <f t="shared" si="306"/>
        <v>0</v>
      </c>
      <c r="M2731" s="133"/>
      <c r="N2731" s="133">
        <f t="shared" si="310"/>
        <v>0</v>
      </c>
      <c r="O2731" s="134"/>
      <c r="P2731" s="133"/>
      <c r="Q2731" s="2"/>
      <c r="R2731" s="156">
        <f t="shared" si="307"/>
        <v>0</v>
      </c>
      <c r="S2731" s="156">
        <f t="shared" si="308"/>
        <v>0</v>
      </c>
      <c r="T2731" s="133"/>
      <c r="U2731" s="133"/>
      <c r="V2731" s="133"/>
      <c r="W2731" s="133"/>
      <c r="X2731" s="133"/>
      <c r="Y2731" s="133"/>
      <c r="Z2731" s="133"/>
      <c r="AA2731" s="133"/>
      <c r="AB2731" s="133"/>
      <c r="AC2731" s="133"/>
      <c r="AD2731" s="133"/>
      <c r="AE2731" s="133"/>
      <c r="AF2731" s="133"/>
      <c r="AG2731" s="133"/>
      <c r="AH2731" s="133"/>
      <c r="AI2731" s="133"/>
      <c r="AJ2731" s="133"/>
      <c r="AK2731" s="133"/>
      <c r="AL2731" s="133"/>
      <c r="AM2731" s="133"/>
      <c r="AN2731" s="133"/>
      <c r="AO2731" s="133"/>
      <c r="AP2731" s="133"/>
      <c r="AQ2731" s="133"/>
      <c r="AR2731" s="133"/>
      <c r="AS2731" s="153">
        <v>0</v>
      </c>
      <c r="AT2731" s="153">
        <v>0</v>
      </c>
      <c r="AU2731" s="153">
        <v>0</v>
      </c>
      <c r="AV2731" s="135"/>
      <c r="AW2731" s="135"/>
      <c r="AX2731" s="135"/>
      <c r="AY2731" s="135"/>
      <c r="AZ2731" s="135"/>
      <c r="BA2731" s="135"/>
      <c r="BB2731" s="135"/>
      <c r="BC2731" s="135"/>
      <c r="BD2731" s="135"/>
      <c r="BE2731" s="135"/>
      <c r="BF2731" s="135"/>
      <c r="BG2731" s="135"/>
      <c r="BH2731" s="135"/>
      <c r="BI2731" s="2"/>
      <c r="BJ2731" s="136"/>
      <c r="BK2731" s="2"/>
      <c r="BL2731" s="136"/>
      <c r="BM2731" s="136"/>
      <c r="BN2731" s="2"/>
      <c r="BO2731" s="2"/>
      <c r="BP2731" s="136"/>
      <c r="BQ2731" s="137"/>
    </row>
    <row r="2732" spans="1:69" ht="12.75" customHeight="1" x14ac:dyDescent="0.2">
      <c r="A2732" s="2">
        <v>4221</v>
      </c>
      <c r="B2732" s="2"/>
      <c r="C2732" s="2"/>
      <c r="D2732" s="2"/>
      <c r="E2732" s="2"/>
      <c r="F2732" s="132">
        <v>0</v>
      </c>
      <c r="G2732" s="132"/>
      <c r="H2732" s="132">
        <f t="shared" si="304"/>
        <v>0</v>
      </c>
      <c r="I2732" s="132"/>
      <c r="J2732" s="132">
        <f t="shared" si="309"/>
        <v>0</v>
      </c>
      <c r="K2732" s="132">
        <f t="shared" si="305"/>
        <v>0</v>
      </c>
      <c r="L2732" s="132">
        <f t="shared" si="306"/>
        <v>0</v>
      </c>
      <c r="M2732" s="133"/>
      <c r="N2732" s="133">
        <f t="shared" si="310"/>
        <v>0</v>
      </c>
      <c r="O2732" s="134"/>
      <c r="P2732" s="133"/>
      <c r="Q2732" s="2"/>
      <c r="R2732" s="156">
        <f t="shared" si="307"/>
        <v>0</v>
      </c>
      <c r="S2732" s="156">
        <f t="shared" si="308"/>
        <v>0</v>
      </c>
      <c r="T2732" s="133"/>
      <c r="U2732" s="133"/>
      <c r="V2732" s="133"/>
      <c r="W2732" s="133"/>
      <c r="X2732" s="133"/>
      <c r="Y2732" s="133"/>
      <c r="Z2732" s="133"/>
      <c r="AA2732" s="133"/>
      <c r="AB2732" s="133"/>
      <c r="AC2732" s="133"/>
      <c r="AD2732" s="133"/>
      <c r="AE2732" s="133"/>
      <c r="AF2732" s="133"/>
      <c r="AG2732" s="133"/>
      <c r="AH2732" s="133"/>
      <c r="AI2732" s="133"/>
      <c r="AJ2732" s="133"/>
      <c r="AK2732" s="133"/>
      <c r="AL2732" s="133"/>
      <c r="AM2732" s="133"/>
      <c r="AN2732" s="133"/>
      <c r="AO2732" s="133"/>
      <c r="AP2732" s="133"/>
      <c r="AQ2732" s="133"/>
      <c r="AR2732" s="133"/>
      <c r="AS2732" s="153">
        <v>0</v>
      </c>
      <c r="AT2732" s="153">
        <v>0</v>
      </c>
      <c r="AU2732" s="153">
        <v>0</v>
      </c>
      <c r="AV2732" s="135"/>
      <c r="AW2732" s="135"/>
      <c r="AX2732" s="135"/>
      <c r="AY2732" s="135"/>
      <c r="AZ2732" s="135"/>
      <c r="BA2732" s="135"/>
      <c r="BB2732" s="135"/>
      <c r="BC2732" s="135"/>
      <c r="BD2732" s="135"/>
      <c r="BE2732" s="135"/>
      <c r="BF2732" s="135"/>
      <c r="BG2732" s="135"/>
      <c r="BH2732" s="135"/>
      <c r="BI2732" s="2"/>
      <c r="BJ2732" s="136"/>
      <c r="BK2732" s="2"/>
      <c r="BL2732" s="136"/>
      <c r="BM2732" s="136"/>
      <c r="BN2732" s="2"/>
      <c r="BO2732" s="2"/>
      <c r="BP2732" s="136"/>
      <c r="BQ2732" s="137"/>
    </row>
    <row r="2733" spans="1:69" ht="12.75" customHeight="1" x14ac:dyDescent="0.2">
      <c r="A2733" s="2">
        <v>4222</v>
      </c>
      <c r="B2733" s="2"/>
      <c r="C2733" s="2"/>
      <c r="D2733" s="2"/>
      <c r="E2733" s="2"/>
      <c r="F2733" s="132">
        <v>0</v>
      </c>
      <c r="G2733" s="132"/>
      <c r="H2733" s="132">
        <f t="shared" si="304"/>
        <v>0</v>
      </c>
      <c r="I2733" s="132"/>
      <c r="J2733" s="132">
        <f t="shared" si="309"/>
        <v>0</v>
      </c>
      <c r="K2733" s="132">
        <f t="shared" si="305"/>
        <v>0</v>
      </c>
      <c r="L2733" s="132">
        <f t="shared" si="306"/>
        <v>0</v>
      </c>
      <c r="M2733" s="133"/>
      <c r="N2733" s="133">
        <f t="shared" si="310"/>
        <v>0</v>
      </c>
      <c r="O2733" s="134"/>
      <c r="P2733" s="133"/>
      <c r="Q2733" s="2"/>
      <c r="R2733" s="156">
        <f t="shared" si="307"/>
        <v>0</v>
      </c>
      <c r="S2733" s="156">
        <f t="shared" si="308"/>
        <v>0</v>
      </c>
      <c r="T2733" s="133"/>
      <c r="U2733" s="133"/>
      <c r="V2733" s="133"/>
      <c r="W2733" s="133"/>
      <c r="X2733" s="133"/>
      <c r="Y2733" s="133"/>
      <c r="Z2733" s="133"/>
      <c r="AA2733" s="133"/>
      <c r="AB2733" s="133"/>
      <c r="AC2733" s="133"/>
      <c r="AD2733" s="133"/>
      <c r="AE2733" s="133"/>
      <c r="AF2733" s="133"/>
      <c r="AG2733" s="133"/>
      <c r="AH2733" s="133"/>
      <c r="AI2733" s="133"/>
      <c r="AJ2733" s="133"/>
      <c r="AK2733" s="133"/>
      <c r="AL2733" s="133"/>
      <c r="AM2733" s="133"/>
      <c r="AN2733" s="133"/>
      <c r="AO2733" s="133"/>
      <c r="AP2733" s="133"/>
      <c r="AQ2733" s="133"/>
      <c r="AR2733" s="133"/>
      <c r="AS2733" s="153">
        <v>0</v>
      </c>
      <c r="AT2733" s="153">
        <v>0</v>
      </c>
      <c r="AU2733" s="153">
        <v>0</v>
      </c>
      <c r="AV2733" s="135"/>
      <c r="AW2733" s="135"/>
      <c r="AX2733" s="135"/>
      <c r="AY2733" s="135"/>
      <c r="AZ2733" s="135"/>
      <c r="BA2733" s="135"/>
      <c r="BB2733" s="135"/>
      <c r="BC2733" s="135"/>
      <c r="BD2733" s="135"/>
      <c r="BE2733" s="135"/>
      <c r="BF2733" s="135"/>
      <c r="BG2733" s="135"/>
      <c r="BH2733" s="135"/>
      <c r="BI2733" s="2"/>
      <c r="BJ2733" s="136"/>
      <c r="BK2733" s="2"/>
      <c r="BL2733" s="136"/>
      <c r="BM2733" s="136"/>
      <c r="BN2733" s="2"/>
      <c r="BO2733" s="2"/>
      <c r="BP2733" s="136"/>
      <c r="BQ2733" s="137"/>
    </row>
    <row r="2734" spans="1:69" ht="12.75" customHeight="1" x14ac:dyDescent="0.2">
      <c r="A2734" s="2">
        <v>4223</v>
      </c>
      <c r="B2734" s="2"/>
      <c r="C2734" s="2"/>
      <c r="D2734" s="2"/>
      <c r="E2734" s="2"/>
      <c r="F2734" s="132">
        <v>0</v>
      </c>
      <c r="G2734" s="132"/>
      <c r="H2734" s="132">
        <f t="shared" ref="H2734:H2797" si="311">R2734</f>
        <v>0</v>
      </c>
      <c r="I2734" s="132"/>
      <c r="J2734" s="132">
        <f t="shared" si="309"/>
        <v>0</v>
      </c>
      <c r="K2734" s="132">
        <f t="shared" si="305"/>
        <v>0</v>
      </c>
      <c r="L2734" s="132">
        <f t="shared" si="306"/>
        <v>0</v>
      </c>
      <c r="M2734" s="133"/>
      <c r="N2734" s="133">
        <f t="shared" si="310"/>
        <v>0</v>
      </c>
      <c r="O2734" s="134"/>
      <c r="P2734" s="133"/>
      <c r="Q2734" s="2"/>
      <c r="R2734" s="156">
        <f t="shared" si="307"/>
        <v>0</v>
      </c>
      <c r="S2734" s="156">
        <f t="shared" si="308"/>
        <v>0</v>
      </c>
      <c r="T2734" s="133"/>
      <c r="U2734" s="133"/>
      <c r="V2734" s="133"/>
      <c r="W2734" s="133"/>
      <c r="X2734" s="133"/>
      <c r="Y2734" s="133"/>
      <c r="Z2734" s="133"/>
      <c r="AA2734" s="133"/>
      <c r="AB2734" s="133"/>
      <c r="AC2734" s="133"/>
      <c r="AD2734" s="133"/>
      <c r="AE2734" s="133"/>
      <c r="AF2734" s="133"/>
      <c r="AG2734" s="133"/>
      <c r="AH2734" s="133"/>
      <c r="AI2734" s="133"/>
      <c r="AJ2734" s="133"/>
      <c r="AK2734" s="133"/>
      <c r="AL2734" s="133"/>
      <c r="AM2734" s="133"/>
      <c r="AN2734" s="133"/>
      <c r="AO2734" s="133"/>
      <c r="AP2734" s="133"/>
      <c r="AQ2734" s="133"/>
      <c r="AR2734" s="133"/>
      <c r="AS2734" s="153">
        <v>0</v>
      </c>
      <c r="AT2734" s="153">
        <v>0</v>
      </c>
      <c r="AU2734" s="153">
        <v>0</v>
      </c>
      <c r="AV2734" s="135"/>
      <c r="AW2734" s="135"/>
      <c r="AX2734" s="135"/>
      <c r="AY2734" s="135"/>
      <c r="AZ2734" s="135"/>
      <c r="BA2734" s="135"/>
      <c r="BB2734" s="135"/>
      <c r="BC2734" s="135"/>
      <c r="BD2734" s="135"/>
      <c r="BE2734" s="135"/>
      <c r="BF2734" s="135"/>
      <c r="BG2734" s="135"/>
      <c r="BH2734" s="135"/>
      <c r="BI2734" s="2"/>
      <c r="BJ2734" s="136"/>
      <c r="BK2734" s="2"/>
      <c r="BL2734" s="136"/>
      <c r="BM2734" s="136"/>
      <c r="BN2734" s="2"/>
      <c r="BO2734" s="2"/>
      <c r="BP2734" s="136"/>
      <c r="BQ2734" s="137"/>
    </row>
    <row r="2735" spans="1:69" ht="12.75" customHeight="1" x14ac:dyDescent="0.2">
      <c r="A2735" s="2">
        <v>4224</v>
      </c>
      <c r="B2735" s="2"/>
      <c r="C2735" s="2"/>
      <c r="D2735" s="2"/>
      <c r="E2735" s="2"/>
      <c r="F2735" s="132">
        <v>0</v>
      </c>
      <c r="G2735" s="132"/>
      <c r="H2735" s="132">
        <f t="shared" si="311"/>
        <v>0</v>
      </c>
      <c r="I2735" s="132"/>
      <c r="J2735" s="132">
        <f t="shared" si="309"/>
        <v>0</v>
      </c>
      <c r="K2735" s="132">
        <f t="shared" si="305"/>
        <v>0</v>
      </c>
      <c r="L2735" s="132">
        <f t="shared" si="306"/>
        <v>0</v>
      </c>
      <c r="M2735" s="133"/>
      <c r="N2735" s="133">
        <f t="shared" si="310"/>
        <v>0</v>
      </c>
      <c r="O2735" s="134"/>
      <c r="P2735" s="133"/>
      <c r="Q2735" s="2"/>
      <c r="R2735" s="156">
        <f t="shared" si="307"/>
        <v>0</v>
      </c>
      <c r="S2735" s="156">
        <f t="shared" si="308"/>
        <v>0</v>
      </c>
      <c r="T2735" s="133"/>
      <c r="U2735" s="133"/>
      <c r="V2735" s="133"/>
      <c r="W2735" s="133"/>
      <c r="X2735" s="133"/>
      <c r="Y2735" s="133"/>
      <c r="Z2735" s="133"/>
      <c r="AA2735" s="133"/>
      <c r="AB2735" s="133"/>
      <c r="AC2735" s="133"/>
      <c r="AD2735" s="133"/>
      <c r="AE2735" s="133"/>
      <c r="AF2735" s="133"/>
      <c r="AG2735" s="133"/>
      <c r="AH2735" s="133"/>
      <c r="AI2735" s="133"/>
      <c r="AJ2735" s="133"/>
      <c r="AK2735" s="133"/>
      <c r="AL2735" s="133"/>
      <c r="AM2735" s="133"/>
      <c r="AN2735" s="133"/>
      <c r="AO2735" s="133"/>
      <c r="AP2735" s="133"/>
      <c r="AQ2735" s="133"/>
      <c r="AR2735" s="133"/>
      <c r="AS2735" s="153">
        <v>0</v>
      </c>
      <c r="AT2735" s="153">
        <v>0</v>
      </c>
      <c r="AU2735" s="153">
        <v>0</v>
      </c>
      <c r="AV2735" s="135"/>
      <c r="AW2735" s="135"/>
      <c r="AX2735" s="135"/>
      <c r="AY2735" s="135"/>
      <c r="AZ2735" s="135"/>
      <c r="BA2735" s="135"/>
      <c r="BB2735" s="135"/>
      <c r="BC2735" s="135"/>
      <c r="BD2735" s="135"/>
      <c r="BE2735" s="135"/>
      <c r="BF2735" s="135"/>
      <c r="BG2735" s="135"/>
      <c r="BH2735" s="135"/>
      <c r="BI2735" s="2"/>
      <c r="BJ2735" s="136"/>
      <c r="BK2735" s="2"/>
      <c r="BL2735" s="136"/>
      <c r="BM2735" s="136"/>
      <c r="BN2735" s="2"/>
      <c r="BO2735" s="2"/>
      <c r="BP2735" s="136"/>
      <c r="BQ2735" s="137"/>
    </row>
    <row r="2736" spans="1:69" ht="12.75" customHeight="1" x14ac:dyDescent="0.2">
      <c r="A2736" s="2">
        <v>4225</v>
      </c>
      <c r="B2736" s="2"/>
      <c r="C2736" s="2"/>
      <c r="D2736" s="2"/>
      <c r="E2736" s="2"/>
      <c r="F2736" s="132">
        <v>0</v>
      </c>
      <c r="G2736" s="132"/>
      <c r="H2736" s="132">
        <f t="shared" si="311"/>
        <v>0</v>
      </c>
      <c r="I2736" s="132"/>
      <c r="J2736" s="132">
        <f t="shared" si="309"/>
        <v>0</v>
      </c>
      <c r="K2736" s="132">
        <f t="shared" si="305"/>
        <v>0</v>
      </c>
      <c r="L2736" s="132">
        <f t="shared" si="306"/>
        <v>0</v>
      </c>
      <c r="M2736" s="133"/>
      <c r="N2736" s="133">
        <f t="shared" si="310"/>
        <v>0</v>
      </c>
      <c r="O2736" s="134"/>
      <c r="P2736" s="133"/>
      <c r="Q2736" s="2"/>
      <c r="R2736" s="156">
        <f t="shared" si="307"/>
        <v>0</v>
      </c>
      <c r="S2736" s="156">
        <f t="shared" si="308"/>
        <v>0</v>
      </c>
      <c r="T2736" s="133"/>
      <c r="U2736" s="133"/>
      <c r="V2736" s="133"/>
      <c r="W2736" s="133"/>
      <c r="X2736" s="133"/>
      <c r="Y2736" s="133"/>
      <c r="Z2736" s="133"/>
      <c r="AA2736" s="133"/>
      <c r="AB2736" s="133"/>
      <c r="AC2736" s="133"/>
      <c r="AD2736" s="133"/>
      <c r="AE2736" s="133"/>
      <c r="AF2736" s="133"/>
      <c r="AG2736" s="133"/>
      <c r="AH2736" s="133"/>
      <c r="AI2736" s="133"/>
      <c r="AJ2736" s="133"/>
      <c r="AK2736" s="133"/>
      <c r="AL2736" s="133"/>
      <c r="AM2736" s="133"/>
      <c r="AN2736" s="133"/>
      <c r="AO2736" s="133"/>
      <c r="AP2736" s="133"/>
      <c r="AQ2736" s="133"/>
      <c r="AR2736" s="133"/>
      <c r="AS2736" s="153">
        <v>0</v>
      </c>
      <c r="AT2736" s="153">
        <v>0</v>
      </c>
      <c r="AU2736" s="153">
        <v>0</v>
      </c>
      <c r="AV2736" s="135"/>
      <c r="AW2736" s="135"/>
      <c r="AX2736" s="135"/>
      <c r="AY2736" s="135"/>
      <c r="AZ2736" s="135"/>
      <c r="BA2736" s="135"/>
      <c r="BB2736" s="135"/>
      <c r="BC2736" s="135"/>
      <c r="BD2736" s="135"/>
      <c r="BE2736" s="135"/>
      <c r="BF2736" s="135"/>
      <c r="BG2736" s="135"/>
      <c r="BH2736" s="135"/>
      <c r="BI2736" s="2"/>
      <c r="BJ2736" s="136"/>
      <c r="BK2736" s="2"/>
      <c r="BL2736" s="136"/>
      <c r="BM2736" s="136"/>
      <c r="BN2736" s="2"/>
      <c r="BO2736" s="2"/>
      <c r="BP2736" s="136"/>
      <c r="BQ2736" s="137"/>
    </row>
    <row r="2737" spans="1:69" ht="12.75" customHeight="1" x14ac:dyDescent="0.2">
      <c r="A2737" s="2">
        <v>4226</v>
      </c>
      <c r="B2737" s="2"/>
      <c r="C2737" s="2"/>
      <c r="D2737" s="2"/>
      <c r="E2737" s="2"/>
      <c r="F2737" s="132">
        <v>0</v>
      </c>
      <c r="G2737" s="132"/>
      <c r="H2737" s="132">
        <f t="shared" si="311"/>
        <v>0</v>
      </c>
      <c r="I2737" s="132"/>
      <c r="J2737" s="132">
        <f t="shared" si="309"/>
        <v>0</v>
      </c>
      <c r="K2737" s="132">
        <f t="shared" si="305"/>
        <v>0</v>
      </c>
      <c r="L2737" s="132">
        <f t="shared" si="306"/>
        <v>0</v>
      </c>
      <c r="M2737" s="133"/>
      <c r="N2737" s="133">
        <f t="shared" si="310"/>
        <v>0</v>
      </c>
      <c r="O2737" s="134"/>
      <c r="P2737" s="133"/>
      <c r="Q2737" s="2"/>
      <c r="R2737" s="156">
        <f t="shared" si="307"/>
        <v>0</v>
      </c>
      <c r="S2737" s="156">
        <f t="shared" si="308"/>
        <v>0</v>
      </c>
      <c r="T2737" s="133"/>
      <c r="U2737" s="133"/>
      <c r="V2737" s="133"/>
      <c r="W2737" s="133"/>
      <c r="X2737" s="133"/>
      <c r="Y2737" s="133"/>
      <c r="Z2737" s="133"/>
      <c r="AA2737" s="133"/>
      <c r="AB2737" s="133"/>
      <c r="AC2737" s="133"/>
      <c r="AD2737" s="133"/>
      <c r="AE2737" s="133"/>
      <c r="AF2737" s="133"/>
      <c r="AG2737" s="133"/>
      <c r="AH2737" s="133"/>
      <c r="AI2737" s="133"/>
      <c r="AJ2737" s="133"/>
      <c r="AK2737" s="133"/>
      <c r="AL2737" s="133"/>
      <c r="AM2737" s="133"/>
      <c r="AN2737" s="133"/>
      <c r="AO2737" s="133"/>
      <c r="AP2737" s="133"/>
      <c r="AQ2737" s="133"/>
      <c r="AR2737" s="133"/>
      <c r="AS2737" s="153">
        <v>0</v>
      </c>
      <c r="AT2737" s="153">
        <v>0</v>
      </c>
      <c r="AU2737" s="153">
        <v>0</v>
      </c>
      <c r="AV2737" s="135"/>
      <c r="AW2737" s="135"/>
      <c r="AX2737" s="135"/>
      <c r="AY2737" s="135"/>
      <c r="AZ2737" s="135"/>
      <c r="BA2737" s="135"/>
      <c r="BB2737" s="135"/>
      <c r="BC2737" s="135"/>
      <c r="BD2737" s="135"/>
      <c r="BE2737" s="135"/>
      <c r="BF2737" s="135"/>
      <c r="BG2737" s="135"/>
      <c r="BH2737" s="135"/>
      <c r="BI2737" s="2"/>
      <c r="BJ2737" s="136"/>
      <c r="BK2737" s="2"/>
      <c r="BL2737" s="136"/>
      <c r="BM2737" s="136"/>
      <c r="BN2737" s="2"/>
      <c r="BO2737" s="2"/>
      <c r="BP2737" s="136"/>
      <c r="BQ2737" s="137"/>
    </row>
    <row r="2738" spans="1:69" ht="12.75" customHeight="1" x14ac:dyDescent="0.2">
      <c r="A2738" s="2">
        <v>4227</v>
      </c>
      <c r="B2738" s="2"/>
      <c r="C2738" s="2"/>
      <c r="D2738" s="2"/>
      <c r="E2738" s="2"/>
      <c r="F2738" s="132">
        <v>0</v>
      </c>
      <c r="G2738" s="132"/>
      <c r="H2738" s="132">
        <f t="shared" si="311"/>
        <v>0</v>
      </c>
      <c r="I2738" s="132"/>
      <c r="J2738" s="132">
        <f t="shared" si="309"/>
        <v>0</v>
      </c>
      <c r="K2738" s="132">
        <f t="shared" si="305"/>
        <v>0</v>
      </c>
      <c r="L2738" s="132">
        <f t="shared" si="306"/>
        <v>0</v>
      </c>
      <c r="M2738" s="133"/>
      <c r="N2738" s="133">
        <f t="shared" si="310"/>
        <v>0</v>
      </c>
      <c r="O2738" s="134"/>
      <c r="P2738" s="133"/>
      <c r="Q2738" s="2"/>
      <c r="R2738" s="156">
        <f t="shared" si="307"/>
        <v>0</v>
      </c>
      <c r="S2738" s="156">
        <f t="shared" si="308"/>
        <v>0</v>
      </c>
      <c r="T2738" s="133"/>
      <c r="U2738" s="133"/>
      <c r="V2738" s="133"/>
      <c r="W2738" s="133"/>
      <c r="X2738" s="133"/>
      <c r="Y2738" s="133"/>
      <c r="Z2738" s="133"/>
      <c r="AA2738" s="133"/>
      <c r="AB2738" s="133"/>
      <c r="AC2738" s="133"/>
      <c r="AD2738" s="133"/>
      <c r="AE2738" s="133"/>
      <c r="AF2738" s="133"/>
      <c r="AG2738" s="133"/>
      <c r="AH2738" s="133"/>
      <c r="AI2738" s="133"/>
      <c r="AJ2738" s="133"/>
      <c r="AK2738" s="133"/>
      <c r="AL2738" s="133"/>
      <c r="AM2738" s="133"/>
      <c r="AN2738" s="133"/>
      <c r="AO2738" s="133"/>
      <c r="AP2738" s="133"/>
      <c r="AQ2738" s="133"/>
      <c r="AR2738" s="133"/>
      <c r="AS2738" s="153">
        <v>0</v>
      </c>
      <c r="AT2738" s="153">
        <v>0</v>
      </c>
      <c r="AU2738" s="153">
        <v>0</v>
      </c>
      <c r="AV2738" s="135"/>
      <c r="AW2738" s="135"/>
      <c r="AX2738" s="135"/>
      <c r="AY2738" s="135"/>
      <c r="AZ2738" s="135"/>
      <c r="BA2738" s="135"/>
      <c r="BB2738" s="135"/>
      <c r="BC2738" s="135"/>
      <c r="BD2738" s="135"/>
      <c r="BE2738" s="135"/>
      <c r="BF2738" s="135"/>
      <c r="BG2738" s="135"/>
      <c r="BH2738" s="135"/>
      <c r="BI2738" s="2"/>
      <c r="BJ2738" s="136"/>
      <c r="BK2738" s="2"/>
      <c r="BL2738" s="136"/>
      <c r="BM2738" s="136"/>
      <c r="BN2738" s="2"/>
      <c r="BO2738" s="2"/>
      <c r="BP2738" s="136"/>
      <c r="BQ2738" s="137"/>
    </row>
    <row r="2739" spans="1:69" ht="12.75" customHeight="1" x14ac:dyDescent="0.2">
      <c r="A2739" s="2">
        <v>4228</v>
      </c>
      <c r="B2739" s="2"/>
      <c r="C2739" s="2"/>
      <c r="D2739" s="2"/>
      <c r="E2739" s="2"/>
      <c r="F2739" s="132">
        <v>0</v>
      </c>
      <c r="G2739" s="132"/>
      <c r="H2739" s="132">
        <f t="shared" si="311"/>
        <v>0</v>
      </c>
      <c r="I2739" s="132"/>
      <c r="J2739" s="132">
        <f t="shared" si="309"/>
        <v>0</v>
      </c>
      <c r="K2739" s="132">
        <f t="shared" si="305"/>
        <v>0</v>
      </c>
      <c r="L2739" s="132">
        <f t="shared" si="306"/>
        <v>0</v>
      </c>
      <c r="M2739" s="133"/>
      <c r="N2739" s="133">
        <f t="shared" si="310"/>
        <v>0</v>
      </c>
      <c r="O2739" s="134"/>
      <c r="P2739" s="133"/>
      <c r="Q2739" s="2"/>
      <c r="R2739" s="156">
        <f t="shared" si="307"/>
        <v>0</v>
      </c>
      <c r="S2739" s="156">
        <f t="shared" si="308"/>
        <v>0</v>
      </c>
      <c r="T2739" s="133"/>
      <c r="U2739" s="133"/>
      <c r="V2739" s="133"/>
      <c r="W2739" s="133"/>
      <c r="X2739" s="133"/>
      <c r="Y2739" s="133"/>
      <c r="Z2739" s="133"/>
      <c r="AA2739" s="133"/>
      <c r="AB2739" s="133"/>
      <c r="AC2739" s="133"/>
      <c r="AD2739" s="133"/>
      <c r="AE2739" s="133"/>
      <c r="AF2739" s="133"/>
      <c r="AG2739" s="133"/>
      <c r="AH2739" s="133"/>
      <c r="AI2739" s="133"/>
      <c r="AJ2739" s="133"/>
      <c r="AK2739" s="133"/>
      <c r="AL2739" s="133"/>
      <c r="AM2739" s="133"/>
      <c r="AN2739" s="133"/>
      <c r="AO2739" s="133"/>
      <c r="AP2739" s="133"/>
      <c r="AQ2739" s="133"/>
      <c r="AR2739" s="133"/>
      <c r="AS2739" s="153">
        <v>0</v>
      </c>
      <c r="AT2739" s="153">
        <v>0</v>
      </c>
      <c r="AU2739" s="153">
        <v>0</v>
      </c>
      <c r="AV2739" s="135"/>
      <c r="AW2739" s="135"/>
      <c r="AX2739" s="135"/>
      <c r="AY2739" s="135"/>
      <c r="AZ2739" s="135"/>
      <c r="BA2739" s="135"/>
      <c r="BB2739" s="135"/>
      <c r="BC2739" s="135"/>
      <c r="BD2739" s="135"/>
      <c r="BE2739" s="135"/>
      <c r="BF2739" s="135"/>
      <c r="BG2739" s="135"/>
      <c r="BH2739" s="135"/>
      <c r="BI2739" s="2"/>
      <c r="BJ2739" s="136"/>
      <c r="BK2739" s="2"/>
      <c r="BL2739" s="136"/>
      <c r="BM2739" s="136"/>
      <c r="BN2739" s="2"/>
      <c r="BO2739" s="2"/>
      <c r="BP2739" s="136"/>
      <c r="BQ2739" s="137"/>
    </row>
    <row r="2740" spans="1:69" ht="12.75" customHeight="1" x14ac:dyDescent="0.2">
      <c r="A2740" s="2">
        <v>4229</v>
      </c>
      <c r="B2740" s="2"/>
      <c r="C2740" s="2"/>
      <c r="D2740" s="2"/>
      <c r="E2740" s="2"/>
      <c r="F2740" s="132">
        <v>0</v>
      </c>
      <c r="G2740" s="132"/>
      <c r="H2740" s="132">
        <f t="shared" si="311"/>
        <v>0</v>
      </c>
      <c r="I2740" s="132"/>
      <c r="J2740" s="132">
        <f t="shared" si="309"/>
        <v>0</v>
      </c>
      <c r="K2740" s="132">
        <f t="shared" si="305"/>
        <v>0</v>
      </c>
      <c r="L2740" s="132">
        <f t="shared" si="306"/>
        <v>0</v>
      </c>
      <c r="M2740" s="133"/>
      <c r="N2740" s="133">
        <f t="shared" si="310"/>
        <v>0</v>
      </c>
      <c r="O2740" s="134"/>
      <c r="P2740" s="133"/>
      <c r="Q2740" s="2"/>
      <c r="R2740" s="156">
        <f t="shared" si="307"/>
        <v>0</v>
      </c>
      <c r="S2740" s="156">
        <f t="shared" si="308"/>
        <v>0</v>
      </c>
      <c r="T2740" s="133"/>
      <c r="U2740" s="133"/>
      <c r="V2740" s="133"/>
      <c r="W2740" s="133"/>
      <c r="X2740" s="133"/>
      <c r="Y2740" s="133"/>
      <c r="Z2740" s="133"/>
      <c r="AA2740" s="133"/>
      <c r="AB2740" s="133"/>
      <c r="AC2740" s="133"/>
      <c r="AD2740" s="133"/>
      <c r="AE2740" s="133"/>
      <c r="AF2740" s="133"/>
      <c r="AG2740" s="133"/>
      <c r="AH2740" s="133"/>
      <c r="AI2740" s="133"/>
      <c r="AJ2740" s="133"/>
      <c r="AK2740" s="133"/>
      <c r="AL2740" s="133"/>
      <c r="AM2740" s="133"/>
      <c r="AN2740" s="133"/>
      <c r="AO2740" s="133"/>
      <c r="AP2740" s="133"/>
      <c r="AQ2740" s="133"/>
      <c r="AR2740" s="133"/>
      <c r="AS2740" s="153">
        <v>0</v>
      </c>
      <c r="AT2740" s="153">
        <v>0</v>
      </c>
      <c r="AU2740" s="153">
        <v>0</v>
      </c>
      <c r="AV2740" s="135"/>
      <c r="AW2740" s="135"/>
      <c r="AX2740" s="135"/>
      <c r="AY2740" s="135"/>
      <c r="AZ2740" s="135"/>
      <c r="BA2740" s="135"/>
      <c r="BB2740" s="135"/>
      <c r="BC2740" s="135"/>
      <c r="BD2740" s="135"/>
      <c r="BE2740" s="135"/>
      <c r="BF2740" s="135"/>
      <c r="BG2740" s="135"/>
      <c r="BH2740" s="135"/>
      <c r="BI2740" s="2"/>
      <c r="BJ2740" s="136"/>
      <c r="BK2740" s="2"/>
      <c r="BL2740" s="136"/>
      <c r="BM2740" s="136"/>
      <c r="BN2740" s="2"/>
      <c r="BO2740" s="2"/>
      <c r="BP2740" s="136"/>
      <c r="BQ2740" s="137"/>
    </row>
    <row r="2741" spans="1:69" ht="12.75" customHeight="1" x14ac:dyDescent="0.2">
      <c r="A2741" s="2">
        <v>4230</v>
      </c>
      <c r="B2741" s="2"/>
      <c r="C2741" s="2"/>
      <c r="D2741" s="2"/>
      <c r="E2741" s="2"/>
      <c r="F2741" s="132">
        <v>0</v>
      </c>
      <c r="G2741" s="132"/>
      <c r="H2741" s="132">
        <f t="shared" si="311"/>
        <v>0</v>
      </c>
      <c r="I2741" s="132"/>
      <c r="J2741" s="132">
        <f t="shared" si="309"/>
        <v>0</v>
      </c>
      <c r="K2741" s="132">
        <f t="shared" si="305"/>
        <v>0</v>
      </c>
      <c r="L2741" s="132">
        <f t="shared" si="306"/>
        <v>0</v>
      </c>
      <c r="M2741" s="133"/>
      <c r="N2741" s="133">
        <f t="shared" si="310"/>
        <v>0</v>
      </c>
      <c r="O2741" s="134"/>
      <c r="P2741" s="133"/>
      <c r="Q2741" s="2"/>
      <c r="R2741" s="156">
        <f t="shared" si="307"/>
        <v>0</v>
      </c>
      <c r="S2741" s="156">
        <f t="shared" si="308"/>
        <v>0</v>
      </c>
      <c r="T2741" s="133"/>
      <c r="U2741" s="133"/>
      <c r="V2741" s="133"/>
      <c r="W2741" s="133"/>
      <c r="X2741" s="133"/>
      <c r="Y2741" s="133"/>
      <c r="Z2741" s="133"/>
      <c r="AA2741" s="133"/>
      <c r="AB2741" s="133"/>
      <c r="AC2741" s="133"/>
      <c r="AD2741" s="133"/>
      <c r="AE2741" s="133"/>
      <c r="AF2741" s="133"/>
      <c r="AG2741" s="133"/>
      <c r="AH2741" s="133"/>
      <c r="AI2741" s="133"/>
      <c r="AJ2741" s="133"/>
      <c r="AK2741" s="133"/>
      <c r="AL2741" s="133"/>
      <c r="AM2741" s="133"/>
      <c r="AN2741" s="133"/>
      <c r="AO2741" s="133"/>
      <c r="AP2741" s="133"/>
      <c r="AQ2741" s="133"/>
      <c r="AR2741" s="133"/>
      <c r="AS2741" s="153">
        <v>0</v>
      </c>
      <c r="AT2741" s="153">
        <v>0</v>
      </c>
      <c r="AU2741" s="153">
        <v>0</v>
      </c>
      <c r="AV2741" s="135"/>
      <c r="AW2741" s="135"/>
      <c r="AX2741" s="135"/>
      <c r="AY2741" s="135"/>
      <c r="AZ2741" s="135"/>
      <c r="BA2741" s="135"/>
      <c r="BB2741" s="135"/>
      <c r="BC2741" s="135"/>
      <c r="BD2741" s="135"/>
      <c r="BE2741" s="135"/>
      <c r="BF2741" s="135"/>
      <c r="BG2741" s="135"/>
      <c r="BH2741" s="135"/>
      <c r="BI2741" s="2"/>
      <c r="BJ2741" s="136"/>
      <c r="BK2741" s="2"/>
      <c r="BL2741" s="136"/>
      <c r="BM2741" s="136"/>
      <c r="BN2741" s="2"/>
      <c r="BO2741" s="2"/>
      <c r="BP2741" s="136"/>
      <c r="BQ2741" s="137"/>
    </row>
    <row r="2742" spans="1:69" ht="12.75" customHeight="1" x14ac:dyDescent="0.2">
      <c r="A2742" s="2">
        <v>4231</v>
      </c>
      <c r="B2742" s="2"/>
      <c r="C2742" s="2"/>
      <c r="D2742" s="2"/>
      <c r="E2742" s="2"/>
      <c r="F2742" s="132">
        <v>0</v>
      </c>
      <c r="G2742" s="132"/>
      <c r="H2742" s="132">
        <f t="shared" si="311"/>
        <v>0</v>
      </c>
      <c r="I2742" s="132"/>
      <c r="J2742" s="132">
        <f t="shared" si="309"/>
        <v>0</v>
      </c>
      <c r="K2742" s="132">
        <f t="shared" ref="K2742:K2805" si="312">F2742-J2742</f>
        <v>0</v>
      </c>
      <c r="L2742" s="132">
        <f t="shared" si="306"/>
        <v>0</v>
      </c>
      <c r="M2742" s="133"/>
      <c r="N2742" s="133">
        <f t="shared" si="310"/>
        <v>0</v>
      </c>
      <c r="O2742" s="134"/>
      <c r="P2742" s="133"/>
      <c r="Q2742" s="2"/>
      <c r="R2742" s="156">
        <f t="shared" si="307"/>
        <v>0</v>
      </c>
      <c r="S2742" s="156">
        <f t="shared" si="308"/>
        <v>0</v>
      </c>
      <c r="T2742" s="133"/>
      <c r="U2742" s="133"/>
      <c r="V2742" s="133"/>
      <c r="W2742" s="133"/>
      <c r="X2742" s="133"/>
      <c r="Y2742" s="133"/>
      <c r="Z2742" s="133"/>
      <c r="AA2742" s="133"/>
      <c r="AB2742" s="133"/>
      <c r="AC2742" s="133"/>
      <c r="AD2742" s="133"/>
      <c r="AE2742" s="133"/>
      <c r="AF2742" s="133"/>
      <c r="AG2742" s="133"/>
      <c r="AH2742" s="133"/>
      <c r="AI2742" s="133"/>
      <c r="AJ2742" s="133"/>
      <c r="AK2742" s="133"/>
      <c r="AL2742" s="133"/>
      <c r="AM2742" s="133"/>
      <c r="AN2742" s="133"/>
      <c r="AO2742" s="133"/>
      <c r="AP2742" s="133"/>
      <c r="AQ2742" s="133"/>
      <c r="AR2742" s="133"/>
      <c r="AS2742" s="153">
        <v>0</v>
      </c>
      <c r="AT2742" s="153">
        <v>0</v>
      </c>
      <c r="AU2742" s="153">
        <v>0</v>
      </c>
      <c r="AV2742" s="135"/>
      <c r="AW2742" s="135"/>
      <c r="AX2742" s="135"/>
      <c r="AY2742" s="135"/>
      <c r="AZ2742" s="135"/>
      <c r="BA2742" s="135"/>
      <c r="BB2742" s="135"/>
      <c r="BC2742" s="135"/>
      <c r="BD2742" s="135"/>
      <c r="BE2742" s="135"/>
      <c r="BF2742" s="135"/>
      <c r="BG2742" s="135"/>
      <c r="BH2742" s="135"/>
      <c r="BI2742" s="2"/>
      <c r="BJ2742" s="136"/>
      <c r="BK2742" s="2"/>
      <c r="BL2742" s="136"/>
      <c r="BM2742" s="136"/>
      <c r="BN2742" s="2"/>
      <c r="BO2742" s="2"/>
      <c r="BP2742" s="136"/>
      <c r="BQ2742" s="137"/>
    </row>
    <row r="2743" spans="1:69" ht="12.75" customHeight="1" x14ac:dyDescent="0.2">
      <c r="A2743" s="2">
        <v>4232</v>
      </c>
      <c r="B2743" s="2"/>
      <c r="C2743" s="2"/>
      <c r="D2743" s="2"/>
      <c r="E2743" s="2"/>
      <c r="F2743" s="132">
        <v>0</v>
      </c>
      <c r="G2743" s="132"/>
      <c r="H2743" s="132">
        <f t="shared" si="311"/>
        <v>0</v>
      </c>
      <c r="I2743" s="132"/>
      <c r="J2743" s="132">
        <f t="shared" si="309"/>
        <v>0</v>
      </c>
      <c r="K2743" s="132">
        <f t="shared" si="312"/>
        <v>0</v>
      </c>
      <c r="L2743" s="132">
        <f t="shared" si="306"/>
        <v>0</v>
      </c>
      <c r="M2743" s="133"/>
      <c r="N2743" s="133">
        <f t="shared" si="310"/>
        <v>0</v>
      </c>
      <c r="O2743" s="134"/>
      <c r="P2743" s="133"/>
      <c r="Q2743" s="2"/>
      <c r="R2743" s="156">
        <f t="shared" si="307"/>
        <v>0</v>
      </c>
      <c r="S2743" s="156">
        <f t="shared" si="308"/>
        <v>0</v>
      </c>
      <c r="T2743" s="133"/>
      <c r="U2743" s="133"/>
      <c r="V2743" s="133"/>
      <c r="W2743" s="133"/>
      <c r="X2743" s="133"/>
      <c r="Y2743" s="133"/>
      <c r="Z2743" s="133"/>
      <c r="AA2743" s="133"/>
      <c r="AB2743" s="133"/>
      <c r="AC2743" s="133"/>
      <c r="AD2743" s="133"/>
      <c r="AE2743" s="133"/>
      <c r="AF2743" s="133"/>
      <c r="AG2743" s="133"/>
      <c r="AH2743" s="133"/>
      <c r="AI2743" s="133"/>
      <c r="AJ2743" s="133"/>
      <c r="AK2743" s="133"/>
      <c r="AL2743" s="133"/>
      <c r="AM2743" s="133"/>
      <c r="AN2743" s="133"/>
      <c r="AO2743" s="133"/>
      <c r="AP2743" s="133"/>
      <c r="AQ2743" s="133"/>
      <c r="AR2743" s="133"/>
      <c r="AS2743" s="153">
        <v>0</v>
      </c>
      <c r="AT2743" s="153">
        <v>0</v>
      </c>
      <c r="AU2743" s="153">
        <v>0</v>
      </c>
      <c r="AV2743" s="135"/>
      <c r="AW2743" s="135"/>
      <c r="AX2743" s="135"/>
      <c r="AY2743" s="135"/>
      <c r="AZ2743" s="135"/>
      <c r="BA2743" s="135"/>
      <c r="BB2743" s="135"/>
      <c r="BC2743" s="135"/>
      <c r="BD2743" s="135"/>
      <c r="BE2743" s="135"/>
      <c r="BF2743" s="135"/>
      <c r="BG2743" s="135"/>
      <c r="BH2743" s="135"/>
      <c r="BI2743" s="2"/>
      <c r="BJ2743" s="136"/>
      <c r="BK2743" s="2"/>
      <c r="BL2743" s="136"/>
      <c r="BM2743" s="136"/>
      <c r="BN2743" s="2"/>
      <c r="BO2743" s="2"/>
      <c r="BP2743" s="136"/>
      <c r="BQ2743" s="137"/>
    </row>
    <row r="2744" spans="1:69" ht="12.75" customHeight="1" x14ac:dyDescent="0.2">
      <c r="A2744" s="2">
        <v>4233</v>
      </c>
      <c r="B2744" s="2"/>
      <c r="C2744" s="2"/>
      <c r="D2744" s="2"/>
      <c r="E2744" s="2"/>
      <c r="F2744" s="132">
        <v>0</v>
      </c>
      <c r="G2744" s="132"/>
      <c r="H2744" s="132">
        <f t="shared" si="311"/>
        <v>0</v>
      </c>
      <c r="I2744" s="132"/>
      <c r="J2744" s="132">
        <f t="shared" si="309"/>
        <v>0</v>
      </c>
      <c r="K2744" s="132">
        <f t="shared" si="312"/>
        <v>0</v>
      </c>
      <c r="L2744" s="132">
        <f t="shared" si="306"/>
        <v>0</v>
      </c>
      <c r="M2744" s="133"/>
      <c r="N2744" s="133">
        <f t="shared" si="310"/>
        <v>0</v>
      </c>
      <c r="O2744" s="134"/>
      <c r="P2744" s="133"/>
      <c r="Q2744" s="2"/>
      <c r="R2744" s="156">
        <f t="shared" si="307"/>
        <v>0</v>
      </c>
      <c r="S2744" s="156">
        <f t="shared" si="308"/>
        <v>0</v>
      </c>
      <c r="T2744" s="133"/>
      <c r="U2744" s="133"/>
      <c r="V2744" s="133"/>
      <c r="W2744" s="133"/>
      <c r="X2744" s="133"/>
      <c r="Y2744" s="133"/>
      <c r="Z2744" s="133"/>
      <c r="AA2744" s="133"/>
      <c r="AB2744" s="133"/>
      <c r="AC2744" s="133"/>
      <c r="AD2744" s="133"/>
      <c r="AE2744" s="133"/>
      <c r="AF2744" s="133"/>
      <c r="AG2744" s="133"/>
      <c r="AH2744" s="133"/>
      <c r="AI2744" s="133"/>
      <c r="AJ2744" s="133"/>
      <c r="AK2744" s="133"/>
      <c r="AL2744" s="133"/>
      <c r="AM2744" s="133"/>
      <c r="AN2744" s="133"/>
      <c r="AO2744" s="133"/>
      <c r="AP2744" s="133"/>
      <c r="AQ2744" s="133"/>
      <c r="AR2744" s="133"/>
      <c r="AS2744" s="153">
        <v>0</v>
      </c>
      <c r="AT2744" s="153">
        <v>0</v>
      </c>
      <c r="AU2744" s="153">
        <v>0</v>
      </c>
      <c r="AV2744" s="135"/>
      <c r="AW2744" s="135"/>
      <c r="AX2744" s="135"/>
      <c r="AY2744" s="135"/>
      <c r="AZ2744" s="135"/>
      <c r="BA2744" s="135"/>
      <c r="BB2744" s="135"/>
      <c r="BC2744" s="135"/>
      <c r="BD2744" s="135"/>
      <c r="BE2744" s="135"/>
      <c r="BF2744" s="135"/>
      <c r="BG2744" s="135"/>
      <c r="BH2744" s="135"/>
      <c r="BI2744" s="2"/>
      <c r="BJ2744" s="136"/>
      <c r="BK2744" s="2"/>
      <c r="BL2744" s="136"/>
      <c r="BM2744" s="136"/>
      <c r="BN2744" s="2"/>
      <c r="BO2744" s="2"/>
      <c r="BP2744" s="136"/>
      <c r="BQ2744" s="137"/>
    </row>
    <row r="2745" spans="1:69" ht="12.75" customHeight="1" x14ac:dyDescent="0.2">
      <c r="A2745" s="2">
        <v>4234</v>
      </c>
      <c r="B2745" s="2"/>
      <c r="C2745" s="2"/>
      <c r="D2745" s="2"/>
      <c r="E2745" s="2"/>
      <c r="F2745" s="132">
        <v>0</v>
      </c>
      <c r="G2745" s="132"/>
      <c r="H2745" s="132">
        <f t="shared" si="311"/>
        <v>0</v>
      </c>
      <c r="I2745" s="132"/>
      <c r="J2745" s="132">
        <f t="shared" si="309"/>
        <v>0</v>
      </c>
      <c r="K2745" s="132">
        <f t="shared" si="312"/>
        <v>0</v>
      </c>
      <c r="L2745" s="132">
        <f t="shared" si="306"/>
        <v>0</v>
      </c>
      <c r="M2745" s="133"/>
      <c r="N2745" s="133">
        <f t="shared" si="310"/>
        <v>0</v>
      </c>
      <c r="O2745" s="134"/>
      <c r="P2745" s="133"/>
      <c r="Q2745" s="2"/>
      <c r="R2745" s="156">
        <f t="shared" si="307"/>
        <v>0</v>
      </c>
      <c r="S2745" s="156">
        <f t="shared" si="308"/>
        <v>0</v>
      </c>
      <c r="T2745" s="133"/>
      <c r="U2745" s="133"/>
      <c r="V2745" s="133"/>
      <c r="W2745" s="133"/>
      <c r="X2745" s="133"/>
      <c r="Y2745" s="133"/>
      <c r="Z2745" s="133"/>
      <c r="AA2745" s="133"/>
      <c r="AB2745" s="133"/>
      <c r="AC2745" s="133"/>
      <c r="AD2745" s="133"/>
      <c r="AE2745" s="133"/>
      <c r="AF2745" s="133"/>
      <c r="AG2745" s="133"/>
      <c r="AH2745" s="133"/>
      <c r="AI2745" s="133"/>
      <c r="AJ2745" s="133"/>
      <c r="AK2745" s="133"/>
      <c r="AL2745" s="133"/>
      <c r="AM2745" s="133"/>
      <c r="AN2745" s="133"/>
      <c r="AO2745" s="133"/>
      <c r="AP2745" s="133"/>
      <c r="AQ2745" s="133"/>
      <c r="AR2745" s="133"/>
      <c r="AS2745" s="153">
        <v>0</v>
      </c>
      <c r="AT2745" s="153">
        <v>0</v>
      </c>
      <c r="AU2745" s="153">
        <v>0</v>
      </c>
      <c r="AV2745" s="135"/>
      <c r="AW2745" s="135"/>
      <c r="AX2745" s="135"/>
      <c r="AY2745" s="135"/>
      <c r="AZ2745" s="135"/>
      <c r="BA2745" s="135"/>
      <c r="BB2745" s="135"/>
      <c r="BC2745" s="135"/>
      <c r="BD2745" s="135"/>
      <c r="BE2745" s="135"/>
      <c r="BF2745" s="135"/>
      <c r="BG2745" s="135"/>
      <c r="BH2745" s="135"/>
      <c r="BI2745" s="2"/>
      <c r="BJ2745" s="136"/>
      <c r="BK2745" s="2"/>
      <c r="BL2745" s="136"/>
      <c r="BM2745" s="136"/>
      <c r="BN2745" s="2"/>
      <c r="BO2745" s="2"/>
      <c r="BP2745" s="136"/>
      <c r="BQ2745" s="137"/>
    </row>
    <row r="2746" spans="1:69" ht="12.75" customHeight="1" x14ac:dyDescent="0.2">
      <c r="A2746" s="2">
        <v>4235</v>
      </c>
      <c r="B2746" s="2"/>
      <c r="C2746" s="2"/>
      <c r="D2746" s="2"/>
      <c r="E2746" s="2"/>
      <c r="F2746" s="132">
        <v>0</v>
      </c>
      <c r="G2746" s="132"/>
      <c r="H2746" s="132">
        <f t="shared" si="311"/>
        <v>0</v>
      </c>
      <c r="I2746" s="132"/>
      <c r="J2746" s="132">
        <f t="shared" si="309"/>
        <v>0</v>
      </c>
      <c r="K2746" s="132">
        <f t="shared" si="312"/>
        <v>0</v>
      </c>
      <c r="L2746" s="132">
        <f t="shared" si="306"/>
        <v>0</v>
      </c>
      <c r="M2746" s="133"/>
      <c r="N2746" s="133">
        <f t="shared" si="310"/>
        <v>0</v>
      </c>
      <c r="O2746" s="134"/>
      <c r="P2746" s="133"/>
      <c r="Q2746" s="2"/>
      <c r="R2746" s="156">
        <f t="shared" si="307"/>
        <v>0</v>
      </c>
      <c r="S2746" s="156">
        <f t="shared" si="308"/>
        <v>0</v>
      </c>
      <c r="T2746" s="133"/>
      <c r="U2746" s="133"/>
      <c r="V2746" s="133"/>
      <c r="W2746" s="133"/>
      <c r="X2746" s="133"/>
      <c r="Y2746" s="133"/>
      <c r="Z2746" s="133"/>
      <c r="AA2746" s="133"/>
      <c r="AB2746" s="133"/>
      <c r="AC2746" s="133"/>
      <c r="AD2746" s="133"/>
      <c r="AE2746" s="133"/>
      <c r="AF2746" s="133"/>
      <c r="AG2746" s="133"/>
      <c r="AH2746" s="133"/>
      <c r="AI2746" s="133"/>
      <c r="AJ2746" s="133"/>
      <c r="AK2746" s="133"/>
      <c r="AL2746" s="133"/>
      <c r="AM2746" s="133"/>
      <c r="AN2746" s="133"/>
      <c r="AO2746" s="133"/>
      <c r="AP2746" s="133"/>
      <c r="AQ2746" s="133"/>
      <c r="AR2746" s="133"/>
      <c r="AS2746" s="153">
        <v>0</v>
      </c>
      <c r="AT2746" s="153">
        <v>0</v>
      </c>
      <c r="AU2746" s="153">
        <v>0</v>
      </c>
      <c r="AV2746" s="135"/>
      <c r="AW2746" s="135"/>
      <c r="AX2746" s="135"/>
      <c r="AY2746" s="135"/>
      <c r="AZ2746" s="135"/>
      <c r="BA2746" s="135"/>
      <c r="BB2746" s="135"/>
      <c r="BC2746" s="135"/>
      <c r="BD2746" s="135"/>
      <c r="BE2746" s="135"/>
      <c r="BF2746" s="135"/>
      <c r="BG2746" s="135"/>
      <c r="BH2746" s="135"/>
      <c r="BI2746" s="2"/>
      <c r="BJ2746" s="136"/>
      <c r="BK2746" s="2"/>
      <c r="BL2746" s="136"/>
      <c r="BM2746" s="136"/>
      <c r="BN2746" s="2"/>
      <c r="BO2746" s="2"/>
      <c r="BP2746" s="136"/>
      <c r="BQ2746" s="137"/>
    </row>
    <row r="2747" spans="1:69" ht="12.75" customHeight="1" x14ac:dyDescent="0.2">
      <c r="A2747" s="2">
        <v>4236</v>
      </c>
      <c r="B2747" s="2"/>
      <c r="C2747" s="2"/>
      <c r="D2747" s="2"/>
      <c r="E2747" s="2"/>
      <c r="F2747" s="132">
        <v>0</v>
      </c>
      <c r="G2747" s="132"/>
      <c r="H2747" s="132">
        <f t="shared" si="311"/>
        <v>0</v>
      </c>
      <c r="I2747" s="132"/>
      <c r="J2747" s="132">
        <f t="shared" si="309"/>
        <v>0</v>
      </c>
      <c r="K2747" s="132">
        <f t="shared" si="312"/>
        <v>0</v>
      </c>
      <c r="L2747" s="132">
        <f t="shared" si="306"/>
        <v>0</v>
      </c>
      <c r="M2747" s="133"/>
      <c r="N2747" s="133">
        <f t="shared" si="310"/>
        <v>0</v>
      </c>
      <c r="O2747" s="134"/>
      <c r="P2747" s="133"/>
      <c r="Q2747" s="2"/>
      <c r="R2747" s="156">
        <f t="shared" si="307"/>
        <v>0</v>
      </c>
      <c r="S2747" s="156">
        <f t="shared" si="308"/>
        <v>0</v>
      </c>
      <c r="T2747" s="133"/>
      <c r="U2747" s="133"/>
      <c r="V2747" s="133"/>
      <c r="W2747" s="133"/>
      <c r="X2747" s="133"/>
      <c r="Y2747" s="133"/>
      <c r="Z2747" s="133"/>
      <c r="AA2747" s="133"/>
      <c r="AB2747" s="133"/>
      <c r="AC2747" s="133"/>
      <c r="AD2747" s="133"/>
      <c r="AE2747" s="133"/>
      <c r="AF2747" s="133"/>
      <c r="AG2747" s="133"/>
      <c r="AH2747" s="133"/>
      <c r="AI2747" s="133"/>
      <c r="AJ2747" s="133"/>
      <c r="AK2747" s="133"/>
      <c r="AL2747" s="133"/>
      <c r="AM2747" s="133"/>
      <c r="AN2747" s="133"/>
      <c r="AO2747" s="133"/>
      <c r="AP2747" s="133"/>
      <c r="AQ2747" s="133"/>
      <c r="AR2747" s="133"/>
      <c r="AS2747" s="153">
        <v>0</v>
      </c>
      <c r="AT2747" s="153">
        <v>0</v>
      </c>
      <c r="AU2747" s="153">
        <v>0</v>
      </c>
      <c r="AV2747" s="135"/>
      <c r="AW2747" s="135"/>
      <c r="AX2747" s="135"/>
      <c r="AY2747" s="135"/>
      <c r="AZ2747" s="135"/>
      <c r="BA2747" s="135"/>
      <c r="BB2747" s="135"/>
      <c r="BC2747" s="135"/>
      <c r="BD2747" s="135"/>
      <c r="BE2747" s="135"/>
      <c r="BF2747" s="135"/>
      <c r="BG2747" s="135"/>
      <c r="BH2747" s="135"/>
      <c r="BI2747" s="2"/>
      <c r="BJ2747" s="136"/>
      <c r="BK2747" s="2"/>
      <c r="BL2747" s="136"/>
      <c r="BM2747" s="136"/>
      <c r="BN2747" s="2"/>
      <c r="BO2747" s="2"/>
      <c r="BP2747" s="136"/>
      <c r="BQ2747" s="137"/>
    </row>
    <row r="2748" spans="1:69" ht="12.75" customHeight="1" x14ac:dyDescent="0.2">
      <c r="A2748" s="2">
        <v>4237</v>
      </c>
      <c r="B2748" s="2"/>
      <c r="C2748" s="2"/>
      <c r="D2748" s="2"/>
      <c r="E2748" s="2"/>
      <c r="F2748" s="132">
        <v>0</v>
      </c>
      <c r="G2748" s="132"/>
      <c r="H2748" s="132">
        <f t="shared" si="311"/>
        <v>0</v>
      </c>
      <c r="I2748" s="132"/>
      <c r="J2748" s="132">
        <f t="shared" si="309"/>
        <v>0</v>
      </c>
      <c r="K2748" s="132">
        <f t="shared" si="312"/>
        <v>0</v>
      </c>
      <c r="L2748" s="132">
        <f t="shared" si="306"/>
        <v>0</v>
      </c>
      <c r="M2748" s="133"/>
      <c r="N2748" s="133">
        <f t="shared" si="310"/>
        <v>0</v>
      </c>
      <c r="O2748" s="134"/>
      <c r="P2748" s="133"/>
      <c r="Q2748" s="2"/>
      <c r="R2748" s="156">
        <f t="shared" si="307"/>
        <v>0</v>
      </c>
      <c r="S2748" s="156">
        <f t="shared" si="308"/>
        <v>0</v>
      </c>
      <c r="T2748" s="133"/>
      <c r="U2748" s="133"/>
      <c r="V2748" s="133"/>
      <c r="W2748" s="133"/>
      <c r="X2748" s="133"/>
      <c r="Y2748" s="133"/>
      <c r="Z2748" s="133"/>
      <c r="AA2748" s="133"/>
      <c r="AB2748" s="133"/>
      <c r="AC2748" s="133"/>
      <c r="AD2748" s="133"/>
      <c r="AE2748" s="133"/>
      <c r="AF2748" s="133"/>
      <c r="AG2748" s="133"/>
      <c r="AH2748" s="133"/>
      <c r="AI2748" s="133"/>
      <c r="AJ2748" s="133"/>
      <c r="AK2748" s="133"/>
      <c r="AL2748" s="133"/>
      <c r="AM2748" s="133"/>
      <c r="AN2748" s="133"/>
      <c r="AO2748" s="133"/>
      <c r="AP2748" s="133"/>
      <c r="AQ2748" s="133"/>
      <c r="AR2748" s="133"/>
      <c r="AS2748" s="153">
        <v>0</v>
      </c>
      <c r="AT2748" s="153">
        <v>0</v>
      </c>
      <c r="AU2748" s="153">
        <v>0</v>
      </c>
      <c r="AV2748" s="135"/>
      <c r="AW2748" s="135"/>
      <c r="AX2748" s="135"/>
      <c r="AY2748" s="135"/>
      <c r="AZ2748" s="135"/>
      <c r="BA2748" s="135"/>
      <c r="BB2748" s="135"/>
      <c r="BC2748" s="135"/>
      <c r="BD2748" s="135"/>
      <c r="BE2748" s="135"/>
      <c r="BF2748" s="135"/>
      <c r="BG2748" s="135"/>
      <c r="BH2748" s="135"/>
      <c r="BI2748" s="2"/>
      <c r="BJ2748" s="136"/>
      <c r="BK2748" s="2"/>
      <c r="BL2748" s="136"/>
      <c r="BM2748" s="136"/>
      <c r="BN2748" s="2"/>
      <c r="BO2748" s="2"/>
      <c r="BP2748" s="136"/>
      <c r="BQ2748" s="137"/>
    </row>
    <row r="2749" spans="1:69" ht="12.75" customHeight="1" x14ac:dyDescent="0.2">
      <c r="A2749" s="2">
        <v>4238</v>
      </c>
      <c r="B2749" s="2"/>
      <c r="C2749" s="2"/>
      <c r="D2749" s="2"/>
      <c r="E2749" s="2"/>
      <c r="F2749" s="132">
        <v>0</v>
      </c>
      <c r="G2749" s="132"/>
      <c r="H2749" s="132">
        <f t="shared" si="311"/>
        <v>0</v>
      </c>
      <c r="I2749" s="132"/>
      <c r="J2749" s="132">
        <f t="shared" si="309"/>
        <v>0</v>
      </c>
      <c r="K2749" s="132">
        <f t="shared" si="312"/>
        <v>0</v>
      </c>
      <c r="L2749" s="132">
        <f t="shared" si="306"/>
        <v>0</v>
      </c>
      <c r="M2749" s="133"/>
      <c r="N2749" s="133">
        <f t="shared" si="310"/>
        <v>0</v>
      </c>
      <c r="O2749" s="134"/>
      <c r="P2749" s="133"/>
      <c r="Q2749" s="2"/>
      <c r="R2749" s="156">
        <f t="shared" si="307"/>
        <v>0</v>
      </c>
      <c r="S2749" s="156">
        <f t="shared" si="308"/>
        <v>0</v>
      </c>
      <c r="T2749" s="133"/>
      <c r="U2749" s="133"/>
      <c r="V2749" s="133"/>
      <c r="W2749" s="133"/>
      <c r="X2749" s="133"/>
      <c r="Y2749" s="133"/>
      <c r="Z2749" s="133"/>
      <c r="AA2749" s="133"/>
      <c r="AB2749" s="133"/>
      <c r="AC2749" s="133"/>
      <c r="AD2749" s="133"/>
      <c r="AE2749" s="133"/>
      <c r="AF2749" s="133"/>
      <c r="AG2749" s="133"/>
      <c r="AH2749" s="133"/>
      <c r="AI2749" s="133"/>
      <c r="AJ2749" s="133"/>
      <c r="AK2749" s="133"/>
      <c r="AL2749" s="133"/>
      <c r="AM2749" s="133"/>
      <c r="AN2749" s="133"/>
      <c r="AO2749" s="133"/>
      <c r="AP2749" s="133"/>
      <c r="AQ2749" s="133"/>
      <c r="AR2749" s="133"/>
      <c r="AS2749" s="153">
        <v>0</v>
      </c>
      <c r="AT2749" s="153">
        <v>0</v>
      </c>
      <c r="AU2749" s="153">
        <v>0</v>
      </c>
      <c r="AV2749" s="135"/>
      <c r="AW2749" s="135"/>
      <c r="AX2749" s="135"/>
      <c r="AY2749" s="135"/>
      <c r="AZ2749" s="135"/>
      <c r="BA2749" s="135"/>
      <c r="BB2749" s="135"/>
      <c r="BC2749" s="135"/>
      <c r="BD2749" s="135"/>
      <c r="BE2749" s="135"/>
      <c r="BF2749" s="135"/>
      <c r="BG2749" s="135"/>
      <c r="BH2749" s="135"/>
      <c r="BI2749" s="2"/>
      <c r="BJ2749" s="136"/>
      <c r="BK2749" s="2"/>
      <c r="BL2749" s="136"/>
      <c r="BM2749" s="136"/>
      <c r="BN2749" s="2"/>
      <c r="BO2749" s="2"/>
      <c r="BP2749" s="136"/>
      <c r="BQ2749" s="137"/>
    </row>
    <row r="2750" spans="1:69" ht="12.75" customHeight="1" x14ac:dyDescent="0.2">
      <c r="A2750" s="2">
        <v>4239</v>
      </c>
      <c r="B2750" s="2"/>
      <c r="C2750" s="2"/>
      <c r="D2750" s="2"/>
      <c r="E2750" s="2"/>
      <c r="F2750" s="132">
        <v>0</v>
      </c>
      <c r="G2750" s="132"/>
      <c r="H2750" s="132">
        <f t="shared" si="311"/>
        <v>0</v>
      </c>
      <c r="I2750" s="132"/>
      <c r="J2750" s="132">
        <f t="shared" si="309"/>
        <v>0</v>
      </c>
      <c r="K2750" s="132">
        <f t="shared" si="312"/>
        <v>0</v>
      </c>
      <c r="L2750" s="132">
        <f t="shared" si="306"/>
        <v>0</v>
      </c>
      <c r="M2750" s="133"/>
      <c r="N2750" s="133">
        <f t="shared" si="310"/>
        <v>0</v>
      </c>
      <c r="O2750" s="134"/>
      <c r="P2750" s="133"/>
      <c r="Q2750" s="2"/>
      <c r="R2750" s="156">
        <f t="shared" si="307"/>
        <v>0</v>
      </c>
      <c r="S2750" s="156">
        <f t="shared" si="308"/>
        <v>0</v>
      </c>
      <c r="T2750" s="133"/>
      <c r="U2750" s="133"/>
      <c r="V2750" s="133"/>
      <c r="W2750" s="133"/>
      <c r="X2750" s="133"/>
      <c r="Y2750" s="133"/>
      <c r="Z2750" s="133"/>
      <c r="AA2750" s="133"/>
      <c r="AB2750" s="133"/>
      <c r="AC2750" s="133"/>
      <c r="AD2750" s="133"/>
      <c r="AE2750" s="133"/>
      <c r="AF2750" s="133"/>
      <c r="AG2750" s="133"/>
      <c r="AH2750" s="133"/>
      <c r="AI2750" s="133"/>
      <c r="AJ2750" s="133"/>
      <c r="AK2750" s="133"/>
      <c r="AL2750" s="133"/>
      <c r="AM2750" s="133"/>
      <c r="AN2750" s="133"/>
      <c r="AO2750" s="133"/>
      <c r="AP2750" s="133"/>
      <c r="AQ2750" s="133"/>
      <c r="AR2750" s="133"/>
      <c r="AS2750" s="153">
        <v>0</v>
      </c>
      <c r="AT2750" s="153">
        <v>0</v>
      </c>
      <c r="AU2750" s="153">
        <v>0</v>
      </c>
      <c r="AV2750" s="135"/>
      <c r="AW2750" s="135"/>
      <c r="AX2750" s="135"/>
      <c r="AY2750" s="135"/>
      <c r="AZ2750" s="135"/>
      <c r="BA2750" s="135"/>
      <c r="BB2750" s="135"/>
      <c r="BC2750" s="135"/>
      <c r="BD2750" s="135"/>
      <c r="BE2750" s="135"/>
      <c r="BF2750" s="135"/>
      <c r="BG2750" s="135"/>
      <c r="BH2750" s="135"/>
      <c r="BI2750" s="2"/>
      <c r="BJ2750" s="136"/>
      <c r="BK2750" s="2"/>
      <c r="BL2750" s="136"/>
      <c r="BM2750" s="136"/>
      <c r="BN2750" s="2"/>
      <c r="BO2750" s="2"/>
      <c r="BP2750" s="136"/>
      <c r="BQ2750" s="137"/>
    </row>
    <row r="2751" spans="1:69" ht="12.75" customHeight="1" x14ac:dyDescent="0.2">
      <c r="A2751" s="2">
        <v>4240</v>
      </c>
      <c r="B2751" s="2"/>
      <c r="C2751" s="2"/>
      <c r="D2751" s="2"/>
      <c r="E2751" s="2"/>
      <c r="F2751" s="132">
        <v>0</v>
      </c>
      <c r="G2751" s="132"/>
      <c r="H2751" s="132">
        <f t="shared" si="311"/>
        <v>0</v>
      </c>
      <c r="I2751" s="132"/>
      <c r="J2751" s="132">
        <f t="shared" si="309"/>
        <v>0</v>
      </c>
      <c r="K2751" s="132">
        <f t="shared" si="312"/>
        <v>0</v>
      </c>
      <c r="L2751" s="132">
        <f t="shared" si="306"/>
        <v>0</v>
      </c>
      <c r="M2751" s="133"/>
      <c r="N2751" s="133">
        <f t="shared" si="310"/>
        <v>0</v>
      </c>
      <c r="O2751" s="134"/>
      <c r="P2751" s="133"/>
      <c r="Q2751" s="2"/>
      <c r="R2751" s="156">
        <f t="shared" si="307"/>
        <v>0</v>
      </c>
      <c r="S2751" s="156">
        <f t="shared" si="308"/>
        <v>0</v>
      </c>
      <c r="T2751" s="133"/>
      <c r="U2751" s="133"/>
      <c r="V2751" s="133"/>
      <c r="W2751" s="133"/>
      <c r="X2751" s="133"/>
      <c r="Y2751" s="133"/>
      <c r="Z2751" s="133"/>
      <c r="AA2751" s="133"/>
      <c r="AB2751" s="133"/>
      <c r="AC2751" s="133"/>
      <c r="AD2751" s="133"/>
      <c r="AE2751" s="133"/>
      <c r="AF2751" s="133"/>
      <c r="AG2751" s="133"/>
      <c r="AH2751" s="133"/>
      <c r="AI2751" s="133"/>
      <c r="AJ2751" s="133"/>
      <c r="AK2751" s="133"/>
      <c r="AL2751" s="133"/>
      <c r="AM2751" s="133"/>
      <c r="AN2751" s="133"/>
      <c r="AO2751" s="133"/>
      <c r="AP2751" s="133"/>
      <c r="AQ2751" s="133"/>
      <c r="AR2751" s="133"/>
      <c r="AS2751" s="153">
        <v>0</v>
      </c>
      <c r="AT2751" s="153">
        <v>0</v>
      </c>
      <c r="AU2751" s="153">
        <v>0</v>
      </c>
      <c r="AV2751" s="135"/>
      <c r="AW2751" s="135"/>
      <c r="AX2751" s="135"/>
      <c r="AY2751" s="135"/>
      <c r="AZ2751" s="135"/>
      <c r="BA2751" s="135"/>
      <c r="BB2751" s="135"/>
      <c r="BC2751" s="135"/>
      <c r="BD2751" s="135"/>
      <c r="BE2751" s="135"/>
      <c r="BF2751" s="135"/>
      <c r="BG2751" s="135"/>
      <c r="BH2751" s="135"/>
      <c r="BI2751" s="2"/>
      <c r="BJ2751" s="136"/>
      <c r="BK2751" s="2"/>
      <c r="BL2751" s="136"/>
      <c r="BM2751" s="136"/>
      <c r="BN2751" s="2"/>
      <c r="BO2751" s="2"/>
      <c r="BP2751" s="136"/>
      <c r="BQ2751" s="137"/>
    </row>
    <row r="2752" spans="1:69" ht="12.75" customHeight="1" x14ac:dyDescent="0.2">
      <c r="A2752" s="2">
        <v>4241</v>
      </c>
      <c r="B2752" s="2"/>
      <c r="C2752" s="2"/>
      <c r="D2752" s="2"/>
      <c r="E2752" s="2"/>
      <c r="F2752" s="132">
        <v>0</v>
      </c>
      <c r="G2752" s="132"/>
      <c r="H2752" s="132">
        <f t="shared" si="311"/>
        <v>0</v>
      </c>
      <c r="I2752" s="132"/>
      <c r="J2752" s="132">
        <f t="shared" si="309"/>
        <v>0</v>
      </c>
      <c r="K2752" s="132">
        <f t="shared" si="312"/>
        <v>0</v>
      </c>
      <c r="L2752" s="132">
        <f t="shared" si="306"/>
        <v>0</v>
      </c>
      <c r="M2752" s="133"/>
      <c r="N2752" s="133">
        <f t="shared" si="310"/>
        <v>0</v>
      </c>
      <c r="O2752" s="134"/>
      <c r="P2752" s="133"/>
      <c r="Q2752" s="2"/>
      <c r="R2752" s="156">
        <f t="shared" si="307"/>
        <v>0</v>
      </c>
      <c r="S2752" s="156">
        <f t="shared" si="308"/>
        <v>0</v>
      </c>
      <c r="T2752" s="133"/>
      <c r="U2752" s="133"/>
      <c r="V2752" s="133"/>
      <c r="W2752" s="133"/>
      <c r="X2752" s="133"/>
      <c r="Y2752" s="133"/>
      <c r="Z2752" s="133"/>
      <c r="AA2752" s="133"/>
      <c r="AB2752" s="133"/>
      <c r="AC2752" s="133"/>
      <c r="AD2752" s="133"/>
      <c r="AE2752" s="133"/>
      <c r="AF2752" s="133"/>
      <c r="AG2752" s="133"/>
      <c r="AH2752" s="133"/>
      <c r="AI2752" s="133"/>
      <c r="AJ2752" s="133"/>
      <c r="AK2752" s="133"/>
      <c r="AL2752" s="133"/>
      <c r="AM2752" s="133"/>
      <c r="AN2752" s="133"/>
      <c r="AO2752" s="133"/>
      <c r="AP2752" s="133"/>
      <c r="AQ2752" s="133"/>
      <c r="AR2752" s="133"/>
      <c r="AS2752" s="153">
        <v>0</v>
      </c>
      <c r="AT2752" s="153">
        <v>0</v>
      </c>
      <c r="AU2752" s="153">
        <v>0</v>
      </c>
      <c r="AV2752" s="135"/>
      <c r="AW2752" s="135"/>
      <c r="AX2752" s="135"/>
      <c r="AY2752" s="135"/>
      <c r="AZ2752" s="135"/>
      <c r="BA2752" s="135"/>
      <c r="BB2752" s="135"/>
      <c r="BC2752" s="135"/>
      <c r="BD2752" s="135"/>
      <c r="BE2752" s="135"/>
      <c r="BF2752" s="135"/>
      <c r="BG2752" s="135"/>
      <c r="BH2752" s="135"/>
      <c r="BI2752" s="2"/>
      <c r="BJ2752" s="136"/>
      <c r="BK2752" s="2"/>
      <c r="BL2752" s="136"/>
      <c r="BM2752" s="136"/>
      <c r="BN2752" s="2"/>
      <c r="BO2752" s="2"/>
      <c r="BP2752" s="136"/>
      <c r="BQ2752" s="137"/>
    </row>
    <row r="2753" spans="1:69" ht="12.75" customHeight="1" x14ac:dyDescent="0.2">
      <c r="A2753" s="2">
        <v>4242</v>
      </c>
      <c r="B2753" s="2"/>
      <c r="C2753" s="2"/>
      <c r="D2753" s="2"/>
      <c r="E2753" s="2"/>
      <c r="F2753" s="132">
        <v>0</v>
      </c>
      <c r="G2753" s="132"/>
      <c r="H2753" s="132">
        <f t="shared" si="311"/>
        <v>0</v>
      </c>
      <c r="I2753" s="132"/>
      <c r="J2753" s="132">
        <f t="shared" si="309"/>
        <v>0</v>
      </c>
      <c r="K2753" s="132">
        <f t="shared" si="312"/>
        <v>0</v>
      </c>
      <c r="L2753" s="132">
        <f t="shared" si="306"/>
        <v>0</v>
      </c>
      <c r="M2753" s="133"/>
      <c r="N2753" s="133">
        <f t="shared" si="310"/>
        <v>0</v>
      </c>
      <c r="O2753" s="134"/>
      <c r="P2753" s="133"/>
      <c r="Q2753" s="2"/>
      <c r="R2753" s="156">
        <f t="shared" si="307"/>
        <v>0</v>
      </c>
      <c r="S2753" s="156">
        <f t="shared" si="308"/>
        <v>0</v>
      </c>
      <c r="T2753" s="133"/>
      <c r="U2753" s="133"/>
      <c r="V2753" s="133"/>
      <c r="W2753" s="133"/>
      <c r="X2753" s="133"/>
      <c r="Y2753" s="133"/>
      <c r="Z2753" s="133"/>
      <c r="AA2753" s="133"/>
      <c r="AB2753" s="133"/>
      <c r="AC2753" s="133"/>
      <c r="AD2753" s="133"/>
      <c r="AE2753" s="133"/>
      <c r="AF2753" s="133"/>
      <c r="AG2753" s="133"/>
      <c r="AH2753" s="133"/>
      <c r="AI2753" s="133"/>
      <c r="AJ2753" s="133"/>
      <c r="AK2753" s="133"/>
      <c r="AL2753" s="133"/>
      <c r="AM2753" s="133"/>
      <c r="AN2753" s="133"/>
      <c r="AO2753" s="133"/>
      <c r="AP2753" s="133"/>
      <c r="AQ2753" s="133"/>
      <c r="AR2753" s="133"/>
      <c r="AS2753" s="153">
        <v>0</v>
      </c>
      <c r="AT2753" s="153">
        <v>0</v>
      </c>
      <c r="AU2753" s="153">
        <v>0</v>
      </c>
      <c r="AV2753" s="135"/>
      <c r="AW2753" s="135"/>
      <c r="AX2753" s="135"/>
      <c r="AY2753" s="135"/>
      <c r="AZ2753" s="135"/>
      <c r="BA2753" s="135"/>
      <c r="BB2753" s="135"/>
      <c r="BC2753" s="135"/>
      <c r="BD2753" s="135"/>
      <c r="BE2753" s="135"/>
      <c r="BF2753" s="135"/>
      <c r="BG2753" s="135"/>
      <c r="BH2753" s="135"/>
      <c r="BI2753" s="2"/>
      <c r="BJ2753" s="136"/>
      <c r="BK2753" s="2"/>
      <c r="BL2753" s="136"/>
      <c r="BM2753" s="136"/>
      <c r="BN2753" s="2"/>
      <c r="BO2753" s="2"/>
      <c r="BP2753" s="136"/>
      <c r="BQ2753" s="137"/>
    </row>
    <row r="2754" spans="1:69" ht="12.75" customHeight="1" x14ac:dyDescent="0.2">
      <c r="A2754" s="2">
        <v>4243</v>
      </c>
      <c r="B2754" s="2"/>
      <c r="C2754" s="2"/>
      <c r="D2754" s="2"/>
      <c r="E2754" s="2"/>
      <c r="F2754" s="132">
        <v>0</v>
      </c>
      <c r="G2754" s="132"/>
      <c r="H2754" s="132">
        <f t="shared" si="311"/>
        <v>0</v>
      </c>
      <c r="I2754" s="132"/>
      <c r="J2754" s="132">
        <f t="shared" si="309"/>
        <v>0</v>
      </c>
      <c r="K2754" s="132">
        <f t="shared" si="312"/>
        <v>0</v>
      </c>
      <c r="L2754" s="132">
        <f t="shared" si="306"/>
        <v>0</v>
      </c>
      <c r="M2754" s="133"/>
      <c r="N2754" s="133">
        <f t="shared" si="310"/>
        <v>0</v>
      </c>
      <c r="O2754" s="134"/>
      <c r="P2754" s="133"/>
      <c r="Q2754" s="2"/>
      <c r="R2754" s="156">
        <f t="shared" si="307"/>
        <v>0</v>
      </c>
      <c r="S2754" s="156">
        <f t="shared" si="308"/>
        <v>0</v>
      </c>
      <c r="T2754" s="133"/>
      <c r="U2754" s="133"/>
      <c r="V2754" s="133"/>
      <c r="W2754" s="133"/>
      <c r="X2754" s="133"/>
      <c r="Y2754" s="133"/>
      <c r="Z2754" s="133"/>
      <c r="AA2754" s="133"/>
      <c r="AB2754" s="133"/>
      <c r="AC2754" s="133"/>
      <c r="AD2754" s="133"/>
      <c r="AE2754" s="133"/>
      <c r="AF2754" s="133"/>
      <c r="AG2754" s="133"/>
      <c r="AH2754" s="133"/>
      <c r="AI2754" s="133"/>
      <c r="AJ2754" s="133"/>
      <c r="AK2754" s="133"/>
      <c r="AL2754" s="133"/>
      <c r="AM2754" s="133"/>
      <c r="AN2754" s="133"/>
      <c r="AO2754" s="133"/>
      <c r="AP2754" s="133"/>
      <c r="AQ2754" s="133"/>
      <c r="AR2754" s="133"/>
      <c r="AS2754" s="153">
        <v>0</v>
      </c>
      <c r="AT2754" s="153">
        <v>0</v>
      </c>
      <c r="AU2754" s="153">
        <v>0</v>
      </c>
      <c r="AV2754" s="135"/>
      <c r="AW2754" s="135"/>
      <c r="AX2754" s="135"/>
      <c r="AY2754" s="135"/>
      <c r="AZ2754" s="135"/>
      <c r="BA2754" s="135"/>
      <c r="BB2754" s="135"/>
      <c r="BC2754" s="135"/>
      <c r="BD2754" s="135"/>
      <c r="BE2754" s="135"/>
      <c r="BF2754" s="135"/>
      <c r="BG2754" s="135"/>
      <c r="BH2754" s="135"/>
      <c r="BI2754" s="2"/>
      <c r="BJ2754" s="136"/>
      <c r="BK2754" s="2"/>
      <c r="BL2754" s="136"/>
      <c r="BM2754" s="136"/>
      <c r="BN2754" s="2"/>
      <c r="BO2754" s="2"/>
      <c r="BP2754" s="136"/>
      <c r="BQ2754" s="137"/>
    </row>
    <row r="2755" spans="1:69" ht="12.75" customHeight="1" x14ac:dyDescent="0.2">
      <c r="A2755" s="2">
        <v>4244</v>
      </c>
      <c r="B2755" s="2"/>
      <c r="C2755" s="2"/>
      <c r="D2755" s="2"/>
      <c r="E2755" s="2"/>
      <c r="F2755" s="132">
        <v>0</v>
      </c>
      <c r="G2755" s="132"/>
      <c r="H2755" s="132">
        <f t="shared" si="311"/>
        <v>0</v>
      </c>
      <c r="I2755" s="132"/>
      <c r="J2755" s="132">
        <f t="shared" si="309"/>
        <v>0</v>
      </c>
      <c r="K2755" s="132">
        <f t="shared" si="312"/>
        <v>0</v>
      </c>
      <c r="L2755" s="132">
        <f t="shared" si="306"/>
        <v>0</v>
      </c>
      <c r="M2755" s="133"/>
      <c r="N2755" s="133">
        <f t="shared" si="310"/>
        <v>0</v>
      </c>
      <c r="O2755" s="134"/>
      <c r="P2755" s="133"/>
      <c r="Q2755" s="2"/>
      <c r="R2755" s="156">
        <f t="shared" si="307"/>
        <v>0</v>
      </c>
      <c r="S2755" s="156">
        <f t="shared" si="308"/>
        <v>0</v>
      </c>
      <c r="T2755" s="133"/>
      <c r="U2755" s="133"/>
      <c r="V2755" s="133"/>
      <c r="W2755" s="133"/>
      <c r="X2755" s="133"/>
      <c r="Y2755" s="133"/>
      <c r="Z2755" s="133"/>
      <c r="AA2755" s="133"/>
      <c r="AB2755" s="133"/>
      <c r="AC2755" s="133"/>
      <c r="AD2755" s="133"/>
      <c r="AE2755" s="133"/>
      <c r="AF2755" s="133"/>
      <c r="AG2755" s="133"/>
      <c r="AH2755" s="133"/>
      <c r="AI2755" s="133"/>
      <c r="AJ2755" s="133"/>
      <c r="AK2755" s="133"/>
      <c r="AL2755" s="133"/>
      <c r="AM2755" s="133"/>
      <c r="AN2755" s="133"/>
      <c r="AO2755" s="133"/>
      <c r="AP2755" s="133"/>
      <c r="AQ2755" s="133"/>
      <c r="AR2755" s="133"/>
      <c r="AS2755" s="153">
        <v>0</v>
      </c>
      <c r="AT2755" s="153">
        <v>0</v>
      </c>
      <c r="AU2755" s="153">
        <v>0</v>
      </c>
      <c r="AV2755" s="135"/>
      <c r="AW2755" s="135"/>
      <c r="AX2755" s="135"/>
      <c r="AY2755" s="135"/>
      <c r="AZ2755" s="135"/>
      <c r="BA2755" s="135"/>
      <c r="BB2755" s="135"/>
      <c r="BC2755" s="135"/>
      <c r="BD2755" s="135"/>
      <c r="BE2755" s="135"/>
      <c r="BF2755" s="135"/>
      <c r="BG2755" s="135"/>
      <c r="BH2755" s="135"/>
      <c r="BI2755" s="2"/>
      <c r="BJ2755" s="136"/>
      <c r="BK2755" s="2"/>
      <c r="BL2755" s="136"/>
      <c r="BM2755" s="136"/>
      <c r="BN2755" s="2"/>
      <c r="BO2755" s="2"/>
      <c r="BP2755" s="136"/>
      <c r="BQ2755" s="137"/>
    </row>
    <row r="2756" spans="1:69" ht="12.75" customHeight="1" x14ac:dyDescent="0.2">
      <c r="A2756" s="2">
        <v>4245</v>
      </c>
      <c r="B2756" s="2"/>
      <c r="C2756" s="2"/>
      <c r="D2756" s="2"/>
      <c r="E2756" s="2"/>
      <c r="F2756" s="132">
        <v>0</v>
      </c>
      <c r="G2756" s="132"/>
      <c r="H2756" s="132">
        <f t="shared" si="311"/>
        <v>0</v>
      </c>
      <c r="I2756" s="132"/>
      <c r="J2756" s="132">
        <f t="shared" si="309"/>
        <v>0</v>
      </c>
      <c r="K2756" s="132">
        <f t="shared" si="312"/>
        <v>0</v>
      </c>
      <c r="L2756" s="132">
        <f t="shared" si="306"/>
        <v>0</v>
      </c>
      <c r="M2756" s="133"/>
      <c r="N2756" s="133">
        <f t="shared" si="310"/>
        <v>0</v>
      </c>
      <c r="O2756" s="134"/>
      <c r="P2756" s="133"/>
      <c r="Q2756" s="2"/>
      <c r="R2756" s="156">
        <f t="shared" si="307"/>
        <v>0</v>
      </c>
      <c r="S2756" s="156">
        <f t="shared" si="308"/>
        <v>0</v>
      </c>
      <c r="T2756" s="133"/>
      <c r="U2756" s="133"/>
      <c r="V2756" s="133"/>
      <c r="W2756" s="133"/>
      <c r="X2756" s="133"/>
      <c r="Y2756" s="133"/>
      <c r="Z2756" s="133"/>
      <c r="AA2756" s="133"/>
      <c r="AB2756" s="133"/>
      <c r="AC2756" s="133"/>
      <c r="AD2756" s="133"/>
      <c r="AE2756" s="133"/>
      <c r="AF2756" s="133"/>
      <c r="AG2756" s="133"/>
      <c r="AH2756" s="133"/>
      <c r="AI2756" s="133"/>
      <c r="AJ2756" s="133"/>
      <c r="AK2756" s="133"/>
      <c r="AL2756" s="133"/>
      <c r="AM2756" s="133"/>
      <c r="AN2756" s="133"/>
      <c r="AO2756" s="133"/>
      <c r="AP2756" s="133"/>
      <c r="AQ2756" s="133"/>
      <c r="AR2756" s="133"/>
      <c r="AS2756" s="153">
        <v>0</v>
      </c>
      <c r="AT2756" s="153">
        <v>0</v>
      </c>
      <c r="AU2756" s="153">
        <v>0</v>
      </c>
      <c r="AV2756" s="135"/>
      <c r="AW2756" s="135"/>
      <c r="AX2756" s="135"/>
      <c r="AY2756" s="135"/>
      <c r="AZ2756" s="135"/>
      <c r="BA2756" s="135"/>
      <c r="BB2756" s="135"/>
      <c r="BC2756" s="135"/>
      <c r="BD2756" s="135"/>
      <c r="BE2756" s="135"/>
      <c r="BF2756" s="135"/>
      <c r="BG2756" s="135"/>
      <c r="BH2756" s="135"/>
      <c r="BI2756" s="2"/>
      <c r="BJ2756" s="136"/>
      <c r="BK2756" s="2"/>
      <c r="BL2756" s="136"/>
      <c r="BM2756" s="136"/>
      <c r="BN2756" s="2"/>
      <c r="BO2756" s="2"/>
      <c r="BP2756" s="136"/>
      <c r="BQ2756" s="137"/>
    </row>
    <row r="2757" spans="1:69" ht="12.75" customHeight="1" x14ac:dyDescent="0.2">
      <c r="A2757" s="2">
        <v>4246</v>
      </c>
      <c r="B2757" s="2"/>
      <c r="C2757" s="2"/>
      <c r="D2757" s="2"/>
      <c r="E2757" s="2"/>
      <c r="F2757" s="132">
        <v>0</v>
      </c>
      <c r="G2757" s="132"/>
      <c r="H2757" s="132">
        <f t="shared" si="311"/>
        <v>0</v>
      </c>
      <c r="I2757" s="132"/>
      <c r="J2757" s="132">
        <f t="shared" si="309"/>
        <v>0</v>
      </c>
      <c r="K2757" s="132">
        <f t="shared" si="312"/>
        <v>0</v>
      </c>
      <c r="L2757" s="132">
        <f t="shared" si="306"/>
        <v>0</v>
      </c>
      <c r="M2757" s="133"/>
      <c r="N2757" s="133">
        <f t="shared" si="310"/>
        <v>0</v>
      </c>
      <c r="O2757" s="134"/>
      <c r="P2757" s="133"/>
      <c r="Q2757" s="2"/>
      <c r="R2757" s="156">
        <f t="shared" si="307"/>
        <v>0</v>
      </c>
      <c r="S2757" s="156">
        <f t="shared" si="308"/>
        <v>0</v>
      </c>
      <c r="T2757" s="133"/>
      <c r="U2757" s="133"/>
      <c r="V2757" s="133"/>
      <c r="W2757" s="133"/>
      <c r="X2757" s="133"/>
      <c r="Y2757" s="133"/>
      <c r="Z2757" s="133"/>
      <c r="AA2757" s="133"/>
      <c r="AB2757" s="133"/>
      <c r="AC2757" s="133"/>
      <c r="AD2757" s="133"/>
      <c r="AE2757" s="133"/>
      <c r="AF2757" s="133"/>
      <c r="AG2757" s="133"/>
      <c r="AH2757" s="133"/>
      <c r="AI2757" s="133"/>
      <c r="AJ2757" s="133"/>
      <c r="AK2757" s="133"/>
      <c r="AL2757" s="133"/>
      <c r="AM2757" s="133"/>
      <c r="AN2757" s="133"/>
      <c r="AO2757" s="133"/>
      <c r="AP2757" s="133"/>
      <c r="AQ2757" s="133"/>
      <c r="AR2757" s="133"/>
      <c r="AS2757" s="153">
        <v>0</v>
      </c>
      <c r="AT2757" s="153">
        <v>0</v>
      </c>
      <c r="AU2757" s="153">
        <v>0</v>
      </c>
      <c r="AV2757" s="135"/>
      <c r="AW2757" s="135"/>
      <c r="AX2757" s="135"/>
      <c r="AY2757" s="135"/>
      <c r="AZ2757" s="135"/>
      <c r="BA2757" s="135"/>
      <c r="BB2757" s="135"/>
      <c r="BC2757" s="135"/>
      <c r="BD2757" s="135"/>
      <c r="BE2757" s="135"/>
      <c r="BF2757" s="135"/>
      <c r="BG2757" s="135"/>
      <c r="BH2757" s="135"/>
      <c r="BI2757" s="2"/>
      <c r="BJ2757" s="136"/>
      <c r="BK2757" s="2"/>
      <c r="BL2757" s="136"/>
      <c r="BM2757" s="136"/>
      <c r="BN2757" s="2"/>
      <c r="BO2757" s="2"/>
      <c r="BP2757" s="136"/>
      <c r="BQ2757" s="137"/>
    </row>
    <row r="2758" spans="1:69" ht="12.75" customHeight="1" x14ac:dyDescent="0.2">
      <c r="A2758" s="2">
        <v>4247</v>
      </c>
      <c r="B2758" s="2"/>
      <c r="C2758" s="2"/>
      <c r="D2758" s="2"/>
      <c r="E2758" s="2"/>
      <c r="F2758" s="132">
        <v>0</v>
      </c>
      <c r="G2758" s="132"/>
      <c r="H2758" s="132">
        <f t="shared" si="311"/>
        <v>0</v>
      </c>
      <c r="I2758" s="132"/>
      <c r="J2758" s="132">
        <f t="shared" si="309"/>
        <v>0</v>
      </c>
      <c r="K2758" s="132">
        <f t="shared" si="312"/>
        <v>0</v>
      </c>
      <c r="L2758" s="132">
        <f t="shared" si="306"/>
        <v>0</v>
      </c>
      <c r="M2758" s="133"/>
      <c r="N2758" s="133">
        <f t="shared" si="310"/>
        <v>0</v>
      </c>
      <c r="O2758" s="134"/>
      <c r="P2758" s="133"/>
      <c r="Q2758" s="2"/>
      <c r="R2758" s="156">
        <f t="shared" si="307"/>
        <v>0</v>
      </c>
      <c r="S2758" s="156">
        <f t="shared" si="308"/>
        <v>0</v>
      </c>
      <c r="T2758" s="133"/>
      <c r="U2758" s="133"/>
      <c r="V2758" s="133"/>
      <c r="W2758" s="133"/>
      <c r="X2758" s="133"/>
      <c r="Y2758" s="133"/>
      <c r="Z2758" s="133"/>
      <c r="AA2758" s="133"/>
      <c r="AB2758" s="133"/>
      <c r="AC2758" s="133"/>
      <c r="AD2758" s="133"/>
      <c r="AE2758" s="133"/>
      <c r="AF2758" s="133"/>
      <c r="AG2758" s="133"/>
      <c r="AH2758" s="133"/>
      <c r="AI2758" s="133"/>
      <c r="AJ2758" s="133"/>
      <c r="AK2758" s="133"/>
      <c r="AL2758" s="133"/>
      <c r="AM2758" s="133"/>
      <c r="AN2758" s="133"/>
      <c r="AO2758" s="133"/>
      <c r="AP2758" s="133"/>
      <c r="AQ2758" s="133"/>
      <c r="AR2758" s="133"/>
      <c r="AS2758" s="153">
        <v>0</v>
      </c>
      <c r="AT2758" s="153">
        <v>0</v>
      </c>
      <c r="AU2758" s="153">
        <v>0</v>
      </c>
      <c r="AV2758" s="135"/>
      <c r="AW2758" s="135"/>
      <c r="AX2758" s="135"/>
      <c r="AY2758" s="135"/>
      <c r="AZ2758" s="135"/>
      <c r="BA2758" s="135"/>
      <c r="BB2758" s="135"/>
      <c r="BC2758" s="135"/>
      <c r="BD2758" s="135"/>
      <c r="BE2758" s="135"/>
      <c r="BF2758" s="135"/>
      <c r="BG2758" s="135"/>
      <c r="BH2758" s="135"/>
      <c r="BI2758" s="2"/>
      <c r="BJ2758" s="136"/>
      <c r="BK2758" s="2"/>
      <c r="BL2758" s="136"/>
      <c r="BM2758" s="136"/>
      <c r="BN2758" s="2"/>
      <c r="BO2758" s="2"/>
      <c r="BP2758" s="136"/>
      <c r="BQ2758" s="137"/>
    </row>
    <row r="2759" spans="1:69" ht="12.75" customHeight="1" x14ac:dyDescent="0.2">
      <c r="A2759" s="2">
        <v>4248</v>
      </c>
      <c r="B2759" s="2"/>
      <c r="C2759" s="2"/>
      <c r="D2759" s="2"/>
      <c r="E2759" s="2"/>
      <c r="F2759" s="132">
        <v>0</v>
      </c>
      <c r="G2759" s="132"/>
      <c r="H2759" s="132">
        <f t="shared" si="311"/>
        <v>0</v>
      </c>
      <c r="I2759" s="132"/>
      <c r="J2759" s="132">
        <f t="shared" si="309"/>
        <v>0</v>
      </c>
      <c r="K2759" s="132">
        <f t="shared" si="312"/>
        <v>0</v>
      </c>
      <c r="L2759" s="132">
        <f t="shared" si="306"/>
        <v>0</v>
      </c>
      <c r="M2759" s="133"/>
      <c r="N2759" s="133">
        <f t="shared" si="310"/>
        <v>0</v>
      </c>
      <c r="O2759" s="134"/>
      <c r="P2759" s="133"/>
      <c r="Q2759" s="2"/>
      <c r="R2759" s="156">
        <f t="shared" si="307"/>
        <v>0</v>
      </c>
      <c r="S2759" s="156">
        <f t="shared" si="308"/>
        <v>0</v>
      </c>
      <c r="T2759" s="133"/>
      <c r="U2759" s="133"/>
      <c r="V2759" s="133"/>
      <c r="W2759" s="133"/>
      <c r="X2759" s="133"/>
      <c r="Y2759" s="133"/>
      <c r="Z2759" s="133"/>
      <c r="AA2759" s="133"/>
      <c r="AB2759" s="133"/>
      <c r="AC2759" s="133"/>
      <c r="AD2759" s="133"/>
      <c r="AE2759" s="133"/>
      <c r="AF2759" s="133"/>
      <c r="AG2759" s="133"/>
      <c r="AH2759" s="133"/>
      <c r="AI2759" s="133"/>
      <c r="AJ2759" s="133"/>
      <c r="AK2759" s="133"/>
      <c r="AL2759" s="133"/>
      <c r="AM2759" s="133"/>
      <c r="AN2759" s="133"/>
      <c r="AO2759" s="133"/>
      <c r="AP2759" s="133"/>
      <c r="AQ2759" s="133"/>
      <c r="AR2759" s="133"/>
      <c r="AS2759" s="153">
        <v>0</v>
      </c>
      <c r="AT2759" s="153">
        <v>0</v>
      </c>
      <c r="AU2759" s="153">
        <v>0</v>
      </c>
      <c r="AV2759" s="135"/>
      <c r="AW2759" s="135"/>
      <c r="AX2759" s="135"/>
      <c r="AY2759" s="135"/>
      <c r="AZ2759" s="135"/>
      <c r="BA2759" s="135"/>
      <c r="BB2759" s="135"/>
      <c r="BC2759" s="135"/>
      <c r="BD2759" s="135"/>
      <c r="BE2759" s="135"/>
      <c r="BF2759" s="135"/>
      <c r="BG2759" s="135"/>
      <c r="BH2759" s="135"/>
      <c r="BI2759" s="2"/>
      <c r="BJ2759" s="136"/>
      <c r="BK2759" s="2"/>
      <c r="BL2759" s="136"/>
      <c r="BM2759" s="136"/>
      <c r="BN2759" s="2"/>
      <c r="BO2759" s="2"/>
      <c r="BP2759" s="136"/>
      <c r="BQ2759" s="137"/>
    </row>
    <row r="2760" spans="1:69" ht="12.75" customHeight="1" x14ac:dyDescent="0.2">
      <c r="A2760" s="2">
        <v>4249</v>
      </c>
      <c r="B2760" s="2"/>
      <c r="C2760" s="2"/>
      <c r="D2760" s="2"/>
      <c r="E2760" s="2"/>
      <c r="F2760" s="132">
        <v>0</v>
      </c>
      <c r="G2760" s="132"/>
      <c r="H2760" s="132">
        <f t="shared" si="311"/>
        <v>0</v>
      </c>
      <c r="I2760" s="132"/>
      <c r="J2760" s="132">
        <f t="shared" si="309"/>
        <v>0</v>
      </c>
      <c r="K2760" s="132">
        <f t="shared" si="312"/>
        <v>0</v>
      </c>
      <c r="L2760" s="132">
        <f t="shared" si="306"/>
        <v>0</v>
      </c>
      <c r="M2760" s="133"/>
      <c r="N2760" s="133">
        <f t="shared" si="310"/>
        <v>0</v>
      </c>
      <c r="O2760" s="134"/>
      <c r="P2760" s="133"/>
      <c r="Q2760" s="2"/>
      <c r="R2760" s="156">
        <f t="shared" si="307"/>
        <v>0</v>
      </c>
      <c r="S2760" s="156">
        <f t="shared" si="308"/>
        <v>0</v>
      </c>
      <c r="T2760" s="133"/>
      <c r="U2760" s="133"/>
      <c r="V2760" s="133"/>
      <c r="W2760" s="133"/>
      <c r="X2760" s="133"/>
      <c r="Y2760" s="133"/>
      <c r="Z2760" s="133"/>
      <c r="AA2760" s="133"/>
      <c r="AB2760" s="133"/>
      <c r="AC2760" s="133"/>
      <c r="AD2760" s="133"/>
      <c r="AE2760" s="133"/>
      <c r="AF2760" s="133"/>
      <c r="AG2760" s="133"/>
      <c r="AH2760" s="133"/>
      <c r="AI2760" s="133"/>
      <c r="AJ2760" s="133"/>
      <c r="AK2760" s="133"/>
      <c r="AL2760" s="133"/>
      <c r="AM2760" s="133"/>
      <c r="AN2760" s="133"/>
      <c r="AO2760" s="133"/>
      <c r="AP2760" s="133"/>
      <c r="AQ2760" s="133"/>
      <c r="AR2760" s="133"/>
      <c r="AS2760" s="153">
        <v>0</v>
      </c>
      <c r="AT2760" s="153">
        <v>0</v>
      </c>
      <c r="AU2760" s="153">
        <v>0</v>
      </c>
      <c r="AV2760" s="135"/>
      <c r="AW2760" s="135"/>
      <c r="AX2760" s="135"/>
      <c r="AY2760" s="135"/>
      <c r="AZ2760" s="135"/>
      <c r="BA2760" s="135"/>
      <c r="BB2760" s="135"/>
      <c r="BC2760" s="135"/>
      <c r="BD2760" s="135"/>
      <c r="BE2760" s="135"/>
      <c r="BF2760" s="135"/>
      <c r="BG2760" s="135"/>
      <c r="BH2760" s="135"/>
      <c r="BI2760" s="2"/>
      <c r="BJ2760" s="136"/>
      <c r="BK2760" s="2"/>
      <c r="BL2760" s="136"/>
      <c r="BM2760" s="136"/>
      <c r="BN2760" s="2"/>
      <c r="BO2760" s="2"/>
      <c r="BP2760" s="136"/>
      <c r="BQ2760" s="137"/>
    </row>
    <row r="2761" spans="1:69" ht="12.75" customHeight="1" x14ac:dyDescent="0.2">
      <c r="A2761" s="2">
        <v>4250</v>
      </c>
      <c r="B2761" s="2"/>
      <c r="C2761" s="2"/>
      <c r="D2761" s="2"/>
      <c r="E2761" s="2"/>
      <c r="F2761" s="132">
        <v>0</v>
      </c>
      <c r="G2761" s="132"/>
      <c r="H2761" s="132">
        <f t="shared" si="311"/>
        <v>0</v>
      </c>
      <c r="I2761" s="132"/>
      <c r="J2761" s="132">
        <f t="shared" si="309"/>
        <v>0</v>
      </c>
      <c r="K2761" s="132">
        <f t="shared" si="312"/>
        <v>0</v>
      </c>
      <c r="L2761" s="132">
        <f t="shared" si="306"/>
        <v>0</v>
      </c>
      <c r="M2761" s="133"/>
      <c r="N2761" s="133">
        <f t="shared" si="310"/>
        <v>0</v>
      </c>
      <c r="O2761" s="134"/>
      <c r="P2761" s="133"/>
      <c r="Q2761" s="2"/>
      <c r="R2761" s="156">
        <f t="shared" si="307"/>
        <v>0</v>
      </c>
      <c r="S2761" s="156">
        <f t="shared" si="308"/>
        <v>0</v>
      </c>
      <c r="T2761" s="133"/>
      <c r="U2761" s="133"/>
      <c r="V2761" s="133"/>
      <c r="W2761" s="133"/>
      <c r="X2761" s="133"/>
      <c r="Y2761" s="133"/>
      <c r="Z2761" s="133"/>
      <c r="AA2761" s="133"/>
      <c r="AB2761" s="133"/>
      <c r="AC2761" s="133"/>
      <c r="AD2761" s="133"/>
      <c r="AE2761" s="133"/>
      <c r="AF2761" s="133"/>
      <c r="AG2761" s="133"/>
      <c r="AH2761" s="133"/>
      <c r="AI2761" s="133"/>
      <c r="AJ2761" s="133"/>
      <c r="AK2761" s="133"/>
      <c r="AL2761" s="133"/>
      <c r="AM2761" s="133"/>
      <c r="AN2761" s="133"/>
      <c r="AO2761" s="133"/>
      <c r="AP2761" s="133"/>
      <c r="AQ2761" s="133"/>
      <c r="AR2761" s="133"/>
      <c r="AS2761" s="153">
        <v>0</v>
      </c>
      <c r="AT2761" s="153">
        <v>0</v>
      </c>
      <c r="AU2761" s="153">
        <v>0</v>
      </c>
      <c r="AV2761" s="135"/>
      <c r="AW2761" s="135"/>
      <c r="AX2761" s="135"/>
      <c r="AY2761" s="135"/>
      <c r="AZ2761" s="135"/>
      <c r="BA2761" s="135"/>
      <c r="BB2761" s="135"/>
      <c r="BC2761" s="135"/>
      <c r="BD2761" s="135"/>
      <c r="BE2761" s="135"/>
      <c r="BF2761" s="135"/>
      <c r="BG2761" s="135"/>
      <c r="BH2761" s="135"/>
      <c r="BI2761" s="2"/>
      <c r="BJ2761" s="136"/>
      <c r="BK2761" s="2"/>
      <c r="BL2761" s="136"/>
      <c r="BM2761" s="136"/>
      <c r="BN2761" s="2"/>
      <c r="BO2761" s="2"/>
      <c r="BP2761" s="136"/>
      <c r="BQ2761" s="137"/>
    </row>
    <row r="2762" spans="1:69" ht="12.75" customHeight="1" x14ac:dyDescent="0.2">
      <c r="A2762" s="2">
        <v>4251</v>
      </c>
      <c r="B2762" s="2"/>
      <c r="C2762" s="2"/>
      <c r="D2762" s="2"/>
      <c r="E2762" s="2"/>
      <c r="F2762" s="132">
        <v>0</v>
      </c>
      <c r="G2762" s="132"/>
      <c r="H2762" s="132">
        <f t="shared" si="311"/>
        <v>0</v>
      </c>
      <c r="I2762" s="132"/>
      <c r="J2762" s="132">
        <f t="shared" si="309"/>
        <v>0</v>
      </c>
      <c r="K2762" s="132">
        <f t="shared" si="312"/>
        <v>0</v>
      </c>
      <c r="L2762" s="132">
        <f t="shared" si="306"/>
        <v>0</v>
      </c>
      <c r="M2762" s="133"/>
      <c r="N2762" s="133">
        <f t="shared" si="310"/>
        <v>0</v>
      </c>
      <c r="O2762" s="134"/>
      <c r="P2762" s="133"/>
      <c r="Q2762" s="2"/>
      <c r="R2762" s="156">
        <f t="shared" si="307"/>
        <v>0</v>
      </c>
      <c r="S2762" s="156">
        <f t="shared" si="308"/>
        <v>0</v>
      </c>
      <c r="T2762" s="133"/>
      <c r="U2762" s="133"/>
      <c r="V2762" s="133"/>
      <c r="W2762" s="133"/>
      <c r="X2762" s="133"/>
      <c r="Y2762" s="133"/>
      <c r="Z2762" s="133"/>
      <c r="AA2762" s="133"/>
      <c r="AB2762" s="133"/>
      <c r="AC2762" s="133"/>
      <c r="AD2762" s="133"/>
      <c r="AE2762" s="133"/>
      <c r="AF2762" s="133"/>
      <c r="AG2762" s="133"/>
      <c r="AH2762" s="133"/>
      <c r="AI2762" s="133"/>
      <c r="AJ2762" s="133"/>
      <c r="AK2762" s="133"/>
      <c r="AL2762" s="133"/>
      <c r="AM2762" s="133"/>
      <c r="AN2762" s="133"/>
      <c r="AO2762" s="133"/>
      <c r="AP2762" s="133"/>
      <c r="AQ2762" s="133"/>
      <c r="AR2762" s="133"/>
      <c r="AS2762" s="153">
        <v>0</v>
      </c>
      <c r="AT2762" s="153">
        <v>0</v>
      </c>
      <c r="AU2762" s="153">
        <v>0</v>
      </c>
      <c r="AV2762" s="135"/>
      <c r="AW2762" s="135"/>
      <c r="AX2762" s="135"/>
      <c r="AY2762" s="135"/>
      <c r="AZ2762" s="135"/>
      <c r="BA2762" s="135"/>
      <c r="BB2762" s="135"/>
      <c r="BC2762" s="135"/>
      <c r="BD2762" s="135"/>
      <c r="BE2762" s="135"/>
      <c r="BF2762" s="135"/>
      <c r="BG2762" s="135"/>
      <c r="BH2762" s="135"/>
      <c r="BI2762" s="2"/>
      <c r="BJ2762" s="136"/>
      <c r="BK2762" s="2"/>
      <c r="BL2762" s="136"/>
      <c r="BM2762" s="136"/>
      <c r="BN2762" s="2"/>
      <c r="BO2762" s="2"/>
      <c r="BP2762" s="136"/>
      <c r="BQ2762" s="137"/>
    </row>
    <row r="2763" spans="1:69" ht="12.75" customHeight="1" x14ac:dyDescent="0.2">
      <c r="A2763" s="2">
        <v>4252</v>
      </c>
      <c r="B2763" s="2"/>
      <c r="C2763" s="2"/>
      <c r="D2763" s="2"/>
      <c r="E2763" s="2"/>
      <c r="F2763" s="132">
        <v>0</v>
      </c>
      <c r="G2763" s="132"/>
      <c r="H2763" s="132">
        <f t="shared" si="311"/>
        <v>0</v>
      </c>
      <c r="I2763" s="132"/>
      <c r="J2763" s="132">
        <f t="shared" si="309"/>
        <v>0</v>
      </c>
      <c r="K2763" s="132">
        <f t="shared" si="312"/>
        <v>0</v>
      </c>
      <c r="L2763" s="132">
        <f t="shared" ref="L2763:L2826" si="313">H2763-J2763</f>
        <v>0</v>
      </c>
      <c r="M2763" s="133"/>
      <c r="N2763" s="133">
        <f t="shared" si="310"/>
        <v>0</v>
      </c>
      <c r="O2763" s="134"/>
      <c r="P2763" s="133"/>
      <c r="Q2763" s="2"/>
      <c r="R2763" s="156">
        <f t="shared" ref="R2763:R2826" si="314">T2763+V2763+X2763+Z2763+AB2763+AD2763+AF2763+AH2763+AJ2763+AL2763+AN2763+AP2763</f>
        <v>0</v>
      </c>
      <c r="S2763" s="156">
        <f t="shared" ref="S2763:S2826" si="315">U2763+W2763+Y2763+AA2763+AC2763+AE2763+AG2763+AI2763+AK2763+AM2763+AO2763+AQ2763</f>
        <v>0</v>
      </c>
      <c r="T2763" s="133"/>
      <c r="U2763" s="133"/>
      <c r="V2763" s="133"/>
      <c r="W2763" s="133"/>
      <c r="X2763" s="133"/>
      <c r="Y2763" s="133"/>
      <c r="Z2763" s="133"/>
      <c r="AA2763" s="133"/>
      <c r="AB2763" s="133"/>
      <c r="AC2763" s="133"/>
      <c r="AD2763" s="133"/>
      <c r="AE2763" s="133"/>
      <c r="AF2763" s="133"/>
      <c r="AG2763" s="133"/>
      <c r="AH2763" s="133"/>
      <c r="AI2763" s="133"/>
      <c r="AJ2763" s="133"/>
      <c r="AK2763" s="133"/>
      <c r="AL2763" s="133"/>
      <c r="AM2763" s="133"/>
      <c r="AN2763" s="133"/>
      <c r="AO2763" s="133"/>
      <c r="AP2763" s="133"/>
      <c r="AQ2763" s="133"/>
      <c r="AR2763" s="133"/>
      <c r="AS2763" s="153">
        <v>0</v>
      </c>
      <c r="AT2763" s="153">
        <v>0</v>
      </c>
      <c r="AU2763" s="153">
        <v>0</v>
      </c>
      <c r="AV2763" s="135"/>
      <c r="AW2763" s="135"/>
      <c r="AX2763" s="135"/>
      <c r="AY2763" s="135"/>
      <c r="AZ2763" s="135"/>
      <c r="BA2763" s="135"/>
      <c r="BB2763" s="135"/>
      <c r="BC2763" s="135"/>
      <c r="BD2763" s="135"/>
      <c r="BE2763" s="135"/>
      <c r="BF2763" s="135"/>
      <c r="BG2763" s="135"/>
      <c r="BH2763" s="135"/>
      <c r="BI2763" s="2"/>
      <c r="BJ2763" s="136"/>
      <c r="BK2763" s="2"/>
      <c r="BL2763" s="136"/>
      <c r="BM2763" s="136"/>
      <c r="BN2763" s="2"/>
      <c r="BO2763" s="2"/>
      <c r="BP2763" s="136"/>
      <c r="BQ2763" s="137"/>
    </row>
    <row r="2764" spans="1:69" ht="12.75" customHeight="1" x14ac:dyDescent="0.2">
      <c r="A2764" s="2">
        <v>4253</v>
      </c>
      <c r="B2764" s="2"/>
      <c r="C2764" s="2"/>
      <c r="D2764" s="2"/>
      <c r="E2764" s="2"/>
      <c r="F2764" s="132">
        <v>0</v>
      </c>
      <c r="G2764" s="132"/>
      <c r="H2764" s="132">
        <f t="shared" si="311"/>
        <v>0</v>
      </c>
      <c r="I2764" s="132"/>
      <c r="J2764" s="132">
        <f t="shared" si="309"/>
        <v>0</v>
      </c>
      <c r="K2764" s="132">
        <f t="shared" si="312"/>
        <v>0</v>
      </c>
      <c r="L2764" s="132">
        <f t="shared" si="313"/>
        <v>0</v>
      </c>
      <c r="M2764" s="133"/>
      <c r="N2764" s="133">
        <f t="shared" si="310"/>
        <v>0</v>
      </c>
      <c r="O2764" s="134"/>
      <c r="P2764" s="133"/>
      <c r="Q2764" s="2"/>
      <c r="R2764" s="156">
        <f t="shared" si="314"/>
        <v>0</v>
      </c>
      <c r="S2764" s="156">
        <f t="shared" si="315"/>
        <v>0</v>
      </c>
      <c r="T2764" s="133"/>
      <c r="U2764" s="133"/>
      <c r="V2764" s="133"/>
      <c r="W2764" s="133"/>
      <c r="X2764" s="133"/>
      <c r="Y2764" s="133"/>
      <c r="Z2764" s="133"/>
      <c r="AA2764" s="133"/>
      <c r="AB2764" s="133"/>
      <c r="AC2764" s="133"/>
      <c r="AD2764" s="133"/>
      <c r="AE2764" s="133"/>
      <c r="AF2764" s="133"/>
      <c r="AG2764" s="133"/>
      <c r="AH2764" s="133"/>
      <c r="AI2764" s="133"/>
      <c r="AJ2764" s="133"/>
      <c r="AK2764" s="133"/>
      <c r="AL2764" s="133"/>
      <c r="AM2764" s="133"/>
      <c r="AN2764" s="133"/>
      <c r="AO2764" s="133"/>
      <c r="AP2764" s="133"/>
      <c r="AQ2764" s="133"/>
      <c r="AR2764" s="133"/>
      <c r="AS2764" s="153">
        <v>0</v>
      </c>
      <c r="AT2764" s="153">
        <v>0</v>
      </c>
      <c r="AU2764" s="153">
        <v>0</v>
      </c>
      <c r="AV2764" s="135"/>
      <c r="AW2764" s="135"/>
      <c r="AX2764" s="135"/>
      <c r="AY2764" s="135"/>
      <c r="AZ2764" s="135"/>
      <c r="BA2764" s="135"/>
      <c r="BB2764" s="135"/>
      <c r="BC2764" s="135"/>
      <c r="BD2764" s="135"/>
      <c r="BE2764" s="135"/>
      <c r="BF2764" s="135"/>
      <c r="BG2764" s="135"/>
      <c r="BH2764" s="135"/>
      <c r="BI2764" s="2"/>
      <c r="BJ2764" s="136"/>
      <c r="BK2764" s="2"/>
      <c r="BL2764" s="136"/>
      <c r="BM2764" s="136"/>
      <c r="BN2764" s="2"/>
      <c r="BO2764" s="2"/>
      <c r="BP2764" s="136"/>
      <c r="BQ2764" s="137"/>
    </row>
    <row r="2765" spans="1:69" ht="12.75" customHeight="1" x14ac:dyDescent="0.2">
      <c r="A2765" s="2">
        <v>4254</v>
      </c>
      <c r="B2765" s="2"/>
      <c r="C2765" s="2"/>
      <c r="D2765" s="2"/>
      <c r="E2765" s="2"/>
      <c r="F2765" s="132">
        <v>0</v>
      </c>
      <c r="G2765" s="132"/>
      <c r="H2765" s="132">
        <f t="shared" si="311"/>
        <v>0</v>
      </c>
      <c r="I2765" s="132"/>
      <c r="J2765" s="132">
        <f t="shared" si="309"/>
        <v>0</v>
      </c>
      <c r="K2765" s="132">
        <f t="shared" si="312"/>
        <v>0</v>
      </c>
      <c r="L2765" s="132">
        <f t="shared" si="313"/>
        <v>0</v>
      </c>
      <c r="M2765" s="133"/>
      <c r="N2765" s="133">
        <f t="shared" si="310"/>
        <v>0</v>
      </c>
      <c r="O2765" s="134"/>
      <c r="P2765" s="133"/>
      <c r="Q2765" s="2"/>
      <c r="R2765" s="156">
        <f t="shared" si="314"/>
        <v>0</v>
      </c>
      <c r="S2765" s="156">
        <f t="shared" si="315"/>
        <v>0</v>
      </c>
      <c r="T2765" s="133"/>
      <c r="U2765" s="133"/>
      <c r="V2765" s="133"/>
      <c r="W2765" s="133"/>
      <c r="X2765" s="133"/>
      <c r="Y2765" s="133"/>
      <c r="Z2765" s="133"/>
      <c r="AA2765" s="133"/>
      <c r="AB2765" s="133"/>
      <c r="AC2765" s="133"/>
      <c r="AD2765" s="133"/>
      <c r="AE2765" s="133"/>
      <c r="AF2765" s="133"/>
      <c r="AG2765" s="133"/>
      <c r="AH2765" s="133"/>
      <c r="AI2765" s="133"/>
      <c r="AJ2765" s="133"/>
      <c r="AK2765" s="133"/>
      <c r="AL2765" s="133"/>
      <c r="AM2765" s="133"/>
      <c r="AN2765" s="133"/>
      <c r="AO2765" s="133"/>
      <c r="AP2765" s="133"/>
      <c r="AQ2765" s="133"/>
      <c r="AR2765" s="133"/>
      <c r="AS2765" s="153">
        <v>0</v>
      </c>
      <c r="AT2765" s="153">
        <v>0</v>
      </c>
      <c r="AU2765" s="153">
        <v>0</v>
      </c>
      <c r="AV2765" s="135"/>
      <c r="AW2765" s="135"/>
      <c r="AX2765" s="135"/>
      <c r="AY2765" s="135"/>
      <c r="AZ2765" s="135"/>
      <c r="BA2765" s="135"/>
      <c r="BB2765" s="135"/>
      <c r="BC2765" s="135"/>
      <c r="BD2765" s="135"/>
      <c r="BE2765" s="135"/>
      <c r="BF2765" s="135"/>
      <c r="BG2765" s="135"/>
      <c r="BH2765" s="135"/>
      <c r="BI2765" s="2"/>
      <c r="BJ2765" s="136"/>
      <c r="BK2765" s="2"/>
      <c r="BL2765" s="136"/>
      <c r="BM2765" s="136"/>
      <c r="BN2765" s="2"/>
      <c r="BO2765" s="2"/>
      <c r="BP2765" s="136"/>
      <c r="BQ2765" s="137"/>
    </row>
    <row r="2766" spans="1:69" ht="12.75" customHeight="1" x14ac:dyDescent="0.2">
      <c r="A2766" s="2">
        <v>4255</v>
      </c>
      <c r="B2766" s="2"/>
      <c r="C2766" s="2"/>
      <c r="D2766" s="2"/>
      <c r="E2766" s="2"/>
      <c r="F2766" s="132">
        <v>0</v>
      </c>
      <c r="G2766" s="132"/>
      <c r="H2766" s="132">
        <f t="shared" si="311"/>
        <v>0</v>
      </c>
      <c r="I2766" s="132"/>
      <c r="J2766" s="132">
        <f t="shared" si="309"/>
        <v>0</v>
      </c>
      <c r="K2766" s="132">
        <f t="shared" si="312"/>
        <v>0</v>
      </c>
      <c r="L2766" s="132">
        <f t="shared" si="313"/>
        <v>0</v>
      </c>
      <c r="M2766" s="133"/>
      <c r="N2766" s="133">
        <f t="shared" si="310"/>
        <v>0</v>
      </c>
      <c r="O2766" s="134"/>
      <c r="P2766" s="133"/>
      <c r="Q2766" s="2"/>
      <c r="R2766" s="156">
        <f t="shared" si="314"/>
        <v>0</v>
      </c>
      <c r="S2766" s="156">
        <f t="shared" si="315"/>
        <v>0</v>
      </c>
      <c r="T2766" s="133"/>
      <c r="U2766" s="133"/>
      <c r="V2766" s="133"/>
      <c r="W2766" s="133"/>
      <c r="X2766" s="133"/>
      <c r="Y2766" s="133"/>
      <c r="Z2766" s="133"/>
      <c r="AA2766" s="133"/>
      <c r="AB2766" s="133"/>
      <c r="AC2766" s="133"/>
      <c r="AD2766" s="133"/>
      <c r="AE2766" s="133"/>
      <c r="AF2766" s="133"/>
      <c r="AG2766" s="133"/>
      <c r="AH2766" s="133"/>
      <c r="AI2766" s="133"/>
      <c r="AJ2766" s="133"/>
      <c r="AK2766" s="133"/>
      <c r="AL2766" s="133"/>
      <c r="AM2766" s="133"/>
      <c r="AN2766" s="133"/>
      <c r="AO2766" s="133"/>
      <c r="AP2766" s="133"/>
      <c r="AQ2766" s="133"/>
      <c r="AR2766" s="133"/>
      <c r="AS2766" s="153">
        <v>0</v>
      </c>
      <c r="AT2766" s="153">
        <v>0</v>
      </c>
      <c r="AU2766" s="153">
        <v>0</v>
      </c>
      <c r="AV2766" s="135"/>
      <c r="AW2766" s="135"/>
      <c r="AX2766" s="135"/>
      <c r="AY2766" s="135"/>
      <c r="AZ2766" s="135"/>
      <c r="BA2766" s="135"/>
      <c r="BB2766" s="135"/>
      <c r="BC2766" s="135"/>
      <c r="BD2766" s="135"/>
      <c r="BE2766" s="135"/>
      <c r="BF2766" s="135"/>
      <c r="BG2766" s="135"/>
      <c r="BH2766" s="135"/>
      <c r="BI2766" s="2"/>
      <c r="BJ2766" s="136"/>
      <c r="BK2766" s="2"/>
      <c r="BL2766" s="136"/>
      <c r="BM2766" s="136"/>
      <c r="BN2766" s="2"/>
      <c r="BO2766" s="2"/>
      <c r="BP2766" s="136"/>
      <c r="BQ2766" s="137"/>
    </row>
    <row r="2767" spans="1:69" ht="12.75" customHeight="1" x14ac:dyDescent="0.2">
      <c r="A2767" s="2">
        <v>4256</v>
      </c>
      <c r="B2767" s="2"/>
      <c r="C2767" s="2"/>
      <c r="D2767" s="2"/>
      <c r="E2767" s="2"/>
      <c r="F2767" s="132">
        <v>0</v>
      </c>
      <c r="G2767" s="132"/>
      <c r="H2767" s="132">
        <f t="shared" si="311"/>
        <v>0</v>
      </c>
      <c r="I2767" s="132"/>
      <c r="J2767" s="132">
        <f t="shared" si="309"/>
        <v>0</v>
      </c>
      <c r="K2767" s="132">
        <f t="shared" si="312"/>
        <v>0</v>
      </c>
      <c r="L2767" s="132">
        <f t="shared" si="313"/>
        <v>0</v>
      </c>
      <c r="M2767" s="133"/>
      <c r="N2767" s="133">
        <f t="shared" si="310"/>
        <v>0</v>
      </c>
      <c r="O2767" s="134"/>
      <c r="P2767" s="133"/>
      <c r="Q2767" s="2"/>
      <c r="R2767" s="156">
        <f t="shared" si="314"/>
        <v>0</v>
      </c>
      <c r="S2767" s="156">
        <f t="shared" si="315"/>
        <v>0</v>
      </c>
      <c r="T2767" s="133"/>
      <c r="U2767" s="133"/>
      <c r="V2767" s="133"/>
      <c r="W2767" s="133"/>
      <c r="X2767" s="133"/>
      <c r="Y2767" s="133"/>
      <c r="Z2767" s="133"/>
      <c r="AA2767" s="133"/>
      <c r="AB2767" s="133"/>
      <c r="AC2767" s="133"/>
      <c r="AD2767" s="133"/>
      <c r="AE2767" s="133"/>
      <c r="AF2767" s="133"/>
      <c r="AG2767" s="133"/>
      <c r="AH2767" s="133"/>
      <c r="AI2767" s="133"/>
      <c r="AJ2767" s="133"/>
      <c r="AK2767" s="133"/>
      <c r="AL2767" s="133"/>
      <c r="AM2767" s="133"/>
      <c r="AN2767" s="133"/>
      <c r="AO2767" s="133"/>
      <c r="AP2767" s="133"/>
      <c r="AQ2767" s="133"/>
      <c r="AR2767" s="133"/>
      <c r="AS2767" s="153">
        <v>0</v>
      </c>
      <c r="AT2767" s="153">
        <v>0</v>
      </c>
      <c r="AU2767" s="153">
        <v>0</v>
      </c>
      <c r="AV2767" s="135"/>
      <c r="AW2767" s="135"/>
      <c r="AX2767" s="135"/>
      <c r="AY2767" s="135"/>
      <c r="AZ2767" s="135"/>
      <c r="BA2767" s="135"/>
      <c r="BB2767" s="135"/>
      <c r="BC2767" s="135"/>
      <c r="BD2767" s="135"/>
      <c r="BE2767" s="135"/>
      <c r="BF2767" s="135"/>
      <c r="BG2767" s="135"/>
      <c r="BH2767" s="135"/>
      <c r="BI2767" s="2"/>
      <c r="BJ2767" s="136"/>
      <c r="BK2767" s="2"/>
      <c r="BL2767" s="136"/>
      <c r="BM2767" s="136"/>
      <c r="BN2767" s="2"/>
      <c r="BO2767" s="2"/>
      <c r="BP2767" s="136"/>
      <c r="BQ2767" s="137"/>
    </row>
    <row r="2768" spans="1:69" ht="12.75" customHeight="1" x14ac:dyDescent="0.2">
      <c r="A2768" s="2">
        <v>4257</v>
      </c>
      <c r="B2768" s="2"/>
      <c r="C2768" s="2"/>
      <c r="D2768" s="2"/>
      <c r="E2768" s="2"/>
      <c r="F2768" s="132">
        <v>0</v>
      </c>
      <c r="G2768" s="132"/>
      <c r="H2768" s="132">
        <f t="shared" si="311"/>
        <v>0</v>
      </c>
      <c r="I2768" s="132"/>
      <c r="J2768" s="132">
        <f t="shared" si="309"/>
        <v>0</v>
      </c>
      <c r="K2768" s="132">
        <f t="shared" si="312"/>
        <v>0</v>
      </c>
      <c r="L2768" s="132">
        <f t="shared" si="313"/>
        <v>0</v>
      </c>
      <c r="M2768" s="133"/>
      <c r="N2768" s="133">
        <f t="shared" si="310"/>
        <v>0</v>
      </c>
      <c r="O2768" s="134"/>
      <c r="P2768" s="133"/>
      <c r="Q2768" s="2"/>
      <c r="R2768" s="156">
        <f t="shared" si="314"/>
        <v>0</v>
      </c>
      <c r="S2768" s="156">
        <f t="shared" si="315"/>
        <v>0</v>
      </c>
      <c r="T2768" s="133"/>
      <c r="U2768" s="133"/>
      <c r="V2768" s="133"/>
      <c r="W2768" s="133"/>
      <c r="X2768" s="133"/>
      <c r="Y2768" s="133"/>
      <c r="Z2768" s="133"/>
      <c r="AA2768" s="133"/>
      <c r="AB2768" s="133"/>
      <c r="AC2768" s="133"/>
      <c r="AD2768" s="133"/>
      <c r="AE2768" s="133"/>
      <c r="AF2768" s="133"/>
      <c r="AG2768" s="133"/>
      <c r="AH2768" s="133"/>
      <c r="AI2768" s="133"/>
      <c r="AJ2768" s="133"/>
      <c r="AK2768" s="133"/>
      <c r="AL2768" s="133"/>
      <c r="AM2768" s="133"/>
      <c r="AN2768" s="133"/>
      <c r="AO2768" s="133"/>
      <c r="AP2768" s="133"/>
      <c r="AQ2768" s="133"/>
      <c r="AR2768" s="133"/>
      <c r="AS2768" s="153">
        <v>0</v>
      </c>
      <c r="AT2768" s="153">
        <v>0</v>
      </c>
      <c r="AU2768" s="153">
        <v>0</v>
      </c>
      <c r="AV2768" s="135"/>
      <c r="AW2768" s="135"/>
      <c r="AX2768" s="135"/>
      <c r="AY2768" s="135"/>
      <c r="AZ2768" s="135"/>
      <c r="BA2768" s="135"/>
      <c r="BB2768" s="135"/>
      <c r="BC2768" s="135"/>
      <c r="BD2768" s="135"/>
      <c r="BE2768" s="135"/>
      <c r="BF2768" s="135"/>
      <c r="BG2768" s="135"/>
      <c r="BH2768" s="135"/>
      <c r="BI2768" s="2"/>
      <c r="BJ2768" s="136"/>
      <c r="BK2768" s="2"/>
      <c r="BL2768" s="136"/>
      <c r="BM2768" s="136"/>
      <c r="BN2768" s="2"/>
      <c r="BO2768" s="2"/>
      <c r="BP2768" s="136"/>
      <c r="BQ2768" s="137"/>
    </row>
    <row r="2769" spans="1:69" ht="12.75" customHeight="1" x14ac:dyDescent="0.2">
      <c r="A2769" s="2">
        <v>4258</v>
      </c>
      <c r="B2769" s="2"/>
      <c r="C2769" s="2"/>
      <c r="D2769" s="2"/>
      <c r="E2769" s="2"/>
      <c r="F2769" s="132">
        <v>0</v>
      </c>
      <c r="G2769" s="132"/>
      <c r="H2769" s="132">
        <f t="shared" si="311"/>
        <v>0</v>
      </c>
      <c r="I2769" s="132"/>
      <c r="J2769" s="132">
        <f t="shared" si="309"/>
        <v>0</v>
      </c>
      <c r="K2769" s="132">
        <f t="shared" si="312"/>
        <v>0</v>
      </c>
      <c r="L2769" s="132">
        <f t="shared" si="313"/>
        <v>0</v>
      </c>
      <c r="M2769" s="133"/>
      <c r="N2769" s="133">
        <f t="shared" si="310"/>
        <v>0</v>
      </c>
      <c r="O2769" s="134"/>
      <c r="P2769" s="133"/>
      <c r="Q2769" s="2"/>
      <c r="R2769" s="156">
        <f t="shared" si="314"/>
        <v>0</v>
      </c>
      <c r="S2769" s="156">
        <f t="shared" si="315"/>
        <v>0</v>
      </c>
      <c r="T2769" s="133"/>
      <c r="U2769" s="133"/>
      <c r="V2769" s="133"/>
      <c r="W2769" s="133"/>
      <c r="X2769" s="133"/>
      <c r="Y2769" s="133"/>
      <c r="Z2769" s="133"/>
      <c r="AA2769" s="133"/>
      <c r="AB2769" s="133"/>
      <c r="AC2769" s="133"/>
      <c r="AD2769" s="133"/>
      <c r="AE2769" s="133"/>
      <c r="AF2769" s="133"/>
      <c r="AG2769" s="133"/>
      <c r="AH2769" s="133"/>
      <c r="AI2769" s="133"/>
      <c r="AJ2769" s="133"/>
      <c r="AK2769" s="133"/>
      <c r="AL2769" s="133"/>
      <c r="AM2769" s="133"/>
      <c r="AN2769" s="133"/>
      <c r="AO2769" s="133"/>
      <c r="AP2769" s="133"/>
      <c r="AQ2769" s="133"/>
      <c r="AR2769" s="133"/>
      <c r="AS2769" s="153">
        <v>0</v>
      </c>
      <c r="AT2769" s="153">
        <v>0</v>
      </c>
      <c r="AU2769" s="153">
        <v>0</v>
      </c>
      <c r="AV2769" s="135"/>
      <c r="AW2769" s="135"/>
      <c r="AX2769" s="135"/>
      <c r="AY2769" s="135"/>
      <c r="AZ2769" s="135"/>
      <c r="BA2769" s="135"/>
      <c r="BB2769" s="135"/>
      <c r="BC2769" s="135"/>
      <c r="BD2769" s="135"/>
      <c r="BE2769" s="135"/>
      <c r="BF2769" s="135"/>
      <c r="BG2769" s="135"/>
      <c r="BH2769" s="135"/>
      <c r="BI2769" s="2"/>
      <c r="BJ2769" s="136"/>
      <c r="BK2769" s="2"/>
      <c r="BL2769" s="136"/>
      <c r="BM2769" s="136"/>
      <c r="BN2769" s="2"/>
      <c r="BO2769" s="2"/>
      <c r="BP2769" s="136"/>
      <c r="BQ2769" s="137"/>
    </row>
    <row r="2770" spans="1:69" ht="12.75" customHeight="1" x14ac:dyDescent="0.2">
      <c r="A2770" s="2">
        <v>4259</v>
      </c>
      <c r="B2770" s="2"/>
      <c r="C2770" s="2"/>
      <c r="D2770" s="2"/>
      <c r="E2770" s="2"/>
      <c r="F2770" s="132">
        <v>0</v>
      </c>
      <c r="G2770" s="132"/>
      <c r="H2770" s="132">
        <f t="shared" si="311"/>
        <v>0</v>
      </c>
      <c r="I2770" s="132"/>
      <c r="J2770" s="132">
        <f t="shared" si="309"/>
        <v>0</v>
      </c>
      <c r="K2770" s="132">
        <f t="shared" si="312"/>
        <v>0</v>
      </c>
      <c r="L2770" s="132">
        <f t="shared" si="313"/>
        <v>0</v>
      </c>
      <c r="M2770" s="133"/>
      <c r="N2770" s="133">
        <f t="shared" si="310"/>
        <v>0</v>
      </c>
      <c r="O2770" s="134"/>
      <c r="P2770" s="133"/>
      <c r="Q2770" s="2"/>
      <c r="R2770" s="156">
        <f t="shared" si="314"/>
        <v>0</v>
      </c>
      <c r="S2770" s="156">
        <f t="shared" si="315"/>
        <v>0</v>
      </c>
      <c r="T2770" s="133"/>
      <c r="U2770" s="133"/>
      <c r="V2770" s="133"/>
      <c r="W2770" s="133"/>
      <c r="X2770" s="133"/>
      <c r="Y2770" s="133"/>
      <c r="Z2770" s="133"/>
      <c r="AA2770" s="133"/>
      <c r="AB2770" s="133"/>
      <c r="AC2770" s="133"/>
      <c r="AD2770" s="133"/>
      <c r="AE2770" s="133"/>
      <c r="AF2770" s="133"/>
      <c r="AG2770" s="133"/>
      <c r="AH2770" s="133"/>
      <c r="AI2770" s="133"/>
      <c r="AJ2770" s="133"/>
      <c r="AK2770" s="133"/>
      <c r="AL2770" s="133"/>
      <c r="AM2770" s="133"/>
      <c r="AN2770" s="133"/>
      <c r="AO2770" s="133"/>
      <c r="AP2770" s="133"/>
      <c r="AQ2770" s="133"/>
      <c r="AR2770" s="133"/>
      <c r="AS2770" s="153">
        <v>0</v>
      </c>
      <c r="AT2770" s="153">
        <v>0</v>
      </c>
      <c r="AU2770" s="153">
        <v>0</v>
      </c>
      <c r="AV2770" s="135"/>
      <c r="AW2770" s="135"/>
      <c r="AX2770" s="135"/>
      <c r="AY2770" s="135"/>
      <c r="AZ2770" s="135"/>
      <c r="BA2770" s="135"/>
      <c r="BB2770" s="135"/>
      <c r="BC2770" s="135"/>
      <c r="BD2770" s="135"/>
      <c r="BE2770" s="135"/>
      <c r="BF2770" s="135"/>
      <c r="BG2770" s="135"/>
      <c r="BH2770" s="135"/>
      <c r="BI2770" s="2"/>
      <c r="BJ2770" s="136"/>
      <c r="BK2770" s="2"/>
      <c r="BL2770" s="136"/>
      <c r="BM2770" s="136"/>
      <c r="BN2770" s="2"/>
      <c r="BO2770" s="2"/>
      <c r="BP2770" s="136"/>
      <c r="BQ2770" s="137"/>
    </row>
    <row r="2771" spans="1:69" ht="12.75" customHeight="1" x14ac:dyDescent="0.2">
      <c r="A2771" s="2">
        <v>4260</v>
      </c>
      <c r="B2771" s="2"/>
      <c r="C2771" s="2"/>
      <c r="D2771" s="2"/>
      <c r="E2771" s="2"/>
      <c r="F2771" s="132">
        <v>0</v>
      </c>
      <c r="G2771" s="132"/>
      <c r="H2771" s="132">
        <f t="shared" si="311"/>
        <v>0</v>
      </c>
      <c r="I2771" s="132"/>
      <c r="J2771" s="132">
        <f t="shared" si="309"/>
        <v>0</v>
      </c>
      <c r="K2771" s="132">
        <f t="shared" si="312"/>
        <v>0</v>
      </c>
      <c r="L2771" s="132">
        <f t="shared" si="313"/>
        <v>0</v>
      </c>
      <c r="M2771" s="133"/>
      <c r="N2771" s="133">
        <f t="shared" si="310"/>
        <v>0</v>
      </c>
      <c r="O2771" s="134"/>
      <c r="P2771" s="133"/>
      <c r="Q2771" s="2"/>
      <c r="R2771" s="156">
        <f t="shared" si="314"/>
        <v>0</v>
      </c>
      <c r="S2771" s="156">
        <f t="shared" si="315"/>
        <v>0</v>
      </c>
      <c r="T2771" s="133"/>
      <c r="U2771" s="133"/>
      <c r="V2771" s="133"/>
      <c r="W2771" s="133"/>
      <c r="X2771" s="133"/>
      <c r="Y2771" s="133"/>
      <c r="Z2771" s="133"/>
      <c r="AA2771" s="133"/>
      <c r="AB2771" s="133"/>
      <c r="AC2771" s="133"/>
      <c r="AD2771" s="133"/>
      <c r="AE2771" s="133"/>
      <c r="AF2771" s="133"/>
      <c r="AG2771" s="133"/>
      <c r="AH2771" s="133"/>
      <c r="AI2771" s="133"/>
      <c r="AJ2771" s="133"/>
      <c r="AK2771" s="133"/>
      <c r="AL2771" s="133"/>
      <c r="AM2771" s="133"/>
      <c r="AN2771" s="133"/>
      <c r="AO2771" s="133"/>
      <c r="AP2771" s="133"/>
      <c r="AQ2771" s="133"/>
      <c r="AR2771" s="133"/>
      <c r="AS2771" s="153">
        <v>0</v>
      </c>
      <c r="AT2771" s="153">
        <v>0</v>
      </c>
      <c r="AU2771" s="153">
        <v>0</v>
      </c>
      <c r="AV2771" s="135"/>
      <c r="AW2771" s="135"/>
      <c r="AX2771" s="135"/>
      <c r="AY2771" s="135"/>
      <c r="AZ2771" s="135"/>
      <c r="BA2771" s="135"/>
      <c r="BB2771" s="135"/>
      <c r="BC2771" s="135"/>
      <c r="BD2771" s="135"/>
      <c r="BE2771" s="135"/>
      <c r="BF2771" s="135"/>
      <c r="BG2771" s="135"/>
      <c r="BH2771" s="135"/>
      <c r="BI2771" s="2"/>
      <c r="BJ2771" s="136"/>
      <c r="BK2771" s="2"/>
      <c r="BL2771" s="136"/>
      <c r="BM2771" s="136"/>
      <c r="BN2771" s="2"/>
      <c r="BO2771" s="2"/>
      <c r="BP2771" s="136"/>
      <c r="BQ2771" s="137"/>
    </row>
    <row r="2772" spans="1:69" ht="12.75" customHeight="1" x14ac:dyDescent="0.2">
      <c r="A2772" s="2">
        <v>4261</v>
      </c>
      <c r="B2772" s="2"/>
      <c r="C2772" s="2"/>
      <c r="D2772" s="2"/>
      <c r="E2772" s="2"/>
      <c r="F2772" s="132">
        <v>0</v>
      </c>
      <c r="G2772" s="132"/>
      <c r="H2772" s="132">
        <f t="shared" si="311"/>
        <v>0</v>
      </c>
      <c r="I2772" s="132"/>
      <c r="J2772" s="132">
        <f t="shared" si="309"/>
        <v>0</v>
      </c>
      <c r="K2772" s="132">
        <f t="shared" si="312"/>
        <v>0</v>
      </c>
      <c r="L2772" s="132">
        <f t="shared" si="313"/>
        <v>0</v>
      </c>
      <c r="M2772" s="133"/>
      <c r="N2772" s="133">
        <f t="shared" si="310"/>
        <v>0</v>
      </c>
      <c r="O2772" s="134"/>
      <c r="P2772" s="133"/>
      <c r="Q2772" s="2"/>
      <c r="R2772" s="156">
        <f t="shared" si="314"/>
        <v>0</v>
      </c>
      <c r="S2772" s="156">
        <f t="shared" si="315"/>
        <v>0</v>
      </c>
      <c r="T2772" s="133"/>
      <c r="U2772" s="133"/>
      <c r="V2772" s="133"/>
      <c r="W2772" s="133"/>
      <c r="X2772" s="133"/>
      <c r="Y2772" s="133"/>
      <c r="Z2772" s="133"/>
      <c r="AA2772" s="133"/>
      <c r="AB2772" s="133"/>
      <c r="AC2772" s="133"/>
      <c r="AD2772" s="133"/>
      <c r="AE2772" s="133"/>
      <c r="AF2772" s="133"/>
      <c r="AG2772" s="133"/>
      <c r="AH2772" s="133"/>
      <c r="AI2772" s="133"/>
      <c r="AJ2772" s="133"/>
      <c r="AK2772" s="133"/>
      <c r="AL2772" s="133"/>
      <c r="AM2772" s="133"/>
      <c r="AN2772" s="133"/>
      <c r="AO2772" s="133"/>
      <c r="AP2772" s="133"/>
      <c r="AQ2772" s="133"/>
      <c r="AR2772" s="133"/>
      <c r="AS2772" s="153">
        <v>0</v>
      </c>
      <c r="AT2772" s="153">
        <v>0</v>
      </c>
      <c r="AU2772" s="153">
        <v>0</v>
      </c>
      <c r="AV2772" s="135"/>
      <c r="AW2772" s="135"/>
      <c r="AX2772" s="135"/>
      <c r="AY2772" s="135"/>
      <c r="AZ2772" s="135"/>
      <c r="BA2772" s="135"/>
      <c r="BB2772" s="135"/>
      <c r="BC2772" s="135"/>
      <c r="BD2772" s="135"/>
      <c r="BE2772" s="135"/>
      <c r="BF2772" s="135"/>
      <c r="BG2772" s="135"/>
      <c r="BH2772" s="135"/>
      <c r="BI2772" s="2"/>
      <c r="BJ2772" s="136"/>
      <c r="BK2772" s="2"/>
      <c r="BL2772" s="136"/>
      <c r="BM2772" s="136"/>
      <c r="BN2772" s="2"/>
      <c r="BO2772" s="2"/>
      <c r="BP2772" s="136"/>
      <c r="BQ2772" s="137"/>
    </row>
    <row r="2773" spans="1:69" ht="12.75" customHeight="1" x14ac:dyDescent="0.2">
      <c r="A2773" s="2">
        <v>4262</v>
      </c>
      <c r="B2773" s="2"/>
      <c r="C2773" s="2"/>
      <c r="D2773" s="2"/>
      <c r="E2773" s="2"/>
      <c r="F2773" s="132">
        <v>0</v>
      </c>
      <c r="G2773" s="132"/>
      <c r="H2773" s="132">
        <f t="shared" si="311"/>
        <v>0</v>
      </c>
      <c r="I2773" s="132"/>
      <c r="J2773" s="132">
        <f t="shared" si="309"/>
        <v>0</v>
      </c>
      <c r="K2773" s="132">
        <f t="shared" si="312"/>
        <v>0</v>
      </c>
      <c r="L2773" s="132">
        <f t="shared" si="313"/>
        <v>0</v>
      </c>
      <c r="M2773" s="133"/>
      <c r="N2773" s="133">
        <f t="shared" si="310"/>
        <v>0</v>
      </c>
      <c r="O2773" s="134"/>
      <c r="P2773" s="133"/>
      <c r="Q2773" s="2"/>
      <c r="R2773" s="156">
        <f t="shared" si="314"/>
        <v>0</v>
      </c>
      <c r="S2773" s="156">
        <f t="shared" si="315"/>
        <v>0</v>
      </c>
      <c r="T2773" s="133"/>
      <c r="U2773" s="133"/>
      <c r="V2773" s="133"/>
      <c r="W2773" s="133"/>
      <c r="X2773" s="133"/>
      <c r="Y2773" s="133"/>
      <c r="Z2773" s="133"/>
      <c r="AA2773" s="133"/>
      <c r="AB2773" s="133"/>
      <c r="AC2773" s="133"/>
      <c r="AD2773" s="133"/>
      <c r="AE2773" s="133"/>
      <c r="AF2773" s="133"/>
      <c r="AG2773" s="133"/>
      <c r="AH2773" s="133"/>
      <c r="AI2773" s="133"/>
      <c r="AJ2773" s="133"/>
      <c r="AK2773" s="133"/>
      <c r="AL2773" s="133"/>
      <c r="AM2773" s="133"/>
      <c r="AN2773" s="133"/>
      <c r="AO2773" s="133"/>
      <c r="AP2773" s="133"/>
      <c r="AQ2773" s="133"/>
      <c r="AR2773" s="133"/>
      <c r="AS2773" s="153">
        <v>0</v>
      </c>
      <c r="AT2773" s="153">
        <v>0</v>
      </c>
      <c r="AU2773" s="153">
        <v>0</v>
      </c>
      <c r="AV2773" s="135"/>
      <c r="AW2773" s="135"/>
      <c r="AX2773" s="135"/>
      <c r="AY2773" s="135"/>
      <c r="AZ2773" s="135"/>
      <c r="BA2773" s="135"/>
      <c r="BB2773" s="135"/>
      <c r="BC2773" s="135"/>
      <c r="BD2773" s="135"/>
      <c r="BE2773" s="135"/>
      <c r="BF2773" s="135"/>
      <c r="BG2773" s="135"/>
      <c r="BH2773" s="135"/>
      <c r="BI2773" s="2"/>
      <c r="BJ2773" s="136"/>
      <c r="BK2773" s="2"/>
      <c r="BL2773" s="136"/>
      <c r="BM2773" s="136"/>
      <c r="BN2773" s="2"/>
      <c r="BO2773" s="2"/>
      <c r="BP2773" s="136"/>
      <c r="BQ2773" s="137"/>
    </row>
    <row r="2774" spans="1:69" ht="12.75" customHeight="1" x14ac:dyDescent="0.2">
      <c r="A2774" s="2">
        <v>4263</v>
      </c>
      <c r="B2774" s="2"/>
      <c r="C2774" s="2"/>
      <c r="D2774" s="2"/>
      <c r="E2774" s="2"/>
      <c r="F2774" s="132">
        <v>0</v>
      </c>
      <c r="G2774" s="132"/>
      <c r="H2774" s="132">
        <f t="shared" si="311"/>
        <v>0</v>
      </c>
      <c r="I2774" s="132"/>
      <c r="J2774" s="132">
        <f t="shared" si="309"/>
        <v>0</v>
      </c>
      <c r="K2774" s="132">
        <f t="shared" si="312"/>
        <v>0</v>
      </c>
      <c r="L2774" s="132">
        <f t="shared" si="313"/>
        <v>0</v>
      </c>
      <c r="M2774" s="133"/>
      <c r="N2774" s="133">
        <f t="shared" si="310"/>
        <v>0</v>
      </c>
      <c r="O2774" s="134"/>
      <c r="P2774" s="133"/>
      <c r="Q2774" s="2"/>
      <c r="R2774" s="156">
        <f t="shared" si="314"/>
        <v>0</v>
      </c>
      <c r="S2774" s="156">
        <f t="shared" si="315"/>
        <v>0</v>
      </c>
      <c r="T2774" s="133"/>
      <c r="U2774" s="133"/>
      <c r="V2774" s="133"/>
      <c r="W2774" s="133"/>
      <c r="X2774" s="133"/>
      <c r="Y2774" s="133"/>
      <c r="Z2774" s="133"/>
      <c r="AA2774" s="133"/>
      <c r="AB2774" s="133"/>
      <c r="AC2774" s="133"/>
      <c r="AD2774" s="133"/>
      <c r="AE2774" s="133"/>
      <c r="AF2774" s="133"/>
      <c r="AG2774" s="133"/>
      <c r="AH2774" s="133"/>
      <c r="AI2774" s="133"/>
      <c r="AJ2774" s="133"/>
      <c r="AK2774" s="133"/>
      <c r="AL2774" s="133"/>
      <c r="AM2774" s="133"/>
      <c r="AN2774" s="133"/>
      <c r="AO2774" s="133"/>
      <c r="AP2774" s="133"/>
      <c r="AQ2774" s="133"/>
      <c r="AR2774" s="133"/>
      <c r="AS2774" s="153">
        <v>0</v>
      </c>
      <c r="AT2774" s="153">
        <v>0</v>
      </c>
      <c r="AU2774" s="153">
        <v>0</v>
      </c>
      <c r="AV2774" s="135"/>
      <c r="AW2774" s="135"/>
      <c r="AX2774" s="135"/>
      <c r="AY2774" s="135"/>
      <c r="AZ2774" s="135"/>
      <c r="BA2774" s="135"/>
      <c r="BB2774" s="135"/>
      <c r="BC2774" s="135"/>
      <c r="BD2774" s="135"/>
      <c r="BE2774" s="135"/>
      <c r="BF2774" s="135"/>
      <c r="BG2774" s="135"/>
      <c r="BH2774" s="135"/>
      <c r="BI2774" s="2"/>
      <c r="BJ2774" s="136"/>
      <c r="BK2774" s="2"/>
      <c r="BL2774" s="136"/>
      <c r="BM2774" s="136"/>
      <c r="BN2774" s="2"/>
      <c r="BO2774" s="2"/>
      <c r="BP2774" s="136"/>
      <c r="BQ2774" s="137"/>
    </row>
    <row r="2775" spans="1:69" ht="12.75" customHeight="1" x14ac:dyDescent="0.2">
      <c r="A2775" s="2">
        <v>4264</v>
      </c>
      <c r="B2775" s="2"/>
      <c r="C2775" s="2"/>
      <c r="D2775" s="2"/>
      <c r="E2775" s="2"/>
      <c r="F2775" s="132">
        <v>0</v>
      </c>
      <c r="G2775" s="132"/>
      <c r="H2775" s="132">
        <f t="shared" si="311"/>
        <v>0</v>
      </c>
      <c r="I2775" s="132"/>
      <c r="J2775" s="132">
        <f t="shared" si="309"/>
        <v>0</v>
      </c>
      <c r="K2775" s="132">
        <f t="shared" si="312"/>
        <v>0</v>
      </c>
      <c r="L2775" s="132">
        <f t="shared" si="313"/>
        <v>0</v>
      </c>
      <c r="M2775" s="133"/>
      <c r="N2775" s="133">
        <f t="shared" si="310"/>
        <v>0</v>
      </c>
      <c r="O2775" s="134"/>
      <c r="P2775" s="133"/>
      <c r="Q2775" s="2"/>
      <c r="R2775" s="156">
        <f t="shared" si="314"/>
        <v>0</v>
      </c>
      <c r="S2775" s="156">
        <f t="shared" si="315"/>
        <v>0</v>
      </c>
      <c r="T2775" s="133"/>
      <c r="U2775" s="133"/>
      <c r="V2775" s="133"/>
      <c r="W2775" s="133"/>
      <c r="X2775" s="133"/>
      <c r="Y2775" s="133"/>
      <c r="Z2775" s="133"/>
      <c r="AA2775" s="133"/>
      <c r="AB2775" s="133"/>
      <c r="AC2775" s="133"/>
      <c r="AD2775" s="133"/>
      <c r="AE2775" s="133"/>
      <c r="AF2775" s="133"/>
      <c r="AG2775" s="133"/>
      <c r="AH2775" s="133"/>
      <c r="AI2775" s="133"/>
      <c r="AJ2775" s="133"/>
      <c r="AK2775" s="133"/>
      <c r="AL2775" s="133"/>
      <c r="AM2775" s="133"/>
      <c r="AN2775" s="133"/>
      <c r="AO2775" s="133"/>
      <c r="AP2775" s="133"/>
      <c r="AQ2775" s="133"/>
      <c r="AR2775" s="133"/>
      <c r="AS2775" s="153">
        <v>0</v>
      </c>
      <c r="AT2775" s="153">
        <v>0</v>
      </c>
      <c r="AU2775" s="153">
        <v>0</v>
      </c>
      <c r="AV2775" s="135"/>
      <c r="AW2775" s="135"/>
      <c r="AX2775" s="135"/>
      <c r="AY2775" s="135"/>
      <c r="AZ2775" s="135"/>
      <c r="BA2775" s="135"/>
      <c r="BB2775" s="135"/>
      <c r="BC2775" s="135"/>
      <c r="BD2775" s="135"/>
      <c r="BE2775" s="135"/>
      <c r="BF2775" s="135"/>
      <c r="BG2775" s="135"/>
      <c r="BH2775" s="135"/>
      <c r="BI2775" s="2"/>
      <c r="BJ2775" s="136"/>
      <c r="BK2775" s="2"/>
      <c r="BL2775" s="136"/>
      <c r="BM2775" s="136"/>
      <c r="BN2775" s="2"/>
      <c r="BO2775" s="2"/>
      <c r="BP2775" s="136"/>
      <c r="BQ2775" s="137"/>
    </row>
    <row r="2776" spans="1:69" ht="12.75" customHeight="1" x14ac:dyDescent="0.2">
      <c r="A2776" s="2">
        <v>4265</v>
      </c>
      <c r="B2776" s="2"/>
      <c r="C2776" s="2"/>
      <c r="D2776" s="2"/>
      <c r="E2776" s="2"/>
      <c r="F2776" s="132">
        <v>0</v>
      </c>
      <c r="G2776" s="132"/>
      <c r="H2776" s="132">
        <f t="shared" si="311"/>
        <v>0</v>
      </c>
      <c r="I2776" s="132"/>
      <c r="J2776" s="132">
        <f t="shared" si="309"/>
        <v>0</v>
      </c>
      <c r="K2776" s="132">
        <f t="shared" si="312"/>
        <v>0</v>
      </c>
      <c r="L2776" s="132">
        <f t="shared" si="313"/>
        <v>0</v>
      </c>
      <c r="M2776" s="133"/>
      <c r="N2776" s="133">
        <f t="shared" si="310"/>
        <v>0</v>
      </c>
      <c r="O2776" s="134"/>
      <c r="P2776" s="133"/>
      <c r="Q2776" s="2"/>
      <c r="R2776" s="156">
        <f t="shared" si="314"/>
        <v>0</v>
      </c>
      <c r="S2776" s="156">
        <f t="shared" si="315"/>
        <v>0</v>
      </c>
      <c r="T2776" s="133"/>
      <c r="U2776" s="133"/>
      <c r="V2776" s="133"/>
      <c r="W2776" s="133"/>
      <c r="X2776" s="133"/>
      <c r="Y2776" s="133"/>
      <c r="Z2776" s="133"/>
      <c r="AA2776" s="133"/>
      <c r="AB2776" s="133"/>
      <c r="AC2776" s="133"/>
      <c r="AD2776" s="133"/>
      <c r="AE2776" s="133"/>
      <c r="AF2776" s="133"/>
      <c r="AG2776" s="133"/>
      <c r="AH2776" s="133"/>
      <c r="AI2776" s="133"/>
      <c r="AJ2776" s="133"/>
      <c r="AK2776" s="133"/>
      <c r="AL2776" s="133"/>
      <c r="AM2776" s="133"/>
      <c r="AN2776" s="133"/>
      <c r="AO2776" s="133"/>
      <c r="AP2776" s="133"/>
      <c r="AQ2776" s="133"/>
      <c r="AR2776" s="133"/>
      <c r="AS2776" s="153">
        <v>0</v>
      </c>
      <c r="AT2776" s="153">
        <v>0</v>
      </c>
      <c r="AU2776" s="153">
        <v>0</v>
      </c>
      <c r="AV2776" s="135"/>
      <c r="AW2776" s="135"/>
      <c r="AX2776" s="135"/>
      <c r="AY2776" s="135"/>
      <c r="AZ2776" s="135"/>
      <c r="BA2776" s="135"/>
      <c r="BB2776" s="135"/>
      <c r="BC2776" s="135"/>
      <c r="BD2776" s="135"/>
      <c r="BE2776" s="135"/>
      <c r="BF2776" s="135"/>
      <c r="BG2776" s="135"/>
      <c r="BH2776" s="135"/>
      <c r="BI2776" s="2"/>
      <c r="BJ2776" s="136"/>
      <c r="BK2776" s="2"/>
      <c r="BL2776" s="136"/>
      <c r="BM2776" s="136"/>
      <c r="BN2776" s="2"/>
      <c r="BO2776" s="2"/>
      <c r="BP2776" s="136"/>
      <c r="BQ2776" s="137"/>
    </row>
    <row r="2777" spans="1:69" ht="12.75" customHeight="1" x14ac:dyDescent="0.2">
      <c r="A2777" s="2">
        <v>4266</v>
      </c>
      <c r="B2777" s="2"/>
      <c r="C2777" s="2"/>
      <c r="D2777" s="2"/>
      <c r="E2777" s="2"/>
      <c r="F2777" s="132">
        <v>0</v>
      </c>
      <c r="G2777" s="132"/>
      <c r="H2777" s="132">
        <f t="shared" si="311"/>
        <v>0</v>
      </c>
      <c r="I2777" s="132"/>
      <c r="J2777" s="132">
        <f t="shared" si="309"/>
        <v>0</v>
      </c>
      <c r="K2777" s="132">
        <f t="shared" si="312"/>
        <v>0</v>
      </c>
      <c r="L2777" s="132">
        <f t="shared" si="313"/>
        <v>0</v>
      </c>
      <c r="M2777" s="133"/>
      <c r="N2777" s="133">
        <f t="shared" si="310"/>
        <v>0</v>
      </c>
      <c r="O2777" s="134"/>
      <c r="P2777" s="133"/>
      <c r="Q2777" s="2"/>
      <c r="R2777" s="156">
        <f t="shared" si="314"/>
        <v>0</v>
      </c>
      <c r="S2777" s="156">
        <f t="shared" si="315"/>
        <v>0</v>
      </c>
      <c r="T2777" s="133"/>
      <c r="U2777" s="133"/>
      <c r="V2777" s="133"/>
      <c r="W2777" s="133"/>
      <c r="X2777" s="133"/>
      <c r="Y2777" s="133"/>
      <c r="Z2777" s="133"/>
      <c r="AA2777" s="133"/>
      <c r="AB2777" s="133"/>
      <c r="AC2777" s="133"/>
      <c r="AD2777" s="133"/>
      <c r="AE2777" s="133"/>
      <c r="AF2777" s="133"/>
      <c r="AG2777" s="133"/>
      <c r="AH2777" s="133"/>
      <c r="AI2777" s="133"/>
      <c r="AJ2777" s="133"/>
      <c r="AK2777" s="133"/>
      <c r="AL2777" s="133"/>
      <c r="AM2777" s="133"/>
      <c r="AN2777" s="133"/>
      <c r="AO2777" s="133"/>
      <c r="AP2777" s="133"/>
      <c r="AQ2777" s="133"/>
      <c r="AR2777" s="133"/>
      <c r="AS2777" s="153">
        <v>0</v>
      </c>
      <c r="AT2777" s="153">
        <v>0</v>
      </c>
      <c r="AU2777" s="153">
        <v>0</v>
      </c>
      <c r="AV2777" s="135"/>
      <c r="AW2777" s="135"/>
      <c r="AX2777" s="135"/>
      <c r="AY2777" s="135"/>
      <c r="AZ2777" s="135"/>
      <c r="BA2777" s="135"/>
      <c r="BB2777" s="135"/>
      <c r="BC2777" s="135"/>
      <c r="BD2777" s="135"/>
      <c r="BE2777" s="135"/>
      <c r="BF2777" s="135"/>
      <c r="BG2777" s="135"/>
      <c r="BH2777" s="135"/>
      <c r="BI2777" s="2"/>
      <c r="BJ2777" s="136"/>
      <c r="BK2777" s="2"/>
      <c r="BL2777" s="136"/>
      <c r="BM2777" s="136"/>
      <c r="BN2777" s="2"/>
      <c r="BO2777" s="2"/>
      <c r="BP2777" s="136"/>
      <c r="BQ2777" s="137"/>
    </row>
    <row r="2778" spans="1:69" ht="12.75" customHeight="1" x14ac:dyDescent="0.2">
      <c r="A2778" s="2">
        <v>4267</v>
      </c>
      <c r="B2778" s="2"/>
      <c r="C2778" s="2"/>
      <c r="D2778" s="2"/>
      <c r="E2778" s="2"/>
      <c r="F2778" s="132">
        <v>0</v>
      </c>
      <c r="G2778" s="132"/>
      <c r="H2778" s="132">
        <f t="shared" si="311"/>
        <v>0</v>
      </c>
      <c r="I2778" s="132"/>
      <c r="J2778" s="132">
        <f t="shared" si="309"/>
        <v>0</v>
      </c>
      <c r="K2778" s="132">
        <f t="shared" si="312"/>
        <v>0</v>
      </c>
      <c r="L2778" s="132">
        <f t="shared" si="313"/>
        <v>0</v>
      </c>
      <c r="M2778" s="133"/>
      <c r="N2778" s="133">
        <f t="shared" si="310"/>
        <v>0</v>
      </c>
      <c r="O2778" s="134"/>
      <c r="P2778" s="133"/>
      <c r="Q2778" s="2"/>
      <c r="R2778" s="156">
        <f t="shared" si="314"/>
        <v>0</v>
      </c>
      <c r="S2778" s="156">
        <f t="shared" si="315"/>
        <v>0</v>
      </c>
      <c r="T2778" s="133"/>
      <c r="U2778" s="133"/>
      <c r="V2778" s="133"/>
      <c r="W2778" s="133"/>
      <c r="X2778" s="133"/>
      <c r="Y2778" s="133"/>
      <c r="Z2778" s="133"/>
      <c r="AA2778" s="133"/>
      <c r="AB2778" s="133"/>
      <c r="AC2778" s="133"/>
      <c r="AD2778" s="133"/>
      <c r="AE2778" s="133"/>
      <c r="AF2778" s="133"/>
      <c r="AG2778" s="133"/>
      <c r="AH2778" s="133"/>
      <c r="AI2778" s="133"/>
      <c r="AJ2778" s="133"/>
      <c r="AK2778" s="133"/>
      <c r="AL2778" s="133"/>
      <c r="AM2778" s="133"/>
      <c r="AN2778" s="133"/>
      <c r="AO2778" s="133"/>
      <c r="AP2778" s="133"/>
      <c r="AQ2778" s="133"/>
      <c r="AR2778" s="133"/>
      <c r="AS2778" s="153">
        <v>0</v>
      </c>
      <c r="AT2778" s="153">
        <v>0</v>
      </c>
      <c r="AU2778" s="153">
        <v>0</v>
      </c>
      <c r="AV2778" s="135"/>
      <c r="AW2778" s="135"/>
      <c r="AX2778" s="135"/>
      <c r="AY2778" s="135"/>
      <c r="AZ2778" s="135"/>
      <c r="BA2778" s="135"/>
      <c r="BB2778" s="135"/>
      <c r="BC2778" s="135"/>
      <c r="BD2778" s="135"/>
      <c r="BE2778" s="135"/>
      <c r="BF2778" s="135"/>
      <c r="BG2778" s="135"/>
      <c r="BH2778" s="135"/>
      <c r="BI2778" s="2"/>
      <c r="BJ2778" s="136"/>
      <c r="BK2778" s="2"/>
      <c r="BL2778" s="136"/>
      <c r="BM2778" s="136"/>
      <c r="BN2778" s="2"/>
      <c r="BO2778" s="2"/>
      <c r="BP2778" s="136"/>
      <c r="BQ2778" s="137"/>
    </row>
    <row r="2779" spans="1:69" ht="12.75" customHeight="1" x14ac:dyDescent="0.2">
      <c r="A2779" s="2">
        <v>4268</v>
      </c>
      <c r="B2779" s="2"/>
      <c r="C2779" s="2"/>
      <c r="D2779" s="2"/>
      <c r="E2779" s="2"/>
      <c r="F2779" s="132">
        <v>0</v>
      </c>
      <c r="G2779" s="132"/>
      <c r="H2779" s="132">
        <f t="shared" si="311"/>
        <v>0</v>
      </c>
      <c r="I2779" s="132"/>
      <c r="J2779" s="132">
        <f t="shared" si="309"/>
        <v>0</v>
      </c>
      <c r="K2779" s="132">
        <f t="shared" si="312"/>
        <v>0</v>
      </c>
      <c r="L2779" s="132">
        <f t="shared" si="313"/>
        <v>0</v>
      </c>
      <c r="M2779" s="133"/>
      <c r="N2779" s="133">
        <f t="shared" si="310"/>
        <v>0</v>
      </c>
      <c r="O2779" s="134"/>
      <c r="P2779" s="133"/>
      <c r="Q2779" s="2"/>
      <c r="R2779" s="156">
        <f t="shared" si="314"/>
        <v>0</v>
      </c>
      <c r="S2779" s="156">
        <f t="shared" si="315"/>
        <v>0</v>
      </c>
      <c r="T2779" s="133"/>
      <c r="U2779" s="133"/>
      <c r="V2779" s="133"/>
      <c r="W2779" s="133"/>
      <c r="X2779" s="133"/>
      <c r="Y2779" s="133"/>
      <c r="Z2779" s="133"/>
      <c r="AA2779" s="133"/>
      <c r="AB2779" s="133"/>
      <c r="AC2779" s="133"/>
      <c r="AD2779" s="133"/>
      <c r="AE2779" s="133"/>
      <c r="AF2779" s="133"/>
      <c r="AG2779" s="133"/>
      <c r="AH2779" s="133"/>
      <c r="AI2779" s="133"/>
      <c r="AJ2779" s="133"/>
      <c r="AK2779" s="133"/>
      <c r="AL2779" s="133"/>
      <c r="AM2779" s="133"/>
      <c r="AN2779" s="133"/>
      <c r="AO2779" s="133"/>
      <c r="AP2779" s="133"/>
      <c r="AQ2779" s="133"/>
      <c r="AR2779" s="133"/>
      <c r="AS2779" s="153">
        <v>0</v>
      </c>
      <c r="AT2779" s="153">
        <v>0</v>
      </c>
      <c r="AU2779" s="153">
        <v>0</v>
      </c>
      <c r="AV2779" s="135"/>
      <c r="AW2779" s="135"/>
      <c r="AX2779" s="135"/>
      <c r="AY2779" s="135"/>
      <c r="AZ2779" s="135"/>
      <c r="BA2779" s="135"/>
      <c r="BB2779" s="135"/>
      <c r="BC2779" s="135"/>
      <c r="BD2779" s="135"/>
      <c r="BE2779" s="135"/>
      <c r="BF2779" s="135"/>
      <c r="BG2779" s="135"/>
      <c r="BH2779" s="135"/>
      <c r="BI2779" s="2"/>
      <c r="BJ2779" s="136"/>
      <c r="BK2779" s="2"/>
      <c r="BL2779" s="136"/>
      <c r="BM2779" s="136"/>
      <c r="BN2779" s="2"/>
      <c r="BO2779" s="2"/>
      <c r="BP2779" s="136"/>
      <c r="BQ2779" s="137"/>
    </row>
    <row r="2780" spans="1:69" ht="12.75" customHeight="1" x14ac:dyDescent="0.2">
      <c r="A2780" s="2">
        <v>4269</v>
      </c>
      <c r="B2780" s="2"/>
      <c r="C2780" s="2"/>
      <c r="D2780" s="2"/>
      <c r="E2780" s="2"/>
      <c r="F2780" s="132">
        <v>0</v>
      </c>
      <c r="G2780" s="132"/>
      <c r="H2780" s="132">
        <f t="shared" si="311"/>
        <v>0</v>
      </c>
      <c r="I2780" s="132"/>
      <c r="J2780" s="132">
        <f t="shared" si="309"/>
        <v>0</v>
      </c>
      <c r="K2780" s="132">
        <f t="shared" si="312"/>
        <v>0</v>
      </c>
      <c r="L2780" s="132">
        <f t="shared" si="313"/>
        <v>0</v>
      </c>
      <c r="M2780" s="133"/>
      <c r="N2780" s="133">
        <f t="shared" si="310"/>
        <v>0</v>
      </c>
      <c r="O2780" s="134"/>
      <c r="P2780" s="133"/>
      <c r="Q2780" s="2"/>
      <c r="R2780" s="156">
        <f t="shared" si="314"/>
        <v>0</v>
      </c>
      <c r="S2780" s="156">
        <f t="shared" si="315"/>
        <v>0</v>
      </c>
      <c r="T2780" s="133"/>
      <c r="U2780" s="133"/>
      <c r="V2780" s="133"/>
      <c r="W2780" s="133"/>
      <c r="X2780" s="133"/>
      <c r="Y2780" s="133"/>
      <c r="Z2780" s="133"/>
      <c r="AA2780" s="133"/>
      <c r="AB2780" s="133"/>
      <c r="AC2780" s="133"/>
      <c r="AD2780" s="133"/>
      <c r="AE2780" s="133"/>
      <c r="AF2780" s="133"/>
      <c r="AG2780" s="133"/>
      <c r="AH2780" s="133"/>
      <c r="AI2780" s="133"/>
      <c r="AJ2780" s="133"/>
      <c r="AK2780" s="133"/>
      <c r="AL2780" s="133"/>
      <c r="AM2780" s="133"/>
      <c r="AN2780" s="133"/>
      <c r="AO2780" s="133"/>
      <c r="AP2780" s="133"/>
      <c r="AQ2780" s="133"/>
      <c r="AR2780" s="133"/>
      <c r="AS2780" s="153">
        <v>0</v>
      </c>
      <c r="AT2780" s="153">
        <v>0</v>
      </c>
      <c r="AU2780" s="153">
        <v>0</v>
      </c>
      <c r="AV2780" s="135"/>
      <c r="AW2780" s="135"/>
      <c r="AX2780" s="135"/>
      <c r="AY2780" s="135"/>
      <c r="AZ2780" s="135"/>
      <c r="BA2780" s="135"/>
      <c r="BB2780" s="135"/>
      <c r="BC2780" s="135"/>
      <c r="BD2780" s="135"/>
      <c r="BE2780" s="135"/>
      <c r="BF2780" s="135"/>
      <c r="BG2780" s="135"/>
      <c r="BH2780" s="135"/>
      <c r="BI2780" s="2"/>
      <c r="BJ2780" s="136"/>
      <c r="BK2780" s="2"/>
      <c r="BL2780" s="136"/>
      <c r="BM2780" s="136"/>
      <c r="BN2780" s="2"/>
      <c r="BO2780" s="2"/>
      <c r="BP2780" s="136"/>
      <c r="BQ2780" s="137"/>
    </row>
    <row r="2781" spans="1:69" ht="12.75" customHeight="1" x14ac:dyDescent="0.2">
      <c r="A2781" s="2">
        <v>4270</v>
      </c>
      <c r="B2781" s="2"/>
      <c r="C2781" s="2"/>
      <c r="D2781" s="2"/>
      <c r="E2781" s="2"/>
      <c r="F2781" s="132">
        <v>0</v>
      </c>
      <c r="G2781" s="132"/>
      <c r="H2781" s="132">
        <f t="shared" si="311"/>
        <v>0</v>
      </c>
      <c r="I2781" s="132"/>
      <c r="J2781" s="132">
        <f t="shared" si="309"/>
        <v>0</v>
      </c>
      <c r="K2781" s="132">
        <f t="shared" si="312"/>
        <v>0</v>
      </c>
      <c r="L2781" s="132">
        <f t="shared" si="313"/>
        <v>0</v>
      </c>
      <c r="M2781" s="133"/>
      <c r="N2781" s="133">
        <f t="shared" si="310"/>
        <v>0</v>
      </c>
      <c r="O2781" s="134"/>
      <c r="P2781" s="133"/>
      <c r="Q2781" s="2"/>
      <c r="R2781" s="156">
        <f t="shared" si="314"/>
        <v>0</v>
      </c>
      <c r="S2781" s="156">
        <f t="shared" si="315"/>
        <v>0</v>
      </c>
      <c r="T2781" s="133"/>
      <c r="U2781" s="133"/>
      <c r="V2781" s="133"/>
      <c r="W2781" s="133"/>
      <c r="X2781" s="133"/>
      <c r="Y2781" s="133"/>
      <c r="Z2781" s="133"/>
      <c r="AA2781" s="133"/>
      <c r="AB2781" s="133"/>
      <c r="AC2781" s="133"/>
      <c r="AD2781" s="133"/>
      <c r="AE2781" s="133"/>
      <c r="AF2781" s="133"/>
      <c r="AG2781" s="133"/>
      <c r="AH2781" s="133"/>
      <c r="AI2781" s="133"/>
      <c r="AJ2781" s="133"/>
      <c r="AK2781" s="133"/>
      <c r="AL2781" s="133"/>
      <c r="AM2781" s="133"/>
      <c r="AN2781" s="133"/>
      <c r="AO2781" s="133"/>
      <c r="AP2781" s="133"/>
      <c r="AQ2781" s="133"/>
      <c r="AR2781" s="133"/>
      <c r="AS2781" s="153">
        <v>0</v>
      </c>
      <c r="AT2781" s="153">
        <v>0</v>
      </c>
      <c r="AU2781" s="153">
        <v>0</v>
      </c>
      <c r="AV2781" s="135"/>
      <c r="AW2781" s="135"/>
      <c r="AX2781" s="135"/>
      <c r="AY2781" s="135"/>
      <c r="AZ2781" s="135"/>
      <c r="BA2781" s="135"/>
      <c r="BB2781" s="135"/>
      <c r="BC2781" s="135"/>
      <c r="BD2781" s="135"/>
      <c r="BE2781" s="135"/>
      <c r="BF2781" s="135"/>
      <c r="BG2781" s="135"/>
      <c r="BH2781" s="135"/>
      <c r="BI2781" s="2"/>
      <c r="BJ2781" s="136"/>
      <c r="BK2781" s="2"/>
      <c r="BL2781" s="136"/>
      <c r="BM2781" s="136"/>
      <c r="BN2781" s="2"/>
      <c r="BO2781" s="2"/>
      <c r="BP2781" s="136"/>
      <c r="BQ2781" s="137"/>
    </row>
    <row r="2782" spans="1:69" ht="12.75" customHeight="1" x14ac:dyDescent="0.2">
      <c r="A2782" s="2">
        <v>4271</v>
      </c>
      <c r="B2782" s="2"/>
      <c r="C2782" s="2"/>
      <c r="D2782" s="2"/>
      <c r="E2782" s="2"/>
      <c r="F2782" s="132">
        <v>0</v>
      </c>
      <c r="G2782" s="132"/>
      <c r="H2782" s="132">
        <f t="shared" si="311"/>
        <v>0</v>
      </c>
      <c r="I2782" s="132"/>
      <c r="J2782" s="132">
        <f t="shared" si="309"/>
        <v>0</v>
      </c>
      <c r="K2782" s="132">
        <f t="shared" si="312"/>
        <v>0</v>
      </c>
      <c r="L2782" s="132">
        <f t="shared" si="313"/>
        <v>0</v>
      </c>
      <c r="M2782" s="133"/>
      <c r="N2782" s="133">
        <f t="shared" si="310"/>
        <v>0</v>
      </c>
      <c r="O2782" s="134"/>
      <c r="P2782" s="133"/>
      <c r="Q2782" s="2"/>
      <c r="R2782" s="156">
        <f t="shared" si="314"/>
        <v>0</v>
      </c>
      <c r="S2782" s="156">
        <f t="shared" si="315"/>
        <v>0</v>
      </c>
      <c r="T2782" s="133"/>
      <c r="U2782" s="133"/>
      <c r="V2782" s="133"/>
      <c r="W2782" s="133"/>
      <c r="X2782" s="133"/>
      <c r="Y2782" s="133"/>
      <c r="Z2782" s="133"/>
      <c r="AA2782" s="133"/>
      <c r="AB2782" s="133"/>
      <c r="AC2782" s="133"/>
      <c r="AD2782" s="133"/>
      <c r="AE2782" s="133"/>
      <c r="AF2782" s="133"/>
      <c r="AG2782" s="133"/>
      <c r="AH2782" s="133"/>
      <c r="AI2782" s="133"/>
      <c r="AJ2782" s="133"/>
      <c r="AK2782" s="133"/>
      <c r="AL2782" s="133"/>
      <c r="AM2782" s="133"/>
      <c r="AN2782" s="133"/>
      <c r="AO2782" s="133"/>
      <c r="AP2782" s="133"/>
      <c r="AQ2782" s="133"/>
      <c r="AR2782" s="133"/>
      <c r="AS2782" s="153">
        <v>0</v>
      </c>
      <c r="AT2782" s="153">
        <v>0</v>
      </c>
      <c r="AU2782" s="153">
        <v>0</v>
      </c>
      <c r="AV2782" s="135"/>
      <c r="AW2782" s="135"/>
      <c r="AX2782" s="135"/>
      <c r="AY2782" s="135"/>
      <c r="AZ2782" s="135"/>
      <c r="BA2782" s="135"/>
      <c r="BB2782" s="135"/>
      <c r="BC2782" s="135"/>
      <c r="BD2782" s="135"/>
      <c r="BE2782" s="135"/>
      <c r="BF2782" s="135"/>
      <c r="BG2782" s="135"/>
      <c r="BH2782" s="135"/>
      <c r="BI2782" s="2"/>
      <c r="BJ2782" s="136"/>
      <c r="BK2782" s="2"/>
      <c r="BL2782" s="136"/>
      <c r="BM2782" s="136"/>
      <c r="BN2782" s="2"/>
      <c r="BO2782" s="2"/>
      <c r="BP2782" s="136"/>
      <c r="BQ2782" s="137"/>
    </row>
    <row r="2783" spans="1:69" ht="12.75" customHeight="1" x14ac:dyDescent="0.2">
      <c r="A2783" s="2">
        <v>4272</v>
      </c>
      <c r="B2783" s="2"/>
      <c r="C2783" s="2"/>
      <c r="D2783" s="2"/>
      <c r="E2783" s="2"/>
      <c r="F2783" s="132">
        <v>0</v>
      </c>
      <c r="G2783" s="132"/>
      <c r="H2783" s="132">
        <f t="shared" si="311"/>
        <v>0</v>
      </c>
      <c r="I2783" s="132"/>
      <c r="J2783" s="132">
        <f t="shared" si="309"/>
        <v>0</v>
      </c>
      <c r="K2783" s="132">
        <f t="shared" si="312"/>
        <v>0</v>
      </c>
      <c r="L2783" s="132">
        <f t="shared" si="313"/>
        <v>0</v>
      </c>
      <c r="M2783" s="133"/>
      <c r="N2783" s="133">
        <f t="shared" si="310"/>
        <v>0</v>
      </c>
      <c r="O2783" s="134"/>
      <c r="P2783" s="133"/>
      <c r="Q2783" s="2"/>
      <c r="R2783" s="156">
        <f t="shared" si="314"/>
        <v>0</v>
      </c>
      <c r="S2783" s="156">
        <f t="shared" si="315"/>
        <v>0</v>
      </c>
      <c r="T2783" s="133"/>
      <c r="U2783" s="133"/>
      <c r="V2783" s="133"/>
      <c r="W2783" s="133"/>
      <c r="X2783" s="133"/>
      <c r="Y2783" s="133"/>
      <c r="Z2783" s="133"/>
      <c r="AA2783" s="133"/>
      <c r="AB2783" s="133"/>
      <c r="AC2783" s="133"/>
      <c r="AD2783" s="133"/>
      <c r="AE2783" s="133"/>
      <c r="AF2783" s="133"/>
      <c r="AG2783" s="133"/>
      <c r="AH2783" s="133"/>
      <c r="AI2783" s="133"/>
      <c r="AJ2783" s="133"/>
      <c r="AK2783" s="133"/>
      <c r="AL2783" s="133"/>
      <c r="AM2783" s="133"/>
      <c r="AN2783" s="133"/>
      <c r="AO2783" s="133"/>
      <c r="AP2783" s="133"/>
      <c r="AQ2783" s="133"/>
      <c r="AR2783" s="133"/>
      <c r="AS2783" s="153">
        <v>0</v>
      </c>
      <c r="AT2783" s="153">
        <v>0</v>
      </c>
      <c r="AU2783" s="153">
        <v>0</v>
      </c>
      <c r="AV2783" s="135"/>
      <c r="AW2783" s="135"/>
      <c r="AX2783" s="135"/>
      <c r="AY2783" s="135"/>
      <c r="AZ2783" s="135"/>
      <c r="BA2783" s="135"/>
      <c r="BB2783" s="135"/>
      <c r="BC2783" s="135"/>
      <c r="BD2783" s="135"/>
      <c r="BE2783" s="135"/>
      <c r="BF2783" s="135"/>
      <c r="BG2783" s="135"/>
      <c r="BH2783" s="135"/>
      <c r="BI2783" s="2"/>
      <c r="BJ2783" s="136"/>
      <c r="BK2783" s="2"/>
      <c r="BL2783" s="136"/>
      <c r="BM2783" s="136"/>
      <c r="BN2783" s="2"/>
      <c r="BO2783" s="2"/>
      <c r="BP2783" s="136"/>
      <c r="BQ2783" s="137"/>
    </row>
    <row r="2784" spans="1:69" ht="12.75" customHeight="1" x14ac:dyDescent="0.2">
      <c r="A2784" s="2">
        <v>4273</v>
      </c>
      <c r="B2784" s="2"/>
      <c r="C2784" s="2"/>
      <c r="D2784" s="2"/>
      <c r="E2784" s="2"/>
      <c r="F2784" s="132">
        <v>0</v>
      </c>
      <c r="G2784" s="132"/>
      <c r="H2784" s="132">
        <f t="shared" si="311"/>
        <v>0</v>
      </c>
      <c r="I2784" s="132"/>
      <c r="J2784" s="132">
        <f t="shared" si="309"/>
        <v>0</v>
      </c>
      <c r="K2784" s="132">
        <f t="shared" si="312"/>
        <v>0</v>
      </c>
      <c r="L2784" s="132">
        <f t="shared" si="313"/>
        <v>0</v>
      </c>
      <c r="M2784" s="133"/>
      <c r="N2784" s="133">
        <f t="shared" si="310"/>
        <v>0</v>
      </c>
      <c r="O2784" s="134"/>
      <c r="P2784" s="133"/>
      <c r="Q2784" s="2"/>
      <c r="R2784" s="156">
        <f t="shared" si="314"/>
        <v>0</v>
      </c>
      <c r="S2784" s="156">
        <f t="shared" si="315"/>
        <v>0</v>
      </c>
      <c r="T2784" s="133"/>
      <c r="U2784" s="133"/>
      <c r="V2784" s="133"/>
      <c r="W2784" s="133"/>
      <c r="X2784" s="133"/>
      <c r="Y2784" s="133"/>
      <c r="Z2784" s="133"/>
      <c r="AA2784" s="133"/>
      <c r="AB2784" s="133"/>
      <c r="AC2784" s="133"/>
      <c r="AD2784" s="133"/>
      <c r="AE2784" s="133"/>
      <c r="AF2784" s="133"/>
      <c r="AG2784" s="133"/>
      <c r="AH2784" s="133"/>
      <c r="AI2784" s="133"/>
      <c r="AJ2784" s="133"/>
      <c r="AK2784" s="133"/>
      <c r="AL2784" s="133"/>
      <c r="AM2784" s="133"/>
      <c r="AN2784" s="133"/>
      <c r="AO2784" s="133"/>
      <c r="AP2784" s="133"/>
      <c r="AQ2784" s="133"/>
      <c r="AR2784" s="133"/>
      <c r="AS2784" s="153">
        <v>0</v>
      </c>
      <c r="AT2784" s="153">
        <v>0</v>
      </c>
      <c r="AU2784" s="153">
        <v>0</v>
      </c>
      <c r="AV2784" s="135"/>
      <c r="AW2784" s="135"/>
      <c r="AX2784" s="135"/>
      <c r="AY2784" s="135"/>
      <c r="AZ2784" s="135"/>
      <c r="BA2784" s="135"/>
      <c r="BB2784" s="135"/>
      <c r="BC2784" s="135"/>
      <c r="BD2784" s="135"/>
      <c r="BE2784" s="135"/>
      <c r="BF2784" s="135"/>
      <c r="BG2784" s="135"/>
      <c r="BH2784" s="135"/>
      <c r="BI2784" s="2"/>
      <c r="BJ2784" s="136"/>
      <c r="BK2784" s="2"/>
      <c r="BL2784" s="136"/>
      <c r="BM2784" s="136"/>
      <c r="BN2784" s="2"/>
      <c r="BO2784" s="2"/>
      <c r="BP2784" s="136"/>
      <c r="BQ2784" s="137"/>
    </row>
    <row r="2785" spans="1:69" ht="12.75" customHeight="1" x14ac:dyDescent="0.2">
      <c r="A2785" s="2">
        <v>4274</v>
      </c>
      <c r="B2785" s="2"/>
      <c r="C2785" s="2"/>
      <c r="D2785" s="2"/>
      <c r="E2785" s="2"/>
      <c r="F2785" s="132">
        <v>0</v>
      </c>
      <c r="G2785" s="132"/>
      <c r="H2785" s="132">
        <f t="shared" si="311"/>
        <v>0</v>
      </c>
      <c r="I2785" s="132"/>
      <c r="J2785" s="132">
        <f t="shared" si="309"/>
        <v>0</v>
      </c>
      <c r="K2785" s="132">
        <f t="shared" si="312"/>
        <v>0</v>
      </c>
      <c r="L2785" s="132">
        <f t="shared" si="313"/>
        <v>0</v>
      </c>
      <c r="M2785" s="133"/>
      <c r="N2785" s="133">
        <f t="shared" si="310"/>
        <v>0</v>
      </c>
      <c r="O2785" s="134"/>
      <c r="P2785" s="133"/>
      <c r="Q2785" s="2"/>
      <c r="R2785" s="156">
        <f t="shared" si="314"/>
        <v>0</v>
      </c>
      <c r="S2785" s="156">
        <f t="shared" si="315"/>
        <v>0</v>
      </c>
      <c r="T2785" s="133"/>
      <c r="U2785" s="133"/>
      <c r="V2785" s="133"/>
      <c r="W2785" s="133"/>
      <c r="X2785" s="133"/>
      <c r="Y2785" s="133"/>
      <c r="Z2785" s="133"/>
      <c r="AA2785" s="133"/>
      <c r="AB2785" s="133"/>
      <c r="AC2785" s="133"/>
      <c r="AD2785" s="133"/>
      <c r="AE2785" s="133"/>
      <c r="AF2785" s="133"/>
      <c r="AG2785" s="133"/>
      <c r="AH2785" s="133"/>
      <c r="AI2785" s="133"/>
      <c r="AJ2785" s="133"/>
      <c r="AK2785" s="133"/>
      <c r="AL2785" s="133"/>
      <c r="AM2785" s="133"/>
      <c r="AN2785" s="133"/>
      <c r="AO2785" s="133"/>
      <c r="AP2785" s="133"/>
      <c r="AQ2785" s="133"/>
      <c r="AR2785" s="133"/>
      <c r="AS2785" s="153">
        <v>0</v>
      </c>
      <c r="AT2785" s="153">
        <v>0</v>
      </c>
      <c r="AU2785" s="153">
        <v>0</v>
      </c>
      <c r="AV2785" s="135"/>
      <c r="AW2785" s="135"/>
      <c r="AX2785" s="135"/>
      <c r="AY2785" s="135"/>
      <c r="AZ2785" s="135"/>
      <c r="BA2785" s="135"/>
      <c r="BB2785" s="135"/>
      <c r="BC2785" s="135"/>
      <c r="BD2785" s="135"/>
      <c r="BE2785" s="135"/>
      <c r="BF2785" s="135"/>
      <c r="BG2785" s="135"/>
      <c r="BH2785" s="135"/>
      <c r="BI2785" s="2"/>
      <c r="BJ2785" s="136"/>
      <c r="BK2785" s="2"/>
      <c r="BL2785" s="136"/>
      <c r="BM2785" s="136"/>
      <c r="BN2785" s="2"/>
      <c r="BO2785" s="2"/>
      <c r="BP2785" s="136"/>
      <c r="BQ2785" s="137"/>
    </row>
    <row r="2786" spans="1:69" ht="12.75" customHeight="1" x14ac:dyDescent="0.2">
      <c r="A2786" s="2">
        <v>4275</v>
      </c>
      <c r="B2786" s="2"/>
      <c r="C2786" s="2"/>
      <c r="D2786" s="2"/>
      <c r="E2786" s="2"/>
      <c r="F2786" s="132">
        <v>0</v>
      </c>
      <c r="G2786" s="132"/>
      <c r="H2786" s="132">
        <f t="shared" si="311"/>
        <v>0</v>
      </c>
      <c r="I2786" s="132"/>
      <c r="J2786" s="132">
        <f t="shared" si="309"/>
        <v>0</v>
      </c>
      <c r="K2786" s="132">
        <f t="shared" si="312"/>
        <v>0</v>
      </c>
      <c r="L2786" s="132">
        <f t="shared" si="313"/>
        <v>0</v>
      </c>
      <c r="M2786" s="133"/>
      <c r="N2786" s="133">
        <f t="shared" si="310"/>
        <v>0</v>
      </c>
      <c r="O2786" s="134"/>
      <c r="P2786" s="133"/>
      <c r="Q2786" s="2"/>
      <c r="R2786" s="156">
        <f t="shared" si="314"/>
        <v>0</v>
      </c>
      <c r="S2786" s="156">
        <f t="shared" si="315"/>
        <v>0</v>
      </c>
      <c r="T2786" s="133"/>
      <c r="U2786" s="133"/>
      <c r="V2786" s="133"/>
      <c r="W2786" s="133"/>
      <c r="X2786" s="133"/>
      <c r="Y2786" s="133"/>
      <c r="Z2786" s="133"/>
      <c r="AA2786" s="133"/>
      <c r="AB2786" s="133"/>
      <c r="AC2786" s="133"/>
      <c r="AD2786" s="133"/>
      <c r="AE2786" s="133"/>
      <c r="AF2786" s="133"/>
      <c r="AG2786" s="133"/>
      <c r="AH2786" s="133"/>
      <c r="AI2786" s="133"/>
      <c r="AJ2786" s="133"/>
      <c r="AK2786" s="133"/>
      <c r="AL2786" s="133"/>
      <c r="AM2786" s="133"/>
      <c r="AN2786" s="133"/>
      <c r="AO2786" s="133"/>
      <c r="AP2786" s="133"/>
      <c r="AQ2786" s="133"/>
      <c r="AR2786" s="133"/>
      <c r="AS2786" s="153">
        <v>0</v>
      </c>
      <c r="AT2786" s="153">
        <v>0</v>
      </c>
      <c r="AU2786" s="153">
        <v>0</v>
      </c>
      <c r="AV2786" s="135"/>
      <c r="AW2786" s="135"/>
      <c r="AX2786" s="135"/>
      <c r="AY2786" s="135"/>
      <c r="AZ2786" s="135"/>
      <c r="BA2786" s="135"/>
      <c r="BB2786" s="135"/>
      <c r="BC2786" s="135"/>
      <c r="BD2786" s="135"/>
      <c r="BE2786" s="135"/>
      <c r="BF2786" s="135"/>
      <c r="BG2786" s="135"/>
      <c r="BH2786" s="135"/>
      <c r="BI2786" s="2"/>
      <c r="BJ2786" s="136"/>
      <c r="BK2786" s="2"/>
      <c r="BL2786" s="136"/>
      <c r="BM2786" s="136"/>
      <c r="BN2786" s="2"/>
      <c r="BO2786" s="2"/>
      <c r="BP2786" s="136"/>
      <c r="BQ2786" s="137"/>
    </row>
    <row r="2787" spans="1:69" ht="12.75" customHeight="1" x14ac:dyDescent="0.2">
      <c r="A2787" s="2">
        <v>4276</v>
      </c>
      <c r="B2787" s="2"/>
      <c r="C2787" s="2"/>
      <c r="D2787" s="2"/>
      <c r="E2787" s="2"/>
      <c r="F2787" s="132">
        <v>0</v>
      </c>
      <c r="G2787" s="132"/>
      <c r="H2787" s="132">
        <f t="shared" si="311"/>
        <v>0</v>
      </c>
      <c r="I2787" s="132"/>
      <c r="J2787" s="132">
        <f t="shared" si="309"/>
        <v>0</v>
      </c>
      <c r="K2787" s="132">
        <f t="shared" si="312"/>
        <v>0</v>
      </c>
      <c r="L2787" s="132">
        <f t="shared" si="313"/>
        <v>0</v>
      </c>
      <c r="M2787" s="133"/>
      <c r="N2787" s="133">
        <f t="shared" si="310"/>
        <v>0</v>
      </c>
      <c r="O2787" s="134"/>
      <c r="P2787" s="133"/>
      <c r="Q2787" s="2"/>
      <c r="R2787" s="156">
        <f t="shared" si="314"/>
        <v>0</v>
      </c>
      <c r="S2787" s="156">
        <f t="shared" si="315"/>
        <v>0</v>
      </c>
      <c r="T2787" s="133"/>
      <c r="U2787" s="133"/>
      <c r="V2787" s="133"/>
      <c r="W2787" s="133"/>
      <c r="X2787" s="133"/>
      <c r="Y2787" s="133"/>
      <c r="Z2787" s="133"/>
      <c r="AA2787" s="133"/>
      <c r="AB2787" s="133"/>
      <c r="AC2787" s="133"/>
      <c r="AD2787" s="133"/>
      <c r="AE2787" s="133"/>
      <c r="AF2787" s="133"/>
      <c r="AG2787" s="133"/>
      <c r="AH2787" s="133"/>
      <c r="AI2787" s="133"/>
      <c r="AJ2787" s="133"/>
      <c r="AK2787" s="133"/>
      <c r="AL2787" s="133"/>
      <c r="AM2787" s="133"/>
      <c r="AN2787" s="133"/>
      <c r="AO2787" s="133"/>
      <c r="AP2787" s="133"/>
      <c r="AQ2787" s="133"/>
      <c r="AR2787" s="133"/>
      <c r="AS2787" s="153">
        <v>0</v>
      </c>
      <c r="AT2787" s="153">
        <v>0</v>
      </c>
      <c r="AU2787" s="153">
        <v>0</v>
      </c>
      <c r="AV2787" s="135"/>
      <c r="AW2787" s="135"/>
      <c r="AX2787" s="135"/>
      <c r="AY2787" s="135"/>
      <c r="AZ2787" s="135"/>
      <c r="BA2787" s="135"/>
      <c r="BB2787" s="135"/>
      <c r="BC2787" s="135"/>
      <c r="BD2787" s="135"/>
      <c r="BE2787" s="135"/>
      <c r="BF2787" s="135"/>
      <c r="BG2787" s="135"/>
      <c r="BH2787" s="135"/>
      <c r="BI2787" s="2"/>
      <c r="BJ2787" s="136"/>
      <c r="BK2787" s="2"/>
      <c r="BL2787" s="136"/>
      <c r="BM2787" s="136"/>
      <c r="BN2787" s="2"/>
      <c r="BO2787" s="2"/>
      <c r="BP2787" s="136"/>
      <c r="BQ2787" s="137"/>
    </row>
    <row r="2788" spans="1:69" ht="12.75" customHeight="1" x14ac:dyDescent="0.2">
      <c r="A2788" s="2">
        <v>4277</v>
      </c>
      <c r="B2788" s="2"/>
      <c r="C2788" s="2"/>
      <c r="D2788" s="2"/>
      <c r="E2788" s="2"/>
      <c r="F2788" s="132">
        <v>0</v>
      </c>
      <c r="G2788" s="132"/>
      <c r="H2788" s="132">
        <f t="shared" si="311"/>
        <v>0</v>
      </c>
      <c r="I2788" s="132"/>
      <c r="J2788" s="132">
        <f t="shared" ref="J2788:J2851" si="316">S2788</f>
        <v>0</v>
      </c>
      <c r="K2788" s="132">
        <f t="shared" si="312"/>
        <v>0</v>
      </c>
      <c r="L2788" s="132">
        <f t="shared" si="313"/>
        <v>0</v>
      </c>
      <c r="M2788" s="133"/>
      <c r="N2788" s="133">
        <f t="shared" si="310"/>
        <v>0</v>
      </c>
      <c r="O2788" s="134"/>
      <c r="P2788" s="133"/>
      <c r="Q2788" s="2"/>
      <c r="R2788" s="156">
        <f t="shared" si="314"/>
        <v>0</v>
      </c>
      <c r="S2788" s="156">
        <f t="shared" si="315"/>
        <v>0</v>
      </c>
      <c r="T2788" s="133"/>
      <c r="U2788" s="133"/>
      <c r="V2788" s="133"/>
      <c r="W2788" s="133"/>
      <c r="X2788" s="133"/>
      <c r="Y2788" s="133"/>
      <c r="Z2788" s="133"/>
      <c r="AA2788" s="133"/>
      <c r="AB2788" s="133"/>
      <c r="AC2788" s="133"/>
      <c r="AD2788" s="133"/>
      <c r="AE2788" s="133"/>
      <c r="AF2788" s="133"/>
      <c r="AG2788" s="133"/>
      <c r="AH2788" s="133"/>
      <c r="AI2788" s="133"/>
      <c r="AJ2788" s="133"/>
      <c r="AK2788" s="133"/>
      <c r="AL2788" s="133"/>
      <c r="AM2788" s="133"/>
      <c r="AN2788" s="133"/>
      <c r="AO2788" s="133"/>
      <c r="AP2788" s="133"/>
      <c r="AQ2788" s="133"/>
      <c r="AR2788" s="133"/>
      <c r="AS2788" s="153">
        <v>0</v>
      </c>
      <c r="AT2788" s="153">
        <v>0</v>
      </c>
      <c r="AU2788" s="153">
        <v>0</v>
      </c>
      <c r="AV2788" s="135"/>
      <c r="AW2788" s="135"/>
      <c r="AX2788" s="135"/>
      <c r="AY2788" s="135"/>
      <c r="AZ2788" s="135"/>
      <c r="BA2788" s="135"/>
      <c r="BB2788" s="135"/>
      <c r="BC2788" s="135"/>
      <c r="BD2788" s="135"/>
      <c r="BE2788" s="135"/>
      <c r="BF2788" s="135"/>
      <c r="BG2788" s="135"/>
      <c r="BH2788" s="135"/>
      <c r="BI2788" s="2"/>
      <c r="BJ2788" s="136"/>
      <c r="BK2788" s="2"/>
      <c r="BL2788" s="136"/>
      <c r="BM2788" s="136"/>
      <c r="BN2788" s="2"/>
      <c r="BO2788" s="2"/>
      <c r="BP2788" s="136"/>
      <c r="BQ2788" s="137"/>
    </row>
    <row r="2789" spans="1:69" ht="12.75" customHeight="1" x14ac:dyDescent="0.2">
      <c r="A2789" s="2">
        <v>4278</v>
      </c>
      <c r="B2789" s="2"/>
      <c r="C2789" s="2"/>
      <c r="D2789" s="2"/>
      <c r="E2789" s="2"/>
      <c r="F2789" s="132">
        <v>0</v>
      </c>
      <c r="G2789" s="132"/>
      <c r="H2789" s="132">
        <f t="shared" si="311"/>
        <v>0</v>
      </c>
      <c r="I2789" s="132"/>
      <c r="J2789" s="132">
        <f t="shared" si="316"/>
        <v>0</v>
      </c>
      <c r="K2789" s="132">
        <f t="shared" si="312"/>
        <v>0</v>
      </c>
      <c r="L2789" s="132">
        <f t="shared" si="313"/>
        <v>0</v>
      </c>
      <c r="M2789" s="133"/>
      <c r="N2789" s="133">
        <f t="shared" si="310"/>
        <v>0</v>
      </c>
      <c r="O2789" s="134"/>
      <c r="P2789" s="133"/>
      <c r="Q2789" s="2"/>
      <c r="R2789" s="156">
        <f t="shared" si="314"/>
        <v>0</v>
      </c>
      <c r="S2789" s="156">
        <f t="shared" si="315"/>
        <v>0</v>
      </c>
      <c r="T2789" s="133"/>
      <c r="U2789" s="133"/>
      <c r="V2789" s="133"/>
      <c r="W2789" s="133"/>
      <c r="X2789" s="133"/>
      <c r="Y2789" s="133"/>
      <c r="Z2789" s="133"/>
      <c r="AA2789" s="133"/>
      <c r="AB2789" s="133"/>
      <c r="AC2789" s="133"/>
      <c r="AD2789" s="133"/>
      <c r="AE2789" s="133"/>
      <c r="AF2789" s="133"/>
      <c r="AG2789" s="133"/>
      <c r="AH2789" s="133"/>
      <c r="AI2789" s="133"/>
      <c r="AJ2789" s="133"/>
      <c r="AK2789" s="133"/>
      <c r="AL2789" s="133"/>
      <c r="AM2789" s="133"/>
      <c r="AN2789" s="133"/>
      <c r="AO2789" s="133"/>
      <c r="AP2789" s="133"/>
      <c r="AQ2789" s="133"/>
      <c r="AR2789" s="133"/>
      <c r="AS2789" s="153">
        <v>0</v>
      </c>
      <c r="AT2789" s="153">
        <v>0</v>
      </c>
      <c r="AU2789" s="153">
        <v>0</v>
      </c>
      <c r="AV2789" s="135"/>
      <c r="AW2789" s="135"/>
      <c r="AX2789" s="135"/>
      <c r="AY2789" s="135"/>
      <c r="AZ2789" s="135"/>
      <c r="BA2789" s="135"/>
      <c r="BB2789" s="135"/>
      <c r="BC2789" s="135"/>
      <c r="BD2789" s="135"/>
      <c r="BE2789" s="135"/>
      <c r="BF2789" s="135"/>
      <c r="BG2789" s="135"/>
      <c r="BH2789" s="135"/>
      <c r="BI2789" s="2"/>
      <c r="BJ2789" s="136"/>
      <c r="BK2789" s="2"/>
      <c r="BL2789" s="136"/>
      <c r="BM2789" s="136"/>
      <c r="BN2789" s="2"/>
      <c r="BO2789" s="2"/>
      <c r="BP2789" s="136"/>
      <c r="BQ2789" s="137"/>
    </row>
    <row r="2790" spans="1:69" ht="12.75" customHeight="1" x14ac:dyDescent="0.2">
      <c r="A2790" s="2">
        <v>4279</v>
      </c>
      <c r="B2790" s="2"/>
      <c r="C2790" s="2"/>
      <c r="D2790" s="2"/>
      <c r="E2790" s="2"/>
      <c r="F2790" s="132">
        <v>0</v>
      </c>
      <c r="G2790" s="132"/>
      <c r="H2790" s="132">
        <f t="shared" si="311"/>
        <v>0</v>
      </c>
      <c r="I2790" s="132"/>
      <c r="J2790" s="132">
        <f t="shared" si="316"/>
        <v>0</v>
      </c>
      <c r="K2790" s="132">
        <f t="shared" si="312"/>
        <v>0</v>
      </c>
      <c r="L2790" s="132">
        <f t="shared" si="313"/>
        <v>0</v>
      </c>
      <c r="M2790" s="133"/>
      <c r="N2790" s="133">
        <f t="shared" si="310"/>
        <v>0</v>
      </c>
      <c r="O2790" s="134"/>
      <c r="P2790" s="133"/>
      <c r="Q2790" s="2"/>
      <c r="R2790" s="156">
        <f t="shared" si="314"/>
        <v>0</v>
      </c>
      <c r="S2790" s="156">
        <f t="shared" si="315"/>
        <v>0</v>
      </c>
      <c r="T2790" s="133"/>
      <c r="U2790" s="133"/>
      <c r="V2790" s="133"/>
      <c r="W2790" s="133"/>
      <c r="X2790" s="133"/>
      <c r="Y2790" s="133"/>
      <c r="Z2790" s="133"/>
      <c r="AA2790" s="133"/>
      <c r="AB2790" s="133"/>
      <c r="AC2790" s="133"/>
      <c r="AD2790" s="133"/>
      <c r="AE2790" s="133"/>
      <c r="AF2790" s="133"/>
      <c r="AG2790" s="133"/>
      <c r="AH2790" s="133"/>
      <c r="AI2790" s="133"/>
      <c r="AJ2790" s="133"/>
      <c r="AK2790" s="133"/>
      <c r="AL2790" s="133"/>
      <c r="AM2790" s="133"/>
      <c r="AN2790" s="133"/>
      <c r="AO2790" s="133"/>
      <c r="AP2790" s="133"/>
      <c r="AQ2790" s="133"/>
      <c r="AR2790" s="133"/>
      <c r="AS2790" s="153">
        <v>0</v>
      </c>
      <c r="AT2790" s="153">
        <v>0</v>
      </c>
      <c r="AU2790" s="153">
        <v>0</v>
      </c>
      <c r="AV2790" s="135"/>
      <c r="AW2790" s="135"/>
      <c r="AX2790" s="135"/>
      <c r="AY2790" s="135"/>
      <c r="AZ2790" s="135"/>
      <c r="BA2790" s="135"/>
      <c r="BB2790" s="135"/>
      <c r="BC2790" s="135"/>
      <c r="BD2790" s="135"/>
      <c r="BE2790" s="135"/>
      <c r="BF2790" s="135"/>
      <c r="BG2790" s="135"/>
      <c r="BH2790" s="135"/>
      <c r="BI2790" s="2"/>
      <c r="BJ2790" s="136"/>
      <c r="BK2790" s="2"/>
      <c r="BL2790" s="136"/>
      <c r="BM2790" s="136"/>
      <c r="BN2790" s="2"/>
      <c r="BO2790" s="2"/>
      <c r="BP2790" s="136"/>
      <c r="BQ2790" s="137"/>
    </row>
    <row r="2791" spans="1:69" ht="12.75" customHeight="1" x14ac:dyDescent="0.2">
      <c r="A2791" s="2">
        <v>4280</v>
      </c>
      <c r="B2791" s="2"/>
      <c r="C2791" s="2"/>
      <c r="D2791" s="2"/>
      <c r="E2791" s="2"/>
      <c r="F2791" s="132">
        <v>0</v>
      </c>
      <c r="G2791" s="132"/>
      <c r="H2791" s="132">
        <f t="shared" si="311"/>
        <v>0</v>
      </c>
      <c r="I2791" s="132"/>
      <c r="J2791" s="132">
        <f t="shared" si="316"/>
        <v>0</v>
      </c>
      <c r="K2791" s="132">
        <f t="shared" si="312"/>
        <v>0</v>
      </c>
      <c r="L2791" s="132">
        <f t="shared" si="313"/>
        <v>0</v>
      </c>
      <c r="M2791" s="133"/>
      <c r="N2791" s="133">
        <f t="shared" si="310"/>
        <v>0</v>
      </c>
      <c r="O2791" s="134"/>
      <c r="P2791" s="133"/>
      <c r="Q2791" s="2"/>
      <c r="R2791" s="156">
        <f t="shared" si="314"/>
        <v>0</v>
      </c>
      <c r="S2791" s="156">
        <f t="shared" si="315"/>
        <v>0</v>
      </c>
      <c r="T2791" s="133"/>
      <c r="U2791" s="133"/>
      <c r="V2791" s="133"/>
      <c r="W2791" s="133"/>
      <c r="X2791" s="133"/>
      <c r="Y2791" s="133"/>
      <c r="Z2791" s="133"/>
      <c r="AA2791" s="133"/>
      <c r="AB2791" s="133"/>
      <c r="AC2791" s="133"/>
      <c r="AD2791" s="133"/>
      <c r="AE2791" s="133"/>
      <c r="AF2791" s="133"/>
      <c r="AG2791" s="133"/>
      <c r="AH2791" s="133"/>
      <c r="AI2791" s="133"/>
      <c r="AJ2791" s="133"/>
      <c r="AK2791" s="133"/>
      <c r="AL2791" s="133"/>
      <c r="AM2791" s="133"/>
      <c r="AN2791" s="133"/>
      <c r="AO2791" s="133"/>
      <c r="AP2791" s="133"/>
      <c r="AQ2791" s="133"/>
      <c r="AR2791" s="133"/>
      <c r="AS2791" s="153">
        <v>0</v>
      </c>
      <c r="AT2791" s="153">
        <v>0</v>
      </c>
      <c r="AU2791" s="153">
        <v>0</v>
      </c>
      <c r="AV2791" s="135"/>
      <c r="AW2791" s="135"/>
      <c r="AX2791" s="135"/>
      <c r="AY2791" s="135"/>
      <c r="AZ2791" s="135"/>
      <c r="BA2791" s="135"/>
      <c r="BB2791" s="135"/>
      <c r="BC2791" s="135"/>
      <c r="BD2791" s="135"/>
      <c r="BE2791" s="135"/>
      <c r="BF2791" s="135"/>
      <c r="BG2791" s="135"/>
      <c r="BH2791" s="135"/>
      <c r="BI2791" s="2"/>
      <c r="BJ2791" s="136"/>
      <c r="BK2791" s="2"/>
      <c r="BL2791" s="136"/>
      <c r="BM2791" s="136"/>
      <c r="BN2791" s="2"/>
      <c r="BO2791" s="2"/>
      <c r="BP2791" s="136"/>
      <c r="BQ2791" s="137"/>
    </row>
    <row r="2792" spans="1:69" ht="12.75" customHeight="1" x14ac:dyDescent="0.2">
      <c r="A2792" s="2">
        <v>4281</v>
      </c>
      <c r="B2792" s="2"/>
      <c r="C2792" s="2"/>
      <c r="D2792" s="2"/>
      <c r="E2792" s="2"/>
      <c r="F2792" s="132">
        <v>0</v>
      </c>
      <c r="G2792" s="132"/>
      <c r="H2792" s="132">
        <f t="shared" si="311"/>
        <v>0</v>
      </c>
      <c r="I2792" s="132"/>
      <c r="J2792" s="132">
        <f t="shared" si="316"/>
        <v>0</v>
      </c>
      <c r="K2792" s="132">
        <f t="shared" si="312"/>
        <v>0</v>
      </c>
      <c r="L2792" s="132">
        <f t="shared" si="313"/>
        <v>0</v>
      </c>
      <c r="M2792" s="133"/>
      <c r="N2792" s="133">
        <f t="shared" si="310"/>
        <v>0</v>
      </c>
      <c r="O2792" s="134"/>
      <c r="P2792" s="133"/>
      <c r="Q2792" s="2"/>
      <c r="R2792" s="156">
        <f t="shared" si="314"/>
        <v>0</v>
      </c>
      <c r="S2792" s="156">
        <f t="shared" si="315"/>
        <v>0</v>
      </c>
      <c r="T2792" s="133"/>
      <c r="U2792" s="133"/>
      <c r="V2792" s="133"/>
      <c r="W2792" s="133"/>
      <c r="X2792" s="133"/>
      <c r="Y2792" s="133"/>
      <c r="Z2792" s="133"/>
      <c r="AA2792" s="133"/>
      <c r="AB2792" s="133"/>
      <c r="AC2792" s="133"/>
      <c r="AD2792" s="133"/>
      <c r="AE2792" s="133"/>
      <c r="AF2792" s="133"/>
      <c r="AG2792" s="133"/>
      <c r="AH2792" s="133"/>
      <c r="AI2792" s="133"/>
      <c r="AJ2792" s="133"/>
      <c r="AK2792" s="133"/>
      <c r="AL2792" s="133"/>
      <c r="AM2792" s="133"/>
      <c r="AN2792" s="133"/>
      <c r="AO2792" s="133"/>
      <c r="AP2792" s="133"/>
      <c r="AQ2792" s="133"/>
      <c r="AR2792" s="133"/>
      <c r="AS2792" s="153">
        <v>0</v>
      </c>
      <c r="AT2792" s="153">
        <v>0</v>
      </c>
      <c r="AU2792" s="153">
        <v>0</v>
      </c>
      <c r="AV2792" s="135"/>
      <c r="AW2792" s="135"/>
      <c r="AX2792" s="135"/>
      <c r="AY2792" s="135"/>
      <c r="AZ2792" s="135"/>
      <c r="BA2792" s="135"/>
      <c r="BB2792" s="135"/>
      <c r="BC2792" s="135"/>
      <c r="BD2792" s="135"/>
      <c r="BE2792" s="135"/>
      <c r="BF2792" s="135"/>
      <c r="BG2792" s="135"/>
      <c r="BH2792" s="135"/>
      <c r="BI2792" s="2"/>
      <c r="BJ2792" s="136"/>
      <c r="BK2792" s="2"/>
      <c r="BL2792" s="136"/>
      <c r="BM2792" s="136"/>
      <c r="BN2792" s="2"/>
      <c r="BO2792" s="2"/>
      <c r="BP2792" s="136"/>
      <c r="BQ2792" s="137"/>
    </row>
    <row r="2793" spans="1:69" ht="12.75" customHeight="1" x14ac:dyDescent="0.2">
      <c r="A2793" s="2">
        <v>4282</v>
      </c>
      <c r="B2793" s="2"/>
      <c r="C2793" s="2"/>
      <c r="D2793" s="2"/>
      <c r="E2793" s="2"/>
      <c r="F2793" s="132">
        <v>0</v>
      </c>
      <c r="G2793" s="132"/>
      <c r="H2793" s="132">
        <f t="shared" si="311"/>
        <v>0</v>
      </c>
      <c r="I2793" s="132"/>
      <c r="J2793" s="132">
        <f t="shared" si="316"/>
        <v>0</v>
      </c>
      <c r="K2793" s="132">
        <f t="shared" si="312"/>
        <v>0</v>
      </c>
      <c r="L2793" s="132">
        <f t="shared" si="313"/>
        <v>0</v>
      </c>
      <c r="M2793" s="133"/>
      <c r="N2793" s="133">
        <f t="shared" si="310"/>
        <v>0</v>
      </c>
      <c r="O2793" s="134"/>
      <c r="P2793" s="133"/>
      <c r="Q2793" s="2"/>
      <c r="R2793" s="156">
        <f t="shared" si="314"/>
        <v>0</v>
      </c>
      <c r="S2793" s="156">
        <f t="shared" si="315"/>
        <v>0</v>
      </c>
      <c r="T2793" s="133"/>
      <c r="U2793" s="133"/>
      <c r="V2793" s="133"/>
      <c r="W2793" s="133"/>
      <c r="X2793" s="133"/>
      <c r="Y2793" s="133"/>
      <c r="Z2793" s="133"/>
      <c r="AA2793" s="133"/>
      <c r="AB2793" s="133"/>
      <c r="AC2793" s="133"/>
      <c r="AD2793" s="133"/>
      <c r="AE2793" s="133"/>
      <c r="AF2793" s="133"/>
      <c r="AG2793" s="133"/>
      <c r="AH2793" s="133"/>
      <c r="AI2793" s="133"/>
      <c r="AJ2793" s="133"/>
      <c r="AK2793" s="133"/>
      <c r="AL2793" s="133"/>
      <c r="AM2793" s="133"/>
      <c r="AN2793" s="133"/>
      <c r="AO2793" s="133"/>
      <c r="AP2793" s="133"/>
      <c r="AQ2793" s="133"/>
      <c r="AR2793" s="133"/>
      <c r="AS2793" s="153">
        <v>0</v>
      </c>
      <c r="AT2793" s="153">
        <v>0</v>
      </c>
      <c r="AU2793" s="153">
        <v>0</v>
      </c>
      <c r="AV2793" s="135"/>
      <c r="AW2793" s="135"/>
      <c r="AX2793" s="135"/>
      <c r="AY2793" s="135"/>
      <c r="AZ2793" s="135"/>
      <c r="BA2793" s="135"/>
      <c r="BB2793" s="135"/>
      <c r="BC2793" s="135"/>
      <c r="BD2793" s="135"/>
      <c r="BE2793" s="135"/>
      <c r="BF2793" s="135"/>
      <c r="BG2793" s="135"/>
      <c r="BH2793" s="135"/>
      <c r="BI2793" s="2"/>
      <c r="BJ2793" s="136"/>
      <c r="BK2793" s="2"/>
      <c r="BL2793" s="136"/>
      <c r="BM2793" s="136"/>
      <c r="BN2793" s="2"/>
      <c r="BO2793" s="2"/>
      <c r="BP2793" s="136"/>
      <c r="BQ2793" s="137"/>
    </row>
    <row r="2794" spans="1:69" ht="12.75" customHeight="1" x14ac:dyDescent="0.2">
      <c r="A2794" s="2">
        <v>4283</v>
      </c>
      <c r="B2794" s="2"/>
      <c r="C2794" s="2"/>
      <c r="D2794" s="2"/>
      <c r="E2794" s="2"/>
      <c r="F2794" s="132">
        <v>0</v>
      </c>
      <c r="G2794" s="132"/>
      <c r="H2794" s="132">
        <f t="shared" si="311"/>
        <v>0</v>
      </c>
      <c r="I2794" s="132"/>
      <c r="J2794" s="132">
        <f t="shared" si="316"/>
        <v>0</v>
      </c>
      <c r="K2794" s="132">
        <f t="shared" si="312"/>
        <v>0</v>
      </c>
      <c r="L2794" s="132">
        <f t="shared" si="313"/>
        <v>0</v>
      </c>
      <c r="M2794" s="133"/>
      <c r="N2794" s="133">
        <f t="shared" ref="N2794:N2857" si="317">IF(OR(BK2794="принят",BK2794="Завершено",BK2794="ПриПро"),H2794-J2794,F2794-J2794)</f>
        <v>0</v>
      </c>
      <c r="O2794" s="134"/>
      <c r="P2794" s="133"/>
      <c r="Q2794" s="2"/>
      <c r="R2794" s="156">
        <f t="shared" si="314"/>
        <v>0</v>
      </c>
      <c r="S2794" s="156">
        <f t="shared" si="315"/>
        <v>0</v>
      </c>
      <c r="T2794" s="133"/>
      <c r="U2794" s="133"/>
      <c r="V2794" s="133"/>
      <c r="W2794" s="133"/>
      <c r="X2794" s="133"/>
      <c r="Y2794" s="133"/>
      <c r="Z2794" s="133"/>
      <c r="AA2794" s="133"/>
      <c r="AB2794" s="133"/>
      <c r="AC2794" s="133"/>
      <c r="AD2794" s="133"/>
      <c r="AE2794" s="133"/>
      <c r="AF2794" s="133"/>
      <c r="AG2794" s="133"/>
      <c r="AH2794" s="133"/>
      <c r="AI2794" s="133"/>
      <c r="AJ2794" s="133"/>
      <c r="AK2794" s="133"/>
      <c r="AL2794" s="133"/>
      <c r="AM2794" s="133"/>
      <c r="AN2794" s="133"/>
      <c r="AO2794" s="133"/>
      <c r="AP2794" s="133"/>
      <c r="AQ2794" s="133"/>
      <c r="AR2794" s="133"/>
      <c r="AS2794" s="153">
        <v>0</v>
      </c>
      <c r="AT2794" s="153">
        <v>0</v>
      </c>
      <c r="AU2794" s="153">
        <v>0</v>
      </c>
      <c r="AV2794" s="135"/>
      <c r="AW2794" s="135"/>
      <c r="AX2794" s="135"/>
      <c r="AY2794" s="135"/>
      <c r="AZ2794" s="135"/>
      <c r="BA2794" s="135"/>
      <c r="BB2794" s="135"/>
      <c r="BC2794" s="135"/>
      <c r="BD2794" s="135"/>
      <c r="BE2794" s="135"/>
      <c r="BF2794" s="135"/>
      <c r="BG2794" s="135"/>
      <c r="BH2794" s="135"/>
      <c r="BI2794" s="2"/>
      <c r="BJ2794" s="136"/>
      <c r="BK2794" s="2"/>
      <c r="BL2794" s="136"/>
      <c r="BM2794" s="136"/>
      <c r="BN2794" s="2"/>
      <c r="BO2794" s="2"/>
      <c r="BP2794" s="136"/>
      <c r="BQ2794" s="137"/>
    </row>
    <row r="2795" spans="1:69" ht="12.75" customHeight="1" x14ac:dyDescent="0.2">
      <c r="A2795" s="2">
        <v>4284</v>
      </c>
      <c r="B2795" s="2"/>
      <c r="C2795" s="2"/>
      <c r="D2795" s="2"/>
      <c r="E2795" s="2"/>
      <c r="F2795" s="132">
        <v>0</v>
      </c>
      <c r="G2795" s="132"/>
      <c r="H2795" s="132">
        <f t="shared" si="311"/>
        <v>0</v>
      </c>
      <c r="I2795" s="132"/>
      <c r="J2795" s="132">
        <f t="shared" si="316"/>
        <v>0</v>
      </c>
      <c r="K2795" s="132">
        <f t="shared" si="312"/>
        <v>0</v>
      </c>
      <c r="L2795" s="132">
        <f t="shared" si="313"/>
        <v>0</v>
      </c>
      <c r="M2795" s="133"/>
      <c r="N2795" s="133">
        <f t="shared" si="317"/>
        <v>0</v>
      </c>
      <c r="O2795" s="134"/>
      <c r="P2795" s="133"/>
      <c r="Q2795" s="2"/>
      <c r="R2795" s="156">
        <f t="shared" si="314"/>
        <v>0</v>
      </c>
      <c r="S2795" s="156">
        <f t="shared" si="315"/>
        <v>0</v>
      </c>
      <c r="T2795" s="133"/>
      <c r="U2795" s="133"/>
      <c r="V2795" s="133"/>
      <c r="W2795" s="133"/>
      <c r="X2795" s="133"/>
      <c r="Y2795" s="133"/>
      <c r="Z2795" s="133"/>
      <c r="AA2795" s="133"/>
      <c r="AB2795" s="133"/>
      <c r="AC2795" s="133"/>
      <c r="AD2795" s="133"/>
      <c r="AE2795" s="133"/>
      <c r="AF2795" s="133"/>
      <c r="AG2795" s="133"/>
      <c r="AH2795" s="133"/>
      <c r="AI2795" s="133"/>
      <c r="AJ2795" s="133"/>
      <c r="AK2795" s="133"/>
      <c r="AL2795" s="133"/>
      <c r="AM2795" s="133"/>
      <c r="AN2795" s="133"/>
      <c r="AO2795" s="133"/>
      <c r="AP2795" s="133"/>
      <c r="AQ2795" s="133"/>
      <c r="AR2795" s="133"/>
      <c r="AS2795" s="153">
        <v>0</v>
      </c>
      <c r="AT2795" s="153">
        <v>0</v>
      </c>
      <c r="AU2795" s="153">
        <v>0</v>
      </c>
      <c r="AV2795" s="135"/>
      <c r="AW2795" s="135"/>
      <c r="AX2795" s="135"/>
      <c r="AY2795" s="135"/>
      <c r="AZ2795" s="135"/>
      <c r="BA2795" s="135"/>
      <c r="BB2795" s="135"/>
      <c r="BC2795" s="135"/>
      <c r="BD2795" s="135"/>
      <c r="BE2795" s="135"/>
      <c r="BF2795" s="135"/>
      <c r="BG2795" s="135"/>
      <c r="BH2795" s="135"/>
      <c r="BI2795" s="2"/>
      <c r="BJ2795" s="136"/>
      <c r="BK2795" s="2"/>
      <c r="BL2795" s="136"/>
      <c r="BM2795" s="136"/>
      <c r="BN2795" s="2"/>
      <c r="BO2795" s="2"/>
      <c r="BP2795" s="136"/>
      <c r="BQ2795" s="137"/>
    </row>
    <row r="2796" spans="1:69" ht="12.75" customHeight="1" x14ac:dyDescent="0.2">
      <c r="A2796" s="2">
        <v>4285</v>
      </c>
      <c r="B2796" s="2"/>
      <c r="C2796" s="2"/>
      <c r="D2796" s="2"/>
      <c r="E2796" s="2"/>
      <c r="F2796" s="132">
        <v>0</v>
      </c>
      <c r="G2796" s="132"/>
      <c r="H2796" s="132">
        <f t="shared" si="311"/>
        <v>0</v>
      </c>
      <c r="I2796" s="132"/>
      <c r="J2796" s="132">
        <f t="shared" si="316"/>
        <v>0</v>
      </c>
      <c r="K2796" s="132">
        <f t="shared" si="312"/>
        <v>0</v>
      </c>
      <c r="L2796" s="132">
        <f t="shared" si="313"/>
        <v>0</v>
      </c>
      <c r="M2796" s="133"/>
      <c r="N2796" s="133">
        <f t="shared" si="317"/>
        <v>0</v>
      </c>
      <c r="O2796" s="134"/>
      <c r="P2796" s="133"/>
      <c r="Q2796" s="2"/>
      <c r="R2796" s="156">
        <f t="shared" si="314"/>
        <v>0</v>
      </c>
      <c r="S2796" s="156">
        <f t="shared" si="315"/>
        <v>0</v>
      </c>
      <c r="T2796" s="133"/>
      <c r="U2796" s="133"/>
      <c r="V2796" s="133"/>
      <c r="W2796" s="133"/>
      <c r="X2796" s="133"/>
      <c r="Y2796" s="133"/>
      <c r="Z2796" s="133"/>
      <c r="AA2796" s="133"/>
      <c r="AB2796" s="133"/>
      <c r="AC2796" s="133"/>
      <c r="AD2796" s="133"/>
      <c r="AE2796" s="133"/>
      <c r="AF2796" s="133"/>
      <c r="AG2796" s="133"/>
      <c r="AH2796" s="133"/>
      <c r="AI2796" s="133"/>
      <c r="AJ2796" s="133"/>
      <c r="AK2796" s="133"/>
      <c r="AL2796" s="133"/>
      <c r="AM2796" s="133"/>
      <c r="AN2796" s="133"/>
      <c r="AO2796" s="133"/>
      <c r="AP2796" s="133"/>
      <c r="AQ2796" s="133"/>
      <c r="AR2796" s="133"/>
      <c r="AS2796" s="153">
        <v>0</v>
      </c>
      <c r="AT2796" s="153">
        <v>0</v>
      </c>
      <c r="AU2796" s="153">
        <v>0</v>
      </c>
      <c r="AV2796" s="135"/>
      <c r="AW2796" s="135"/>
      <c r="AX2796" s="135"/>
      <c r="AY2796" s="135"/>
      <c r="AZ2796" s="135"/>
      <c r="BA2796" s="135"/>
      <c r="BB2796" s="135"/>
      <c r="BC2796" s="135"/>
      <c r="BD2796" s="135"/>
      <c r="BE2796" s="135"/>
      <c r="BF2796" s="135"/>
      <c r="BG2796" s="135"/>
      <c r="BH2796" s="135"/>
      <c r="BI2796" s="2"/>
      <c r="BJ2796" s="136"/>
      <c r="BK2796" s="2"/>
      <c r="BL2796" s="136"/>
      <c r="BM2796" s="136"/>
      <c r="BN2796" s="2"/>
      <c r="BO2796" s="2"/>
      <c r="BP2796" s="136"/>
      <c r="BQ2796" s="137"/>
    </row>
    <row r="2797" spans="1:69" ht="12.75" customHeight="1" x14ac:dyDescent="0.2">
      <c r="A2797" s="2">
        <v>4286</v>
      </c>
      <c r="B2797" s="2"/>
      <c r="C2797" s="2"/>
      <c r="D2797" s="2"/>
      <c r="E2797" s="2"/>
      <c r="F2797" s="132">
        <v>0</v>
      </c>
      <c r="G2797" s="132"/>
      <c r="H2797" s="132">
        <f t="shared" si="311"/>
        <v>0</v>
      </c>
      <c r="I2797" s="132"/>
      <c r="J2797" s="132">
        <f t="shared" si="316"/>
        <v>0</v>
      </c>
      <c r="K2797" s="132">
        <f t="shared" si="312"/>
        <v>0</v>
      </c>
      <c r="L2797" s="132">
        <f t="shared" si="313"/>
        <v>0</v>
      </c>
      <c r="M2797" s="133"/>
      <c r="N2797" s="133">
        <f t="shared" si="317"/>
        <v>0</v>
      </c>
      <c r="O2797" s="134"/>
      <c r="P2797" s="133"/>
      <c r="Q2797" s="2"/>
      <c r="R2797" s="156">
        <f t="shared" si="314"/>
        <v>0</v>
      </c>
      <c r="S2797" s="156">
        <f t="shared" si="315"/>
        <v>0</v>
      </c>
      <c r="T2797" s="133"/>
      <c r="U2797" s="133"/>
      <c r="V2797" s="133"/>
      <c r="W2797" s="133"/>
      <c r="X2797" s="133"/>
      <c r="Y2797" s="133"/>
      <c r="Z2797" s="133"/>
      <c r="AA2797" s="133"/>
      <c r="AB2797" s="133"/>
      <c r="AC2797" s="133"/>
      <c r="AD2797" s="133"/>
      <c r="AE2797" s="133"/>
      <c r="AF2797" s="133"/>
      <c r="AG2797" s="133"/>
      <c r="AH2797" s="133"/>
      <c r="AI2797" s="133"/>
      <c r="AJ2797" s="133"/>
      <c r="AK2797" s="133"/>
      <c r="AL2797" s="133"/>
      <c r="AM2797" s="133"/>
      <c r="AN2797" s="133"/>
      <c r="AO2797" s="133"/>
      <c r="AP2797" s="133"/>
      <c r="AQ2797" s="133"/>
      <c r="AR2797" s="133"/>
      <c r="AS2797" s="153">
        <v>0</v>
      </c>
      <c r="AT2797" s="153">
        <v>0</v>
      </c>
      <c r="AU2797" s="153">
        <v>0</v>
      </c>
      <c r="AV2797" s="135"/>
      <c r="AW2797" s="135"/>
      <c r="AX2797" s="135"/>
      <c r="AY2797" s="135"/>
      <c r="AZ2797" s="135"/>
      <c r="BA2797" s="135"/>
      <c r="BB2797" s="135"/>
      <c r="BC2797" s="135"/>
      <c r="BD2797" s="135"/>
      <c r="BE2797" s="135"/>
      <c r="BF2797" s="135"/>
      <c r="BG2797" s="135"/>
      <c r="BH2797" s="135"/>
      <c r="BI2797" s="2"/>
      <c r="BJ2797" s="136"/>
      <c r="BK2797" s="2"/>
      <c r="BL2797" s="136"/>
      <c r="BM2797" s="136"/>
      <c r="BN2797" s="2"/>
      <c r="BO2797" s="2"/>
      <c r="BP2797" s="136"/>
      <c r="BQ2797" s="137"/>
    </row>
    <row r="2798" spans="1:69" ht="12.75" customHeight="1" x14ac:dyDescent="0.2">
      <c r="A2798" s="2">
        <v>4287</v>
      </c>
      <c r="B2798" s="2"/>
      <c r="C2798" s="2"/>
      <c r="D2798" s="2"/>
      <c r="E2798" s="2"/>
      <c r="F2798" s="132">
        <v>0</v>
      </c>
      <c r="G2798" s="132"/>
      <c r="H2798" s="132">
        <f t="shared" ref="H2798:H2861" si="318">R2798</f>
        <v>0</v>
      </c>
      <c r="I2798" s="132"/>
      <c r="J2798" s="132">
        <f t="shared" si="316"/>
        <v>0</v>
      </c>
      <c r="K2798" s="132">
        <f t="shared" si="312"/>
        <v>0</v>
      </c>
      <c r="L2798" s="132">
        <f t="shared" si="313"/>
        <v>0</v>
      </c>
      <c r="M2798" s="133"/>
      <c r="N2798" s="133">
        <f t="shared" si="317"/>
        <v>0</v>
      </c>
      <c r="O2798" s="134"/>
      <c r="P2798" s="133"/>
      <c r="Q2798" s="2"/>
      <c r="R2798" s="156">
        <f t="shared" si="314"/>
        <v>0</v>
      </c>
      <c r="S2798" s="156">
        <f t="shared" si="315"/>
        <v>0</v>
      </c>
      <c r="T2798" s="133"/>
      <c r="U2798" s="133"/>
      <c r="V2798" s="133"/>
      <c r="W2798" s="133"/>
      <c r="X2798" s="133"/>
      <c r="Y2798" s="133"/>
      <c r="Z2798" s="133"/>
      <c r="AA2798" s="133"/>
      <c r="AB2798" s="133"/>
      <c r="AC2798" s="133"/>
      <c r="AD2798" s="133"/>
      <c r="AE2798" s="133"/>
      <c r="AF2798" s="133"/>
      <c r="AG2798" s="133"/>
      <c r="AH2798" s="133"/>
      <c r="AI2798" s="133"/>
      <c r="AJ2798" s="133"/>
      <c r="AK2798" s="133"/>
      <c r="AL2798" s="133"/>
      <c r="AM2798" s="133"/>
      <c r="AN2798" s="133"/>
      <c r="AO2798" s="133"/>
      <c r="AP2798" s="133"/>
      <c r="AQ2798" s="133"/>
      <c r="AR2798" s="133"/>
      <c r="AS2798" s="153">
        <v>0</v>
      </c>
      <c r="AT2798" s="153">
        <v>0</v>
      </c>
      <c r="AU2798" s="153">
        <v>0</v>
      </c>
      <c r="AV2798" s="135"/>
      <c r="AW2798" s="135"/>
      <c r="AX2798" s="135"/>
      <c r="AY2798" s="135"/>
      <c r="AZ2798" s="135"/>
      <c r="BA2798" s="135"/>
      <c r="BB2798" s="135"/>
      <c r="BC2798" s="135"/>
      <c r="BD2798" s="135"/>
      <c r="BE2798" s="135"/>
      <c r="BF2798" s="135"/>
      <c r="BG2798" s="135"/>
      <c r="BH2798" s="135"/>
      <c r="BI2798" s="2"/>
      <c r="BJ2798" s="136"/>
      <c r="BK2798" s="2"/>
      <c r="BL2798" s="136"/>
      <c r="BM2798" s="136"/>
      <c r="BN2798" s="2"/>
      <c r="BO2798" s="2"/>
      <c r="BP2798" s="136"/>
      <c r="BQ2798" s="137"/>
    </row>
    <row r="2799" spans="1:69" ht="12.75" customHeight="1" x14ac:dyDescent="0.2">
      <c r="A2799" s="2">
        <v>4288</v>
      </c>
      <c r="B2799" s="2"/>
      <c r="C2799" s="2"/>
      <c r="D2799" s="2"/>
      <c r="E2799" s="2"/>
      <c r="F2799" s="132">
        <v>0</v>
      </c>
      <c r="G2799" s="132"/>
      <c r="H2799" s="132">
        <f t="shared" si="318"/>
        <v>0</v>
      </c>
      <c r="I2799" s="132"/>
      <c r="J2799" s="132">
        <f t="shared" si="316"/>
        <v>0</v>
      </c>
      <c r="K2799" s="132">
        <f t="shared" si="312"/>
        <v>0</v>
      </c>
      <c r="L2799" s="132">
        <f t="shared" si="313"/>
        <v>0</v>
      </c>
      <c r="M2799" s="133"/>
      <c r="N2799" s="133">
        <f t="shared" si="317"/>
        <v>0</v>
      </c>
      <c r="O2799" s="134"/>
      <c r="P2799" s="133"/>
      <c r="Q2799" s="2"/>
      <c r="R2799" s="156">
        <f t="shared" si="314"/>
        <v>0</v>
      </c>
      <c r="S2799" s="156">
        <f t="shared" si="315"/>
        <v>0</v>
      </c>
      <c r="T2799" s="133"/>
      <c r="U2799" s="133"/>
      <c r="V2799" s="133"/>
      <c r="W2799" s="133"/>
      <c r="X2799" s="133"/>
      <c r="Y2799" s="133"/>
      <c r="Z2799" s="133"/>
      <c r="AA2799" s="133"/>
      <c r="AB2799" s="133"/>
      <c r="AC2799" s="133"/>
      <c r="AD2799" s="133"/>
      <c r="AE2799" s="133"/>
      <c r="AF2799" s="133"/>
      <c r="AG2799" s="133"/>
      <c r="AH2799" s="133"/>
      <c r="AI2799" s="133"/>
      <c r="AJ2799" s="133"/>
      <c r="AK2799" s="133"/>
      <c r="AL2799" s="133"/>
      <c r="AM2799" s="133"/>
      <c r="AN2799" s="133"/>
      <c r="AO2799" s="133"/>
      <c r="AP2799" s="133"/>
      <c r="AQ2799" s="133"/>
      <c r="AR2799" s="133"/>
      <c r="AS2799" s="153">
        <v>0</v>
      </c>
      <c r="AT2799" s="153">
        <v>0</v>
      </c>
      <c r="AU2799" s="153">
        <v>0</v>
      </c>
      <c r="AV2799" s="135"/>
      <c r="AW2799" s="135"/>
      <c r="AX2799" s="135"/>
      <c r="AY2799" s="135"/>
      <c r="AZ2799" s="135"/>
      <c r="BA2799" s="135"/>
      <c r="BB2799" s="135"/>
      <c r="BC2799" s="135"/>
      <c r="BD2799" s="135"/>
      <c r="BE2799" s="135"/>
      <c r="BF2799" s="135"/>
      <c r="BG2799" s="135"/>
      <c r="BH2799" s="135"/>
      <c r="BI2799" s="2"/>
      <c r="BJ2799" s="136"/>
      <c r="BK2799" s="2"/>
      <c r="BL2799" s="136"/>
      <c r="BM2799" s="136"/>
      <c r="BN2799" s="2"/>
      <c r="BO2799" s="2"/>
      <c r="BP2799" s="136"/>
      <c r="BQ2799" s="137"/>
    </row>
    <row r="2800" spans="1:69" ht="12.75" customHeight="1" x14ac:dyDescent="0.2">
      <c r="A2800" s="2">
        <v>4289</v>
      </c>
      <c r="B2800" s="2"/>
      <c r="C2800" s="2"/>
      <c r="D2800" s="2"/>
      <c r="E2800" s="2"/>
      <c r="F2800" s="132">
        <v>0</v>
      </c>
      <c r="G2800" s="132"/>
      <c r="H2800" s="132">
        <f t="shared" si="318"/>
        <v>0</v>
      </c>
      <c r="I2800" s="132"/>
      <c r="J2800" s="132">
        <f t="shared" si="316"/>
        <v>0</v>
      </c>
      <c r="K2800" s="132">
        <f t="shared" si="312"/>
        <v>0</v>
      </c>
      <c r="L2800" s="132">
        <f t="shared" si="313"/>
        <v>0</v>
      </c>
      <c r="M2800" s="133"/>
      <c r="N2800" s="133">
        <f t="shared" si="317"/>
        <v>0</v>
      </c>
      <c r="O2800" s="134"/>
      <c r="P2800" s="133"/>
      <c r="Q2800" s="2"/>
      <c r="R2800" s="156">
        <f t="shared" si="314"/>
        <v>0</v>
      </c>
      <c r="S2800" s="156">
        <f t="shared" si="315"/>
        <v>0</v>
      </c>
      <c r="T2800" s="133"/>
      <c r="U2800" s="133"/>
      <c r="V2800" s="133"/>
      <c r="W2800" s="133"/>
      <c r="X2800" s="133"/>
      <c r="Y2800" s="133"/>
      <c r="Z2800" s="133"/>
      <c r="AA2800" s="133"/>
      <c r="AB2800" s="133"/>
      <c r="AC2800" s="133"/>
      <c r="AD2800" s="133"/>
      <c r="AE2800" s="133"/>
      <c r="AF2800" s="133"/>
      <c r="AG2800" s="133"/>
      <c r="AH2800" s="133"/>
      <c r="AI2800" s="133"/>
      <c r="AJ2800" s="133"/>
      <c r="AK2800" s="133"/>
      <c r="AL2800" s="133"/>
      <c r="AM2800" s="133"/>
      <c r="AN2800" s="133"/>
      <c r="AO2800" s="133"/>
      <c r="AP2800" s="133"/>
      <c r="AQ2800" s="133"/>
      <c r="AR2800" s="133"/>
      <c r="AS2800" s="153">
        <v>0</v>
      </c>
      <c r="AT2800" s="153">
        <v>0</v>
      </c>
      <c r="AU2800" s="153">
        <v>0</v>
      </c>
      <c r="AV2800" s="135"/>
      <c r="AW2800" s="135"/>
      <c r="AX2800" s="135"/>
      <c r="AY2800" s="135"/>
      <c r="AZ2800" s="135"/>
      <c r="BA2800" s="135"/>
      <c r="BB2800" s="135"/>
      <c r="BC2800" s="135"/>
      <c r="BD2800" s="135"/>
      <c r="BE2800" s="135"/>
      <c r="BF2800" s="135"/>
      <c r="BG2800" s="135"/>
      <c r="BH2800" s="135"/>
      <c r="BI2800" s="2"/>
      <c r="BJ2800" s="136"/>
      <c r="BK2800" s="2"/>
      <c r="BL2800" s="136"/>
      <c r="BM2800" s="136"/>
      <c r="BN2800" s="2"/>
      <c r="BO2800" s="2"/>
      <c r="BP2800" s="136"/>
      <c r="BQ2800" s="137"/>
    </row>
    <row r="2801" spans="1:69" ht="12.75" customHeight="1" x14ac:dyDescent="0.2">
      <c r="A2801" s="2">
        <v>4290</v>
      </c>
      <c r="B2801" s="2"/>
      <c r="C2801" s="2"/>
      <c r="D2801" s="2"/>
      <c r="E2801" s="2"/>
      <c r="F2801" s="132">
        <v>0</v>
      </c>
      <c r="G2801" s="132"/>
      <c r="H2801" s="132">
        <f t="shared" si="318"/>
        <v>0</v>
      </c>
      <c r="I2801" s="132"/>
      <c r="J2801" s="132">
        <f t="shared" si="316"/>
        <v>0</v>
      </c>
      <c r="K2801" s="132">
        <f t="shared" si="312"/>
        <v>0</v>
      </c>
      <c r="L2801" s="132">
        <f t="shared" si="313"/>
        <v>0</v>
      </c>
      <c r="M2801" s="133"/>
      <c r="N2801" s="133">
        <f t="shared" si="317"/>
        <v>0</v>
      </c>
      <c r="O2801" s="134"/>
      <c r="P2801" s="133"/>
      <c r="Q2801" s="2"/>
      <c r="R2801" s="156">
        <f t="shared" si="314"/>
        <v>0</v>
      </c>
      <c r="S2801" s="156">
        <f t="shared" si="315"/>
        <v>0</v>
      </c>
      <c r="T2801" s="133"/>
      <c r="U2801" s="133"/>
      <c r="V2801" s="133"/>
      <c r="W2801" s="133"/>
      <c r="X2801" s="133"/>
      <c r="Y2801" s="133"/>
      <c r="Z2801" s="133"/>
      <c r="AA2801" s="133"/>
      <c r="AB2801" s="133"/>
      <c r="AC2801" s="133"/>
      <c r="AD2801" s="133"/>
      <c r="AE2801" s="133"/>
      <c r="AF2801" s="133"/>
      <c r="AG2801" s="133"/>
      <c r="AH2801" s="133"/>
      <c r="AI2801" s="133"/>
      <c r="AJ2801" s="133"/>
      <c r="AK2801" s="133"/>
      <c r="AL2801" s="133"/>
      <c r="AM2801" s="133"/>
      <c r="AN2801" s="133"/>
      <c r="AO2801" s="133"/>
      <c r="AP2801" s="133"/>
      <c r="AQ2801" s="133"/>
      <c r="AR2801" s="133"/>
      <c r="AS2801" s="153">
        <v>0</v>
      </c>
      <c r="AT2801" s="153">
        <v>0</v>
      </c>
      <c r="AU2801" s="153">
        <v>0</v>
      </c>
      <c r="AV2801" s="135"/>
      <c r="AW2801" s="135"/>
      <c r="AX2801" s="135"/>
      <c r="AY2801" s="135"/>
      <c r="AZ2801" s="135"/>
      <c r="BA2801" s="135"/>
      <c r="BB2801" s="135"/>
      <c r="BC2801" s="135"/>
      <c r="BD2801" s="135"/>
      <c r="BE2801" s="135"/>
      <c r="BF2801" s="135"/>
      <c r="BG2801" s="135"/>
      <c r="BH2801" s="135"/>
      <c r="BI2801" s="2"/>
      <c r="BJ2801" s="136"/>
      <c r="BK2801" s="2"/>
      <c r="BL2801" s="136"/>
      <c r="BM2801" s="136"/>
      <c r="BN2801" s="2"/>
      <c r="BO2801" s="2"/>
      <c r="BP2801" s="136"/>
      <c r="BQ2801" s="137"/>
    </row>
    <row r="2802" spans="1:69" ht="12.75" customHeight="1" x14ac:dyDescent="0.2">
      <c r="A2802" s="2">
        <v>4291</v>
      </c>
      <c r="B2802" s="2"/>
      <c r="C2802" s="2"/>
      <c r="D2802" s="2"/>
      <c r="E2802" s="2"/>
      <c r="F2802" s="132">
        <v>0</v>
      </c>
      <c r="G2802" s="132"/>
      <c r="H2802" s="132">
        <f t="shared" si="318"/>
        <v>0</v>
      </c>
      <c r="I2802" s="132"/>
      <c r="J2802" s="132">
        <f t="shared" si="316"/>
        <v>0</v>
      </c>
      <c r="K2802" s="132">
        <f t="shared" si="312"/>
        <v>0</v>
      </c>
      <c r="L2802" s="132">
        <f t="shared" si="313"/>
        <v>0</v>
      </c>
      <c r="M2802" s="133"/>
      <c r="N2802" s="133">
        <f t="shared" si="317"/>
        <v>0</v>
      </c>
      <c r="O2802" s="134"/>
      <c r="P2802" s="133"/>
      <c r="Q2802" s="2"/>
      <c r="R2802" s="156">
        <f t="shared" si="314"/>
        <v>0</v>
      </c>
      <c r="S2802" s="156">
        <f t="shared" si="315"/>
        <v>0</v>
      </c>
      <c r="T2802" s="133"/>
      <c r="U2802" s="133"/>
      <c r="V2802" s="133"/>
      <c r="W2802" s="133"/>
      <c r="X2802" s="133"/>
      <c r="Y2802" s="133"/>
      <c r="Z2802" s="133"/>
      <c r="AA2802" s="133"/>
      <c r="AB2802" s="133"/>
      <c r="AC2802" s="133"/>
      <c r="AD2802" s="133"/>
      <c r="AE2802" s="133"/>
      <c r="AF2802" s="133"/>
      <c r="AG2802" s="133"/>
      <c r="AH2802" s="133"/>
      <c r="AI2802" s="133"/>
      <c r="AJ2802" s="133"/>
      <c r="AK2802" s="133"/>
      <c r="AL2802" s="133"/>
      <c r="AM2802" s="133"/>
      <c r="AN2802" s="133"/>
      <c r="AO2802" s="133"/>
      <c r="AP2802" s="133"/>
      <c r="AQ2802" s="133"/>
      <c r="AR2802" s="133"/>
      <c r="AS2802" s="153">
        <v>0</v>
      </c>
      <c r="AT2802" s="153">
        <v>0</v>
      </c>
      <c r="AU2802" s="153">
        <v>0</v>
      </c>
      <c r="AV2802" s="135"/>
      <c r="AW2802" s="135"/>
      <c r="AX2802" s="135"/>
      <c r="AY2802" s="135"/>
      <c r="AZ2802" s="135"/>
      <c r="BA2802" s="135"/>
      <c r="BB2802" s="135"/>
      <c r="BC2802" s="135"/>
      <c r="BD2802" s="135"/>
      <c r="BE2802" s="135"/>
      <c r="BF2802" s="135"/>
      <c r="BG2802" s="135"/>
      <c r="BH2802" s="135"/>
      <c r="BI2802" s="2"/>
      <c r="BJ2802" s="136"/>
      <c r="BK2802" s="2"/>
      <c r="BL2802" s="136"/>
      <c r="BM2802" s="136"/>
      <c r="BN2802" s="2"/>
      <c r="BO2802" s="2"/>
      <c r="BP2802" s="136"/>
      <c r="BQ2802" s="137"/>
    </row>
    <row r="2803" spans="1:69" ht="12.75" customHeight="1" x14ac:dyDescent="0.2">
      <c r="A2803" s="2">
        <v>4292</v>
      </c>
      <c r="B2803" s="2"/>
      <c r="C2803" s="2"/>
      <c r="D2803" s="2"/>
      <c r="E2803" s="2"/>
      <c r="F2803" s="132">
        <v>0</v>
      </c>
      <c r="G2803" s="132"/>
      <c r="H2803" s="132">
        <f t="shared" si="318"/>
        <v>0</v>
      </c>
      <c r="I2803" s="132"/>
      <c r="J2803" s="132">
        <f t="shared" si="316"/>
        <v>0</v>
      </c>
      <c r="K2803" s="132">
        <f t="shared" si="312"/>
        <v>0</v>
      </c>
      <c r="L2803" s="132">
        <f t="shared" si="313"/>
        <v>0</v>
      </c>
      <c r="M2803" s="133"/>
      <c r="N2803" s="133">
        <f t="shared" si="317"/>
        <v>0</v>
      </c>
      <c r="O2803" s="134"/>
      <c r="P2803" s="133"/>
      <c r="Q2803" s="2"/>
      <c r="R2803" s="156">
        <f t="shared" si="314"/>
        <v>0</v>
      </c>
      <c r="S2803" s="156">
        <f t="shared" si="315"/>
        <v>0</v>
      </c>
      <c r="T2803" s="133"/>
      <c r="U2803" s="133"/>
      <c r="V2803" s="133"/>
      <c r="W2803" s="133"/>
      <c r="X2803" s="133"/>
      <c r="Y2803" s="133"/>
      <c r="Z2803" s="133"/>
      <c r="AA2803" s="133"/>
      <c r="AB2803" s="133"/>
      <c r="AC2803" s="133"/>
      <c r="AD2803" s="133"/>
      <c r="AE2803" s="133"/>
      <c r="AF2803" s="133"/>
      <c r="AG2803" s="133"/>
      <c r="AH2803" s="133"/>
      <c r="AI2803" s="133"/>
      <c r="AJ2803" s="133"/>
      <c r="AK2803" s="133"/>
      <c r="AL2803" s="133"/>
      <c r="AM2803" s="133"/>
      <c r="AN2803" s="133"/>
      <c r="AO2803" s="133"/>
      <c r="AP2803" s="133"/>
      <c r="AQ2803" s="133"/>
      <c r="AR2803" s="133"/>
      <c r="AS2803" s="153">
        <v>0</v>
      </c>
      <c r="AT2803" s="153">
        <v>0</v>
      </c>
      <c r="AU2803" s="153">
        <v>0</v>
      </c>
      <c r="AV2803" s="135"/>
      <c r="AW2803" s="135"/>
      <c r="AX2803" s="135"/>
      <c r="AY2803" s="135"/>
      <c r="AZ2803" s="135"/>
      <c r="BA2803" s="135"/>
      <c r="BB2803" s="135"/>
      <c r="BC2803" s="135"/>
      <c r="BD2803" s="135"/>
      <c r="BE2803" s="135"/>
      <c r="BF2803" s="135"/>
      <c r="BG2803" s="135"/>
      <c r="BH2803" s="135"/>
      <c r="BI2803" s="2"/>
      <c r="BJ2803" s="136"/>
      <c r="BK2803" s="2"/>
      <c r="BL2803" s="136"/>
      <c r="BM2803" s="136"/>
      <c r="BN2803" s="2"/>
      <c r="BO2803" s="2"/>
      <c r="BP2803" s="136"/>
      <c r="BQ2803" s="137"/>
    </row>
    <row r="2804" spans="1:69" ht="12.75" customHeight="1" x14ac:dyDescent="0.2">
      <c r="A2804" s="2">
        <v>4293</v>
      </c>
      <c r="B2804" s="2"/>
      <c r="C2804" s="2"/>
      <c r="D2804" s="2"/>
      <c r="E2804" s="2"/>
      <c r="F2804" s="132">
        <v>0</v>
      </c>
      <c r="G2804" s="132"/>
      <c r="H2804" s="132">
        <f t="shared" si="318"/>
        <v>0</v>
      </c>
      <c r="I2804" s="132"/>
      <c r="J2804" s="132">
        <f t="shared" si="316"/>
        <v>0</v>
      </c>
      <c r="K2804" s="132">
        <f t="shared" si="312"/>
        <v>0</v>
      </c>
      <c r="L2804" s="132">
        <f t="shared" si="313"/>
        <v>0</v>
      </c>
      <c r="M2804" s="133"/>
      <c r="N2804" s="133">
        <f t="shared" si="317"/>
        <v>0</v>
      </c>
      <c r="O2804" s="134"/>
      <c r="P2804" s="133"/>
      <c r="Q2804" s="2"/>
      <c r="R2804" s="156">
        <f t="shared" si="314"/>
        <v>0</v>
      </c>
      <c r="S2804" s="156">
        <f t="shared" si="315"/>
        <v>0</v>
      </c>
      <c r="T2804" s="133"/>
      <c r="U2804" s="133"/>
      <c r="V2804" s="133"/>
      <c r="W2804" s="133"/>
      <c r="X2804" s="133"/>
      <c r="Y2804" s="133"/>
      <c r="Z2804" s="133"/>
      <c r="AA2804" s="133"/>
      <c r="AB2804" s="133"/>
      <c r="AC2804" s="133"/>
      <c r="AD2804" s="133"/>
      <c r="AE2804" s="133"/>
      <c r="AF2804" s="133"/>
      <c r="AG2804" s="133"/>
      <c r="AH2804" s="133"/>
      <c r="AI2804" s="133"/>
      <c r="AJ2804" s="133"/>
      <c r="AK2804" s="133"/>
      <c r="AL2804" s="133"/>
      <c r="AM2804" s="133"/>
      <c r="AN2804" s="133"/>
      <c r="AO2804" s="133"/>
      <c r="AP2804" s="133"/>
      <c r="AQ2804" s="133"/>
      <c r="AR2804" s="133"/>
      <c r="AS2804" s="153">
        <v>0</v>
      </c>
      <c r="AT2804" s="153">
        <v>0</v>
      </c>
      <c r="AU2804" s="153">
        <v>0</v>
      </c>
      <c r="AV2804" s="135"/>
      <c r="AW2804" s="135"/>
      <c r="AX2804" s="135"/>
      <c r="AY2804" s="135"/>
      <c r="AZ2804" s="135"/>
      <c r="BA2804" s="135"/>
      <c r="BB2804" s="135"/>
      <c r="BC2804" s="135"/>
      <c r="BD2804" s="135"/>
      <c r="BE2804" s="135"/>
      <c r="BF2804" s="135"/>
      <c r="BG2804" s="135"/>
      <c r="BH2804" s="135"/>
      <c r="BI2804" s="2"/>
      <c r="BJ2804" s="136"/>
      <c r="BK2804" s="2"/>
      <c r="BL2804" s="136"/>
      <c r="BM2804" s="136"/>
      <c r="BN2804" s="2"/>
      <c r="BO2804" s="2"/>
      <c r="BP2804" s="136"/>
      <c r="BQ2804" s="137"/>
    </row>
    <row r="2805" spans="1:69" ht="12.75" customHeight="1" x14ac:dyDescent="0.2">
      <c r="A2805" s="2">
        <v>4294</v>
      </c>
      <c r="B2805" s="2"/>
      <c r="C2805" s="2"/>
      <c r="D2805" s="2"/>
      <c r="E2805" s="2"/>
      <c r="F2805" s="132">
        <v>0</v>
      </c>
      <c r="G2805" s="132"/>
      <c r="H2805" s="132">
        <f t="shared" si="318"/>
        <v>0</v>
      </c>
      <c r="I2805" s="132"/>
      <c r="J2805" s="132">
        <f t="shared" si="316"/>
        <v>0</v>
      </c>
      <c r="K2805" s="132">
        <f t="shared" si="312"/>
        <v>0</v>
      </c>
      <c r="L2805" s="132">
        <f t="shared" si="313"/>
        <v>0</v>
      </c>
      <c r="M2805" s="133"/>
      <c r="N2805" s="133">
        <f t="shared" si="317"/>
        <v>0</v>
      </c>
      <c r="O2805" s="134"/>
      <c r="P2805" s="133"/>
      <c r="Q2805" s="2"/>
      <c r="R2805" s="156">
        <f t="shared" si="314"/>
        <v>0</v>
      </c>
      <c r="S2805" s="156">
        <f t="shared" si="315"/>
        <v>0</v>
      </c>
      <c r="T2805" s="133"/>
      <c r="U2805" s="133"/>
      <c r="V2805" s="133"/>
      <c r="W2805" s="133"/>
      <c r="X2805" s="133"/>
      <c r="Y2805" s="133"/>
      <c r="Z2805" s="133"/>
      <c r="AA2805" s="133"/>
      <c r="AB2805" s="133"/>
      <c r="AC2805" s="133"/>
      <c r="AD2805" s="133"/>
      <c r="AE2805" s="133"/>
      <c r="AF2805" s="133"/>
      <c r="AG2805" s="133"/>
      <c r="AH2805" s="133"/>
      <c r="AI2805" s="133"/>
      <c r="AJ2805" s="133"/>
      <c r="AK2805" s="133"/>
      <c r="AL2805" s="133"/>
      <c r="AM2805" s="133"/>
      <c r="AN2805" s="133"/>
      <c r="AO2805" s="133"/>
      <c r="AP2805" s="133"/>
      <c r="AQ2805" s="133"/>
      <c r="AR2805" s="133"/>
      <c r="AS2805" s="153">
        <v>0</v>
      </c>
      <c r="AT2805" s="153">
        <v>0</v>
      </c>
      <c r="AU2805" s="153">
        <v>0</v>
      </c>
      <c r="AV2805" s="135"/>
      <c r="AW2805" s="135"/>
      <c r="AX2805" s="135"/>
      <c r="AY2805" s="135"/>
      <c r="AZ2805" s="135"/>
      <c r="BA2805" s="135"/>
      <c r="BB2805" s="135"/>
      <c r="BC2805" s="135"/>
      <c r="BD2805" s="135"/>
      <c r="BE2805" s="135"/>
      <c r="BF2805" s="135"/>
      <c r="BG2805" s="135"/>
      <c r="BH2805" s="135"/>
      <c r="BI2805" s="2"/>
      <c r="BJ2805" s="136"/>
      <c r="BK2805" s="2"/>
      <c r="BL2805" s="136"/>
      <c r="BM2805" s="136"/>
      <c r="BN2805" s="2"/>
      <c r="BO2805" s="2"/>
      <c r="BP2805" s="136"/>
      <c r="BQ2805" s="137"/>
    </row>
    <row r="2806" spans="1:69" ht="12.75" customHeight="1" x14ac:dyDescent="0.2">
      <c r="A2806" s="2">
        <v>4295</v>
      </c>
      <c r="B2806" s="2"/>
      <c r="C2806" s="2"/>
      <c r="D2806" s="2"/>
      <c r="E2806" s="2"/>
      <c r="F2806" s="132">
        <v>0</v>
      </c>
      <c r="G2806" s="132"/>
      <c r="H2806" s="132">
        <f t="shared" si="318"/>
        <v>0</v>
      </c>
      <c r="I2806" s="132"/>
      <c r="J2806" s="132">
        <f t="shared" si="316"/>
        <v>0</v>
      </c>
      <c r="K2806" s="132">
        <f t="shared" ref="K2806:K2869" si="319">F2806-J2806</f>
        <v>0</v>
      </c>
      <c r="L2806" s="132">
        <f t="shared" si="313"/>
        <v>0</v>
      </c>
      <c r="M2806" s="133"/>
      <c r="N2806" s="133">
        <f t="shared" si="317"/>
        <v>0</v>
      </c>
      <c r="O2806" s="134"/>
      <c r="P2806" s="133"/>
      <c r="Q2806" s="2"/>
      <c r="R2806" s="156">
        <f t="shared" si="314"/>
        <v>0</v>
      </c>
      <c r="S2806" s="156">
        <f t="shared" si="315"/>
        <v>0</v>
      </c>
      <c r="T2806" s="133"/>
      <c r="U2806" s="133"/>
      <c r="V2806" s="133"/>
      <c r="W2806" s="133"/>
      <c r="X2806" s="133"/>
      <c r="Y2806" s="133"/>
      <c r="Z2806" s="133"/>
      <c r="AA2806" s="133"/>
      <c r="AB2806" s="133"/>
      <c r="AC2806" s="133"/>
      <c r="AD2806" s="133"/>
      <c r="AE2806" s="133"/>
      <c r="AF2806" s="133"/>
      <c r="AG2806" s="133"/>
      <c r="AH2806" s="133"/>
      <c r="AI2806" s="133"/>
      <c r="AJ2806" s="133"/>
      <c r="AK2806" s="133"/>
      <c r="AL2806" s="133"/>
      <c r="AM2806" s="133"/>
      <c r="AN2806" s="133"/>
      <c r="AO2806" s="133"/>
      <c r="AP2806" s="133"/>
      <c r="AQ2806" s="133"/>
      <c r="AR2806" s="133"/>
      <c r="AS2806" s="153">
        <v>0</v>
      </c>
      <c r="AT2806" s="153">
        <v>0</v>
      </c>
      <c r="AU2806" s="153">
        <v>0</v>
      </c>
      <c r="AV2806" s="135"/>
      <c r="AW2806" s="135"/>
      <c r="AX2806" s="135"/>
      <c r="AY2806" s="135"/>
      <c r="AZ2806" s="135"/>
      <c r="BA2806" s="135"/>
      <c r="BB2806" s="135"/>
      <c r="BC2806" s="135"/>
      <c r="BD2806" s="135"/>
      <c r="BE2806" s="135"/>
      <c r="BF2806" s="135"/>
      <c r="BG2806" s="135"/>
      <c r="BH2806" s="135"/>
      <c r="BI2806" s="2"/>
      <c r="BJ2806" s="136"/>
      <c r="BK2806" s="2"/>
      <c r="BL2806" s="136"/>
      <c r="BM2806" s="136"/>
      <c r="BN2806" s="2"/>
      <c r="BO2806" s="2"/>
      <c r="BP2806" s="136"/>
      <c r="BQ2806" s="137"/>
    </row>
    <row r="2807" spans="1:69" ht="12.75" customHeight="1" x14ac:dyDescent="0.2">
      <c r="A2807" s="2">
        <v>4296</v>
      </c>
      <c r="B2807" s="2"/>
      <c r="C2807" s="2"/>
      <c r="D2807" s="2"/>
      <c r="E2807" s="2"/>
      <c r="F2807" s="132">
        <v>0</v>
      </c>
      <c r="G2807" s="132"/>
      <c r="H2807" s="132">
        <f t="shared" si="318"/>
        <v>0</v>
      </c>
      <c r="I2807" s="132"/>
      <c r="J2807" s="132">
        <f t="shared" si="316"/>
        <v>0</v>
      </c>
      <c r="K2807" s="132">
        <f t="shared" si="319"/>
        <v>0</v>
      </c>
      <c r="L2807" s="132">
        <f t="shared" si="313"/>
        <v>0</v>
      </c>
      <c r="M2807" s="133"/>
      <c r="N2807" s="133">
        <f t="shared" si="317"/>
        <v>0</v>
      </c>
      <c r="O2807" s="134"/>
      <c r="P2807" s="133"/>
      <c r="Q2807" s="2"/>
      <c r="R2807" s="156">
        <f t="shared" si="314"/>
        <v>0</v>
      </c>
      <c r="S2807" s="156">
        <f t="shared" si="315"/>
        <v>0</v>
      </c>
      <c r="T2807" s="133"/>
      <c r="U2807" s="133"/>
      <c r="V2807" s="133"/>
      <c r="W2807" s="133"/>
      <c r="X2807" s="133"/>
      <c r="Y2807" s="133"/>
      <c r="Z2807" s="133"/>
      <c r="AA2807" s="133"/>
      <c r="AB2807" s="133"/>
      <c r="AC2807" s="133"/>
      <c r="AD2807" s="133"/>
      <c r="AE2807" s="133"/>
      <c r="AF2807" s="133"/>
      <c r="AG2807" s="133"/>
      <c r="AH2807" s="133"/>
      <c r="AI2807" s="133"/>
      <c r="AJ2807" s="133"/>
      <c r="AK2807" s="133"/>
      <c r="AL2807" s="133"/>
      <c r="AM2807" s="133"/>
      <c r="AN2807" s="133"/>
      <c r="AO2807" s="133"/>
      <c r="AP2807" s="133"/>
      <c r="AQ2807" s="133"/>
      <c r="AR2807" s="133"/>
      <c r="AS2807" s="153">
        <v>0</v>
      </c>
      <c r="AT2807" s="153">
        <v>0</v>
      </c>
      <c r="AU2807" s="153">
        <v>0</v>
      </c>
      <c r="AV2807" s="135"/>
      <c r="AW2807" s="135"/>
      <c r="AX2807" s="135"/>
      <c r="AY2807" s="135"/>
      <c r="AZ2807" s="135"/>
      <c r="BA2807" s="135"/>
      <c r="BB2807" s="135"/>
      <c r="BC2807" s="135"/>
      <c r="BD2807" s="135"/>
      <c r="BE2807" s="135"/>
      <c r="BF2807" s="135"/>
      <c r="BG2807" s="135"/>
      <c r="BH2807" s="135"/>
      <c r="BI2807" s="2"/>
      <c r="BJ2807" s="136"/>
      <c r="BK2807" s="2"/>
      <c r="BL2807" s="136"/>
      <c r="BM2807" s="136"/>
      <c r="BN2807" s="2"/>
      <c r="BO2807" s="2"/>
      <c r="BP2807" s="136"/>
      <c r="BQ2807" s="137"/>
    </row>
    <row r="2808" spans="1:69" ht="12.75" customHeight="1" x14ac:dyDescent="0.2">
      <c r="A2808" s="2">
        <v>4297</v>
      </c>
      <c r="B2808" s="2"/>
      <c r="C2808" s="2"/>
      <c r="D2808" s="2"/>
      <c r="E2808" s="2"/>
      <c r="F2808" s="132">
        <v>0</v>
      </c>
      <c r="G2808" s="132"/>
      <c r="H2808" s="132">
        <f t="shared" si="318"/>
        <v>0</v>
      </c>
      <c r="I2808" s="132"/>
      <c r="J2808" s="132">
        <f t="shared" si="316"/>
        <v>0</v>
      </c>
      <c r="K2808" s="132">
        <f t="shared" si="319"/>
        <v>0</v>
      </c>
      <c r="L2808" s="132">
        <f t="shared" si="313"/>
        <v>0</v>
      </c>
      <c r="M2808" s="133"/>
      <c r="N2808" s="133">
        <f t="shared" si="317"/>
        <v>0</v>
      </c>
      <c r="O2808" s="134"/>
      <c r="P2808" s="133"/>
      <c r="Q2808" s="2"/>
      <c r="R2808" s="156">
        <f t="shared" si="314"/>
        <v>0</v>
      </c>
      <c r="S2808" s="156">
        <f t="shared" si="315"/>
        <v>0</v>
      </c>
      <c r="T2808" s="133"/>
      <c r="U2808" s="133"/>
      <c r="V2808" s="133"/>
      <c r="W2808" s="133"/>
      <c r="X2808" s="133"/>
      <c r="Y2808" s="133"/>
      <c r="Z2808" s="133"/>
      <c r="AA2808" s="133"/>
      <c r="AB2808" s="133"/>
      <c r="AC2808" s="133"/>
      <c r="AD2808" s="133"/>
      <c r="AE2808" s="133"/>
      <c r="AF2808" s="133"/>
      <c r="AG2808" s="133"/>
      <c r="AH2808" s="133"/>
      <c r="AI2808" s="133"/>
      <c r="AJ2808" s="133"/>
      <c r="AK2808" s="133"/>
      <c r="AL2808" s="133"/>
      <c r="AM2808" s="133"/>
      <c r="AN2808" s="133"/>
      <c r="AO2808" s="133"/>
      <c r="AP2808" s="133"/>
      <c r="AQ2808" s="133"/>
      <c r="AR2808" s="133"/>
      <c r="AS2808" s="153">
        <v>0</v>
      </c>
      <c r="AT2808" s="153">
        <v>0</v>
      </c>
      <c r="AU2808" s="153">
        <v>0</v>
      </c>
      <c r="AV2808" s="135"/>
      <c r="AW2808" s="135"/>
      <c r="AX2808" s="135"/>
      <c r="AY2808" s="135"/>
      <c r="AZ2808" s="135"/>
      <c r="BA2808" s="135"/>
      <c r="BB2808" s="135"/>
      <c r="BC2808" s="135"/>
      <c r="BD2808" s="135"/>
      <c r="BE2808" s="135"/>
      <c r="BF2808" s="135"/>
      <c r="BG2808" s="135"/>
      <c r="BH2808" s="135"/>
      <c r="BI2808" s="2"/>
      <c r="BJ2808" s="136"/>
      <c r="BK2808" s="2"/>
      <c r="BL2808" s="136"/>
      <c r="BM2808" s="136"/>
      <c r="BN2808" s="2"/>
      <c r="BO2808" s="2"/>
      <c r="BP2808" s="136"/>
      <c r="BQ2808" s="137"/>
    </row>
    <row r="2809" spans="1:69" ht="12.75" customHeight="1" x14ac:dyDescent="0.2">
      <c r="A2809" s="2">
        <v>4298</v>
      </c>
      <c r="B2809" s="2"/>
      <c r="C2809" s="2"/>
      <c r="D2809" s="2"/>
      <c r="E2809" s="2"/>
      <c r="F2809" s="132">
        <v>0</v>
      </c>
      <c r="G2809" s="132"/>
      <c r="H2809" s="132">
        <f t="shared" si="318"/>
        <v>0</v>
      </c>
      <c r="I2809" s="132"/>
      <c r="J2809" s="132">
        <f t="shared" si="316"/>
        <v>0</v>
      </c>
      <c r="K2809" s="132">
        <f t="shared" si="319"/>
        <v>0</v>
      </c>
      <c r="L2809" s="132">
        <f t="shared" si="313"/>
        <v>0</v>
      </c>
      <c r="M2809" s="133"/>
      <c r="N2809" s="133">
        <f t="shared" si="317"/>
        <v>0</v>
      </c>
      <c r="O2809" s="134"/>
      <c r="P2809" s="133"/>
      <c r="Q2809" s="2"/>
      <c r="R2809" s="156">
        <f t="shared" si="314"/>
        <v>0</v>
      </c>
      <c r="S2809" s="156">
        <f t="shared" si="315"/>
        <v>0</v>
      </c>
      <c r="T2809" s="133"/>
      <c r="U2809" s="133"/>
      <c r="V2809" s="133"/>
      <c r="W2809" s="133"/>
      <c r="X2809" s="133"/>
      <c r="Y2809" s="133"/>
      <c r="Z2809" s="133"/>
      <c r="AA2809" s="133"/>
      <c r="AB2809" s="133"/>
      <c r="AC2809" s="133"/>
      <c r="AD2809" s="133"/>
      <c r="AE2809" s="133"/>
      <c r="AF2809" s="133"/>
      <c r="AG2809" s="133"/>
      <c r="AH2809" s="133"/>
      <c r="AI2809" s="133"/>
      <c r="AJ2809" s="133"/>
      <c r="AK2809" s="133"/>
      <c r="AL2809" s="133"/>
      <c r="AM2809" s="133"/>
      <c r="AN2809" s="133"/>
      <c r="AO2809" s="133"/>
      <c r="AP2809" s="133"/>
      <c r="AQ2809" s="133"/>
      <c r="AR2809" s="133"/>
      <c r="AS2809" s="153">
        <v>0</v>
      </c>
      <c r="AT2809" s="153">
        <v>0</v>
      </c>
      <c r="AU2809" s="153">
        <v>0</v>
      </c>
      <c r="AV2809" s="135"/>
      <c r="AW2809" s="135"/>
      <c r="AX2809" s="135"/>
      <c r="AY2809" s="135"/>
      <c r="AZ2809" s="135"/>
      <c r="BA2809" s="135"/>
      <c r="BB2809" s="135"/>
      <c r="BC2809" s="135"/>
      <c r="BD2809" s="135"/>
      <c r="BE2809" s="135"/>
      <c r="BF2809" s="135"/>
      <c r="BG2809" s="135"/>
      <c r="BH2809" s="135"/>
      <c r="BI2809" s="2"/>
      <c r="BJ2809" s="136"/>
      <c r="BK2809" s="2"/>
      <c r="BL2809" s="136"/>
      <c r="BM2809" s="136"/>
      <c r="BN2809" s="2"/>
      <c r="BO2809" s="2"/>
      <c r="BP2809" s="136"/>
      <c r="BQ2809" s="137"/>
    </row>
    <row r="2810" spans="1:69" ht="12.75" customHeight="1" x14ac:dyDescent="0.2">
      <c r="A2810" s="2">
        <v>4299</v>
      </c>
      <c r="B2810" s="2"/>
      <c r="C2810" s="2"/>
      <c r="D2810" s="2"/>
      <c r="E2810" s="2"/>
      <c r="F2810" s="132">
        <v>0</v>
      </c>
      <c r="G2810" s="132"/>
      <c r="H2810" s="132">
        <f t="shared" si="318"/>
        <v>0</v>
      </c>
      <c r="I2810" s="132"/>
      <c r="J2810" s="132">
        <f t="shared" si="316"/>
        <v>0</v>
      </c>
      <c r="K2810" s="132">
        <f t="shared" si="319"/>
        <v>0</v>
      </c>
      <c r="L2810" s="132">
        <f t="shared" si="313"/>
        <v>0</v>
      </c>
      <c r="M2810" s="133"/>
      <c r="N2810" s="133">
        <f t="shared" si="317"/>
        <v>0</v>
      </c>
      <c r="O2810" s="134"/>
      <c r="P2810" s="133"/>
      <c r="Q2810" s="2"/>
      <c r="R2810" s="156">
        <f t="shared" si="314"/>
        <v>0</v>
      </c>
      <c r="S2810" s="156">
        <f t="shared" si="315"/>
        <v>0</v>
      </c>
      <c r="T2810" s="133"/>
      <c r="U2810" s="133"/>
      <c r="V2810" s="133"/>
      <c r="W2810" s="133"/>
      <c r="X2810" s="133"/>
      <c r="Y2810" s="133"/>
      <c r="Z2810" s="133"/>
      <c r="AA2810" s="133"/>
      <c r="AB2810" s="133"/>
      <c r="AC2810" s="133"/>
      <c r="AD2810" s="133"/>
      <c r="AE2810" s="133"/>
      <c r="AF2810" s="133"/>
      <c r="AG2810" s="133"/>
      <c r="AH2810" s="133"/>
      <c r="AI2810" s="133"/>
      <c r="AJ2810" s="133"/>
      <c r="AK2810" s="133"/>
      <c r="AL2810" s="133"/>
      <c r="AM2810" s="133"/>
      <c r="AN2810" s="133"/>
      <c r="AO2810" s="133"/>
      <c r="AP2810" s="133"/>
      <c r="AQ2810" s="133"/>
      <c r="AR2810" s="133"/>
      <c r="AS2810" s="153">
        <v>0</v>
      </c>
      <c r="AT2810" s="153">
        <v>0</v>
      </c>
      <c r="AU2810" s="153">
        <v>0</v>
      </c>
      <c r="AV2810" s="135"/>
      <c r="AW2810" s="135"/>
      <c r="AX2810" s="135"/>
      <c r="AY2810" s="135"/>
      <c r="AZ2810" s="135"/>
      <c r="BA2810" s="135"/>
      <c r="BB2810" s="135"/>
      <c r="BC2810" s="135"/>
      <c r="BD2810" s="135"/>
      <c r="BE2810" s="135"/>
      <c r="BF2810" s="135"/>
      <c r="BG2810" s="135"/>
      <c r="BH2810" s="135"/>
      <c r="BI2810" s="2"/>
      <c r="BJ2810" s="136"/>
      <c r="BK2810" s="2"/>
      <c r="BL2810" s="136"/>
      <c r="BM2810" s="136"/>
      <c r="BN2810" s="2"/>
      <c r="BO2810" s="2"/>
      <c r="BP2810" s="136"/>
      <c r="BQ2810" s="137"/>
    </row>
    <row r="2811" spans="1:69" ht="12.75" customHeight="1" x14ac:dyDescent="0.2">
      <c r="A2811" s="2">
        <v>4300</v>
      </c>
      <c r="B2811" s="2"/>
      <c r="C2811" s="2"/>
      <c r="D2811" s="2"/>
      <c r="E2811" s="2"/>
      <c r="F2811" s="132">
        <v>0</v>
      </c>
      <c r="G2811" s="132"/>
      <c r="H2811" s="132">
        <f t="shared" si="318"/>
        <v>0</v>
      </c>
      <c r="I2811" s="132"/>
      <c r="J2811" s="132">
        <f t="shared" si="316"/>
        <v>0</v>
      </c>
      <c r="K2811" s="132">
        <f t="shared" si="319"/>
        <v>0</v>
      </c>
      <c r="L2811" s="132">
        <f t="shared" si="313"/>
        <v>0</v>
      </c>
      <c r="M2811" s="133"/>
      <c r="N2811" s="133">
        <f t="shared" si="317"/>
        <v>0</v>
      </c>
      <c r="O2811" s="134"/>
      <c r="P2811" s="133"/>
      <c r="Q2811" s="2"/>
      <c r="R2811" s="156">
        <f t="shared" si="314"/>
        <v>0</v>
      </c>
      <c r="S2811" s="156">
        <f t="shared" si="315"/>
        <v>0</v>
      </c>
      <c r="T2811" s="133"/>
      <c r="U2811" s="133"/>
      <c r="V2811" s="133"/>
      <c r="W2811" s="133"/>
      <c r="X2811" s="133"/>
      <c r="Y2811" s="133"/>
      <c r="Z2811" s="133"/>
      <c r="AA2811" s="133"/>
      <c r="AB2811" s="133"/>
      <c r="AC2811" s="133"/>
      <c r="AD2811" s="133"/>
      <c r="AE2811" s="133"/>
      <c r="AF2811" s="133"/>
      <c r="AG2811" s="133"/>
      <c r="AH2811" s="133"/>
      <c r="AI2811" s="133"/>
      <c r="AJ2811" s="133"/>
      <c r="AK2811" s="133"/>
      <c r="AL2811" s="133"/>
      <c r="AM2811" s="133"/>
      <c r="AN2811" s="133"/>
      <c r="AO2811" s="133"/>
      <c r="AP2811" s="133"/>
      <c r="AQ2811" s="133"/>
      <c r="AR2811" s="133"/>
      <c r="AS2811" s="153">
        <v>0</v>
      </c>
      <c r="AT2811" s="153">
        <v>0</v>
      </c>
      <c r="AU2811" s="153">
        <v>0</v>
      </c>
      <c r="AV2811" s="135"/>
      <c r="AW2811" s="135"/>
      <c r="AX2811" s="135"/>
      <c r="AY2811" s="135"/>
      <c r="AZ2811" s="135"/>
      <c r="BA2811" s="135"/>
      <c r="BB2811" s="135"/>
      <c r="BC2811" s="135"/>
      <c r="BD2811" s="135"/>
      <c r="BE2811" s="135"/>
      <c r="BF2811" s="135"/>
      <c r="BG2811" s="135"/>
      <c r="BH2811" s="135"/>
      <c r="BI2811" s="2"/>
      <c r="BJ2811" s="136"/>
      <c r="BK2811" s="2"/>
      <c r="BL2811" s="136"/>
      <c r="BM2811" s="136"/>
      <c r="BN2811" s="2"/>
      <c r="BO2811" s="2"/>
      <c r="BP2811" s="136"/>
      <c r="BQ2811" s="137"/>
    </row>
    <row r="2812" spans="1:69" ht="12.75" customHeight="1" x14ac:dyDescent="0.2">
      <c r="A2812" s="2">
        <v>4301</v>
      </c>
      <c r="B2812" s="2"/>
      <c r="C2812" s="2"/>
      <c r="D2812" s="2"/>
      <c r="E2812" s="2"/>
      <c r="F2812" s="132">
        <v>0</v>
      </c>
      <c r="G2812" s="132"/>
      <c r="H2812" s="132">
        <f t="shared" si="318"/>
        <v>0</v>
      </c>
      <c r="I2812" s="132"/>
      <c r="J2812" s="132">
        <f t="shared" si="316"/>
        <v>0</v>
      </c>
      <c r="K2812" s="132">
        <f t="shared" si="319"/>
        <v>0</v>
      </c>
      <c r="L2812" s="132">
        <f t="shared" si="313"/>
        <v>0</v>
      </c>
      <c r="M2812" s="133"/>
      <c r="N2812" s="133">
        <f t="shared" si="317"/>
        <v>0</v>
      </c>
      <c r="O2812" s="134"/>
      <c r="P2812" s="133"/>
      <c r="Q2812" s="2"/>
      <c r="R2812" s="156">
        <f t="shared" si="314"/>
        <v>0</v>
      </c>
      <c r="S2812" s="156">
        <f t="shared" si="315"/>
        <v>0</v>
      </c>
      <c r="T2812" s="133"/>
      <c r="U2812" s="133"/>
      <c r="V2812" s="133"/>
      <c r="W2812" s="133"/>
      <c r="X2812" s="133"/>
      <c r="Y2812" s="133"/>
      <c r="Z2812" s="133"/>
      <c r="AA2812" s="133"/>
      <c r="AB2812" s="133"/>
      <c r="AC2812" s="133"/>
      <c r="AD2812" s="133"/>
      <c r="AE2812" s="133"/>
      <c r="AF2812" s="133"/>
      <c r="AG2812" s="133"/>
      <c r="AH2812" s="133"/>
      <c r="AI2812" s="133"/>
      <c r="AJ2812" s="133"/>
      <c r="AK2812" s="133"/>
      <c r="AL2812" s="133"/>
      <c r="AM2812" s="133"/>
      <c r="AN2812" s="133"/>
      <c r="AO2812" s="133"/>
      <c r="AP2812" s="133"/>
      <c r="AQ2812" s="133"/>
      <c r="AR2812" s="133"/>
      <c r="AS2812" s="153">
        <v>0</v>
      </c>
      <c r="AT2812" s="153">
        <v>0</v>
      </c>
      <c r="AU2812" s="153">
        <v>0</v>
      </c>
      <c r="AV2812" s="135"/>
      <c r="AW2812" s="135"/>
      <c r="AX2812" s="135"/>
      <c r="AY2812" s="135"/>
      <c r="AZ2812" s="135"/>
      <c r="BA2812" s="135"/>
      <c r="BB2812" s="135"/>
      <c r="BC2812" s="135"/>
      <c r="BD2812" s="135"/>
      <c r="BE2812" s="135"/>
      <c r="BF2812" s="135"/>
      <c r="BG2812" s="135"/>
      <c r="BH2812" s="135"/>
      <c r="BI2812" s="2"/>
      <c r="BJ2812" s="136"/>
      <c r="BK2812" s="2"/>
      <c r="BL2812" s="136"/>
      <c r="BM2812" s="136"/>
      <c r="BN2812" s="2"/>
      <c r="BO2812" s="2"/>
      <c r="BP2812" s="136"/>
      <c r="BQ2812" s="137"/>
    </row>
    <row r="2813" spans="1:69" ht="12.75" customHeight="1" x14ac:dyDescent="0.2">
      <c r="A2813" s="2">
        <v>4302</v>
      </c>
      <c r="B2813" s="2"/>
      <c r="C2813" s="2"/>
      <c r="D2813" s="2"/>
      <c r="E2813" s="2"/>
      <c r="F2813" s="132">
        <v>0</v>
      </c>
      <c r="G2813" s="132"/>
      <c r="H2813" s="132">
        <f t="shared" si="318"/>
        <v>0</v>
      </c>
      <c r="I2813" s="132"/>
      <c r="J2813" s="132">
        <f t="shared" si="316"/>
        <v>0</v>
      </c>
      <c r="K2813" s="132">
        <f t="shared" si="319"/>
        <v>0</v>
      </c>
      <c r="L2813" s="132">
        <f t="shared" si="313"/>
        <v>0</v>
      </c>
      <c r="M2813" s="133"/>
      <c r="N2813" s="133">
        <f t="shared" si="317"/>
        <v>0</v>
      </c>
      <c r="O2813" s="134"/>
      <c r="P2813" s="133"/>
      <c r="Q2813" s="2"/>
      <c r="R2813" s="156">
        <f t="shared" si="314"/>
        <v>0</v>
      </c>
      <c r="S2813" s="156">
        <f t="shared" si="315"/>
        <v>0</v>
      </c>
      <c r="T2813" s="133"/>
      <c r="U2813" s="133"/>
      <c r="V2813" s="133"/>
      <c r="W2813" s="133"/>
      <c r="X2813" s="133"/>
      <c r="Y2813" s="133"/>
      <c r="Z2813" s="133"/>
      <c r="AA2813" s="133"/>
      <c r="AB2813" s="133"/>
      <c r="AC2813" s="133"/>
      <c r="AD2813" s="133"/>
      <c r="AE2813" s="133"/>
      <c r="AF2813" s="133"/>
      <c r="AG2813" s="133"/>
      <c r="AH2813" s="133"/>
      <c r="AI2813" s="133"/>
      <c r="AJ2813" s="133"/>
      <c r="AK2813" s="133"/>
      <c r="AL2813" s="133"/>
      <c r="AM2813" s="133"/>
      <c r="AN2813" s="133"/>
      <c r="AO2813" s="133"/>
      <c r="AP2813" s="133"/>
      <c r="AQ2813" s="133"/>
      <c r="AR2813" s="133"/>
      <c r="AS2813" s="153">
        <v>0</v>
      </c>
      <c r="AT2813" s="153">
        <v>0</v>
      </c>
      <c r="AU2813" s="153">
        <v>0</v>
      </c>
      <c r="AV2813" s="135"/>
      <c r="AW2813" s="135"/>
      <c r="AX2813" s="135"/>
      <c r="AY2813" s="135"/>
      <c r="AZ2813" s="135"/>
      <c r="BA2813" s="135"/>
      <c r="BB2813" s="135"/>
      <c r="BC2813" s="135"/>
      <c r="BD2813" s="135"/>
      <c r="BE2813" s="135"/>
      <c r="BF2813" s="135"/>
      <c r="BG2813" s="135"/>
      <c r="BH2813" s="135"/>
      <c r="BI2813" s="2"/>
      <c r="BJ2813" s="136"/>
      <c r="BK2813" s="2"/>
      <c r="BL2813" s="136"/>
      <c r="BM2813" s="136"/>
      <c r="BN2813" s="2"/>
      <c r="BO2813" s="2"/>
      <c r="BP2813" s="136"/>
      <c r="BQ2813" s="137"/>
    </row>
    <row r="2814" spans="1:69" ht="12.75" customHeight="1" x14ac:dyDescent="0.2">
      <c r="A2814" s="2">
        <v>4303</v>
      </c>
      <c r="B2814" s="2"/>
      <c r="C2814" s="2"/>
      <c r="D2814" s="2"/>
      <c r="E2814" s="2"/>
      <c r="F2814" s="132">
        <v>0</v>
      </c>
      <c r="G2814" s="132"/>
      <c r="H2814" s="132">
        <f t="shared" si="318"/>
        <v>0</v>
      </c>
      <c r="I2814" s="132"/>
      <c r="J2814" s="132">
        <f t="shared" si="316"/>
        <v>0</v>
      </c>
      <c r="K2814" s="132">
        <f t="shared" si="319"/>
        <v>0</v>
      </c>
      <c r="L2814" s="132">
        <f t="shared" si="313"/>
        <v>0</v>
      </c>
      <c r="M2814" s="133"/>
      <c r="N2814" s="133">
        <f t="shared" si="317"/>
        <v>0</v>
      </c>
      <c r="O2814" s="134"/>
      <c r="P2814" s="133"/>
      <c r="Q2814" s="2"/>
      <c r="R2814" s="156">
        <f t="shared" si="314"/>
        <v>0</v>
      </c>
      <c r="S2814" s="156">
        <f t="shared" si="315"/>
        <v>0</v>
      </c>
      <c r="T2814" s="133"/>
      <c r="U2814" s="133"/>
      <c r="V2814" s="133"/>
      <c r="W2814" s="133"/>
      <c r="X2814" s="133"/>
      <c r="Y2814" s="133"/>
      <c r="Z2814" s="133"/>
      <c r="AA2814" s="133"/>
      <c r="AB2814" s="133"/>
      <c r="AC2814" s="133"/>
      <c r="AD2814" s="133"/>
      <c r="AE2814" s="133"/>
      <c r="AF2814" s="133"/>
      <c r="AG2814" s="133"/>
      <c r="AH2814" s="133"/>
      <c r="AI2814" s="133"/>
      <c r="AJ2814" s="133"/>
      <c r="AK2814" s="133"/>
      <c r="AL2814" s="133"/>
      <c r="AM2814" s="133"/>
      <c r="AN2814" s="133"/>
      <c r="AO2814" s="133"/>
      <c r="AP2814" s="133"/>
      <c r="AQ2814" s="133"/>
      <c r="AR2814" s="133"/>
      <c r="AS2814" s="153">
        <v>0</v>
      </c>
      <c r="AT2814" s="153">
        <v>0</v>
      </c>
      <c r="AU2814" s="153">
        <v>0</v>
      </c>
      <c r="AV2814" s="135"/>
      <c r="AW2814" s="135"/>
      <c r="AX2814" s="135"/>
      <c r="AY2814" s="135"/>
      <c r="AZ2814" s="135"/>
      <c r="BA2814" s="135"/>
      <c r="BB2814" s="135"/>
      <c r="BC2814" s="135"/>
      <c r="BD2814" s="135"/>
      <c r="BE2814" s="135"/>
      <c r="BF2814" s="135"/>
      <c r="BG2814" s="135"/>
      <c r="BH2814" s="135"/>
      <c r="BI2814" s="2"/>
      <c r="BJ2814" s="136"/>
      <c r="BK2814" s="2"/>
      <c r="BL2814" s="136"/>
      <c r="BM2814" s="136"/>
      <c r="BN2814" s="2"/>
      <c r="BO2814" s="2"/>
      <c r="BP2814" s="136"/>
      <c r="BQ2814" s="137"/>
    </row>
    <row r="2815" spans="1:69" ht="12.75" customHeight="1" x14ac:dyDescent="0.2">
      <c r="A2815" s="2">
        <v>4304</v>
      </c>
      <c r="B2815" s="2"/>
      <c r="C2815" s="2"/>
      <c r="D2815" s="2"/>
      <c r="E2815" s="2"/>
      <c r="F2815" s="132">
        <v>0</v>
      </c>
      <c r="G2815" s="132"/>
      <c r="H2815" s="132">
        <f t="shared" si="318"/>
        <v>0</v>
      </c>
      <c r="I2815" s="132"/>
      <c r="J2815" s="132">
        <f t="shared" si="316"/>
        <v>0</v>
      </c>
      <c r="K2815" s="132">
        <f t="shared" si="319"/>
        <v>0</v>
      </c>
      <c r="L2815" s="132">
        <f t="shared" si="313"/>
        <v>0</v>
      </c>
      <c r="M2815" s="133"/>
      <c r="N2815" s="133">
        <f t="shared" si="317"/>
        <v>0</v>
      </c>
      <c r="O2815" s="134"/>
      <c r="P2815" s="133"/>
      <c r="Q2815" s="2"/>
      <c r="R2815" s="156">
        <f t="shared" si="314"/>
        <v>0</v>
      </c>
      <c r="S2815" s="156">
        <f t="shared" si="315"/>
        <v>0</v>
      </c>
      <c r="T2815" s="133"/>
      <c r="U2815" s="133"/>
      <c r="V2815" s="133"/>
      <c r="W2815" s="133"/>
      <c r="X2815" s="133"/>
      <c r="Y2815" s="133"/>
      <c r="Z2815" s="133"/>
      <c r="AA2815" s="133"/>
      <c r="AB2815" s="133"/>
      <c r="AC2815" s="133"/>
      <c r="AD2815" s="133"/>
      <c r="AE2815" s="133"/>
      <c r="AF2815" s="133"/>
      <c r="AG2815" s="133"/>
      <c r="AH2815" s="133"/>
      <c r="AI2815" s="133"/>
      <c r="AJ2815" s="133"/>
      <c r="AK2815" s="133"/>
      <c r="AL2815" s="133"/>
      <c r="AM2815" s="133"/>
      <c r="AN2815" s="133"/>
      <c r="AO2815" s="133"/>
      <c r="AP2815" s="133"/>
      <c r="AQ2815" s="133"/>
      <c r="AR2815" s="133"/>
      <c r="AS2815" s="153">
        <v>0</v>
      </c>
      <c r="AT2815" s="153">
        <v>0</v>
      </c>
      <c r="AU2815" s="153">
        <v>0</v>
      </c>
      <c r="AV2815" s="135"/>
      <c r="AW2815" s="135"/>
      <c r="AX2815" s="135"/>
      <c r="AY2815" s="135"/>
      <c r="AZ2815" s="135"/>
      <c r="BA2815" s="135"/>
      <c r="BB2815" s="135"/>
      <c r="BC2815" s="135"/>
      <c r="BD2815" s="135"/>
      <c r="BE2815" s="135"/>
      <c r="BF2815" s="135"/>
      <c r="BG2815" s="135"/>
      <c r="BH2815" s="135"/>
      <c r="BI2815" s="2"/>
      <c r="BJ2815" s="136"/>
      <c r="BK2815" s="2"/>
      <c r="BL2815" s="136"/>
      <c r="BM2815" s="136"/>
      <c r="BN2815" s="2"/>
      <c r="BO2815" s="2"/>
      <c r="BP2815" s="136"/>
      <c r="BQ2815" s="137"/>
    </row>
    <row r="2816" spans="1:69" ht="12.75" customHeight="1" x14ac:dyDescent="0.2">
      <c r="A2816" s="2">
        <v>4305</v>
      </c>
      <c r="B2816" s="2"/>
      <c r="C2816" s="2"/>
      <c r="D2816" s="2"/>
      <c r="E2816" s="2"/>
      <c r="F2816" s="132">
        <v>0</v>
      </c>
      <c r="G2816" s="132"/>
      <c r="H2816" s="132">
        <f t="shared" si="318"/>
        <v>0</v>
      </c>
      <c r="I2816" s="132"/>
      <c r="J2816" s="132">
        <f t="shared" si="316"/>
        <v>0</v>
      </c>
      <c r="K2816" s="132">
        <f t="shared" si="319"/>
        <v>0</v>
      </c>
      <c r="L2816" s="132">
        <f t="shared" si="313"/>
        <v>0</v>
      </c>
      <c r="M2816" s="133"/>
      <c r="N2816" s="133">
        <f t="shared" si="317"/>
        <v>0</v>
      </c>
      <c r="O2816" s="134"/>
      <c r="P2816" s="133"/>
      <c r="Q2816" s="2"/>
      <c r="R2816" s="156">
        <f t="shared" si="314"/>
        <v>0</v>
      </c>
      <c r="S2816" s="156">
        <f t="shared" si="315"/>
        <v>0</v>
      </c>
      <c r="T2816" s="133"/>
      <c r="U2816" s="133"/>
      <c r="V2816" s="133"/>
      <c r="W2816" s="133"/>
      <c r="X2816" s="133"/>
      <c r="Y2816" s="133"/>
      <c r="Z2816" s="133"/>
      <c r="AA2816" s="133"/>
      <c r="AB2816" s="133"/>
      <c r="AC2816" s="133"/>
      <c r="AD2816" s="133"/>
      <c r="AE2816" s="133"/>
      <c r="AF2816" s="133"/>
      <c r="AG2816" s="133"/>
      <c r="AH2816" s="133"/>
      <c r="AI2816" s="133"/>
      <c r="AJ2816" s="133"/>
      <c r="AK2816" s="133"/>
      <c r="AL2816" s="133"/>
      <c r="AM2816" s="133"/>
      <c r="AN2816" s="133"/>
      <c r="AO2816" s="133"/>
      <c r="AP2816" s="133"/>
      <c r="AQ2816" s="133"/>
      <c r="AR2816" s="133"/>
      <c r="AS2816" s="153">
        <v>0</v>
      </c>
      <c r="AT2816" s="153">
        <v>0</v>
      </c>
      <c r="AU2816" s="153">
        <v>0</v>
      </c>
      <c r="AV2816" s="135"/>
      <c r="AW2816" s="135"/>
      <c r="AX2816" s="135"/>
      <c r="AY2816" s="135"/>
      <c r="AZ2816" s="135"/>
      <c r="BA2816" s="135"/>
      <c r="BB2816" s="135"/>
      <c r="BC2816" s="135"/>
      <c r="BD2816" s="135"/>
      <c r="BE2816" s="135"/>
      <c r="BF2816" s="135"/>
      <c r="BG2816" s="135"/>
      <c r="BH2816" s="135"/>
      <c r="BI2816" s="2"/>
      <c r="BJ2816" s="136"/>
      <c r="BK2816" s="2"/>
      <c r="BL2816" s="136"/>
      <c r="BM2816" s="136"/>
      <c r="BN2816" s="2"/>
      <c r="BO2816" s="2"/>
      <c r="BP2816" s="136"/>
      <c r="BQ2816" s="137"/>
    </row>
    <row r="2817" spans="1:69" ht="12.75" customHeight="1" x14ac:dyDescent="0.2">
      <c r="A2817" s="2">
        <v>4306</v>
      </c>
      <c r="B2817" s="2"/>
      <c r="C2817" s="2"/>
      <c r="D2817" s="2"/>
      <c r="E2817" s="2"/>
      <c r="F2817" s="132">
        <v>0</v>
      </c>
      <c r="G2817" s="132"/>
      <c r="H2817" s="132">
        <f t="shared" si="318"/>
        <v>0</v>
      </c>
      <c r="I2817" s="132"/>
      <c r="J2817" s="132">
        <f t="shared" si="316"/>
        <v>0</v>
      </c>
      <c r="K2817" s="132">
        <f t="shared" si="319"/>
        <v>0</v>
      </c>
      <c r="L2817" s="132">
        <f t="shared" si="313"/>
        <v>0</v>
      </c>
      <c r="M2817" s="133"/>
      <c r="N2817" s="133">
        <f t="shared" si="317"/>
        <v>0</v>
      </c>
      <c r="O2817" s="134"/>
      <c r="P2817" s="133"/>
      <c r="Q2817" s="2"/>
      <c r="R2817" s="156">
        <f t="shared" si="314"/>
        <v>0</v>
      </c>
      <c r="S2817" s="156">
        <f t="shared" si="315"/>
        <v>0</v>
      </c>
      <c r="T2817" s="133"/>
      <c r="U2817" s="133"/>
      <c r="V2817" s="133"/>
      <c r="W2817" s="133"/>
      <c r="X2817" s="133"/>
      <c r="Y2817" s="133"/>
      <c r="Z2817" s="133"/>
      <c r="AA2817" s="133"/>
      <c r="AB2817" s="133"/>
      <c r="AC2817" s="133"/>
      <c r="AD2817" s="133"/>
      <c r="AE2817" s="133"/>
      <c r="AF2817" s="133"/>
      <c r="AG2817" s="133"/>
      <c r="AH2817" s="133"/>
      <c r="AI2817" s="133"/>
      <c r="AJ2817" s="133"/>
      <c r="AK2817" s="133"/>
      <c r="AL2817" s="133"/>
      <c r="AM2817" s="133"/>
      <c r="AN2817" s="133"/>
      <c r="AO2817" s="133"/>
      <c r="AP2817" s="133"/>
      <c r="AQ2817" s="133"/>
      <c r="AR2817" s="133"/>
      <c r="AS2817" s="153">
        <v>0</v>
      </c>
      <c r="AT2817" s="153">
        <v>0</v>
      </c>
      <c r="AU2817" s="153">
        <v>0</v>
      </c>
      <c r="AV2817" s="135"/>
      <c r="AW2817" s="135"/>
      <c r="AX2817" s="135"/>
      <c r="AY2817" s="135"/>
      <c r="AZ2817" s="135"/>
      <c r="BA2817" s="135"/>
      <c r="BB2817" s="135"/>
      <c r="BC2817" s="135"/>
      <c r="BD2817" s="135"/>
      <c r="BE2817" s="135"/>
      <c r="BF2817" s="135"/>
      <c r="BG2817" s="135"/>
      <c r="BH2817" s="135"/>
      <c r="BI2817" s="2"/>
      <c r="BJ2817" s="136"/>
      <c r="BK2817" s="2"/>
      <c r="BL2817" s="136"/>
      <c r="BM2817" s="136"/>
      <c r="BN2817" s="2"/>
      <c r="BO2817" s="2"/>
      <c r="BP2817" s="136"/>
      <c r="BQ2817" s="137"/>
    </row>
    <row r="2818" spans="1:69" ht="12.75" customHeight="1" x14ac:dyDescent="0.2">
      <c r="A2818" s="2">
        <v>4307</v>
      </c>
      <c r="B2818" s="2"/>
      <c r="C2818" s="2"/>
      <c r="D2818" s="2"/>
      <c r="E2818" s="2"/>
      <c r="F2818" s="132">
        <v>0</v>
      </c>
      <c r="G2818" s="132"/>
      <c r="H2818" s="132">
        <f t="shared" si="318"/>
        <v>0</v>
      </c>
      <c r="I2818" s="132"/>
      <c r="J2818" s="132">
        <f t="shared" si="316"/>
        <v>0</v>
      </c>
      <c r="K2818" s="132">
        <f t="shared" si="319"/>
        <v>0</v>
      </c>
      <c r="L2818" s="132">
        <f t="shared" si="313"/>
        <v>0</v>
      </c>
      <c r="M2818" s="133"/>
      <c r="N2818" s="133">
        <f t="shared" si="317"/>
        <v>0</v>
      </c>
      <c r="O2818" s="134"/>
      <c r="P2818" s="133"/>
      <c r="Q2818" s="2"/>
      <c r="R2818" s="156">
        <f t="shared" si="314"/>
        <v>0</v>
      </c>
      <c r="S2818" s="156">
        <f t="shared" si="315"/>
        <v>0</v>
      </c>
      <c r="T2818" s="133"/>
      <c r="U2818" s="133"/>
      <c r="V2818" s="133"/>
      <c r="W2818" s="133"/>
      <c r="X2818" s="133"/>
      <c r="Y2818" s="133"/>
      <c r="Z2818" s="133"/>
      <c r="AA2818" s="133"/>
      <c r="AB2818" s="133"/>
      <c r="AC2818" s="133"/>
      <c r="AD2818" s="133"/>
      <c r="AE2818" s="133"/>
      <c r="AF2818" s="133"/>
      <c r="AG2818" s="133"/>
      <c r="AH2818" s="133"/>
      <c r="AI2818" s="133"/>
      <c r="AJ2818" s="133"/>
      <c r="AK2818" s="133"/>
      <c r="AL2818" s="133"/>
      <c r="AM2818" s="133"/>
      <c r="AN2818" s="133"/>
      <c r="AO2818" s="133"/>
      <c r="AP2818" s="133"/>
      <c r="AQ2818" s="133"/>
      <c r="AR2818" s="133"/>
      <c r="AS2818" s="153">
        <v>0</v>
      </c>
      <c r="AT2818" s="153">
        <v>0</v>
      </c>
      <c r="AU2818" s="153">
        <v>0</v>
      </c>
      <c r="AV2818" s="135"/>
      <c r="AW2818" s="135"/>
      <c r="AX2818" s="135"/>
      <c r="AY2818" s="135"/>
      <c r="AZ2818" s="135"/>
      <c r="BA2818" s="135"/>
      <c r="BB2818" s="135"/>
      <c r="BC2818" s="135"/>
      <c r="BD2818" s="135"/>
      <c r="BE2818" s="135"/>
      <c r="BF2818" s="135"/>
      <c r="BG2818" s="135"/>
      <c r="BH2818" s="135"/>
      <c r="BI2818" s="2"/>
      <c r="BJ2818" s="136"/>
      <c r="BK2818" s="2"/>
      <c r="BL2818" s="136"/>
      <c r="BM2818" s="136"/>
      <c r="BN2818" s="2"/>
      <c r="BO2818" s="2"/>
      <c r="BP2818" s="136"/>
      <c r="BQ2818" s="137"/>
    </row>
    <row r="2819" spans="1:69" ht="12.75" customHeight="1" x14ac:dyDescent="0.2">
      <c r="A2819" s="2">
        <v>4308</v>
      </c>
      <c r="B2819" s="2"/>
      <c r="C2819" s="2"/>
      <c r="D2819" s="2"/>
      <c r="E2819" s="2"/>
      <c r="F2819" s="132">
        <v>0</v>
      </c>
      <c r="G2819" s="132"/>
      <c r="H2819" s="132">
        <f t="shared" si="318"/>
        <v>0</v>
      </c>
      <c r="I2819" s="132"/>
      <c r="J2819" s="132">
        <f t="shared" si="316"/>
        <v>0</v>
      </c>
      <c r="K2819" s="132">
        <f t="shared" si="319"/>
        <v>0</v>
      </c>
      <c r="L2819" s="132">
        <f t="shared" si="313"/>
        <v>0</v>
      </c>
      <c r="M2819" s="133"/>
      <c r="N2819" s="133">
        <f t="shared" si="317"/>
        <v>0</v>
      </c>
      <c r="O2819" s="134"/>
      <c r="P2819" s="133"/>
      <c r="Q2819" s="2"/>
      <c r="R2819" s="156">
        <f t="shared" si="314"/>
        <v>0</v>
      </c>
      <c r="S2819" s="156">
        <f t="shared" si="315"/>
        <v>0</v>
      </c>
      <c r="T2819" s="133"/>
      <c r="U2819" s="133"/>
      <c r="V2819" s="133"/>
      <c r="W2819" s="133"/>
      <c r="X2819" s="133"/>
      <c r="Y2819" s="133"/>
      <c r="Z2819" s="133"/>
      <c r="AA2819" s="133"/>
      <c r="AB2819" s="133"/>
      <c r="AC2819" s="133"/>
      <c r="AD2819" s="133"/>
      <c r="AE2819" s="133"/>
      <c r="AF2819" s="133"/>
      <c r="AG2819" s="133"/>
      <c r="AH2819" s="133"/>
      <c r="AI2819" s="133"/>
      <c r="AJ2819" s="133"/>
      <c r="AK2819" s="133"/>
      <c r="AL2819" s="133"/>
      <c r="AM2819" s="133"/>
      <c r="AN2819" s="133"/>
      <c r="AO2819" s="133"/>
      <c r="AP2819" s="133"/>
      <c r="AQ2819" s="133"/>
      <c r="AR2819" s="133"/>
      <c r="AS2819" s="153">
        <v>0</v>
      </c>
      <c r="AT2819" s="153">
        <v>0</v>
      </c>
      <c r="AU2819" s="153">
        <v>0</v>
      </c>
      <c r="AV2819" s="135"/>
      <c r="AW2819" s="135"/>
      <c r="AX2819" s="135"/>
      <c r="AY2819" s="135"/>
      <c r="AZ2819" s="135"/>
      <c r="BA2819" s="135"/>
      <c r="BB2819" s="135"/>
      <c r="BC2819" s="135"/>
      <c r="BD2819" s="135"/>
      <c r="BE2819" s="135"/>
      <c r="BF2819" s="135"/>
      <c r="BG2819" s="135"/>
      <c r="BH2819" s="135"/>
      <c r="BI2819" s="2"/>
      <c r="BJ2819" s="136"/>
      <c r="BK2819" s="2"/>
      <c r="BL2819" s="136"/>
      <c r="BM2819" s="136"/>
      <c r="BN2819" s="2"/>
      <c r="BO2819" s="2"/>
      <c r="BP2819" s="136"/>
      <c r="BQ2819" s="137"/>
    </row>
    <row r="2820" spans="1:69" ht="12.75" customHeight="1" x14ac:dyDescent="0.2">
      <c r="A2820" s="2">
        <v>4309</v>
      </c>
      <c r="B2820" s="2"/>
      <c r="C2820" s="2"/>
      <c r="D2820" s="2"/>
      <c r="E2820" s="2"/>
      <c r="F2820" s="132">
        <v>0</v>
      </c>
      <c r="G2820" s="132"/>
      <c r="H2820" s="132">
        <f t="shared" si="318"/>
        <v>0</v>
      </c>
      <c r="I2820" s="132"/>
      <c r="J2820" s="132">
        <f t="shared" si="316"/>
        <v>0</v>
      </c>
      <c r="K2820" s="132">
        <f t="shared" si="319"/>
        <v>0</v>
      </c>
      <c r="L2820" s="132">
        <f t="shared" si="313"/>
        <v>0</v>
      </c>
      <c r="M2820" s="133"/>
      <c r="N2820" s="133">
        <f t="shared" si="317"/>
        <v>0</v>
      </c>
      <c r="O2820" s="134"/>
      <c r="P2820" s="133"/>
      <c r="Q2820" s="2"/>
      <c r="R2820" s="156">
        <f t="shared" si="314"/>
        <v>0</v>
      </c>
      <c r="S2820" s="156">
        <f t="shared" si="315"/>
        <v>0</v>
      </c>
      <c r="T2820" s="133"/>
      <c r="U2820" s="133"/>
      <c r="V2820" s="133"/>
      <c r="W2820" s="133"/>
      <c r="X2820" s="133"/>
      <c r="Y2820" s="133"/>
      <c r="Z2820" s="133"/>
      <c r="AA2820" s="133"/>
      <c r="AB2820" s="133"/>
      <c r="AC2820" s="133"/>
      <c r="AD2820" s="133"/>
      <c r="AE2820" s="133"/>
      <c r="AF2820" s="133"/>
      <c r="AG2820" s="133"/>
      <c r="AH2820" s="133"/>
      <c r="AI2820" s="133"/>
      <c r="AJ2820" s="133"/>
      <c r="AK2820" s="133"/>
      <c r="AL2820" s="133"/>
      <c r="AM2820" s="133"/>
      <c r="AN2820" s="133"/>
      <c r="AO2820" s="133"/>
      <c r="AP2820" s="133"/>
      <c r="AQ2820" s="133"/>
      <c r="AR2820" s="133"/>
      <c r="AS2820" s="153">
        <v>0</v>
      </c>
      <c r="AT2820" s="153">
        <v>0</v>
      </c>
      <c r="AU2820" s="153">
        <v>0</v>
      </c>
      <c r="AV2820" s="135"/>
      <c r="AW2820" s="135"/>
      <c r="AX2820" s="135"/>
      <c r="AY2820" s="135"/>
      <c r="AZ2820" s="135"/>
      <c r="BA2820" s="135"/>
      <c r="BB2820" s="135"/>
      <c r="BC2820" s="135"/>
      <c r="BD2820" s="135"/>
      <c r="BE2820" s="135"/>
      <c r="BF2820" s="135"/>
      <c r="BG2820" s="135"/>
      <c r="BH2820" s="135"/>
      <c r="BI2820" s="2"/>
      <c r="BJ2820" s="136"/>
      <c r="BK2820" s="2"/>
      <c r="BL2820" s="136"/>
      <c r="BM2820" s="136"/>
      <c r="BN2820" s="2"/>
      <c r="BO2820" s="2"/>
      <c r="BP2820" s="136"/>
      <c r="BQ2820" s="137"/>
    </row>
    <row r="2821" spans="1:69" ht="12.75" customHeight="1" x14ac:dyDescent="0.2">
      <c r="A2821" s="2">
        <v>4310</v>
      </c>
      <c r="B2821" s="2"/>
      <c r="C2821" s="2"/>
      <c r="D2821" s="2"/>
      <c r="E2821" s="2"/>
      <c r="F2821" s="132">
        <v>0</v>
      </c>
      <c r="G2821" s="132"/>
      <c r="H2821" s="132">
        <f t="shared" si="318"/>
        <v>0</v>
      </c>
      <c r="I2821" s="132"/>
      <c r="J2821" s="132">
        <f t="shared" si="316"/>
        <v>0</v>
      </c>
      <c r="K2821" s="132">
        <f t="shared" si="319"/>
        <v>0</v>
      </c>
      <c r="L2821" s="132">
        <f t="shared" si="313"/>
        <v>0</v>
      </c>
      <c r="M2821" s="133"/>
      <c r="N2821" s="133">
        <f t="shared" si="317"/>
        <v>0</v>
      </c>
      <c r="O2821" s="134"/>
      <c r="P2821" s="133"/>
      <c r="Q2821" s="2"/>
      <c r="R2821" s="156">
        <f t="shared" si="314"/>
        <v>0</v>
      </c>
      <c r="S2821" s="156">
        <f t="shared" si="315"/>
        <v>0</v>
      </c>
      <c r="T2821" s="133"/>
      <c r="U2821" s="133"/>
      <c r="V2821" s="133"/>
      <c r="W2821" s="133"/>
      <c r="X2821" s="133"/>
      <c r="Y2821" s="133"/>
      <c r="Z2821" s="133"/>
      <c r="AA2821" s="133"/>
      <c r="AB2821" s="133"/>
      <c r="AC2821" s="133"/>
      <c r="AD2821" s="133"/>
      <c r="AE2821" s="133"/>
      <c r="AF2821" s="133"/>
      <c r="AG2821" s="133"/>
      <c r="AH2821" s="133"/>
      <c r="AI2821" s="133"/>
      <c r="AJ2821" s="133"/>
      <c r="AK2821" s="133"/>
      <c r="AL2821" s="133"/>
      <c r="AM2821" s="133"/>
      <c r="AN2821" s="133"/>
      <c r="AO2821" s="133"/>
      <c r="AP2821" s="133"/>
      <c r="AQ2821" s="133"/>
      <c r="AR2821" s="133"/>
      <c r="AS2821" s="153">
        <v>0</v>
      </c>
      <c r="AT2821" s="153">
        <v>0</v>
      </c>
      <c r="AU2821" s="153">
        <v>0</v>
      </c>
      <c r="AV2821" s="135"/>
      <c r="AW2821" s="135"/>
      <c r="AX2821" s="135"/>
      <c r="AY2821" s="135"/>
      <c r="AZ2821" s="135"/>
      <c r="BA2821" s="135"/>
      <c r="BB2821" s="135"/>
      <c r="BC2821" s="135"/>
      <c r="BD2821" s="135"/>
      <c r="BE2821" s="135"/>
      <c r="BF2821" s="135"/>
      <c r="BG2821" s="135"/>
      <c r="BH2821" s="135"/>
      <c r="BI2821" s="2"/>
      <c r="BJ2821" s="136"/>
      <c r="BK2821" s="2"/>
      <c r="BL2821" s="136"/>
      <c r="BM2821" s="136"/>
      <c r="BN2821" s="2"/>
      <c r="BO2821" s="2"/>
      <c r="BP2821" s="136"/>
      <c r="BQ2821" s="137"/>
    </row>
    <row r="2822" spans="1:69" ht="12.75" customHeight="1" x14ac:dyDescent="0.2">
      <c r="A2822" s="2">
        <v>4311</v>
      </c>
      <c r="B2822" s="2"/>
      <c r="C2822" s="2"/>
      <c r="D2822" s="2"/>
      <c r="E2822" s="2"/>
      <c r="F2822" s="132">
        <v>0</v>
      </c>
      <c r="G2822" s="132"/>
      <c r="H2822" s="132">
        <f t="shared" si="318"/>
        <v>0</v>
      </c>
      <c r="I2822" s="132"/>
      <c r="J2822" s="132">
        <f t="shared" si="316"/>
        <v>0</v>
      </c>
      <c r="K2822" s="132">
        <f t="shared" si="319"/>
        <v>0</v>
      </c>
      <c r="L2822" s="132">
        <f t="shared" si="313"/>
        <v>0</v>
      </c>
      <c r="M2822" s="133"/>
      <c r="N2822" s="133">
        <f t="shared" si="317"/>
        <v>0</v>
      </c>
      <c r="O2822" s="134"/>
      <c r="P2822" s="133"/>
      <c r="Q2822" s="2"/>
      <c r="R2822" s="156">
        <f t="shared" si="314"/>
        <v>0</v>
      </c>
      <c r="S2822" s="156">
        <f t="shared" si="315"/>
        <v>0</v>
      </c>
      <c r="T2822" s="133"/>
      <c r="U2822" s="133"/>
      <c r="V2822" s="133"/>
      <c r="W2822" s="133"/>
      <c r="X2822" s="133"/>
      <c r="Y2822" s="133"/>
      <c r="Z2822" s="133"/>
      <c r="AA2822" s="133"/>
      <c r="AB2822" s="133"/>
      <c r="AC2822" s="133"/>
      <c r="AD2822" s="133"/>
      <c r="AE2822" s="133"/>
      <c r="AF2822" s="133"/>
      <c r="AG2822" s="133"/>
      <c r="AH2822" s="133"/>
      <c r="AI2822" s="133"/>
      <c r="AJ2822" s="133"/>
      <c r="AK2822" s="133"/>
      <c r="AL2822" s="133"/>
      <c r="AM2822" s="133"/>
      <c r="AN2822" s="133"/>
      <c r="AO2822" s="133"/>
      <c r="AP2822" s="133"/>
      <c r="AQ2822" s="133"/>
      <c r="AR2822" s="133"/>
      <c r="AS2822" s="153">
        <v>0</v>
      </c>
      <c r="AT2822" s="153">
        <v>0</v>
      </c>
      <c r="AU2822" s="153">
        <v>0</v>
      </c>
      <c r="AV2822" s="135"/>
      <c r="AW2822" s="135"/>
      <c r="AX2822" s="135"/>
      <c r="AY2822" s="135"/>
      <c r="AZ2822" s="135"/>
      <c r="BA2822" s="135"/>
      <c r="BB2822" s="135"/>
      <c r="BC2822" s="135"/>
      <c r="BD2822" s="135"/>
      <c r="BE2822" s="135"/>
      <c r="BF2822" s="135"/>
      <c r="BG2822" s="135"/>
      <c r="BH2822" s="135"/>
      <c r="BI2822" s="2"/>
      <c r="BJ2822" s="136"/>
      <c r="BK2822" s="2"/>
      <c r="BL2822" s="136"/>
      <c r="BM2822" s="136"/>
      <c r="BN2822" s="2"/>
      <c r="BO2822" s="2"/>
      <c r="BP2822" s="136"/>
      <c r="BQ2822" s="137"/>
    </row>
    <row r="2823" spans="1:69" ht="12.75" customHeight="1" x14ac:dyDescent="0.2">
      <c r="A2823" s="2">
        <v>4312</v>
      </c>
      <c r="B2823" s="2"/>
      <c r="C2823" s="2"/>
      <c r="D2823" s="2"/>
      <c r="E2823" s="2"/>
      <c r="F2823" s="132">
        <v>0</v>
      </c>
      <c r="G2823" s="132"/>
      <c r="H2823" s="132">
        <f t="shared" si="318"/>
        <v>0</v>
      </c>
      <c r="I2823" s="132"/>
      <c r="J2823" s="132">
        <f t="shared" si="316"/>
        <v>0</v>
      </c>
      <c r="K2823" s="132">
        <f t="shared" si="319"/>
        <v>0</v>
      </c>
      <c r="L2823" s="132">
        <f t="shared" si="313"/>
        <v>0</v>
      </c>
      <c r="M2823" s="133"/>
      <c r="N2823" s="133">
        <f t="shared" si="317"/>
        <v>0</v>
      </c>
      <c r="O2823" s="134"/>
      <c r="P2823" s="133"/>
      <c r="Q2823" s="2"/>
      <c r="R2823" s="156">
        <f t="shared" si="314"/>
        <v>0</v>
      </c>
      <c r="S2823" s="156">
        <f t="shared" si="315"/>
        <v>0</v>
      </c>
      <c r="T2823" s="133"/>
      <c r="U2823" s="133"/>
      <c r="V2823" s="133"/>
      <c r="W2823" s="133"/>
      <c r="X2823" s="133"/>
      <c r="Y2823" s="133"/>
      <c r="Z2823" s="133"/>
      <c r="AA2823" s="133"/>
      <c r="AB2823" s="133"/>
      <c r="AC2823" s="133"/>
      <c r="AD2823" s="133"/>
      <c r="AE2823" s="133"/>
      <c r="AF2823" s="133"/>
      <c r="AG2823" s="133"/>
      <c r="AH2823" s="133"/>
      <c r="AI2823" s="133"/>
      <c r="AJ2823" s="133"/>
      <c r="AK2823" s="133"/>
      <c r="AL2823" s="133"/>
      <c r="AM2823" s="133"/>
      <c r="AN2823" s="133"/>
      <c r="AO2823" s="133"/>
      <c r="AP2823" s="133"/>
      <c r="AQ2823" s="133"/>
      <c r="AR2823" s="133"/>
      <c r="AS2823" s="153">
        <v>0</v>
      </c>
      <c r="AT2823" s="153">
        <v>0</v>
      </c>
      <c r="AU2823" s="153">
        <v>0</v>
      </c>
      <c r="AV2823" s="135"/>
      <c r="AW2823" s="135"/>
      <c r="AX2823" s="135"/>
      <c r="AY2823" s="135"/>
      <c r="AZ2823" s="135"/>
      <c r="BA2823" s="135"/>
      <c r="BB2823" s="135"/>
      <c r="BC2823" s="135"/>
      <c r="BD2823" s="135"/>
      <c r="BE2823" s="135"/>
      <c r="BF2823" s="135"/>
      <c r="BG2823" s="135"/>
      <c r="BH2823" s="135"/>
      <c r="BI2823" s="2"/>
      <c r="BJ2823" s="136"/>
      <c r="BK2823" s="2"/>
      <c r="BL2823" s="136"/>
      <c r="BM2823" s="136"/>
      <c r="BN2823" s="2"/>
      <c r="BO2823" s="2"/>
      <c r="BP2823" s="136"/>
      <c r="BQ2823" s="137"/>
    </row>
    <row r="2824" spans="1:69" ht="12.75" customHeight="1" x14ac:dyDescent="0.2">
      <c r="A2824" s="2">
        <v>4313</v>
      </c>
      <c r="B2824" s="2"/>
      <c r="C2824" s="2"/>
      <c r="D2824" s="2"/>
      <c r="E2824" s="2"/>
      <c r="F2824" s="132">
        <v>0</v>
      </c>
      <c r="G2824" s="132"/>
      <c r="H2824" s="132">
        <f t="shared" si="318"/>
        <v>0</v>
      </c>
      <c r="I2824" s="132"/>
      <c r="J2824" s="132">
        <f t="shared" si="316"/>
        <v>0</v>
      </c>
      <c r="K2824" s="132">
        <f t="shared" si="319"/>
        <v>0</v>
      </c>
      <c r="L2824" s="132">
        <f t="shared" si="313"/>
        <v>0</v>
      </c>
      <c r="M2824" s="133"/>
      <c r="N2824" s="133">
        <f t="shared" si="317"/>
        <v>0</v>
      </c>
      <c r="O2824" s="134"/>
      <c r="P2824" s="133"/>
      <c r="Q2824" s="2"/>
      <c r="R2824" s="156">
        <f t="shared" si="314"/>
        <v>0</v>
      </c>
      <c r="S2824" s="156">
        <f t="shared" si="315"/>
        <v>0</v>
      </c>
      <c r="T2824" s="133"/>
      <c r="U2824" s="133"/>
      <c r="V2824" s="133"/>
      <c r="W2824" s="133"/>
      <c r="X2824" s="133"/>
      <c r="Y2824" s="133"/>
      <c r="Z2824" s="133"/>
      <c r="AA2824" s="133"/>
      <c r="AB2824" s="133"/>
      <c r="AC2824" s="133"/>
      <c r="AD2824" s="133"/>
      <c r="AE2824" s="133"/>
      <c r="AF2824" s="133"/>
      <c r="AG2824" s="133"/>
      <c r="AH2824" s="133"/>
      <c r="AI2824" s="133"/>
      <c r="AJ2824" s="133"/>
      <c r="AK2824" s="133"/>
      <c r="AL2824" s="133"/>
      <c r="AM2824" s="133"/>
      <c r="AN2824" s="133"/>
      <c r="AO2824" s="133"/>
      <c r="AP2824" s="133"/>
      <c r="AQ2824" s="133"/>
      <c r="AR2824" s="133"/>
      <c r="AS2824" s="153">
        <v>0</v>
      </c>
      <c r="AT2824" s="153">
        <v>0</v>
      </c>
      <c r="AU2824" s="153">
        <v>0</v>
      </c>
      <c r="AV2824" s="135"/>
      <c r="AW2824" s="135"/>
      <c r="AX2824" s="135"/>
      <c r="AY2824" s="135"/>
      <c r="AZ2824" s="135"/>
      <c r="BA2824" s="135"/>
      <c r="BB2824" s="135"/>
      <c r="BC2824" s="135"/>
      <c r="BD2824" s="135"/>
      <c r="BE2824" s="135"/>
      <c r="BF2824" s="135"/>
      <c r="BG2824" s="135"/>
      <c r="BH2824" s="135"/>
      <c r="BI2824" s="2"/>
      <c r="BJ2824" s="136"/>
      <c r="BK2824" s="2"/>
      <c r="BL2824" s="136"/>
      <c r="BM2824" s="136"/>
      <c r="BN2824" s="2"/>
      <c r="BO2824" s="2"/>
      <c r="BP2824" s="136"/>
      <c r="BQ2824" s="137"/>
    </row>
    <row r="2825" spans="1:69" ht="12.75" customHeight="1" x14ac:dyDescent="0.2">
      <c r="A2825" s="2">
        <v>4314</v>
      </c>
      <c r="B2825" s="2"/>
      <c r="C2825" s="2"/>
      <c r="D2825" s="2"/>
      <c r="E2825" s="2"/>
      <c r="F2825" s="132">
        <v>0</v>
      </c>
      <c r="G2825" s="132"/>
      <c r="H2825" s="132">
        <f t="shared" si="318"/>
        <v>0</v>
      </c>
      <c r="I2825" s="132"/>
      <c r="J2825" s="132">
        <f t="shared" si="316"/>
        <v>0</v>
      </c>
      <c r="K2825" s="132">
        <f t="shared" si="319"/>
        <v>0</v>
      </c>
      <c r="L2825" s="132">
        <f t="shared" si="313"/>
        <v>0</v>
      </c>
      <c r="M2825" s="133"/>
      <c r="N2825" s="133">
        <f t="shared" si="317"/>
        <v>0</v>
      </c>
      <c r="O2825" s="134"/>
      <c r="P2825" s="133"/>
      <c r="Q2825" s="2"/>
      <c r="R2825" s="156">
        <f t="shared" si="314"/>
        <v>0</v>
      </c>
      <c r="S2825" s="156">
        <f t="shared" si="315"/>
        <v>0</v>
      </c>
      <c r="T2825" s="133"/>
      <c r="U2825" s="133"/>
      <c r="V2825" s="133"/>
      <c r="W2825" s="133"/>
      <c r="X2825" s="133"/>
      <c r="Y2825" s="133"/>
      <c r="Z2825" s="133"/>
      <c r="AA2825" s="133"/>
      <c r="AB2825" s="133"/>
      <c r="AC2825" s="133"/>
      <c r="AD2825" s="133"/>
      <c r="AE2825" s="133"/>
      <c r="AF2825" s="133"/>
      <c r="AG2825" s="133"/>
      <c r="AH2825" s="133"/>
      <c r="AI2825" s="133"/>
      <c r="AJ2825" s="133"/>
      <c r="AK2825" s="133"/>
      <c r="AL2825" s="133"/>
      <c r="AM2825" s="133"/>
      <c r="AN2825" s="133"/>
      <c r="AO2825" s="133"/>
      <c r="AP2825" s="133"/>
      <c r="AQ2825" s="133"/>
      <c r="AR2825" s="133"/>
      <c r="AS2825" s="153">
        <v>0</v>
      </c>
      <c r="AT2825" s="153">
        <v>0</v>
      </c>
      <c r="AU2825" s="153">
        <v>0</v>
      </c>
      <c r="AV2825" s="135"/>
      <c r="AW2825" s="135"/>
      <c r="AX2825" s="135"/>
      <c r="AY2825" s="135"/>
      <c r="AZ2825" s="135"/>
      <c r="BA2825" s="135"/>
      <c r="BB2825" s="135"/>
      <c r="BC2825" s="135"/>
      <c r="BD2825" s="135"/>
      <c r="BE2825" s="135"/>
      <c r="BF2825" s="135"/>
      <c r="BG2825" s="135"/>
      <c r="BH2825" s="135"/>
      <c r="BI2825" s="2"/>
      <c r="BJ2825" s="136"/>
      <c r="BK2825" s="2"/>
      <c r="BL2825" s="136"/>
      <c r="BM2825" s="136"/>
      <c r="BN2825" s="2"/>
      <c r="BO2825" s="2"/>
      <c r="BP2825" s="136"/>
      <c r="BQ2825" s="137"/>
    </row>
    <row r="2826" spans="1:69" ht="12.75" customHeight="1" x14ac:dyDescent="0.2">
      <c r="A2826" s="2">
        <v>4315</v>
      </c>
      <c r="B2826" s="2"/>
      <c r="C2826" s="2"/>
      <c r="D2826" s="2"/>
      <c r="E2826" s="2"/>
      <c r="F2826" s="132">
        <v>0</v>
      </c>
      <c r="G2826" s="132"/>
      <c r="H2826" s="132">
        <f t="shared" si="318"/>
        <v>0</v>
      </c>
      <c r="I2826" s="132"/>
      <c r="J2826" s="132">
        <f t="shared" si="316"/>
        <v>0</v>
      </c>
      <c r="K2826" s="132">
        <f t="shared" si="319"/>
        <v>0</v>
      </c>
      <c r="L2826" s="132">
        <f t="shared" si="313"/>
        <v>0</v>
      </c>
      <c r="M2826" s="133"/>
      <c r="N2826" s="133">
        <f t="shared" si="317"/>
        <v>0</v>
      </c>
      <c r="O2826" s="134"/>
      <c r="P2826" s="133"/>
      <c r="Q2826" s="2"/>
      <c r="R2826" s="156">
        <f t="shared" si="314"/>
        <v>0</v>
      </c>
      <c r="S2826" s="156">
        <f t="shared" si="315"/>
        <v>0</v>
      </c>
      <c r="T2826" s="133"/>
      <c r="U2826" s="133"/>
      <c r="V2826" s="133"/>
      <c r="W2826" s="133"/>
      <c r="X2826" s="133"/>
      <c r="Y2826" s="133"/>
      <c r="Z2826" s="133"/>
      <c r="AA2826" s="133"/>
      <c r="AB2826" s="133"/>
      <c r="AC2826" s="133"/>
      <c r="AD2826" s="133"/>
      <c r="AE2826" s="133"/>
      <c r="AF2826" s="133"/>
      <c r="AG2826" s="133"/>
      <c r="AH2826" s="133"/>
      <c r="AI2826" s="133"/>
      <c r="AJ2826" s="133"/>
      <c r="AK2826" s="133"/>
      <c r="AL2826" s="133"/>
      <c r="AM2826" s="133"/>
      <c r="AN2826" s="133"/>
      <c r="AO2826" s="133"/>
      <c r="AP2826" s="133"/>
      <c r="AQ2826" s="133"/>
      <c r="AR2826" s="133"/>
      <c r="AS2826" s="153">
        <v>0</v>
      </c>
      <c r="AT2826" s="153">
        <v>0</v>
      </c>
      <c r="AU2826" s="153">
        <v>0</v>
      </c>
      <c r="AV2826" s="135"/>
      <c r="AW2826" s="135"/>
      <c r="AX2826" s="135"/>
      <c r="AY2826" s="135"/>
      <c r="AZ2826" s="135"/>
      <c r="BA2826" s="135"/>
      <c r="BB2826" s="135"/>
      <c r="BC2826" s="135"/>
      <c r="BD2826" s="135"/>
      <c r="BE2826" s="135"/>
      <c r="BF2826" s="135"/>
      <c r="BG2826" s="135"/>
      <c r="BH2826" s="135"/>
      <c r="BI2826" s="2"/>
      <c r="BJ2826" s="136"/>
      <c r="BK2826" s="2"/>
      <c r="BL2826" s="136"/>
      <c r="BM2826" s="136"/>
      <c r="BN2826" s="2"/>
      <c r="BO2826" s="2"/>
      <c r="BP2826" s="136"/>
      <c r="BQ2826" s="137"/>
    </row>
    <row r="2827" spans="1:69" ht="12.75" customHeight="1" x14ac:dyDescent="0.2">
      <c r="A2827" s="2">
        <v>4316</v>
      </c>
      <c r="B2827" s="2"/>
      <c r="C2827" s="2"/>
      <c r="D2827" s="2"/>
      <c r="E2827" s="2"/>
      <c r="F2827" s="132">
        <v>0</v>
      </c>
      <c r="G2827" s="132"/>
      <c r="H2827" s="132">
        <f t="shared" si="318"/>
        <v>0</v>
      </c>
      <c r="I2827" s="132"/>
      <c r="J2827" s="132">
        <f t="shared" si="316"/>
        <v>0</v>
      </c>
      <c r="K2827" s="132">
        <f t="shared" si="319"/>
        <v>0</v>
      </c>
      <c r="L2827" s="132">
        <f t="shared" ref="L2827:L2890" si="320">H2827-J2827</f>
        <v>0</v>
      </c>
      <c r="M2827" s="133"/>
      <c r="N2827" s="133">
        <f t="shared" si="317"/>
        <v>0</v>
      </c>
      <c r="O2827" s="134"/>
      <c r="P2827" s="133"/>
      <c r="Q2827" s="2"/>
      <c r="R2827" s="156">
        <f t="shared" ref="R2827:R2890" si="321">T2827+V2827+X2827+Z2827+AB2827+AD2827+AF2827+AH2827+AJ2827+AL2827+AN2827+AP2827</f>
        <v>0</v>
      </c>
      <c r="S2827" s="156">
        <f t="shared" ref="S2827:S2890" si="322">U2827+W2827+Y2827+AA2827+AC2827+AE2827+AG2827+AI2827+AK2827+AM2827+AO2827+AQ2827</f>
        <v>0</v>
      </c>
      <c r="T2827" s="133"/>
      <c r="U2827" s="133"/>
      <c r="V2827" s="133"/>
      <c r="W2827" s="133"/>
      <c r="X2827" s="133"/>
      <c r="Y2827" s="133"/>
      <c r="Z2827" s="133"/>
      <c r="AA2827" s="133"/>
      <c r="AB2827" s="133"/>
      <c r="AC2827" s="133"/>
      <c r="AD2827" s="133"/>
      <c r="AE2827" s="133"/>
      <c r="AF2827" s="133"/>
      <c r="AG2827" s="133"/>
      <c r="AH2827" s="133"/>
      <c r="AI2827" s="133"/>
      <c r="AJ2827" s="133"/>
      <c r="AK2827" s="133"/>
      <c r="AL2827" s="133"/>
      <c r="AM2827" s="133"/>
      <c r="AN2827" s="133"/>
      <c r="AO2827" s="133"/>
      <c r="AP2827" s="133"/>
      <c r="AQ2827" s="133"/>
      <c r="AR2827" s="133"/>
      <c r="AS2827" s="153">
        <v>0</v>
      </c>
      <c r="AT2827" s="153">
        <v>0</v>
      </c>
      <c r="AU2827" s="153">
        <v>0</v>
      </c>
      <c r="AV2827" s="135"/>
      <c r="AW2827" s="135"/>
      <c r="AX2827" s="135"/>
      <c r="AY2827" s="135"/>
      <c r="AZ2827" s="135"/>
      <c r="BA2827" s="135"/>
      <c r="BB2827" s="135"/>
      <c r="BC2827" s="135"/>
      <c r="BD2827" s="135"/>
      <c r="BE2827" s="135"/>
      <c r="BF2827" s="135"/>
      <c r="BG2827" s="135"/>
      <c r="BH2827" s="135"/>
      <c r="BI2827" s="2"/>
      <c r="BJ2827" s="136"/>
      <c r="BK2827" s="2"/>
      <c r="BL2827" s="136"/>
      <c r="BM2827" s="136"/>
      <c r="BN2827" s="2"/>
      <c r="BO2827" s="2"/>
      <c r="BP2827" s="136"/>
      <c r="BQ2827" s="137"/>
    </row>
    <row r="2828" spans="1:69" ht="12.75" customHeight="1" x14ac:dyDescent="0.2">
      <c r="A2828" s="2">
        <v>4317</v>
      </c>
      <c r="B2828" s="2"/>
      <c r="C2828" s="2"/>
      <c r="D2828" s="2"/>
      <c r="E2828" s="2"/>
      <c r="F2828" s="132">
        <v>0</v>
      </c>
      <c r="G2828" s="132"/>
      <c r="H2828" s="132">
        <f t="shared" si="318"/>
        <v>0</v>
      </c>
      <c r="I2828" s="132"/>
      <c r="J2828" s="132">
        <f t="shared" si="316"/>
        <v>0</v>
      </c>
      <c r="K2828" s="132">
        <f t="shared" si="319"/>
        <v>0</v>
      </c>
      <c r="L2828" s="132">
        <f t="shared" si="320"/>
        <v>0</v>
      </c>
      <c r="M2828" s="133"/>
      <c r="N2828" s="133">
        <f t="shared" si="317"/>
        <v>0</v>
      </c>
      <c r="O2828" s="134"/>
      <c r="P2828" s="133"/>
      <c r="Q2828" s="2"/>
      <c r="R2828" s="156">
        <f t="shared" si="321"/>
        <v>0</v>
      </c>
      <c r="S2828" s="156">
        <f t="shared" si="322"/>
        <v>0</v>
      </c>
      <c r="T2828" s="133"/>
      <c r="U2828" s="133"/>
      <c r="V2828" s="133"/>
      <c r="W2828" s="133"/>
      <c r="X2828" s="133"/>
      <c r="Y2828" s="133"/>
      <c r="Z2828" s="133"/>
      <c r="AA2828" s="133"/>
      <c r="AB2828" s="133"/>
      <c r="AC2828" s="133"/>
      <c r="AD2828" s="133"/>
      <c r="AE2828" s="133"/>
      <c r="AF2828" s="133"/>
      <c r="AG2828" s="133"/>
      <c r="AH2828" s="133"/>
      <c r="AI2828" s="133"/>
      <c r="AJ2828" s="133"/>
      <c r="AK2828" s="133"/>
      <c r="AL2828" s="133"/>
      <c r="AM2828" s="133"/>
      <c r="AN2828" s="133"/>
      <c r="AO2828" s="133"/>
      <c r="AP2828" s="133"/>
      <c r="AQ2828" s="133"/>
      <c r="AR2828" s="133"/>
      <c r="AS2828" s="153">
        <v>0</v>
      </c>
      <c r="AT2828" s="153">
        <v>0</v>
      </c>
      <c r="AU2828" s="153">
        <v>0</v>
      </c>
      <c r="AV2828" s="135"/>
      <c r="AW2828" s="135"/>
      <c r="AX2828" s="135"/>
      <c r="AY2828" s="135"/>
      <c r="AZ2828" s="135"/>
      <c r="BA2828" s="135"/>
      <c r="BB2828" s="135"/>
      <c r="BC2828" s="135"/>
      <c r="BD2828" s="135"/>
      <c r="BE2828" s="135"/>
      <c r="BF2828" s="135"/>
      <c r="BG2828" s="135"/>
      <c r="BH2828" s="135"/>
      <c r="BI2828" s="2"/>
      <c r="BJ2828" s="136"/>
      <c r="BK2828" s="2"/>
      <c r="BL2828" s="136"/>
      <c r="BM2828" s="136"/>
      <c r="BN2828" s="2"/>
      <c r="BO2828" s="2"/>
      <c r="BP2828" s="136"/>
      <c r="BQ2828" s="137"/>
    </row>
    <row r="2829" spans="1:69" ht="12.75" customHeight="1" x14ac:dyDescent="0.2">
      <c r="A2829" s="2">
        <v>4318</v>
      </c>
      <c r="B2829" s="2"/>
      <c r="C2829" s="2"/>
      <c r="D2829" s="2"/>
      <c r="E2829" s="2"/>
      <c r="F2829" s="132">
        <v>0</v>
      </c>
      <c r="G2829" s="132"/>
      <c r="H2829" s="132">
        <f t="shared" si="318"/>
        <v>0</v>
      </c>
      <c r="I2829" s="132"/>
      <c r="J2829" s="132">
        <f t="shared" si="316"/>
        <v>0</v>
      </c>
      <c r="K2829" s="132">
        <f t="shared" si="319"/>
        <v>0</v>
      </c>
      <c r="L2829" s="132">
        <f t="shared" si="320"/>
        <v>0</v>
      </c>
      <c r="M2829" s="133"/>
      <c r="N2829" s="133">
        <f t="shared" si="317"/>
        <v>0</v>
      </c>
      <c r="O2829" s="134"/>
      <c r="P2829" s="133"/>
      <c r="Q2829" s="2"/>
      <c r="R2829" s="156">
        <f t="shared" si="321"/>
        <v>0</v>
      </c>
      <c r="S2829" s="156">
        <f t="shared" si="322"/>
        <v>0</v>
      </c>
      <c r="T2829" s="133"/>
      <c r="U2829" s="133"/>
      <c r="V2829" s="133"/>
      <c r="W2829" s="133"/>
      <c r="X2829" s="133"/>
      <c r="Y2829" s="133"/>
      <c r="Z2829" s="133"/>
      <c r="AA2829" s="133"/>
      <c r="AB2829" s="133"/>
      <c r="AC2829" s="133"/>
      <c r="AD2829" s="133"/>
      <c r="AE2829" s="133"/>
      <c r="AF2829" s="133"/>
      <c r="AG2829" s="133"/>
      <c r="AH2829" s="133"/>
      <c r="AI2829" s="133"/>
      <c r="AJ2829" s="133"/>
      <c r="AK2829" s="133"/>
      <c r="AL2829" s="133"/>
      <c r="AM2829" s="133"/>
      <c r="AN2829" s="133"/>
      <c r="AO2829" s="133"/>
      <c r="AP2829" s="133"/>
      <c r="AQ2829" s="133"/>
      <c r="AR2829" s="133"/>
      <c r="AS2829" s="153">
        <v>0</v>
      </c>
      <c r="AT2829" s="153">
        <v>0</v>
      </c>
      <c r="AU2829" s="153">
        <v>0</v>
      </c>
      <c r="AV2829" s="135"/>
      <c r="AW2829" s="135"/>
      <c r="AX2829" s="135"/>
      <c r="AY2829" s="135"/>
      <c r="AZ2829" s="135"/>
      <c r="BA2829" s="135"/>
      <c r="BB2829" s="135"/>
      <c r="BC2829" s="135"/>
      <c r="BD2829" s="135"/>
      <c r="BE2829" s="135"/>
      <c r="BF2829" s="135"/>
      <c r="BG2829" s="135"/>
      <c r="BH2829" s="135"/>
      <c r="BI2829" s="2"/>
      <c r="BJ2829" s="136"/>
      <c r="BK2829" s="2"/>
      <c r="BL2829" s="136"/>
      <c r="BM2829" s="136"/>
      <c r="BN2829" s="2"/>
      <c r="BO2829" s="2"/>
      <c r="BP2829" s="136"/>
      <c r="BQ2829" s="137"/>
    </row>
    <row r="2830" spans="1:69" ht="12.75" customHeight="1" x14ac:dyDescent="0.2">
      <c r="A2830" s="2">
        <v>4319</v>
      </c>
      <c r="B2830" s="2"/>
      <c r="C2830" s="2"/>
      <c r="D2830" s="2"/>
      <c r="E2830" s="2"/>
      <c r="F2830" s="132">
        <v>0</v>
      </c>
      <c r="G2830" s="132"/>
      <c r="H2830" s="132">
        <f t="shared" si="318"/>
        <v>0</v>
      </c>
      <c r="I2830" s="132"/>
      <c r="J2830" s="132">
        <f t="shared" si="316"/>
        <v>0</v>
      </c>
      <c r="K2830" s="132">
        <f t="shared" si="319"/>
        <v>0</v>
      </c>
      <c r="L2830" s="132">
        <f t="shared" si="320"/>
        <v>0</v>
      </c>
      <c r="M2830" s="133"/>
      <c r="N2830" s="133">
        <f t="shared" si="317"/>
        <v>0</v>
      </c>
      <c r="O2830" s="134"/>
      <c r="P2830" s="133"/>
      <c r="Q2830" s="2"/>
      <c r="R2830" s="156">
        <f t="shared" si="321"/>
        <v>0</v>
      </c>
      <c r="S2830" s="156">
        <f t="shared" si="322"/>
        <v>0</v>
      </c>
      <c r="T2830" s="133"/>
      <c r="U2830" s="133"/>
      <c r="V2830" s="133"/>
      <c r="W2830" s="133"/>
      <c r="X2830" s="133"/>
      <c r="Y2830" s="133"/>
      <c r="Z2830" s="133"/>
      <c r="AA2830" s="133"/>
      <c r="AB2830" s="133"/>
      <c r="AC2830" s="133"/>
      <c r="AD2830" s="133"/>
      <c r="AE2830" s="133"/>
      <c r="AF2830" s="133"/>
      <c r="AG2830" s="133"/>
      <c r="AH2830" s="133"/>
      <c r="AI2830" s="133"/>
      <c r="AJ2830" s="133"/>
      <c r="AK2830" s="133"/>
      <c r="AL2830" s="133"/>
      <c r="AM2830" s="133"/>
      <c r="AN2830" s="133"/>
      <c r="AO2830" s="133"/>
      <c r="AP2830" s="133"/>
      <c r="AQ2830" s="133"/>
      <c r="AR2830" s="133"/>
      <c r="AS2830" s="153">
        <v>0</v>
      </c>
      <c r="AT2830" s="153">
        <v>0</v>
      </c>
      <c r="AU2830" s="153">
        <v>0</v>
      </c>
      <c r="AV2830" s="135"/>
      <c r="AW2830" s="135"/>
      <c r="AX2830" s="135"/>
      <c r="AY2830" s="135"/>
      <c r="AZ2830" s="135"/>
      <c r="BA2830" s="135"/>
      <c r="BB2830" s="135"/>
      <c r="BC2830" s="135"/>
      <c r="BD2830" s="135"/>
      <c r="BE2830" s="135"/>
      <c r="BF2830" s="135"/>
      <c r="BG2830" s="135"/>
      <c r="BH2830" s="135"/>
      <c r="BI2830" s="2"/>
      <c r="BJ2830" s="136"/>
      <c r="BK2830" s="2"/>
      <c r="BL2830" s="136"/>
      <c r="BM2830" s="136"/>
      <c r="BN2830" s="2"/>
      <c r="BO2830" s="2"/>
      <c r="BP2830" s="136"/>
      <c r="BQ2830" s="137"/>
    </row>
    <row r="2831" spans="1:69" ht="12.75" customHeight="1" x14ac:dyDescent="0.2">
      <c r="A2831" s="2">
        <v>4320</v>
      </c>
      <c r="B2831" s="2"/>
      <c r="C2831" s="2"/>
      <c r="D2831" s="2"/>
      <c r="E2831" s="2"/>
      <c r="F2831" s="132">
        <v>0</v>
      </c>
      <c r="G2831" s="132"/>
      <c r="H2831" s="132">
        <f t="shared" si="318"/>
        <v>0</v>
      </c>
      <c r="I2831" s="132"/>
      <c r="J2831" s="132">
        <f t="shared" si="316"/>
        <v>0</v>
      </c>
      <c r="K2831" s="132">
        <f t="shared" si="319"/>
        <v>0</v>
      </c>
      <c r="L2831" s="132">
        <f t="shared" si="320"/>
        <v>0</v>
      </c>
      <c r="M2831" s="133"/>
      <c r="N2831" s="133">
        <f t="shared" si="317"/>
        <v>0</v>
      </c>
      <c r="O2831" s="134"/>
      <c r="P2831" s="133"/>
      <c r="Q2831" s="2"/>
      <c r="R2831" s="156">
        <f t="shared" si="321"/>
        <v>0</v>
      </c>
      <c r="S2831" s="156">
        <f t="shared" si="322"/>
        <v>0</v>
      </c>
      <c r="T2831" s="133"/>
      <c r="U2831" s="133"/>
      <c r="V2831" s="133"/>
      <c r="W2831" s="133"/>
      <c r="X2831" s="133"/>
      <c r="Y2831" s="133"/>
      <c r="Z2831" s="133"/>
      <c r="AA2831" s="133"/>
      <c r="AB2831" s="133"/>
      <c r="AC2831" s="133"/>
      <c r="AD2831" s="133"/>
      <c r="AE2831" s="133"/>
      <c r="AF2831" s="133"/>
      <c r="AG2831" s="133"/>
      <c r="AH2831" s="133"/>
      <c r="AI2831" s="133"/>
      <c r="AJ2831" s="133"/>
      <c r="AK2831" s="133"/>
      <c r="AL2831" s="133"/>
      <c r="AM2831" s="133"/>
      <c r="AN2831" s="133"/>
      <c r="AO2831" s="133"/>
      <c r="AP2831" s="133"/>
      <c r="AQ2831" s="133"/>
      <c r="AR2831" s="133"/>
      <c r="AS2831" s="153">
        <v>0</v>
      </c>
      <c r="AT2831" s="153">
        <v>0</v>
      </c>
      <c r="AU2831" s="153">
        <v>0</v>
      </c>
      <c r="AV2831" s="135"/>
      <c r="AW2831" s="135"/>
      <c r="AX2831" s="135"/>
      <c r="AY2831" s="135"/>
      <c r="AZ2831" s="135"/>
      <c r="BA2831" s="135"/>
      <c r="BB2831" s="135"/>
      <c r="BC2831" s="135"/>
      <c r="BD2831" s="135"/>
      <c r="BE2831" s="135"/>
      <c r="BF2831" s="135"/>
      <c r="BG2831" s="135"/>
      <c r="BH2831" s="135"/>
      <c r="BI2831" s="2"/>
      <c r="BJ2831" s="136"/>
      <c r="BK2831" s="2"/>
      <c r="BL2831" s="136"/>
      <c r="BM2831" s="136"/>
      <c r="BN2831" s="2"/>
      <c r="BO2831" s="2"/>
      <c r="BP2831" s="136"/>
      <c r="BQ2831" s="137"/>
    </row>
    <row r="2832" spans="1:69" ht="12.75" customHeight="1" x14ac:dyDescent="0.2">
      <c r="A2832" s="2">
        <v>4321</v>
      </c>
      <c r="B2832" s="2"/>
      <c r="C2832" s="2"/>
      <c r="D2832" s="2"/>
      <c r="E2832" s="2"/>
      <c r="F2832" s="132">
        <v>0</v>
      </c>
      <c r="G2832" s="132"/>
      <c r="H2832" s="132">
        <f t="shared" si="318"/>
        <v>0</v>
      </c>
      <c r="I2832" s="132"/>
      <c r="J2832" s="132">
        <f t="shared" si="316"/>
        <v>0</v>
      </c>
      <c r="K2832" s="132">
        <f t="shared" si="319"/>
        <v>0</v>
      </c>
      <c r="L2832" s="132">
        <f t="shared" si="320"/>
        <v>0</v>
      </c>
      <c r="M2832" s="133"/>
      <c r="N2832" s="133">
        <f t="shared" si="317"/>
        <v>0</v>
      </c>
      <c r="O2832" s="134"/>
      <c r="P2832" s="133"/>
      <c r="Q2832" s="2"/>
      <c r="R2832" s="156">
        <f t="shared" si="321"/>
        <v>0</v>
      </c>
      <c r="S2832" s="156">
        <f t="shared" si="322"/>
        <v>0</v>
      </c>
      <c r="T2832" s="133"/>
      <c r="U2832" s="133"/>
      <c r="V2832" s="133"/>
      <c r="W2832" s="133"/>
      <c r="X2832" s="133"/>
      <c r="Y2832" s="133"/>
      <c r="Z2832" s="133"/>
      <c r="AA2832" s="133"/>
      <c r="AB2832" s="133"/>
      <c r="AC2832" s="133"/>
      <c r="AD2832" s="133"/>
      <c r="AE2832" s="133"/>
      <c r="AF2832" s="133"/>
      <c r="AG2832" s="133"/>
      <c r="AH2832" s="133"/>
      <c r="AI2832" s="133"/>
      <c r="AJ2832" s="133"/>
      <c r="AK2832" s="133"/>
      <c r="AL2832" s="133"/>
      <c r="AM2832" s="133"/>
      <c r="AN2832" s="133"/>
      <c r="AO2832" s="133"/>
      <c r="AP2832" s="133"/>
      <c r="AQ2832" s="133"/>
      <c r="AR2832" s="133"/>
      <c r="AS2832" s="153">
        <v>0</v>
      </c>
      <c r="AT2832" s="153">
        <v>0</v>
      </c>
      <c r="AU2832" s="153">
        <v>0</v>
      </c>
      <c r="AV2832" s="135"/>
      <c r="AW2832" s="135"/>
      <c r="AX2832" s="135"/>
      <c r="AY2832" s="135"/>
      <c r="AZ2832" s="135"/>
      <c r="BA2832" s="135"/>
      <c r="BB2832" s="135"/>
      <c r="BC2832" s="135"/>
      <c r="BD2832" s="135"/>
      <c r="BE2832" s="135"/>
      <c r="BF2832" s="135"/>
      <c r="BG2832" s="135"/>
      <c r="BH2832" s="135"/>
      <c r="BI2832" s="2"/>
      <c r="BJ2832" s="136"/>
      <c r="BK2832" s="2"/>
      <c r="BL2832" s="136"/>
      <c r="BM2832" s="136"/>
      <c r="BN2832" s="2"/>
      <c r="BO2832" s="2"/>
      <c r="BP2832" s="136"/>
      <c r="BQ2832" s="137"/>
    </row>
    <row r="2833" spans="1:69" ht="12.75" customHeight="1" x14ac:dyDescent="0.2">
      <c r="A2833" s="2">
        <v>4322</v>
      </c>
      <c r="B2833" s="2"/>
      <c r="C2833" s="2"/>
      <c r="D2833" s="2"/>
      <c r="E2833" s="2"/>
      <c r="F2833" s="132">
        <v>0</v>
      </c>
      <c r="G2833" s="132"/>
      <c r="H2833" s="132">
        <f t="shared" si="318"/>
        <v>0</v>
      </c>
      <c r="I2833" s="132"/>
      <c r="J2833" s="132">
        <f t="shared" si="316"/>
        <v>0</v>
      </c>
      <c r="K2833" s="132">
        <f t="shared" si="319"/>
        <v>0</v>
      </c>
      <c r="L2833" s="132">
        <f t="shared" si="320"/>
        <v>0</v>
      </c>
      <c r="M2833" s="133"/>
      <c r="N2833" s="133">
        <f t="shared" si="317"/>
        <v>0</v>
      </c>
      <c r="O2833" s="134"/>
      <c r="P2833" s="133"/>
      <c r="Q2833" s="2"/>
      <c r="R2833" s="156">
        <f t="shared" si="321"/>
        <v>0</v>
      </c>
      <c r="S2833" s="156">
        <f t="shared" si="322"/>
        <v>0</v>
      </c>
      <c r="T2833" s="133"/>
      <c r="U2833" s="133"/>
      <c r="V2833" s="133"/>
      <c r="W2833" s="133"/>
      <c r="X2833" s="133"/>
      <c r="Y2833" s="133"/>
      <c r="Z2833" s="133"/>
      <c r="AA2833" s="133"/>
      <c r="AB2833" s="133"/>
      <c r="AC2833" s="133"/>
      <c r="AD2833" s="133"/>
      <c r="AE2833" s="133"/>
      <c r="AF2833" s="133"/>
      <c r="AG2833" s="133"/>
      <c r="AH2833" s="133"/>
      <c r="AI2833" s="133"/>
      <c r="AJ2833" s="133"/>
      <c r="AK2833" s="133"/>
      <c r="AL2833" s="133"/>
      <c r="AM2833" s="133"/>
      <c r="AN2833" s="133"/>
      <c r="AO2833" s="133"/>
      <c r="AP2833" s="133"/>
      <c r="AQ2833" s="133"/>
      <c r="AR2833" s="133"/>
      <c r="AS2833" s="153">
        <v>0</v>
      </c>
      <c r="AT2833" s="153">
        <v>0</v>
      </c>
      <c r="AU2833" s="153">
        <v>0</v>
      </c>
      <c r="AV2833" s="135"/>
      <c r="AW2833" s="135"/>
      <c r="AX2833" s="135"/>
      <c r="AY2833" s="135"/>
      <c r="AZ2833" s="135"/>
      <c r="BA2833" s="135"/>
      <c r="BB2833" s="135"/>
      <c r="BC2833" s="135"/>
      <c r="BD2833" s="135"/>
      <c r="BE2833" s="135"/>
      <c r="BF2833" s="135"/>
      <c r="BG2833" s="135"/>
      <c r="BH2833" s="135"/>
      <c r="BI2833" s="2"/>
      <c r="BJ2833" s="136"/>
      <c r="BK2833" s="2"/>
      <c r="BL2833" s="136"/>
      <c r="BM2833" s="136"/>
      <c r="BN2833" s="2"/>
      <c r="BO2833" s="2"/>
      <c r="BP2833" s="136"/>
      <c r="BQ2833" s="137"/>
    </row>
    <row r="2834" spans="1:69" ht="12.75" customHeight="1" x14ac:dyDescent="0.2">
      <c r="A2834" s="2">
        <v>4323</v>
      </c>
      <c r="B2834" s="2"/>
      <c r="C2834" s="2"/>
      <c r="D2834" s="2"/>
      <c r="E2834" s="2"/>
      <c r="F2834" s="132">
        <v>0</v>
      </c>
      <c r="G2834" s="132"/>
      <c r="H2834" s="132">
        <f t="shared" si="318"/>
        <v>0</v>
      </c>
      <c r="I2834" s="132"/>
      <c r="J2834" s="132">
        <f t="shared" si="316"/>
        <v>0</v>
      </c>
      <c r="K2834" s="132">
        <f t="shared" si="319"/>
        <v>0</v>
      </c>
      <c r="L2834" s="132">
        <f t="shared" si="320"/>
        <v>0</v>
      </c>
      <c r="M2834" s="133"/>
      <c r="N2834" s="133">
        <f t="shared" si="317"/>
        <v>0</v>
      </c>
      <c r="O2834" s="134"/>
      <c r="P2834" s="133"/>
      <c r="Q2834" s="2"/>
      <c r="R2834" s="156">
        <f t="shared" si="321"/>
        <v>0</v>
      </c>
      <c r="S2834" s="156">
        <f t="shared" si="322"/>
        <v>0</v>
      </c>
      <c r="T2834" s="133"/>
      <c r="U2834" s="133"/>
      <c r="V2834" s="133"/>
      <c r="W2834" s="133"/>
      <c r="X2834" s="133"/>
      <c r="Y2834" s="133"/>
      <c r="Z2834" s="133"/>
      <c r="AA2834" s="133"/>
      <c r="AB2834" s="133"/>
      <c r="AC2834" s="133"/>
      <c r="AD2834" s="133"/>
      <c r="AE2834" s="133"/>
      <c r="AF2834" s="133"/>
      <c r="AG2834" s="133"/>
      <c r="AH2834" s="133"/>
      <c r="AI2834" s="133"/>
      <c r="AJ2834" s="133"/>
      <c r="AK2834" s="133"/>
      <c r="AL2834" s="133"/>
      <c r="AM2834" s="133"/>
      <c r="AN2834" s="133"/>
      <c r="AO2834" s="133"/>
      <c r="AP2834" s="133"/>
      <c r="AQ2834" s="133"/>
      <c r="AR2834" s="133"/>
      <c r="AS2834" s="153">
        <v>0</v>
      </c>
      <c r="AT2834" s="153">
        <v>0</v>
      </c>
      <c r="AU2834" s="153">
        <v>0</v>
      </c>
      <c r="AV2834" s="135"/>
      <c r="AW2834" s="135"/>
      <c r="AX2834" s="135"/>
      <c r="AY2834" s="135"/>
      <c r="AZ2834" s="135"/>
      <c r="BA2834" s="135"/>
      <c r="BB2834" s="135"/>
      <c r="BC2834" s="135"/>
      <c r="BD2834" s="135"/>
      <c r="BE2834" s="135"/>
      <c r="BF2834" s="135"/>
      <c r="BG2834" s="135"/>
      <c r="BH2834" s="135"/>
      <c r="BI2834" s="2"/>
      <c r="BJ2834" s="136"/>
      <c r="BK2834" s="2"/>
      <c r="BL2834" s="136"/>
      <c r="BM2834" s="136"/>
      <c r="BN2834" s="2"/>
      <c r="BO2834" s="2"/>
      <c r="BP2834" s="136"/>
      <c r="BQ2834" s="137"/>
    </row>
    <row r="2835" spans="1:69" ht="12.75" customHeight="1" x14ac:dyDescent="0.2">
      <c r="A2835" s="2">
        <v>4324</v>
      </c>
      <c r="B2835" s="2"/>
      <c r="C2835" s="2"/>
      <c r="D2835" s="2"/>
      <c r="E2835" s="2"/>
      <c r="F2835" s="132">
        <v>0</v>
      </c>
      <c r="G2835" s="132"/>
      <c r="H2835" s="132">
        <f t="shared" si="318"/>
        <v>0</v>
      </c>
      <c r="I2835" s="132"/>
      <c r="J2835" s="132">
        <f t="shared" si="316"/>
        <v>0</v>
      </c>
      <c r="K2835" s="132">
        <f t="shared" si="319"/>
        <v>0</v>
      </c>
      <c r="L2835" s="132">
        <f t="shared" si="320"/>
        <v>0</v>
      </c>
      <c r="M2835" s="133"/>
      <c r="N2835" s="133">
        <f t="shared" si="317"/>
        <v>0</v>
      </c>
      <c r="O2835" s="134"/>
      <c r="P2835" s="133"/>
      <c r="Q2835" s="2"/>
      <c r="R2835" s="156">
        <f t="shared" si="321"/>
        <v>0</v>
      </c>
      <c r="S2835" s="156">
        <f t="shared" si="322"/>
        <v>0</v>
      </c>
      <c r="T2835" s="133"/>
      <c r="U2835" s="133"/>
      <c r="V2835" s="133"/>
      <c r="W2835" s="133"/>
      <c r="X2835" s="133"/>
      <c r="Y2835" s="133"/>
      <c r="Z2835" s="133"/>
      <c r="AA2835" s="133"/>
      <c r="AB2835" s="133"/>
      <c r="AC2835" s="133"/>
      <c r="AD2835" s="133"/>
      <c r="AE2835" s="133"/>
      <c r="AF2835" s="133"/>
      <c r="AG2835" s="133"/>
      <c r="AH2835" s="133"/>
      <c r="AI2835" s="133"/>
      <c r="AJ2835" s="133"/>
      <c r="AK2835" s="133"/>
      <c r="AL2835" s="133"/>
      <c r="AM2835" s="133"/>
      <c r="AN2835" s="133"/>
      <c r="AO2835" s="133"/>
      <c r="AP2835" s="133"/>
      <c r="AQ2835" s="133"/>
      <c r="AR2835" s="133"/>
      <c r="AS2835" s="153">
        <v>0</v>
      </c>
      <c r="AT2835" s="153">
        <v>0</v>
      </c>
      <c r="AU2835" s="153">
        <v>0</v>
      </c>
      <c r="AV2835" s="135"/>
      <c r="AW2835" s="135"/>
      <c r="AX2835" s="135"/>
      <c r="AY2835" s="135"/>
      <c r="AZ2835" s="135"/>
      <c r="BA2835" s="135"/>
      <c r="BB2835" s="135"/>
      <c r="BC2835" s="135"/>
      <c r="BD2835" s="135"/>
      <c r="BE2835" s="135"/>
      <c r="BF2835" s="135"/>
      <c r="BG2835" s="135"/>
      <c r="BH2835" s="135"/>
      <c r="BI2835" s="2"/>
      <c r="BJ2835" s="136"/>
      <c r="BK2835" s="2"/>
      <c r="BL2835" s="136"/>
      <c r="BM2835" s="136"/>
      <c r="BN2835" s="2"/>
      <c r="BO2835" s="2"/>
      <c r="BP2835" s="136"/>
      <c r="BQ2835" s="137"/>
    </row>
    <row r="2836" spans="1:69" ht="12.75" customHeight="1" x14ac:dyDescent="0.2">
      <c r="A2836" s="2">
        <v>4325</v>
      </c>
      <c r="B2836" s="2"/>
      <c r="C2836" s="2"/>
      <c r="D2836" s="2"/>
      <c r="E2836" s="2"/>
      <c r="F2836" s="132">
        <v>0</v>
      </c>
      <c r="G2836" s="132"/>
      <c r="H2836" s="132">
        <f t="shared" si="318"/>
        <v>0</v>
      </c>
      <c r="I2836" s="132"/>
      <c r="J2836" s="132">
        <f t="shared" si="316"/>
        <v>0</v>
      </c>
      <c r="K2836" s="132">
        <f t="shared" si="319"/>
        <v>0</v>
      </c>
      <c r="L2836" s="132">
        <f t="shared" si="320"/>
        <v>0</v>
      </c>
      <c r="M2836" s="133"/>
      <c r="N2836" s="133">
        <f t="shared" si="317"/>
        <v>0</v>
      </c>
      <c r="O2836" s="134"/>
      <c r="P2836" s="133"/>
      <c r="Q2836" s="2"/>
      <c r="R2836" s="156">
        <f t="shared" si="321"/>
        <v>0</v>
      </c>
      <c r="S2836" s="156">
        <f t="shared" si="322"/>
        <v>0</v>
      </c>
      <c r="T2836" s="133"/>
      <c r="U2836" s="133"/>
      <c r="V2836" s="133"/>
      <c r="W2836" s="133"/>
      <c r="X2836" s="133"/>
      <c r="Y2836" s="133"/>
      <c r="Z2836" s="133"/>
      <c r="AA2836" s="133"/>
      <c r="AB2836" s="133"/>
      <c r="AC2836" s="133"/>
      <c r="AD2836" s="133"/>
      <c r="AE2836" s="133"/>
      <c r="AF2836" s="133"/>
      <c r="AG2836" s="133"/>
      <c r="AH2836" s="133"/>
      <c r="AI2836" s="133"/>
      <c r="AJ2836" s="133"/>
      <c r="AK2836" s="133"/>
      <c r="AL2836" s="133"/>
      <c r="AM2836" s="133"/>
      <c r="AN2836" s="133"/>
      <c r="AO2836" s="133"/>
      <c r="AP2836" s="133"/>
      <c r="AQ2836" s="133"/>
      <c r="AR2836" s="133"/>
      <c r="AS2836" s="153">
        <v>0</v>
      </c>
      <c r="AT2836" s="153">
        <v>0</v>
      </c>
      <c r="AU2836" s="153">
        <v>0</v>
      </c>
      <c r="AV2836" s="135"/>
      <c r="AW2836" s="135"/>
      <c r="AX2836" s="135"/>
      <c r="AY2836" s="135"/>
      <c r="AZ2836" s="135"/>
      <c r="BA2836" s="135"/>
      <c r="BB2836" s="135"/>
      <c r="BC2836" s="135"/>
      <c r="BD2836" s="135"/>
      <c r="BE2836" s="135"/>
      <c r="BF2836" s="135"/>
      <c r="BG2836" s="135"/>
      <c r="BH2836" s="135"/>
      <c r="BI2836" s="2"/>
      <c r="BJ2836" s="136"/>
      <c r="BK2836" s="2"/>
      <c r="BL2836" s="136"/>
      <c r="BM2836" s="136"/>
      <c r="BN2836" s="2"/>
      <c r="BO2836" s="2"/>
      <c r="BP2836" s="136"/>
      <c r="BQ2836" s="137"/>
    </row>
    <row r="2837" spans="1:69" ht="12.75" customHeight="1" x14ac:dyDescent="0.2">
      <c r="A2837" s="2">
        <v>4326</v>
      </c>
      <c r="B2837" s="2"/>
      <c r="C2837" s="2"/>
      <c r="D2837" s="2"/>
      <c r="E2837" s="2"/>
      <c r="F2837" s="132">
        <v>0</v>
      </c>
      <c r="G2837" s="132"/>
      <c r="H2837" s="132">
        <f t="shared" si="318"/>
        <v>0</v>
      </c>
      <c r="I2837" s="132"/>
      <c r="J2837" s="132">
        <f t="shared" si="316"/>
        <v>0</v>
      </c>
      <c r="K2837" s="132">
        <f t="shared" si="319"/>
        <v>0</v>
      </c>
      <c r="L2837" s="132">
        <f t="shared" si="320"/>
        <v>0</v>
      </c>
      <c r="M2837" s="133"/>
      <c r="N2837" s="133">
        <f t="shared" si="317"/>
        <v>0</v>
      </c>
      <c r="O2837" s="134"/>
      <c r="P2837" s="133"/>
      <c r="Q2837" s="2"/>
      <c r="R2837" s="156">
        <f t="shared" si="321"/>
        <v>0</v>
      </c>
      <c r="S2837" s="156">
        <f t="shared" si="322"/>
        <v>0</v>
      </c>
      <c r="T2837" s="133"/>
      <c r="U2837" s="133"/>
      <c r="V2837" s="133"/>
      <c r="W2837" s="133"/>
      <c r="X2837" s="133"/>
      <c r="Y2837" s="133"/>
      <c r="Z2837" s="133"/>
      <c r="AA2837" s="133"/>
      <c r="AB2837" s="133"/>
      <c r="AC2837" s="133"/>
      <c r="AD2837" s="133"/>
      <c r="AE2837" s="133"/>
      <c r="AF2837" s="133"/>
      <c r="AG2837" s="133"/>
      <c r="AH2837" s="133"/>
      <c r="AI2837" s="133"/>
      <c r="AJ2837" s="133"/>
      <c r="AK2837" s="133"/>
      <c r="AL2837" s="133"/>
      <c r="AM2837" s="133"/>
      <c r="AN2837" s="133"/>
      <c r="AO2837" s="133"/>
      <c r="AP2837" s="133"/>
      <c r="AQ2837" s="133"/>
      <c r="AR2837" s="133"/>
      <c r="AS2837" s="153">
        <v>0</v>
      </c>
      <c r="AT2837" s="153">
        <v>0</v>
      </c>
      <c r="AU2837" s="153">
        <v>0</v>
      </c>
      <c r="AV2837" s="135"/>
      <c r="AW2837" s="135"/>
      <c r="AX2837" s="135"/>
      <c r="AY2837" s="135"/>
      <c r="AZ2837" s="135"/>
      <c r="BA2837" s="135"/>
      <c r="BB2837" s="135"/>
      <c r="BC2837" s="135"/>
      <c r="BD2837" s="135"/>
      <c r="BE2837" s="135"/>
      <c r="BF2837" s="135"/>
      <c r="BG2837" s="135"/>
      <c r="BH2837" s="135"/>
      <c r="BI2837" s="2"/>
      <c r="BJ2837" s="136"/>
      <c r="BK2837" s="2"/>
      <c r="BL2837" s="136"/>
      <c r="BM2837" s="136"/>
      <c r="BN2837" s="2"/>
      <c r="BO2837" s="2"/>
      <c r="BP2837" s="136"/>
      <c r="BQ2837" s="137"/>
    </row>
    <row r="2838" spans="1:69" ht="12.75" customHeight="1" x14ac:dyDescent="0.2">
      <c r="A2838" s="2">
        <v>4327</v>
      </c>
      <c r="B2838" s="2"/>
      <c r="C2838" s="2"/>
      <c r="D2838" s="2"/>
      <c r="E2838" s="2"/>
      <c r="F2838" s="132">
        <v>0</v>
      </c>
      <c r="G2838" s="132"/>
      <c r="H2838" s="132">
        <f t="shared" si="318"/>
        <v>0</v>
      </c>
      <c r="I2838" s="132"/>
      <c r="J2838" s="132">
        <f t="shared" si="316"/>
        <v>0</v>
      </c>
      <c r="K2838" s="132">
        <f t="shared" si="319"/>
        <v>0</v>
      </c>
      <c r="L2838" s="132">
        <f t="shared" si="320"/>
        <v>0</v>
      </c>
      <c r="M2838" s="133"/>
      <c r="N2838" s="133">
        <f t="shared" si="317"/>
        <v>0</v>
      </c>
      <c r="O2838" s="134"/>
      <c r="P2838" s="133"/>
      <c r="Q2838" s="2"/>
      <c r="R2838" s="156">
        <f t="shared" si="321"/>
        <v>0</v>
      </c>
      <c r="S2838" s="156">
        <f t="shared" si="322"/>
        <v>0</v>
      </c>
      <c r="T2838" s="133"/>
      <c r="U2838" s="133"/>
      <c r="V2838" s="133"/>
      <c r="W2838" s="133"/>
      <c r="X2838" s="133"/>
      <c r="Y2838" s="133"/>
      <c r="Z2838" s="133"/>
      <c r="AA2838" s="133"/>
      <c r="AB2838" s="133"/>
      <c r="AC2838" s="133"/>
      <c r="AD2838" s="133"/>
      <c r="AE2838" s="133"/>
      <c r="AF2838" s="133"/>
      <c r="AG2838" s="133"/>
      <c r="AH2838" s="133"/>
      <c r="AI2838" s="133"/>
      <c r="AJ2838" s="133"/>
      <c r="AK2838" s="133"/>
      <c r="AL2838" s="133"/>
      <c r="AM2838" s="133"/>
      <c r="AN2838" s="133"/>
      <c r="AO2838" s="133"/>
      <c r="AP2838" s="133"/>
      <c r="AQ2838" s="133"/>
      <c r="AR2838" s="133"/>
      <c r="AS2838" s="153">
        <v>0</v>
      </c>
      <c r="AT2838" s="153">
        <v>0</v>
      </c>
      <c r="AU2838" s="153">
        <v>0</v>
      </c>
      <c r="AV2838" s="135"/>
      <c r="AW2838" s="135"/>
      <c r="AX2838" s="135"/>
      <c r="AY2838" s="135"/>
      <c r="AZ2838" s="135"/>
      <c r="BA2838" s="135"/>
      <c r="BB2838" s="135"/>
      <c r="BC2838" s="135"/>
      <c r="BD2838" s="135"/>
      <c r="BE2838" s="135"/>
      <c r="BF2838" s="135"/>
      <c r="BG2838" s="135"/>
      <c r="BH2838" s="135"/>
      <c r="BI2838" s="2"/>
      <c r="BJ2838" s="136"/>
      <c r="BK2838" s="2"/>
      <c r="BL2838" s="136"/>
      <c r="BM2838" s="136"/>
      <c r="BN2838" s="2"/>
      <c r="BO2838" s="2"/>
      <c r="BP2838" s="136"/>
      <c r="BQ2838" s="137"/>
    </row>
    <row r="2839" spans="1:69" ht="12.75" customHeight="1" x14ac:dyDescent="0.2">
      <c r="A2839" s="2">
        <v>4328</v>
      </c>
      <c r="B2839" s="2"/>
      <c r="C2839" s="2"/>
      <c r="D2839" s="2"/>
      <c r="E2839" s="2"/>
      <c r="F2839" s="132">
        <v>0</v>
      </c>
      <c r="G2839" s="132"/>
      <c r="H2839" s="132">
        <f t="shared" si="318"/>
        <v>0</v>
      </c>
      <c r="I2839" s="132"/>
      <c r="J2839" s="132">
        <f t="shared" si="316"/>
        <v>0</v>
      </c>
      <c r="K2839" s="132">
        <f t="shared" si="319"/>
        <v>0</v>
      </c>
      <c r="L2839" s="132">
        <f t="shared" si="320"/>
        <v>0</v>
      </c>
      <c r="M2839" s="133"/>
      <c r="N2839" s="133">
        <f t="shared" si="317"/>
        <v>0</v>
      </c>
      <c r="O2839" s="134"/>
      <c r="P2839" s="133"/>
      <c r="Q2839" s="2"/>
      <c r="R2839" s="156">
        <f t="shared" si="321"/>
        <v>0</v>
      </c>
      <c r="S2839" s="156">
        <f t="shared" si="322"/>
        <v>0</v>
      </c>
      <c r="T2839" s="133"/>
      <c r="U2839" s="133"/>
      <c r="V2839" s="133"/>
      <c r="W2839" s="133"/>
      <c r="X2839" s="133"/>
      <c r="Y2839" s="133"/>
      <c r="Z2839" s="133"/>
      <c r="AA2839" s="133"/>
      <c r="AB2839" s="133"/>
      <c r="AC2839" s="133"/>
      <c r="AD2839" s="133"/>
      <c r="AE2839" s="133"/>
      <c r="AF2839" s="133"/>
      <c r="AG2839" s="133"/>
      <c r="AH2839" s="133"/>
      <c r="AI2839" s="133"/>
      <c r="AJ2839" s="133"/>
      <c r="AK2839" s="133"/>
      <c r="AL2839" s="133"/>
      <c r="AM2839" s="133"/>
      <c r="AN2839" s="133"/>
      <c r="AO2839" s="133"/>
      <c r="AP2839" s="133"/>
      <c r="AQ2839" s="133"/>
      <c r="AR2839" s="133"/>
      <c r="AS2839" s="153">
        <v>0</v>
      </c>
      <c r="AT2839" s="153">
        <v>0</v>
      </c>
      <c r="AU2839" s="153">
        <v>0</v>
      </c>
      <c r="AV2839" s="135"/>
      <c r="AW2839" s="135"/>
      <c r="AX2839" s="135"/>
      <c r="AY2839" s="135"/>
      <c r="AZ2839" s="135"/>
      <c r="BA2839" s="135"/>
      <c r="BB2839" s="135"/>
      <c r="BC2839" s="135"/>
      <c r="BD2839" s="135"/>
      <c r="BE2839" s="135"/>
      <c r="BF2839" s="135"/>
      <c r="BG2839" s="135"/>
      <c r="BH2839" s="135"/>
      <c r="BI2839" s="2"/>
      <c r="BJ2839" s="136"/>
      <c r="BK2839" s="2"/>
      <c r="BL2839" s="136"/>
      <c r="BM2839" s="136"/>
      <c r="BN2839" s="2"/>
      <c r="BO2839" s="2"/>
      <c r="BP2839" s="136"/>
      <c r="BQ2839" s="137"/>
    </row>
    <row r="2840" spans="1:69" ht="12.75" customHeight="1" x14ac:dyDescent="0.2">
      <c r="A2840" s="2">
        <v>4329</v>
      </c>
      <c r="B2840" s="2"/>
      <c r="C2840" s="2"/>
      <c r="D2840" s="2"/>
      <c r="E2840" s="2"/>
      <c r="F2840" s="132">
        <v>0</v>
      </c>
      <c r="G2840" s="132"/>
      <c r="H2840" s="132">
        <f t="shared" si="318"/>
        <v>0</v>
      </c>
      <c r="I2840" s="132"/>
      <c r="J2840" s="132">
        <f t="shared" si="316"/>
        <v>0</v>
      </c>
      <c r="K2840" s="132">
        <f t="shared" si="319"/>
        <v>0</v>
      </c>
      <c r="L2840" s="132">
        <f t="shared" si="320"/>
        <v>0</v>
      </c>
      <c r="M2840" s="133"/>
      <c r="N2840" s="133">
        <f t="shared" si="317"/>
        <v>0</v>
      </c>
      <c r="O2840" s="134"/>
      <c r="P2840" s="133"/>
      <c r="Q2840" s="2"/>
      <c r="R2840" s="156">
        <f t="shared" si="321"/>
        <v>0</v>
      </c>
      <c r="S2840" s="156">
        <f t="shared" si="322"/>
        <v>0</v>
      </c>
      <c r="T2840" s="133"/>
      <c r="U2840" s="133"/>
      <c r="V2840" s="133"/>
      <c r="W2840" s="133"/>
      <c r="X2840" s="133"/>
      <c r="Y2840" s="133"/>
      <c r="Z2840" s="133"/>
      <c r="AA2840" s="133"/>
      <c r="AB2840" s="133"/>
      <c r="AC2840" s="133"/>
      <c r="AD2840" s="133"/>
      <c r="AE2840" s="133"/>
      <c r="AF2840" s="133"/>
      <c r="AG2840" s="133"/>
      <c r="AH2840" s="133"/>
      <c r="AI2840" s="133"/>
      <c r="AJ2840" s="133"/>
      <c r="AK2840" s="133"/>
      <c r="AL2840" s="133"/>
      <c r="AM2840" s="133"/>
      <c r="AN2840" s="133"/>
      <c r="AO2840" s="133"/>
      <c r="AP2840" s="133"/>
      <c r="AQ2840" s="133"/>
      <c r="AR2840" s="133"/>
      <c r="AS2840" s="153">
        <v>0</v>
      </c>
      <c r="AT2840" s="153">
        <v>0</v>
      </c>
      <c r="AU2840" s="153">
        <v>0</v>
      </c>
      <c r="AV2840" s="135"/>
      <c r="AW2840" s="135"/>
      <c r="AX2840" s="135"/>
      <c r="AY2840" s="135"/>
      <c r="AZ2840" s="135"/>
      <c r="BA2840" s="135"/>
      <c r="BB2840" s="135"/>
      <c r="BC2840" s="135"/>
      <c r="BD2840" s="135"/>
      <c r="BE2840" s="135"/>
      <c r="BF2840" s="135"/>
      <c r="BG2840" s="135"/>
      <c r="BH2840" s="135"/>
      <c r="BI2840" s="2"/>
      <c r="BJ2840" s="136"/>
      <c r="BK2840" s="2"/>
      <c r="BL2840" s="136"/>
      <c r="BM2840" s="136"/>
      <c r="BN2840" s="2"/>
      <c r="BO2840" s="2"/>
      <c r="BP2840" s="136"/>
      <c r="BQ2840" s="137"/>
    </row>
    <row r="2841" spans="1:69" ht="12.75" customHeight="1" x14ac:dyDescent="0.2">
      <c r="A2841" s="2">
        <v>4330</v>
      </c>
      <c r="B2841" s="2"/>
      <c r="C2841" s="2"/>
      <c r="D2841" s="2"/>
      <c r="E2841" s="2"/>
      <c r="F2841" s="132">
        <v>0</v>
      </c>
      <c r="G2841" s="132"/>
      <c r="H2841" s="132">
        <f t="shared" si="318"/>
        <v>0</v>
      </c>
      <c r="I2841" s="132"/>
      <c r="J2841" s="132">
        <f t="shared" si="316"/>
        <v>0</v>
      </c>
      <c r="K2841" s="132">
        <f t="shared" si="319"/>
        <v>0</v>
      </c>
      <c r="L2841" s="132">
        <f t="shared" si="320"/>
        <v>0</v>
      </c>
      <c r="M2841" s="133"/>
      <c r="N2841" s="133">
        <f t="shared" si="317"/>
        <v>0</v>
      </c>
      <c r="O2841" s="134"/>
      <c r="P2841" s="133"/>
      <c r="Q2841" s="2"/>
      <c r="R2841" s="156">
        <f t="shared" si="321"/>
        <v>0</v>
      </c>
      <c r="S2841" s="156">
        <f t="shared" si="322"/>
        <v>0</v>
      </c>
      <c r="T2841" s="133"/>
      <c r="U2841" s="133"/>
      <c r="V2841" s="133"/>
      <c r="W2841" s="133"/>
      <c r="X2841" s="133"/>
      <c r="Y2841" s="133"/>
      <c r="Z2841" s="133"/>
      <c r="AA2841" s="133"/>
      <c r="AB2841" s="133"/>
      <c r="AC2841" s="133"/>
      <c r="AD2841" s="133"/>
      <c r="AE2841" s="133"/>
      <c r="AF2841" s="133"/>
      <c r="AG2841" s="133"/>
      <c r="AH2841" s="133"/>
      <c r="AI2841" s="133"/>
      <c r="AJ2841" s="133"/>
      <c r="AK2841" s="133"/>
      <c r="AL2841" s="133"/>
      <c r="AM2841" s="133"/>
      <c r="AN2841" s="133"/>
      <c r="AO2841" s="133"/>
      <c r="AP2841" s="133"/>
      <c r="AQ2841" s="133"/>
      <c r="AR2841" s="133"/>
      <c r="AS2841" s="153">
        <v>0</v>
      </c>
      <c r="AT2841" s="153">
        <v>0</v>
      </c>
      <c r="AU2841" s="153">
        <v>0</v>
      </c>
      <c r="AV2841" s="135"/>
      <c r="AW2841" s="135"/>
      <c r="AX2841" s="135"/>
      <c r="AY2841" s="135"/>
      <c r="AZ2841" s="135"/>
      <c r="BA2841" s="135"/>
      <c r="BB2841" s="135"/>
      <c r="BC2841" s="135"/>
      <c r="BD2841" s="135"/>
      <c r="BE2841" s="135"/>
      <c r="BF2841" s="135"/>
      <c r="BG2841" s="135"/>
      <c r="BH2841" s="135"/>
      <c r="BI2841" s="2"/>
      <c r="BJ2841" s="136"/>
      <c r="BK2841" s="2"/>
      <c r="BL2841" s="136"/>
      <c r="BM2841" s="136"/>
      <c r="BN2841" s="2"/>
      <c r="BO2841" s="2"/>
      <c r="BP2841" s="136"/>
      <c r="BQ2841" s="137"/>
    </row>
    <row r="2842" spans="1:69" ht="12.75" customHeight="1" x14ac:dyDescent="0.2">
      <c r="A2842" s="2">
        <v>4331</v>
      </c>
      <c r="B2842" s="2"/>
      <c r="C2842" s="2"/>
      <c r="D2842" s="2"/>
      <c r="E2842" s="2"/>
      <c r="F2842" s="132">
        <v>0</v>
      </c>
      <c r="G2842" s="132"/>
      <c r="H2842" s="132">
        <f t="shared" si="318"/>
        <v>0</v>
      </c>
      <c r="I2842" s="132"/>
      <c r="J2842" s="132">
        <f t="shared" si="316"/>
        <v>0</v>
      </c>
      <c r="K2842" s="132">
        <f t="shared" si="319"/>
        <v>0</v>
      </c>
      <c r="L2842" s="132">
        <f t="shared" si="320"/>
        <v>0</v>
      </c>
      <c r="M2842" s="133"/>
      <c r="N2842" s="133">
        <f t="shared" si="317"/>
        <v>0</v>
      </c>
      <c r="O2842" s="134"/>
      <c r="P2842" s="133"/>
      <c r="Q2842" s="2"/>
      <c r="R2842" s="156">
        <f t="shared" si="321"/>
        <v>0</v>
      </c>
      <c r="S2842" s="156">
        <f t="shared" si="322"/>
        <v>0</v>
      </c>
      <c r="T2842" s="133"/>
      <c r="U2842" s="133"/>
      <c r="V2842" s="133"/>
      <c r="W2842" s="133"/>
      <c r="X2842" s="133"/>
      <c r="Y2842" s="133"/>
      <c r="Z2842" s="133"/>
      <c r="AA2842" s="133"/>
      <c r="AB2842" s="133"/>
      <c r="AC2842" s="133"/>
      <c r="AD2842" s="133"/>
      <c r="AE2842" s="133"/>
      <c r="AF2842" s="133"/>
      <c r="AG2842" s="133"/>
      <c r="AH2842" s="133"/>
      <c r="AI2842" s="133"/>
      <c r="AJ2842" s="133"/>
      <c r="AK2842" s="133"/>
      <c r="AL2842" s="133"/>
      <c r="AM2842" s="133"/>
      <c r="AN2842" s="133"/>
      <c r="AO2842" s="133"/>
      <c r="AP2842" s="133"/>
      <c r="AQ2842" s="133"/>
      <c r="AR2842" s="133"/>
      <c r="AS2842" s="153">
        <v>0</v>
      </c>
      <c r="AT2842" s="153">
        <v>0</v>
      </c>
      <c r="AU2842" s="153">
        <v>0</v>
      </c>
      <c r="AV2842" s="135"/>
      <c r="AW2842" s="135"/>
      <c r="AX2842" s="135"/>
      <c r="AY2842" s="135"/>
      <c r="AZ2842" s="135"/>
      <c r="BA2842" s="135"/>
      <c r="BB2842" s="135"/>
      <c r="BC2842" s="135"/>
      <c r="BD2842" s="135"/>
      <c r="BE2842" s="135"/>
      <c r="BF2842" s="135"/>
      <c r="BG2842" s="135"/>
      <c r="BH2842" s="135"/>
      <c r="BI2842" s="2"/>
      <c r="BJ2842" s="136"/>
      <c r="BK2842" s="2"/>
      <c r="BL2842" s="136"/>
      <c r="BM2842" s="136"/>
      <c r="BN2842" s="2"/>
      <c r="BO2842" s="2"/>
      <c r="BP2842" s="136"/>
      <c r="BQ2842" s="137"/>
    </row>
    <row r="2843" spans="1:69" ht="12.75" customHeight="1" x14ac:dyDescent="0.2">
      <c r="A2843" s="2">
        <v>4332</v>
      </c>
      <c r="B2843" s="2"/>
      <c r="C2843" s="2"/>
      <c r="D2843" s="2"/>
      <c r="E2843" s="2"/>
      <c r="F2843" s="132">
        <v>0</v>
      </c>
      <c r="G2843" s="132"/>
      <c r="H2843" s="132">
        <f t="shared" si="318"/>
        <v>0</v>
      </c>
      <c r="I2843" s="132"/>
      <c r="J2843" s="132">
        <f t="shared" si="316"/>
        <v>0</v>
      </c>
      <c r="K2843" s="132">
        <f t="shared" si="319"/>
        <v>0</v>
      </c>
      <c r="L2843" s="132">
        <f t="shared" si="320"/>
        <v>0</v>
      </c>
      <c r="M2843" s="133"/>
      <c r="N2843" s="133">
        <f t="shared" si="317"/>
        <v>0</v>
      </c>
      <c r="O2843" s="134"/>
      <c r="P2843" s="133"/>
      <c r="Q2843" s="2"/>
      <c r="R2843" s="156">
        <f t="shared" si="321"/>
        <v>0</v>
      </c>
      <c r="S2843" s="156">
        <f t="shared" si="322"/>
        <v>0</v>
      </c>
      <c r="T2843" s="133"/>
      <c r="U2843" s="133"/>
      <c r="V2843" s="133"/>
      <c r="W2843" s="133"/>
      <c r="X2843" s="133"/>
      <c r="Y2843" s="133"/>
      <c r="Z2843" s="133"/>
      <c r="AA2843" s="133"/>
      <c r="AB2843" s="133"/>
      <c r="AC2843" s="133"/>
      <c r="AD2843" s="133"/>
      <c r="AE2843" s="133"/>
      <c r="AF2843" s="133"/>
      <c r="AG2843" s="133"/>
      <c r="AH2843" s="133"/>
      <c r="AI2843" s="133"/>
      <c r="AJ2843" s="133"/>
      <c r="AK2843" s="133"/>
      <c r="AL2843" s="133"/>
      <c r="AM2843" s="133"/>
      <c r="AN2843" s="133"/>
      <c r="AO2843" s="133"/>
      <c r="AP2843" s="133"/>
      <c r="AQ2843" s="133"/>
      <c r="AR2843" s="133"/>
      <c r="AS2843" s="153">
        <v>0</v>
      </c>
      <c r="AT2843" s="153">
        <v>0</v>
      </c>
      <c r="AU2843" s="153">
        <v>0</v>
      </c>
      <c r="AV2843" s="135"/>
      <c r="AW2843" s="135"/>
      <c r="AX2843" s="135"/>
      <c r="AY2843" s="135"/>
      <c r="AZ2843" s="135"/>
      <c r="BA2843" s="135"/>
      <c r="BB2843" s="135"/>
      <c r="BC2843" s="135"/>
      <c r="BD2843" s="135"/>
      <c r="BE2843" s="135"/>
      <c r="BF2843" s="135"/>
      <c r="BG2843" s="135"/>
      <c r="BH2843" s="135"/>
      <c r="BI2843" s="2"/>
      <c r="BJ2843" s="136"/>
      <c r="BK2843" s="2"/>
      <c r="BL2843" s="136"/>
      <c r="BM2843" s="136"/>
      <c r="BN2843" s="2"/>
      <c r="BO2843" s="2"/>
      <c r="BP2843" s="136"/>
      <c r="BQ2843" s="137"/>
    </row>
    <row r="2844" spans="1:69" ht="12.75" customHeight="1" x14ac:dyDescent="0.2">
      <c r="A2844" s="2">
        <v>4333</v>
      </c>
      <c r="B2844" s="2"/>
      <c r="C2844" s="2"/>
      <c r="D2844" s="2"/>
      <c r="E2844" s="2"/>
      <c r="F2844" s="132">
        <v>0</v>
      </c>
      <c r="G2844" s="132"/>
      <c r="H2844" s="132">
        <f t="shared" si="318"/>
        <v>0</v>
      </c>
      <c r="I2844" s="132"/>
      <c r="J2844" s="132">
        <f t="shared" si="316"/>
        <v>0</v>
      </c>
      <c r="K2844" s="132">
        <f t="shared" si="319"/>
        <v>0</v>
      </c>
      <c r="L2844" s="132">
        <f t="shared" si="320"/>
        <v>0</v>
      </c>
      <c r="M2844" s="133"/>
      <c r="N2844" s="133">
        <f t="shared" si="317"/>
        <v>0</v>
      </c>
      <c r="O2844" s="134"/>
      <c r="P2844" s="133"/>
      <c r="Q2844" s="2"/>
      <c r="R2844" s="156">
        <f t="shared" si="321"/>
        <v>0</v>
      </c>
      <c r="S2844" s="156">
        <f t="shared" si="322"/>
        <v>0</v>
      </c>
      <c r="T2844" s="133"/>
      <c r="U2844" s="133"/>
      <c r="V2844" s="133"/>
      <c r="W2844" s="133"/>
      <c r="X2844" s="133"/>
      <c r="Y2844" s="133"/>
      <c r="Z2844" s="133"/>
      <c r="AA2844" s="133"/>
      <c r="AB2844" s="133"/>
      <c r="AC2844" s="133"/>
      <c r="AD2844" s="133"/>
      <c r="AE2844" s="133"/>
      <c r="AF2844" s="133"/>
      <c r="AG2844" s="133"/>
      <c r="AH2844" s="133"/>
      <c r="AI2844" s="133"/>
      <c r="AJ2844" s="133"/>
      <c r="AK2844" s="133"/>
      <c r="AL2844" s="133"/>
      <c r="AM2844" s="133"/>
      <c r="AN2844" s="133"/>
      <c r="AO2844" s="133"/>
      <c r="AP2844" s="133"/>
      <c r="AQ2844" s="133"/>
      <c r="AR2844" s="133"/>
      <c r="AS2844" s="153">
        <v>0</v>
      </c>
      <c r="AT2844" s="153">
        <v>0</v>
      </c>
      <c r="AU2844" s="153">
        <v>0</v>
      </c>
      <c r="AV2844" s="135"/>
      <c r="AW2844" s="135"/>
      <c r="AX2844" s="135"/>
      <c r="AY2844" s="135"/>
      <c r="AZ2844" s="135"/>
      <c r="BA2844" s="135"/>
      <c r="BB2844" s="135"/>
      <c r="BC2844" s="135"/>
      <c r="BD2844" s="135"/>
      <c r="BE2844" s="135"/>
      <c r="BF2844" s="135"/>
      <c r="BG2844" s="135"/>
      <c r="BH2844" s="135"/>
      <c r="BI2844" s="2"/>
      <c r="BJ2844" s="136"/>
      <c r="BK2844" s="2"/>
      <c r="BL2844" s="136"/>
      <c r="BM2844" s="136"/>
      <c r="BN2844" s="2"/>
      <c r="BO2844" s="2"/>
      <c r="BP2844" s="136"/>
      <c r="BQ2844" s="137"/>
    </row>
    <row r="2845" spans="1:69" ht="12.75" customHeight="1" x14ac:dyDescent="0.2">
      <c r="A2845" s="2">
        <v>4334</v>
      </c>
      <c r="B2845" s="2"/>
      <c r="C2845" s="2"/>
      <c r="D2845" s="2"/>
      <c r="E2845" s="2"/>
      <c r="F2845" s="132">
        <v>0</v>
      </c>
      <c r="G2845" s="132"/>
      <c r="H2845" s="132">
        <f t="shared" si="318"/>
        <v>0</v>
      </c>
      <c r="I2845" s="132"/>
      <c r="J2845" s="132">
        <f t="shared" si="316"/>
        <v>0</v>
      </c>
      <c r="K2845" s="132">
        <f t="shared" si="319"/>
        <v>0</v>
      </c>
      <c r="L2845" s="132">
        <f t="shared" si="320"/>
        <v>0</v>
      </c>
      <c r="M2845" s="133"/>
      <c r="N2845" s="133">
        <f t="shared" si="317"/>
        <v>0</v>
      </c>
      <c r="O2845" s="134"/>
      <c r="P2845" s="133"/>
      <c r="Q2845" s="2"/>
      <c r="R2845" s="156">
        <f t="shared" si="321"/>
        <v>0</v>
      </c>
      <c r="S2845" s="156">
        <f t="shared" si="322"/>
        <v>0</v>
      </c>
      <c r="T2845" s="133"/>
      <c r="U2845" s="133"/>
      <c r="V2845" s="133"/>
      <c r="W2845" s="133"/>
      <c r="X2845" s="133"/>
      <c r="Y2845" s="133"/>
      <c r="Z2845" s="133"/>
      <c r="AA2845" s="133"/>
      <c r="AB2845" s="133"/>
      <c r="AC2845" s="133"/>
      <c r="AD2845" s="133"/>
      <c r="AE2845" s="133"/>
      <c r="AF2845" s="133"/>
      <c r="AG2845" s="133"/>
      <c r="AH2845" s="133"/>
      <c r="AI2845" s="133"/>
      <c r="AJ2845" s="133"/>
      <c r="AK2845" s="133"/>
      <c r="AL2845" s="133"/>
      <c r="AM2845" s="133"/>
      <c r="AN2845" s="133"/>
      <c r="AO2845" s="133"/>
      <c r="AP2845" s="133"/>
      <c r="AQ2845" s="133"/>
      <c r="AR2845" s="133"/>
      <c r="AS2845" s="153">
        <v>0</v>
      </c>
      <c r="AT2845" s="153">
        <v>0</v>
      </c>
      <c r="AU2845" s="153">
        <v>0</v>
      </c>
      <c r="AV2845" s="135"/>
      <c r="AW2845" s="135"/>
      <c r="AX2845" s="135"/>
      <c r="AY2845" s="135"/>
      <c r="AZ2845" s="135"/>
      <c r="BA2845" s="135"/>
      <c r="BB2845" s="135"/>
      <c r="BC2845" s="135"/>
      <c r="BD2845" s="135"/>
      <c r="BE2845" s="135"/>
      <c r="BF2845" s="135"/>
      <c r="BG2845" s="135"/>
      <c r="BH2845" s="135"/>
      <c r="BI2845" s="2"/>
      <c r="BJ2845" s="136"/>
      <c r="BK2845" s="2"/>
      <c r="BL2845" s="136"/>
      <c r="BM2845" s="136"/>
      <c r="BN2845" s="2"/>
      <c r="BO2845" s="2"/>
      <c r="BP2845" s="136"/>
      <c r="BQ2845" s="137"/>
    </row>
    <row r="2846" spans="1:69" ht="12.75" customHeight="1" x14ac:dyDescent="0.2">
      <c r="A2846" s="2">
        <v>4335</v>
      </c>
      <c r="B2846" s="2"/>
      <c r="C2846" s="2"/>
      <c r="D2846" s="2"/>
      <c r="E2846" s="2"/>
      <c r="F2846" s="132">
        <v>0</v>
      </c>
      <c r="G2846" s="132"/>
      <c r="H2846" s="132">
        <f t="shared" si="318"/>
        <v>0</v>
      </c>
      <c r="I2846" s="132"/>
      <c r="J2846" s="132">
        <f t="shared" si="316"/>
        <v>0</v>
      </c>
      <c r="K2846" s="132">
        <f t="shared" si="319"/>
        <v>0</v>
      </c>
      <c r="L2846" s="132">
        <f t="shared" si="320"/>
        <v>0</v>
      </c>
      <c r="M2846" s="133"/>
      <c r="N2846" s="133">
        <f t="shared" si="317"/>
        <v>0</v>
      </c>
      <c r="O2846" s="134"/>
      <c r="P2846" s="133"/>
      <c r="Q2846" s="2"/>
      <c r="R2846" s="156">
        <f t="shared" si="321"/>
        <v>0</v>
      </c>
      <c r="S2846" s="156">
        <f t="shared" si="322"/>
        <v>0</v>
      </c>
      <c r="T2846" s="133"/>
      <c r="U2846" s="133"/>
      <c r="V2846" s="133"/>
      <c r="W2846" s="133"/>
      <c r="X2846" s="133"/>
      <c r="Y2846" s="133"/>
      <c r="Z2846" s="133"/>
      <c r="AA2846" s="133"/>
      <c r="AB2846" s="133"/>
      <c r="AC2846" s="133"/>
      <c r="AD2846" s="133"/>
      <c r="AE2846" s="133"/>
      <c r="AF2846" s="133"/>
      <c r="AG2846" s="133"/>
      <c r="AH2846" s="133"/>
      <c r="AI2846" s="133"/>
      <c r="AJ2846" s="133"/>
      <c r="AK2846" s="133"/>
      <c r="AL2846" s="133"/>
      <c r="AM2846" s="133"/>
      <c r="AN2846" s="133"/>
      <c r="AO2846" s="133"/>
      <c r="AP2846" s="133"/>
      <c r="AQ2846" s="133"/>
      <c r="AR2846" s="133"/>
      <c r="AS2846" s="153">
        <v>0</v>
      </c>
      <c r="AT2846" s="153">
        <v>0</v>
      </c>
      <c r="AU2846" s="153">
        <v>0</v>
      </c>
      <c r="AV2846" s="135"/>
      <c r="AW2846" s="135"/>
      <c r="AX2846" s="135"/>
      <c r="AY2846" s="135"/>
      <c r="AZ2846" s="135"/>
      <c r="BA2846" s="135"/>
      <c r="BB2846" s="135"/>
      <c r="BC2846" s="135"/>
      <c r="BD2846" s="135"/>
      <c r="BE2846" s="135"/>
      <c r="BF2846" s="135"/>
      <c r="BG2846" s="135"/>
      <c r="BH2846" s="135"/>
      <c r="BI2846" s="2"/>
      <c r="BJ2846" s="136"/>
      <c r="BK2846" s="2"/>
      <c r="BL2846" s="136"/>
      <c r="BM2846" s="136"/>
      <c r="BN2846" s="2"/>
      <c r="BO2846" s="2"/>
      <c r="BP2846" s="136"/>
      <c r="BQ2846" s="137"/>
    </row>
    <row r="2847" spans="1:69" ht="12.75" customHeight="1" x14ac:dyDescent="0.2">
      <c r="A2847" s="2">
        <v>4336</v>
      </c>
      <c r="B2847" s="2"/>
      <c r="C2847" s="2"/>
      <c r="D2847" s="2"/>
      <c r="E2847" s="2"/>
      <c r="F2847" s="132">
        <v>0</v>
      </c>
      <c r="G2847" s="132"/>
      <c r="H2847" s="132">
        <f t="shared" si="318"/>
        <v>0</v>
      </c>
      <c r="I2847" s="132"/>
      <c r="J2847" s="132">
        <f t="shared" si="316"/>
        <v>0</v>
      </c>
      <c r="K2847" s="132">
        <f t="shared" si="319"/>
        <v>0</v>
      </c>
      <c r="L2847" s="132">
        <f t="shared" si="320"/>
        <v>0</v>
      </c>
      <c r="M2847" s="133"/>
      <c r="N2847" s="133">
        <f t="shared" si="317"/>
        <v>0</v>
      </c>
      <c r="O2847" s="134"/>
      <c r="P2847" s="133"/>
      <c r="Q2847" s="2"/>
      <c r="R2847" s="156">
        <f t="shared" si="321"/>
        <v>0</v>
      </c>
      <c r="S2847" s="156">
        <f t="shared" si="322"/>
        <v>0</v>
      </c>
      <c r="T2847" s="133"/>
      <c r="U2847" s="133"/>
      <c r="V2847" s="133"/>
      <c r="W2847" s="133"/>
      <c r="X2847" s="133"/>
      <c r="Y2847" s="133"/>
      <c r="Z2847" s="133"/>
      <c r="AA2847" s="133"/>
      <c r="AB2847" s="133"/>
      <c r="AC2847" s="133"/>
      <c r="AD2847" s="133"/>
      <c r="AE2847" s="133"/>
      <c r="AF2847" s="133"/>
      <c r="AG2847" s="133"/>
      <c r="AH2847" s="133"/>
      <c r="AI2847" s="133"/>
      <c r="AJ2847" s="133"/>
      <c r="AK2847" s="133"/>
      <c r="AL2847" s="133"/>
      <c r="AM2847" s="133"/>
      <c r="AN2847" s="133"/>
      <c r="AO2847" s="133"/>
      <c r="AP2847" s="133"/>
      <c r="AQ2847" s="133"/>
      <c r="AR2847" s="133"/>
      <c r="AS2847" s="153">
        <v>0</v>
      </c>
      <c r="AT2847" s="153">
        <v>0</v>
      </c>
      <c r="AU2847" s="153">
        <v>0</v>
      </c>
      <c r="AV2847" s="135"/>
      <c r="AW2847" s="135"/>
      <c r="AX2847" s="135"/>
      <c r="AY2847" s="135"/>
      <c r="AZ2847" s="135"/>
      <c r="BA2847" s="135"/>
      <c r="BB2847" s="135"/>
      <c r="BC2847" s="135"/>
      <c r="BD2847" s="135"/>
      <c r="BE2847" s="135"/>
      <c r="BF2847" s="135"/>
      <c r="BG2847" s="135"/>
      <c r="BH2847" s="135"/>
      <c r="BI2847" s="2"/>
      <c r="BJ2847" s="136"/>
      <c r="BK2847" s="2"/>
      <c r="BL2847" s="136"/>
      <c r="BM2847" s="136"/>
      <c r="BN2847" s="2"/>
      <c r="BO2847" s="2"/>
      <c r="BP2847" s="136"/>
      <c r="BQ2847" s="137"/>
    </row>
    <row r="2848" spans="1:69" ht="12.75" customHeight="1" x14ac:dyDescent="0.2">
      <c r="A2848" s="2">
        <v>4337</v>
      </c>
      <c r="B2848" s="2"/>
      <c r="C2848" s="2"/>
      <c r="D2848" s="2"/>
      <c r="E2848" s="2"/>
      <c r="F2848" s="132">
        <v>0</v>
      </c>
      <c r="G2848" s="132"/>
      <c r="H2848" s="132">
        <f t="shared" si="318"/>
        <v>0</v>
      </c>
      <c r="I2848" s="132"/>
      <c r="J2848" s="132">
        <f t="shared" si="316"/>
        <v>0</v>
      </c>
      <c r="K2848" s="132">
        <f t="shared" si="319"/>
        <v>0</v>
      </c>
      <c r="L2848" s="132">
        <f t="shared" si="320"/>
        <v>0</v>
      </c>
      <c r="M2848" s="133"/>
      <c r="N2848" s="133">
        <f t="shared" si="317"/>
        <v>0</v>
      </c>
      <c r="O2848" s="134"/>
      <c r="P2848" s="133"/>
      <c r="Q2848" s="2"/>
      <c r="R2848" s="156">
        <f t="shared" si="321"/>
        <v>0</v>
      </c>
      <c r="S2848" s="156">
        <f t="shared" si="322"/>
        <v>0</v>
      </c>
      <c r="T2848" s="133"/>
      <c r="U2848" s="133"/>
      <c r="V2848" s="133"/>
      <c r="W2848" s="133"/>
      <c r="X2848" s="133"/>
      <c r="Y2848" s="133"/>
      <c r="Z2848" s="133"/>
      <c r="AA2848" s="133"/>
      <c r="AB2848" s="133"/>
      <c r="AC2848" s="133"/>
      <c r="AD2848" s="133"/>
      <c r="AE2848" s="133"/>
      <c r="AF2848" s="133"/>
      <c r="AG2848" s="133"/>
      <c r="AH2848" s="133"/>
      <c r="AI2848" s="133"/>
      <c r="AJ2848" s="133"/>
      <c r="AK2848" s="133"/>
      <c r="AL2848" s="133"/>
      <c r="AM2848" s="133"/>
      <c r="AN2848" s="133"/>
      <c r="AO2848" s="133"/>
      <c r="AP2848" s="133"/>
      <c r="AQ2848" s="133"/>
      <c r="AR2848" s="133"/>
      <c r="AS2848" s="153">
        <v>0</v>
      </c>
      <c r="AT2848" s="153">
        <v>0</v>
      </c>
      <c r="AU2848" s="153">
        <v>0</v>
      </c>
      <c r="AV2848" s="135"/>
      <c r="AW2848" s="135"/>
      <c r="AX2848" s="135"/>
      <c r="AY2848" s="135"/>
      <c r="AZ2848" s="135"/>
      <c r="BA2848" s="135"/>
      <c r="BB2848" s="135"/>
      <c r="BC2848" s="135"/>
      <c r="BD2848" s="135"/>
      <c r="BE2848" s="135"/>
      <c r="BF2848" s="135"/>
      <c r="BG2848" s="135"/>
      <c r="BH2848" s="135"/>
      <c r="BI2848" s="2"/>
      <c r="BJ2848" s="136"/>
      <c r="BK2848" s="2"/>
      <c r="BL2848" s="136"/>
      <c r="BM2848" s="136"/>
      <c r="BN2848" s="2"/>
      <c r="BO2848" s="2"/>
      <c r="BP2848" s="136"/>
      <c r="BQ2848" s="137"/>
    </row>
    <row r="2849" spans="1:69" ht="12.75" customHeight="1" x14ac:dyDescent="0.2">
      <c r="A2849" s="2">
        <v>4338</v>
      </c>
      <c r="B2849" s="2"/>
      <c r="C2849" s="2"/>
      <c r="D2849" s="2"/>
      <c r="E2849" s="2"/>
      <c r="F2849" s="132">
        <v>0</v>
      </c>
      <c r="G2849" s="132"/>
      <c r="H2849" s="132">
        <f t="shared" si="318"/>
        <v>0</v>
      </c>
      <c r="I2849" s="132"/>
      <c r="J2849" s="132">
        <f t="shared" si="316"/>
        <v>0</v>
      </c>
      <c r="K2849" s="132">
        <f t="shared" si="319"/>
        <v>0</v>
      </c>
      <c r="L2849" s="132">
        <f t="shared" si="320"/>
        <v>0</v>
      </c>
      <c r="M2849" s="133"/>
      <c r="N2849" s="133">
        <f t="shared" si="317"/>
        <v>0</v>
      </c>
      <c r="O2849" s="134"/>
      <c r="P2849" s="133"/>
      <c r="Q2849" s="2"/>
      <c r="R2849" s="156">
        <f t="shared" si="321"/>
        <v>0</v>
      </c>
      <c r="S2849" s="156">
        <f t="shared" si="322"/>
        <v>0</v>
      </c>
      <c r="T2849" s="133"/>
      <c r="U2849" s="133"/>
      <c r="V2849" s="133"/>
      <c r="W2849" s="133"/>
      <c r="X2849" s="133"/>
      <c r="Y2849" s="133"/>
      <c r="Z2849" s="133"/>
      <c r="AA2849" s="133"/>
      <c r="AB2849" s="133"/>
      <c r="AC2849" s="133"/>
      <c r="AD2849" s="133"/>
      <c r="AE2849" s="133"/>
      <c r="AF2849" s="133"/>
      <c r="AG2849" s="133"/>
      <c r="AH2849" s="133"/>
      <c r="AI2849" s="133"/>
      <c r="AJ2849" s="133"/>
      <c r="AK2849" s="133"/>
      <c r="AL2849" s="133"/>
      <c r="AM2849" s="133"/>
      <c r="AN2849" s="133"/>
      <c r="AO2849" s="133"/>
      <c r="AP2849" s="133"/>
      <c r="AQ2849" s="133"/>
      <c r="AR2849" s="133"/>
      <c r="AS2849" s="153">
        <v>0</v>
      </c>
      <c r="AT2849" s="153">
        <v>0</v>
      </c>
      <c r="AU2849" s="153">
        <v>0</v>
      </c>
      <c r="AV2849" s="135"/>
      <c r="AW2849" s="135"/>
      <c r="AX2849" s="135"/>
      <c r="AY2849" s="135"/>
      <c r="AZ2849" s="135"/>
      <c r="BA2849" s="135"/>
      <c r="BB2849" s="135"/>
      <c r="BC2849" s="135"/>
      <c r="BD2849" s="135"/>
      <c r="BE2849" s="135"/>
      <c r="BF2849" s="135"/>
      <c r="BG2849" s="135"/>
      <c r="BH2849" s="135"/>
      <c r="BI2849" s="2"/>
      <c r="BJ2849" s="136"/>
      <c r="BK2849" s="2"/>
      <c r="BL2849" s="136"/>
      <c r="BM2849" s="136"/>
      <c r="BN2849" s="2"/>
      <c r="BO2849" s="2"/>
      <c r="BP2849" s="136"/>
      <c r="BQ2849" s="137"/>
    </row>
    <row r="2850" spans="1:69" ht="12.75" customHeight="1" x14ac:dyDescent="0.2">
      <c r="A2850" s="2">
        <v>4339</v>
      </c>
      <c r="B2850" s="2"/>
      <c r="C2850" s="2"/>
      <c r="D2850" s="2"/>
      <c r="E2850" s="2"/>
      <c r="F2850" s="132">
        <v>0</v>
      </c>
      <c r="G2850" s="132"/>
      <c r="H2850" s="132">
        <f t="shared" si="318"/>
        <v>0</v>
      </c>
      <c r="I2850" s="132"/>
      <c r="J2850" s="132">
        <f t="shared" si="316"/>
        <v>0</v>
      </c>
      <c r="K2850" s="132">
        <f t="shared" si="319"/>
        <v>0</v>
      </c>
      <c r="L2850" s="132">
        <f t="shared" si="320"/>
        <v>0</v>
      </c>
      <c r="M2850" s="133"/>
      <c r="N2850" s="133">
        <f t="shared" si="317"/>
        <v>0</v>
      </c>
      <c r="O2850" s="134"/>
      <c r="P2850" s="133"/>
      <c r="Q2850" s="2"/>
      <c r="R2850" s="156">
        <f t="shared" si="321"/>
        <v>0</v>
      </c>
      <c r="S2850" s="156">
        <f t="shared" si="322"/>
        <v>0</v>
      </c>
      <c r="T2850" s="133"/>
      <c r="U2850" s="133"/>
      <c r="V2850" s="133"/>
      <c r="W2850" s="133"/>
      <c r="X2850" s="133"/>
      <c r="Y2850" s="133"/>
      <c r="Z2850" s="133"/>
      <c r="AA2850" s="133"/>
      <c r="AB2850" s="133"/>
      <c r="AC2850" s="133"/>
      <c r="AD2850" s="133"/>
      <c r="AE2850" s="133"/>
      <c r="AF2850" s="133"/>
      <c r="AG2850" s="133"/>
      <c r="AH2850" s="133"/>
      <c r="AI2850" s="133"/>
      <c r="AJ2850" s="133"/>
      <c r="AK2850" s="133"/>
      <c r="AL2850" s="133"/>
      <c r="AM2850" s="133"/>
      <c r="AN2850" s="133"/>
      <c r="AO2850" s="133"/>
      <c r="AP2850" s="133"/>
      <c r="AQ2850" s="133"/>
      <c r="AR2850" s="133"/>
      <c r="AS2850" s="153">
        <v>0</v>
      </c>
      <c r="AT2850" s="153">
        <v>0</v>
      </c>
      <c r="AU2850" s="153">
        <v>0</v>
      </c>
      <c r="AV2850" s="135"/>
      <c r="AW2850" s="135"/>
      <c r="AX2850" s="135"/>
      <c r="AY2850" s="135"/>
      <c r="AZ2850" s="135"/>
      <c r="BA2850" s="135"/>
      <c r="BB2850" s="135"/>
      <c r="BC2850" s="135"/>
      <c r="BD2850" s="135"/>
      <c r="BE2850" s="135"/>
      <c r="BF2850" s="135"/>
      <c r="BG2850" s="135"/>
      <c r="BH2850" s="135"/>
      <c r="BI2850" s="2"/>
      <c r="BJ2850" s="136"/>
      <c r="BK2850" s="2"/>
      <c r="BL2850" s="136"/>
      <c r="BM2850" s="136"/>
      <c r="BN2850" s="2"/>
      <c r="BO2850" s="2"/>
      <c r="BP2850" s="136"/>
      <c r="BQ2850" s="137"/>
    </row>
    <row r="2851" spans="1:69" ht="12.75" customHeight="1" x14ac:dyDescent="0.2">
      <c r="A2851" s="2">
        <v>4340</v>
      </c>
      <c r="B2851" s="2"/>
      <c r="C2851" s="2"/>
      <c r="D2851" s="2"/>
      <c r="E2851" s="2"/>
      <c r="F2851" s="132">
        <v>0</v>
      </c>
      <c r="G2851" s="132"/>
      <c r="H2851" s="132">
        <f t="shared" si="318"/>
        <v>0</v>
      </c>
      <c r="I2851" s="132"/>
      <c r="J2851" s="132">
        <f t="shared" si="316"/>
        <v>0</v>
      </c>
      <c r="K2851" s="132">
        <f t="shared" si="319"/>
        <v>0</v>
      </c>
      <c r="L2851" s="132">
        <f t="shared" si="320"/>
        <v>0</v>
      </c>
      <c r="M2851" s="133"/>
      <c r="N2851" s="133">
        <f t="shared" si="317"/>
        <v>0</v>
      </c>
      <c r="O2851" s="134"/>
      <c r="P2851" s="133"/>
      <c r="Q2851" s="2"/>
      <c r="R2851" s="156">
        <f t="shared" si="321"/>
        <v>0</v>
      </c>
      <c r="S2851" s="156">
        <f t="shared" si="322"/>
        <v>0</v>
      </c>
      <c r="T2851" s="133"/>
      <c r="U2851" s="133"/>
      <c r="V2851" s="133"/>
      <c r="W2851" s="133"/>
      <c r="X2851" s="133"/>
      <c r="Y2851" s="133"/>
      <c r="Z2851" s="133"/>
      <c r="AA2851" s="133"/>
      <c r="AB2851" s="133"/>
      <c r="AC2851" s="133"/>
      <c r="AD2851" s="133"/>
      <c r="AE2851" s="133"/>
      <c r="AF2851" s="133"/>
      <c r="AG2851" s="133"/>
      <c r="AH2851" s="133"/>
      <c r="AI2851" s="133"/>
      <c r="AJ2851" s="133"/>
      <c r="AK2851" s="133"/>
      <c r="AL2851" s="133"/>
      <c r="AM2851" s="133"/>
      <c r="AN2851" s="133"/>
      <c r="AO2851" s="133"/>
      <c r="AP2851" s="133"/>
      <c r="AQ2851" s="133"/>
      <c r="AR2851" s="133"/>
      <c r="AS2851" s="153">
        <v>0</v>
      </c>
      <c r="AT2851" s="153">
        <v>0</v>
      </c>
      <c r="AU2851" s="153">
        <v>0</v>
      </c>
      <c r="AV2851" s="135"/>
      <c r="AW2851" s="135"/>
      <c r="AX2851" s="135"/>
      <c r="AY2851" s="135"/>
      <c r="AZ2851" s="135"/>
      <c r="BA2851" s="135"/>
      <c r="BB2851" s="135"/>
      <c r="BC2851" s="135"/>
      <c r="BD2851" s="135"/>
      <c r="BE2851" s="135"/>
      <c r="BF2851" s="135"/>
      <c r="BG2851" s="135"/>
      <c r="BH2851" s="135"/>
      <c r="BI2851" s="2"/>
      <c r="BJ2851" s="136"/>
      <c r="BK2851" s="2"/>
      <c r="BL2851" s="136"/>
      <c r="BM2851" s="136"/>
      <c r="BN2851" s="2"/>
      <c r="BO2851" s="2"/>
      <c r="BP2851" s="136"/>
      <c r="BQ2851" s="137"/>
    </row>
    <row r="2852" spans="1:69" ht="12.75" customHeight="1" x14ac:dyDescent="0.2">
      <c r="A2852" s="2">
        <v>4341</v>
      </c>
      <c r="B2852" s="2"/>
      <c r="C2852" s="2"/>
      <c r="D2852" s="2"/>
      <c r="E2852" s="2"/>
      <c r="F2852" s="132">
        <v>0</v>
      </c>
      <c r="G2852" s="132"/>
      <c r="H2852" s="132">
        <f t="shared" si="318"/>
        <v>0</v>
      </c>
      <c r="I2852" s="132"/>
      <c r="J2852" s="132">
        <f t="shared" ref="J2852:J2915" si="323">S2852</f>
        <v>0</v>
      </c>
      <c r="K2852" s="132">
        <f t="shared" si="319"/>
        <v>0</v>
      </c>
      <c r="L2852" s="132">
        <f t="shared" si="320"/>
        <v>0</v>
      </c>
      <c r="M2852" s="133"/>
      <c r="N2852" s="133">
        <f t="shared" si="317"/>
        <v>0</v>
      </c>
      <c r="O2852" s="134"/>
      <c r="P2852" s="133"/>
      <c r="Q2852" s="2"/>
      <c r="R2852" s="156">
        <f t="shared" si="321"/>
        <v>0</v>
      </c>
      <c r="S2852" s="156">
        <f t="shared" si="322"/>
        <v>0</v>
      </c>
      <c r="T2852" s="133"/>
      <c r="U2852" s="133"/>
      <c r="V2852" s="133"/>
      <c r="W2852" s="133"/>
      <c r="X2852" s="133"/>
      <c r="Y2852" s="133"/>
      <c r="Z2852" s="133"/>
      <c r="AA2852" s="133"/>
      <c r="AB2852" s="133"/>
      <c r="AC2852" s="133"/>
      <c r="AD2852" s="133"/>
      <c r="AE2852" s="133"/>
      <c r="AF2852" s="133"/>
      <c r="AG2852" s="133"/>
      <c r="AH2852" s="133"/>
      <c r="AI2852" s="133"/>
      <c r="AJ2852" s="133"/>
      <c r="AK2852" s="133"/>
      <c r="AL2852" s="133"/>
      <c r="AM2852" s="133"/>
      <c r="AN2852" s="133"/>
      <c r="AO2852" s="133"/>
      <c r="AP2852" s="133"/>
      <c r="AQ2852" s="133"/>
      <c r="AR2852" s="133"/>
      <c r="AS2852" s="153">
        <v>0</v>
      </c>
      <c r="AT2852" s="153">
        <v>0</v>
      </c>
      <c r="AU2852" s="153">
        <v>0</v>
      </c>
      <c r="AV2852" s="135"/>
      <c r="AW2852" s="135"/>
      <c r="AX2852" s="135"/>
      <c r="AY2852" s="135"/>
      <c r="AZ2852" s="135"/>
      <c r="BA2852" s="135"/>
      <c r="BB2852" s="135"/>
      <c r="BC2852" s="135"/>
      <c r="BD2852" s="135"/>
      <c r="BE2852" s="135"/>
      <c r="BF2852" s="135"/>
      <c r="BG2852" s="135"/>
      <c r="BH2852" s="135"/>
      <c r="BI2852" s="2"/>
      <c r="BJ2852" s="136"/>
      <c r="BK2852" s="2"/>
      <c r="BL2852" s="136"/>
      <c r="BM2852" s="136"/>
      <c r="BN2852" s="2"/>
      <c r="BO2852" s="2"/>
      <c r="BP2852" s="136"/>
      <c r="BQ2852" s="137"/>
    </row>
    <row r="2853" spans="1:69" ht="12.75" customHeight="1" x14ac:dyDescent="0.2">
      <c r="A2853" s="2">
        <v>4342</v>
      </c>
      <c r="B2853" s="2"/>
      <c r="C2853" s="2"/>
      <c r="D2853" s="2"/>
      <c r="E2853" s="2"/>
      <c r="F2853" s="132">
        <v>0</v>
      </c>
      <c r="G2853" s="132"/>
      <c r="H2853" s="132">
        <f t="shared" si="318"/>
        <v>0</v>
      </c>
      <c r="I2853" s="132"/>
      <c r="J2853" s="132">
        <f t="shared" si="323"/>
        <v>0</v>
      </c>
      <c r="K2853" s="132">
        <f t="shared" si="319"/>
        <v>0</v>
      </c>
      <c r="L2853" s="132">
        <f t="shared" si="320"/>
        <v>0</v>
      </c>
      <c r="M2853" s="133"/>
      <c r="N2853" s="133">
        <f t="shared" si="317"/>
        <v>0</v>
      </c>
      <c r="O2853" s="134"/>
      <c r="P2853" s="133"/>
      <c r="Q2853" s="2"/>
      <c r="R2853" s="156">
        <f t="shared" si="321"/>
        <v>0</v>
      </c>
      <c r="S2853" s="156">
        <f t="shared" si="322"/>
        <v>0</v>
      </c>
      <c r="T2853" s="133"/>
      <c r="U2853" s="133"/>
      <c r="V2853" s="133"/>
      <c r="W2853" s="133"/>
      <c r="X2853" s="133"/>
      <c r="Y2853" s="133"/>
      <c r="Z2853" s="133"/>
      <c r="AA2853" s="133"/>
      <c r="AB2853" s="133"/>
      <c r="AC2853" s="133"/>
      <c r="AD2853" s="133"/>
      <c r="AE2853" s="133"/>
      <c r="AF2853" s="133"/>
      <c r="AG2853" s="133"/>
      <c r="AH2853" s="133"/>
      <c r="AI2853" s="133"/>
      <c r="AJ2853" s="133"/>
      <c r="AK2853" s="133"/>
      <c r="AL2853" s="133"/>
      <c r="AM2853" s="133"/>
      <c r="AN2853" s="133"/>
      <c r="AO2853" s="133"/>
      <c r="AP2853" s="133"/>
      <c r="AQ2853" s="133"/>
      <c r="AR2853" s="133"/>
      <c r="AS2853" s="153">
        <v>0</v>
      </c>
      <c r="AT2853" s="153">
        <v>0</v>
      </c>
      <c r="AU2853" s="153">
        <v>0</v>
      </c>
      <c r="AV2853" s="135"/>
      <c r="AW2853" s="135"/>
      <c r="AX2853" s="135"/>
      <c r="AY2853" s="135"/>
      <c r="AZ2853" s="135"/>
      <c r="BA2853" s="135"/>
      <c r="BB2853" s="135"/>
      <c r="BC2853" s="135"/>
      <c r="BD2853" s="135"/>
      <c r="BE2853" s="135"/>
      <c r="BF2853" s="135"/>
      <c r="BG2853" s="135"/>
      <c r="BH2853" s="135"/>
      <c r="BI2853" s="2"/>
      <c r="BJ2853" s="136"/>
      <c r="BK2853" s="2"/>
      <c r="BL2853" s="136"/>
      <c r="BM2853" s="136"/>
      <c r="BN2853" s="2"/>
      <c r="BO2853" s="2"/>
      <c r="BP2853" s="136"/>
      <c r="BQ2853" s="137"/>
    </row>
    <row r="2854" spans="1:69" ht="12.75" customHeight="1" x14ac:dyDescent="0.2">
      <c r="A2854" s="2">
        <v>4343</v>
      </c>
      <c r="B2854" s="2"/>
      <c r="C2854" s="2"/>
      <c r="D2854" s="2"/>
      <c r="E2854" s="2"/>
      <c r="F2854" s="132">
        <v>0</v>
      </c>
      <c r="G2854" s="132"/>
      <c r="H2854" s="132">
        <f t="shared" si="318"/>
        <v>0</v>
      </c>
      <c r="I2854" s="132"/>
      <c r="J2854" s="132">
        <f t="shared" si="323"/>
        <v>0</v>
      </c>
      <c r="K2854" s="132">
        <f t="shared" si="319"/>
        <v>0</v>
      </c>
      <c r="L2854" s="132">
        <f t="shared" si="320"/>
        <v>0</v>
      </c>
      <c r="M2854" s="133"/>
      <c r="N2854" s="133">
        <f t="shared" si="317"/>
        <v>0</v>
      </c>
      <c r="O2854" s="134"/>
      <c r="P2854" s="133"/>
      <c r="Q2854" s="2"/>
      <c r="R2854" s="156">
        <f t="shared" si="321"/>
        <v>0</v>
      </c>
      <c r="S2854" s="156">
        <f t="shared" si="322"/>
        <v>0</v>
      </c>
      <c r="T2854" s="133"/>
      <c r="U2854" s="133"/>
      <c r="V2854" s="133"/>
      <c r="W2854" s="133"/>
      <c r="X2854" s="133"/>
      <c r="Y2854" s="133"/>
      <c r="Z2854" s="133"/>
      <c r="AA2854" s="133"/>
      <c r="AB2854" s="133"/>
      <c r="AC2854" s="133"/>
      <c r="AD2854" s="133"/>
      <c r="AE2854" s="133"/>
      <c r="AF2854" s="133"/>
      <c r="AG2854" s="133"/>
      <c r="AH2854" s="133"/>
      <c r="AI2854" s="133"/>
      <c r="AJ2854" s="133"/>
      <c r="AK2854" s="133"/>
      <c r="AL2854" s="133"/>
      <c r="AM2854" s="133"/>
      <c r="AN2854" s="133"/>
      <c r="AO2854" s="133"/>
      <c r="AP2854" s="133"/>
      <c r="AQ2854" s="133"/>
      <c r="AR2854" s="133"/>
      <c r="AS2854" s="153">
        <v>0</v>
      </c>
      <c r="AT2854" s="153">
        <v>0</v>
      </c>
      <c r="AU2854" s="153">
        <v>0</v>
      </c>
      <c r="AV2854" s="135"/>
      <c r="AW2854" s="135"/>
      <c r="AX2854" s="135"/>
      <c r="AY2854" s="135"/>
      <c r="AZ2854" s="135"/>
      <c r="BA2854" s="135"/>
      <c r="BB2854" s="135"/>
      <c r="BC2854" s="135"/>
      <c r="BD2854" s="135"/>
      <c r="BE2854" s="135"/>
      <c r="BF2854" s="135"/>
      <c r="BG2854" s="135"/>
      <c r="BH2854" s="135"/>
      <c r="BI2854" s="2"/>
      <c r="BJ2854" s="136"/>
      <c r="BK2854" s="2"/>
      <c r="BL2854" s="136"/>
      <c r="BM2854" s="136"/>
      <c r="BN2854" s="2"/>
      <c r="BO2854" s="2"/>
      <c r="BP2854" s="136"/>
      <c r="BQ2854" s="137"/>
    </row>
    <row r="2855" spans="1:69" ht="12.75" customHeight="1" x14ac:dyDescent="0.2">
      <c r="A2855" s="2">
        <v>4344</v>
      </c>
      <c r="B2855" s="2"/>
      <c r="C2855" s="2"/>
      <c r="D2855" s="2"/>
      <c r="E2855" s="2"/>
      <c r="F2855" s="132">
        <v>0</v>
      </c>
      <c r="G2855" s="132"/>
      <c r="H2855" s="132">
        <f t="shared" si="318"/>
        <v>0</v>
      </c>
      <c r="I2855" s="132"/>
      <c r="J2855" s="132">
        <f t="shared" si="323"/>
        <v>0</v>
      </c>
      <c r="K2855" s="132">
        <f t="shared" si="319"/>
        <v>0</v>
      </c>
      <c r="L2855" s="132">
        <f t="shared" si="320"/>
        <v>0</v>
      </c>
      <c r="M2855" s="133"/>
      <c r="N2855" s="133">
        <f t="shared" si="317"/>
        <v>0</v>
      </c>
      <c r="O2855" s="134"/>
      <c r="P2855" s="133"/>
      <c r="Q2855" s="2"/>
      <c r="R2855" s="156">
        <f t="shared" si="321"/>
        <v>0</v>
      </c>
      <c r="S2855" s="156">
        <f t="shared" si="322"/>
        <v>0</v>
      </c>
      <c r="T2855" s="133"/>
      <c r="U2855" s="133"/>
      <c r="V2855" s="133"/>
      <c r="W2855" s="133"/>
      <c r="X2855" s="133"/>
      <c r="Y2855" s="133"/>
      <c r="Z2855" s="133"/>
      <c r="AA2855" s="133"/>
      <c r="AB2855" s="133"/>
      <c r="AC2855" s="133"/>
      <c r="AD2855" s="133"/>
      <c r="AE2855" s="133"/>
      <c r="AF2855" s="133"/>
      <c r="AG2855" s="133"/>
      <c r="AH2855" s="133"/>
      <c r="AI2855" s="133"/>
      <c r="AJ2855" s="133"/>
      <c r="AK2855" s="133"/>
      <c r="AL2855" s="133"/>
      <c r="AM2855" s="133"/>
      <c r="AN2855" s="133"/>
      <c r="AO2855" s="133"/>
      <c r="AP2855" s="133"/>
      <c r="AQ2855" s="133"/>
      <c r="AR2855" s="133"/>
      <c r="AS2855" s="153">
        <v>0</v>
      </c>
      <c r="AT2855" s="153">
        <v>0</v>
      </c>
      <c r="AU2855" s="153">
        <v>0</v>
      </c>
      <c r="AV2855" s="135"/>
      <c r="AW2855" s="135"/>
      <c r="AX2855" s="135"/>
      <c r="AY2855" s="135"/>
      <c r="AZ2855" s="135"/>
      <c r="BA2855" s="135"/>
      <c r="BB2855" s="135"/>
      <c r="BC2855" s="135"/>
      <c r="BD2855" s="135"/>
      <c r="BE2855" s="135"/>
      <c r="BF2855" s="135"/>
      <c r="BG2855" s="135"/>
      <c r="BH2855" s="135"/>
      <c r="BI2855" s="2"/>
      <c r="BJ2855" s="136"/>
      <c r="BK2855" s="2"/>
      <c r="BL2855" s="136"/>
      <c r="BM2855" s="136"/>
      <c r="BN2855" s="2"/>
      <c r="BO2855" s="2"/>
      <c r="BP2855" s="136"/>
      <c r="BQ2855" s="137"/>
    </row>
    <row r="2856" spans="1:69" ht="12.75" customHeight="1" x14ac:dyDescent="0.2">
      <c r="A2856" s="2">
        <v>4345</v>
      </c>
      <c r="B2856" s="2"/>
      <c r="C2856" s="2"/>
      <c r="D2856" s="2"/>
      <c r="E2856" s="2"/>
      <c r="F2856" s="132">
        <v>0</v>
      </c>
      <c r="G2856" s="132"/>
      <c r="H2856" s="132">
        <f t="shared" si="318"/>
        <v>0</v>
      </c>
      <c r="I2856" s="132"/>
      <c r="J2856" s="132">
        <f t="shared" si="323"/>
        <v>0</v>
      </c>
      <c r="K2856" s="132">
        <f t="shared" si="319"/>
        <v>0</v>
      </c>
      <c r="L2856" s="132">
        <f t="shared" si="320"/>
        <v>0</v>
      </c>
      <c r="M2856" s="133"/>
      <c r="N2856" s="133">
        <f t="shared" si="317"/>
        <v>0</v>
      </c>
      <c r="O2856" s="134"/>
      <c r="P2856" s="133"/>
      <c r="Q2856" s="2"/>
      <c r="R2856" s="156">
        <f t="shared" si="321"/>
        <v>0</v>
      </c>
      <c r="S2856" s="156">
        <f t="shared" si="322"/>
        <v>0</v>
      </c>
      <c r="T2856" s="133"/>
      <c r="U2856" s="133"/>
      <c r="V2856" s="133"/>
      <c r="W2856" s="133"/>
      <c r="X2856" s="133"/>
      <c r="Y2856" s="133"/>
      <c r="Z2856" s="133"/>
      <c r="AA2856" s="133"/>
      <c r="AB2856" s="133"/>
      <c r="AC2856" s="133"/>
      <c r="AD2856" s="133"/>
      <c r="AE2856" s="133"/>
      <c r="AF2856" s="133"/>
      <c r="AG2856" s="133"/>
      <c r="AH2856" s="133"/>
      <c r="AI2856" s="133"/>
      <c r="AJ2856" s="133"/>
      <c r="AK2856" s="133"/>
      <c r="AL2856" s="133"/>
      <c r="AM2856" s="133"/>
      <c r="AN2856" s="133"/>
      <c r="AO2856" s="133"/>
      <c r="AP2856" s="133"/>
      <c r="AQ2856" s="133"/>
      <c r="AR2856" s="133"/>
      <c r="AS2856" s="153">
        <v>0</v>
      </c>
      <c r="AT2856" s="153">
        <v>0</v>
      </c>
      <c r="AU2856" s="153">
        <v>0</v>
      </c>
      <c r="AV2856" s="135"/>
      <c r="AW2856" s="135"/>
      <c r="AX2856" s="135"/>
      <c r="AY2856" s="135"/>
      <c r="AZ2856" s="135"/>
      <c r="BA2856" s="135"/>
      <c r="BB2856" s="135"/>
      <c r="BC2856" s="135"/>
      <c r="BD2856" s="135"/>
      <c r="BE2856" s="135"/>
      <c r="BF2856" s="135"/>
      <c r="BG2856" s="135"/>
      <c r="BH2856" s="135"/>
      <c r="BI2856" s="2"/>
      <c r="BJ2856" s="136"/>
      <c r="BK2856" s="2"/>
      <c r="BL2856" s="136"/>
      <c r="BM2856" s="136"/>
      <c r="BN2856" s="2"/>
      <c r="BO2856" s="2"/>
      <c r="BP2856" s="136"/>
      <c r="BQ2856" s="137"/>
    </row>
    <row r="2857" spans="1:69" ht="12.75" customHeight="1" x14ac:dyDescent="0.2">
      <c r="A2857" s="2">
        <v>4346</v>
      </c>
      <c r="B2857" s="2"/>
      <c r="C2857" s="2"/>
      <c r="D2857" s="2"/>
      <c r="E2857" s="2"/>
      <c r="F2857" s="132">
        <v>0</v>
      </c>
      <c r="G2857" s="132"/>
      <c r="H2857" s="132">
        <f t="shared" si="318"/>
        <v>0</v>
      </c>
      <c r="I2857" s="132"/>
      <c r="J2857" s="132">
        <f t="shared" si="323"/>
        <v>0</v>
      </c>
      <c r="K2857" s="132">
        <f t="shared" si="319"/>
        <v>0</v>
      </c>
      <c r="L2857" s="132">
        <f t="shared" si="320"/>
        <v>0</v>
      </c>
      <c r="M2857" s="133"/>
      <c r="N2857" s="133">
        <f t="shared" si="317"/>
        <v>0</v>
      </c>
      <c r="O2857" s="134"/>
      <c r="P2857" s="133"/>
      <c r="Q2857" s="2"/>
      <c r="R2857" s="156">
        <f t="shared" si="321"/>
        <v>0</v>
      </c>
      <c r="S2857" s="156">
        <f t="shared" si="322"/>
        <v>0</v>
      </c>
      <c r="T2857" s="133"/>
      <c r="U2857" s="133"/>
      <c r="V2857" s="133"/>
      <c r="W2857" s="133"/>
      <c r="X2857" s="133"/>
      <c r="Y2857" s="133"/>
      <c r="Z2857" s="133"/>
      <c r="AA2857" s="133"/>
      <c r="AB2857" s="133"/>
      <c r="AC2857" s="133"/>
      <c r="AD2857" s="133"/>
      <c r="AE2857" s="133"/>
      <c r="AF2857" s="133"/>
      <c r="AG2857" s="133"/>
      <c r="AH2857" s="133"/>
      <c r="AI2857" s="133"/>
      <c r="AJ2857" s="133"/>
      <c r="AK2857" s="133"/>
      <c r="AL2857" s="133"/>
      <c r="AM2857" s="133"/>
      <c r="AN2857" s="133"/>
      <c r="AO2857" s="133"/>
      <c r="AP2857" s="133"/>
      <c r="AQ2857" s="133"/>
      <c r="AR2857" s="133"/>
      <c r="AS2857" s="153">
        <v>0</v>
      </c>
      <c r="AT2857" s="153">
        <v>0</v>
      </c>
      <c r="AU2857" s="153">
        <v>0</v>
      </c>
      <c r="AV2857" s="135"/>
      <c r="AW2857" s="135"/>
      <c r="AX2857" s="135"/>
      <c r="AY2857" s="135"/>
      <c r="AZ2857" s="135"/>
      <c r="BA2857" s="135"/>
      <c r="BB2857" s="135"/>
      <c r="BC2857" s="135"/>
      <c r="BD2857" s="135"/>
      <c r="BE2857" s="135"/>
      <c r="BF2857" s="135"/>
      <c r="BG2857" s="135"/>
      <c r="BH2857" s="135"/>
      <c r="BI2857" s="2"/>
      <c r="BJ2857" s="136"/>
      <c r="BK2857" s="2"/>
      <c r="BL2857" s="136"/>
      <c r="BM2857" s="136"/>
      <c r="BN2857" s="2"/>
      <c r="BO2857" s="2"/>
      <c r="BP2857" s="136"/>
      <c r="BQ2857" s="137"/>
    </row>
    <row r="2858" spans="1:69" ht="12.75" customHeight="1" x14ac:dyDescent="0.2">
      <c r="A2858" s="2">
        <v>4347</v>
      </c>
      <c r="B2858" s="2"/>
      <c r="C2858" s="2"/>
      <c r="D2858" s="2"/>
      <c r="E2858" s="2"/>
      <c r="F2858" s="132">
        <v>0</v>
      </c>
      <c r="G2858" s="132"/>
      <c r="H2858" s="132">
        <f t="shared" si="318"/>
        <v>0</v>
      </c>
      <c r="I2858" s="132"/>
      <c r="J2858" s="132">
        <f t="shared" si="323"/>
        <v>0</v>
      </c>
      <c r="K2858" s="132">
        <f t="shared" si="319"/>
        <v>0</v>
      </c>
      <c r="L2858" s="132">
        <f t="shared" si="320"/>
        <v>0</v>
      </c>
      <c r="M2858" s="133"/>
      <c r="N2858" s="133">
        <f t="shared" ref="N2858:N2921" si="324">IF(OR(BK2858="принят",BK2858="Завершено",BK2858="ПриПро"),H2858-J2858,F2858-J2858)</f>
        <v>0</v>
      </c>
      <c r="O2858" s="134"/>
      <c r="P2858" s="133"/>
      <c r="Q2858" s="2"/>
      <c r="R2858" s="156">
        <f t="shared" si="321"/>
        <v>0</v>
      </c>
      <c r="S2858" s="156">
        <f t="shared" si="322"/>
        <v>0</v>
      </c>
      <c r="T2858" s="133"/>
      <c r="U2858" s="133"/>
      <c r="V2858" s="133"/>
      <c r="W2858" s="133"/>
      <c r="X2858" s="133"/>
      <c r="Y2858" s="133"/>
      <c r="Z2858" s="133"/>
      <c r="AA2858" s="133"/>
      <c r="AB2858" s="133"/>
      <c r="AC2858" s="133"/>
      <c r="AD2858" s="133"/>
      <c r="AE2858" s="133"/>
      <c r="AF2858" s="133"/>
      <c r="AG2858" s="133"/>
      <c r="AH2858" s="133"/>
      <c r="AI2858" s="133"/>
      <c r="AJ2858" s="133"/>
      <c r="AK2858" s="133"/>
      <c r="AL2858" s="133"/>
      <c r="AM2858" s="133"/>
      <c r="AN2858" s="133"/>
      <c r="AO2858" s="133"/>
      <c r="AP2858" s="133"/>
      <c r="AQ2858" s="133"/>
      <c r="AR2858" s="133"/>
      <c r="AS2858" s="153">
        <v>0</v>
      </c>
      <c r="AT2858" s="153">
        <v>0</v>
      </c>
      <c r="AU2858" s="153">
        <v>0</v>
      </c>
      <c r="AV2858" s="135"/>
      <c r="AW2858" s="135"/>
      <c r="AX2858" s="135"/>
      <c r="AY2858" s="135"/>
      <c r="AZ2858" s="135"/>
      <c r="BA2858" s="135"/>
      <c r="BB2858" s="135"/>
      <c r="BC2858" s="135"/>
      <c r="BD2858" s="135"/>
      <c r="BE2858" s="135"/>
      <c r="BF2858" s="135"/>
      <c r="BG2858" s="135"/>
      <c r="BH2858" s="135"/>
      <c r="BI2858" s="2"/>
      <c r="BJ2858" s="136"/>
      <c r="BK2858" s="2"/>
      <c r="BL2858" s="136"/>
      <c r="BM2858" s="136"/>
      <c r="BN2858" s="2"/>
      <c r="BO2858" s="2"/>
      <c r="BP2858" s="136"/>
      <c r="BQ2858" s="137"/>
    </row>
    <row r="2859" spans="1:69" ht="12.75" customHeight="1" x14ac:dyDescent="0.2">
      <c r="A2859" s="2">
        <v>4348</v>
      </c>
      <c r="B2859" s="2"/>
      <c r="C2859" s="2"/>
      <c r="D2859" s="2"/>
      <c r="E2859" s="2"/>
      <c r="F2859" s="132">
        <v>0</v>
      </c>
      <c r="G2859" s="132"/>
      <c r="H2859" s="132">
        <f t="shared" si="318"/>
        <v>0</v>
      </c>
      <c r="I2859" s="132"/>
      <c r="J2859" s="132">
        <f t="shared" si="323"/>
        <v>0</v>
      </c>
      <c r="K2859" s="132">
        <f t="shared" si="319"/>
        <v>0</v>
      </c>
      <c r="L2859" s="132">
        <f t="shared" si="320"/>
        <v>0</v>
      </c>
      <c r="M2859" s="133"/>
      <c r="N2859" s="133">
        <f t="shared" si="324"/>
        <v>0</v>
      </c>
      <c r="O2859" s="134"/>
      <c r="P2859" s="133"/>
      <c r="Q2859" s="2"/>
      <c r="R2859" s="156">
        <f t="shared" si="321"/>
        <v>0</v>
      </c>
      <c r="S2859" s="156">
        <f t="shared" si="322"/>
        <v>0</v>
      </c>
      <c r="T2859" s="133"/>
      <c r="U2859" s="133"/>
      <c r="V2859" s="133"/>
      <c r="W2859" s="133"/>
      <c r="X2859" s="133"/>
      <c r="Y2859" s="133"/>
      <c r="Z2859" s="133"/>
      <c r="AA2859" s="133"/>
      <c r="AB2859" s="133"/>
      <c r="AC2859" s="133"/>
      <c r="AD2859" s="133"/>
      <c r="AE2859" s="133"/>
      <c r="AF2859" s="133"/>
      <c r="AG2859" s="133"/>
      <c r="AH2859" s="133"/>
      <c r="AI2859" s="133"/>
      <c r="AJ2859" s="133"/>
      <c r="AK2859" s="133"/>
      <c r="AL2859" s="133"/>
      <c r="AM2859" s="133"/>
      <c r="AN2859" s="133"/>
      <c r="AO2859" s="133"/>
      <c r="AP2859" s="133"/>
      <c r="AQ2859" s="133"/>
      <c r="AR2859" s="133"/>
      <c r="AS2859" s="153">
        <v>0</v>
      </c>
      <c r="AT2859" s="153">
        <v>0</v>
      </c>
      <c r="AU2859" s="153">
        <v>0</v>
      </c>
      <c r="AV2859" s="135"/>
      <c r="AW2859" s="135"/>
      <c r="AX2859" s="135"/>
      <c r="AY2859" s="135"/>
      <c r="AZ2859" s="135"/>
      <c r="BA2859" s="135"/>
      <c r="BB2859" s="135"/>
      <c r="BC2859" s="135"/>
      <c r="BD2859" s="135"/>
      <c r="BE2859" s="135"/>
      <c r="BF2859" s="135"/>
      <c r="BG2859" s="135"/>
      <c r="BH2859" s="135"/>
      <c r="BI2859" s="2"/>
      <c r="BJ2859" s="136"/>
      <c r="BK2859" s="2"/>
      <c r="BL2859" s="136"/>
      <c r="BM2859" s="136"/>
      <c r="BN2859" s="2"/>
      <c r="BO2859" s="2"/>
      <c r="BP2859" s="136"/>
      <c r="BQ2859" s="137"/>
    </row>
    <row r="2860" spans="1:69" ht="12.75" customHeight="1" x14ac:dyDescent="0.2">
      <c r="A2860" s="2">
        <v>4349</v>
      </c>
      <c r="B2860" s="2"/>
      <c r="C2860" s="2"/>
      <c r="D2860" s="2"/>
      <c r="E2860" s="2"/>
      <c r="F2860" s="132">
        <v>0</v>
      </c>
      <c r="G2860" s="132"/>
      <c r="H2860" s="132">
        <f t="shared" si="318"/>
        <v>0</v>
      </c>
      <c r="I2860" s="132"/>
      <c r="J2860" s="132">
        <f t="shared" si="323"/>
        <v>0</v>
      </c>
      <c r="K2860" s="132">
        <f t="shared" si="319"/>
        <v>0</v>
      </c>
      <c r="L2860" s="132">
        <f t="shared" si="320"/>
        <v>0</v>
      </c>
      <c r="M2860" s="133"/>
      <c r="N2860" s="133">
        <f t="shared" si="324"/>
        <v>0</v>
      </c>
      <c r="O2860" s="134"/>
      <c r="P2860" s="133"/>
      <c r="Q2860" s="2"/>
      <c r="R2860" s="156">
        <f t="shared" si="321"/>
        <v>0</v>
      </c>
      <c r="S2860" s="156">
        <f t="shared" si="322"/>
        <v>0</v>
      </c>
      <c r="T2860" s="133"/>
      <c r="U2860" s="133"/>
      <c r="V2860" s="133"/>
      <c r="W2860" s="133"/>
      <c r="X2860" s="133"/>
      <c r="Y2860" s="133"/>
      <c r="Z2860" s="133"/>
      <c r="AA2860" s="133"/>
      <c r="AB2860" s="133"/>
      <c r="AC2860" s="133"/>
      <c r="AD2860" s="133"/>
      <c r="AE2860" s="133"/>
      <c r="AF2860" s="133"/>
      <c r="AG2860" s="133"/>
      <c r="AH2860" s="133"/>
      <c r="AI2860" s="133"/>
      <c r="AJ2860" s="133"/>
      <c r="AK2860" s="133"/>
      <c r="AL2860" s="133"/>
      <c r="AM2860" s="133"/>
      <c r="AN2860" s="133"/>
      <c r="AO2860" s="133"/>
      <c r="AP2860" s="133"/>
      <c r="AQ2860" s="133"/>
      <c r="AR2860" s="133"/>
      <c r="AS2860" s="153">
        <v>0</v>
      </c>
      <c r="AT2860" s="153">
        <v>0</v>
      </c>
      <c r="AU2860" s="153">
        <v>0</v>
      </c>
      <c r="AV2860" s="135"/>
      <c r="AW2860" s="135"/>
      <c r="AX2860" s="135"/>
      <c r="AY2860" s="135"/>
      <c r="AZ2860" s="135"/>
      <c r="BA2860" s="135"/>
      <c r="BB2860" s="135"/>
      <c r="BC2860" s="135"/>
      <c r="BD2860" s="135"/>
      <c r="BE2860" s="135"/>
      <c r="BF2860" s="135"/>
      <c r="BG2860" s="135"/>
      <c r="BH2860" s="135"/>
      <c r="BI2860" s="2"/>
      <c r="BJ2860" s="136"/>
      <c r="BK2860" s="2"/>
      <c r="BL2860" s="136"/>
      <c r="BM2860" s="136"/>
      <c r="BN2860" s="2"/>
      <c r="BO2860" s="2"/>
      <c r="BP2860" s="136"/>
      <c r="BQ2860" s="137"/>
    </row>
    <row r="2861" spans="1:69" ht="12.75" customHeight="1" x14ac:dyDescent="0.2">
      <c r="A2861" s="2">
        <v>4350</v>
      </c>
      <c r="B2861" s="2"/>
      <c r="C2861" s="2"/>
      <c r="D2861" s="2"/>
      <c r="E2861" s="2"/>
      <c r="F2861" s="132">
        <v>0</v>
      </c>
      <c r="G2861" s="132"/>
      <c r="H2861" s="132">
        <f t="shared" si="318"/>
        <v>0</v>
      </c>
      <c r="I2861" s="132"/>
      <c r="J2861" s="132">
        <f t="shared" si="323"/>
        <v>0</v>
      </c>
      <c r="K2861" s="132">
        <f t="shared" si="319"/>
        <v>0</v>
      </c>
      <c r="L2861" s="132">
        <f t="shared" si="320"/>
        <v>0</v>
      </c>
      <c r="M2861" s="133"/>
      <c r="N2861" s="133">
        <f t="shared" si="324"/>
        <v>0</v>
      </c>
      <c r="O2861" s="134"/>
      <c r="P2861" s="133"/>
      <c r="Q2861" s="2"/>
      <c r="R2861" s="156">
        <f t="shared" si="321"/>
        <v>0</v>
      </c>
      <c r="S2861" s="156">
        <f t="shared" si="322"/>
        <v>0</v>
      </c>
      <c r="T2861" s="133"/>
      <c r="U2861" s="133"/>
      <c r="V2861" s="133"/>
      <c r="W2861" s="133"/>
      <c r="X2861" s="133"/>
      <c r="Y2861" s="133"/>
      <c r="Z2861" s="133"/>
      <c r="AA2861" s="133"/>
      <c r="AB2861" s="133"/>
      <c r="AC2861" s="133"/>
      <c r="AD2861" s="133"/>
      <c r="AE2861" s="133"/>
      <c r="AF2861" s="133"/>
      <c r="AG2861" s="133"/>
      <c r="AH2861" s="133"/>
      <c r="AI2861" s="133"/>
      <c r="AJ2861" s="133"/>
      <c r="AK2861" s="133"/>
      <c r="AL2861" s="133"/>
      <c r="AM2861" s="133"/>
      <c r="AN2861" s="133"/>
      <c r="AO2861" s="133"/>
      <c r="AP2861" s="133"/>
      <c r="AQ2861" s="133"/>
      <c r="AR2861" s="133"/>
      <c r="AS2861" s="153">
        <v>0</v>
      </c>
      <c r="AT2861" s="153">
        <v>0</v>
      </c>
      <c r="AU2861" s="153">
        <v>0</v>
      </c>
      <c r="AV2861" s="135"/>
      <c r="AW2861" s="135"/>
      <c r="AX2861" s="135"/>
      <c r="AY2861" s="135"/>
      <c r="AZ2861" s="135"/>
      <c r="BA2861" s="135"/>
      <c r="BB2861" s="135"/>
      <c r="BC2861" s="135"/>
      <c r="BD2861" s="135"/>
      <c r="BE2861" s="135"/>
      <c r="BF2861" s="135"/>
      <c r="BG2861" s="135"/>
      <c r="BH2861" s="135"/>
      <c r="BI2861" s="2"/>
      <c r="BJ2861" s="136"/>
      <c r="BK2861" s="2"/>
      <c r="BL2861" s="136"/>
      <c r="BM2861" s="136"/>
      <c r="BN2861" s="2"/>
      <c r="BO2861" s="2"/>
      <c r="BP2861" s="136"/>
      <c r="BQ2861" s="137"/>
    </row>
    <row r="2862" spans="1:69" ht="12.75" customHeight="1" x14ac:dyDescent="0.2">
      <c r="A2862" s="2">
        <v>4351</v>
      </c>
      <c r="B2862" s="2"/>
      <c r="C2862" s="2"/>
      <c r="D2862" s="2"/>
      <c r="E2862" s="2"/>
      <c r="F2862" s="132">
        <v>0</v>
      </c>
      <c r="G2862" s="132"/>
      <c r="H2862" s="132">
        <f t="shared" ref="H2862:H2925" si="325">R2862</f>
        <v>0</v>
      </c>
      <c r="I2862" s="132"/>
      <c r="J2862" s="132">
        <f t="shared" si="323"/>
        <v>0</v>
      </c>
      <c r="K2862" s="132">
        <f t="shared" si="319"/>
        <v>0</v>
      </c>
      <c r="L2862" s="132">
        <f t="shared" si="320"/>
        <v>0</v>
      </c>
      <c r="M2862" s="133"/>
      <c r="N2862" s="133">
        <f t="shared" si="324"/>
        <v>0</v>
      </c>
      <c r="O2862" s="134"/>
      <c r="P2862" s="133"/>
      <c r="Q2862" s="2"/>
      <c r="R2862" s="156">
        <f t="shared" si="321"/>
        <v>0</v>
      </c>
      <c r="S2862" s="156">
        <f t="shared" si="322"/>
        <v>0</v>
      </c>
      <c r="T2862" s="133"/>
      <c r="U2862" s="133"/>
      <c r="V2862" s="133"/>
      <c r="W2862" s="133"/>
      <c r="X2862" s="133"/>
      <c r="Y2862" s="133"/>
      <c r="Z2862" s="133"/>
      <c r="AA2862" s="133"/>
      <c r="AB2862" s="133"/>
      <c r="AC2862" s="133"/>
      <c r="AD2862" s="133"/>
      <c r="AE2862" s="133"/>
      <c r="AF2862" s="133"/>
      <c r="AG2862" s="133"/>
      <c r="AH2862" s="133"/>
      <c r="AI2862" s="133"/>
      <c r="AJ2862" s="133"/>
      <c r="AK2862" s="133"/>
      <c r="AL2862" s="133"/>
      <c r="AM2862" s="133"/>
      <c r="AN2862" s="133"/>
      <c r="AO2862" s="133"/>
      <c r="AP2862" s="133"/>
      <c r="AQ2862" s="133"/>
      <c r="AR2862" s="133"/>
      <c r="AS2862" s="153">
        <v>0</v>
      </c>
      <c r="AT2862" s="153">
        <v>0</v>
      </c>
      <c r="AU2862" s="153">
        <v>0</v>
      </c>
      <c r="AV2862" s="135"/>
      <c r="AW2862" s="135"/>
      <c r="AX2862" s="135"/>
      <c r="AY2862" s="135"/>
      <c r="AZ2862" s="135"/>
      <c r="BA2862" s="135"/>
      <c r="BB2862" s="135"/>
      <c r="BC2862" s="135"/>
      <c r="BD2862" s="135"/>
      <c r="BE2862" s="135"/>
      <c r="BF2862" s="135"/>
      <c r="BG2862" s="135"/>
      <c r="BH2862" s="135"/>
      <c r="BI2862" s="2"/>
      <c r="BJ2862" s="136"/>
      <c r="BK2862" s="2"/>
      <c r="BL2862" s="136"/>
      <c r="BM2862" s="136"/>
      <c r="BN2862" s="2"/>
      <c r="BO2862" s="2"/>
      <c r="BP2862" s="136"/>
      <c r="BQ2862" s="137"/>
    </row>
    <row r="2863" spans="1:69" ht="12.75" customHeight="1" x14ac:dyDescent="0.2">
      <c r="A2863" s="2">
        <v>4352</v>
      </c>
      <c r="B2863" s="2"/>
      <c r="C2863" s="2"/>
      <c r="D2863" s="2"/>
      <c r="E2863" s="2"/>
      <c r="F2863" s="132">
        <v>0</v>
      </c>
      <c r="G2863" s="132"/>
      <c r="H2863" s="132">
        <f t="shared" si="325"/>
        <v>0</v>
      </c>
      <c r="I2863" s="132"/>
      <c r="J2863" s="132">
        <f t="shared" si="323"/>
        <v>0</v>
      </c>
      <c r="K2863" s="132">
        <f t="shared" si="319"/>
        <v>0</v>
      </c>
      <c r="L2863" s="132">
        <f t="shared" si="320"/>
        <v>0</v>
      </c>
      <c r="M2863" s="133"/>
      <c r="N2863" s="133">
        <f t="shared" si="324"/>
        <v>0</v>
      </c>
      <c r="O2863" s="134"/>
      <c r="P2863" s="133"/>
      <c r="Q2863" s="2"/>
      <c r="R2863" s="156">
        <f t="shared" si="321"/>
        <v>0</v>
      </c>
      <c r="S2863" s="156">
        <f t="shared" si="322"/>
        <v>0</v>
      </c>
      <c r="T2863" s="133"/>
      <c r="U2863" s="133"/>
      <c r="V2863" s="133"/>
      <c r="W2863" s="133"/>
      <c r="X2863" s="133"/>
      <c r="Y2863" s="133"/>
      <c r="Z2863" s="133"/>
      <c r="AA2863" s="133"/>
      <c r="AB2863" s="133"/>
      <c r="AC2863" s="133"/>
      <c r="AD2863" s="133"/>
      <c r="AE2863" s="133"/>
      <c r="AF2863" s="133"/>
      <c r="AG2863" s="133"/>
      <c r="AH2863" s="133"/>
      <c r="AI2863" s="133"/>
      <c r="AJ2863" s="133"/>
      <c r="AK2863" s="133"/>
      <c r="AL2863" s="133"/>
      <c r="AM2863" s="133"/>
      <c r="AN2863" s="133"/>
      <c r="AO2863" s="133"/>
      <c r="AP2863" s="133"/>
      <c r="AQ2863" s="133"/>
      <c r="AR2863" s="133"/>
      <c r="AS2863" s="153">
        <v>0</v>
      </c>
      <c r="AT2863" s="153">
        <v>0</v>
      </c>
      <c r="AU2863" s="153">
        <v>0</v>
      </c>
      <c r="AV2863" s="135"/>
      <c r="AW2863" s="135"/>
      <c r="AX2863" s="135"/>
      <c r="AY2863" s="135"/>
      <c r="AZ2863" s="135"/>
      <c r="BA2863" s="135"/>
      <c r="BB2863" s="135"/>
      <c r="BC2863" s="135"/>
      <c r="BD2863" s="135"/>
      <c r="BE2863" s="135"/>
      <c r="BF2863" s="135"/>
      <c r="BG2863" s="135"/>
      <c r="BH2863" s="135"/>
      <c r="BI2863" s="2"/>
      <c r="BJ2863" s="136"/>
      <c r="BK2863" s="2"/>
      <c r="BL2863" s="136"/>
      <c r="BM2863" s="136"/>
      <c r="BN2863" s="2"/>
      <c r="BO2863" s="2"/>
      <c r="BP2863" s="136"/>
      <c r="BQ2863" s="137"/>
    </row>
    <row r="2864" spans="1:69" ht="12.75" customHeight="1" x14ac:dyDescent="0.2">
      <c r="A2864" s="2">
        <v>4353</v>
      </c>
      <c r="B2864" s="2"/>
      <c r="C2864" s="2"/>
      <c r="D2864" s="2"/>
      <c r="E2864" s="2"/>
      <c r="F2864" s="132">
        <v>0</v>
      </c>
      <c r="G2864" s="132"/>
      <c r="H2864" s="132">
        <f t="shared" si="325"/>
        <v>0</v>
      </c>
      <c r="I2864" s="132"/>
      <c r="J2864" s="132">
        <f t="shared" si="323"/>
        <v>0</v>
      </c>
      <c r="K2864" s="132">
        <f t="shared" si="319"/>
        <v>0</v>
      </c>
      <c r="L2864" s="132">
        <f t="shared" si="320"/>
        <v>0</v>
      </c>
      <c r="M2864" s="133"/>
      <c r="N2864" s="133">
        <f t="shared" si="324"/>
        <v>0</v>
      </c>
      <c r="O2864" s="134"/>
      <c r="P2864" s="133"/>
      <c r="Q2864" s="2"/>
      <c r="R2864" s="156">
        <f t="shared" si="321"/>
        <v>0</v>
      </c>
      <c r="S2864" s="156">
        <f t="shared" si="322"/>
        <v>0</v>
      </c>
      <c r="T2864" s="133"/>
      <c r="U2864" s="133"/>
      <c r="V2864" s="133"/>
      <c r="W2864" s="133"/>
      <c r="X2864" s="133"/>
      <c r="Y2864" s="133"/>
      <c r="Z2864" s="133"/>
      <c r="AA2864" s="133"/>
      <c r="AB2864" s="133"/>
      <c r="AC2864" s="133"/>
      <c r="AD2864" s="133"/>
      <c r="AE2864" s="133"/>
      <c r="AF2864" s="133"/>
      <c r="AG2864" s="133"/>
      <c r="AH2864" s="133"/>
      <c r="AI2864" s="133"/>
      <c r="AJ2864" s="133"/>
      <c r="AK2864" s="133"/>
      <c r="AL2864" s="133"/>
      <c r="AM2864" s="133"/>
      <c r="AN2864" s="133"/>
      <c r="AO2864" s="133"/>
      <c r="AP2864" s="133"/>
      <c r="AQ2864" s="133"/>
      <c r="AR2864" s="133"/>
      <c r="AS2864" s="153">
        <v>0</v>
      </c>
      <c r="AT2864" s="153">
        <v>0</v>
      </c>
      <c r="AU2864" s="153">
        <v>0</v>
      </c>
      <c r="AV2864" s="135"/>
      <c r="AW2864" s="135"/>
      <c r="AX2864" s="135"/>
      <c r="AY2864" s="135"/>
      <c r="AZ2864" s="135"/>
      <c r="BA2864" s="135"/>
      <c r="BB2864" s="135"/>
      <c r="BC2864" s="135"/>
      <c r="BD2864" s="135"/>
      <c r="BE2864" s="135"/>
      <c r="BF2864" s="135"/>
      <c r="BG2864" s="135"/>
      <c r="BH2864" s="135"/>
      <c r="BI2864" s="2"/>
      <c r="BJ2864" s="136"/>
      <c r="BK2864" s="2"/>
      <c r="BL2864" s="136"/>
      <c r="BM2864" s="136"/>
      <c r="BN2864" s="2"/>
      <c r="BO2864" s="2"/>
      <c r="BP2864" s="136"/>
      <c r="BQ2864" s="137"/>
    </row>
    <row r="2865" spans="1:69" ht="12.75" customHeight="1" x14ac:dyDescent="0.2">
      <c r="A2865" s="2">
        <v>4354</v>
      </c>
      <c r="B2865" s="2"/>
      <c r="C2865" s="2"/>
      <c r="D2865" s="2"/>
      <c r="E2865" s="2"/>
      <c r="F2865" s="132">
        <v>0</v>
      </c>
      <c r="G2865" s="132"/>
      <c r="H2865" s="132">
        <f t="shared" si="325"/>
        <v>0</v>
      </c>
      <c r="I2865" s="132"/>
      <c r="J2865" s="132">
        <f t="shared" si="323"/>
        <v>0</v>
      </c>
      <c r="K2865" s="132">
        <f t="shared" si="319"/>
        <v>0</v>
      </c>
      <c r="L2865" s="132">
        <f t="shared" si="320"/>
        <v>0</v>
      </c>
      <c r="M2865" s="133"/>
      <c r="N2865" s="133">
        <f t="shared" si="324"/>
        <v>0</v>
      </c>
      <c r="O2865" s="134"/>
      <c r="P2865" s="133"/>
      <c r="Q2865" s="2"/>
      <c r="R2865" s="156">
        <f t="shared" si="321"/>
        <v>0</v>
      </c>
      <c r="S2865" s="156">
        <f t="shared" si="322"/>
        <v>0</v>
      </c>
      <c r="T2865" s="133"/>
      <c r="U2865" s="133"/>
      <c r="V2865" s="133"/>
      <c r="W2865" s="133"/>
      <c r="X2865" s="133"/>
      <c r="Y2865" s="133"/>
      <c r="Z2865" s="133"/>
      <c r="AA2865" s="133"/>
      <c r="AB2865" s="133"/>
      <c r="AC2865" s="133"/>
      <c r="AD2865" s="133"/>
      <c r="AE2865" s="133"/>
      <c r="AF2865" s="133"/>
      <c r="AG2865" s="133"/>
      <c r="AH2865" s="133"/>
      <c r="AI2865" s="133"/>
      <c r="AJ2865" s="133"/>
      <c r="AK2865" s="133"/>
      <c r="AL2865" s="133"/>
      <c r="AM2865" s="133"/>
      <c r="AN2865" s="133"/>
      <c r="AO2865" s="133"/>
      <c r="AP2865" s="133"/>
      <c r="AQ2865" s="133"/>
      <c r="AR2865" s="133"/>
      <c r="AS2865" s="153">
        <v>0</v>
      </c>
      <c r="AT2865" s="153">
        <v>0</v>
      </c>
      <c r="AU2865" s="153">
        <v>0</v>
      </c>
      <c r="AV2865" s="135"/>
      <c r="AW2865" s="135"/>
      <c r="AX2865" s="135"/>
      <c r="AY2865" s="135"/>
      <c r="AZ2865" s="135"/>
      <c r="BA2865" s="135"/>
      <c r="BB2865" s="135"/>
      <c r="BC2865" s="135"/>
      <c r="BD2865" s="135"/>
      <c r="BE2865" s="135"/>
      <c r="BF2865" s="135"/>
      <c r="BG2865" s="135"/>
      <c r="BH2865" s="135"/>
      <c r="BI2865" s="2"/>
      <c r="BJ2865" s="136"/>
      <c r="BK2865" s="2"/>
      <c r="BL2865" s="136"/>
      <c r="BM2865" s="136"/>
      <c r="BN2865" s="2"/>
      <c r="BO2865" s="2"/>
      <c r="BP2865" s="136"/>
      <c r="BQ2865" s="137"/>
    </row>
    <row r="2866" spans="1:69" ht="12.75" customHeight="1" x14ac:dyDescent="0.2">
      <c r="A2866" s="2">
        <v>4355</v>
      </c>
      <c r="B2866" s="2"/>
      <c r="C2866" s="2"/>
      <c r="D2866" s="2"/>
      <c r="E2866" s="2"/>
      <c r="F2866" s="132">
        <v>0</v>
      </c>
      <c r="G2866" s="132"/>
      <c r="H2866" s="132">
        <f t="shared" si="325"/>
        <v>0</v>
      </c>
      <c r="I2866" s="132"/>
      <c r="J2866" s="132">
        <f t="shared" si="323"/>
        <v>0</v>
      </c>
      <c r="K2866" s="132">
        <f t="shared" si="319"/>
        <v>0</v>
      </c>
      <c r="L2866" s="132">
        <f t="shared" si="320"/>
        <v>0</v>
      </c>
      <c r="M2866" s="133"/>
      <c r="N2866" s="133">
        <f t="shared" si="324"/>
        <v>0</v>
      </c>
      <c r="O2866" s="134"/>
      <c r="P2866" s="133"/>
      <c r="Q2866" s="2"/>
      <c r="R2866" s="156">
        <f t="shared" si="321"/>
        <v>0</v>
      </c>
      <c r="S2866" s="156">
        <f t="shared" si="322"/>
        <v>0</v>
      </c>
      <c r="T2866" s="133"/>
      <c r="U2866" s="133"/>
      <c r="V2866" s="133"/>
      <c r="W2866" s="133"/>
      <c r="X2866" s="133"/>
      <c r="Y2866" s="133"/>
      <c r="Z2866" s="133"/>
      <c r="AA2866" s="133"/>
      <c r="AB2866" s="133"/>
      <c r="AC2866" s="133"/>
      <c r="AD2866" s="133"/>
      <c r="AE2866" s="133"/>
      <c r="AF2866" s="133"/>
      <c r="AG2866" s="133"/>
      <c r="AH2866" s="133"/>
      <c r="AI2866" s="133"/>
      <c r="AJ2866" s="133"/>
      <c r="AK2866" s="133"/>
      <c r="AL2866" s="133"/>
      <c r="AM2866" s="133"/>
      <c r="AN2866" s="133"/>
      <c r="AO2866" s="133"/>
      <c r="AP2866" s="133"/>
      <c r="AQ2866" s="133"/>
      <c r="AR2866" s="133"/>
      <c r="AS2866" s="153">
        <v>0</v>
      </c>
      <c r="AT2866" s="153">
        <v>0</v>
      </c>
      <c r="AU2866" s="153">
        <v>0</v>
      </c>
      <c r="AV2866" s="135"/>
      <c r="AW2866" s="135"/>
      <c r="AX2866" s="135"/>
      <c r="AY2866" s="135"/>
      <c r="AZ2866" s="135"/>
      <c r="BA2866" s="135"/>
      <c r="BB2866" s="135"/>
      <c r="BC2866" s="135"/>
      <c r="BD2866" s="135"/>
      <c r="BE2866" s="135"/>
      <c r="BF2866" s="135"/>
      <c r="BG2866" s="135"/>
      <c r="BH2866" s="135"/>
      <c r="BI2866" s="2"/>
      <c r="BJ2866" s="136"/>
      <c r="BK2866" s="2"/>
      <c r="BL2866" s="136"/>
      <c r="BM2866" s="136"/>
      <c r="BN2866" s="2"/>
      <c r="BO2866" s="2"/>
      <c r="BP2866" s="136"/>
      <c r="BQ2866" s="137"/>
    </row>
    <row r="2867" spans="1:69" ht="12.75" customHeight="1" x14ac:dyDescent="0.2">
      <c r="A2867" s="2">
        <v>4356</v>
      </c>
      <c r="B2867" s="2"/>
      <c r="C2867" s="2"/>
      <c r="D2867" s="2"/>
      <c r="E2867" s="2"/>
      <c r="F2867" s="132">
        <v>0</v>
      </c>
      <c r="G2867" s="132"/>
      <c r="H2867" s="132">
        <f t="shared" si="325"/>
        <v>0</v>
      </c>
      <c r="I2867" s="132"/>
      <c r="J2867" s="132">
        <f t="shared" si="323"/>
        <v>0</v>
      </c>
      <c r="K2867" s="132">
        <f t="shared" si="319"/>
        <v>0</v>
      </c>
      <c r="L2867" s="132">
        <f t="shared" si="320"/>
        <v>0</v>
      </c>
      <c r="M2867" s="133"/>
      <c r="N2867" s="133">
        <f t="shared" si="324"/>
        <v>0</v>
      </c>
      <c r="O2867" s="134"/>
      <c r="P2867" s="133"/>
      <c r="Q2867" s="2"/>
      <c r="R2867" s="156">
        <f t="shared" si="321"/>
        <v>0</v>
      </c>
      <c r="S2867" s="156">
        <f t="shared" si="322"/>
        <v>0</v>
      </c>
      <c r="T2867" s="133"/>
      <c r="U2867" s="133"/>
      <c r="V2867" s="133"/>
      <c r="W2867" s="133"/>
      <c r="X2867" s="133"/>
      <c r="Y2867" s="133"/>
      <c r="Z2867" s="133"/>
      <c r="AA2867" s="133"/>
      <c r="AB2867" s="133"/>
      <c r="AC2867" s="133"/>
      <c r="AD2867" s="133"/>
      <c r="AE2867" s="133"/>
      <c r="AF2867" s="133"/>
      <c r="AG2867" s="133"/>
      <c r="AH2867" s="133"/>
      <c r="AI2867" s="133"/>
      <c r="AJ2867" s="133"/>
      <c r="AK2867" s="133"/>
      <c r="AL2867" s="133"/>
      <c r="AM2867" s="133"/>
      <c r="AN2867" s="133"/>
      <c r="AO2867" s="133"/>
      <c r="AP2867" s="133"/>
      <c r="AQ2867" s="133"/>
      <c r="AR2867" s="133"/>
      <c r="AS2867" s="153">
        <v>0</v>
      </c>
      <c r="AT2867" s="153">
        <v>0</v>
      </c>
      <c r="AU2867" s="153">
        <v>0</v>
      </c>
      <c r="AV2867" s="135"/>
      <c r="AW2867" s="135"/>
      <c r="AX2867" s="135"/>
      <c r="AY2867" s="135"/>
      <c r="AZ2867" s="135"/>
      <c r="BA2867" s="135"/>
      <c r="BB2867" s="135"/>
      <c r="BC2867" s="135"/>
      <c r="BD2867" s="135"/>
      <c r="BE2867" s="135"/>
      <c r="BF2867" s="135"/>
      <c r="BG2867" s="135"/>
      <c r="BH2867" s="135"/>
      <c r="BI2867" s="2"/>
      <c r="BJ2867" s="136"/>
      <c r="BK2867" s="2"/>
      <c r="BL2867" s="136"/>
      <c r="BM2867" s="136"/>
      <c r="BN2867" s="2"/>
      <c r="BO2867" s="2"/>
      <c r="BP2867" s="136"/>
      <c r="BQ2867" s="137"/>
    </row>
    <row r="2868" spans="1:69" ht="12.75" customHeight="1" x14ac:dyDescent="0.2">
      <c r="A2868" s="2">
        <v>4357</v>
      </c>
      <c r="B2868" s="2"/>
      <c r="C2868" s="2"/>
      <c r="D2868" s="2"/>
      <c r="E2868" s="2"/>
      <c r="F2868" s="132">
        <v>0</v>
      </c>
      <c r="G2868" s="132"/>
      <c r="H2868" s="132">
        <f t="shared" si="325"/>
        <v>0</v>
      </c>
      <c r="I2868" s="132"/>
      <c r="J2868" s="132">
        <f t="shared" si="323"/>
        <v>0</v>
      </c>
      <c r="K2868" s="132">
        <f t="shared" si="319"/>
        <v>0</v>
      </c>
      <c r="L2868" s="132">
        <f t="shared" si="320"/>
        <v>0</v>
      </c>
      <c r="M2868" s="133"/>
      <c r="N2868" s="133">
        <f t="shared" si="324"/>
        <v>0</v>
      </c>
      <c r="O2868" s="134"/>
      <c r="P2868" s="133"/>
      <c r="Q2868" s="2"/>
      <c r="R2868" s="156">
        <f t="shared" si="321"/>
        <v>0</v>
      </c>
      <c r="S2868" s="156">
        <f t="shared" si="322"/>
        <v>0</v>
      </c>
      <c r="T2868" s="133"/>
      <c r="U2868" s="133"/>
      <c r="V2868" s="133"/>
      <c r="W2868" s="133"/>
      <c r="X2868" s="133"/>
      <c r="Y2868" s="133"/>
      <c r="Z2868" s="133"/>
      <c r="AA2868" s="133"/>
      <c r="AB2868" s="133"/>
      <c r="AC2868" s="133"/>
      <c r="AD2868" s="133"/>
      <c r="AE2868" s="133"/>
      <c r="AF2868" s="133"/>
      <c r="AG2868" s="133"/>
      <c r="AH2868" s="133"/>
      <c r="AI2868" s="133"/>
      <c r="AJ2868" s="133"/>
      <c r="AK2868" s="133"/>
      <c r="AL2868" s="133"/>
      <c r="AM2868" s="133"/>
      <c r="AN2868" s="133"/>
      <c r="AO2868" s="133"/>
      <c r="AP2868" s="133"/>
      <c r="AQ2868" s="133"/>
      <c r="AR2868" s="133"/>
      <c r="AS2868" s="153">
        <v>0</v>
      </c>
      <c r="AT2868" s="153">
        <v>0</v>
      </c>
      <c r="AU2868" s="153">
        <v>0</v>
      </c>
      <c r="AV2868" s="135"/>
      <c r="AW2868" s="135"/>
      <c r="AX2868" s="135"/>
      <c r="AY2868" s="135"/>
      <c r="AZ2868" s="135"/>
      <c r="BA2868" s="135"/>
      <c r="BB2868" s="135"/>
      <c r="BC2868" s="135"/>
      <c r="BD2868" s="135"/>
      <c r="BE2868" s="135"/>
      <c r="BF2868" s="135"/>
      <c r="BG2868" s="135"/>
      <c r="BH2868" s="135"/>
      <c r="BI2868" s="2"/>
      <c r="BJ2868" s="136"/>
      <c r="BK2868" s="2"/>
      <c r="BL2868" s="136"/>
      <c r="BM2868" s="136"/>
      <c r="BN2868" s="2"/>
      <c r="BO2868" s="2"/>
      <c r="BP2868" s="136"/>
      <c r="BQ2868" s="137"/>
    </row>
    <row r="2869" spans="1:69" ht="12.75" customHeight="1" x14ac:dyDescent="0.2">
      <c r="A2869" s="2">
        <v>4358</v>
      </c>
      <c r="B2869" s="2"/>
      <c r="C2869" s="2"/>
      <c r="D2869" s="2"/>
      <c r="E2869" s="2"/>
      <c r="F2869" s="132">
        <v>0</v>
      </c>
      <c r="G2869" s="132"/>
      <c r="H2869" s="132">
        <f t="shared" si="325"/>
        <v>0</v>
      </c>
      <c r="I2869" s="132"/>
      <c r="J2869" s="132">
        <f t="shared" si="323"/>
        <v>0</v>
      </c>
      <c r="K2869" s="132">
        <f t="shared" si="319"/>
        <v>0</v>
      </c>
      <c r="L2869" s="132">
        <f t="shared" si="320"/>
        <v>0</v>
      </c>
      <c r="M2869" s="133"/>
      <c r="N2869" s="133">
        <f t="shared" si="324"/>
        <v>0</v>
      </c>
      <c r="O2869" s="134"/>
      <c r="P2869" s="133"/>
      <c r="Q2869" s="2"/>
      <c r="R2869" s="156">
        <f t="shared" si="321"/>
        <v>0</v>
      </c>
      <c r="S2869" s="156">
        <f t="shared" si="322"/>
        <v>0</v>
      </c>
      <c r="T2869" s="133"/>
      <c r="U2869" s="133"/>
      <c r="V2869" s="133"/>
      <c r="W2869" s="133"/>
      <c r="X2869" s="133"/>
      <c r="Y2869" s="133"/>
      <c r="Z2869" s="133"/>
      <c r="AA2869" s="133"/>
      <c r="AB2869" s="133"/>
      <c r="AC2869" s="133"/>
      <c r="AD2869" s="133"/>
      <c r="AE2869" s="133"/>
      <c r="AF2869" s="133"/>
      <c r="AG2869" s="133"/>
      <c r="AH2869" s="133"/>
      <c r="AI2869" s="133"/>
      <c r="AJ2869" s="133"/>
      <c r="AK2869" s="133"/>
      <c r="AL2869" s="133"/>
      <c r="AM2869" s="133"/>
      <c r="AN2869" s="133"/>
      <c r="AO2869" s="133"/>
      <c r="AP2869" s="133"/>
      <c r="AQ2869" s="133"/>
      <c r="AR2869" s="133"/>
      <c r="AS2869" s="153">
        <v>0</v>
      </c>
      <c r="AT2869" s="153">
        <v>0</v>
      </c>
      <c r="AU2869" s="153">
        <v>0</v>
      </c>
      <c r="AV2869" s="135"/>
      <c r="AW2869" s="135"/>
      <c r="AX2869" s="135"/>
      <c r="AY2869" s="135"/>
      <c r="AZ2869" s="135"/>
      <c r="BA2869" s="135"/>
      <c r="BB2869" s="135"/>
      <c r="BC2869" s="135"/>
      <c r="BD2869" s="135"/>
      <c r="BE2869" s="135"/>
      <c r="BF2869" s="135"/>
      <c r="BG2869" s="135"/>
      <c r="BH2869" s="135"/>
      <c r="BI2869" s="2"/>
      <c r="BJ2869" s="136"/>
      <c r="BK2869" s="2"/>
      <c r="BL2869" s="136"/>
      <c r="BM2869" s="136"/>
      <c r="BN2869" s="2"/>
      <c r="BO2869" s="2"/>
      <c r="BP2869" s="136"/>
      <c r="BQ2869" s="137"/>
    </row>
    <row r="2870" spans="1:69" ht="12.75" customHeight="1" x14ac:dyDescent="0.2">
      <c r="A2870" s="2">
        <v>4359</v>
      </c>
      <c r="B2870" s="2"/>
      <c r="C2870" s="2"/>
      <c r="D2870" s="2"/>
      <c r="E2870" s="2"/>
      <c r="F2870" s="132">
        <v>0</v>
      </c>
      <c r="G2870" s="132"/>
      <c r="H2870" s="132">
        <f t="shared" si="325"/>
        <v>0</v>
      </c>
      <c r="I2870" s="132"/>
      <c r="J2870" s="132">
        <f t="shared" si="323"/>
        <v>0</v>
      </c>
      <c r="K2870" s="132">
        <f t="shared" ref="K2870:K2933" si="326">F2870-J2870</f>
        <v>0</v>
      </c>
      <c r="L2870" s="132">
        <f t="shared" si="320"/>
        <v>0</v>
      </c>
      <c r="M2870" s="133"/>
      <c r="N2870" s="133">
        <f t="shared" si="324"/>
        <v>0</v>
      </c>
      <c r="O2870" s="134"/>
      <c r="P2870" s="133"/>
      <c r="Q2870" s="2"/>
      <c r="R2870" s="156">
        <f t="shared" si="321"/>
        <v>0</v>
      </c>
      <c r="S2870" s="156">
        <f t="shared" si="322"/>
        <v>0</v>
      </c>
      <c r="T2870" s="133"/>
      <c r="U2870" s="133"/>
      <c r="V2870" s="133"/>
      <c r="W2870" s="133"/>
      <c r="X2870" s="133"/>
      <c r="Y2870" s="133"/>
      <c r="Z2870" s="133"/>
      <c r="AA2870" s="133"/>
      <c r="AB2870" s="133"/>
      <c r="AC2870" s="133"/>
      <c r="AD2870" s="133"/>
      <c r="AE2870" s="133"/>
      <c r="AF2870" s="133"/>
      <c r="AG2870" s="133"/>
      <c r="AH2870" s="133"/>
      <c r="AI2870" s="133"/>
      <c r="AJ2870" s="133"/>
      <c r="AK2870" s="133"/>
      <c r="AL2870" s="133"/>
      <c r="AM2870" s="133"/>
      <c r="AN2870" s="133"/>
      <c r="AO2870" s="133"/>
      <c r="AP2870" s="133"/>
      <c r="AQ2870" s="133"/>
      <c r="AR2870" s="133"/>
      <c r="AS2870" s="153">
        <v>0</v>
      </c>
      <c r="AT2870" s="153">
        <v>0</v>
      </c>
      <c r="AU2870" s="153">
        <v>0</v>
      </c>
      <c r="AV2870" s="135"/>
      <c r="AW2870" s="135"/>
      <c r="AX2870" s="135"/>
      <c r="AY2870" s="135"/>
      <c r="AZ2870" s="135"/>
      <c r="BA2870" s="135"/>
      <c r="BB2870" s="135"/>
      <c r="BC2870" s="135"/>
      <c r="BD2870" s="135"/>
      <c r="BE2870" s="135"/>
      <c r="BF2870" s="135"/>
      <c r="BG2870" s="135"/>
      <c r="BH2870" s="135"/>
      <c r="BI2870" s="2"/>
      <c r="BJ2870" s="136"/>
      <c r="BK2870" s="2"/>
      <c r="BL2870" s="136"/>
      <c r="BM2870" s="136"/>
      <c r="BN2870" s="2"/>
      <c r="BO2870" s="2"/>
      <c r="BP2870" s="136"/>
      <c r="BQ2870" s="137"/>
    </row>
    <row r="2871" spans="1:69" ht="12.75" customHeight="1" x14ac:dyDescent="0.2">
      <c r="A2871" s="2">
        <v>4360</v>
      </c>
      <c r="B2871" s="2"/>
      <c r="C2871" s="2"/>
      <c r="D2871" s="2"/>
      <c r="E2871" s="2"/>
      <c r="F2871" s="132">
        <v>0</v>
      </c>
      <c r="G2871" s="132"/>
      <c r="H2871" s="132">
        <f t="shared" si="325"/>
        <v>0</v>
      </c>
      <c r="I2871" s="132"/>
      <c r="J2871" s="132">
        <f t="shared" si="323"/>
        <v>0</v>
      </c>
      <c r="K2871" s="132">
        <f t="shared" si="326"/>
        <v>0</v>
      </c>
      <c r="L2871" s="132">
        <f t="shared" si="320"/>
        <v>0</v>
      </c>
      <c r="M2871" s="133"/>
      <c r="N2871" s="133">
        <f t="shared" si="324"/>
        <v>0</v>
      </c>
      <c r="O2871" s="134"/>
      <c r="P2871" s="133"/>
      <c r="Q2871" s="2"/>
      <c r="R2871" s="156">
        <f t="shared" si="321"/>
        <v>0</v>
      </c>
      <c r="S2871" s="156">
        <f t="shared" si="322"/>
        <v>0</v>
      </c>
      <c r="T2871" s="133"/>
      <c r="U2871" s="133"/>
      <c r="V2871" s="133"/>
      <c r="W2871" s="133"/>
      <c r="X2871" s="133"/>
      <c r="Y2871" s="133"/>
      <c r="Z2871" s="133"/>
      <c r="AA2871" s="133"/>
      <c r="AB2871" s="133"/>
      <c r="AC2871" s="133"/>
      <c r="AD2871" s="133"/>
      <c r="AE2871" s="133"/>
      <c r="AF2871" s="133"/>
      <c r="AG2871" s="133"/>
      <c r="AH2871" s="133"/>
      <c r="AI2871" s="133"/>
      <c r="AJ2871" s="133"/>
      <c r="AK2871" s="133"/>
      <c r="AL2871" s="133"/>
      <c r="AM2871" s="133"/>
      <c r="AN2871" s="133"/>
      <c r="AO2871" s="133"/>
      <c r="AP2871" s="133"/>
      <c r="AQ2871" s="133"/>
      <c r="AR2871" s="133"/>
      <c r="AS2871" s="153">
        <v>0</v>
      </c>
      <c r="AT2871" s="153">
        <v>0</v>
      </c>
      <c r="AU2871" s="153">
        <v>0</v>
      </c>
      <c r="AV2871" s="135"/>
      <c r="AW2871" s="135"/>
      <c r="AX2871" s="135"/>
      <c r="AY2871" s="135"/>
      <c r="AZ2871" s="135"/>
      <c r="BA2871" s="135"/>
      <c r="BB2871" s="135"/>
      <c r="BC2871" s="135"/>
      <c r="BD2871" s="135"/>
      <c r="BE2871" s="135"/>
      <c r="BF2871" s="135"/>
      <c r="BG2871" s="135"/>
      <c r="BH2871" s="135"/>
      <c r="BI2871" s="2"/>
      <c r="BJ2871" s="136"/>
      <c r="BK2871" s="2"/>
      <c r="BL2871" s="136"/>
      <c r="BM2871" s="136"/>
      <c r="BN2871" s="2"/>
      <c r="BO2871" s="2"/>
      <c r="BP2871" s="136"/>
      <c r="BQ2871" s="137"/>
    </row>
    <row r="2872" spans="1:69" ht="12.75" customHeight="1" x14ac:dyDescent="0.2">
      <c r="A2872" s="2">
        <v>4361</v>
      </c>
      <c r="B2872" s="2"/>
      <c r="C2872" s="2"/>
      <c r="D2872" s="2"/>
      <c r="E2872" s="2"/>
      <c r="F2872" s="132">
        <v>0</v>
      </c>
      <c r="G2872" s="132"/>
      <c r="H2872" s="132">
        <f t="shared" si="325"/>
        <v>0</v>
      </c>
      <c r="I2872" s="132"/>
      <c r="J2872" s="132">
        <f t="shared" si="323"/>
        <v>0</v>
      </c>
      <c r="K2872" s="132">
        <f t="shared" si="326"/>
        <v>0</v>
      </c>
      <c r="L2872" s="132">
        <f t="shared" si="320"/>
        <v>0</v>
      </c>
      <c r="M2872" s="133"/>
      <c r="N2872" s="133">
        <f t="shared" si="324"/>
        <v>0</v>
      </c>
      <c r="O2872" s="134"/>
      <c r="P2872" s="133"/>
      <c r="Q2872" s="2"/>
      <c r="R2872" s="156">
        <f t="shared" si="321"/>
        <v>0</v>
      </c>
      <c r="S2872" s="156">
        <f t="shared" si="322"/>
        <v>0</v>
      </c>
      <c r="T2872" s="133"/>
      <c r="U2872" s="133"/>
      <c r="V2872" s="133"/>
      <c r="W2872" s="133"/>
      <c r="X2872" s="133"/>
      <c r="Y2872" s="133"/>
      <c r="Z2872" s="133"/>
      <c r="AA2872" s="133"/>
      <c r="AB2872" s="133"/>
      <c r="AC2872" s="133"/>
      <c r="AD2872" s="133"/>
      <c r="AE2872" s="133"/>
      <c r="AF2872" s="133"/>
      <c r="AG2872" s="133"/>
      <c r="AH2872" s="133"/>
      <c r="AI2872" s="133"/>
      <c r="AJ2872" s="133"/>
      <c r="AK2872" s="133"/>
      <c r="AL2872" s="133"/>
      <c r="AM2872" s="133"/>
      <c r="AN2872" s="133"/>
      <c r="AO2872" s="133"/>
      <c r="AP2872" s="133"/>
      <c r="AQ2872" s="133"/>
      <c r="AR2872" s="133"/>
      <c r="AS2872" s="153">
        <v>0</v>
      </c>
      <c r="AT2872" s="153">
        <v>0</v>
      </c>
      <c r="AU2872" s="153">
        <v>0</v>
      </c>
      <c r="AV2872" s="135"/>
      <c r="AW2872" s="135"/>
      <c r="AX2872" s="135"/>
      <c r="AY2872" s="135"/>
      <c r="AZ2872" s="135"/>
      <c r="BA2872" s="135"/>
      <c r="BB2872" s="135"/>
      <c r="BC2872" s="135"/>
      <c r="BD2872" s="135"/>
      <c r="BE2872" s="135"/>
      <c r="BF2872" s="135"/>
      <c r="BG2872" s="135"/>
      <c r="BH2872" s="135"/>
      <c r="BI2872" s="2"/>
      <c r="BJ2872" s="136"/>
      <c r="BK2872" s="2"/>
      <c r="BL2872" s="136"/>
      <c r="BM2872" s="136"/>
      <c r="BN2872" s="2"/>
      <c r="BO2872" s="2"/>
      <c r="BP2872" s="136"/>
      <c r="BQ2872" s="137"/>
    </row>
    <row r="2873" spans="1:69" ht="12.75" customHeight="1" x14ac:dyDescent="0.2">
      <c r="A2873" s="2">
        <v>4362</v>
      </c>
      <c r="B2873" s="2"/>
      <c r="C2873" s="2"/>
      <c r="D2873" s="2"/>
      <c r="E2873" s="2"/>
      <c r="F2873" s="132">
        <v>0</v>
      </c>
      <c r="G2873" s="132"/>
      <c r="H2873" s="132">
        <f t="shared" si="325"/>
        <v>0</v>
      </c>
      <c r="I2873" s="132"/>
      <c r="J2873" s="132">
        <f t="shared" si="323"/>
        <v>0</v>
      </c>
      <c r="K2873" s="132">
        <f t="shared" si="326"/>
        <v>0</v>
      </c>
      <c r="L2873" s="132">
        <f t="shared" si="320"/>
        <v>0</v>
      </c>
      <c r="M2873" s="133"/>
      <c r="N2873" s="133">
        <f t="shared" si="324"/>
        <v>0</v>
      </c>
      <c r="O2873" s="134"/>
      <c r="P2873" s="133"/>
      <c r="Q2873" s="2"/>
      <c r="R2873" s="156">
        <f t="shared" si="321"/>
        <v>0</v>
      </c>
      <c r="S2873" s="156">
        <f t="shared" si="322"/>
        <v>0</v>
      </c>
      <c r="T2873" s="133"/>
      <c r="U2873" s="133"/>
      <c r="V2873" s="133"/>
      <c r="W2873" s="133"/>
      <c r="X2873" s="133"/>
      <c r="Y2873" s="133"/>
      <c r="Z2873" s="133"/>
      <c r="AA2873" s="133"/>
      <c r="AB2873" s="133"/>
      <c r="AC2873" s="133"/>
      <c r="AD2873" s="133"/>
      <c r="AE2873" s="133"/>
      <c r="AF2873" s="133"/>
      <c r="AG2873" s="133"/>
      <c r="AH2873" s="133"/>
      <c r="AI2873" s="133"/>
      <c r="AJ2873" s="133"/>
      <c r="AK2873" s="133"/>
      <c r="AL2873" s="133"/>
      <c r="AM2873" s="133"/>
      <c r="AN2873" s="133"/>
      <c r="AO2873" s="133"/>
      <c r="AP2873" s="133"/>
      <c r="AQ2873" s="133"/>
      <c r="AR2873" s="133"/>
      <c r="AS2873" s="153">
        <v>0</v>
      </c>
      <c r="AT2873" s="153">
        <v>0</v>
      </c>
      <c r="AU2873" s="153">
        <v>0</v>
      </c>
      <c r="AV2873" s="135"/>
      <c r="AW2873" s="135"/>
      <c r="AX2873" s="135"/>
      <c r="AY2873" s="135"/>
      <c r="AZ2873" s="135"/>
      <c r="BA2873" s="135"/>
      <c r="BB2873" s="135"/>
      <c r="BC2873" s="135"/>
      <c r="BD2873" s="135"/>
      <c r="BE2873" s="135"/>
      <c r="BF2873" s="135"/>
      <c r="BG2873" s="135"/>
      <c r="BH2873" s="135"/>
      <c r="BI2873" s="2"/>
      <c r="BJ2873" s="136"/>
      <c r="BK2873" s="2"/>
      <c r="BL2873" s="136"/>
      <c r="BM2873" s="136"/>
      <c r="BN2873" s="2"/>
      <c r="BO2873" s="2"/>
      <c r="BP2873" s="136"/>
      <c r="BQ2873" s="137"/>
    </row>
    <row r="2874" spans="1:69" ht="12.75" customHeight="1" x14ac:dyDescent="0.2">
      <c r="A2874" s="2">
        <v>4363</v>
      </c>
      <c r="B2874" s="2"/>
      <c r="C2874" s="2"/>
      <c r="D2874" s="2"/>
      <c r="E2874" s="2"/>
      <c r="F2874" s="132">
        <v>0</v>
      </c>
      <c r="G2874" s="132"/>
      <c r="H2874" s="132">
        <f t="shared" si="325"/>
        <v>0</v>
      </c>
      <c r="I2874" s="132"/>
      <c r="J2874" s="132">
        <f t="shared" si="323"/>
        <v>0</v>
      </c>
      <c r="K2874" s="132">
        <f t="shared" si="326"/>
        <v>0</v>
      </c>
      <c r="L2874" s="132">
        <f t="shared" si="320"/>
        <v>0</v>
      </c>
      <c r="M2874" s="133"/>
      <c r="N2874" s="133">
        <f t="shared" si="324"/>
        <v>0</v>
      </c>
      <c r="O2874" s="134"/>
      <c r="P2874" s="133"/>
      <c r="Q2874" s="2"/>
      <c r="R2874" s="156">
        <f t="shared" si="321"/>
        <v>0</v>
      </c>
      <c r="S2874" s="156">
        <f t="shared" si="322"/>
        <v>0</v>
      </c>
      <c r="T2874" s="133"/>
      <c r="U2874" s="133"/>
      <c r="V2874" s="133"/>
      <c r="W2874" s="133"/>
      <c r="X2874" s="133"/>
      <c r="Y2874" s="133"/>
      <c r="Z2874" s="133"/>
      <c r="AA2874" s="133"/>
      <c r="AB2874" s="133"/>
      <c r="AC2874" s="133"/>
      <c r="AD2874" s="133"/>
      <c r="AE2874" s="133"/>
      <c r="AF2874" s="133"/>
      <c r="AG2874" s="133"/>
      <c r="AH2874" s="133"/>
      <c r="AI2874" s="133"/>
      <c r="AJ2874" s="133"/>
      <c r="AK2874" s="133"/>
      <c r="AL2874" s="133"/>
      <c r="AM2874" s="133"/>
      <c r="AN2874" s="133"/>
      <c r="AO2874" s="133"/>
      <c r="AP2874" s="133"/>
      <c r="AQ2874" s="133"/>
      <c r="AR2874" s="133"/>
      <c r="AS2874" s="153">
        <v>0</v>
      </c>
      <c r="AT2874" s="153">
        <v>0</v>
      </c>
      <c r="AU2874" s="153">
        <v>0</v>
      </c>
      <c r="AV2874" s="135"/>
      <c r="AW2874" s="135"/>
      <c r="AX2874" s="135"/>
      <c r="AY2874" s="135"/>
      <c r="AZ2874" s="135"/>
      <c r="BA2874" s="135"/>
      <c r="BB2874" s="135"/>
      <c r="BC2874" s="135"/>
      <c r="BD2874" s="135"/>
      <c r="BE2874" s="135"/>
      <c r="BF2874" s="135"/>
      <c r="BG2874" s="135"/>
      <c r="BH2874" s="135"/>
      <c r="BI2874" s="2"/>
      <c r="BJ2874" s="136"/>
      <c r="BK2874" s="2"/>
      <c r="BL2874" s="136"/>
      <c r="BM2874" s="136"/>
      <c r="BN2874" s="2"/>
      <c r="BO2874" s="2"/>
      <c r="BP2874" s="136"/>
      <c r="BQ2874" s="137"/>
    </row>
    <row r="2875" spans="1:69" ht="12.75" customHeight="1" x14ac:dyDescent="0.2">
      <c r="A2875" s="2">
        <v>4364</v>
      </c>
      <c r="B2875" s="2"/>
      <c r="C2875" s="2"/>
      <c r="D2875" s="2"/>
      <c r="E2875" s="2"/>
      <c r="F2875" s="132">
        <v>0</v>
      </c>
      <c r="G2875" s="132"/>
      <c r="H2875" s="132">
        <f t="shared" si="325"/>
        <v>0</v>
      </c>
      <c r="I2875" s="132"/>
      <c r="J2875" s="132">
        <f t="shared" si="323"/>
        <v>0</v>
      </c>
      <c r="K2875" s="132">
        <f t="shared" si="326"/>
        <v>0</v>
      </c>
      <c r="L2875" s="132">
        <f t="shared" si="320"/>
        <v>0</v>
      </c>
      <c r="M2875" s="133"/>
      <c r="N2875" s="133">
        <f t="shared" si="324"/>
        <v>0</v>
      </c>
      <c r="O2875" s="134"/>
      <c r="P2875" s="133"/>
      <c r="Q2875" s="2"/>
      <c r="R2875" s="156">
        <f t="shared" si="321"/>
        <v>0</v>
      </c>
      <c r="S2875" s="156">
        <f t="shared" si="322"/>
        <v>0</v>
      </c>
      <c r="T2875" s="133"/>
      <c r="U2875" s="133"/>
      <c r="V2875" s="133"/>
      <c r="W2875" s="133"/>
      <c r="X2875" s="133"/>
      <c r="Y2875" s="133"/>
      <c r="Z2875" s="133"/>
      <c r="AA2875" s="133"/>
      <c r="AB2875" s="133"/>
      <c r="AC2875" s="133"/>
      <c r="AD2875" s="133"/>
      <c r="AE2875" s="133"/>
      <c r="AF2875" s="133"/>
      <c r="AG2875" s="133"/>
      <c r="AH2875" s="133"/>
      <c r="AI2875" s="133"/>
      <c r="AJ2875" s="133"/>
      <c r="AK2875" s="133"/>
      <c r="AL2875" s="133"/>
      <c r="AM2875" s="133"/>
      <c r="AN2875" s="133"/>
      <c r="AO2875" s="133"/>
      <c r="AP2875" s="133"/>
      <c r="AQ2875" s="133"/>
      <c r="AR2875" s="133"/>
      <c r="AS2875" s="153">
        <v>0</v>
      </c>
      <c r="AT2875" s="153">
        <v>0</v>
      </c>
      <c r="AU2875" s="153">
        <v>0</v>
      </c>
      <c r="AV2875" s="135"/>
      <c r="AW2875" s="135"/>
      <c r="AX2875" s="135"/>
      <c r="AY2875" s="135"/>
      <c r="AZ2875" s="135"/>
      <c r="BA2875" s="135"/>
      <c r="BB2875" s="135"/>
      <c r="BC2875" s="135"/>
      <c r="BD2875" s="135"/>
      <c r="BE2875" s="135"/>
      <c r="BF2875" s="135"/>
      <c r="BG2875" s="135"/>
      <c r="BH2875" s="135"/>
      <c r="BI2875" s="2"/>
      <c r="BJ2875" s="136"/>
      <c r="BK2875" s="2"/>
      <c r="BL2875" s="136"/>
      <c r="BM2875" s="136"/>
      <c r="BN2875" s="2"/>
      <c r="BO2875" s="2"/>
      <c r="BP2875" s="136"/>
      <c r="BQ2875" s="137"/>
    </row>
    <row r="2876" spans="1:69" ht="12.75" customHeight="1" x14ac:dyDescent="0.2">
      <c r="A2876" s="2">
        <v>4365</v>
      </c>
      <c r="B2876" s="2"/>
      <c r="C2876" s="2"/>
      <c r="D2876" s="2"/>
      <c r="E2876" s="2"/>
      <c r="F2876" s="132">
        <v>0</v>
      </c>
      <c r="G2876" s="132"/>
      <c r="H2876" s="132">
        <f t="shared" si="325"/>
        <v>0</v>
      </c>
      <c r="I2876" s="132"/>
      <c r="J2876" s="132">
        <f t="shared" si="323"/>
        <v>0</v>
      </c>
      <c r="K2876" s="132">
        <f t="shared" si="326"/>
        <v>0</v>
      </c>
      <c r="L2876" s="132">
        <f t="shared" si="320"/>
        <v>0</v>
      </c>
      <c r="M2876" s="133"/>
      <c r="N2876" s="133">
        <f t="shared" si="324"/>
        <v>0</v>
      </c>
      <c r="O2876" s="134"/>
      <c r="P2876" s="133"/>
      <c r="Q2876" s="2"/>
      <c r="R2876" s="156">
        <f t="shared" si="321"/>
        <v>0</v>
      </c>
      <c r="S2876" s="156">
        <f t="shared" si="322"/>
        <v>0</v>
      </c>
      <c r="T2876" s="133"/>
      <c r="U2876" s="133"/>
      <c r="V2876" s="133"/>
      <c r="W2876" s="133"/>
      <c r="X2876" s="133"/>
      <c r="Y2876" s="133"/>
      <c r="Z2876" s="133"/>
      <c r="AA2876" s="133"/>
      <c r="AB2876" s="133"/>
      <c r="AC2876" s="133"/>
      <c r="AD2876" s="133"/>
      <c r="AE2876" s="133"/>
      <c r="AF2876" s="133"/>
      <c r="AG2876" s="133"/>
      <c r="AH2876" s="133"/>
      <c r="AI2876" s="133"/>
      <c r="AJ2876" s="133"/>
      <c r="AK2876" s="133"/>
      <c r="AL2876" s="133"/>
      <c r="AM2876" s="133"/>
      <c r="AN2876" s="133"/>
      <c r="AO2876" s="133"/>
      <c r="AP2876" s="133"/>
      <c r="AQ2876" s="133"/>
      <c r="AR2876" s="133"/>
      <c r="AS2876" s="153">
        <v>0</v>
      </c>
      <c r="AT2876" s="153">
        <v>0</v>
      </c>
      <c r="AU2876" s="153">
        <v>0</v>
      </c>
      <c r="AV2876" s="135"/>
      <c r="AW2876" s="135"/>
      <c r="AX2876" s="135"/>
      <c r="AY2876" s="135"/>
      <c r="AZ2876" s="135"/>
      <c r="BA2876" s="135"/>
      <c r="BB2876" s="135"/>
      <c r="BC2876" s="135"/>
      <c r="BD2876" s="135"/>
      <c r="BE2876" s="135"/>
      <c r="BF2876" s="135"/>
      <c r="BG2876" s="135"/>
      <c r="BH2876" s="135"/>
      <c r="BI2876" s="2"/>
      <c r="BJ2876" s="136"/>
      <c r="BK2876" s="2"/>
      <c r="BL2876" s="136"/>
      <c r="BM2876" s="136"/>
      <c r="BN2876" s="2"/>
      <c r="BO2876" s="2"/>
      <c r="BP2876" s="136"/>
      <c r="BQ2876" s="137"/>
    </row>
    <row r="2877" spans="1:69" ht="12.75" customHeight="1" x14ac:dyDescent="0.2">
      <c r="A2877" s="2">
        <v>4366</v>
      </c>
      <c r="B2877" s="2"/>
      <c r="C2877" s="2"/>
      <c r="D2877" s="2"/>
      <c r="E2877" s="2"/>
      <c r="F2877" s="132">
        <v>0</v>
      </c>
      <c r="G2877" s="132"/>
      <c r="H2877" s="132">
        <f t="shared" si="325"/>
        <v>0</v>
      </c>
      <c r="I2877" s="132"/>
      <c r="J2877" s="132">
        <f t="shared" si="323"/>
        <v>0</v>
      </c>
      <c r="K2877" s="132">
        <f t="shared" si="326"/>
        <v>0</v>
      </c>
      <c r="L2877" s="132">
        <f t="shared" si="320"/>
        <v>0</v>
      </c>
      <c r="M2877" s="133"/>
      <c r="N2877" s="133">
        <f t="shared" si="324"/>
        <v>0</v>
      </c>
      <c r="O2877" s="134"/>
      <c r="P2877" s="133"/>
      <c r="Q2877" s="2"/>
      <c r="R2877" s="156">
        <f t="shared" si="321"/>
        <v>0</v>
      </c>
      <c r="S2877" s="156">
        <f t="shared" si="322"/>
        <v>0</v>
      </c>
      <c r="T2877" s="133"/>
      <c r="U2877" s="133"/>
      <c r="V2877" s="133"/>
      <c r="W2877" s="133"/>
      <c r="X2877" s="133"/>
      <c r="Y2877" s="133"/>
      <c r="Z2877" s="133"/>
      <c r="AA2877" s="133"/>
      <c r="AB2877" s="133"/>
      <c r="AC2877" s="133"/>
      <c r="AD2877" s="133"/>
      <c r="AE2877" s="133"/>
      <c r="AF2877" s="133"/>
      <c r="AG2877" s="133"/>
      <c r="AH2877" s="133"/>
      <c r="AI2877" s="133"/>
      <c r="AJ2877" s="133"/>
      <c r="AK2877" s="133"/>
      <c r="AL2877" s="133"/>
      <c r="AM2877" s="133"/>
      <c r="AN2877" s="133"/>
      <c r="AO2877" s="133"/>
      <c r="AP2877" s="133"/>
      <c r="AQ2877" s="133"/>
      <c r="AR2877" s="133"/>
      <c r="AS2877" s="153">
        <v>0</v>
      </c>
      <c r="AT2877" s="153">
        <v>0</v>
      </c>
      <c r="AU2877" s="153">
        <v>0</v>
      </c>
      <c r="AV2877" s="135"/>
      <c r="AW2877" s="135"/>
      <c r="AX2877" s="135"/>
      <c r="AY2877" s="135"/>
      <c r="AZ2877" s="135"/>
      <c r="BA2877" s="135"/>
      <c r="BB2877" s="135"/>
      <c r="BC2877" s="135"/>
      <c r="BD2877" s="135"/>
      <c r="BE2877" s="135"/>
      <c r="BF2877" s="135"/>
      <c r="BG2877" s="135"/>
      <c r="BH2877" s="135"/>
      <c r="BI2877" s="2"/>
      <c r="BJ2877" s="136"/>
      <c r="BK2877" s="2"/>
      <c r="BL2877" s="136"/>
      <c r="BM2877" s="136"/>
      <c r="BN2877" s="2"/>
      <c r="BO2877" s="2"/>
      <c r="BP2877" s="136"/>
      <c r="BQ2877" s="137"/>
    </row>
    <row r="2878" spans="1:69" ht="12.75" customHeight="1" x14ac:dyDescent="0.2">
      <c r="A2878" s="2">
        <v>4367</v>
      </c>
      <c r="B2878" s="2"/>
      <c r="C2878" s="2"/>
      <c r="D2878" s="2"/>
      <c r="E2878" s="2"/>
      <c r="F2878" s="132">
        <v>0</v>
      </c>
      <c r="G2878" s="132"/>
      <c r="H2878" s="132">
        <f t="shared" si="325"/>
        <v>0</v>
      </c>
      <c r="I2878" s="132"/>
      <c r="J2878" s="132">
        <f t="shared" si="323"/>
        <v>0</v>
      </c>
      <c r="K2878" s="132">
        <f t="shared" si="326"/>
        <v>0</v>
      </c>
      <c r="L2878" s="132">
        <f t="shared" si="320"/>
        <v>0</v>
      </c>
      <c r="M2878" s="133"/>
      <c r="N2878" s="133">
        <f t="shared" si="324"/>
        <v>0</v>
      </c>
      <c r="O2878" s="134"/>
      <c r="P2878" s="133"/>
      <c r="Q2878" s="2"/>
      <c r="R2878" s="156">
        <f t="shared" si="321"/>
        <v>0</v>
      </c>
      <c r="S2878" s="156">
        <f t="shared" si="322"/>
        <v>0</v>
      </c>
      <c r="T2878" s="133"/>
      <c r="U2878" s="133"/>
      <c r="V2878" s="133"/>
      <c r="W2878" s="133"/>
      <c r="X2878" s="133"/>
      <c r="Y2878" s="133"/>
      <c r="Z2878" s="133"/>
      <c r="AA2878" s="133"/>
      <c r="AB2878" s="133"/>
      <c r="AC2878" s="133"/>
      <c r="AD2878" s="133"/>
      <c r="AE2878" s="133"/>
      <c r="AF2878" s="133"/>
      <c r="AG2878" s="133"/>
      <c r="AH2878" s="133"/>
      <c r="AI2878" s="133"/>
      <c r="AJ2878" s="133"/>
      <c r="AK2878" s="133"/>
      <c r="AL2878" s="133"/>
      <c r="AM2878" s="133"/>
      <c r="AN2878" s="133"/>
      <c r="AO2878" s="133"/>
      <c r="AP2878" s="133"/>
      <c r="AQ2878" s="133"/>
      <c r="AR2878" s="133"/>
      <c r="AS2878" s="153">
        <v>0</v>
      </c>
      <c r="AT2878" s="153">
        <v>0</v>
      </c>
      <c r="AU2878" s="153">
        <v>0</v>
      </c>
      <c r="AV2878" s="135"/>
      <c r="AW2878" s="135"/>
      <c r="AX2878" s="135"/>
      <c r="AY2878" s="135"/>
      <c r="AZ2878" s="135"/>
      <c r="BA2878" s="135"/>
      <c r="BB2878" s="135"/>
      <c r="BC2878" s="135"/>
      <c r="BD2878" s="135"/>
      <c r="BE2878" s="135"/>
      <c r="BF2878" s="135"/>
      <c r="BG2878" s="135"/>
      <c r="BH2878" s="135"/>
      <c r="BI2878" s="2"/>
      <c r="BJ2878" s="136"/>
      <c r="BK2878" s="2"/>
      <c r="BL2878" s="136"/>
      <c r="BM2878" s="136"/>
      <c r="BN2878" s="2"/>
      <c r="BO2878" s="2"/>
      <c r="BP2878" s="136"/>
      <c r="BQ2878" s="137"/>
    </row>
    <row r="2879" spans="1:69" ht="12.75" customHeight="1" x14ac:dyDescent="0.2">
      <c r="A2879" s="2">
        <v>4368</v>
      </c>
      <c r="B2879" s="2"/>
      <c r="C2879" s="2"/>
      <c r="D2879" s="2"/>
      <c r="E2879" s="2"/>
      <c r="F2879" s="132">
        <v>0</v>
      </c>
      <c r="G2879" s="132"/>
      <c r="H2879" s="132">
        <f t="shared" si="325"/>
        <v>0</v>
      </c>
      <c r="I2879" s="132"/>
      <c r="J2879" s="132">
        <f t="shared" si="323"/>
        <v>0</v>
      </c>
      <c r="K2879" s="132">
        <f t="shared" si="326"/>
        <v>0</v>
      </c>
      <c r="L2879" s="132">
        <f t="shared" si="320"/>
        <v>0</v>
      </c>
      <c r="M2879" s="133"/>
      <c r="N2879" s="133">
        <f t="shared" si="324"/>
        <v>0</v>
      </c>
      <c r="O2879" s="134"/>
      <c r="P2879" s="133"/>
      <c r="Q2879" s="2"/>
      <c r="R2879" s="156">
        <f t="shared" si="321"/>
        <v>0</v>
      </c>
      <c r="S2879" s="156">
        <f t="shared" si="322"/>
        <v>0</v>
      </c>
      <c r="T2879" s="133"/>
      <c r="U2879" s="133"/>
      <c r="V2879" s="133"/>
      <c r="W2879" s="133"/>
      <c r="X2879" s="133"/>
      <c r="Y2879" s="133"/>
      <c r="Z2879" s="133"/>
      <c r="AA2879" s="133"/>
      <c r="AB2879" s="133"/>
      <c r="AC2879" s="133"/>
      <c r="AD2879" s="133"/>
      <c r="AE2879" s="133"/>
      <c r="AF2879" s="133"/>
      <c r="AG2879" s="133"/>
      <c r="AH2879" s="133"/>
      <c r="AI2879" s="133"/>
      <c r="AJ2879" s="133"/>
      <c r="AK2879" s="133"/>
      <c r="AL2879" s="133"/>
      <c r="AM2879" s="133"/>
      <c r="AN2879" s="133"/>
      <c r="AO2879" s="133"/>
      <c r="AP2879" s="133"/>
      <c r="AQ2879" s="133"/>
      <c r="AR2879" s="133"/>
      <c r="AS2879" s="153">
        <v>0</v>
      </c>
      <c r="AT2879" s="153">
        <v>0</v>
      </c>
      <c r="AU2879" s="153">
        <v>0</v>
      </c>
      <c r="AV2879" s="135"/>
      <c r="AW2879" s="135"/>
      <c r="AX2879" s="135"/>
      <c r="AY2879" s="135"/>
      <c r="AZ2879" s="135"/>
      <c r="BA2879" s="135"/>
      <c r="BB2879" s="135"/>
      <c r="BC2879" s="135"/>
      <c r="BD2879" s="135"/>
      <c r="BE2879" s="135"/>
      <c r="BF2879" s="135"/>
      <c r="BG2879" s="135"/>
      <c r="BH2879" s="135"/>
      <c r="BI2879" s="2"/>
      <c r="BJ2879" s="136"/>
      <c r="BK2879" s="2"/>
      <c r="BL2879" s="136"/>
      <c r="BM2879" s="136"/>
      <c r="BN2879" s="2"/>
      <c r="BO2879" s="2"/>
      <c r="BP2879" s="136"/>
      <c r="BQ2879" s="137"/>
    </row>
    <row r="2880" spans="1:69" ht="12.75" customHeight="1" x14ac:dyDescent="0.2">
      <c r="A2880" s="2">
        <v>4369</v>
      </c>
      <c r="B2880" s="2"/>
      <c r="C2880" s="2"/>
      <c r="D2880" s="2"/>
      <c r="E2880" s="2"/>
      <c r="F2880" s="132">
        <v>0</v>
      </c>
      <c r="G2880" s="132"/>
      <c r="H2880" s="132">
        <f t="shared" si="325"/>
        <v>0</v>
      </c>
      <c r="I2880" s="132"/>
      <c r="J2880" s="132">
        <f t="shared" si="323"/>
        <v>0</v>
      </c>
      <c r="K2880" s="132">
        <f t="shared" si="326"/>
        <v>0</v>
      </c>
      <c r="L2880" s="132">
        <f t="shared" si="320"/>
        <v>0</v>
      </c>
      <c r="M2880" s="133"/>
      <c r="N2880" s="133">
        <f t="shared" si="324"/>
        <v>0</v>
      </c>
      <c r="O2880" s="134"/>
      <c r="P2880" s="133"/>
      <c r="Q2880" s="2"/>
      <c r="R2880" s="156">
        <f t="shared" si="321"/>
        <v>0</v>
      </c>
      <c r="S2880" s="156">
        <f t="shared" si="322"/>
        <v>0</v>
      </c>
      <c r="T2880" s="133"/>
      <c r="U2880" s="133"/>
      <c r="V2880" s="133"/>
      <c r="W2880" s="133"/>
      <c r="X2880" s="133"/>
      <c r="Y2880" s="133"/>
      <c r="Z2880" s="133"/>
      <c r="AA2880" s="133"/>
      <c r="AB2880" s="133"/>
      <c r="AC2880" s="133"/>
      <c r="AD2880" s="133"/>
      <c r="AE2880" s="133"/>
      <c r="AF2880" s="133"/>
      <c r="AG2880" s="133"/>
      <c r="AH2880" s="133"/>
      <c r="AI2880" s="133"/>
      <c r="AJ2880" s="133"/>
      <c r="AK2880" s="133"/>
      <c r="AL2880" s="133"/>
      <c r="AM2880" s="133"/>
      <c r="AN2880" s="133"/>
      <c r="AO2880" s="133"/>
      <c r="AP2880" s="133"/>
      <c r="AQ2880" s="133"/>
      <c r="AR2880" s="133"/>
      <c r="AS2880" s="153">
        <v>0</v>
      </c>
      <c r="AT2880" s="153">
        <v>0</v>
      </c>
      <c r="AU2880" s="153">
        <v>0</v>
      </c>
      <c r="AV2880" s="135"/>
      <c r="AW2880" s="135"/>
      <c r="AX2880" s="135"/>
      <c r="AY2880" s="135"/>
      <c r="AZ2880" s="135"/>
      <c r="BA2880" s="135"/>
      <c r="BB2880" s="135"/>
      <c r="BC2880" s="135"/>
      <c r="BD2880" s="135"/>
      <c r="BE2880" s="135"/>
      <c r="BF2880" s="135"/>
      <c r="BG2880" s="135"/>
      <c r="BH2880" s="135"/>
      <c r="BI2880" s="2"/>
      <c r="BJ2880" s="136"/>
      <c r="BK2880" s="2"/>
      <c r="BL2880" s="136"/>
      <c r="BM2880" s="136"/>
      <c r="BN2880" s="2"/>
      <c r="BO2880" s="2"/>
      <c r="BP2880" s="136"/>
      <c r="BQ2880" s="137"/>
    </row>
    <row r="2881" spans="1:69" ht="12.75" customHeight="1" x14ac:dyDescent="0.2">
      <c r="A2881" s="2">
        <v>4370</v>
      </c>
      <c r="B2881" s="2"/>
      <c r="C2881" s="2"/>
      <c r="D2881" s="2"/>
      <c r="E2881" s="2"/>
      <c r="F2881" s="132">
        <v>0</v>
      </c>
      <c r="G2881" s="132"/>
      <c r="H2881" s="132">
        <f t="shared" si="325"/>
        <v>0</v>
      </c>
      <c r="I2881" s="132"/>
      <c r="J2881" s="132">
        <f t="shared" si="323"/>
        <v>0</v>
      </c>
      <c r="K2881" s="132">
        <f t="shared" si="326"/>
        <v>0</v>
      </c>
      <c r="L2881" s="132">
        <f t="shared" si="320"/>
        <v>0</v>
      </c>
      <c r="M2881" s="133"/>
      <c r="N2881" s="133">
        <f t="shared" si="324"/>
        <v>0</v>
      </c>
      <c r="O2881" s="134"/>
      <c r="P2881" s="133"/>
      <c r="Q2881" s="2"/>
      <c r="R2881" s="156">
        <f t="shared" si="321"/>
        <v>0</v>
      </c>
      <c r="S2881" s="156">
        <f t="shared" si="322"/>
        <v>0</v>
      </c>
      <c r="T2881" s="133"/>
      <c r="U2881" s="133"/>
      <c r="V2881" s="133"/>
      <c r="W2881" s="133"/>
      <c r="X2881" s="133"/>
      <c r="Y2881" s="133"/>
      <c r="Z2881" s="133"/>
      <c r="AA2881" s="133"/>
      <c r="AB2881" s="133"/>
      <c r="AC2881" s="133"/>
      <c r="AD2881" s="133"/>
      <c r="AE2881" s="133"/>
      <c r="AF2881" s="133"/>
      <c r="AG2881" s="133"/>
      <c r="AH2881" s="133"/>
      <c r="AI2881" s="133"/>
      <c r="AJ2881" s="133"/>
      <c r="AK2881" s="133"/>
      <c r="AL2881" s="133"/>
      <c r="AM2881" s="133"/>
      <c r="AN2881" s="133"/>
      <c r="AO2881" s="133"/>
      <c r="AP2881" s="133"/>
      <c r="AQ2881" s="133"/>
      <c r="AR2881" s="133"/>
      <c r="AS2881" s="153">
        <v>0</v>
      </c>
      <c r="AT2881" s="153">
        <v>0</v>
      </c>
      <c r="AU2881" s="153">
        <v>0</v>
      </c>
      <c r="AV2881" s="135"/>
      <c r="AW2881" s="135"/>
      <c r="AX2881" s="135"/>
      <c r="AY2881" s="135"/>
      <c r="AZ2881" s="135"/>
      <c r="BA2881" s="135"/>
      <c r="BB2881" s="135"/>
      <c r="BC2881" s="135"/>
      <c r="BD2881" s="135"/>
      <c r="BE2881" s="135"/>
      <c r="BF2881" s="135"/>
      <c r="BG2881" s="135"/>
      <c r="BH2881" s="135"/>
      <c r="BI2881" s="2"/>
      <c r="BJ2881" s="136"/>
      <c r="BK2881" s="2"/>
      <c r="BL2881" s="136"/>
      <c r="BM2881" s="136"/>
      <c r="BN2881" s="2"/>
      <c r="BO2881" s="2"/>
      <c r="BP2881" s="136"/>
      <c r="BQ2881" s="137"/>
    </row>
    <row r="2882" spans="1:69" ht="12.75" customHeight="1" x14ac:dyDescent="0.2">
      <c r="A2882" s="2">
        <v>4371</v>
      </c>
      <c r="B2882" s="2"/>
      <c r="C2882" s="2"/>
      <c r="D2882" s="2"/>
      <c r="E2882" s="2"/>
      <c r="F2882" s="132">
        <v>0</v>
      </c>
      <c r="G2882" s="132"/>
      <c r="H2882" s="132">
        <f t="shared" si="325"/>
        <v>0</v>
      </c>
      <c r="I2882" s="132"/>
      <c r="J2882" s="132">
        <f t="shared" si="323"/>
        <v>0</v>
      </c>
      <c r="K2882" s="132">
        <f t="shared" si="326"/>
        <v>0</v>
      </c>
      <c r="L2882" s="132">
        <f t="shared" si="320"/>
        <v>0</v>
      </c>
      <c r="M2882" s="133"/>
      <c r="N2882" s="133">
        <f t="shared" si="324"/>
        <v>0</v>
      </c>
      <c r="O2882" s="134"/>
      <c r="P2882" s="133"/>
      <c r="Q2882" s="2"/>
      <c r="R2882" s="156">
        <f t="shared" si="321"/>
        <v>0</v>
      </c>
      <c r="S2882" s="156">
        <f t="shared" si="322"/>
        <v>0</v>
      </c>
      <c r="T2882" s="133"/>
      <c r="U2882" s="133"/>
      <c r="V2882" s="133"/>
      <c r="W2882" s="133"/>
      <c r="X2882" s="133"/>
      <c r="Y2882" s="133"/>
      <c r="Z2882" s="133"/>
      <c r="AA2882" s="133"/>
      <c r="AB2882" s="133"/>
      <c r="AC2882" s="133"/>
      <c r="AD2882" s="133"/>
      <c r="AE2882" s="133"/>
      <c r="AF2882" s="133"/>
      <c r="AG2882" s="133"/>
      <c r="AH2882" s="133"/>
      <c r="AI2882" s="133"/>
      <c r="AJ2882" s="133"/>
      <c r="AK2882" s="133"/>
      <c r="AL2882" s="133"/>
      <c r="AM2882" s="133"/>
      <c r="AN2882" s="133"/>
      <c r="AO2882" s="133"/>
      <c r="AP2882" s="133"/>
      <c r="AQ2882" s="133"/>
      <c r="AR2882" s="133"/>
      <c r="AS2882" s="153">
        <v>0</v>
      </c>
      <c r="AT2882" s="153">
        <v>0</v>
      </c>
      <c r="AU2882" s="153">
        <v>0</v>
      </c>
      <c r="AV2882" s="135"/>
      <c r="AW2882" s="135"/>
      <c r="AX2882" s="135"/>
      <c r="AY2882" s="135"/>
      <c r="AZ2882" s="135"/>
      <c r="BA2882" s="135"/>
      <c r="BB2882" s="135"/>
      <c r="BC2882" s="135"/>
      <c r="BD2882" s="135"/>
      <c r="BE2882" s="135"/>
      <c r="BF2882" s="135"/>
      <c r="BG2882" s="135"/>
      <c r="BH2882" s="135"/>
      <c r="BI2882" s="2"/>
      <c r="BJ2882" s="136"/>
      <c r="BK2882" s="2"/>
      <c r="BL2882" s="136"/>
      <c r="BM2882" s="136"/>
      <c r="BN2882" s="2"/>
      <c r="BO2882" s="2"/>
      <c r="BP2882" s="136"/>
      <c r="BQ2882" s="137"/>
    </row>
    <row r="2883" spans="1:69" ht="12.75" customHeight="1" x14ac:dyDescent="0.2">
      <c r="A2883" s="2">
        <v>4372</v>
      </c>
      <c r="B2883" s="2"/>
      <c r="C2883" s="2"/>
      <c r="D2883" s="2"/>
      <c r="E2883" s="2"/>
      <c r="F2883" s="132">
        <v>0</v>
      </c>
      <c r="G2883" s="132"/>
      <c r="H2883" s="132">
        <f t="shared" si="325"/>
        <v>0</v>
      </c>
      <c r="I2883" s="132"/>
      <c r="J2883" s="132">
        <f t="shared" si="323"/>
        <v>0</v>
      </c>
      <c r="K2883" s="132">
        <f t="shared" si="326"/>
        <v>0</v>
      </c>
      <c r="L2883" s="132">
        <f t="shared" si="320"/>
        <v>0</v>
      </c>
      <c r="M2883" s="133"/>
      <c r="N2883" s="133">
        <f t="shared" si="324"/>
        <v>0</v>
      </c>
      <c r="O2883" s="134"/>
      <c r="P2883" s="133"/>
      <c r="Q2883" s="2"/>
      <c r="R2883" s="156">
        <f t="shared" si="321"/>
        <v>0</v>
      </c>
      <c r="S2883" s="156">
        <f t="shared" si="322"/>
        <v>0</v>
      </c>
      <c r="T2883" s="133"/>
      <c r="U2883" s="133"/>
      <c r="V2883" s="133"/>
      <c r="W2883" s="133"/>
      <c r="X2883" s="133"/>
      <c r="Y2883" s="133"/>
      <c r="Z2883" s="133"/>
      <c r="AA2883" s="133"/>
      <c r="AB2883" s="133"/>
      <c r="AC2883" s="133"/>
      <c r="AD2883" s="133"/>
      <c r="AE2883" s="133"/>
      <c r="AF2883" s="133"/>
      <c r="AG2883" s="133"/>
      <c r="AH2883" s="133"/>
      <c r="AI2883" s="133"/>
      <c r="AJ2883" s="133"/>
      <c r="AK2883" s="133"/>
      <c r="AL2883" s="133"/>
      <c r="AM2883" s="133"/>
      <c r="AN2883" s="133"/>
      <c r="AO2883" s="133"/>
      <c r="AP2883" s="133"/>
      <c r="AQ2883" s="133"/>
      <c r="AR2883" s="133"/>
      <c r="AS2883" s="153">
        <v>0</v>
      </c>
      <c r="AT2883" s="153">
        <v>0</v>
      </c>
      <c r="AU2883" s="153">
        <v>0</v>
      </c>
      <c r="AV2883" s="135"/>
      <c r="AW2883" s="135"/>
      <c r="AX2883" s="135"/>
      <c r="AY2883" s="135"/>
      <c r="AZ2883" s="135"/>
      <c r="BA2883" s="135"/>
      <c r="BB2883" s="135"/>
      <c r="BC2883" s="135"/>
      <c r="BD2883" s="135"/>
      <c r="BE2883" s="135"/>
      <c r="BF2883" s="135"/>
      <c r="BG2883" s="135"/>
      <c r="BH2883" s="135"/>
      <c r="BI2883" s="2"/>
      <c r="BJ2883" s="136"/>
      <c r="BK2883" s="2"/>
      <c r="BL2883" s="136"/>
      <c r="BM2883" s="136"/>
      <c r="BN2883" s="2"/>
      <c r="BO2883" s="2"/>
      <c r="BP2883" s="136"/>
      <c r="BQ2883" s="137"/>
    </row>
    <row r="2884" spans="1:69" ht="12.75" customHeight="1" x14ac:dyDescent="0.2">
      <c r="A2884" s="2">
        <v>4373</v>
      </c>
      <c r="B2884" s="2"/>
      <c r="C2884" s="2"/>
      <c r="D2884" s="2"/>
      <c r="E2884" s="2"/>
      <c r="F2884" s="132">
        <v>0</v>
      </c>
      <c r="G2884" s="132"/>
      <c r="H2884" s="132">
        <f t="shared" si="325"/>
        <v>0</v>
      </c>
      <c r="I2884" s="132"/>
      <c r="J2884" s="132">
        <f t="shared" si="323"/>
        <v>0</v>
      </c>
      <c r="K2884" s="132">
        <f t="shared" si="326"/>
        <v>0</v>
      </c>
      <c r="L2884" s="132">
        <f t="shared" si="320"/>
        <v>0</v>
      </c>
      <c r="M2884" s="133"/>
      <c r="N2884" s="133">
        <f t="shared" si="324"/>
        <v>0</v>
      </c>
      <c r="O2884" s="134"/>
      <c r="P2884" s="133"/>
      <c r="Q2884" s="2"/>
      <c r="R2884" s="156">
        <f t="shared" si="321"/>
        <v>0</v>
      </c>
      <c r="S2884" s="156">
        <f t="shared" si="322"/>
        <v>0</v>
      </c>
      <c r="T2884" s="133"/>
      <c r="U2884" s="133"/>
      <c r="V2884" s="133"/>
      <c r="W2884" s="133"/>
      <c r="X2884" s="133"/>
      <c r="Y2884" s="133"/>
      <c r="Z2884" s="133"/>
      <c r="AA2884" s="133"/>
      <c r="AB2884" s="133"/>
      <c r="AC2884" s="133"/>
      <c r="AD2884" s="133"/>
      <c r="AE2884" s="133"/>
      <c r="AF2884" s="133"/>
      <c r="AG2884" s="133"/>
      <c r="AH2884" s="133"/>
      <c r="AI2884" s="133"/>
      <c r="AJ2884" s="133"/>
      <c r="AK2884" s="133"/>
      <c r="AL2884" s="133"/>
      <c r="AM2884" s="133"/>
      <c r="AN2884" s="133"/>
      <c r="AO2884" s="133"/>
      <c r="AP2884" s="133"/>
      <c r="AQ2884" s="133"/>
      <c r="AR2884" s="133"/>
      <c r="AS2884" s="153">
        <v>0</v>
      </c>
      <c r="AT2884" s="153">
        <v>0</v>
      </c>
      <c r="AU2884" s="153">
        <v>0</v>
      </c>
      <c r="AV2884" s="135"/>
      <c r="AW2884" s="135"/>
      <c r="AX2884" s="135"/>
      <c r="AY2884" s="135"/>
      <c r="AZ2884" s="135"/>
      <c r="BA2884" s="135"/>
      <c r="BB2884" s="135"/>
      <c r="BC2884" s="135"/>
      <c r="BD2884" s="135"/>
      <c r="BE2884" s="135"/>
      <c r="BF2884" s="135"/>
      <c r="BG2884" s="135"/>
      <c r="BH2884" s="135"/>
      <c r="BI2884" s="2"/>
      <c r="BJ2884" s="136"/>
      <c r="BK2884" s="2"/>
      <c r="BL2884" s="136"/>
      <c r="BM2884" s="136"/>
      <c r="BN2884" s="2"/>
      <c r="BO2884" s="2"/>
      <c r="BP2884" s="136"/>
      <c r="BQ2884" s="137"/>
    </row>
    <row r="2885" spans="1:69" ht="12.75" customHeight="1" x14ac:dyDescent="0.2">
      <c r="A2885" s="2">
        <v>4374</v>
      </c>
      <c r="B2885" s="2"/>
      <c r="C2885" s="2"/>
      <c r="D2885" s="2"/>
      <c r="E2885" s="2"/>
      <c r="F2885" s="132">
        <v>0</v>
      </c>
      <c r="G2885" s="132"/>
      <c r="H2885" s="132">
        <f t="shared" si="325"/>
        <v>0</v>
      </c>
      <c r="I2885" s="132"/>
      <c r="J2885" s="132">
        <f t="shared" si="323"/>
        <v>0</v>
      </c>
      <c r="K2885" s="132">
        <f t="shared" si="326"/>
        <v>0</v>
      </c>
      <c r="L2885" s="132">
        <f t="shared" si="320"/>
        <v>0</v>
      </c>
      <c r="M2885" s="133"/>
      <c r="N2885" s="133">
        <f t="shared" si="324"/>
        <v>0</v>
      </c>
      <c r="O2885" s="134"/>
      <c r="P2885" s="133"/>
      <c r="Q2885" s="2"/>
      <c r="R2885" s="156">
        <f t="shared" si="321"/>
        <v>0</v>
      </c>
      <c r="S2885" s="156">
        <f t="shared" si="322"/>
        <v>0</v>
      </c>
      <c r="T2885" s="133"/>
      <c r="U2885" s="133"/>
      <c r="V2885" s="133"/>
      <c r="W2885" s="133"/>
      <c r="X2885" s="133"/>
      <c r="Y2885" s="133"/>
      <c r="Z2885" s="133"/>
      <c r="AA2885" s="133"/>
      <c r="AB2885" s="133"/>
      <c r="AC2885" s="133"/>
      <c r="AD2885" s="133"/>
      <c r="AE2885" s="133"/>
      <c r="AF2885" s="133"/>
      <c r="AG2885" s="133"/>
      <c r="AH2885" s="133"/>
      <c r="AI2885" s="133"/>
      <c r="AJ2885" s="133"/>
      <c r="AK2885" s="133"/>
      <c r="AL2885" s="133"/>
      <c r="AM2885" s="133"/>
      <c r="AN2885" s="133"/>
      <c r="AO2885" s="133"/>
      <c r="AP2885" s="133"/>
      <c r="AQ2885" s="133"/>
      <c r="AR2885" s="133"/>
      <c r="AS2885" s="153">
        <v>0</v>
      </c>
      <c r="AT2885" s="153">
        <v>0</v>
      </c>
      <c r="AU2885" s="153">
        <v>0</v>
      </c>
      <c r="AV2885" s="135"/>
      <c r="AW2885" s="135"/>
      <c r="AX2885" s="135"/>
      <c r="AY2885" s="135"/>
      <c r="AZ2885" s="135"/>
      <c r="BA2885" s="135"/>
      <c r="BB2885" s="135"/>
      <c r="BC2885" s="135"/>
      <c r="BD2885" s="135"/>
      <c r="BE2885" s="135"/>
      <c r="BF2885" s="135"/>
      <c r="BG2885" s="135"/>
      <c r="BH2885" s="135"/>
      <c r="BI2885" s="2"/>
      <c r="BJ2885" s="136"/>
      <c r="BK2885" s="2"/>
      <c r="BL2885" s="136"/>
      <c r="BM2885" s="136"/>
      <c r="BN2885" s="2"/>
      <c r="BO2885" s="2"/>
      <c r="BP2885" s="136"/>
      <c r="BQ2885" s="137"/>
    </row>
    <row r="2886" spans="1:69" ht="12.75" customHeight="1" x14ac:dyDescent="0.2">
      <c r="A2886" s="2">
        <v>4375</v>
      </c>
      <c r="B2886" s="2"/>
      <c r="C2886" s="2"/>
      <c r="D2886" s="2"/>
      <c r="E2886" s="2"/>
      <c r="F2886" s="132">
        <v>0</v>
      </c>
      <c r="G2886" s="132"/>
      <c r="H2886" s="132">
        <f t="shared" si="325"/>
        <v>0</v>
      </c>
      <c r="I2886" s="132"/>
      <c r="J2886" s="132">
        <f t="shared" si="323"/>
        <v>0</v>
      </c>
      <c r="K2886" s="132">
        <f t="shared" si="326"/>
        <v>0</v>
      </c>
      <c r="L2886" s="132">
        <f t="shared" si="320"/>
        <v>0</v>
      </c>
      <c r="M2886" s="133"/>
      <c r="N2886" s="133">
        <f t="shared" si="324"/>
        <v>0</v>
      </c>
      <c r="O2886" s="134"/>
      <c r="P2886" s="133"/>
      <c r="Q2886" s="2"/>
      <c r="R2886" s="156">
        <f t="shared" si="321"/>
        <v>0</v>
      </c>
      <c r="S2886" s="156">
        <f t="shared" si="322"/>
        <v>0</v>
      </c>
      <c r="T2886" s="133"/>
      <c r="U2886" s="133"/>
      <c r="V2886" s="133"/>
      <c r="W2886" s="133"/>
      <c r="X2886" s="133"/>
      <c r="Y2886" s="133"/>
      <c r="Z2886" s="133"/>
      <c r="AA2886" s="133"/>
      <c r="AB2886" s="133"/>
      <c r="AC2886" s="133"/>
      <c r="AD2886" s="133"/>
      <c r="AE2886" s="133"/>
      <c r="AF2886" s="133"/>
      <c r="AG2886" s="133"/>
      <c r="AH2886" s="133"/>
      <c r="AI2886" s="133"/>
      <c r="AJ2886" s="133"/>
      <c r="AK2886" s="133"/>
      <c r="AL2886" s="133"/>
      <c r="AM2886" s="133"/>
      <c r="AN2886" s="133"/>
      <c r="AO2886" s="133"/>
      <c r="AP2886" s="133"/>
      <c r="AQ2886" s="133"/>
      <c r="AR2886" s="133"/>
      <c r="AS2886" s="153">
        <v>0</v>
      </c>
      <c r="AT2886" s="153">
        <v>0</v>
      </c>
      <c r="AU2886" s="153">
        <v>0</v>
      </c>
      <c r="AV2886" s="135"/>
      <c r="AW2886" s="135"/>
      <c r="AX2886" s="135"/>
      <c r="AY2886" s="135"/>
      <c r="AZ2886" s="135"/>
      <c r="BA2886" s="135"/>
      <c r="BB2886" s="135"/>
      <c r="BC2886" s="135"/>
      <c r="BD2886" s="135"/>
      <c r="BE2886" s="135"/>
      <c r="BF2886" s="135"/>
      <c r="BG2886" s="135"/>
      <c r="BH2886" s="135"/>
      <c r="BI2886" s="2"/>
      <c r="BJ2886" s="136"/>
      <c r="BK2886" s="2"/>
      <c r="BL2886" s="136"/>
      <c r="BM2886" s="136"/>
      <c r="BN2886" s="2"/>
      <c r="BO2886" s="2"/>
      <c r="BP2886" s="136"/>
      <c r="BQ2886" s="137"/>
    </row>
    <row r="2887" spans="1:69" ht="12.75" customHeight="1" x14ac:dyDescent="0.2">
      <c r="A2887" s="2">
        <v>4376</v>
      </c>
      <c r="B2887" s="2"/>
      <c r="C2887" s="2"/>
      <c r="D2887" s="2"/>
      <c r="E2887" s="2"/>
      <c r="F2887" s="132">
        <v>0</v>
      </c>
      <c r="G2887" s="132"/>
      <c r="H2887" s="132">
        <f t="shared" si="325"/>
        <v>0</v>
      </c>
      <c r="I2887" s="132"/>
      <c r="J2887" s="132">
        <f t="shared" si="323"/>
        <v>0</v>
      </c>
      <c r="K2887" s="132">
        <f t="shared" si="326"/>
        <v>0</v>
      </c>
      <c r="L2887" s="132">
        <f t="shared" si="320"/>
        <v>0</v>
      </c>
      <c r="M2887" s="133"/>
      <c r="N2887" s="133">
        <f t="shared" si="324"/>
        <v>0</v>
      </c>
      <c r="O2887" s="134"/>
      <c r="P2887" s="133"/>
      <c r="Q2887" s="2"/>
      <c r="R2887" s="156">
        <f t="shared" si="321"/>
        <v>0</v>
      </c>
      <c r="S2887" s="156">
        <f t="shared" si="322"/>
        <v>0</v>
      </c>
      <c r="T2887" s="133"/>
      <c r="U2887" s="133"/>
      <c r="V2887" s="133"/>
      <c r="W2887" s="133"/>
      <c r="X2887" s="133"/>
      <c r="Y2887" s="133"/>
      <c r="Z2887" s="133"/>
      <c r="AA2887" s="133"/>
      <c r="AB2887" s="133"/>
      <c r="AC2887" s="133"/>
      <c r="AD2887" s="133"/>
      <c r="AE2887" s="133"/>
      <c r="AF2887" s="133"/>
      <c r="AG2887" s="133"/>
      <c r="AH2887" s="133"/>
      <c r="AI2887" s="133"/>
      <c r="AJ2887" s="133"/>
      <c r="AK2887" s="133"/>
      <c r="AL2887" s="133"/>
      <c r="AM2887" s="133"/>
      <c r="AN2887" s="133"/>
      <c r="AO2887" s="133"/>
      <c r="AP2887" s="133"/>
      <c r="AQ2887" s="133"/>
      <c r="AR2887" s="133"/>
      <c r="AS2887" s="153">
        <v>0</v>
      </c>
      <c r="AT2887" s="153">
        <v>0</v>
      </c>
      <c r="AU2887" s="153">
        <v>0</v>
      </c>
      <c r="AV2887" s="135"/>
      <c r="AW2887" s="135"/>
      <c r="AX2887" s="135"/>
      <c r="AY2887" s="135"/>
      <c r="AZ2887" s="135"/>
      <c r="BA2887" s="135"/>
      <c r="BB2887" s="135"/>
      <c r="BC2887" s="135"/>
      <c r="BD2887" s="135"/>
      <c r="BE2887" s="135"/>
      <c r="BF2887" s="135"/>
      <c r="BG2887" s="135"/>
      <c r="BH2887" s="135"/>
      <c r="BI2887" s="2"/>
      <c r="BJ2887" s="136"/>
      <c r="BK2887" s="2"/>
      <c r="BL2887" s="136"/>
      <c r="BM2887" s="136"/>
      <c r="BN2887" s="2"/>
      <c r="BO2887" s="2"/>
      <c r="BP2887" s="136"/>
      <c r="BQ2887" s="137"/>
    </row>
    <row r="2888" spans="1:69" ht="12.75" customHeight="1" x14ac:dyDescent="0.2">
      <c r="A2888" s="2">
        <v>4377</v>
      </c>
      <c r="B2888" s="2"/>
      <c r="C2888" s="2"/>
      <c r="D2888" s="2"/>
      <c r="E2888" s="2"/>
      <c r="F2888" s="132">
        <v>0</v>
      </c>
      <c r="G2888" s="132"/>
      <c r="H2888" s="132">
        <f t="shared" si="325"/>
        <v>0</v>
      </c>
      <c r="I2888" s="132"/>
      <c r="J2888" s="132">
        <f t="shared" si="323"/>
        <v>0</v>
      </c>
      <c r="K2888" s="132">
        <f t="shared" si="326"/>
        <v>0</v>
      </c>
      <c r="L2888" s="132">
        <f t="shared" si="320"/>
        <v>0</v>
      </c>
      <c r="M2888" s="133"/>
      <c r="N2888" s="133">
        <f t="shared" si="324"/>
        <v>0</v>
      </c>
      <c r="O2888" s="134"/>
      <c r="P2888" s="133"/>
      <c r="Q2888" s="2"/>
      <c r="R2888" s="156">
        <f t="shared" si="321"/>
        <v>0</v>
      </c>
      <c r="S2888" s="156">
        <f t="shared" si="322"/>
        <v>0</v>
      </c>
      <c r="T2888" s="133"/>
      <c r="U2888" s="133"/>
      <c r="V2888" s="133"/>
      <c r="W2888" s="133"/>
      <c r="X2888" s="133"/>
      <c r="Y2888" s="133"/>
      <c r="Z2888" s="133"/>
      <c r="AA2888" s="133"/>
      <c r="AB2888" s="133"/>
      <c r="AC2888" s="133"/>
      <c r="AD2888" s="133"/>
      <c r="AE2888" s="133"/>
      <c r="AF2888" s="133"/>
      <c r="AG2888" s="133"/>
      <c r="AH2888" s="133"/>
      <c r="AI2888" s="133"/>
      <c r="AJ2888" s="133"/>
      <c r="AK2888" s="133"/>
      <c r="AL2888" s="133"/>
      <c r="AM2888" s="133"/>
      <c r="AN2888" s="133"/>
      <c r="AO2888" s="133"/>
      <c r="AP2888" s="133"/>
      <c r="AQ2888" s="133"/>
      <c r="AR2888" s="133"/>
      <c r="AS2888" s="153">
        <v>0</v>
      </c>
      <c r="AT2888" s="153">
        <v>0</v>
      </c>
      <c r="AU2888" s="153">
        <v>0</v>
      </c>
      <c r="AV2888" s="135"/>
      <c r="AW2888" s="135"/>
      <c r="AX2888" s="135"/>
      <c r="AY2888" s="135"/>
      <c r="AZ2888" s="135"/>
      <c r="BA2888" s="135"/>
      <c r="BB2888" s="135"/>
      <c r="BC2888" s="135"/>
      <c r="BD2888" s="135"/>
      <c r="BE2888" s="135"/>
      <c r="BF2888" s="135"/>
      <c r="BG2888" s="135"/>
      <c r="BH2888" s="135"/>
      <c r="BI2888" s="2"/>
      <c r="BJ2888" s="136"/>
      <c r="BK2888" s="2"/>
      <c r="BL2888" s="136"/>
      <c r="BM2888" s="136"/>
      <c r="BN2888" s="2"/>
      <c r="BO2888" s="2"/>
      <c r="BP2888" s="136"/>
      <c r="BQ2888" s="137"/>
    </row>
    <row r="2889" spans="1:69" ht="12.75" customHeight="1" x14ac:dyDescent="0.2">
      <c r="A2889" s="2">
        <v>4378</v>
      </c>
      <c r="B2889" s="2"/>
      <c r="C2889" s="2"/>
      <c r="D2889" s="2"/>
      <c r="E2889" s="2"/>
      <c r="F2889" s="132">
        <v>0</v>
      </c>
      <c r="G2889" s="132"/>
      <c r="H2889" s="132">
        <f t="shared" si="325"/>
        <v>0</v>
      </c>
      <c r="I2889" s="132"/>
      <c r="J2889" s="132">
        <f t="shared" si="323"/>
        <v>0</v>
      </c>
      <c r="K2889" s="132">
        <f t="shared" si="326"/>
        <v>0</v>
      </c>
      <c r="L2889" s="132">
        <f t="shared" si="320"/>
        <v>0</v>
      </c>
      <c r="M2889" s="133"/>
      <c r="N2889" s="133">
        <f t="shared" si="324"/>
        <v>0</v>
      </c>
      <c r="O2889" s="134"/>
      <c r="P2889" s="133"/>
      <c r="Q2889" s="2"/>
      <c r="R2889" s="156">
        <f t="shared" si="321"/>
        <v>0</v>
      </c>
      <c r="S2889" s="156">
        <f t="shared" si="322"/>
        <v>0</v>
      </c>
      <c r="T2889" s="133"/>
      <c r="U2889" s="133"/>
      <c r="V2889" s="133"/>
      <c r="W2889" s="133"/>
      <c r="X2889" s="133"/>
      <c r="Y2889" s="133"/>
      <c r="Z2889" s="133"/>
      <c r="AA2889" s="133"/>
      <c r="AB2889" s="133"/>
      <c r="AC2889" s="133"/>
      <c r="AD2889" s="133"/>
      <c r="AE2889" s="133"/>
      <c r="AF2889" s="133"/>
      <c r="AG2889" s="133"/>
      <c r="AH2889" s="133"/>
      <c r="AI2889" s="133"/>
      <c r="AJ2889" s="133"/>
      <c r="AK2889" s="133"/>
      <c r="AL2889" s="133"/>
      <c r="AM2889" s="133"/>
      <c r="AN2889" s="133"/>
      <c r="AO2889" s="133"/>
      <c r="AP2889" s="133"/>
      <c r="AQ2889" s="133"/>
      <c r="AR2889" s="133"/>
      <c r="AS2889" s="153">
        <v>0</v>
      </c>
      <c r="AT2889" s="153">
        <v>0</v>
      </c>
      <c r="AU2889" s="153">
        <v>0</v>
      </c>
      <c r="AV2889" s="135"/>
      <c r="AW2889" s="135"/>
      <c r="AX2889" s="135"/>
      <c r="AY2889" s="135"/>
      <c r="AZ2889" s="135"/>
      <c r="BA2889" s="135"/>
      <c r="BB2889" s="135"/>
      <c r="BC2889" s="135"/>
      <c r="BD2889" s="135"/>
      <c r="BE2889" s="135"/>
      <c r="BF2889" s="135"/>
      <c r="BG2889" s="135"/>
      <c r="BH2889" s="135"/>
      <c r="BI2889" s="2"/>
      <c r="BJ2889" s="136"/>
      <c r="BK2889" s="2"/>
      <c r="BL2889" s="136"/>
      <c r="BM2889" s="136"/>
      <c r="BN2889" s="2"/>
      <c r="BO2889" s="2"/>
      <c r="BP2889" s="136"/>
      <c r="BQ2889" s="137"/>
    </row>
    <row r="2890" spans="1:69" ht="12.75" customHeight="1" x14ac:dyDescent="0.2">
      <c r="A2890" s="2">
        <v>4379</v>
      </c>
      <c r="B2890" s="2"/>
      <c r="C2890" s="2"/>
      <c r="D2890" s="2"/>
      <c r="E2890" s="2"/>
      <c r="F2890" s="132">
        <v>0</v>
      </c>
      <c r="G2890" s="132"/>
      <c r="H2890" s="132">
        <f t="shared" si="325"/>
        <v>0</v>
      </c>
      <c r="I2890" s="132"/>
      <c r="J2890" s="132">
        <f t="shared" si="323"/>
        <v>0</v>
      </c>
      <c r="K2890" s="132">
        <f t="shared" si="326"/>
        <v>0</v>
      </c>
      <c r="L2890" s="132">
        <f t="shared" si="320"/>
        <v>0</v>
      </c>
      <c r="M2890" s="133"/>
      <c r="N2890" s="133">
        <f t="shared" si="324"/>
        <v>0</v>
      </c>
      <c r="O2890" s="134"/>
      <c r="P2890" s="133"/>
      <c r="Q2890" s="2"/>
      <c r="R2890" s="156">
        <f t="shared" si="321"/>
        <v>0</v>
      </c>
      <c r="S2890" s="156">
        <f t="shared" si="322"/>
        <v>0</v>
      </c>
      <c r="T2890" s="133"/>
      <c r="U2890" s="133"/>
      <c r="V2890" s="133"/>
      <c r="W2890" s="133"/>
      <c r="X2890" s="133"/>
      <c r="Y2890" s="133"/>
      <c r="Z2890" s="133"/>
      <c r="AA2890" s="133"/>
      <c r="AB2890" s="133"/>
      <c r="AC2890" s="133"/>
      <c r="AD2890" s="133"/>
      <c r="AE2890" s="133"/>
      <c r="AF2890" s="133"/>
      <c r="AG2890" s="133"/>
      <c r="AH2890" s="133"/>
      <c r="AI2890" s="133"/>
      <c r="AJ2890" s="133"/>
      <c r="AK2890" s="133"/>
      <c r="AL2890" s="133"/>
      <c r="AM2890" s="133"/>
      <c r="AN2890" s="133"/>
      <c r="AO2890" s="133"/>
      <c r="AP2890" s="133"/>
      <c r="AQ2890" s="133"/>
      <c r="AR2890" s="133"/>
      <c r="AS2890" s="153">
        <v>0</v>
      </c>
      <c r="AT2890" s="153">
        <v>0</v>
      </c>
      <c r="AU2890" s="153">
        <v>0</v>
      </c>
      <c r="AV2890" s="135"/>
      <c r="AW2890" s="135"/>
      <c r="AX2890" s="135"/>
      <c r="AY2890" s="135"/>
      <c r="AZ2890" s="135"/>
      <c r="BA2890" s="135"/>
      <c r="BB2890" s="135"/>
      <c r="BC2890" s="135"/>
      <c r="BD2890" s="135"/>
      <c r="BE2890" s="135"/>
      <c r="BF2890" s="135"/>
      <c r="BG2890" s="135"/>
      <c r="BH2890" s="135"/>
      <c r="BI2890" s="2"/>
      <c r="BJ2890" s="136"/>
      <c r="BK2890" s="2"/>
      <c r="BL2890" s="136"/>
      <c r="BM2890" s="136"/>
      <c r="BN2890" s="2"/>
      <c r="BO2890" s="2"/>
      <c r="BP2890" s="136"/>
      <c r="BQ2890" s="137"/>
    </row>
    <row r="2891" spans="1:69" ht="12.75" customHeight="1" x14ac:dyDescent="0.2">
      <c r="A2891" s="2">
        <v>4380</v>
      </c>
      <c r="B2891" s="2"/>
      <c r="C2891" s="2"/>
      <c r="D2891" s="2"/>
      <c r="E2891" s="2"/>
      <c r="F2891" s="132">
        <v>0</v>
      </c>
      <c r="G2891" s="132"/>
      <c r="H2891" s="132">
        <f t="shared" si="325"/>
        <v>0</v>
      </c>
      <c r="I2891" s="132"/>
      <c r="J2891" s="132">
        <f t="shared" si="323"/>
        <v>0</v>
      </c>
      <c r="K2891" s="132">
        <f t="shared" si="326"/>
        <v>0</v>
      </c>
      <c r="L2891" s="132">
        <f t="shared" ref="L2891:L2954" si="327">H2891-J2891</f>
        <v>0</v>
      </c>
      <c r="M2891" s="133"/>
      <c r="N2891" s="133">
        <f t="shared" si="324"/>
        <v>0</v>
      </c>
      <c r="O2891" s="134"/>
      <c r="P2891" s="133"/>
      <c r="Q2891" s="2"/>
      <c r="R2891" s="156">
        <f t="shared" ref="R2891:R2954" si="328">T2891+V2891+X2891+Z2891+AB2891+AD2891+AF2891+AH2891+AJ2891+AL2891+AN2891+AP2891</f>
        <v>0</v>
      </c>
      <c r="S2891" s="156">
        <f t="shared" ref="S2891:S2954" si="329">U2891+W2891+Y2891+AA2891+AC2891+AE2891+AG2891+AI2891+AK2891+AM2891+AO2891+AQ2891</f>
        <v>0</v>
      </c>
      <c r="T2891" s="133"/>
      <c r="U2891" s="133"/>
      <c r="V2891" s="133"/>
      <c r="W2891" s="133"/>
      <c r="X2891" s="133"/>
      <c r="Y2891" s="133"/>
      <c r="Z2891" s="133"/>
      <c r="AA2891" s="133"/>
      <c r="AB2891" s="133"/>
      <c r="AC2891" s="133"/>
      <c r="AD2891" s="133"/>
      <c r="AE2891" s="133"/>
      <c r="AF2891" s="133"/>
      <c r="AG2891" s="133"/>
      <c r="AH2891" s="133"/>
      <c r="AI2891" s="133"/>
      <c r="AJ2891" s="133"/>
      <c r="AK2891" s="133"/>
      <c r="AL2891" s="133"/>
      <c r="AM2891" s="133"/>
      <c r="AN2891" s="133"/>
      <c r="AO2891" s="133"/>
      <c r="AP2891" s="133"/>
      <c r="AQ2891" s="133"/>
      <c r="AR2891" s="133"/>
      <c r="AS2891" s="153">
        <v>0</v>
      </c>
      <c r="AT2891" s="153">
        <v>0</v>
      </c>
      <c r="AU2891" s="153">
        <v>0</v>
      </c>
      <c r="AV2891" s="135"/>
      <c r="AW2891" s="135"/>
      <c r="AX2891" s="135"/>
      <c r="AY2891" s="135"/>
      <c r="AZ2891" s="135"/>
      <c r="BA2891" s="135"/>
      <c r="BB2891" s="135"/>
      <c r="BC2891" s="135"/>
      <c r="BD2891" s="135"/>
      <c r="BE2891" s="135"/>
      <c r="BF2891" s="135"/>
      <c r="BG2891" s="135"/>
      <c r="BH2891" s="135"/>
      <c r="BI2891" s="2"/>
      <c r="BJ2891" s="136"/>
      <c r="BK2891" s="2"/>
      <c r="BL2891" s="136"/>
      <c r="BM2891" s="136"/>
      <c r="BN2891" s="2"/>
      <c r="BO2891" s="2"/>
      <c r="BP2891" s="136"/>
      <c r="BQ2891" s="137"/>
    </row>
    <row r="2892" spans="1:69" ht="12.75" customHeight="1" x14ac:dyDescent="0.2">
      <c r="A2892" s="2">
        <v>4381</v>
      </c>
      <c r="B2892" s="2"/>
      <c r="C2892" s="2"/>
      <c r="D2892" s="2"/>
      <c r="E2892" s="2"/>
      <c r="F2892" s="132">
        <v>0</v>
      </c>
      <c r="G2892" s="132"/>
      <c r="H2892" s="132">
        <f t="shared" si="325"/>
        <v>0</v>
      </c>
      <c r="I2892" s="132"/>
      <c r="J2892" s="132">
        <f t="shared" si="323"/>
        <v>0</v>
      </c>
      <c r="K2892" s="132">
        <f t="shared" si="326"/>
        <v>0</v>
      </c>
      <c r="L2892" s="132">
        <f t="shared" si="327"/>
        <v>0</v>
      </c>
      <c r="M2892" s="133"/>
      <c r="N2892" s="133">
        <f t="shared" si="324"/>
        <v>0</v>
      </c>
      <c r="O2892" s="134"/>
      <c r="P2892" s="133"/>
      <c r="Q2892" s="2"/>
      <c r="R2892" s="156">
        <f t="shared" si="328"/>
        <v>0</v>
      </c>
      <c r="S2892" s="156">
        <f t="shared" si="329"/>
        <v>0</v>
      </c>
      <c r="T2892" s="133"/>
      <c r="U2892" s="133"/>
      <c r="V2892" s="133"/>
      <c r="W2892" s="133"/>
      <c r="X2892" s="133"/>
      <c r="Y2892" s="133"/>
      <c r="Z2892" s="133"/>
      <c r="AA2892" s="133"/>
      <c r="AB2892" s="133"/>
      <c r="AC2892" s="133"/>
      <c r="AD2892" s="133"/>
      <c r="AE2892" s="133"/>
      <c r="AF2892" s="133"/>
      <c r="AG2892" s="133"/>
      <c r="AH2892" s="133"/>
      <c r="AI2892" s="133"/>
      <c r="AJ2892" s="133"/>
      <c r="AK2892" s="133"/>
      <c r="AL2892" s="133"/>
      <c r="AM2892" s="133"/>
      <c r="AN2892" s="133"/>
      <c r="AO2892" s="133"/>
      <c r="AP2892" s="133"/>
      <c r="AQ2892" s="133"/>
      <c r="AR2892" s="133"/>
      <c r="AS2892" s="153">
        <v>0</v>
      </c>
      <c r="AT2892" s="153">
        <v>0</v>
      </c>
      <c r="AU2892" s="153">
        <v>0</v>
      </c>
      <c r="AV2892" s="135"/>
      <c r="AW2892" s="135"/>
      <c r="AX2892" s="135"/>
      <c r="AY2892" s="135"/>
      <c r="AZ2892" s="135"/>
      <c r="BA2892" s="135"/>
      <c r="BB2892" s="135"/>
      <c r="BC2892" s="135"/>
      <c r="BD2892" s="135"/>
      <c r="BE2892" s="135"/>
      <c r="BF2892" s="135"/>
      <c r="BG2892" s="135"/>
      <c r="BH2892" s="135"/>
      <c r="BI2892" s="2"/>
      <c r="BJ2892" s="136"/>
      <c r="BK2892" s="2"/>
      <c r="BL2892" s="136"/>
      <c r="BM2892" s="136"/>
      <c r="BN2892" s="2"/>
      <c r="BO2892" s="2"/>
      <c r="BP2892" s="136"/>
      <c r="BQ2892" s="137"/>
    </row>
    <row r="2893" spans="1:69" ht="12.75" customHeight="1" x14ac:dyDescent="0.2">
      <c r="A2893" s="2">
        <v>4382</v>
      </c>
      <c r="B2893" s="2"/>
      <c r="C2893" s="2"/>
      <c r="D2893" s="2"/>
      <c r="E2893" s="2"/>
      <c r="F2893" s="132">
        <v>0</v>
      </c>
      <c r="G2893" s="132"/>
      <c r="H2893" s="132">
        <f t="shared" si="325"/>
        <v>0</v>
      </c>
      <c r="I2893" s="132"/>
      <c r="J2893" s="132">
        <f t="shared" si="323"/>
        <v>0</v>
      </c>
      <c r="K2893" s="132">
        <f t="shared" si="326"/>
        <v>0</v>
      </c>
      <c r="L2893" s="132">
        <f t="shared" si="327"/>
        <v>0</v>
      </c>
      <c r="M2893" s="133"/>
      <c r="N2893" s="133">
        <f t="shared" si="324"/>
        <v>0</v>
      </c>
      <c r="O2893" s="134"/>
      <c r="P2893" s="133"/>
      <c r="Q2893" s="2"/>
      <c r="R2893" s="156">
        <f t="shared" si="328"/>
        <v>0</v>
      </c>
      <c r="S2893" s="156">
        <f t="shared" si="329"/>
        <v>0</v>
      </c>
      <c r="T2893" s="133"/>
      <c r="U2893" s="133"/>
      <c r="V2893" s="133"/>
      <c r="W2893" s="133"/>
      <c r="X2893" s="133"/>
      <c r="Y2893" s="133"/>
      <c r="Z2893" s="133"/>
      <c r="AA2893" s="133"/>
      <c r="AB2893" s="133"/>
      <c r="AC2893" s="133"/>
      <c r="AD2893" s="133"/>
      <c r="AE2893" s="133"/>
      <c r="AF2893" s="133"/>
      <c r="AG2893" s="133"/>
      <c r="AH2893" s="133"/>
      <c r="AI2893" s="133"/>
      <c r="AJ2893" s="133"/>
      <c r="AK2893" s="133"/>
      <c r="AL2893" s="133"/>
      <c r="AM2893" s="133"/>
      <c r="AN2893" s="133"/>
      <c r="AO2893" s="133"/>
      <c r="AP2893" s="133"/>
      <c r="AQ2893" s="133"/>
      <c r="AR2893" s="133"/>
      <c r="AS2893" s="153">
        <v>0</v>
      </c>
      <c r="AT2893" s="153">
        <v>0</v>
      </c>
      <c r="AU2893" s="153">
        <v>0</v>
      </c>
      <c r="AV2893" s="135"/>
      <c r="AW2893" s="135"/>
      <c r="AX2893" s="135"/>
      <c r="AY2893" s="135"/>
      <c r="AZ2893" s="135"/>
      <c r="BA2893" s="135"/>
      <c r="BB2893" s="135"/>
      <c r="BC2893" s="135"/>
      <c r="BD2893" s="135"/>
      <c r="BE2893" s="135"/>
      <c r="BF2893" s="135"/>
      <c r="BG2893" s="135"/>
      <c r="BH2893" s="135"/>
      <c r="BI2893" s="2"/>
      <c r="BJ2893" s="136"/>
      <c r="BK2893" s="2"/>
      <c r="BL2893" s="136"/>
      <c r="BM2893" s="136"/>
      <c r="BN2893" s="2"/>
      <c r="BO2893" s="2"/>
      <c r="BP2893" s="136"/>
      <c r="BQ2893" s="137"/>
    </row>
    <row r="2894" spans="1:69" ht="12.75" customHeight="1" x14ac:dyDescent="0.2">
      <c r="A2894" s="2">
        <v>4383</v>
      </c>
      <c r="B2894" s="2"/>
      <c r="C2894" s="2"/>
      <c r="D2894" s="2"/>
      <c r="E2894" s="2"/>
      <c r="F2894" s="132">
        <v>0</v>
      </c>
      <c r="G2894" s="132"/>
      <c r="H2894" s="132">
        <f t="shared" si="325"/>
        <v>0</v>
      </c>
      <c r="I2894" s="132"/>
      <c r="J2894" s="132">
        <f t="shared" si="323"/>
        <v>0</v>
      </c>
      <c r="K2894" s="132">
        <f t="shared" si="326"/>
        <v>0</v>
      </c>
      <c r="L2894" s="132">
        <f t="shared" si="327"/>
        <v>0</v>
      </c>
      <c r="M2894" s="133"/>
      <c r="N2894" s="133">
        <f t="shared" si="324"/>
        <v>0</v>
      </c>
      <c r="O2894" s="134"/>
      <c r="P2894" s="133"/>
      <c r="Q2894" s="2"/>
      <c r="R2894" s="156">
        <f t="shared" si="328"/>
        <v>0</v>
      </c>
      <c r="S2894" s="156">
        <f t="shared" si="329"/>
        <v>0</v>
      </c>
      <c r="T2894" s="133"/>
      <c r="U2894" s="133"/>
      <c r="V2894" s="133"/>
      <c r="W2894" s="133"/>
      <c r="X2894" s="133"/>
      <c r="Y2894" s="133"/>
      <c r="Z2894" s="133"/>
      <c r="AA2894" s="133"/>
      <c r="AB2894" s="133"/>
      <c r="AC2894" s="133"/>
      <c r="AD2894" s="133"/>
      <c r="AE2894" s="133"/>
      <c r="AF2894" s="133"/>
      <c r="AG2894" s="133"/>
      <c r="AH2894" s="133"/>
      <c r="AI2894" s="133"/>
      <c r="AJ2894" s="133"/>
      <c r="AK2894" s="133"/>
      <c r="AL2894" s="133"/>
      <c r="AM2894" s="133"/>
      <c r="AN2894" s="133"/>
      <c r="AO2894" s="133"/>
      <c r="AP2894" s="133"/>
      <c r="AQ2894" s="133"/>
      <c r="AR2894" s="133"/>
      <c r="AS2894" s="153">
        <v>0</v>
      </c>
      <c r="AT2894" s="153">
        <v>0</v>
      </c>
      <c r="AU2894" s="153">
        <v>0</v>
      </c>
      <c r="AV2894" s="135"/>
      <c r="AW2894" s="135"/>
      <c r="AX2894" s="135"/>
      <c r="AY2894" s="135"/>
      <c r="AZ2894" s="135"/>
      <c r="BA2894" s="135"/>
      <c r="BB2894" s="135"/>
      <c r="BC2894" s="135"/>
      <c r="BD2894" s="135"/>
      <c r="BE2894" s="135"/>
      <c r="BF2894" s="135"/>
      <c r="BG2894" s="135"/>
      <c r="BH2894" s="135"/>
      <c r="BI2894" s="2"/>
      <c r="BJ2894" s="136"/>
      <c r="BK2894" s="2"/>
      <c r="BL2894" s="136"/>
      <c r="BM2894" s="136"/>
      <c r="BN2894" s="2"/>
      <c r="BO2894" s="2"/>
      <c r="BP2894" s="136"/>
      <c r="BQ2894" s="137"/>
    </row>
    <row r="2895" spans="1:69" ht="12.75" customHeight="1" x14ac:dyDescent="0.2">
      <c r="A2895" s="2">
        <v>4384</v>
      </c>
      <c r="B2895" s="2"/>
      <c r="C2895" s="2"/>
      <c r="D2895" s="2"/>
      <c r="E2895" s="2"/>
      <c r="F2895" s="132">
        <v>0</v>
      </c>
      <c r="G2895" s="132"/>
      <c r="H2895" s="132">
        <f t="shared" si="325"/>
        <v>0</v>
      </c>
      <c r="I2895" s="132"/>
      <c r="J2895" s="132">
        <f t="shared" si="323"/>
        <v>0</v>
      </c>
      <c r="K2895" s="132">
        <f t="shared" si="326"/>
        <v>0</v>
      </c>
      <c r="L2895" s="132">
        <f t="shared" si="327"/>
        <v>0</v>
      </c>
      <c r="M2895" s="133"/>
      <c r="N2895" s="133">
        <f t="shared" si="324"/>
        <v>0</v>
      </c>
      <c r="O2895" s="134"/>
      <c r="P2895" s="133"/>
      <c r="Q2895" s="2"/>
      <c r="R2895" s="156">
        <f t="shared" si="328"/>
        <v>0</v>
      </c>
      <c r="S2895" s="156">
        <f t="shared" si="329"/>
        <v>0</v>
      </c>
      <c r="T2895" s="133"/>
      <c r="U2895" s="133"/>
      <c r="V2895" s="133"/>
      <c r="W2895" s="133"/>
      <c r="X2895" s="133"/>
      <c r="Y2895" s="133"/>
      <c r="Z2895" s="133"/>
      <c r="AA2895" s="133"/>
      <c r="AB2895" s="133"/>
      <c r="AC2895" s="133"/>
      <c r="AD2895" s="133"/>
      <c r="AE2895" s="133"/>
      <c r="AF2895" s="133"/>
      <c r="AG2895" s="133"/>
      <c r="AH2895" s="133"/>
      <c r="AI2895" s="133"/>
      <c r="AJ2895" s="133"/>
      <c r="AK2895" s="133"/>
      <c r="AL2895" s="133"/>
      <c r="AM2895" s="133"/>
      <c r="AN2895" s="133"/>
      <c r="AO2895" s="133"/>
      <c r="AP2895" s="133"/>
      <c r="AQ2895" s="133"/>
      <c r="AR2895" s="133"/>
      <c r="AS2895" s="153">
        <v>0</v>
      </c>
      <c r="AT2895" s="153">
        <v>0</v>
      </c>
      <c r="AU2895" s="153">
        <v>0</v>
      </c>
      <c r="AV2895" s="135"/>
      <c r="AW2895" s="135"/>
      <c r="AX2895" s="135"/>
      <c r="AY2895" s="135"/>
      <c r="AZ2895" s="135"/>
      <c r="BA2895" s="135"/>
      <c r="BB2895" s="135"/>
      <c r="BC2895" s="135"/>
      <c r="BD2895" s="135"/>
      <c r="BE2895" s="135"/>
      <c r="BF2895" s="135"/>
      <c r="BG2895" s="135"/>
      <c r="BH2895" s="135"/>
      <c r="BI2895" s="2"/>
      <c r="BJ2895" s="136"/>
      <c r="BK2895" s="2"/>
      <c r="BL2895" s="136"/>
      <c r="BM2895" s="136"/>
      <c r="BN2895" s="2"/>
      <c r="BO2895" s="2"/>
      <c r="BP2895" s="136"/>
      <c r="BQ2895" s="137"/>
    </row>
    <row r="2896" spans="1:69" ht="12.75" customHeight="1" x14ac:dyDescent="0.2">
      <c r="A2896" s="2">
        <v>4385</v>
      </c>
      <c r="B2896" s="2"/>
      <c r="C2896" s="2"/>
      <c r="D2896" s="2"/>
      <c r="E2896" s="2"/>
      <c r="F2896" s="132">
        <v>0</v>
      </c>
      <c r="G2896" s="132"/>
      <c r="H2896" s="132">
        <f t="shared" si="325"/>
        <v>0</v>
      </c>
      <c r="I2896" s="132"/>
      <c r="J2896" s="132">
        <f t="shared" si="323"/>
        <v>0</v>
      </c>
      <c r="K2896" s="132">
        <f t="shared" si="326"/>
        <v>0</v>
      </c>
      <c r="L2896" s="132">
        <f t="shared" si="327"/>
        <v>0</v>
      </c>
      <c r="M2896" s="133"/>
      <c r="N2896" s="133">
        <f t="shared" si="324"/>
        <v>0</v>
      </c>
      <c r="O2896" s="134"/>
      <c r="P2896" s="133"/>
      <c r="Q2896" s="2"/>
      <c r="R2896" s="156">
        <f t="shared" si="328"/>
        <v>0</v>
      </c>
      <c r="S2896" s="156">
        <f t="shared" si="329"/>
        <v>0</v>
      </c>
      <c r="T2896" s="133"/>
      <c r="U2896" s="133"/>
      <c r="V2896" s="133"/>
      <c r="W2896" s="133"/>
      <c r="X2896" s="133"/>
      <c r="Y2896" s="133"/>
      <c r="Z2896" s="133"/>
      <c r="AA2896" s="133"/>
      <c r="AB2896" s="133"/>
      <c r="AC2896" s="133"/>
      <c r="AD2896" s="133"/>
      <c r="AE2896" s="133"/>
      <c r="AF2896" s="133"/>
      <c r="AG2896" s="133"/>
      <c r="AH2896" s="133"/>
      <c r="AI2896" s="133"/>
      <c r="AJ2896" s="133"/>
      <c r="AK2896" s="133"/>
      <c r="AL2896" s="133"/>
      <c r="AM2896" s="133"/>
      <c r="AN2896" s="133"/>
      <c r="AO2896" s="133"/>
      <c r="AP2896" s="133"/>
      <c r="AQ2896" s="133"/>
      <c r="AR2896" s="133"/>
      <c r="AS2896" s="153">
        <v>0</v>
      </c>
      <c r="AT2896" s="153">
        <v>0</v>
      </c>
      <c r="AU2896" s="153">
        <v>0</v>
      </c>
      <c r="AV2896" s="135"/>
      <c r="AW2896" s="135"/>
      <c r="AX2896" s="135"/>
      <c r="AY2896" s="135"/>
      <c r="AZ2896" s="135"/>
      <c r="BA2896" s="135"/>
      <c r="BB2896" s="135"/>
      <c r="BC2896" s="135"/>
      <c r="BD2896" s="135"/>
      <c r="BE2896" s="135"/>
      <c r="BF2896" s="135"/>
      <c r="BG2896" s="135"/>
      <c r="BH2896" s="135"/>
      <c r="BI2896" s="2"/>
      <c r="BJ2896" s="136"/>
      <c r="BK2896" s="2"/>
      <c r="BL2896" s="136"/>
      <c r="BM2896" s="136"/>
      <c r="BN2896" s="2"/>
      <c r="BO2896" s="2"/>
      <c r="BP2896" s="136"/>
      <c r="BQ2896" s="137"/>
    </row>
    <row r="2897" spans="1:69" ht="12.75" customHeight="1" x14ac:dyDescent="0.2">
      <c r="A2897" s="2">
        <v>4386</v>
      </c>
      <c r="B2897" s="2"/>
      <c r="C2897" s="2"/>
      <c r="D2897" s="2"/>
      <c r="E2897" s="2"/>
      <c r="F2897" s="132">
        <v>0</v>
      </c>
      <c r="G2897" s="132"/>
      <c r="H2897" s="132">
        <f t="shared" si="325"/>
        <v>0</v>
      </c>
      <c r="I2897" s="132"/>
      <c r="J2897" s="132">
        <f t="shared" si="323"/>
        <v>0</v>
      </c>
      <c r="K2897" s="132">
        <f t="shared" si="326"/>
        <v>0</v>
      </c>
      <c r="L2897" s="132">
        <f t="shared" si="327"/>
        <v>0</v>
      </c>
      <c r="M2897" s="133"/>
      <c r="N2897" s="133">
        <f t="shared" si="324"/>
        <v>0</v>
      </c>
      <c r="O2897" s="134"/>
      <c r="P2897" s="133"/>
      <c r="Q2897" s="2"/>
      <c r="R2897" s="156">
        <f t="shared" si="328"/>
        <v>0</v>
      </c>
      <c r="S2897" s="156">
        <f t="shared" si="329"/>
        <v>0</v>
      </c>
      <c r="T2897" s="133"/>
      <c r="U2897" s="133"/>
      <c r="V2897" s="133"/>
      <c r="W2897" s="133"/>
      <c r="X2897" s="133"/>
      <c r="Y2897" s="133"/>
      <c r="Z2897" s="133"/>
      <c r="AA2897" s="133"/>
      <c r="AB2897" s="133"/>
      <c r="AC2897" s="133"/>
      <c r="AD2897" s="133"/>
      <c r="AE2897" s="133"/>
      <c r="AF2897" s="133"/>
      <c r="AG2897" s="133"/>
      <c r="AH2897" s="133"/>
      <c r="AI2897" s="133"/>
      <c r="AJ2897" s="133"/>
      <c r="AK2897" s="133"/>
      <c r="AL2897" s="133"/>
      <c r="AM2897" s="133"/>
      <c r="AN2897" s="133"/>
      <c r="AO2897" s="133"/>
      <c r="AP2897" s="133"/>
      <c r="AQ2897" s="133"/>
      <c r="AR2897" s="133"/>
      <c r="AS2897" s="153">
        <v>0</v>
      </c>
      <c r="AT2897" s="153">
        <v>0</v>
      </c>
      <c r="AU2897" s="153">
        <v>0</v>
      </c>
      <c r="AV2897" s="135"/>
      <c r="AW2897" s="135"/>
      <c r="AX2897" s="135"/>
      <c r="AY2897" s="135"/>
      <c r="AZ2897" s="135"/>
      <c r="BA2897" s="135"/>
      <c r="BB2897" s="135"/>
      <c r="BC2897" s="135"/>
      <c r="BD2897" s="135"/>
      <c r="BE2897" s="135"/>
      <c r="BF2897" s="135"/>
      <c r="BG2897" s="135"/>
      <c r="BH2897" s="135"/>
      <c r="BI2897" s="2"/>
      <c r="BJ2897" s="136"/>
      <c r="BK2897" s="2"/>
      <c r="BL2897" s="136"/>
      <c r="BM2897" s="136"/>
      <c r="BN2897" s="2"/>
      <c r="BO2897" s="2"/>
      <c r="BP2897" s="136"/>
      <c r="BQ2897" s="137"/>
    </row>
    <row r="2898" spans="1:69" ht="12.75" customHeight="1" x14ac:dyDescent="0.2">
      <c r="A2898" s="2">
        <v>4387</v>
      </c>
      <c r="B2898" s="2"/>
      <c r="C2898" s="2"/>
      <c r="D2898" s="2"/>
      <c r="E2898" s="2"/>
      <c r="F2898" s="132">
        <v>0</v>
      </c>
      <c r="G2898" s="132"/>
      <c r="H2898" s="132">
        <f t="shared" si="325"/>
        <v>0</v>
      </c>
      <c r="I2898" s="132"/>
      <c r="J2898" s="132">
        <f t="shared" si="323"/>
        <v>0</v>
      </c>
      <c r="K2898" s="132">
        <f t="shared" si="326"/>
        <v>0</v>
      </c>
      <c r="L2898" s="132">
        <f t="shared" si="327"/>
        <v>0</v>
      </c>
      <c r="M2898" s="133"/>
      <c r="N2898" s="133">
        <f t="shared" si="324"/>
        <v>0</v>
      </c>
      <c r="O2898" s="134"/>
      <c r="P2898" s="133"/>
      <c r="Q2898" s="2"/>
      <c r="R2898" s="156">
        <f t="shared" si="328"/>
        <v>0</v>
      </c>
      <c r="S2898" s="156">
        <f t="shared" si="329"/>
        <v>0</v>
      </c>
      <c r="T2898" s="133"/>
      <c r="U2898" s="133"/>
      <c r="V2898" s="133"/>
      <c r="W2898" s="133"/>
      <c r="X2898" s="133"/>
      <c r="Y2898" s="133"/>
      <c r="Z2898" s="133"/>
      <c r="AA2898" s="133"/>
      <c r="AB2898" s="133"/>
      <c r="AC2898" s="133"/>
      <c r="AD2898" s="133"/>
      <c r="AE2898" s="133"/>
      <c r="AF2898" s="133"/>
      <c r="AG2898" s="133"/>
      <c r="AH2898" s="133"/>
      <c r="AI2898" s="133"/>
      <c r="AJ2898" s="133"/>
      <c r="AK2898" s="133"/>
      <c r="AL2898" s="133"/>
      <c r="AM2898" s="133"/>
      <c r="AN2898" s="133"/>
      <c r="AO2898" s="133"/>
      <c r="AP2898" s="133"/>
      <c r="AQ2898" s="133"/>
      <c r="AR2898" s="133"/>
      <c r="AS2898" s="153">
        <v>0</v>
      </c>
      <c r="AT2898" s="153">
        <v>0</v>
      </c>
      <c r="AU2898" s="153">
        <v>0</v>
      </c>
      <c r="AV2898" s="135"/>
      <c r="AW2898" s="135"/>
      <c r="AX2898" s="135"/>
      <c r="AY2898" s="135"/>
      <c r="AZ2898" s="135"/>
      <c r="BA2898" s="135"/>
      <c r="BB2898" s="135"/>
      <c r="BC2898" s="135"/>
      <c r="BD2898" s="135"/>
      <c r="BE2898" s="135"/>
      <c r="BF2898" s="135"/>
      <c r="BG2898" s="135"/>
      <c r="BH2898" s="135"/>
      <c r="BI2898" s="2"/>
      <c r="BJ2898" s="136"/>
      <c r="BK2898" s="2"/>
      <c r="BL2898" s="136"/>
      <c r="BM2898" s="136"/>
      <c r="BN2898" s="2"/>
      <c r="BO2898" s="2"/>
      <c r="BP2898" s="136"/>
      <c r="BQ2898" s="137"/>
    </row>
    <row r="2899" spans="1:69" ht="12.75" customHeight="1" x14ac:dyDescent="0.2">
      <c r="A2899" s="2">
        <v>4388</v>
      </c>
      <c r="B2899" s="2"/>
      <c r="C2899" s="2"/>
      <c r="D2899" s="2"/>
      <c r="E2899" s="2"/>
      <c r="F2899" s="132">
        <v>0</v>
      </c>
      <c r="G2899" s="132"/>
      <c r="H2899" s="132">
        <f t="shared" si="325"/>
        <v>0</v>
      </c>
      <c r="I2899" s="132"/>
      <c r="J2899" s="132">
        <f t="shared" si="323"/>
        <v>0</v>
      </c>
      <c r="K2899" s="132">
        <f t="shared" si="326"/>
        <v>0</v>
      </c>
      <c r="L2899" s="132">
        <f t="shared" si="327"/>
        <v>0</v>
      </c>
      <c r="M2899" s="133"/>
      <c r="N2899" s="133">
        <f t="shared" si="324"/>
        <v>0</v>
      </c>
      <c r="O2899" s="134"/>
      <c r="P2899" s="133"/>
      <c r="Q2899" s="2"/>
      <c r="R2899" s="156">
        <f t="shared" si="328"/>
        <v>0</v>
      </c>
      <c r="S2899" s="156">
        <f t="shared" si="329"/>
        <v>0</v>
      </c>
      <c r="T2899" s="133"/>
      <c r="U2899" s="133"/>
      <c r="V2899" s="133"/>
      <c r="W2899" s="133"/>
      <c r="X2899" s="133"/>
      <c r="Y2899" s="133"/>
      <c r="Z2899" s="133"/>
      <c r="AA2899" s="133"/>
      <c r="AB2899" s="133"/>
      <c r="AC2899" s="133"/>
      <c r="AD2899" s="133"/>
      <c r="AE2899" s="133"/>
      <c r="AF2899" s="133"/>
      <c r="AG2899" s="133"/>
      <c r="AH2899" s="133"/>
      <c r="AI2899" s="133"/>
      <c r="AJ2899" s="133"/>
      <c r="AK2899" s="133"/>
      <c r="AL2899" s="133"/>
      <c r="AM2899" s="133"/>
      <c r="AN2899" s="133"/>
      <c r="AO2899" s="133"/>
      <c r="AP2899" s="133"/>
      <c r="AQ2899" s="133"/>
      <c r="AR2899" s="133"/>
      <c r="AS2899" s="153">
        <v>0</v>
      </c>
      <c r="AT2899" s="153">
        <v>0</v>
      </c>
      <c r="AU2899" s="153">
        <v>0</v>
      </c>
      <c r="AV2899" s="135"/>
      <c r="AW2899" s="135"/>
      <c r="AX2899" s="135"/>
      <c r="AY2899" s="135"/>
      <c r="AZ2899" s="135"/>
      <c r="BA2899" s="135"/>
      <c r="BB2899" s="135"/>
      <c r="BC2899" s="135"/>
      <c r="BD2899" s="135"/>
      <c r="BE2899" s="135"/>
      <c r="BF2899" s="135"/>
      <c r="BG2899" s="135"/>
      <c r="BH2899" s="135"/>
      <c r="BI2899" s="2"/>
      <c r="BJ2899" s="136"/>
      <c r="BK2899" s="2"/>
      <c r="BL2899" s="136"/>
      <c r="BM2899" s="136"/>
      <c r="BN2899" s="2"/>
      <c r="BO2899" s="2"/>
      <c r="BP2899" s="136"/>
      <c r="BQ2899" s="137"/>
    </row>
    <row r="2900" spans="1:69" ht="12.75" customHeight="1" x14ac:dyDescent="0.2">
      <c r="A2900" s="2">
        <v>4389</v>
      </c>
      <c r="B2900" s="2"/>
      <c r="C2900" s="2"/>
      <c r="D2900" s="2"/>
      <c r="E2900" s="2"/>
      <c r="F2900" s="132">
        <v>0</v>
      </c>
      <c r="G2900" s="132"/>
      <c r="H2900" s="132">
        <f t="shared" si="325"/>
        <v>0</v>
      </c>
      <c r="I2900" s="132"/>
      <c r="J2900" s="132">
        <f t="shared" si="323"/>
        <v>0</v>
      </c>
      <c r="K2900" s="132">
        <f t="shared" si="326"/>
        <v>0</v>
      </c>
      <c r="L2900" s="132">
        <f t="shared" si="327"/>
        <v>0</v>
      </c>
      <c r="M2900" s="133"/>
      <c r="N2900" s="133">
        <f t="shared" si="324"/>
        <v>0</v>
      </c>
      <c r="O2900" s="134"/>
      <c r="P2900" s="133"/>
      <c r="Q2900" s="2"/>
      <c r="R2900" s="156">
        <f t="shared" si="328"/>
        <v>0</v>
      </c>
      <c r="S2900" s="156">
        <f t="shared" si="329"/>
        <v>0</v>
      </c>
      <c r="T2900" s="133"/>
      <c r="U2900" s="133"/>
      <c r="V2900" s="133"/>
      <c r="W2900" s="133"/>
      <c r="X2900" s="133"/>
      <c r="Y2900" s="133"/>
      <c r="Z2900" s="133"/>
      <c r="AA2900" s="133"/>
      <c r="AB2900" s="133"/>
      <c r="AC2900" s="133"/>
      <c r="AD2900" s="133"/>
      <c r="AE2900" s="133"/>
      <c r="AF2900" s="133"/>
      <c r="AG2900" s="133"/>
      <c r="AH2900" s="133"/>
      <c r="AI2900" s="133"/>
      <c r="AJ2900" s="133"/>
      <c r="AK2900" s="133"/>
      <c r="AL2900" s="133"/>
      <c r="AM2900" s="133"/>
      <c r="AN2900" s="133"/>
      <c r="AO2900" s="133"/>
      <c r="AP2900" s="133"/>
      <c r="AQ2900" s="133"/>
      <c r="AR2900" s="133"/>
      <c r="AS2900" s="153">
        <v>0</v>
      </c>
      <c r="AT2900" s="153">
        <v>0</v>
      </c>
      <c r="AU2900" s="153">
        <v>0</v>
      </c>
      <c r="AV2900" s="135"/>
      <c r="AW2900" s="135"/>
      <c r="AX2900" s="135"/>
      <c r="AY2900" s="135"/>
      <c r="AZ2900" s="135"/>
      <c r="BA2900" s="135"/>
      <c r="BB2900" s="135"/>
      <c r="BC2900" s="135"/>
      <c r="BD2900" s="135"/>
      <c r="BE2900" s="135"/>
      <c r="BF2900" s="135"/>
      <c r="BG2900" s="135"/>
      <c r="BH2900" s="135"/>
      <c r="BI2900" s="2"/>
      <c r="BJ2900" s="136"/>
      <c r="BK2900" s="2"/>
      <c r="BL2900" s="136"/>
      <c r="BM2900" s="136"/>
      <c r="BN2900" s="2"/>
      <c r="BO2900" s="2"/>
      <c r="BP2900" s="136"/>
      <c r="BQ2900" s="137"/>
    </row>
    <row r="2901" spans="1:69" ht="12.75" customHeight="1" x14ac:dyDescent="0.2">
      <c r="A2901" s="2">
        <v>4390</v>
      </c>
      <c r="B2901" s="2"/>
      <c r="C2901" s="2"/>
      <c r="D2901" s="2"/>
      <c r="E2901" s="2"/>
      <c r="F2901" s="132">
        <v>0</v>
      </c>
      <c r="G2901" s="132"/>
      <c r="H2901" s="132">
        <f t="shared" si="325"/>
        <v>0</v>
      </c>
      <c r="I2901" s="132"/>
      <c r="J2901" s="132">
        <f t="shared" si="323"/>
        <v>0</v>
      </c>
      <c r="K2901" s="132">
        <f t="shared" si="326"/>
        <v>0</v>
      </c>
      <c r="L2901" s="132">
        <f t="shared" si="327"/>
        <v>0</v>
      </c>
      <c r="M2901" s="133"/>
      <c r="N2901" s="133">
        <f t="shared" si="324"/>
        <v>0</v>
      </c>
      <c r="O2901" s="134"/>
      <c r="P2901" s="133"/>
      <c r="Q2901" s="2"/>
      <c r="R2901" s="156">
        <f t="shared" si="328"/>
        <v>0</v>
      </c>
      <c r="S2901" s="156">
        <f t="shared" si="329"/>
        <v>0</v>
      </c>
      <c r="T2901" s="133"/>
      <c r="U2901" s="133"/>
      <c r="V2901" s="133"/>
      <c r="W2901" s="133"/>
      <c r="X2901" s="133"/>
      <c r="Y2901" s="133"/>
      <c r="Z2901" s="133"/>
      <c r="AA2901" s="133"/>
      <c r="AB2901" s="133"/>
      <c r="AC2901" s="133"/>
      <c r="AD2901" s="133"/>
      <c r="AE2901" s="133"/>
      <c r="AF2901" s="133"/>
      <c r="AG2901" s="133"/>
      <c r="AH2901" s="133"/>
      <c r="AI2901" s="133"/>
      <c r="AJ2901" s="133"/>
      <c r="AK2901" s="133"/>
      <c r="AL2901" s="133"/>
      <c r="AM2901" s="133"/>
      <c r="AN2901" s="133"/>
      <c r="AO2901" s="133"/>
      <c r="AP2901" s="133"/>
      <c r="AQ2901" s="133"/>
      <c r="AR2901" s="133"/>
      <c r="AS2901" s="153">
        <v>0</v>
      </c>
      <c r="AT2901" s="153">
        <v>0</v>
      </c>
      <c r="AU2901" s="153">
        <v>0</v>
      </c>
      <c r="AV2901" s="135"/>
      <c r="AW2901" s="135"/>
      <c r="AX2901" s="135"/>
      <c r="AY2901" s="135"/>
      <c r="AZ2901" s="135"/>
      <c r="BA2901" s="135"/>
      <c r="BB2901" s="135"/>
      <c r="BC2901" s="135"/>
      <c r="BD2901" s="135"/>
      <c r="BE2901" s="135"/>
      <c r="BF2901" s="135"/>
      <c r="BG2901" s="135"/>
      <c r="BH2901" s="135"/>
      <c r="BI2901" s="2"/>
      <c r="BJ2901" s="136"/>
      <c r="BK2901" s="2"/>
      <c r="BL2901" s="136"/>
      <c r="BM2901" s="136"/>
      <c r="BN2901" s="2"/>
      <c r="BO2901" s="2"/>
      <c r="BP2901" s="136"/>
      <c r="BQ2901" s="137"/>
    </row>
    <row r="2902" spans="1:69" ht="12.75" customHeight="1" x14ac:dyDescent="0.2">
      <c r="A2902" s="2">
        <v>4391</v>
      </c>
      <c r="B2902" s="2"/>
      <c r="C2902" s="2"/>
      <c r="D2902" s="2"/>
      <c r="E2902" s="2"/>
      <c r="F2902" s="132">
        <v>0</v>
      </c>
      <c r="G2902" s="132"/>
      <c r="H2902" s="132">
        <f t="shared" si="325"/>
        <v>0</v>
      </c>
      <c r="I2902" s="132"/>
      <c r="J2902" s="132">
        <f t="shared" si="323"/>
        <v>0</v>
      </c>
      <c r="K2902" s="132">
        <f t="shared" si="326"/>
        <v>0</v>
      </c>
      <c r="L2902" s="132">
        <f t="shared" si="327"/>
        <v>0</v>
      </c>
      <c r="M2902" s="133"/>
      <c r="N2902" s="133">
        <f t="shared" si="324"/>
        <v>0</v>
      </c>
      <c r="O2902" s="134"/>
      <c r="P2902" s="133"/>
      <c r="Q2902" s="2"/>
      <c r="R2902" s="156">
        <f t="shared" si="328"/>
        <v>0</v>
      </c>
      <c r="S2902" s="156">
        <f t="shared" si="329"/>
        <v>0</v>
      </c>
      <c r="T2902" s="133"/>
      <c r="U2902" s="133"/>
      <c r="V2902" s="133"/>
      <c r="W2902" s="133"/>
      <c r="X2902" s="133"/>
      <c r="Y2902" s="133"/>
      <c r="Z2902" s="133"/>
      <c r="AA2902" s="133"/>
      <c r="AB2902" s="133"/>
      <c r="AC2902" s="133"/>
      <c r="AD2902" s="133"/>
      <c r="AE2902" s="133"/>
      <c r="AF2902" s="133"/>
      <c r="AG2902" s="133"/>
      <c r="AH2902" s="133"/>
      <c r="AI2902" s="133"/>
      <c r="AJ2902" s="133"/>
      <c r="AK2902" s="133"/>
      <c r="AL2902" s="133"/>
      <c r="AM2902" s="133"/>
      <c r="AN2902" s="133"/>
      <c r="AO2902" s="133"/>
      <c r="AP2902" s="133"/>
      <c r="AQ2902" s="133"/>
      <c r="AR2902" s="133"/>
      <c r="AS2902" s="153">
        <v>0</v>
      </c>
      <c r="AT2902" s="153">
        <v>0</v>
      </c>
      <c r="AU2902" s="153">
        <v>0</v>
      </c>
      <c r="AV2902" s="135"/>
      <c r="AW2902" s="135"/>
      <c r="AX2902" s="135"/>
      <c r="AY2902" s="135"/>
      <c r="AZ2902" s="135"/>
      <c r="BA2902" s="135"/>
      <c r="BB2902" s="135"/>
      <c r="BC2902" s="135"/>
      <c r="BD2902" s="135"/>
      <c r="BE2902" s="135"/>
      <c r="BF2902" s="135"/>
      <c r="BG2902" s="135"/>
      <c r="BH2902" s="135"/>
      <c r="BI2902" s="2"/>
      <c r="BJ2902" s="136"/>
      <c r="BK2902" s="2"/>
      <c r="BL2902" s="136"/>
      <c r="BM2902" s="136"/>
      <c r="BN2902" s="2"/>
      <c r="BO2902" s="2"/>
      <c r="BP2902" s="136"/>
      <c r="BQ2902" s="137"/>
    </row>
    <row r="2903" spans="1:69" ht="12.75" customHeight="1" x14ac:dyDescent="0.2">
      <c r="A2903" s="2">
        <v>4392</v>
      </c>
      <c r="B2903" s="2"/>
      <c r="C2903" s="2"/>
      <c r="D2903" s="2"/>
      <c r="E2903" s="2"/>
      <c r="F2903" s="132">
        <v>0</v>
      </c>
      <c r="G2903" s="132"/>
      <c r="H2903" s="132">
        <f t="shared" si="325"/>
        <v>0</v>
      </c>
      <c r="I2903" s="132"/>
      <c r="J2903" s="132">
        <f t="shared" si="323"/>
        <v>0</v>
      </c>
      <c r="K2903" s="132">
        <f t="shared" si="326"/>
        <v>0</v>
      </c>
      <c r="L2903" s="132">
        <f t="shared" si="327"/>
        <v>0</v>
      </c>
      <c r="M2903" s="133"/>
      <c r="N2903" s="133">
        <f t="shared" si="324"/>
        <v>0</v>
      </c>
      <c r="O2903" s="134"/>
      <c r="P2903" s="133"/>
      <c r="Q2903" s="2"/>
      <c r="R2903" s="156">
        <f t="shared" si="328"/>
        <v>0</v>
      </c>
      <c r="S2903" s="156">
        <f t="shared" si="329"/>
        <v>0</v>
      </c>
      <c r="T2903" s="133"/>
      <c r="U2903" s="133"/>
      <c r="V2903" s="133"/>
      <c r="W2903" s="133"/>
      <c r="X2903" s="133"/>
      <c r="Y2903" s="133"/>
      <c r="Z2903" s="133"/>
      <c r="AA2903" s="133"/>
      <c r="AB2903" s="133"/>
      <c r="AC2903" s="133"/>
      <c r="AD2903" s="133"/>
      <c r="AE2903" s="133"/>
      <c r="AF2903" s="133"/>
      <c r="AG2903" s="133"/>
      <c r="AH2903" s="133"/>
      <c r="AI2903" s="133"/>
      <c r="AJ2903" s="133"/>
      <c r="AK2903" s="133"/>
      <c r="AL2903" s="133"/>
      <c r="AM2903" s="133"/>
      <c r="AN2903" s="133"/>
      <c r="AO2903" s="133"/>
      <c r="AP2903" s="133"/>
      <c r="AQ2903" s="133"/>
      <c r="AR2903" s="133"/>
      <c r="AS2903" s="153">
        <v>0</v>
      </c>
      <c r="AT2903" s="153">
        <v>0</v>
      </c>
      <c r="AU2903" s="153">
        <v>0</v>
      </c>
      <c r="AV2903" s="135"/>
      <c r="AW2903" s="135"/>
      <c r="AX2903" s="135"/>
      <c r="AY2903" s="135"/>
      <c r="AZ2903" s="135"/>
      <c r="BA2903" s="135"/>
      <c r="BB2903" s="135"/>
      <c r="BC2903" s="135"/>
      <c r="BD2903" s="135"/>
      <c r="BE2903" s="135"/>
      <c r="BF2903" s="135"/>
      <c r="BG2903" s="135"/>
      <c r="BH2903" s="135"/>
      <c r="BI2903" s="2"/>
      <c r="BJ2903" s="136"/>
      <c r="BK2903" s="2"/>
      <c r="BL2903" s="136"/>
      <c r="BM2903" s="136"/>
      <c r="BN2903" s="2"/>
      <c r="BO2903" s="2"/>
      <c r="BP2903" s="136"/>
      <c r="BQ2903" s="137"/>
    </row>
    <row r="2904" spans="1:69" ht="12.75" customHeight="1" x14ac:dyDescent="0.2">
      <c r="A2904" s="2">
        <v>4393</v>
      </c>
      <c r="B2904" s="2"/>
      <c r="C2904" s="2"/>
      <c r="D2904" s="2"/>
      <c r="E2904" s="2"/>
      <c r="F2904" s="132">
        <v>0</v>
      </c>
      <c r="G2904" s="132"/>
      <c r="H2904" s="132">
        <f t="shared" si="325"/>
        <v>0</v>
      </c>
      <c r="I2904" s="132"/>
      <c r="J2904" s="132">
        <f t="shared" si="323"/>
        <v>0</v>
      </c>
      <c r="K2904" s="132">
        <f t="shared" si="326"/>
        <v>0</v>
      </c>
      <c r="L2904" s="132">
        <f t="shared" si="327"/>
        <v>0</v>
      </c>
      <c r="M2904" s="133"/>
      <c r="N2904" s="133">
        <f t="shared" si="324"/>
        <v>0</v>
      </c>
      <c r="O2904" s="134"/>
      <c r="P2904" s="133"/>
      <c r="Q2904" s="2"/>
      <c r="R2904" s="156">
        <f t="shared" si="328"/>
        <v>0</v>
      </c>
      <c r="S2904" s="156">
        <f t="shared" si="329"/>
        <v>0</v>
      </c>
      <c r="T2904" s="133"/>
      <c r="U2904" s="133"/>
      <c r="V2904" s="133"/>
      <c r="W2904" s="133"/>
      <c r="X2904" s="133"/>
      <c r="Y2904" s="133"/>
      <c r="Z2904" s="133"/>
      <c r="AA2904" s="133"/>
      <c r="AB2904" s="133"/>
      <c r="AC2904" s="133"/>
      <c r="AD2904" s="133"/>
      <c r="AE2904" s="133"/>
      <c r="AF2904" s="133"/>
      <c r="AG2904" s="133"/>
      <c r="AH2904" s="133"/>
      <c r="AI2904" s="133"/>
      <c r="AJ2904" s="133"/>
      <c r="AK2904" s="133"/>
      <c r="AL2904" s="133"/>
      <c r="AM2904" s="133"/>
      <c r="AN2904" s="133"/>
      <c r="AO2904" s="133"/>
      <c r="AP2904" s="133"/>
      <c r="AQ2904" s="133"/>
      <c r="AR2904" s="133"/>
      <c r="AS2904" s="153">
        <v>0</v>
      </c>
      <c r="AT2904" s="153">
        <v>0</v>
      </c>
      <c r="AU2904" s="153">
        <v>0</v>
      </c>
      <c r="AV2904" s="135"/>
      <c r="AW2904" s="135"/>
      <c r="AX2904" s="135"/>
      <c r="AY2904" s="135"/>
      <c r="AZ2904" s="135"/>
      <c r="BA2904" s="135"/>
      <c r="BB2904" s="135"/>
      <c r="BC2904" s="135"/>
      <c r="BD2904" s="135"/>
      <c r="BE2904" s="135"/>
      <c r="BF2904" s="135"/>
      <c r="BG2904" s="135"/>
      <c r="BH2904" s="135"/>
      <c r="BI2904" s="2"/>
      <c r="BJ2904" s="136"/>
      <c r="BK2904" s="2"/>
      <c r="BL2904" s="136"/>
      <c r="BM2904" s="136"/>
      <c r="BN2904" s="2"/>
      <c r="BO2904" s="2"/>
      <c r="BP2904" s="136"/>
      <c r="BQ2904" s="137"/>
    </row>
    <row r="2905" spans="1:69" ht="12.75" customHeight="1" x14ac:dyDescent="0.2">
      <c r="A2905" s="2">
        <v>4394</v>
      </c>
      <c r="B2905" s="2"/>
      <c r="C2905" s="2"/>
      <c r="D2905" s="2"/>
      <c r="E2905" s="2"/>
      <c r="F2905" s="132">
        <v>0</v>
      </c>
      <c r="G2905" s="132"/>
      <c r="H2905" s="132">
        <f t="shared" si="325"/>
        <v>0</v>
      </c>
      <c r="I2905" s="132"/>
      <c r="J2905" s="132">
        <f t="shared" si="323"/>
        <v>0</v>
      </c>
      <c r="K2905" s="132">
        <f t="shared" si="326"/>
        <v>0</v>
      </c>
      <c r="L2905" s="132">
        <f t="shared" si="327"/>
        <v>0</v>
      </c>
      <c r="M2905" s="133"/>
      <c r="N2905" s="133">
        <f t="shared" si="324"/>
        <v>0</v>
      </c>
      <c r="O2905" s="134"/>
      <c r="P2905" s="133"/>
      <c r="Q2905" s="2"/>
      <c r="R2905" s="156">
        <f t="shared" si="328"/>
        <v>0</v>
      </c>
      <c r="S2905" s="156">
        <f t="shared" si="329"/>
        <v>0</v>
      </c>
      <c r="T2905" s="133"/>
      <c r="U2905" s="133"/>
      <c r="V2905" s="133"/>
      <c r="W2905" s="133"/>
      <c r="X2905" s="133"/>
      <c r="Y2905" s="133"/>
      <c r="Z2905" s="133"/>
      <c r="AA2905" s="133"/>
      <c r="AB2905" s="133"/>
      <c r="AC2905" s="133"/>
      <c r="AD2905" s="133"/>
      <c r="AE2905" s="133"/>
      <c r="AF2905" s="133"/>
      <c r="AG2905" s="133"/>
      <c r="AH2905" s="133"/>
      <c r="AI2905" s="133"/>
      <c r="AJ2905" s="133"/>
      <c r="AK2905" s="133"/>
      <c r="AL2905" s="133"/>
      <c r="AM2905" s="133"/>
      <c r="AN2905" s="133"/>
      <c r="AO2905" s="133"/>
      <c r="AP2905" s="133"/>
      <c r="AQ2905" s="133"/>
      <c r="AR2905" s="133"/>
      <c r="AS2905" s="153">
        <v>0</v>
      </c>
      <c r="AT2905" s="153">
        <v>0</v>
      </c>
      <c r="AU2905" s="153">
        <v>0</v>
      </c>
      <c r="AV2905" s="135"/>
      <c r="AW2905" s="135"/>
      <c r="AX2905" s="135"/>
      <c r="AY2905" s="135"/>
      <c r="AZ2905" s="135"/>
      <c r="BA2905" s="135"/>
      <c r="BB2905" s="135"/>
      <c r="BC2905" s="135"/>
      <c r="BD2905" s="135"/>
      <c r="BE2905" s="135"/>
      <c r="BF2905" s="135"/>
      <c r="BG2905" s="135"/>
      <c r="BH2905" s="135"/>
      <c r="BI2905" s="2"/>
      <c r="BJ2905" s="136"/>
      <c r="BK2905" s="2"/>
      <c r="BL2905" s="136"/>
      <c r="BM2905" s="136"/>
      <c r="BN2905" s="2"/>
      <c r="BO2905" s="2"/>
      <c r="BP2905" s="136"/>
      <c r="BQ2905" s="137"/>
    </row>
    <row r="2906" spans="1:69" ht="12.75" customHeight="1" x14ac:dyDescent="0.2">
      <c r="A2906" s="2">
        <v>4395</v>
      </c>
      <c r="B2906" s="2"/>
      <c r="C2906" s="2"/>
      <c r="D2906" s="2"/>
      <c r="E2906" s="2"/>
      <c r="F2906" s="132">
        <v>0</v>
      </c>
      <c r="G2906" s="132"/>
      <c r="H2906" s="132">
        <f t="shared" si="325"/>
        <v>0</v>
      </c>
      <c r="I2906" s="132"/>
      <c r="J2906" s="132">
        <f t="shared" si="323"/>
        <v>0</v>
      </c>
      <c r="K2906" s="132">
        <f t="shared" si="326"/>
        <v>0</v>
      </c>
      <c r="L2906" s="132">
        <f t="shared" si="327"/>
        <v>0</v>
      </c>
      <c r="M2906" s="133"/>
      <c r="N2906" s="133">
        <f t="shared" si="324"/>
        <v>0</v>
      </c>
      <c r="O2906" s="134"/>
      <c r="P2906" s="133"/>
      <c r="Q2906" s="2"/>
      <c r="R2906" s="156">
        <f t="shared" si="328"/>
        <v>0</v>
      </c>
      <c r="S2906" s="156">
        <f t="shared" si="329"/>
        <v>0</v>
      </c>
      <c r="T2906" s="133"/>
      <c r="U2906" s="133"/>
      <c r="V2906" s="133"/>
      <c r="W2906" s="133"/>
      <c r="X2906" s="133"/>
      <c r="Y2906" s="133"/>
      <c r="Z2906" s="133"/>
      <c r="AA2906" s="133"/>
      <c r="AB2906" s="133"/>
      <c r="AC2906" s="133"/>
      <c r="AD2906" s="133"/>
      <c r="AE2906" s="133"/>
      <c r="AF2906" s="133"/>
      <c r="AG2906" s="133"/>
      <c r="AH2906" s="133"/>
      <c r="AI2906" s="133"/>
      <c r="AJ2906" s="133"/>
      <c r="AK2906" s="133"/>
      <c r="AL2906" s="133"/>
      <c r="AM2906" s="133"/>
      <c r="AN2906" s="133"/>
      <c r="AO2906" s="133"/>
      <c r="AP2906" s="133"/>
      <c r="AQ2906" s="133"/>
      <c r="AR2906" s="133"/>
      <c r="AS2906" s="153">
        <v>0</v>
      </c>
      <c r="AT2906" s="153">
        <v>0</v>
      </c>
      <c r="AU2906" s="153">
        <v>0</v>
      </c>
      <c r="AV2906" s="135"/>
      <c r="AW2906" s="135"/>
      <c r="AX2906" s="135"/>
      <c r="AY2906" s="135"/>
      <c r="AZ2906" s="135"/>
      <c r="BA2906" s="135"/>
      <c r="BB2906" s="135"/>
      <c r="BC2906" s="135"/>
      <c r="BD2906" s="135"/>
      <c r="BE2906" s="135"/>
      <c r="BF2906" s="135"/>
      <c r="BG2906" s="135"/>
      <c r="BH2906" s="135"/>
      <c r="BI2906" s="2"/>
      <c r="BJ2906" s="136"/>
      <c r="BK2906" s="2"/>
      <c r="BL2906" s="136"/>
      <c r="BM2906" s="136"/>
      <c r="BN2906" s="2"/>
      <c r="BO2906" s="2"/>
      <c r="BP2906" s="136"/>
      <c r="BQ2906" s="137"/>
    </row>
    <row r="2907" spans="1:69" ht="12.75" customHeight="1" x14ac:dyDescent="0.2">
      <c r="A2907" s="2">
        <v>4396</v>
      </c>
      <c r="B2907" s="2"/>
      <c r="C2907" s="2"/>
      <c r="D2907" s="2"/>
      <c r="E2907" s="2"/>
      <c r="F2907" s="132">
        <v>0</v>
      </c>
      <c r="G2907" s="132"/>
      <c r="H2907" s="132">
        <f t="shared" si="325"/>
        <v>0</v>
      </c>
      <c r="I2907" s="132"/>
      <c r="J2907" s="132">
        <f t="shared" si="323"/>
        <v>0</v>
      </c>
      <c r="K2907" s="132">
        <f t="shared" si="326"/>
        <v>0</v>
      </c>
      <c r="L2907" s="132">
        <f t="shared" si="327"/>
        <v>0</v>
      </c>
      <c r="M2907" s="133"/>
      <c r="N2907" s="133">
        <f t="shared" si="324"/>
        <v>0</v>
      </c>
      <c r="O2907" s="134"/>
      <c r="P2907" s="133"/>
      <c r="Q2907" s="2"/>
      <c r="R2907" s="156">
        <f t="shared" si="328"/>
        <v>0</v>
      </c>
      <c r="S2907" s="156">
        <f t="shared" si="329"/>
        <v>0</v>
      </c>
      <c r="T2907" s="133"/>
      <c r="U2907" s="133"/>
      <c r="V2907" s="133"/>
      <c r="W2907" s="133"/>
      <c r="X2907" s="133"/>
      <c r="Y2907" s="133"/>
      <c r="Z2907" s="133"/>
      <c r="AA2907" s="133"/>
      <c r="AB2907" s="133"/>
      <c r="AC2907" s="133"/>
      <c r="AD2907" s="133"/>
      <c r="AE2907" s="133"/>
      <c r="AF2907" s="133"/>
      <c r="AG2907" s="133"/>
      <c r="AH2907" s="133"/>
      <c r="AI2907" s="133"/>
      <c r="AJ2907" s="133"/>
      <c r="AK2907" s="133"/>
      <c r="AL2907" s="133"/>
      <c r="AM2907" s="133"/>
      <c r="AN2907" s="133"/>
      <c r="AO2907" s="133"/>
      <c r="AP2907" s="133"/>
      <c r="AQ2907" s="133"/>
      <c r="AR2907" s="133"/>
      <c r="AS2907" s="153">
        <v>0</v>
      </c>
      <c r="AT2907" s="153">
        <v>0</v>
      </c>
      <c r="AU2907" s="153">
        <v>0</v>
      </c>
      <c r="AV2907" s="135"/>
      <c r="AW2907" s="135"/>
      <c r="AX2907" s="135"/>
      <c r="AY2907" s="135"/>
      <c r="AZ2907" s="135"/>
      <c r="BA2907" s="135"/>
      <c r="BB2907" s="135"/>
      <c r="BC2907" s="135"/>
      <c r="BD2907" s="135"/>
      <c r="BE2907" s="135"/>
      <c r="BF2907" s="135"/>
      <c r="BG2907" s="135"/>
      <c r="BH2907" s="135"/>
      <c r="BI2907" s="2"/>
      <c r="BJ2907" s="136"/>
      <c r="BK2907" s="2"/>
      <c r="BL2907" s="136"/>
      <c r="BM2907" s="136"/>
      <c r="BN2907" s="2"/>
      <c r="BO2907" s="2"/>
      <c r="BP2907" s="136"/>
      <c r="BQ2907" s="137"/>
    </row>
    <row r="2908" spans="1:69" ht="12.75" customHeight="1" x14ac:dyDescent="0.2">
      <c r="A2908" s="2">
        <v>4397</v>
      </c>
      <c r="B2908" s="2"/>
      <c r="C2908" s="2"/>
      <c r="D2908" s="2"/>
      <c r="E2908" s="2"/>
      <c r="F2908" s="132">
        <v>0</v>
      </c>
      <c r="G2908" s="132"/>
      <c r="H2908" s="132">
        <f t="shared" si="325"/>
        <v>0</v>
      </c>
      <c r="I2908" s="132"/>
      <c r="J2908" s="132">
        <f t="shared" si="323"/>
        <v>0</v>
      </c>
      <c r="K2908" s="132">
        <f t="shared" si="326"/>
        <v>0</v>
      </c>
      <c r="L2908" s="132">
        <f t="shared" si="327"/>
        <v>0</v>
      </c>
      <c r="M2908" s="133"/>
      <c r="N2908" s="133">
        <f t="shared" si="324"/>
        <v>0</v>
      </c>
      <c r="O2908" s="134"/>
      <c r="P2908" s="133"/>
      <c r="Q2908" s="2"/>
      <c r="R2908" s="156">
        <f t="shared" si="328"/>
        <v>0</v>
      </c>
      <c r="S2908" s="156">
        <f t="shared" si="329"/>
        <v>0</v>
      </c>
      <c r="T2908" s="133"/>
      <c r="U2908" s="133"/>
      <c r="V2908" s="133"/>
      <c r="W2908" s="133"/>
      <c r="X2908" s="133"/>
      <c r="Y2908" s="133"/>
      <c r="Z2908" s="133"/>
      <c r="AA2908" s="133"/>
      <c r="AB2908" s="133"/>
      <c r="AC2908" s="133"/>
      <c r="AD2908" s="133"/>
      <c r="AE2908" s="133"/>
      <c r="AF2908" s="133"/>
      <c r="AG2908" s="133"/>
      <c r="AH2908" s="133"/>
      <c r="AI2908" s="133"/>
      <c r="AJ2908" s="133"/>
      <c r="AK2908" s="133"/>
      <c r="AL2908" s="133"/>
      <c r="AM2908" s="133"/>
      <c r="AN2908" s="133"/>
      <c r="AO2908" s="133"/>
      <c r="AP2908" s="133"/>
      <c r="AQ2908" s="133"/>
      <c r="AR2908" s="133"/>
      <c r="AS2908" s="153">
        <v>0</v>
      </c>
      <c r="AT2908" s="153">
        <v>0</v>
      </c>
      <c r="AU2908" s="153">
        <v>0</v>
      </c>
      <c r="AV2908" s="135"/>
      <c r="AW2908" s="135"/>
      <c r="AX2908" s="135"/>
      <c r="AY2908" s="135"/>
      <c r="AZ2908" s="135"/>
      <c r="BA2908" s="135"/>
      <c r="BB2908" s="135"/>
      <c r="BC2908" s="135"/>
      <c r="BD2908" s="135"/>
      <c r="BE2908" s="135"/>
      <c r="BF2908" s="135"/>
      <c r="BG2908" s="135"/>
      <c r="BH2908" s="135"/>
      <c r="BI2908" s="2"/>
      <c r="BJ2908" s="136"/>
      <c r="BK2908" s="2"/>
      <c r="BL2908" s="136"/>
      <c r="BM2908" s="136"/>
      <c r="BN2908" s="2"/>
      <c r="BO2908" s="2"/>
      <c r="BP2908" s="136"/>
      <c r="BQ2908" s="137"/>
    </row>
    <row r="2909" spans="1:69" ht="12.75" customHeight="1" x14ac:dyDescent="0.2">
      <c r="A2909" s="2">
        <v>4398</v>
      </c>
      <c r="B2909" s="2"/>
      <c r="C2909" s="2"/>
      <c r="D2909" s="2"/>
      <c r="E2909" s="2"/>
      <c r="F2909" s="132">
        <v>0</v>
      </c>
      <c r="G2909" s="132"/>
      <c r="H2909" s="132">
        <f t="shared" si="325"/>
        <v>0</v>
      </c>
      <c r="I2909" s="132"/>
      <c r="J2909" s="132">
        <f t="shared" si="323"/>
        <v>0</v>
      </c>
      <c r="K2909" s="132">
        <f t="shared" si="326"/>
        <v>0</v>
      </c>
      <c r="L2909" s="132">
        <f t="shared" si="327"/>
        <v>0</v>
      </c>
      <c r="M2909" s="133"/>
      <c r="N2909" s="133">
        <f t="shared" si="324"/>
        <v>0</v>
      </c>
      <c r="O2909" s="134"/>
      <c r="P2909" s="133"/>
      <c r="Q2909" s="2"/>
      <c r="R2909" s="156">
        <f t="shared" si="328"/>
        <v>0</v>
      </c>
      <c r="S2909" s="156">
        <f t="shared" si="329"/>
        <v>0</v>
      </c>
      <c r="T2909" s="133"/>
      <c r="U2909" s="133"/>
      <c r="V2909" s="133"/>
      <c r="W2909" s="133"/>
      <c r="X2909" s="133"/>
      <c r="Y2909" s="133"/>
      <c r="Z2909" s="133"/>
      <c r="AA2909" s="133"/>
      <c r="AB2909" s="133"/>
      <c r="AC2909" s="133"/>
      <c r="AD2909" s="133"/>
      <c r="AE2909" s="133"/>
      <c r="AF2909" s="133"/>
      <c r="AG2909" s="133"/>
      <c r="AH2909" s="133"/>
      <c r="AI2909" s="133"/>
      <c r="AJ2909" s="133"/>
      <c r="AK2909" s="133"/>
      <c r="AL2909" s="133"/>
      <c r="AM2909" s="133"/>
      <c r="AN2909" s="133"/>
      <c r="AO2909" s="133"/>
      <c r="AP2909" s="133"/>
      <c r="AQ2909" s="133"/>
      <c r="AR2909" s="133"/>
      <c r="AS2909" s="153">
        <v>0</v>
      </c>
      <c r="AT2909" s="153">
        <v>0</v>
      </c>
      <c r="AU2909" s="153">
        <v>0</v>
      </c>
      <c r="AV2909" s="135"/>
      <c r="AW2909" s="135"/>
      <c r="AX2909" s="135"/>
      <c r="AY2909" s="135"/>
      <c r="AZ2909" s="135"/>
      <c r="BA2909" s="135"/>
      <c r="BB2909" s="135"/>
      <c r="BC2909" s="135"/>
      <c r="BD2909" s="135"/>
      <c r="BE2909" s="135"/>
      <c r="BF2909" s="135"/>
      <c r="BG2909" s="135"/>
      <c r="BH2909" s="135"/>
      <c r="BI2909" s="2"/>
      <c r="BJ2909" s="136"/>
      <c r="BK2909" s="2"/>
      <c r="BL2909" s="136"/>
      <c r="BM2909" s="136"/>
      <c r="BN2909" s="2"/>
      <c r="BO2909" s="2"/>
      <c r="BP2909" s="136"/>
      <c r="BQ2909" s="137"/>
    </row>
    <row r="2910" spans="1:69" ht="12.75" customHeight="1" x14ac:dyDescent="0.2">
      <c r="A2910" s="2">
        <v>4399</v>
      </c>
      <c r="B2910" s="2"/>
      <c r="C2910" s="2"/>
      <c r="D2910" s="2"/>
      <c r="E2910" s="2"/>
      <c r="F2910" s="132">
        <v>0</v>
      </c>
      <c r="G2910" s="132"/>
      <c r="H2910" s="132">
        <f t="shared" si="325"/>
        <v>0</v>
      </c>
      <c r="I2910" s="132"/>
      <c r="J2910" s="132">
        <f t="shared" si="323"/>
        <v>0</v>
      </c>
      <c r="K2910" s="132">
        <f t="shared" si="326"/>
        <v>0</v>
      </c>
      <c r="L2910" s="132">
        <f t="shared" si="327"/>
        <v>0</v>
      </c>
      <c r="M2910" s="133"/>
      <c r="N2910" s="133">
        <f t="shared" si="324"/>
        <v>0</v>
      </c>
      <c r="O2910" s="134"/>
      <c r="P2910" s="133"/>
      <c r="Q2910" s="2"/>
      <c r="R2910" s="156">
        <f t="shared" si="328"/>
        <v>0</v>
      </c>
      <c r="S2910" s="156">
        <f t="shared" si="329"/>
        <v>0</v>
      </c>
      <c r="T2910" s="133"/>
      <c r="U2910" s="133"/>
      <c r="V2910" s="133"/>
      <c r="W2910" s="133"/>
      <c r="X2910" s="133"/>
      <c r="Y2910" s="133"/>
      <c r="Z2910" s="133"/>
      <c r="AA2910" s="133"/>
      <c r="AB2910" s="133"/>
      <c r="AC2910" s="133"/>
      <c r="AD2910" s="133"/>
      <c r="AE2910" s="133"/>
      <c r="AF2910" s="133"/>
      <c r="AG2910" s="133"/>
      <c r="AH2910" s="133"/>
      <c r="AI2910" s="133"/>
      <c r="AJ2910" s="133"/>
      <c r="AK2910" s="133"/>
      <c r="AL2910" s="133"/>
      <c r="AM2910" s="133"/>
      <c r="AN2910" s="133"/>
      <c r="AO2910" s="133"/>
      <c r="AP2910" s="133"/>
      <c r="AQ2910" s="133"/>
      <c r="AR2910" s="133"/>
      <c r="AS2910" s="153">
        <v>0</v>
      </c>
      <c r="AT2910" s="153">
        <v>0</v>
      </c>
      <c r="AU2910" s="153">
        <v>0</v>
      </c>
      <c r="AV2910" s="135"/>
      <c r="AW2910" s="135"/>
      <c r="AX2910" s="135"/>
      <c r="AY2910" s="135"/>
      <c r="AZ2910" s="135"/>
      <c r="BA2910" s="135"/>
      <c r="BB2910" s="135"/>
      <c r="BC2910" s="135"/>
      <c r="BD2910" s="135"/>
      <c r="BE2910" s="135"/>
      <c r="BF2910" s="135"/>
      <c r="BG2910" s="135"/>
      <c r="BH2910" s="135"/>
      <c r="BI2910" s="2"/>
      <c r="BJ2910" s="136"/>
      <c r="BK2910" s="2"/>
      <c r="BL2910" s="136"/>
      <c r="BM2910" s="136"/>
      <c r="BN2910" s="2"/>
      <c r="BO2910" s="2"/>
      <c r="BP2910" s="136"/>
      <c r="BQ2910" s="137"/>
    </row>
    <row r="2911" spans="1:69" ht="12.75" customHeight="1" x14ac:dyDescent="0.2">
      <c r="A2911" s="2">
        <v>4400</v>
      </c>
      <c r="B2911" s="2"/>
      <c r="C2911" s="2"/>
      <c r="D2911" s="2"/>
      <c r="E2911" s="2"/>
      <c r="F2911" s="132">
        <v>0</v>
      </c>
      <c r="G2911" s="132"/>
      <c r="H2911" s="132">
        <f t="shared" si="325"/>
        <v>0</v>
      </c>
      <c r="I2911" s="132"/>
      <c r="J2911" s="132">
        <f t="shared" si="323"/>
        <v>0</v>
      </c>
      <c r="K2911" s="132">
        <f t="shared" si="326"/>
        <v>0</v>
      </c>
      <c r="L2911" s="132">
        <f t="shared" si="327"/>
        <v>0</v>
      </c>
      <c r="M2911" s="133"/>
      <c r="N2911" s="133">
        <f t="shared" si="324"/>
        <v>0</v>
      </c>
      <c r="O2911" s="134"/>
      <c r="P2911" s="133"/>
      <c r="Q2911" s="2"/>
      <c r="R2911" s="156">
        <f t="shared" si="328"/>
        <v>0</v>
      </c>
      <c r="S2911" s="156">
        <f t="shared" si="329"/>
        <v>0</v>
      </c>
      <c r="T2911" s="133"/>
      <c r="U2911" s="133"/>
      <c r="V2911" s="133"/>
      <c r="W2911" s="133"/>
      <c r="X2911" s="133"/>
      <c r="Y2911" s="133"/>
      <c r="Z2911" s="133"/>
      <c r="AA2911" s="133"/>
      <c r="AB2911" s="133"/>
      <c r="AC2911" s="133"/>
      <c r="AD2911" s="133"/>
      <c r="AE2911" s="133"/>
      <c r="AF2911" s="133"/>
      <c r="AG2911" s="133"/>
      <c r="AH2911" s="133"/>
      <c r="AI2911" s="133"/>
      <c r="AJ2911" s="133"/>
      <c r="AK2911" s="133"/>
      <c r="AL2911" s="133"/>
      <c r="AM2911" s="133"/>
      <c r="AN2911" s="133"/>
      <c r="AO2911" s="133"/>
      <c r="AP2911" s="133"/>
      <c r="AQ2911" s="133"/>
      <c r="AR2911" s="133"/>
      <c r="AS2911" s="153">
        <v>0</v>
      </c>
      <c r="AT2911" s="153">
        <v>0</v>
      </c>
      <c r="AU2911" s="153">
        <v>0</v>
      </c>
      <c r="AV2911" s="135"/>
      <c r="AW2911" s="135"/>
      <c r="AX2911" s="135"/>
      <c r="AY2911" s="135"/>
      <c r="AZ2911" s="135"/>
      <c r="BA2911" s="135"/>
      <c r="BB2911" s="135"/>
      <c r="BC2911" s="135"/>
      <c r="BD2911" s="135"/>
      <c r="BE2911" s="135"/>
      <c r="BF2911" s="135"/>
      <c r="BG2911" s="135"/>
      <c r="BH2911" s="135"/>
      <c r="BI2911" s="2"/>
      <c r="BJ2911" s="136"/>
      <c r="BK2911" s="2"/>
      <c r="BL2911" s="136"/>
      <c r="BM2911" s="136"/>
      <c r="BN2911" s="2"/>
      <c r="BO2911" s="2"/>
      <c r="BP2911" s="136"/>
      <c r="BQ2911" s="137"/>
    </row>
    <row r="2912" spans="1:69" ht="12.75" customHeight="1" x14ac:dyDescent="0.2">
      <c r="A2912" s="2">
        <v>4401</v>
      </c>
      <c r="B2912" s="2"/>
      <c r="C2912" s="2"/>
      <c r="D2912" s="2"/>
      <c r="E2912" s="2"/>
      <c r="F2912" s="132">
        <v>0</v>
      </c>
      <c r="G2912" s="132"/>
      <c r="H2912" s="132">
        <f t="shared" si="325"/>
        <v>0</v>
      </c>
      <c r="I2912" s="132"/>
      <c r="J2912" s="132">
        <f t="shared" si="323"/>
        <v>0</v>
      </c>
      <c r="K2912" s="132">
        <f t="shared" si="326"/>
        <v>0</v>
      </c>
      <c r="L2912" s="132">
        <f t="shared" si="327"/>
        <v>0</v>
      </c>
      <c r="M2912" s="133"/>
      <c r="N2912" s="133">
        <f t="shared" si="324"/>
        <v>0</v>
      </c>
      <c r="O2912" s="134"/>
      <c r="P2912" s="133"/>
      <c r="Q2912" s="2"/>
      <c r="R2912" s="156">
        <f t="shared" si="328"/>
        <v>0</v>
      </c>
      <c r="S2912" s="156">
        <f t="shared" si="329"/>
        <v>0</v>
      </c>
      <c r="T2912" s="133"/>
      <c r="U2912" s="133"/>
      <c r="V2912" s="133"/>
      <c r="W2912" s="133"/>
      <c r="X2912" s="133"/>
      <c r="Y2912" s="133"/>
      <c r="Z2912" s="133"/>
      <c r="AA2912" s="133"/>
      <c r="AB2912" s="133"/>
      <c r="AC2912" s="133"/>
      <c r="AD2912" s="133"/>
      <c r="AE2912" s="133"/>
      <c r="AF2912" s="133"/>
      <c r="AG2912" s="133"/>
      <c r="AH2912" s="133"/>
      <c r="AI2912" s="133"/>
      <c r="AJ2912" s="133"/>
      <c r="AK2912" s="133"/>
      <c r="AL2912" s="133"/>
      <c r="AM2912" s="133"/>
      <c r="AN2912" s="133"/>
      <c r="AO2912" s="133"/>
      <c r="AP2912" s="133"/>
      <c r="AQ2912" s="133"/>
      <c r="AR2912" s="133"/>
      <c r="AS2912" s="153">
        <v>0</v>
      </c>
      <c r="AT2912" s="153">
        <v>0</v>
      </c>
      <c r="AU2912" s="153">
        <v>0</v>
      </c>
      <c r="AV2912" s="135"/>
      <c r="AW2912" s="135"/>
      <c r="AX2912" s="135"/>
      <c r="AY2912" s="135"/>
      <c r="AZ2912" s="135"/>
      <c r="BA2912" s="135"/>
      <c r="BB2912" s="135"/>
      <c r="BC2912" s="135"/>
      <c r="BD2912" s="135"/>
      <c r="BE2912" s="135"/>
      <c r="BF2912" s="135"/>
      <c r="BG2912" s="135"/>
      <c r="BH2912" s="135"/>
      <c r="BI2912" s="2"/>
      <c r="BJ2912" s="136"/>
      <c r="BK2912" s="2"/>
      <c r="BL2912" s="136"/>
      <c r="BM2912" s="136"/>
      <c r="BN2912" s="2"/>
      <c r="BO2912" s="2"/>
      <c r="BP2912" s="136"/>
      <c r="BQ2912" s="137"/>
    </row>
    <row r="2913" spans="1:69" ht="12.75" customHeight="1" x14ac:dyDescent="0.2">
      <c r="A2913" s="2">
        <v>4402</v>
      </c>
      <c r="B2913" s="2"/>
      <c r="C2913" s="2"/>
      <c r="D2913" s="2"/>
      <c r="E2913" s="2"/>
      <c r="F2913" s="132">
        <v>0</v>
      </c>
      <c r="G2913" s="132"/>
      <c r="H2913" s="132">
        <f t="shared" si="325"/>
        <v>0</v>
      </c>
      <c r="I2913" s="132"/>
      <c r="J2913" s="132">
        <f t="shared" si="323"/>
        <v>0</v>
      </c>
      <c r="K2913" s="132">
        <f t="shared" si="326"/>
        <v>0</v>
      </c>
      <c r="L2913" s="132">
        <f t="shared" si="327"/>
        <v>0</v>
      </c>
      <c r="M2913" s="133"/>
      <c r="N2913" s="133">
        <f t="shared" si="324"/>
        <v>0</v>
      </c>
      <c r="O2913" s="134"/>
      <c r="P2913" s="133"/>
      <c r="Q2913" s="2"/>
      <c r="R2913" s="156">
        <f t="shared" si="328"/>
        <v>0</v>
      </c>
      <c r="S2913" s="156">
        <f t="shared" si="329"/>
        <v>0</v>
      </c>
      <c r="T2913" s="133"/>
      <c r="U2913" s="133"/>
      <c r="V2913" s="133"/>
      <c r="W2913" s="133"/>
      <c r="X2913" s="133"/>
      <c r="Y2913" s="133"/>
      <c r="Z2913" s="133"/>
      <c r="AA2913" s="133"/>
      <c r="AB2913" s="133"/>
      <c r="AC2913" s="133"/>
      <c r="AD2913" s="133"/>
      <c r="AE2913" s="133"/>
      <c r="AF2913" s="133"/>
      <c r="AG2913" s="133"/>
      <c r="AH2913" s="133"/>
      <c r="AI2913" s="133"/>
      <c r="AJ2913" s="133"/>
      <c r="AK2913" s="133"/>
      <c r="AL2913" s="133"/>
      <c r="AM2913" s="133"/>
      <c r="AN2913" s="133"/>
      <c r="AO2913" s="133"/>
      <c r="AP2913" s="133"/>
      <c r="AQ2913" s="133"/>
      <c r="AR2913" s="133"/>
      <c r="AS2913" s="153">
        <v>0</v>
      </c>
      <c r="AT2913" s="153">
        <v>0</v>
      </c>
      <c r="AU2913" s="153">
        <v>0</v>
      </c>
      <c r="AV2913" s="135"/>
      <c r="AW2913" s="135"/>
      <c r="AX2913" s="135"/>
      <c r="AY2913" s="135"/>
      <c r="AZ2913" s="135"/>
      <c r="BA2913" s="135"/>
      <c r="BB2913" s="135"/>
      <c r="BC2913" s="135"/>
      <c r="BD2913" s="135"/>
      <c r="BE2913" s="135"/>
      <c r="BF2913" s="135"/>
      <c r="BG2913" s="135"/>
      <c r="BH2913" s="135"/>
      <c r="BI2913" s="2"/>
      <c r="BJ2913" s="136"/>
      <c r="BK2913" s="2"/>
      <c r="BL2913" s="136"/>
      <c r="BM2913" s="136"/>
      <c r="BN2913" s="2"/>
      <c r="BO2913" s="2"/>
      <c r="BP2913" s="136"/>
      <c r="BQ2913" s="137"/>
    </row>
    <row r="2914" spans="1:69" ht="12.75" customHeight="1" x14ac:dyDescent="0.2">
      <c r="A2914" s="2">
        <v>4403</v>
      </c>
      <c r="B2914" s="2"/>
      <c r="C2914" s="2"/>
      <c r="D2914" s="2"/>
      <c r="E2914" s="2"/>
      <c r="F2914" s="132">
        <v>0</v>
      </c>
      <c r="G2914" s="132"/>
      <c r="H2914" s="132">
        <f t="shared" si="325"/>
        <v>0</v>
      </c>
      <c r="I2914" s="132"/>
      <c r="J2914" s="132">
        <f t="shared" si="323"/>
        <v>0</v>
      </c>
      <c r="K2914" s="132">
        <f t="shared" si="326"/>
        <v>0</v>
      </c>
      <c r="L2914" s="132">
        <f t="shared" si="327"/>
        <v>0</v>
      </c>
      <c r="M2914" s="133"/>
      <c r="N2914" s="133">
        <f t="shared" si="324"/>
        <v>0</v>
      </c>
      <c r="O2914" s="134"/>
      <c r="P2914" s="133"/>
      <c r="Q2914" s="2"/>
      <c r="R2914" s="156">
        <f t="shared" si="328"/>
        <v>0</v>
      </c>
      <c r="S2914" s="156">
        <f t="shared" si="329"/>
        <v>0</v>
      </c>
      <c r="T2914" s="133"/>
      <c r="U2914" s="133"/>
      <c r="V2914" s="133"/>
      <c r="W2914" s="133"/>
      <c r="X2914" s="133"/>
      <c r="Y2914" s="133"/>
      <c r="Z2914" s="133"/>
      <c r="AA2914" s="133"/>
      <c r="AB2914" s="133"/>
      <c r="AC2914" s="133"/>
      <c r="AD2914" s="133"/>
      <c r="AE2914" s="133"/>
      <c r="AF2914" s="133"/>
      <c r="AG2914" s="133"/>
      <c r="AH2914" s="133"/>
      <c r="AI2914" s="133"/>
      <c r="AJ2914" s="133"/>
      <c r="AK2914" s="133"/>
      <c r="AL2914" s="133"/>
      <c r="AM2914" s="133"/>
      <c r="AN2914" s="133"/>
      <c r="AO2914" s="133"/>
      <c r="AP2914" s="133"/>
      <c r="AQ2914" s="133"/>
      <c r="AR2914" s="133"/>
      <c r="AS2914" s="153">
        <v>0</v>
      </c>
      <c r="AT2914" s="153">
        <v>0</v>
      </c>
      <c r="AU2914" s="153">
        <v>0</v>
      </c>
      <c r="AV2914" s="135"/>
      <c r="AW2914" s="135"/>
      <c r="AX2914" s="135"/>
      <c r="AY2914" s="135"/>
      <c r="AZ2914" s="135"/>
      <c r="BA2914" s="135"/>
      <c r="BB2914" s="135"/>
      <c r="BC2914" s="135"/>
      <c r="BD2914" s="135"/>
      <c r="BE2914" s="135"/>
      <c r="BF2914" s="135"/>
      <c r="BG2914" s="135"/>
      <c r="BH2914" s="135"/>
      <c r="BI2914" s="2"/>
      <c r="BJ2914" s="136"/>
      <c r="BK2914" s="2"/>
      <c r="BL2914" s="136"/>
      <c r="BM2914" s="136"/>
      <c r="BN2914" s="2"/>
      <c r="BO2914" s="2"/>
      <c r="BP2914" s="136"/>
      <c r="BQ2914" s="137"/>
    </row>
    <row r="2915" spans="1:69" ht="12.75" customHeight="1" x14ac:dyDescent="0.2">
      <c r="A2915" s="2">
        <v>4404</v>
      </c>
      <c r="B2915" s="2"/>
      <c r="C2915" s="2"/>
      <c r="D2915" s="2"/>
      <c r="E2915" s="2"/>
      <c r="F2915" s="132">
        <v>0</v>
      </c>
      <c r="G2915" s="132"/>
      <c r="H2915" s="132">
        <f t="shared" si="325"/>
        <v>0</v>
      </c>
      <c r="I2915" s="132"/>
      <c r="J2915" s="132">
        <f t="shared" si="323"/>
        <v>0</v>
      </c>
      <c r="K2915" s="132">
        <f t="shared" si="326"/>
        <v>0</v>
      </c>
      <c r="L2915" s="132">
        <f t="shared" si="327"/>
        <v>0</v>
      </c>
      <c r="M2915" s="133"/>
      <c r="N2915" s="133">
        <f t="shared" si="324"/>
        <v>0</v>
      </c>
      <c r="O2915" s="134"/>
      <c r="P2915" s="133"/>
      <c r="Q2915" s="2"/>
      <c r="R2915" s="156">
        <f t="shared" si="328"/>
        <v>0</v>
      </c>
      <c r="S2915" s="156">
        <f t="shared" si="329"/>
        <v>0</v>
      </c>
      <c r="T2915" s="133"/>
      <c r="U2915" s="133"/>
      <c r="V2915" s="133"/>
      <c r="W2915" s="133"/>
      <c r="X2915" s="133"/>
      <c r="Y2915" s="133"/>
      <c r="Z2915" s="133"/>
      <c r="AA2915" s="133"/>
      <c r="AB2915" s="133"/>
      <c r="AC2915" s="133"/>
      <c r="AD2915" s="133"/>
      <c r="AE2915" s="133"/>
      <c r="AF2915" s="133"/>
      <c r="AG2915" s="133"/>
      <c r="AH2915" s="133"/>
      <c r="AI2915" s="133"/>
      <c r="AJ2915" s="133"/>
      <c r="AK2915" s="133"/>
      <c r="AL2915" s="133"/>
      <c r="AM2915" s="133"/>
      <c r="AN2915" s="133"/>
      <c r="AO2915" s="133"/>
      <c r="AP2915" s="133"/>
      <c r="AQ2915" s="133"/>
      <c r="AR2915" s="133"/>
      <c r="AS2915" s="153">
        <v>0</v>
      </c>
      <c r="AT2915" s="153">
        <v>0</v>
      </c>
      <c r="AU2915" s="153">
        <v>0</v>
      </c>
      <c r="AV2915" s="135"/>
      <c r="AW2915" s="135"/>
      <c r="AX2915" s="135"/>
      <c r="AY2915" s="135"/>
      <c r="AZ2915" s="135"/>
      <c r="BA2915" s="135"/>
      <c r="BB2915" s="135"/>
      <c r="BC2915" s="135"/>
      <c r="BD2915" s="135"/>
      <c r="BE2915" s="135"/>
      <c r="BF2915" s="135"/>
      <c r="BG2915" s="135"/>
      <c r="BH2915" s="135"/>
      <c r="BI2915" s="2"/>
      <c r="BJ2915" s="136"/>
      <c r="BK2915" s="2"/>
      <c r="BL2915" s="136"/>
      <c r="BM2915" s="136"/>
      <c r="BN2915" s="2"/>
      <c r="BO2915" s="2"/>
      <c r="BP2915" s="136"/>
      <c r="BQ2915" s="137"/>
    </row>
    <row r="2916" spans="1:69" ht="12.75" customHeight="1" x14ac:dyDescent="0.2">
      <c r="A2916" s="2">
        <v>4405</v>
      </c>
      <c r="B2916" s="2"/>
      <c r="C2916" s="2"/>
      <c r="D2916" s="2"/>
      <c r="E2916" s="2"/>
      <c r="F2916" s="132">
        <v>0</v>
      </c>
      <c r="G2916" s="132"/>
      <c r="H2916" s="132">
        <f t="shared" si="325"/>
        <v>0</v>
      </c>
      <c r="I2916" s="132"/>
      <c r="J2916" s="132">
        <f t="shared" ref="J2916:J2979" si="330">S2916</f>
        <v>0</v>
      </c>
      <c r="K2916" s="132">
        <f t="shared" si="326"/>
        <v>0</v>
      </c>
      <c r="L2916" s="132">
        <f t="shared" si="327"/>
        <v>0</v>
      </c>
      <c r="M2916" s="133"/>
      <c r="N2916" s="133">
        <f t="shared" si="324"/>
        <v>0</v>
      </c>
      <c r="O2916" s="134"/>
      <c r="P2916" s="133"/>
      <c r="Q2916" s="2"/>
      <c r="R2916" s="156">
        <f t="shared" si="328"/>
        <v>0</v>
      </c>
      <c r="S2916" s="156">
        <f t="shared" si="329"/>
        <v>0</v>
      </c>
      <c r="T2916" s="133"/>
      <c r="U2916" s="133"/>
      <c r="V2916" s="133"/>
      <c r="W2916" s="133"/>
      <c r="X2916" s="133"/>
      <c r="Y2916" s="133"/>
      <c r="Z2916" s="133"/>
      <c r="AA2916" s="133"/>
      <c r="AB2916" s="133"/>
      <c r="AC2916" s="133"/>
      <c r="AD2916" s="133"/>
      <c r="AE2916" s="133"/>
      <c r="AF2916" s="133"/>
      <c r="AG2916" s="133"/>
      <c r="AH2916" s="133"/>
      <c r="AI2916" s="133"/>
      <c r="AJ2916" s="133"/>
      <c r="AK2916" s="133"/>
      <c r="AL2916" s="133"/>
      <c r="AM2916" s="133"/>
      <c r="AN2916" s="133"/>
      <c r="AO2916" s="133"/>
      <c r="AP2916" s="133"/>
      <c r="AQ2916" s="133"/>
      <c r="AR2916" s="133"/>
      <c r="AS2916" s="153">
        <v>0</v>
      </c>
      <c r="AT2916" s="153">
        <v>0</v>
      </c>
      <c r="AU2916" s="153">
        <v>0</v>
      </c>
      <c r="AV2916" s="135"/>
      <c r="AW2916" s="135"/>
      <c r="AX2916" s="135"/>
      <c r="AY2916" s="135"/>
      <c r="AZ2916" s="135"/>
      <c r="BA2916" s="135"/>
      <c r="BB2916" s="135"/>
      <c r="BC2916" s="135"/>
      <c r="BD2916" s="135"/>
      <c r="BE2916" s="135"/>
      <c r="BF2916" s="135"/>
      <c r="BG2916" s="135"/>
      <c r="BH2916" s="135"/>
      <c r="BI2916" s="2"/>
      <c r="BJ2916" s="136"/>
      <c r="BK2916" s="2"/>
      <c r="BL2916" s="136"/>
      <c r="BM2916" s="136"/>
      <c r="BN2916" s="2"/>
      <c r="BO2916" s="2"/>
      <c r="BP2916" s="136"/>
      <c r="BQ2916" s="137"/>
    </row>
    <row r="2917" spans="1:69" ht="12.75" customHeight="1" x14ac:dyDescent="0.2">
      <c r="A2917" s="2">
        <v>4406</v>
      </c>
      <c r="B2917" s="2"/>
      <c r="C2917" s="2"/>
      <c r="D2917" s="2"/>
      <c r="E2917" s="2"/>
      <c r="F2917" s="132">
        <v>0</v>
      </c>
      <c r="G2917" s="132"/>
      <c r="H2917" s="132">
        <f t="shared" si="325"/>
        <v>0</v>
      </c>
      <c r="I2917" s="132"/>
      <c r="J2917" s="132">
        <f t="shared" si="330"/>
        <v>0</v>
      </c>
      <c r="K2917" s="132">
        <f t="shared" si="326"/>
        <v>0</v>
      </c>
      <c r="L2917" s="132">
        <f t="shared" si="327"/>
        <v>0</v>
      </c>
      <c r="M2917" s="133"/>
      <c r="N2917" s="133">
        <f t="shared" si="324"/>
        <v>0</v>
      </c>
      <c r="O2917" s="134"/>
      <c r="P2917" s="133"/>
      <c r="Q2917" s="2"/>
      <c r="R2917" s="156">
        <f t="shared" si="328"/>
        <v>0</v>
      </c>
      <c r="S2917" s="156">
        <f t="shared" si="329"/>
        <v>0</v>
      </c>
      <c r="T2917" s="133"/>
      <c r="U2917" s="133"/>
      <c r="V2917" s="133"/>
      <c r="W2917" s="133"/>
      <c r="X2917" s="133"/>
      <c r="Y2917" s="133"/>
      <c r="Z2917" s="133"/>
      <c r="AA2917" s="133"/>
      <c r="AB2917" s="133"/>
      <c r="AC2917" s="133"/>
      <c r="AD2917" s="133"/>
      <c r="AE2917" s="133"/>
      <c r="AF2917" s="133"/>
      <c r="AG2917" s="133"/>
      <c r="AH2917" s="133"/>
      <c r="AI2917" s="133"/>
      <c r="AJ2917" s="133"/>
      <c r="AK2917" s="133"/>
      <c r="AL2917" s="133"/>
      <c r="AM2917" s="133"/>
      <c r="AN2917" s="133"/>
      <c r="AO2917" s="133"/>
      <c r="AP2917" s="133"/>
      <c r="AQ2917" s="133"/>
      <c r="AR2917" s="133"/>
      <c r="AS2917" s="153">
        <v>0</v>
      </c>
      <c r="AT2917" s="153">
        <v>0</v>
      </c>
      <c r="AU2917" s="153">
        <v>0</v>
      </c>
      <c r="AV2917" s="135"/>
      <c r="AW2917" s="135"/>
      <c r="AX2917" s="135"/>
      <c r="AY2917" s="135"/>
      <c r="AZ2917" s="135"/>
      <c r="BA2917" s="135"/>
      <c r="BB2917" s="135"/>
      <c r="BC2917" s="135"/>
      <c r="BD2917" s="135"/>
      <c r="BE2917" s="135"/>
      <c r="BF2917" s="135"/>
      <c r="BG2917" s="135"/>
      <c r="BH2917" s="135"/>
      <c r="BI2917" s="2"/>
      <c r="BJ2917" s="136"/>
      <c r="BK2917" s="2"/>
      <c r="BL2917" s="136"/>
      <c r="BM2917" s="136"/>
      <c r="BN2917" s="2"/>
      <c r="BO2917" s="2"/>
      <c r="BP2917" s="136"/>
      <c r="BQ2917" s="137"/>
    </row>
    <row r="2918" spans="1:69" ht="12.75" customHeight="1" x14ac:dyDescent="0.2">
      <c r="A2918" s="2">
        <v>4407</v>
      </c>
      <c r="B2918" s="2"/>
      <c r="C2918" s="2"/>
      <c r="D2918" s="2"/>
      <c r="E2918" s="2"/>
      <c r="F2918" s="132">
        <v>0</v>
      </c>
      <c r="G2918" s="132"/>
      <c r="H2918" s="132">
        <f t="shared" si="325"/>
        <v>0</v>
      </c>
      <c r="I2918" s="132"/>
      <c r="J2918" s="132">
        <f t="shared" si="330"/>
        <v>0</v>
      </c>
      <c r="K2918" s="132">
        <f t="shared" si="326"/>
        <v>0</v>
      </c>
      <c r="L2918" s="132">
        <f t="shared" si="327"/>
        <v>0</v>
      </c>
      <c r="M2918" s="133"/>
      <c r="N2918" s="133">
        <f t="shared" si="324"/>
        <v>0</v>
      </c>
      <c r="O2918" s="134"/>
      <c r="P2918" s="133"/>
      <c r="Q2918" s="2"/>
      <c r="R2918" s="156">
        <f t="shared" si="328"/>
        <v>0</v>
      </c>
      <c r="S2918" s="156">
        <f t="shared" si="329"/>
        <v>0</v>
      </c>
      <c r="T2918" s="133"/>
      <c r="U2918" s="133"/>
      <c r="V2918" s="133"/>
      <c r="W2918" s="133"/>
      <c r="X2918" s="133"/>
      <c r="Y2918" s="133"/>
      <c r="Z2918" s="133"/>
      <c r="AA2918" s="133"/>
      <c r="AB2918" s="133"/>
      <c r="AC2918" s="133"/>
      <c r="AD2918" s="133"/>
      <c r="AE2918" s="133"/>
      <c r="AF2918" s="133"/>
      <c r="AG2918" s="133"/>
      <c r="AH2918" s="133"/>
      <c r="AI2918" s="133"/>
      <c r="AJ2918" s="133"/>
      <c r="AK2918" s="133"/>
      <c r="AL2918" s="133"/>
      <c r="AM2918" s="133"/>
      <c r="AN2918" s="133"/>
      <c r="AO2918" s="133"/>
      <c r="AP2918" s="133"/>
      <c r="AQ2918" s="133"/>
      <c r="AR2918" s="133"/>
      <c r="AS2918" s="153">
        <v>0</v>
      </c>
      <c r="AT2918" s="153">
        <v>0</v>
      </c>
      <c r="AU2918" s="153">
        <v>0</v>
      </c>
      <c r="AV2918" s="135"/>
      <c r="AW2918" s="135"/>
      <c r="AX2918" s="135"/>
      <c r="AY2918" s="135"/>
      <c r="AZ2918" s="135"/>
      <c r="BA2918" s="135"/>
      <c r="BB2918" s="135"/>
      <c r="BC2918" s="135"/>
      <c r="BD2918" s="135"/>
      <c r="BE2918" s="135"/>
      <c r="BF2918" s="135"/>
      <c r="BG2918" s="135"/>
      <c r="BH2918" s="135"/>
      <c r="BI2918" s="2"/>
      <c r="BJ2918" s="136"/>
      <c r="BK2918" s="2"/>
      <c r="BL2918" s="136"/>
      <c r="BM2918" s="136"/>
      <c r="BN2918" s="2"/>
      <c r="BO2918" s="2"/>
      <c r="BP2918" s="136"/>
      <c r="BQ2918" s="137"/>
    </row>
    <row r="2919" spans="1:69" ht="12.75" customHeight="1" x14ac:dyDescent="0.2">
      <c r="A2919" s="2">
        <v>4408</v>
      </c>
      <c r="B2919" s="2"/>
      <c r="C2919" s="2"/>
      <c r="D2919" s="2"/>
      <c r="E2919" s="2"/>
      <c r="F2919" s="132">
        <v>0</v>
      </c>
      <c r="G2919" s="132"/>
      <c r="H2919" s="132">
        <f t="shared" si="325"/>
        <v>0</v>
      </c>
      <c r="I2919" s="132"/>
      <c r="J2919" s="132">
        <f t="shared" si="330"/>
        <v>0</v>
      </c>
      <c r="K2919" s="132">
        <f t="shared" si="326"/>
        <v>0</v>
      </c>
      <c r="L2919" s="132">
        <f t="shared" si="327"/>
        <v>0</v>
      </c>
      <c r="M2919" s="133"/>
      <c r="N2919" s="133">
        <f t="shared" si="324"/>
        <v>0</v>
      </c>
      <c r="O2919" s="134"/>
      <c r="P2919" s="133"/>
      <c r="Q2919" s="2"/>
      <c r="R2919" s="156">
        <f t="shared" si="328"/>
        <v>0</v>
      </c>
      <c r="S2919" s="156">
        <f t="shared" si="329"/>
        <v>0</v>
      </c>
      <c r="T2919" s="133"/>
      <c r="U2919" s="133"/>
      <c r="V2919" s="133"/>
      <c r="W2919" s="133"/>
      <c r="X2919" s="133"/>
      <c r="Y2919" s="133"/>
      <c r="Z2919" s="133"/>
      <c r="AA2919" s="133"/>
      <c r="AB2919" s="133"/>
      <c r="AC2919" s="133"/>
      <c r="AD2919" s="133"/>
      <c r="AE2919" s="133"/>
      <c r="AF2919" s="133"/>
      <c r="AG2919" s="133"/>
      <c r="AH2919" s="133"/>
      <c r="AI2919" s="133"/>
      <c r="AJ2919" s="133"/>
      <c r="AK2919" s="133"/>
      <c r="AL2919" s="133"/>
      <c r="AM2919" s="133"/>
      <c r="AN2919" s="133"/>
      <c r="AO2919" s="133"/>
      <c r="AP2919" s="133"/>
      <c r="AQ2919" s="133"/>
      <c r="AR2919" s="133"/>
      <c r="AS2919" s="153">
        <v>0</v>
      </c>
      <c r="AT2919" s="153">
        <v>0</v>
      </c>
      <c r="AU2919" s="153">
        <v>0</v>
      </c>
      <c r="AV2919" s="135"/>
      <c r="AW2919" s="135"/>
      <c r="AX2919" s="135"/>
      <c r="AY2919" s="135"/>
      <c r="AZ2919" s="135"/>
      <c r="BA2919" s="135"/>
      <c r="BB2919" s="135"/>
      <c r="BC2919" s="135"/>
      <c r="BD2919" s="135"/>
      <c r="BE2919" s="135"/>
      <c r="BF2919" s="135"/>
      <c r="BG2919" s="135"/>
      <c r="BH2919" s="135"/>
      <c r="BI2919" s="2"/>
      <c r="BJ2919" s="136"/>
      <c r="BK2919" s="2"/>
      <c r="BL2919" s="136"/>
      <c r="BM2919" s="136"/>
      <c r="BN2919" s="2"/>
      <c r="BO2919" s="2"/>
      <c r="BP2919" s="136"/>
      <c r="BQ2919" s="137"/>
    </row>
    <row r="2920" spans="1:69" ht="12.75" customHeight="1" x14ac:dyDescent="0.2">
      <c r="A2920" s="2">
        <v>4409</v>
      </c>
      <c r="B2920" s="2"/>
      <c r="C2920" s="2"/>
      <c r="D2920" s="2"/>
      <c r="E2920" s="2"/>
      <c r="F2920" s="132">
        <v>0</v>
      </c>
      <c r="G2920" s="132"/>
      <c r="H2920" s="132">
        <f t="shared" si="325"/>
        <v>0</v>
      </c>
      <c r="I2920" s="132"/>
      <c r="J2920" s="132">
        <f t="shared" si="330"/>
        <v>0</v>
      </c>
      <c r="K2920" s="132">
        <f t="shared" si="326"/>
        <v>0</v>
      </c>
      <c r="L2920" s="132">
        <f t="shared" si="327"/>
        <v>0</v>
      </c>
      <c r="M2920" s="133"/>
      <c r="N2920" s="133">
        <f t="shared" si="324"/>
        <v>0</v>
      </c>
      <c r="O2920" s="134"/>
      <c r="P2920" s="133"/>
      <c r="Q2920" s="2"/>
      <c r="R2920" s="156">
        <f t="shared" si="328"/>
        <v>0</v>
      </c>
      <c r="S2920" s="156">
        <f t="shared" si="329"/>
        <v>0</v>
      </c>
      <c r="T2920" s="133"/>
      <c r="U2920" s="133"/>
      <c r="V2920" s="133"/>
      <c r="W2920" s="133"/>
      <c r="X2920" s="133"/>
      <c r="Y2920" s="133"/>
      <c r="Z2920" s="133"/>
      <c r="AA2920" s="133"/>
      <c r="AB2920" s="133"/>
      <c r="AC2920" s="133"/>
      <c r="AD2920" s="133"/>
      <c r="AE2920" s="133"/>
      <c r="AF2920" s="133"/>
      <c r="AG2920" s="133"/>
      <c r="AH2920" s="133"/>
      <c r="AI2920" s="133"/>
      <c r="AJ2920" s="133"/>
      <c r="AK2920" s="133"/>
      <c r="AL2920" s="133"/>
      <c r="AM2920" s="133"/>
      <c r="AN2920" s="133"/>
      <c r="AO2920" s="133"/>
      <c r="AP2920" s="133"/>
      <c r="AQ2920" s="133"/>
      <c r="AR2920" s="133"/>
      <c r="AS2920" s="153">
        <v>0</v>
      </c>
      <c r="AT2920" s="153">
        <v>0</v>
      </c>
      <c r="AU2920" s="153">
        <v>0</v>
      </c>
      <c r="AV2920" s="135"/>
      <c r="AW2920" s="135"/>
      <c r="AX2920" s="135"/>
      <c r="AY2920" s="135"/>
      <c r="AZ2920" s="135"/>
      <c r="BA2920" s="135"/>
      <c r="BB2920" s="135"/>
      <c r="BC2920" s="135"/>
      <c r="BD2920" s="135"/>
      <c r="BE2920" s="135"/>
      <c r="BF2920" s="135"/>
      <c r="BG2920" s="135"/>
      <c r="BH2920" s="135"/>
      <c r="BI2920" s="2"/>
      <c r="BJ2920" s="136"/>
      <c r="BK2920" s="2"/>
      <c r="BL2920" s="136"/>
      <c r="BM2920" s="136"/>
      <c r="BN2920" s="2"/>
      <c r="BO2920" s="2"/>
      <c r="BP2920" s="136"/>
      <c r="BQ2920" s="137"/>
    </row>
    <row r="2921" spans="1:69" ht="12.75" customHeight="1" x14ac:dyDescent="0.2">
      <c r="A2921" s="2">
        <v>4410</v>
      </c>
      <c r="B2921" s="2"/>
      <c r="C2921" s="2"/>
      <c r="D2921" s="2"/>
      <c r="E2921" s="2"/>
      <c r="F2921" s="132">
        <v>0</v>
      </c>
      <c r="G2921" s="132"/>
      <c r="H2921" s="132">
        <f t="shared" si="325"/>
        <v>0</v>
      </c>
      <c r="I2921" s="132"/>
      <c r="J2921" s="132">
        <f t="shared" si="330"/>
        <v>0</v>
      </c>
      <c r="K2921" s="132">
        <f t="shared" si="326"/>
        <v>0</v>
      </c>
      <c r="L2921" s="132">
        <f t="shared" si="327"/>
        <v>0</v>
      </c>
      <c r="M2921" s="133"/>
      <c r="N2921" s="133">
        <f t="shared" si="324"/>
        <v>0</v>
      </c>
      <c r="O2921" s="134"/>
      <c r="P2921" s="133"/>
      <c r="Q2921" s="2"/>
      <c r="R2921" s="156">
        <f t="shared" si="328"/>
        <v>0</v>
      </c>
      <c r="S2921" s="156">
        <f t="shared" si="329"/>
        <v>0</v>
      </c>
      <c r="T2921" s="133"/>
      <c r="U2921" s="133"/>
      <c r="V2921" s="133"/>
      <c r="W2921" s="133"/>
      <c r="X2921" s="133"/>
      <c r="Y2921" s="133"/>
      <c r="Z2921" s="133"/>
      <c r="AA2921" s="133"/>
      <c r="AB2921" s="133"/>
      <c r="AC2921" s="133"/>
      <c r="AD2921" s="133"/>
      <c r="AE2921" s="133"/>
      <c r="AF2921" s="133"/>
      <c r="AG2921" s="133"/>
      <c r="AH2921" s="133"/>
      <c r="AI2921" s="133"/>
      <c r="AJ2921" s="133"/>
      <c r="AK2921" s="133"/>
      <c r="AL2921" s="133"/>
      <c r="AM2921" s="133"/>
      <c r="AN2921" s="133"/>
      <c r="AO2921" s="133"/>
      <c r="AP2921" s="133"/>
      <c r="AQ2921" s="133"/>
      <c r="AR2921" s="133"/>
      <c r="AS2921" s="153">
        <v>0</v>
      </c>
      <c r="AT2921" s="153">
        <v>0</v>
      </c>
      <c r="AU2921" s="153">
        <v>0</v>
      </c>
      <c r="AV2921" s="135"/>
      <c r="AW2921" s="135"/>
      <c r="AX2921" s="135"/>
      <c r="AY2921" s="135"/>
      <c r="AZ2921" s="135"/>
      <c r="BA2921" s="135"/>
      <c r="BB2921" s="135"/>
      <c r="BC2921" s="135"/>
      <c r="BD2921" s="135"/>
      <c r="BE2921" s="135"/>
      <c r="BF2921" s="135"/>
      <c r="BG2921" s="135"/>
      <c r="BH2921" s="135"/>
      <c r="BI2921" s="2"/>
      <c r="BJ2921" s="136"/>
      <c r="BK2921" s="2"/>
      <c r="BL2921" s="136"/>
      <c r="BM2921" s="136"/>
      <c r="BN2921" s="2"/>
      <c r="BO2921" s="2"/>
      <c r="BP2921" s="136"/>
      <c r="BQ2921" s="137"/>
    </row>
    <row r="2922" spans="1:69" ht="12.75" customHeight="1" x14ac:dyDescent="0.2">
      <c r="A2922" s="2">
        <v>4411</v>
      </c>
      <c r="B2922" s="2"/>
      <c r="C2922" s="2"/>
      <c r="D2922" s="2"/>
      <c r="E2922" s="2"/>
      <c r="F2922" s="132">
        <v>0</v>
      </c>
      <c r="G2922" s="132"/>
      <c r="H2922" s="132">
        <f t="shared" si="325"/>
        <v>0</v>
      </c>
      <c r="I2922" s="132"/>
      <c r="J2922" s="132">
        <f t="shared" si="330"/>
        <v>0</v>
      </c>
      <c r="K2922" s="132">
        <f t="shared" si="326"/>
        <v>0</v>
      </c>
      <c r="L2922" s="132">
        <f t="shared" si="327"/>
        <v>0</v>
      </c>
      <c r="M2922" s="133"/>
      <c r="N2922" s="133">
        <f t="shared" ref="N2922:N2985" si="331">IF(OR(BK2922="принят",BK2922="Завершено",BK2922="ПриПро"),H2922-J2922,F2922-J2922)</f>
        <v>0</v>
      </c>
      <c r="O2922" s="134"/>
      <c r="P2922" s="133"/>
      <c r="Q2922" s="2"/>
      <c r="R2922" s="156">
        <f t="shared" si="328"/>
        <v>0</v>
      </c>
      <c r="S2922" s="156">
        <f t="shared" si="329"/>
        <v>0</v>
      </c>
      <c r="T2922" s="133"/>
      <c r="U2922" s="133"/>
      <c r="V2922" s="133"/>
      <c r="W2922" s="133"/>
      <c r="X2922" s="133"/>
      <c r="Y2922" s="133"/>
      <c r="Z2922" s="133"/>
      <c r="AA2922" s="133"/>
      <c r="AB2922" s="133"/>
      <c r="AC2922" s="133"/>
      <c r="AD2922" s="133"/>
      <c r="AE2922" s="133"/>
      <c r="AF2922" s="133"/>
      <c r="AG2922" s="133"/>
      <c r="AH2922" s="133"/>
      <c r="AI2922" s="133"/>
      <c r="AJ2922" s="133"/>
      <c r="AK2922" s="133"/>
      <c r="AL2922" s="133"/>
      <c r="AM2922" s="133"/>
      <c r="AN2922" s="133"/>
      <c r="AO2922" s="133"/>
      <c r="AP2922" s="133"/>
      <c r="AQ2922" s="133"/>
      <c r="AR2922" s="133"/>
      <c r="AS2922" s="153">
        <v>0</v>
      </c>
      <c r="AT2922" s="153">
        <v>0</v>
      </c>
      <c r="AU2922" s="153">
        <v>0</v>
      </c>
      <c r="AV2922" s="135"/>
      <c r="AW2922" s="135"/>
      <c r="AX2922" s="135"/>
      <c r="AY2922" s="135"/>
      <c r="AZ2922" s="135"/>
      <c r="BA2922" s="135"/>
      <c r="BB2922" s="135"/>
      <c r="BC2922" s="135"/>
      <c r="BD2922" s="135"/>
      <c r="BE2922" s="135"/>
      <c r="BF2922" s="135"/>
      <c r="BG2922" s="135"/>
      <c r="BH2922" s="135"/>
      <c r="BI2922" s="2"/>
      <c r="BJ2922" s="136"/>
      <c r="BK2922" s="2"/>
      <c r="BL2922" s="136"/>
      <c r="BM2922" s="136"/>
      <c r="BN2922" s="2"/>
      <c r="BO2922" s="2"/>
      <c r="BP2922" s="136"/>
      <c r="BQ2922" s="137"/>
    </row>
    <row r="2923" spans="1:69" ht="12.75" customHeight="1" x14ac:dyDescent="0.2">
      <c r="A2923" s="2">
        <v>4412</v>
      </c>
      <c r="B2923" s="2"/>
      <c r="C2923" s="2"/>
      <c r="D2923" s="2"/>
      <c r="E2923" s="2"/>
      <c r="F2923" s="132">
        <v>0</v>
      </c>
      <c r="G2923" s="132"/>
      <c r="H2923" s="132">
        <f t="shared" si="325"/>
        <v>0</v>
      </c>
      <c r="I2923" s="132"/>
      <c r="J2923" s="132">
        <f t="shared" si="330"/>
        <v>0</v>
      </c>
      <c r="K2923" s="132">
        <f t="shared" si="326"/>
        <v>0</v>
      </c>
      <c r="L2923" s="132">
        <f t="shared" si="327"/>
        <v>0</v>
      </c>
      <c r="M2923" s="133"/>
      <c r="N2923" s="133">
        <f t="shared" si="331"/>
        <v>0</v>
      </c>
      <c r="O2923" s="134"/>
      <c r="P2923" s="133"/>
      <c r="Q2923" s="2"/>
      <c r="R2923" s="156">
        <f t="shared" si="328"/>
        <v>0</v>
      </c>
      <c r="S2923" s="156">
        <f t="shared" si="329"/>
        <v>0</v>
      </c>
      <c r="T2923" s="133"/>
      <c r="U2923" s="133"/>
      <c r="V2923" s="133"/>
      <c r="W2923" s="133"/>
      <c r="X2923" s="133"/>
      <c r="Y2923" s="133"/>
      <c r="Z2923" s="133"/>
      <c r="AA2923" s="133"/>
      <c r="AB2923" s="133"/>
      <c r="AC2923" s="133"/>
      <c r="AD2923" s="133"/>
      <c r="AE2923" s="133"/>
      <c r="AF2923" s="133"/>
      <c r="AG2923" s="133"/>
      <c r="AH2923" s="133"/>
      <c r="AI2923" s="133"/>
      <c r="AJ2923" s="133"/>
      <c r="AK2923" s="133"/>
      <c r="AL2923" s="133"/>
      <c r="AM2923" s="133"/>
      <c r="AN2923" s="133"/>
      <c r="AO2923" s="133"/>
      <c r="AP2923" s="133"/>
      <c r="AQ2923" s="133"/>
      <c r="AR2923" s="133"/>
      <c r="AS2923" s="153">
        <v>0</v>
      </c>
      <c r="AT2923" s="153">
        <v>0</v>
      </c>
      <c r="AU2923" s="153">
        <v>0</v>
      </c>
      <c r="AV2923" s="135"/>
      <c r="AW2923" s="135"/>
      <c r="AX2923" s="135"/>
      <c r="AY2923" s="135"/>
      <c r="AZ2923" s="135"/>
      <c r="BA2923" s="135"/>
      <c r="BB2923" s="135"/>
      <c r="BC2923" s="135"/>
      <c r="BD2923" s="135"/>
      <c r="BE2923" s="135"/>
      <c r="BF2923" s="135"/>
      <c r="BG2923" s="135"/>
      <c r="BH2923" s="135"/>
      <c r="BI2923" s="2"/>
      <c r="BJ2923" s="136"/>
      <c r="BK2923" s="2"/>
      <c r="BL2923" s="136"/>
      <c r="BM2923" s="136"/>
      <c r="BN2923" s="2"/>
      <c r="BO2923" s="2"/>
      <c r="BP2923" s="136"/>
      <c r="BQ2923" s="137"/>
    </row>
    <row r="2924" spans="1:69" ht="12.75" customHeight="1" x14ac:dyDescent="0.2">
      <c r="A2924" s="2">
        <v>4413</v>
      </c>
      <c r="B2924" s="2"/>
      <c r="C2924" s="2"/>
      <c r="D2924" s="2"/>
      <c r="E2924" s="2"/>
      <c r="F2924" s="132">
        <v>0</v>
      </c>
      <c r="G2924" s="132"/>
      <c r="H2924" s="132">
        <f t="shared" si="325"/>
        <v>0</v>
      </c>
      <c r="I2924" s="132"/>
      <c r="J2924" s="132">
        <f t="shared" si="330"/>
        <v>0</v>
      </c>
      <c r="K2924" s="132">
        <f t="shared" si="326"/>
        <v>0</v>
      </c>
      <c r="L2924" s="132">
        <f t="shared" si="327"/>
        <v>0</v>
      </c>
      <c r="M2924" s="133"/>
      <c r="N2924" s="133">
        <f t="shared" si="331"/>
        <v>0</v>
      </c>
      <c r="O2924" s="134"/>
      <c r="P2924" s="133"/>
      <c r="Q2924" s="2"/>
      <c r="R2924" s="156">
        <f t="shared" si="328"/>
        <v>0</v>
      </c>
      <c r="S2924" s="156">
        <f t="shared" si="329"/>
        <v>0</v>
      </c>
      <c r="T2924" s="133"/>
      <c r="U2924" s="133"/>
      <c r="V2924" s="133"/>
      <c r="W2924" s="133"/>
      <c r="X2924" s="133"/>
      <c r="Y2924" s="133"/>
      <c r="Z2924" s="133"/>
      <c r="AA2924" s="133"/>
      <c r="AB2924" s="133"/>
      <c r="AC2924" s="133"/>
      <c r="AD2924" s="133"/>
      <c r="AE2924" s="133"/>
      <c r="AF2924" s="133"/>
      <c r="AG2924" s="133"/>
      <c r="AH2924" s="133"/>
      <c r="AI2924" s="133"/>
      <c r="AJ2924" s="133"/>
      <c r="AK2924" s="133"/>
      <c r="AL2924" s="133"/>
      <c r="AM2924" s="133"/>
      <c r="AN2924" s="133"/>
      <c r="AO2924" s="133"/>
      <c r="AP2924" s="133"/>
      <c r="AQ2924" s="133"/>
      <c r="AR2924" s="133"/>
      <c r="AS2924" s="153">
        <v>0</v>
      </c>
      <c r="AT2924" s="153">
        <v>0</v>
      </c>
      <c r="AU2924" s="153">
        <v>0</v>
      </c>
      <c r="AV2924" s="135"/>
      <c r="AW2924" s="135"/>
      <c r="AX2924" s="135"/>
      <c r="AY2924" s="135"/>
      <c r="AZ2924" s="135"/>
      <c r="BA2924" s="135"/>
      <c r="BB2924" s="135"/>
      <c r="BC2924" s="135"/>
      <c r="BD2924" s="135"/>
      <c r="BE2924" s="135"/>
      <c r="BF2924" s="135"/>
      <c r="BG2924" s="135"/>
      <c r="BH2924" s="135"/>
      <c r="BI2924" s="2"/>
      <c r="BJ2924" s="136"/>
      <c r="BK2924" s="2"/>
      <c r="BL2924" s="136"/>
      <c r="BM2924" s="136"/>
      <c r="BN2924" s="2"/>
      <c r="BO2924" s="2"/>
      <c r="BP2924" s="136"/>
      <c r="BQ2924" s="137"/>
    </row>
    <row r="2925" spans="1:69" ht="12.75" customHeight="1" x14ac:dyDescent="0.2">
      <c r="A2925" s="2">
        <v>4414</v>
      </c>
      <c r="B2925" s="2"/>
      <c r="C2925" s="2"/>
      <c r="D2925" s="2"/>
      <c r="E2925" s="2"/>
      <c r="F2925" s="132">
        <v>0</v>
      </c>
      <c r="G2925" s="132"/>
      <c r="H2925" s="132">
        <f t="shared" si="325"/>
        <v>0</v>
      </c>
      <c r="I2925" s="132"/>
      <c r="J2925" s="132">
        <f t="shared" si="330"/>
        <v>0</v>
      </c>
      <c r="K2925" s="132">
        <f t="shared" si="326"/>
        <v>0</v>
      </c>
      <c r="L2925" s="132">
        <f t="shared" si="327"/>
        <v>0</v>
      </c>
      <c r="M2925" s="133"/>
      <c r="N2925" s="133">
        <f t="shared" si="331"/>
        <v>0</v>
      </c>
      <c r="O2925" s="134"/>
      <c r="P2925" s="133"/>
      <c r="Q2925" s="2"/>
      <c r="R2925" s="156">
        <f t="shared" si="328"/>
        <v>0</v>
      </c>
      <c r="S2925" s="156">
        <f t="shared" si="329"/>
        <v>0</v>
      </c>
      <c r="T2925" s="133"/>
      <c r="U2925" s="133"/>
      <c r="V2925" s="133"/>
      <c r="W2925" s="133"/>
      <c r="X2925" s="133"/>
      <c r="Y2925" s="133"/>
      <c r="Z2925" s="133"/>
      <c r="AA2925" s="133"/>
      <c r="AB2925" s="133"/>
      <c r="AC2925" s="133"/>
      <c r="AD2925" s="133"/>
      <c r="AE2925" s="133"/>
      <c r="AF2925" s="133"/>
      <c r="AG2925" s="133"/>
      <c r="AH2925" s="133"/>
      <c r="AI2925" s="133"/>
      <c r="AJ2925" s="133"/>
      <c r="AK2925" s="133"/>
      <c r="AL2925" s="133"/>
      <c r="AM2925" s="133"/>
      <c r="AN2925" s="133"/>
      <c r="AO2925" s="133"/>
      <c r="AP2925" s="133"/>
      <c r="AQ2925" s="133"/>
      <c r="AR2925" s="133"/>
      <c r="AS2925" s="153">
        <v>0</v>
      </c>
      <c r="AT2925" s="153">
        <v>0</v>
      </c>
      <c r="AU2925" s="153">
        <v>0</v>
      </c>
      <c r="AV2925" s="135"/>
      <c r="AW2925" s="135"/>
      <c r="AX2925" s="135"/>
      <c r="AY2925" s="135"/>
      <c r="AZ2925" s="135"/>
      <c r="BA2925" s="135"/>
      <c r="BB2925" s="135"/>
      <c r="BC2925" s="135"/>
      <c r="BD2925" s="135"/>
      <c r="BE2925" s="135"/>
      <c r="BF2925" s="135"/>
      <c r="BG2925" s="135"/>
      <c r="BH2925" s="135"/>
      <c r="BI2925" s="2"/>
      <c r="BJ2925" s="136"/>
      <c r="BK2925" s="2"/>
      <c r="BL2925" s="136"/>
      <c r="BM2925" s="136"/>
      <c r="BN2925" s="2"/>
      <c r="BO2925" s="2"/>
      <c r="BP2925" s="136"/>
      <c r="BQ2925" s="137"/>
    </row>
    <row r="2926" spans="1:69" ht="12.75" customHeight="1" x14ac:dyDescent="0.2">
      <c r="A2926" s="2">
        <v>4415</v>
      </c>
      <c r="B2926" s="2"/>
      <c r="C2926" s="2"/>
      <c r="D2926" s="2"/>
      <c r="E2926" s="2"/>
      <c r="F2926" s="132">
        <v>0</v>
      </c>
      <c r="G2926" s="132"/>
      <c r="H2926" s="132">
        <f t="shared" ref="H2926:H2989" si="332">R2926</f>
        <v>0</v>
      </c>
      <c r="I2926" s="132"/>
      <c r="J2926" s="132">
        <f t="shared" si="330"/>
        <v>0</v>
      </c>
      <c r="K2926" s="132">
        <f t="shared" si="326"/>
        <v>0</v>
      </c>
      <c r="L2926" s="132">
        <f t="shared" si="327"/>
        <v>0</v>
      </c>
      <c r="M2926" s="133"/>
      <c r="N2926" s="133">
        <f t="shared" si="331"/>
        <v>0</v>
      </c>
      <c r="O2926" s="134"/>
      <c r="P2926" s="133"/>
      <c r="Q2926" s="2"/>
      <c r="R2926" s="156">
        <f t="shared" si="328"/>
        <v>0</v>
      </c>
      <c r="S2926" s="156">
        <f t="shared" si="329"/>
        <v>0</v>
      </c>
      <c r="T2926" s="133"/>
      <c r="U2926" s="133"/>
      <c r="V2926" s="133"/>
      <c r="W2926" s="133"/>
      <c r="X2926" s="133"/>
      <c r="Y2926" s="133"/>
      <c r="Z2926" s="133"/>
      <c r="AA2926" s="133"/>
      <c r="AB2926" s="133"/>
      <c r="AC2926" s="133"/>
      <c r="AD2926" s="133"/>
      <c r="AE2926" s="133"/>
      <c r="AF2926" s="133"/>
      <c r="AG2926" s="133"/>
      <c r="AH2926" s="133"/>
      <c r="AI2926" s="133"/>
      <c r="AJ2926" s="133"/>
      <c r="AK2926" s="133"/>
      <c r="AL2926" s="133"/>
      <c r="AM2926" s="133"/>
      <c r="AN2926" s="133"/>
      <c r="AO2926" s="133"/>
      <c r="AP2926" s="133"/>
      <c r="AQ2926" s="133"/>
      <c r="AR2926" s="133"/>
      <c r="AS2926" s="153">
        <v>0</v>
      </c>
      <c r="AT2926" s="153">
        <v>0</v>
      </c>
      <c r="AU2926" s="153">
        <v>0</v>
      </c>
      <c r="AV2926" s="135"/>
      <c r="AW2926" s="135"/>
      <c r="AX2926" s="135"/>
      <c r="AY2926" s="135"/>
      <c r="AZ2926" s="135"/>
      <c r="BA2926" s="135"/>
      <c r="BB2926" s="135"/>
      <c r="BC2926" s="135"/>
      <c r="BD2926" s="135"/>
      <c r="BE2926" s="135"/>
      <c r="BF2926" s="135"/>
      <c r="BG2926" s="135"/>
      <c r="BH2926" s="135"/>
      <c r="BI2926" s="2"/>
      <c r="BJ2926" s="136"/>
      <c r="BK2926" s="2"/>
      <c r="BL2926" s="136"/>
      <c r="BM2926" s="136"/>
      <c r="BN2926" s="2"/>
      <c r="BO2926" s="2"/>
      <c r="BP2926" s="136"/>
      <c r="BQ2926" s="137"/>
    </row>
    <row r="2927" spans="1:69" ht="12.75" customHeight="1" x14ac:dyDescent="0.2">
      <c r="A2927" s="2">
        <v>4416</v>
      </c>
      <c r="B2927" s="2"/>
      <c r="C2927" s="2"/>
      <c r="D2927" s="2"/>
      <c r="E2927" s="2"/>
      <c r="F2927" s="132">
        <v>0</v>
      </c>
      <c r="G2927" s="132"/>
      <c r="H2927" s="132">
        <f t="shared" si="332"/>
        <v>0</v>
      </c>
      <c r="I2927" s="132"/>
      <c r="J2927" s="132">
        <f t="shared" si="330"/>
        <v>0</v>
      </c>
      <c r="K2927" s="132">
        <f t="shared" si="326"/>
        <v>0</v>
      </c>
      <c r="L2927" s="132">
        <f t="shared" si="327"/>
        <v>0</v>
      </c>
      <c r="M2927" s="133"/>
      <c r="N2927" s="133">
        <f t="shared" si="331"/>
        <v>0</v>
      </c>
      <c r="O2927" s="134"/>
      <c r="P2927" s="133"/>
      <c r="Q2927" s="2"/>
      <c r="R2927" s="156">
        <f t="shared" si="328"/>
        <v>0</v>
      </c>
      <c r="S2927" s="156">
        <f t="shared" si="329"/>
        <v>0</v>
      </c>
      <c r="T2927" s="133"/>
      <c r="U2927" s="133"/>
      <c r="V2927" s="133"/>
      <c r="W2927" s="133"/>
      <c r="X2927" s="133"/>
      <c r="Y2927" s="133"/>
      <c r="Z2927" s="133"/>
      <c r="AA2927" s="133"/>
      <c r="AB2927" s="133"/>
      <c r="AC2927" s="133"/>
      <c r="AD2927" s="133"/>
      <c r="AE2927" s="133"/>
      <c r="AF2927" s="133"/>
      <c r="AG2927" s="133"/>
      <c r="AH2927" s="133"/>
      <c r="AI2927" s="133"/>
      <c r="AJ2927" s="133"/>
      <c r="AK2927" s="133"/>
      <c r="AL2927" s="133"/>
      <c r="AM2927" s="133"/>
      <c r="AN2927" s="133"/>
      <c r="AO2927" s="133"/>
      <c r="AP2927" s="133"/>
      <c r="AQ2927" s="133"/>
      <c r="AR2927" s="133"/>
      <c r="AS2927" s="153">
        <v>0</v>
      </c>
      <c r="AT2927" s="153">
        <v>0</v>
      </c>
      <c r="AU2927" s="153">
        <v>0</v>
      </c>
      <c r="AV2927" s="135"/>
      <c r="AW2927" s="135"/>
      <c r="AX2927" s="135"/>
      <c r="AY2927" s="135"/>
      <c r="AZ2927" s="135"/>
      <c r="BA2927" s="135"/>
      <c r="BB2927" s="135"/>
      <c r="BC2927" s="135"/>
      <c r="BD2927" s="135"/>
      <c r="BE2927" s="135"/>
      <c r="BF2927" s="135"/>
      <c r="BG2927" s="135"/>
      <c r="BH2927" s="135"/>
      <c r="BI2927" s="2"/>
      <c r="BJ2927" s="136"/>
      <c r="BK2927" s="2"/>
      <c r="BL2927" s="136"/>
      <c r="BM2927" s="136"/>
      <c r="BN2927" s="2"/>
      <c r="BO2927" s="2"/>
      <c r="BP2927" s="136"/>
      <c r="BQ2927" s="137"/>
    </row>
    <row r="2928" spans="1:69" ht="12.75" customHeight="1" x14ac:dyDescent="0.2">
      <c r="A2928" s="2">
        <v>4417</v>
      </c>
      <c r="B2928" s="2"/>
      <c r="C2928" s="2"/>
      <c r="D2928" s="2"/>
      <c r="E2928" s="2"/>
      <c r="F2928" s="132">
        <v>0</v>
      </c>
      <c r="G2928" s="132"/>
      <c r="H2928" s="132">
        <f t="shared" si="332"/>
        <v>0</v>
      </c>
      <c r="I2928" s="132"/>
      <c r="J2928" s="132">
        <f t="shared" si="330"/>
        <v>0</v>
      </c>
      <c r="K2928" s="132">
        <f t="shared" si="326"/>
        <v>0</v>
      </c>
      <c r="L2928" s="132">
        <f t="shared" si="327"/>
        <v>0</v>
      </c>
      <c r="M2928" s="133"/>
      <c r="N2928" s="133">
        <f t="shared" si="331"/>
        <v>0</v>
      </c>
      <c r="O2928" s="134"/>
      <c r="P2928" s="133"/>
      <c r="Q2928" s="2"/>
      <c r="R2928" s="156">
        <f t="shared" si="328"/>
        <v>0</v>
      </c>
      <c r="S2928" s="156">
        <f t="shared" si="329"/>
        <v>0</v>
      </c>
      <c r="T2928" s="133"/>
      <c r="U2928" s="133"/>
      <c r="V2928" s="133"/>
      <c r="W2928" s="133"/>
      <c r="X2928" s="133"/>
      <c r="Y2928" s="133"/>
      <c r="Z2928" s="133"/>
      <c r="AA2928" s="133"/>
      <c r="AB2928" s="133"/>
      <c r="AC2928" s="133"/>
      <c r="AD2928" s="133"/>
      <c r="AE2928" s="133"/>
      <c r="AF2928" s="133"/>
      <c r="AG2928" s="133"/>
      <c r="AH2928" s="133"/>
      <c r="AI2928" s="133"/>
      <c r="AJ2928" s="133"/>
      <c r="AK2928" s="133"/>
      <c r="AL2928" s="133"/>
      <c r="AM2928" s="133"/>
      <c r="AN2928" s="133"/>
      <c r="AO2928" s="133"/>
      <c r="AP2928" s="133"/>
      <c r="AQ2928" s="133"/>
      <c r="AR2928" s="133"/>
      <c r="AS2928" s="153">
        <v>0</v>
      </c>
      <c r="AT2928" s="153">
        <v>0</v>
      </c>
      <c r="AU2928" s="153">
        <v>0</v>
      </c>
      <c r="AV2928" s="135"/>
      <c r="AW2928" s="135"/>
      <c r="AX2928" s="135"/>
      <c r="AY2928" s="135"/>
      <c r="AZ2928" s="135"/>
      <c r="BA2928" s="135"/>
      <c r="BB2928" s="135"/>
      <c r="BC2928" s="135"/>
      <c r="BD2928" s="135"/>
      <c r="BE2928" s="135"/>
      <c r="BF2928" s="135"/>
      <c r="BG2928" s="135"/>
      <c r="BH2928" s="135"/>
      <c r="BI2928" s="2"/>
      <c r="BJ2928" s="136"/>
      <c r="BK2928" s="2"/>
      <c r="BL2928" s="136"/>
      <c r="BM2928" s="136"/>
      <c r="BN2928" s="2"/>
      <c r="BO2928" s="2"/>
      <c r="BP2928" s="136"/>
      <c r="BQ2928" s="137"/>
    </row>
    <row r="2929" spans="1:69" ht="12.75" customHeight="1" x14ac:dyDescent="0.2">
      <c r="A2929" s="2">
        <v>4418</v>
      </c>
      <c r="B2929" s="2"/>
      <c r="C2929" s="2"/>
      <c r="D2929" s="2"/>
      <c r="E2929" s="2"/>
      <c r="F2929" s="132">
        <v>0</v>
      </c>
      <c r="G2929" s="132"/>
      <c r="H2929" s="132">
        <f t="shared" si="332"/>
        <v>0</v>
      </c>
      <c r="I2929" s="132"/>
      <c r="J2929" s="132">
        <f t="shared" si="330"/>
        <v>0</v>
      </c>
      <c r="K2929" s="132">
        <f t="shared" si="326"/>
        <v>0</v>
      </c>
      <c r="L2929" s="132">
        <f t="shared" si="327"/>
        <v>0</v>
      </c>
      <c r="M2929" s="133"/>
      <c r="N2929" s="133">
        <f t="shared" si="331"/>
        <v>0</v>
      </c>
      <c r="O2929" s="134"/>
      <c r="P2929" s="133"/>
      <c r="Q2929" s="2"/>
      <c r="R2929" s="156">
        <f t="shared" si="328"/>
        <v>0</v>
      </c>
      <c r="S2929" s="156">
        <f t="shared" si="329"/>
        <v>0</v>
      </c>
      <c r="T2929" s="133"/>
      <c r="U2929" s="133"/>
      <c r="V2929" s="133"/>
      <c r="W2929" s="133"/>
      <c r="X2929" s="133"/>
      <c r="Y2929" s="133"/>
      <c r="Z2929" s="133"/>
      <c r="AA2929" s="133"/>
      <c r="AB2929" s="133"/>
      <c r="AC2929" s="133"/>
      <c r="AD2929" s="133"/>
      <c r="AE2929" s="133"/>
      <c r="AF2929" s="133"/>
      <c r="AG2929" s="133"/>
      <c r="AH2929" s="133"/>
      <c r="AI2929" s="133"/>
      <c r="AJ2929" s="133"/>
      <c r="AK2929" s="133"/>
      <c r="AL2929" s="133"/>
      <c r="AM2929" s="133"/>
      <c r="AN2929" s="133"/>
      <c r="AO2929" s="133"/>
      <c r="AP2929" s="133"/>
      <c r="AQ2929" s="133"/>
      <c r="AR2929" s="133"/>
      <c r="AS2929" s="153">
        <v>0</v>
      </c>
      <c r="AT2929" s="153">
        <v>0</v>
      </c>
      <c r="AU2929" s="153">
        <v>0</v>
      </c>
      <c r="AV2929" s="135"/>
      <c r="AW2929" s="135"/>
      <c r="AX2929" s="135"/>
      <c r="AY2929" s="135"/>
      <c r="AZ2929" s="135"/>
      <c r="BA2929" s="135"/>
      <c r="BB2929" s="135"/>
      <c r="BC2929" s="135"/>
      <c r="BD2929" s="135"/>
      <c r="BE2929" s="135"/>
      <c r="BF2929" s="135"/>
      <c r="BG2929" s="135"/>
      <c r="BH2929" s="135"/>
      <c r="BI2929" s="2"/>
      <c r="BJ2929" s="136"/>
      <c r="BK2929" s="2"/>
      <c r="BL2929" s="136"/>
      <c r="BM2929" s="136"/>
      <c r="BN2929" s="2"/>
      <c r="BO2929" s="2"/>
      <c r="BP2929" s="136"/>
      <c r="BQ2929" s="137"/>
    </row>
    <row r="2930" spans="1:69" ht="12.75" customHeight="1" x14ac:dyDescent="0.2">
      <c r="A2930" s="2">
        <v>4419</v>
      </c>
      <c r="B2930" s="2"/>
      <c r="C2930" s="2"/>
      <c r="D2930" s="2"/>
      <c r="E2930" s="2"/>
      <c r="F2930" s="132">
        <v>0</v>
      </c>
      <c r="G2930" s="132"/>
      <c r="H2930" s="132">
        <f t="shared" si="332"/>
        <v>0</v>
      </c>
      <c r="I2930" s="132"/>
      <c r="J2930" s="132">
        <f t="shared" si="330"/>
        <v>0</v>
      </c>
      <c r="K2930" s="132">
        <f t="shared" si="326"/>
        <v>0</v>
      </c>
      <c r="L2930" s="132">
        <f t="shared" si="327"/>
        <v>0</v>
      </c>
      <c r="M2930" s="133"/>
      <c r="N2930" s="133">
        <f t="shared" si="331"/>
        <v>0</v>
      </c>
      <c r="O2930" s="134"/>
      <c r="P2930" s="133"/>
      <c r="Q2930" s="2"/>
      <c r="R2930" s="156">
        <f t="shared" si="328"/>
        <v>0</v>
      </c>
      <c r="S2930" s="156">
        <f t="shared" si="329"/>
        <v>0</v>
      </c>
      <c r="T2930" s="133"/>
      <c r="U2930" s="133"/>
      <c r="V2930" s="133"/>
      <c r="W2930" s="133"/>
      <c r="X2930" s="133"/>
      <c r="Y2930" s="133"/>
      <c r="Z2930" s="133"/>
      <c r="AA2930" s="133"/>
      <c r="AB2930" s="133"/>
      <c r="AC2930" s="133"/>
      <c r="AD2930" s="133"/>
      <c r="AE2930" s="133"/>
      <c r="AF2930" s="133"/>
      <c r="AG2930" s="133"/>
      <c r="AH2930" s="133"/>
      <c r="AI2930" s="133"/>
      <c r="AJ2930" s="133"/>
      <c r="AK2930" s="133"/>
      <c r="AL2930" s="133"/>
      <c r="AM2930" s="133"/>
      <c r="AN2930" s="133"/>
      <c r="AO2930" s="133"/>
      <c r="AP2930" s="133"/>
      <c r="AQ2930" s="133"/>
      <c r="AR2930" s="133"/>
      <c r="AS2930" s="153">
        <v>0</v>
      </c>
      <c r="AT2930" s="153">
        <v>0</v>
      </c>
      <c r="AU2930" s="153">
        <v>0</v>
      </c>
      <c r="AV2930" s="135"/>
      <c r="AW2930" s="135"/>
      <c r="AX2930" s="135"/>
      <c r="AY2930" s="135"/>
      <c r="AZ2930" s="135"/>
      <c r="BA2930" s="135"/>
      <c r="BB2930" s="135"/>
      <c r="BC2930" s="135"/>
      <c r="BD2930" s="135"/>
      <c r="BE2930" s="135"/>
      <c r="BF2930" s="135"/>
      <c r="BG2930" s="135"/>
      <c r="BH2930" s="135"/>
      <c r="BI2930" s="2"/>
      <c r="BJ2930" s="136"/>
      <c r="BK2930" s="2"/>
      <c r="BL2930" s="136"/>
      <c r="BM2930" s="136"/>
      <c r="BN2930" s="2"/>
      <c r="BO2930" s="2"/>
      <c r="BP2930" s="136"/>
      <c r="BQ2930" s="137"/>
    </row>
    <row r="2931" spans="1:69" ht="12.75" customHeight="1" x14ac:dyDescent="0.2">
      <c r="A2931" s="2">
        <v>4420</v>
      </c>
      <c r="B2931" s="2"/>
      <c r="C2931" s="2"/>
      <c r="D2931" s="2"/>
      <c r="E2931" s="2"/>
      <c r="F2931" s="132">
        <v>0</v>
      </c>
      <c r="G2931" s="132"/>
      <c r="H2931" s="132">
        <f t="shared" si="332"/>
        <v>0</v>
      </c>
      <c r="I2931" s="132"/>
      <c r="J2931" s="132">
        <f t="shared" si="330"/>
        <v>0</v>
      </c>
      <c r="K2931" s="132">
        <f t="shared" si="326"/>
        <v>0</v>
      </c>
      <c r="L2931" s="132">
        <f t="shared" si="327"/>
        <v>0</v>
      </c>
      <c r="M2931" s="133"/>
      <c r="N2931" s="133">
        <f t="shared" si="331"/>
        <v>0</v>
      </c>
      <c r="O2931" s="134"/>
      <c r="P2931" s="133"/>
      <c r="Q2931" s="2"/>
      <c r="R2931" s="156">
        <f t="shared" si="328"/>
        <v>0</v>
      </c>
      <c r="S2931" s="156">
        <f t="shared" si="329"/>
        <v>0</v>
      </c>
      <c r="T2931" s="133"/>
      <c r="U2931" s="133"/>
      <c r="V2931" s="133"/>
      <c r="W2931" s="133"/>
      <c r="X2931" s="133"/>
      <c r="Y2931" s="133"/>
      <c r="Z2931" s="133"/>
      <c r="AA2931" s="133"/>
      <c r="AB2931" s="133"/>
      <c r="AC2931" s="133"/>
      <c r="AD2931" s="133"/>
      <c r="AE2931" s="133"/>
      <c r="AF2931" s="133"/>
      <c r="AG2931" s="133"/>
      <c r="AH2931" s="133"/>
      <c r="AI2931" s="133"/>
      <c r="AJ2931" s="133"/>
      <c r="AK2931" s="133"/>
      <c r="AL2931" s="133"/>
      <c r="AM2931" s="133"/>
      <c r="AN2931" s="133"/>
      <c r="AO2931" s="133"/>
      <c r="AP2931" s="133"/>
      <c r="AQ2931" s="133"/>
      <c r="AR2931" s="133"/>
      <c r="AS2931" s="153">
        <v>0</v>
      </c>
      <c r="AT2931" s="153">
        <v>0</v>
      </c>
      <c r="AU2931" s="153">
        <v>0</v>
      </c>
      <c r="AV2931" s="135"/>
      <c r="AW2931" s="135"/>
      <c r="AX2931" s="135"/>
      <c r="AY2931" s="135"/>
      <c r="AZ2931" s="135"/>
      <c r="BA2931" s="135"/>
      <c r="BB2931" s="135"/>
      <c r="BC2931" s="135"/>
      <c r="BD2931" s="135"/>
      <c r="BE2931" s="135"/>
      <c r="BF2931" s="135"/>
      <c r="BG2931" s="135"/>
      <c r="BH2931" s="135"/>
      <c r="BI2931" s="2"/>
      <c r="BJ2931" s="136"/>
      <c r="BK2931" s="2"/>
      <c r="BL2931" s="136"/>
      <c r="BM2931" s="136"/>
      <c r="BN2931" s="2"/>
      <c r="BO2931" s="2"/>
      <c r="BP2931" s="136"/>
      <c r="BQ2931" s="137"/>
    </row>
    <row r="2932" spans="1:69" ht="12.75" customHeight="1" x14ac:dyDescent="0.2">
      <c r="A2932" s="2">
        <v>4421</v>
      </c>
      <c r="B2932" s="2"/>
      <c r="C2932" s="2"/>
      <c r="D2932" s="2"/>
      <c r="E2932" s="2"/>
      <c r="F2932" s="132">
        <v>0</v>
      </c>
      <c r="G2932" s="132"/>
      <c r="H2932" s="132">
        <f t="shared" si="332"/>
        <v>0</v>
      </c>
      <c r="I2932" s="132"/>
      <c r="J2932" s="132">
        <f t="shared" si="330"/>
        <v>0</v>
      </c>
      <c r="K2932" s="132">
        <f t="shared" si="326"/>
        <v>0</v>
      </c>
      <c r="L2932" s="132">
        <f t="shared" si="327"/>
        <v>0</v>
      </c>
      <c r="M2932" s="133"/>
      <c r="N2932" s="133">
        <f t="shared" si="331"/>
        <v>0</v>
      </c>
      <c r="O2932" s="134"/>
      <c r="P2932" s="133"/>
      <c r="Q2932" s="2"/>
      <c r="R2932" s="156">
        <f t="shared" si="328"/>
        <v>0</v>
      </c>
      <c r="S2932" s="156">
        <f t="shared" si="329"/>
        <v>0</v>
      </c>
      <c r="T2932" s="133"/>
      <c r="U2932" s="133"/>
      <c r="V2932" s="133"/>
      <c r="W2932" s="133"/>
      <c r="X2932" s="133"/>
      <c r="Y2932" s="133"/>
      <c r="Z2932" s="133"/>
      <c r="AA2932" s="133"/>
      <c r="AB2932" s="133"/>
      <c r="AC2932" s="133"/>
      <c r="AD2932" s="133"/>
      <c r="AE2932" s="133"/>
      <c r="AF2932" s="133"/>
      <c r="AG2932" s="133"/>
      <c r="AH2932" s="133"/>
      <c r="AI2932" s="133"/>
      <c r="AJ2932" s="133"/>
      <c r="AK2932" s="133"/>
      <c r="AL2932" s="133"/>
      <c r="AM2932" s="133"/>
      <c r="AN2932" s="133"/>
      <c r="AO2932" s="133"/>
      <c r="AP2932" s="133"/>
      <c r="AQ2932" s="133"/>
      <c r="AR2932" s="133"/>
      <c r="AS2932" s="153">
        <v>0</v>
      </c>
      <c r="AT2932" s="153">
        <v>0</v>
      </c>
      <c r="AU2932" s="153">
        <v>0</v>
      </c>
      <c r="AV2932" s="135"/>
      <c r="AW2932" s="135"/>
      <c r="AX2932" s="135"/>
      <c r="AY2932" s="135"/>
      <c r="AZ2932" s="135"/>
      <c r="BA2932" s="135"/>
      <c r="BB2932" s="135"/>
      <c r="BC2932" s="135"/>
      <c r="BD2932" s="135"/>
      <c r="BE2932" s="135"/>
      <c r="BF2932" s="135"/>
      <c r="BG2932" s="135"/>
      <c r="BH2932" s="135"/>
      <c r="BI2932" s="2"/>
      <c r="BJ2932" s="136"/>
      <c r="BK2932" s="2"/>
      <c r="BL2932" s="136"/>
      <c r="BM2932" s="136"/>
      <c r="BN2932" s="2"/>
      <c r="BO2932" s="2"/>
      <c r="BP2932" s="136"/>
      <c r="BQ2932" s="137"/>
    </row>
    <row r="2933" spans="1:69" ht="12.75" customHeight="1" x14ac:dyDescent="0.2">
      <c r="A2933" s="2">
        <v>4422</v>
      </c>
      <c r="B2933" s="2"/>
      <c r="C2933" s="2"/>
      <c r="D2933" s="2"/>
      <c r="E2933" s="2"/>
      <c r="F2933" s="132">
        <v>0</v>
      </c>
      <c r="G2933" s="132"/>
      <c r="H2933" s="132">
        <f t="shared" si="332"/>
        <v>0</v>
      </c>
      <c r="I2933" s="132"/>
      <c r="J2933" s="132">
        <f t="shared" si="330"/>
        <v>0</v>
      </c>
      <c r="K2933" s="132">
        <f t="shared" si="326"/>
        <v>0</v>
      </c>
      <c r="L2933" s="132">
        <f t="shared" si="327"/>
        <v>0</v>
      </c>
      <c r="M2933" s="133"/>
      <c r="N2933" s="133">
        <f t="shared" si="331"/>
        <v>0</v>
      </c>
      <c r="O2933" s="134"/>
      <c r="P2933" s="133"/>
      <c r="Q2933" s="2"/>
      <c r="R2933" s="156">
        <f t="shared" si="328"/>
        <v>0</v>
      </c>
      <c r="S2933" s="156">
        <f t="shared" si="329"/>
        <v>0</v>
      </c>
      <c r="T2933" s="133"/>
      <c r="U2933" s="133"/>
      <c r="V2933" s="133"/>
      <c r="W2933" s="133"/>
      <c r="X2933" s="133"/>
      <c r="Y2933" s="133"/>
      <c r="Z2933" s="133"/>
      <c r="AA2933" s="133"/>
      <c r="AB2933" s="133"/>
      <c r="AC2933" s="133"/>
      <c r="AD2933" s="133"/>
      <c r="AE2933" s="133"/>
      <c r="AF2933" s="133"/>
      <c r="AG2933" s="133"/>
      <c r="AH2933" s="133"/>
      <c r="AI2933" s="133"/>
      <c r="AJ2933" s="133"/>
      <c r="AK2933" s="133"/>
      <c r="AL2933" s="133"/>
      <c r="AM2933" s="133"/>
      <c r="AN2933" s="133"/>
      <c r="AO2933" s="133"/>
      <c r="AP2933" s="133"/>
      <c r="AQ2933" s="133"/>
      <c r="AR2933" s="133"/>
      <c r="AS2933" s="153">
        <v>0</v>
      </c>
      <c r="AT2933" s="153">
        <v>0</v>
      </c>
      <c r="AU2933" s="153">
        <v>0</v>
      </c>
      <c r="AV2933" s="135"/>
      <c r="AW2933" s="135"/>
      <c r="AX2933" s="135"/>
      <c r="AY2933" s="135"/>
      <c r="AZ2933" s="135"/>
      <c r="BA2933" s="135"/>
      <c r="BB2933" s="135"/>
      <c r="BC2933" s="135"/>
      <c r="BD2933" s="135"/>
      <c r="BE2933" s="135"/>
      <c r="BF2933" s="135"/>
      <c r="BG2933" s="135"/>
      <c r="BH2933" s="135"/>
      <c r="BI2933" s="2"/>
      <c r="BJ2933" s="136"/>
      <c r="BK2933" s="2"/>
      <c r="BL2933" s="136"/>
      <c r="BM2933" s="136"/>
      <c r="BN2933" s="2"/>
      <c r="BO2933" s="2"/>
      <c r="BP2933" s="136"/>
      <c r="BQ2933" s="137"/>
    </row>
    <row r="2934" spans="1:69" ht="12.75" customHeight="1" x14ac:dyDescent="0.2">
      <c r="A2934" s="2">
        <v>4423</v>
      </c>
      <c r="B2934" s="2"/>
      <c r="C2934" s="2"/>
      <c r="D2934" s="2"/>
      <c r="E2934" s="2"/>
      <c r="F2934" s="132">
        <v>0</v>
      </c>
      <c r="G2934" s="132"/>
      <c r="H2934" s="132">
        <f t="shared" si="332"/>
        <v>0</v>
      </c>
      <c r="I2934" s="132"/>
      <c r="J2934" s="132">
        <f t="shared" si="330"/>
        <v>0</v>
      </c>
      <c r="K2934" s="132">
        <f t="shared" ref="K2934:K2997" si="333">F2934-J2934</f>
        <v>0</v>
      </c>
      <c r="L2934" s="132">
        <f t="shared" si="327"/>
        <v>0</v>
      </c>
      <c r="M2934" s="133"/>
      <c r="N2934" s="133">
        <f t="shared" si="331"/>
        <v>0</v>
      </c>
      <c r="O2934" s="134"/>
      <c r="P2934" s="133"/>
      <c r="Q2934" s="2"/>
      <c r="R2934" s="156">
        <f t="shared" si="328"/>
        <v>0</v>
      </c>
      <c r="S2934" s="156">
        <f t="shared" si="329"/>
        <v>0</v>
      </c>
      <c r="T2934" s="133"/>
      <c r="U2934" s="133"/>
      <c r="V2934" s="133"/>
      <c r="W2934" s="133"/>
      <c r="X2934" s="133"/>
      <c r="Y2934" s="133"/>
      <c r="Z2934" s="133"/>
      <c r="AA2934" s="133"/>
      <c r="AB2934" s="133"/>
      <c r="AC2934" s="133"/>
      <c r="AD2934" s="133"/>
      <c r="AE2934" s="133"/>
      <c r="AF2934" s="133"/>
      <c r="AG2934" s="133"/>
      <c r="AH2934" s="133"/>
      <c r="AI2934" s="133"/>
      <c r="AJ2934" s="133"/>
      <c r="AK2934" s="133"/>
      <c r="AL2934" s="133"/>
      <c r="AM2934" s="133"/>
      <c r="AN2934" s="133"/>
      <c r="AO2934" s="133"/>
      <c r="AP2934" s="133"/>
      <c r="AQ2934" s="133"/>
      <c r="AR2934" s="133"/>
      <c r="AS2934" s="153">
        <v>0</v>
      </c>
      <c r="AT2934" s="153">
        <v>0</v>
      </c>
      <c r="AU2934" s="153">
        <v>0</v>
      </c>
      <c r="AV2934" s="135"/>
      <c r="AW2934" s="135"/>
      <c r="AX2934" s="135"/>
      <c r="AY2934" s="135"/>
      <c r="AZ2934" s="135"/>
      <c r="BA2934" s="135"/>
      <c r="BB2934" s="135"/>
      <c r="BC2934" s="135"/>
      <c r="BD2934" s="135"/>
      <c r="BE2934" s="135"/>
      <c r="BF2934" s="135"/>
      <c r="BG2934" s="135"/>
      <c r="BH2934" s="135"/>
      <c r="BI2934" s="2"/>
      <c r="BJ2934" s="136"/>
      <c r="BK2934" s="2"/>
      <c r="BL2934" s="136"/>
      <c r="BM2934" s="136"/>
      <c r="BN2934" s="2"/>
      <c r="BO2934" s="2"/>
      <c r="BP2934" s="136"/>
      <c r="BQ2934" s="137"/>
    </row>
    <row r="2935" spans="1:69" ht="12.75" customHeight="1" x14ac:dyDescent="0.2">
      <c r="A2935" s="2">
        <v>4424</v>
      </c>
      <c r="B2935" s="2"/>
      <c r="C2935" s="2"/>
      <c r="D2935" s="2"/>
      <c r="E2935" s="2"/>
      <c r="F2935" s="132">
        <v>0</v>
      </c>
      <c r="G2935" s="132"/>
      <c r="H2935" s="132">
        <f t="shared" si="332"/>
        <v>0</v>
      </c>
      <c r="I2935" s="132"/>
      <c r="J2935" s="132">
        <f t="shared" si="330"/>
        <v>0</v>
      </c>
      <c r="K2935" s="132">
        <f t="shared" si="333"/>
        <v>0</v>
      </c>
      <c r="L2935" s="132">
        <f t="shared" si="327"/>
        <v>0</v>
      </c>
      <c r="M2935" s="133"/>
      <c r="N2935" s="133">
        <f t="shared" si="331"/>
        <v>0</v>
      </c>
      <c r="O2935" s="134"/>
      <c r="P2935" s="133"/>
      <c r="Q2935" s="2"/>
      <c r="R2935" s="156">
        <f t="shared" si="328"/>
        <v>0</v>
      </c>
      <c r="S2935" s="156">
        <f t="shared" si="329"/>
        <v>0</v>
      </c>
      <c r="T2935" s="133"/>
      <c r="U2935" s="133"/>
      <c r="V2935" s="133"/>
      <c r="W2935" s="133"/>
      <c r="X2935" s="133"/>
      <c r="Y2935" s="133"/>
      <c r="Z2935" s="133"/>
      <c r="AA2935" s="133"/>
      <c r="AB2935" s="133"/>
      <c r="AC2935" s="133"/>
      <c r="AD2935" s="133"/>
      <c r="AE2935" s="133"/>
      <c r="AF2935" s="133"/>
      <c r="AG2935" s="133"/>
      <c r="AH2935" s="133"/>
      <c r="AI2935" s="133"/>
      <c r="AJ2935" s="133"/>
      <c r="AK2935" s="133"/>
      <c r="AL2935" s="133"/>
      <c r="AM2935" s="133"/>
      <c r="AN2935" s="133"/>
      <c r="AO2935" s="133"/>
      <c r="AP2935" s="133"/>
      <c r="AQ2935" s="133"/>
      <c r="AR2935" s="133"/>
      <c r="AS2935" s="153">
        <v>0</v>
      </c>
      <c r="AT2935" s="153">
        <v>0</v>
      </c>
      <c r="AU2935" s="153">
        <v>0</v>
      </c>
      <c r="AV2935" s="135"/>
      <c r="AW2935" s="135"/>
      <c r="AX2935" s="135"/>
      <c r="AY2935" s="135"/>
      <c r="AZ2935" s="135"/>
      <c r="BA2935" s="135"/>
      <c r="BB2935" s="135"/>
      <c r="BC2935" s="135"/>
      <c r="BD2935" s="135"/>
      <c r="BE2935" s="135"/>
      <c r="BF2935" s="135"/>
      <c r="BG2935" s="135"/>
      <c r="BH2935" s="135"/>
      <c r="BI2935" s="2"/>
      <c r="BJ2935" s="136"/>
      <c r="BK2935" s="2"/>
      <c r="BL2935" s="136"/>
      <c r="BM2935" s="136"/>
      <c r="BN2935" s="2"/>
      <c r="BO2935" s="2"/>
      <c r="BP2935" s="136"/>
      <c r="BQ2935" s="137"/>
    </row>
    <row r="2936" spans="1:69" ht="12.75" customHeight="1" x14ac:dyDescent="0.2">
      <c r="A2936" s="2">
        <v>4425</v>
      </c>
      <c r="B2936" s="2"/>
      <c r="C2936" s="2"/>
      <c r="D2936" s="2"/>
      <c r="E2936" s="2"/>
      <c r="F2936" s="132">
        <v>0</v>
      </c>
      <c r="G2936" s="132"/>
      <c r="H2936" s="132">
        <f t="shared" si="332"/>
        <v>0</v>
      </c>
      <c r="I2936" s="132"/>
      <c r="J2936" s="132">
        <f t="shared" si="330"/>
        <v>0</v>
      </c>
      <c r="K2936" s="132">
        <f t="shared" si="333"/>
        <v>0</v>
      </c>
      <c r="L2936" s="132">
        <f t="shared" si="327"/>
        <v>0</v>
      </c>
      <c r="M2936" s="133"/>
      <c r="N2936" s="133">
        <f t="shared" si="331"/>
        <v>0</v>
      </c>
      <c r="O2936" s="134"/>
      <c r="P2936" s="133"/>
      <c r="Q2936" s="2"/>
      <c r="R2936" s="156">
        <f t="shared" si="328"/>
        <v>0</v>
      </c>
      <c r="S2936" s="156">
        <f t="shared" si="329"/>
        <v>0</v>
      </c>
      <c r="T2936" s="133"/>
      <c r="U2936" s="133"/>
      <c r="V2936" s="133"/>
      <c r="W2936" s="133"/>
      <c r="X2936" s="133"/>
      <c r="Y2936" s="133"/>
      <c r="Z2936" s="133"/>
      <c r="AA2936" s="133"/>
      <c r="AB2936" s="133"/>
      <c r="AC2936" s="133"/>
      <c r="AD2936" s="133"/>
      <c r="AE2936" s="133"/>
      <c r="AF2936" s="133"/>
      <c r="AG2936" s="133"/>
      <c r="AH2936" s="133"/>
      <c r="AI2936" s="133"/>
      <c r="AJ2936" s="133"/>
      <c r="AK2936" s="133"/>
      <c r="AL2936" s="133"/>
      <c r="AM2936" s="133"/>
      <c r="AN2936" s="133"/>
      <c r="AO2936" s="133"/>
      <c r="AP2936" s="133"/>
      <c r="AQ2936" s="133"/>
      <c r="AR2936" s="133"/>
      <c r="AS2936" s="153">
        <v>0</v>
      </c>
      <c r="AT2936" s="153">
        <v>0</v>
      </c>
      <c r="AU2936" s="153">
        <v>0</v>
      </c>
      <c r="AV2936" s="135"/>
      <c r="AW2936" s="135"/>
      <c r="AX2936" s="135"/>
      <c r="AY2936" s="135"/>
      <c r="AZ2936" s="135"/>
      <c r="BA2936" s="135"/>
      <c r="BB2936" s="135"/>
      <c r="BC2936" s="135"/>
      <c r="BD2936" s="135"/>
      <c r="BE2936" s="135"/>
      <c r="BF2936" s="135"/>
      <c r="BG2936" s="135"/>
      <c r="BH2936" s="135"/>
      <c r="BI2936" s="2"/>
      <c r="BJ2936" s="136"/>
      <c r="BK2936" s="2"/>
      <c r="BL2936" s="136"/>
      <c r="BM2936" s="136"/>
      <c r="BN2936" s="2"/>
      <c r="BO2936" s="2"/>
      <c r="BP2936" s="136"/>
      <c r="BQ2936" s="137"/>
    </row>
    <row r="2937" spans="1:69" ht="12.75" customHeight="1" x14ac:dyDescent="0.2">
      <c r="A2937" s="2">
        <v>4426</v>
      </c>
      <c r="B2937" s="2"/>
      <c r="C2937" s="2"/>
      <c r="D2937" s="2"/>
      <c r="E2937" s="2"/>
      <c r="F2937" s="132">
        <v>0</v>
      </c>
      <c r="G2937" s="132"/>
      <c r="H2937" s="132">
        <f t="shared" si="332"/>
        <v>0</v>
      </c>
      <c r="I2937" s="132"/>
      <c r="J2937" s="132">
        <f t="shared" si="330"/>
        <v>0</v>
      </c>
      <c r="K2937" s="132">
        <f t="shared" si="333"/>
        <v>0</v>
      </c>
      <c r="L2937" s="132">
        <f t="shared" si="327"/>
        <v>0</v>
      </c>
      <c r="M2937" s="133"/>
      <c r="N2937" s="133">
        <f t="shared" si="331"/>
        <v>0</v>
      </c>
      <c r="O2937" s="134"/>
      <c r="P2937" s="133"/>
      <c r="Q2937" s="2"/>
      <c r="R2937" s="156">
        <f t="shared" si="328"/>
        <v>0</v>
      </c>
      <c r="S2937" s="156">
        <f t="shared" si="329"/>
        <v>0</v>
      </c>
      <c r="T2937" s="133"/>
      <c r="U2937" s="133"/>
      <c r="V2937" s="133"/>
      <c r="W2937" s="133"/>
      <c r="X2937" s="133"/>
      <c r="Y2937" s="133"/>
      <c r="Z2937" s="133"/>
      <c r="AA2937" s="133"/>
      <c r="AB2937" s="133"/>
      <c r="AC2937" s="133"/>
      <c r="AD2937" s="133"/>
      <c r="AE2937" s="133"/>
      <c r="AF2937" s="133"/>
      <c r="AG2937" s="133"/>
      <c r="AH2937" s="133"/>
      <c r="AI2937" s="133"/>
      <c r="AJ2937" s="133"/>
      <c r="AK2937" s="133"/>
      <c r="AL2937" s="133"/>
      <c r="AM2937" s="133"/>
      <c r="AN2937" s="133"/>
      <c r="AO2937" s="133"/>
      <c r="AP2937" s="133"/>
      <c r="AQ2937" s="133"/>
      <c r="AR2937" s="133"/>
      <c r="AS2937" s="153">
        <v>0</v>
      </c>
      <c r="AT2937" s="153">
        <v>0</v>
      </c>
      <c r="AU2937" s="153">
        <v>0</v>
      </c>
      <c r="AV2937" s="135"/>
      <c r="AW2937" s="135"/>
      <c r="AX2937" s="135"/>
      <c r="AY2937" s="135"/>
      <c r="AZ2937" s="135"/>
      <c r="BA2937" s="135"/>
      <c r="BB2937" s="135"/>
      <c r="BC2937" s="135"/>
      <c r="BD2937" s="135"/>
      <c r="BE2937" s="135"/>
      <c r="BF2937" s="135"/>
      <c r="BG2937" s="135"/>
      <c r="BH2937" s="135"/>
      <c r="BI2937" s="2"/>
      <c r="BJ2937" s="136"/>
      <c r="BK2937" s="2"/>
      <c r="BL2937" s="136"/>
      <c r="BM2937" s="136"/>
      <c r="BN2937" s="2"/>
      <c r="BO2937" s="2"/>
      <c r="BP2937" s="136"/>
      <c r="BQ2937" s="137"/>
    </row>
    <row r="2938" spans="1:69" ht="12.75" customHeight="1" x14ac:dyDescent="0.2">
      <c r="A2938" s="2">
        <v>4427</v>
      </c>
      <c r="B2938" s="2"/>
      <c r="C2938" s="2"/>
      <c r="D2938" s="2"/>
      <c r="E2938" s="2"/>
      <c r="F2938" s="132">
        <v>0</v>
      </c>
      <c r="G2938" s="132"/>
      <c r="H2938" s="132">
        <f t="shared" si="332"/>
        <v>0</v>
      </c>
      <c r="I2938" s="132"/>
      <c r="J2938" s="132">
        <f t="shared" si="330"/>
        <v>0</v>
      </c>
      <c r="K2938" s="132">
        <f t="shared" si="333"/>
        <v>0</v>
      </c>
      <c r="L2938" s="132">
        <f t="shared" si="327"/>
        <v>0</v>
      </c>
      <c r="M2938" s="133"/>
      <c r="N2938" s="133">
        <f t="shared" si="331"/>
        <v>0</v>
      </c>
      <c r="O2938" s="134"/>
      <c r="P2938" s="133"/>
      <c r="Q2938" s="2"/>
      <c r="R2938" s="156">
        <f t="shared" si="328"/>
        <v>0</v>
      </c>
      <c r="S2938" s="156">
        <f t="shared" si="329"/>
        <v>0</v>
      </c>
      <c r="T2938" s="133"/>
      <c r="U2938" s="133"/>
      <c r="V2938" s="133"/>
      <c r="W2938" s="133"/>
      <c r="X2938" s="133"/>
      <c r="Y2938" s="133"/>
      <c r="Z2938" s="133"/>
      <c r="AA2938" s="133"/>
      <c r="AB2938" s="133"/>
      <c r="AC2938" s="133"/>
      <c r="AD2938" s="133"/>
      <c r="AE2938" s="133"/>
      <c r="AF2938" s="133"/>
      <c r="AG2938" s="133"/>
      <c r="AH2938" s="133"/>
      <c r="AI2938" s="133"/>
      <c r="AJ2938" s="133"/>
      <c r="AK2938" s="133"/>
      <c r="AL2938" s="133"/>
      <c r="AM2938" s="133"/>
      <c r="AN2938" s="133"/>
      <c r="AO2938" s="133"/>
      <c r="AP2938" s="133"/>
      <c r="AQ2938" s="133"/>
      <c r="AR2938" s="133"/>
      <c r="AS2938" s="153">
        <v>0</v>
      </c>
      <c r="AT2938" s="153">
        <v>0</v>
      </c>
      <c r="AU2938" s="153">
        <v>0</v>
      </c>
      <c r="AV2938" s="135"/>
      <c r="AW2938" s="135"/>
      <c r="AX2938" s="135"/>
      <c r="AY2938" s="135"/>
      <c r="AZ2938" s="135"/>
      <c r="BA2938" s="135"/>
      <c r="BB2938" s="135"/>
      <c r="BC2938" s="135"/>
      <c r="BD2938" s="135"/>
      <c r="BE2938" s="135"/>
      <c r="BF2938" s="135"/>
      <c r="BG2938" s="135"/>
      <c r="BH2938" s="135"/>
      <c r="BI2938" s="2"/>
      <c r="BJ2938" s="136"/>
      <c r="BK2938" s="2"/>
      <c r="BL2938" s="136"/>
      <c r="BM2938" s="136"/>
      <c r="BN2938" s="2"/>
      <c r="BO2938" s="2"/>
      <c r="BP2938" s="136"/>
      <c r="BQ2938" s="137"/>
    </row>
    <row r="2939" spans="1:69" ht="12.75" customHeight="1" x14ac:dyDescent="0.2">
      <c r="A2939" s="2">
        <v>4428</v>
      </c>
      <c r="B2939" s="2"/>
      <c r="C2939" s="2"/>
      <c r="D2939" s="2"/>
      <c r="E2939" s="2"/>
      <c r="F2939" s="132">
        <v>0</v>
      </c>
      <c r="G2939" s="132"/>
      <c r="H2939" s="132">
        <f t="shared" si="332"/>
        <v>0</v>
      </c>
      <c r="I2939" s="132"/>
      <c r="J2939" s="132">
        <f t="shared" si="330"/>
        <v>0</v>
      </c>
      <c r="K2939" s="132">
        <f t="shared" si="333"/>
        <v>0</v>
      </c>
      <c r="L2939" s="132">
        <f t="shared" si="327"/>
        <v>0</v>
      </c>
      <c r="M2939" s="133"/>
      <c r="N2939" s="133">
        <f t="shared" si="331"/>
        <v>0</v>
      </c>
      <c r="O2939" s="134"/>
      <c r="P2939" s="133"/>
      <c r="Q2939" s="2"/>
      <c r="R2939" s="156">
        <f t="shared" si="328"/>
        <v>0</v>
      </c>
      <c r="S2939" s="156">
        <f t="shared" si="329"/>
        <v>0</v>
      </c>
      <c r="T2939" s="133"/>
      <c r="U2939" s="133"/>
      <c r="V2939" s="133"/>
      <c r="W2939" s="133"/>
      <c r="X2939" s="133"/>
      <c r="Y2939" s="133"/>
      <c r="Z2939" s="133"/>
      <c r="AA2939" s="133"/>
      <c r="AB2939" s="133"/>
      <c r="AC2939" s="133"/>
      <c r="AD2939" s="133"/>
      <c r="AE2939" s="133"/>
      <c r="AF2939" s="133"/>
      <c r="AG2939" s="133"/>
      <c r="AH2939" s="133"/>
      <c r="AI2939" s="133"/>
      <c r="AJ2939" s="133"/>
      <c r="AK2939" s="133"/>
      <c r="AL2939" s="133"/>
      <c r="AM2939" s="133"/>
      <c r="AN2939" s="133"/>
      <c r="AO2939" s="133"/>
      <c r="AP2939" s="133"/>
      <c r="AQ2939" s="133"/>
      <c r="AR2939" s="133"/>
      <c r="AS2939" s="153">
        <v>0</v>
      </c>
      <c r="AT2939" s="153">
        <v>0</v>
      </c>
      <c r="AU2939" s="153">
        <v>0</v>
      </c>
      <c r="AV2939" s="135"/>
      <c r="AW2939" s="135"/>
      <c r="AX2939" s="135"/>
      <c r="AY2939" s="135"/>
      <c r="AZ2939" s="135"/>
      <c r="BA2939" s="135"/>
      <c r="BB2939" s="135"/>
      <c r="BC2939" s="135"/>
      <c r="BD2939" s="135"/>
      <c r="BE2939" s="135"/>
      <c r="BF2939" s="135"/>
      <c r="BG2939" s="135"/>
      <c r="BH2939" s="135"/>
      <c r="BI2939" s="2"/>
      <c r="BJ2939" s="136"/>
      <c r="BK2939" s="2"/>
      <c r="BL2939" s="136"/>
      <c r="BM2939" s="136"/>
      <c r="BN2939" s="2"/>
      <c r="BO2939" s="2"/>
      <c r="BP2939" s="136"/>
      <c r="BQ2939" s="137"/>
    </row>
    <row r="2940" spans="1:69" ht="12.75" customHeight="1" x14ac:dyDescent="0.2">
      <c r="A2940" s="2">
        <v>4429</v>
      </c>
      <c r="B2940" s="2"/>
      <c r="C2940" s="2"/>
      <c r="D2940" s="2"/>
      <c r="E2940" s="2"/>
      <c r="F2940" s="132">
        <v>0</v>
      </c>
      <c r="G2940" s="132"/>
      <c r="H2940" s="132">
        <f t="shared" si="332"/>
        <v>0</v>
      </c>
      <c r="I2940" s="132"/>
      <c r="J2940" s="132">
        <f t="shared" si="330"/>
        <v>0</v>
      </c>
      <c r="K2940" s="132">
        <f t="shared" si="333"/>
        <v>0</v>
      </c>
      <c r="L2940" s="132">
        <f t="shared" si="327"/>
        <v>0</v>
      </c>
      <c r="M2940" s="133"/>
      <c r="N2940" s="133">
        <f t="shared" si="331"/>
        <v>0</v>
      </c>
      <c r="O2940" s="134"/>
      <c r="P2940" s="133"/>
      <c r="Q2940" s="2"/>
      <c r="R2940" s="156">
        <f t="shared" si="328"/>
        <v>0</v>
      </c>
      <c r="S2940" s="156">
        <f t="shared" si="329"/>
        <v>0</v>
      </c>
      <c r="T2940" s="133"/>
      <c r="U2940" s="133"/>
      <c r="V2940" s="133"/>
      <c r="W2940" s="133"/>
      <c r="X2940" s="133"/>
      <c r="Y2940" s="133"/>
      <c r="Z2940" s="133"/>
      <c r="AA2940" s="133"/>
      <c r="AB2940" s="133"/>
      <c r="AC2940" s="133"/>
      <c r="AD2940" s="133"/>
      <c r="AE2940" s="133"/>
      <c r="AF2940" s="133"/>
      <c r="AG2940" s="133"/>
      <c r="AH2940" s="133"/>
      <c r="AI2940" s="133"/>
      <c r="AJ2940" s="133"/>
      <c r="AK2940" s="133"/>
      <c r="AL2940" s="133"/>
      <c r="AM2940" s="133"/>
      <c r="AN2940" s="133"/>
      <c r="AO2940" s="133"/>
      <c r="AP2940" s="133"/>
      <c r="AQ2940" s="133"/>
      <c r="AR2940" s="133"/>
      <c r="AS2940" s="153">
        <v>0</v>
      </c>
      <c r="AT2940" s="153">
        <v>0</v>
      </c>
      <c r="AU2940" s="153">
        <v>0</v>
      </c>
      <c r="AV2940" s="135"/>
      <c r="AW2940" s="135"/>
      <c r="AX2940" s="135"/>
      <c r="AY2940" s="135"/>
      <c r="AZ2940" s="135"/>
      <c r="BA2940" s="135"/>
      <c r="BB2940" s="135"/>
      <c r="BC2940" s="135"/>
      <c r="BD2940" s="135"/>
      <c r="BE2940" s="135"/>
      <c r="BF2940" s="135"/>
      <c r="BG2940" s="135"/>
      <c r="BH2940" s="135"/>
      <c r="BI2940" s="2"/>
      <c r="BJ2940" s="136"/>
      <c r="BK2940" s="2"/>
      <c r="BL2940" s="136"/>
      <c r="BM2940" s="136"/>
      <c r="BN2940" s="2"/>
      <c r="BO2940" s="2"/>
      <c r="BP2940" s="136"/>
      <c r="BQ2940" s="137"/>
    </row>
    <row r="2941" spans="1:69" ht="12.75" customHeight="1" x14ac:dyDescent="0.2">
      <c r="A2941" s="2">
        <v>4430</v>
      </c>
      <c r="B2941" s="2"/>
      <c r="C2941" s="2"/>
      <c r="D2941" s="2"/>
      <c r="E2941" s="2"/>
      <c r="F2941" s="132">
        <v>0</v>
      </c>
      <c r="G2941" s="132"/>
      <c r="H2941" s="132">
        <f t="shared" si="332"/>
        <v>0</v>
      </c>
      <c r="I2941" s="132"/>
      <c r="J2941" s="132">
        <f t="shared" si="330"/>
        <v>0</v>
      </c>
      <c r="K2941" s="132">
        <f t="shared" si="333"/>
        <v>0</v>
      </c>
      <c r="L2941" s="132">
        <f t="shared" si="327"/>
        <v>0</v>
      </c>
      <c r="M2941" s="133"/>
      <c r="N2941" s="133">
        <f t="shared" si="331"/>
        <v>0</v>
      </c>
      <c r="O2941" s="134"/>
      <c r="P2941" s="133"/>
      <c r="Q2941" s="2"/>
      <c r="R2941" s="156">
        <f t="shared" si="328"/>
        <v>0</v>
      </c>
      <c r="S2941" s="156">
        <f t="shared" si="329"/>
        <v>0</v>
      </c>
      <c r="T2941" s="133"/>
      <c r="U2941" s="133"/>
      <c r="V2941" s="133"/>
      <c r="W2941" s="133"/>
      <c r="X2941" s="133"/>
      <c r="Y2941" s="133"/>
      <c r="Z2941" s="133"/>
      <c r="AA2941" s="133"/>
      <c r="AB2941" s="133"/>
      <c r="AC2941" s="133"/>
      <c r="AD2941" s="133"/>
      <c r="AE2941" s="133"/>
      <c r="AF2941" s="133"/>
      <c r="AG2941" s="133"/>
      <c r="AH2941" s="133"/>
      <c r="AI2941" s="133"/>
      <c r="AJ2941" s="133"/>
      <c r="AK2941" s="133"/>
      <c r="AL2941" s="133"/>
      <c r="AM2941" s="133"/>
      <c r="AN2941" s="133"/>
      <c r="AO2941" s="133"/>
      <c r="AP2941" s="133"/>
      <c r="AQ2941" s="133"/>
      <c r="AR2941" s="133"/>
      <c r="AS2941" s="153">
        <v>0</v>
      </c>
      <c r="AT2941" s="153">
        <v>0</v>
      </c>
      <c r="AU2941" s="153">
        <v>0</v>
      </c>
      <c r="AV2941" s="135"/>
      <c r="AW2941" s="135"/>
      <c r="AX2941" s="135"/>
      <c r="AY2941" s="135"/>
      <c r="AZ2941" s="135"/>
      <c r="BA2941" s="135"/>
      <c r="BB2941" s="135"/>
      <c r="BC2941" s="135"/>
      <c r="BD2941" s="135"/>
      <c r="BE2941" s="135"/>
      <c r="BF2941" s="135"/>
      <c r="BG2941" s="135"/>
      <c r="BH2941" s="135"/>
      <c r="BI2941" s="2"/>
      <c r="BJ2941" s="136"/>
      <c r="BK2941" s="2"/>
      <c r="BL2941" s="136"/>
      <c r="BM2941" s="136"/>
      <c r="BN2941" s="2"/>
      <c r="BO2941" s="2"/>
      <c r="BP2941" s="136"/>
      <c r="BQ2941" s="137"/>
    </row>
    <row r="2942" spans="1:69" ht="12.75" customHeight="1" x14ac:dyDescent="0.2">
      <c r="A2942" s="2">
        <v>4431</v>
      </c>
      <c r="B2942" s="2"/>
      <c r="C2942" s="2"/>
      <c r="D2942" s="2"/>
      <c r="E2942" s="2"/>
      <c r="F2942" s="132">
        <v>0</v>
      </c>
      <c r="G2942" s="132"/>
      <c r="H2942" s="132">
        <f t="shared" si="332"/>
        <v>0</v>
      </c>
      <c r="I2942" s="132"/>
      <c r="J2942" s="132">
        <f t="shared" si="330"/>
        <v>0</v>
      </c>
      <c r="K2942" s="132">
        <f t="shared" si="333"/>
        <v>0</v>
      </c>
      <c r="L2942" s="132">
        <f t="shared" si="327"/>
        <v>0</v>
      </c>
      <c r="M2942" s="133"/>
      <c r="N2942" s="133">
        <f t="shared" si="331"/>
        <v>0</v>
      </c>
      <c r="O2942" s="134"/>
      <c r="P2942" s="133"/>
      <c r="Q2942" s="2"/>
      <c r="R2942" s="156">
        <f t="shared" si="328"/>
        <v>0</v>
      </c>
      <c r="S2942" s="156">
        <f t="shared" si="329"/>
        <v>0</v>
      </c>
      <c r="T2942" s="133"/>
      <c r="U2942" s="133"/>
      <c r="V2942" s="133"/>
      <c r="W2942" s="133"/>
      <c r="X2942" s="133"/>
      <c r="Y2942" s="133"/>
      <c r="Z2942" s="133"/>
      <c r="AA2942" s="133"/>
      <c r="AB2942" s="133"/>
      <c r="AC2942" s="133"/>
      <c r="AD2942" s="133"/>
      <c r="AE2942" s="133"/>
      <c r="AF2942" s="133"/>
      <c r="AG2942" s="133"/>
      <c r="AH2942" s="133"/>
      <c r="AI2942" s="133"/>
      <c r="AJ2942" s="133"/>
      <c r="AK2942" s="133"/>
      <c r="AL2942" s="133"/>
      <c r="AM2942" s="133"/>
      <c r="AN2942" s="133"/>
      <c r="AO2942" s="133"/>
      <c r="AP2942" s="133"/>
      <c r="AQ2942" s="133"/>
      <c r="AR2942" s="133"/>
      <c r="AS2942" s="153">
        <v>0</v>
      </c>
      <c r="AT2942" s="153">
        <v>0</v>
      </c>
      <c r="AU2942" s="153">
        <v>0</v>
      </c>
      <c r="AV2942" s="135"/>
      <c r="AW2942" s="135"/>
      <c r="AX2942" s="135"/>
      <c r="AY2942" s="135"/>
      <c r="AZ2942" s="135"/>
      <c r="BA2942" s="135"/>
      <c r="BB2942" s="135"/>
      <c r="BC2942" s="135"/>
      <c r="BD2942" s="135"/>
      <c r="BE2942" s="135"/>
      <c r="BF2942" s="135"/>
      <c r="BG2942" s="135"/>
      <c r="BH2942" s="135"/>
      <c r="BI2942" s="2"/>
      <c r="BJ2942" s="136"/>
      <c r="BK2942" s="2"/>
      <c r="BL2942" s="136"/>
      <c r="BM2942" s="136"/>
      <c r="BN2942" s="2"/>
      <c r="BO2942" s="2"/>
      <c r="BP2942" s="136"/>
      <c r="BQ2942" s="137"/>
    </row>
    <row r="2943" spans="1:69" ht="12.75" customHeight="1" x14ac:dyDescent="0.2">
      <c r="A2943" s="2">
        <v>4432</v>
      </c>
      <c r="B2943" s="2"/>
      <c r="C2943" s="2"/>
      <c r="D2943" s="2"/>
      <c r="E2943" s="2"/>
      <c r="F2943" s="132">
        <v>0</v>
      </c>
      <c r="G2943" s="132"/>
      <c r="H2943" s="132">
        <f t="shared" si="332"/>
        <v>0</v>
      </c>
      <c r="I2943" s="132"/>
      <c r="J2943" s="132">
        <f t="shared" si="330"/>
        <v>0</v>
      </c>
      <c r="K2943" s="132">
        <f t="shared" si="333"/>
        <v>0</v>
      </c>
      <c r="L2943" s="132">
        <f t="shared" si="327"/>
        <v>0</v>
      </c>
      <c r="M2943" s="133"/>
      <c r="N2943" s="133">
        <f t="shared" si="331"/>
        <v>0</v>
      </c>
      <c r="O2943" s="134"/>
      <c r="P2943" s="133"/>
      <c r="Q2943" s="2"/>
      <c r="R2943" s="156">
        <f t="shared" si="328"/>
        <v>0</v>
      </c>
      <c r="S2943" s="156">
        <f t="shared" si="329"/>
        <v>0</v>
      </c>
      <c r="T2943" s="133"/>
      <c r="U2943" s="133"/>
      <c r="V2943" s="133"/>
      <c r="W2943" s="133"/>
      <c r="X2943" s="133"/>
      <c r="Y2943" s="133"/>
      <c r="Z2943" s="133"/>
      <c r="AA2943" s="133"/>
      <c r="AB2943" s="133"/>
      <c r="AC2943" s="133"/>
      <c r="AD2943" s="133"/>
      <c r="AE2943" s="133"/>
      <c r="AF2943" s="133"/>
      <c r="AG2943" s="133"/>
      <c r="AH2943" s="133"/>
      <c r="AI2943" s="133"/>
      <c r="AJ2943" s="133"/>
      <c r="AK2943" s="133"/>
      <c r="AL2943" s="133"/>
      <c r="AM2943" s="133"/>
      <c r="AN2943" s="133"/>
      <c r="AO2943" s="133"/>
      <c r="AP2943" s="133"/>
      <c r="AQ2943" s="133"/>
      <c r="AR2943" s="133"/>
      <c r="AS2943" s="153">
        <v>0</v>
      </c>
      <c r="AT2943" s="153">
        <v>0</v>
      </c>
      <c r="AU2943" s="153">
        <v>0</v>
      </c>
      <c r="AV2943" s="135"/>
      <c r="AW2943" s="135"/>
      <c r="AX2943" s="135"/>
      <c r="AY2943" s="135"/>
      <c r="AZ2943" s="135"/>
      <c r="BA2943" s="135"/>
      <c r="BB2943" s="135"/>
      <c r="BC2943" s="135"/>
      <c r="BD2943" s="135"/>
      <c r="BE2943" s="135"/>
      <c r="BF2943" s="135"/>
      <c r="BG2943" s="135"/>
      <c r="BH2943" s="135"/>
      <c r="BI2943" s="2"/>
      <c r="BJ2943" s="136"/>
      <c r="BK2943" s="2"/>
      <c r="BL2943" s="136"/>
      <c r="BM2943" s="136"/>
      <c r="BN2943" s="2"/>
      <c r="BO2943" s="2"/>
      <c r="BP2943" s="136"/>
      <c r="BQ2943" s="137"/>
    </row>
    <row r="2944" spans="1:69" ht="12.75" customHeight="1" x14ac:dyDescent="0.2">
      <c r="A2944" s="2">
        <v>4433</v>
      </c>
      <c r="B2944" s="2"/>
      <c r="C2944" s="2"/>
      <c r="D2944" s="2"/>
      <c r="E2944" s="2"/>
      <c r="F2944" s="132">
        <v>0</v>
      </c>
      <c r="G2944" s="132"/>
      <c r="H2944" s="132">
        <f t="shared" si="332"/>
        <v>0</v>
      </c>
      <c r="I2944" s="132"/>
      <c r="J2944" s="132">
        <f t="shared" si="330"/>
        <v>0</v>
      </c>
      <c r="K2944" s="132">
        <f t="shared" si="333"/>
        <v>0</v>
      </c>
      <c r="L2944" s="132">
        <f t="shared" si="327"/>
        <v>0</v>
      </c>
      <c r="M2944" s="133"/>
      <c r="N2944" s="133">
        <f t="shared" si="331"/>
        <v>0</v>
      </c>
      <c r="O2944" s="134"/>
      <c r="P2944" s="133"/>
      <c r="Q2944" s="2"/>
      <c r="R2944" s="156">
        <f t="shared" si="328"/>
        <v>0</v>
      </c>
      <c r="S2944" s="156">
        <f t="shared" si="329"/>
        <v>0</v>
      </c>
      <c r="T2944" s="133"/>
      <c r="U2944" s="133"/>
      <c r="V2944" s="133"/>
      <c r="W2944" s="133"/>
      <c r="X2944" s="133"/>
      <c r="Y2944" s="133"/>
      <c r="Z2944" s="133"/>
      <c r="AA2944" s="133"/>
      <c r="AB2944" s="133"/>
      <c r="AC2944" s="133"/>
      <c r="AD2944" s="133"/>
      <c r="AE2944" s="133"/>
      <c r="AF2944" s="133"/>
      <c r="AG2944" s="133"/>
      <c r="AH2944" s="133"/>
      <c r="AI2944" s="133"/>
      <c r="AJ2944" s="133"/>
      <c r="AK2944" s="133"/>
      <c r="AL2944" s="133"/>
      <c r="AM2944" s="133"/>
      <c r="AN2944" s="133"/>
      <c r="AO2944" s="133"/>
      <c r="AP2944" s="133"/>
      <c r="AQ2944" s="133"/>
      <c r="AR2944" s="133"/>
      <c r="AS2944" s="153">
        <v>0</v>
      </c>
      <c r="AT2944" s="153">
        <v>0</v>
      </c>
      <c r="AU2944" s="153">
        <v>0</v>
      </c>
      <c r="AV2944" s="135"/>
      <c r="AW2944" s="135"/>
      <c r="AX2944" s="135"/>
      <c r="AY2944" s="135"/>
      <c r="AZ2944" s="135"/>
      <c r="BA2944" s="135"/>
      <c r="BB2944" s="135"/>
      <c r="BC2944" s="135"/>
      <c r="BD2944" s="135"/>
      <c r="BE2944" s="135"/>
      <c r="BF2944" s="135"/>
      <c r="BG2944" s="135"/>
      <c r="BH2944" s="135"/>
      <c r="BI2944" s="2"/>
      <c r="BJ2944" s="136"/>
      <c r="BK2944" s="2"/>
      <c r="BL2944" s="136"/>
      <c r="BM2944" s="136"/>
      <c r="BN2944" s="2"/>
      <c r="BO2944" s="2"/>
      <c r="BP2944" s="136"/>
      <c r="BQ2944" s="137"/>
    </row>
    <row r="2945" spans="1:69" ht="12.75" customHeight="1" x14ac:dyDescent="0.2">
      <c r="A2945" s="2">
        <v>4434</v>
      </c>
      <c r="B2945" s="2"/>
      <c r="C2945" s="2"/>
      <c r="D2945" s="2"/>
      <c r="E2945" s="2"/>
      <c r="F2945" s="132">
        <v>0</v>
      </c>
      <c r="G2945" s="132"/>
      <c r="H2945" s="132">
        <f t="shared" si="332"/>
        <v>0</v>
      </c>
      <c r="I2945" s="132"/>
      <c r="J2945" s="132">
        <f t="shared" si="330"/>
        <v>0</v>
      </c>
      <c r="K2945" s="132">
        <f t="shared" si="333"/>
        <v>0</v>
      </c>
      <c r="L2945" s="132">
        <f t="shared" si="327"/>
        <v>0</v>
      </c>
      <c r="M2945" s="133"/>
      <c r="N2945" s="133">
        <f t="shared" si="331"/>
        <v>0</v>
      </c>
      <c r="O2945" s="134"/>
      <c r="P2945" s="133"/>
      <c r="Q2945" s="2"/>
      <c r="R2945" s="156">
        <f t="shared" si="328"/>
        <v>0</v>
      </c>
      <c r="S2945" s="156">
        <f t="shared" si="329"/>
        <v>0</v>
      </c>
      <c r="T2945" s="133"/>
      <c r="U2945" s="133"/>
      <c r="V2945" s="133"/>
      <c r="W2945" s="133"/>
      <c r="X2945" s="133"/>
      <c r="Y2945" s="133"/>
      <c r="Z2945" s="133"/>
      <c r="AA2945" s="133"/>
      <c r="AB2945" s="133"/>
      <c r="AC2945" s="133"/>
      <c r="AD2945" s="133"/>
      <c r="AE2945" s="133"/>
      <c r="AF2945" s="133"/>
      <c r="AG2945" s="133"/>
      <c r="AH2945" s="133"/>
      <c r="AI2945" s="133"/>
      <c r="AJ2945" s="133"/>
      <c r="AK2945" s="133"/>
      <c r="AL2945" s="133"/>
      <c r="AM2945" s="133"/>
      <c r="AN2945" s="133"/>
      <c r="AO2945" s="133"/>
      <c r="AP2945" s="133"/>
      <c r="AQ2945" s="133"/>
      <c r="AR2945" s="133"/>
      <c r="AS2945" s="153">
        <v>0</v>
      </c>
      <c r="AT2945" s="153">
        <v>0</v>
      </c>
      <c r="AU2945" s="153">
        <v>0</v>
      </c>
      <c r="AV2945" s="135"/>
      <c r="AW2945" s="135"/>
      <c r="AX2945" s="135"/>
      <c r="AY2945" s="135"/>
      <c r="AZ2945" s="135"/>
      <c r="BA2945" s="135"/>
      <c r="BB2945" s="135"/>
      <c r="BC2945" s="135"/>
      <c r="BD2945" s="135"/>
      <c r="BE2945" s="135"/>
      <c r="BF2945" s="135"/>
      <c r="BG2945" s="135"/>
      <c r="BH2945" s="135"/>
      <c r="BI2945" s="2"/>
      <c r="BJ2945" s="136"/>
      <c r="BK2945" s="2"/>
      <c r="BL2945" s="136"/>
      <c r="BM2945" s="136"/>
      <c r="BN2945" s="2"/>
      <c r="BO2945" s="2"/>
      <c r="BP2945" s="136"/>
      <c r="BQ2945" s="137"/>
    </row>
    <row r="2946" spans="1:69" ht="12.75" customHeight="1" x14ac:dyDescent="0.2">
      <c r="A2946" s="2">
        <v>4435</v>
      </c>
      <c r="B2946" s="2"/>
      <c r="C2946" s="2"/>
      <c r="D2946" s="2"/>
      <c r="E2946" s="2"/>
      <c r="F2946" s="132">
        <v>0</v>
      </c>
      <c r="G2946" s="132"/>
      <c r="H2946" s="132">
        <f t="shared" si="332"/>
        <v>0</v>
      </c>
      <c r="I2946" s="132"/>
      <c r="J2946" s="132">
        <f t="shared" si="330"/>
        <v>0</v>
      </c>
      <c r="K2946" s="132">
        <f t="shared" si="333"/>
        <v>0</v>
      </c>
      <c r="L2946" s="132">
        <f t="shared" si="327"/>
        <v>0</v>
      </c>
      <c r="M2946" s="133"/>
      <c r="N2946" s="133">
        <f t="shared" si="331"/>
        <v>0</v>
      </c>
      <c r="O2946" s="134"/>
      <c r="P2946" s="133"/>
      <c r="Q2946" s="2"/>
      <c r="R2946" s="156">
        <f t="shared" si="328"/>
        <v>0</v>
      </c>
      <c r="S2946" s="156">
        <f t="shared" si="329"/>
        <v>0</v>
      </c>
      <c r="T2946" s="133"/>
      <c r="U2946" s="133"/>
      <c r="V2946" s="133"/>
      <c r="W2946" s="133"/>
      <c r="X2946" s="133"/>
      <c r="Y2946" s="133"/>
      <c r="Z2946" s="133"/>
      <c r="AA2946" s="133"/>
      <c r="AB2946" s="133"/>
      <c r="AC2946" s="133"/>
      <c r="AD2946" s="133"/>
      <c r="AE2946" s="133"/>
      <c r="AF2946" s="133"/>
      <c r="AG2946" s="133"/>
      <c r="AH2946" s="133"/>
      <c r="AI2946" s="133"/>
      <c r="AJ2946" s="133"/>
      <c r="AK2946" s="133"/>
      <c r="AL2946" s="133"/>
      <c r="AM2946" s="133"/>
      <c r="AN2946" s="133"/>
      <c r="AO2946" s="133"/>
      <c r="AP2946" s="133"/>
      <c r="AQ2946" s="133"/>
      <c r="AR2946" s="133"/>
      <c r="AS2946" s="153">
        <v>0</v>
      </c>
      <c r="AT2946" s="153">
        <v>0</v>
      </c>
      <c r="AU2946" s="153">
        <v>0</v>
      </c>
      <c r="AV2946" s="135"/>
      <c r="AW2946" s="135"/>
      <c r="AX2946" s="135"/>
      <c r="AY2946" s="135"/>
      <c r="AZ2946" s="135"/>
      <c r="BA2946" s="135"/>
      <c r="BB2946" s="135"/>
      <c r="BC2946" s="135"/>
      <c r="BD2946" s="135"/>
      <c r="BE2946" s="135"/>
      <c r="BF2946" s="135"/>
      <c r="BG2946" s="135"/>
      <c r="BH2946" s="135"/>
      <c r="BI2946" s="2"/>
      <c r="BJ2946" s="136"/>
      <c r="BK2946" s="2"/>
      <c r="BL2946" s="136"/>
      <c r="BM2946" s="136"/>
      <c r="BN2946" s="2"/>
      <c r="BO2946" s="2"/>
      <c r="BP2946" s="136"/>
      <c r="BQ2946" s="137"/>
    </row>
    <row r="2947" spans="1:69" ht="12.75" customHeight="1" x14ac:dyDescent="0.2">
      <c r="A2947" s="2">
        <v>4436</v>
      </c>
      <c r="B2947" s="2"/>
      <c r="C2947" s="2"/>
      <c r="D2947" s="2"/>
      <c r="E2947" s="2"/>
      <c r="F2947" s="132">
        <v>0</v>
      </c>
      <c r="G2947" s="132"/>
      <c r="H2947" s="132">
        <f t="shared" si="332"/>
        <v>0</v>
      </c>
      <c r="I2947" s="132"/>
      <c r="J2947" s="132">
        <f t="shared" si="330"/>
        <v>0</v>
      </c>
      <c r="K2947" s="132">
        <f t="shared" si="333"/>
        <v>0</v>
      </c>
      <c r="L2947" s="132">
        <f t="shared" si="327"/>
        <v>0</v>
      </c>
      <c r="M2947" s="133"/>
      <c r="N2947" s="133">
        <f t="shared" si="331"/>
        <v>0</v>
      </c>
      <c r="O2947" s="134"/>
      <c r="P2947" s="133"/>
      <c r="Q2947" s="2"/>
      <c r="R2947" s="156">
        <f t="shared" si="328"/>
        <v>0</v>
      </c>
      <c r="S2947" s="156">
        <f t="shared" si="329"/>
        <v>0</v>
      </c>
      <c r="T2947" s="133"/>
      <c r="U2947" s="133"/>
      <c r="V2947" s="133"/>
      <c r="W2947" s="133"/>
      <c r="X2947" s="133"/>
      <c r="Y2947" s="133"/>
      <c r="Z2947" s="133"/>
      <c r="AA2947" s="133"/>
      <c r="AB2947" s="133"/>
      <c r="AC2947" s="133"/>
      <c r="AD2947" s="133"/>
      <c r="AE2947" s="133"/>
      <c r="AF2947" s="133"/>
      <c r="AG2947" s="133"/>
      <c r="AH2947" s="133"/>
      <c r="AI2947" s="133"/>
      <c r="AJ2947" s="133"/>
      <c r="AK2947" s="133"/>
      <c r="AL2947" s="133"/>
      <c r="AM2947" s="133"/>
      <c r="AN2947" s="133"/>
      <c r="AO2947" s="133"/>
      <c r="AP2947" s="133"/>
      <c r="AQ2947" s="133"/>
      <c r="AR2947" s="133"/>
      <c r="AS2947" s="153">
        <v>0</v>
      </c>
      <c r="AT2947" s="153">
        <v>0</v>
      </c>
      <c r="AU2947" s="153">
        <v>0</v>
      </c>
      <c r="AV2947" s="135"/>
      <c r="AW2947" s="135"/>
      <c r="AX2947" s="135"/>
      <c r="AY2947" s="135"/>
      <c r="AZ2947" s="135"/>
      <c r="BA2947" s="135"/>
      <c r="BB2947" s="135"/>
      <c r="BC2947" s="135"/>
      <c r="BD2947" s="135"/>
      <c r="BE2947" s="135"/>
      <c r="BF2947" s="135"/>
      <c r="BG2947" s="135"/>
      <c r="BH2947" s="135"/>
      <c r="BI2947" s="2"/>
      <c r="BJ2947" s="136"/>
      <c r="BK2947" s="2"/>
      <c r="BL2947" s="136"/>
      <c r="BM2947" s="136"/>
      <c r="BN2947" s="2"/>
      <c r="BO2947" s="2"/>
      <c r="BP2947" s="136"/>
      <c r="BQ2947" s="137"/>
    </row>
    <row r="2948" spans="1:69" ht="12.75" customHeight="1" x14ac:dyDescent="0.2">
      <c r="A2948" s="2">
        <v>4437</v>
      </c>
      <c r="B2948" s="2"/>
      <c r="C2948" s="2"/>
      <c r="D2948" s="2"/>
      <c r="E2948" s="2"/>
      <c r="F2948" s="132">
        <v>0</v>
      </c>
      <c r="G2948" s="132"/>
      <c r="H2948" s="132">
        <f t="shared" si="332"/>
        <v>0</v>
      </c>
      <c r="I2948" s="132"/>
      <c r="J2948" s="132">
        <f t="shared" si="330"/>
        <v>0</v>
      </c>
      <c r="K2948" s="132">
        <f t="shared" si="333"/>
        <v>0</v>
      </c>
      <c r="L2948" s="132">
        <f t="shared" si="327"/>
        <v>0</v>
      </c>
      <c r="M2948" s="133"/>
      <c r="N2948" s="133">
        <f t="shared" si="331"/>
        <v>0</v>
      </c>
      <c r="O2948" s="134"/>
      <c r="P2948" s="133"/>
      <c r="Q2948" s="2"/>
      <c r="R2948" s="156">
        <f t="shared" si="328"/>
        <v>0</v>
      </c>
      <c r="S2948" s="156">
        <f t="shared" si="329"/>
        <v>0</v>
      </c>
      <c r="T2948" s="133"/>
      <c r="U2948" s="133"/>
      <c r="V2948" s="133"/>
      <c r="W2948" s="133"/>
      <c r="X2948" s="133"/>
      <c r="Y2948" s="133"/>
      <c r="Z2948" s="133"/>
      <c r="AA2948" s="133"/>
      <c r="AB2948" s="133"/>
      <c r="AC2948" s="133"/>
      <c r="AD2948" s="133"/>
      <c r="AE2948" s="133"/>
      <c r="AF2948" s="133"/>
      <c r="AG2948" s="133"/>
      <c r="AH2948" s="133"/>
      <c r="AI2948" s="133"/>
      <c r="AJ2948" s="133"/>
      <c r="AK2948" s="133"/>
      <c r="AL2948" s="133"/>
      <c r="AM2948" s="133"/>
      <c r="AN2948" s="133"/>
      <c r="AO2948" s="133"/>
      <c r="AP2948" s="133"/>
      <c r="AQ2948" s="133"/>
      <c r="AR2948" s="133"/>
      <c r="AS2948" s="153">
        <v>0</v>
      </c>
      <c r="AT2948" s="153">
        <v>0</v>
      </c>
      <c r="AU2948" s="153">
        <v>0</v>
      </c>
      <c r="AV2948" s="135"/>
      <c r="AW2948" s="135"/>
      <c r="AX2948" s="135"/>
      <c r="AY2948" s="135"/>
      <c r="AZ2948" s="135"/>
      <c r="BA2948" s="135"/>
      <c r="BB2948" s="135"/>
      <c r="BC2948" s="135"/>
      <c r="BD2948" s="135"/>
      <c r="BE2948" s="135"/>
      <c r="BF2948" s="135"/>
      <c r="BG2948" s="135"/>
      <c r="BH2948" s="135"/>
      <c r="BI2948" s="2"/>
      <c r="BJ2948" s="136"/>
      <c r="BK2948" s="2"/>
      <c r="BL2948" s="136"/>
      <c r="BM2948" s="136"/>
      <c r="BN2948" s="2"/>
      <c r="BO2948" s="2"/>
      <c r="BP2948" s="136"/>
      <c r="BQ2948" s="137"/>
    </row>
    <row r="2949" spans="1:69" ht="12.75" customHeight="1" x14ac:dyDescent="0.2">
      <c r="A2949" s="2">
        <v>4438</v>
      </c>
      <c r="B2949" s="2"/>
      <c r="C2949" s="2"/>
      <c r="D2949" s="2"/>
      <c r="E2949" s="2"/>
      <c r="F2949" s="132">
        <v>0</v>
      </c>
      <c r="G2949" s="132"/>
      <c r="H2949" s="132">
        <f t="shared" si="332"/>
        <v>0</v>
      </c>
      <c r="I2949" s="132"/>
      <c r="J2949" s="132">
        <f t="shared" si="330"/>
        <v>0</v>
      </c>
      <c r="K2949" s="132">
        <f t="shared" si="333"/>
        <v>0</v>
      </c>
      <c r="L2949" s="132">
        <f t="shared" si="327"/>
        <v>0</v>
      </c>
      <c r="M2949" s="133"/>
      <c r="N2949" s="133">
        <f t="shared" si="331"/>
        <v>0</v>
      </c>
      <c r="O2949" s="134"/>
      <c r="P2949" s="133"/>
      <c r="Q2949" s="2"/>
      <c r="R2949" s="156">
        <f t="shared" si="328"/>
        <v>0</v>
      </c>
      <c r="S2949" s="156">
        <f t="shared" si="329"/>
        <v>0</v>
      </c>
      <c r="T2949" s="133"/>
      <c r="U2949" s="133"/>
      <c r="V2949" s="133"/>
      <c r="W2949" s="133"/>
      <c r="X2949" s="133"/>
      <c r="Y2949" s="133"/>
      <c r="Z2949" s="133"/>
      <c r="AA2949" s="133"/>
      <c r="AB2949" s="133"/>
      <c r="AC2949" s="133"/>
      <c r="AD2949" s="133"/>
      <c r="AE2949" s="133"/>
      <c r="AF2949" s="133"/>
      <c r="AG2949" s="133"/>
      <c r="AH2949" s="133"/>
      <c r="AI2949" s="133"/>
      <c r="AJ2949" s="133"/>
      <c r="AK2949" s="133"/>
      <c r="AL2949" s="133"/>
      <c r="AM2949" s="133"/>
      <c r="AN2949" s="133"/>
      <c r="AO2949" s="133"/>
      <c r="AP2949" s="133"/>
      <c r="AQ2949" s="133"/>
      <c r="AR2949" s="133"/>
      <c r="AS2949" s="153">
        <v>0</v>
      </c>
      <c r="AT2949" s="153">
        <v>0</v>
      </c>
      <c r="AU2949" s="153">
        <v>0</v>
      </c>
      <c r="AV2949" s="135"/>
      <c r="AW2949" s="135"/>
      <c r="AX2949" s="135"/>
      <c r="AY2949" s="135"/>
      <c r="AZ2949" s="135"/>
      <c r="BA2949" s="135"/>
      <c r="BB2949" s="135"/>
      <c r="BC2949" s="135"/>
      <c r="BD2949" s="135"/>
      <c r="BE2949" s="135"/>
      <c r="BF2949" s="135"/>
      <c r="BG2949" s="135"/>
      <c r="BH2949" s="135"/>
      <c r="BI2949" s="2"/>
      <c r="BJ2949" s="136"/>
      <c r="BK2949" s="2"/>
      <c r="BL2949" s="136"/>
      <c r="BM2949" s="136"/>
      <c r="BN2949" s="2"/>
      <c r="BO2949" s="2"/>
      <c r="BP2949" s="136"/>
      <c r="BQ2949" s="137"/>
    </row>
    <row r="2950" spans="1:69" ht="12.75" customHeight="1" x14ac:dyDescent="0.2">
      <c r="A2950" s="2">
        <v>4439</v>
      </c>
      <c r="B2950" s="2"/>
      <c r="C2950" s="2"/>
      <c r="D2950" s="2"/>
      <c r="E2950" s="2"/>
      <c r="F2950" s="132">
        <v>0</v>
      </c>
      <c r="G2950" s="132"/>
      <c r="H2950" s="132">
        <f t="shared" si="332"/>
        <v>0</v>
      </c>
      <c r="I2950" s="132"/>
      <c r="J2950" s="132">
        <f t="shared" si="330"/>
        <v>0</v>
      </c>
      <c r="K2950" s="132">
        <f t="shared" si="333"/>
        <v>0</v>
      </c>
      <c r="L2950" s="132">
        <f t="shared" si="327"/>
        <v>0</v>
      </c>
      <c r="M2950" s="133"/>
      <c r="N2950" s="133">
        <f t="shared" si="331"/>
        <v>0</v>
      </c>
      <c r="O2950" s="134"/>
      <c r="P2950" s="133"/>
      <c r="Q2950" s="2"/>
      <c r="R2950" s="156">
        <f t="shared" si="328"/>
        <v>0</v>
      </c>
      <c r="S2950" s="156">
        <f t="shared" si="329"/>
        <v>0</v>
      </c>
      <c r="T2950" s="133"/>
      <c r="U2950" s="133"/>
      <c r="V2950" s="133"/>
      <c r="W2950" s="133"/>
      <c r="X2950" s="133"/>
      <c r="Y2950" s="133"/>
      <c r="Z2950" s="133"/>
      <c r="AA2950" s="133"/>
      <c r="AB2950" s="133"/>
      <c r="AC2950" s="133"/>
      <c r="AD2950" s="133"/>
      <c r="AE2950" s="133"/>
      <c r="AF2950" s="133"/>
      <c r="AG2950" s="133"/>
      <c r="AH2950" s="133"/>
      <c r="AI2950" s="133"/>
      <c r="AJ2950" s="133"/>
      <c r="AK2950" s="133"/>
      <c r="AL2950" s="133"/>
      <c r="AM2950" s="133"/>
      <c r="AN2950" s="133"/>
      <c r="AO2950" s="133"/>
      <c r="AP2950" s="133"/>
      <c r="AQ2950" s="133"/>
      <c r="AR2950" s="133"/>
      <c r="AS2950" s="153">
        <v>0</v>
      </c>
      <c r="AT2950" s="153">
        <v>0</v>
      </c>
      <c r="AU2950" s="153">
        <v>0</v>
      </c>
      <c r="AV2950" s="135"/>
      <c r="AW2950" s="135"/>
      <c r="AX2950" s="135"/>
      <c r="AY2950" s="135"/>
      <c r="AZ2950" s="135"/>
      <c r="BA2950" s="135"/>
      <c r="BB2950" s="135"/>
      <c r="BC2950" s="135"/>
      <c r="BD2950" s="135"/>
      <c r="BE2950" s="135"/>
      <c r="BF2950" s="135"/>
      <c r="BG2950" s="135"/>
      <c r="BH2950" s="135"/>
      <c r="BI2950" s="2"/>
      <c r="BJ2950" s="136"/>
      <c r="BK2950" s="2"/>
      <c r="BL2950" s="136"/>
      <c r="BM2950" s="136"/>
      <c r="BN2950" s="2"/>
      <c r="BO2950" s="2"/>
      <c r="BP2950" s="136"/>
      <c r="BQ2950" s="137"/>
    </row>
    <row r="2951" spans="1:69" ht="12.75" customHeight="1" x14ac:dyDescent="0.2">
      <c r="A2951" s="2">
        <v>4440</v>
      </c>
      <c r="B2951" s="2"/>
      <c r="C2951" s="2"/>
      <c r="D2951" s="2"/>
      <c r="E2951" s="2"/>
      <c r="F2951" s="132">
        <v>0</v>
      </c>
      <c r="G2951" s="132"/>
      <c r="H2951" s="132">
        <f t="shared" si="332"/>
        <v>0</v>
      </c>
      <c r="I2951" s="132"/>
      <c r="J2951" s="132">
        <f t="shared" si="330"/>
        <v>0</v>
      </c>
      <c r="K2951" s="132">
        <f t="shared" si="333"/>
        <v>0</v>
      </c>
      <c r="L2951" s="132">
        <f t="shared" si="327"/>
        <v>0</v>
      </c>
      <c r="M2951" s="133"/>
      <c r="N2951" s="133">
        <f t="shared" si="331"/>
        <v>0</v>
      </c>
      <c r="O2951" s="134"/>
      <c r="P2951" s="133"/>
      <c r="Q2951" s="2"/>
      <c r="R2951" s="156">
        <f t="shared" si="328"/>
        <v>0</v>
      </c>
      <c r="S2951" s="156">
        <f t="shared" si="329"/>
        <v>0</v>
      </c>
      <c r="T2951" s="133"/>
      <c r="U2951" s="133"/>
      <c r="V2951" s="133"/>
      <c r="W2951" s="133"/>
      <c r="X2951" s="133"/>
      <c r="Y2951" s="133"/>
      <c r="Z2951" s="133"/>
      <c r="AA2951" s="133"/>
      <c r="AB2951" s="133"/>
      <c r="AC2951" s="133"/>
      <c r="AD2951" s="133"/>
      <c r="AE2951" s="133"/>
      <c r="AF2951" s="133"/>
      <c r="AG2951" s="133"/>
      <c r="AH2951" s="133"/>
      <c r="AI2951" s="133"/>
      <c r="AJ2951" s="133"/>
      <c r="AK2951" s="133"/>
      <c r="AL2951" s="133"/>
      <c r="AM2951" s="133"/>
      <c r="AN2951" s="133"/>
      <c r="AO2951" s="133"/>
      <c r="AP2951" s="133"/>
      <c r="AQ2951" s="133"/>
      <c r="AR2951" s="133"/>
      <c r="AS2951" s="153">
        <v>0</v>
      </c>
      <c r="AT2951" s="153">
        <v>0</v>
      </c>
      <c r="AU2951" s="153">
        <v>0</v>
      </c>
      <c r="AV2951" s="135"/>
      <c r="AW2951" s="135"/>
      <c r="AX2951" s="135"/>
      <c r="AY2951" s="135"/>
      <c r="AZ2951" s="135"/>
      <c r="BA2951" s="135"/>
      <c r="BB2951" s="135"/>
      <c r="BC2951" s="135"/>
      <c r="BD2951" s="135"/>
      <c r="BE2951" s="135"/>
      <c r="BF2951" s="135"/>
      <c r="BG2951" s="135"/>
      <c r="BH2951" s="135"/>
      <c r="BI2951" s="2"/>
      <c r="BJ2951" s="136"/>
      <c r="BK2951" s="2"/>
      <c r="BL2951" s="136"/>
      <c r="BM2951" s="136"/>
      <c r="BN2951" s="2"/>
      <c r="BO2951" s="2"/>
      <c r="BP2951" s="136"/>
      <c r="BQ2951" s="137"/>
    </row>
    <row r="2952" spans="1:69" ht="12.75" customHeight="1" x14ac:dyDescent="0.2">
      <c r="A2952" s="2">
        <v>4441</v>
      </c>
      <c r="B2952" s="2"/>
      <c r="C2952" s="2"/>
      <c r="D2952" s="2"/>
      <c r="E2952" s="2"/>
      <c r="F2952" s="132">
        <v>0</v>
      </c>
      <c r="G2952" s="132"/>
      <c r="H2952" s="132">
        <f t="shared" si="332"/>
        <v>0</v>
      </c>
      <c r="I2952" s="132"/>
      <c r="J2952" s="132">
        <f t="shared" si="330"/>
        <v>0</v>
      </c>
      <c r="K2952" s="132">
        <f t="shared" si="333"/>
        <v>0</v>
      </c>
      <c r="L2952" s="132">
        <f t="shared" si="327"/>
        <v>0</v>
      </c>
      <c r="M2952" s="133"/>
      <c r="N2952" s="133">
        <f t="shared" si="331"/>
        <v>0</v>
      </c>
      <c r="O2952" s="134"/>
      <c r="P2952" s="133"/>
      <c r="Q2952" s="2"/>
      <c r="R2952" s="156">
        <f t="shared" si="328"/>
        <v>0</v>
      </c>
      <c r="S2952" s="156">
        <f t="shared" si="329"/>
        <v>0</v>
      </c>
      <c r="T2952" s="133"/>
      <c r="U2952" s="133"/>
      <c r="V2952" s="133"/>
      <c r="W2952" s="133"/>
      <c r="X2952" s="133"/>
      <c r="Y2952" s="133"/>
      <c r="Z2952" s="133"/>
      <c r="AA2952" s="133"/>
      <c r="AB2952" s="133"/>
      <c r="AC2952" s="133"/>
      <c r="AD2952" s="133"/>
      <c r="AE2952" s="133"/>
      <c r="AF2952" s="133"/>
      <c r="AG2952" s="133"/>
      <c r="AH2952" s="133"/>
      <c r="AI2952" s="133"/>
      <c r="AJ2952" s="133"/>
      <c r="AK2952" s="133"/>
      <c r="AL2952" s="133"/>
      <c r="AM2952" s="133"/>
      <c r="AN2952" s="133"/>
      <c r="AO2952" s="133"/>
      <c r="AP2952" s="133"/>
      <c r="AQ2952" s="133"/>
      <c r="AR2952" s="133"/>
      <c r="AS2952" s="153">
        <v>0</v>
      </c>
      <c r="AT2952" s="153">
        <v>0</v>
      </c>
      <c r="AU2952" s="153">
        <v>0</v>
      </c>
      <c r="AV2952" s="135"/>
      <c r="AW2952" s="135"/>
      <c r="AX2952" s="135"/>
      <c r="AY2952" s="135"/>
      <c r="AZ2952" s="135"/>
      <c r="BA2952" s="135"/>
      <c r="BB2952" s="135"/>
      <c r="BC2952" s="135"/>
      <c r="BD2952" s="135"/>
      <c r="BE2952" s="135"/>
      <c r="BF2952" s="135"/>
      <c r="BG2952" s="135"/>
      <c r="BH2952" s="135"/>
      <c r="BI2952" s="2"/>
      <c r="BJ2952" s="136"/>
      <c r="BK2952" s="2"/>
      <c r="BL2952" s="136"/>
      <c r="BM2952" s="136"/>
      <c r="BN2952" s="2"/>
      <c r="BO2952" s="2"/>
      <c r="BP2952" s="136"/>
      <c r="BQ2952" s="137"/>
    </row>
    <row r="2953" spans="1:69" ht="12.75" customHeight="1" x14ac:dyDescent="0.2">
      <c r="A2953" s="2">
        <v>4442</v>
      </c>
      <c r="B2953" s="2"/>
      <c r="C2953" s="2"/>
      <c r="D2953" s="2"/>
      <c r="E2953" s="2"/>
      <c r="F2953" s="132">
        <v>0</v>
      </c>
      <c r="G2953" s="132"/>
      <c r="H2953" s="132">
        <f t="shared" si="332"/>
        <v>0</v>
      </c>
      <c r="I2953" s="132"/>
      <c r="J2953" s="132">
        <f t="shared" si="330"/>
        <v>0</v>
      </c>
      <c r="K2953" s="132">
        <f t="shared" si="333"/>
        <v>0</v>
      </c>
      <c r="L2953" s="132">
        <f t="shared" si="327"/>
        <v>0</v>
      </c>
      <c r="M2953" s="133"/>
      <c r="N2953" s="133">
        <f t="shared" si="331"/>
        <v>0</v>
      </c>
      <c r="O2953" s="134"/>
      <c r="P2953" s="133"/>
      <c r="Q2953" s="2"/>
      <c r="R2953" s="156">
        <f t="shared" si="328"/>
        <v>0</v>
      </c>
      <c r="S2953" s="156">
        <f t="shared" si="329"/>
        <v>0</v>
      </c>
      <c r="T2953" s="133"/>
      <c r="U2953" s="133"/>
      <c r="V2953" s="133"/>
      <c r="W2953" s="133"/>
      <c r="X2953" s="133"/>
      <c r="Y2953" s="133"/>
      <c r="Z2953" s="133"/>
      <c r="AA2953" s="133"/>
      <c r="AB2953" s="133"/>
      <c r="AC2953" s="133"/>
      <c r="AD2953" s="133"/>
      <c r="AE2953" s="133"/>
      <c r="AF2953" s="133"/>
      <c r="AG2953" s="133"/>
      <c r="AH2953" s="133"/>
      <c r="AI2953" s="133"/>
      <c r="AJ2953" s="133"/>
      <c r="AK2953" s="133"/>
      <c r="AL2953" s="133"/>
      <c r="AM2953" s="133"/>
      <c r="AN2953" s="133"/>
      <c r="AO2953" s="133"/>
      <c r="AP2953" s="133"/>
      <c r="AQ2953" s="133"/>
      <c r="AR2953" s="133"/>
      <c r="AS2953" s="153">
        <v>0</v>
      </c>
      <c r="AT2953" s="153">
        <v>0</v>
      </c>
      <c r="AU2953" s="153">
        <v>0</v>
      </c>
      <c r="AV2953" s="135"/>
      <c r="AW2953" s="135"/>
      <c r="AX2953" s="135"/>
      <c r="AY2953" s="135"/>
      <c r="AZ2953" s="135"/>
      <c r="BA2953" s="135"/>
      <c r="BB2953" s="135"/>
      <c r="BC2953" s="135"/>
      <c r="BD2953" s="135"/>
      <c r="BE2953" s="135"/>
      <c r="BF2953" s="135"/>
      <c r="BG2953" s="135"/>
      <c r="BH2953" s="135"/>
      <c r="BI2953" s="2"/>
      <c r="BJ2953" s="136"/>
      <c r="BK2953" s="2"/>
      <c r="BL2953" s="136"/>
      <c r="BM2953" s="136"/>
      <c r="BN2953" s="2"/>
      <c r="BO2953" s="2"/>
      <c r="BP2953" s="136"/>
      <c r="BQ2953" s="137"/>
    </row>
    <row r="2954" spans="1:69" ht="12.75" customHeight="1" x14ac:dyDescent="0.2">
      <c r="A2954" s="2">
        <v>4443</v>
      </c>
      <c r="B2954" s="2"/>
      <c r="C2954" s="2"/>
      <c r="D2954" s="2"/>
      <c r="E2954" s="2"/>
      <c r="F2954" s="132">
        <v>0</v>
      </c>
      <c r="G2954" s="132"/>
      <c r="H2954" s="132">
        <f t="shared" si="332"/>
        <v>0</v>
      </c>
      <c r="I2954" s="132"/>
      <c r="J2954" s="132">
        <f t="shared" si="330"/>
        <v>0</v>
      </c>
      <c r="K2954" s="132">
        <f t="shared" si="333"/>
        <v>0</v>
      </c>
      <c r="L2954" s="132">
        <f t="shared" si="327"/>
        <v>0</v>
      </c>
      <c r="M2954" s="133"/>
      <c r="N2954" s="133">
        <f t="shared" si="331"/>
        <v>0</v>
      </c>
      <c r="O2954" s="134"/>
      <c r="P2954" s="133"/>
      <c r="Q2954" s="2"/>
      <c r="R2954" s="156">
        <f t="shared" si="328"/>
        <v>0</v>
      </c>
      <c r="S2954" s="156">
        <f t="shared" si="329"/>
        <v>0</v>
      </c>
      <c r="T2954" s="133"/>
      <c r="U2954" s="133"/>
      <c r="V2954" s="133"/>
      <c r="W2954" s="133"/>
      <c r="X2954" s="133"/>
      <c r="Y2954" s="133"/>
      <c r="Z2954" s="133"/>
      <c r="AA2954" s="133"/>
      <c r="AB2954" s="133"/>
      <c r="AC2954" s="133"/>
      <c r="AD2954" s="133"/>
      <c r="AE2954" s="133"/>
      <c r="AF2954" s="133"/>
      <c r="AG2954" s="133"/>
      <c r="AH2954" s="133"/>
      <c r="AI2954" s="133"/>
      <c r="AJ2954" s="133"/>
      <c r="AK2954" s="133"/>
      <c r="AL2954" s="133"/>
      <c r="AM2954" s="133"/>
      <c r="AN2954" s="133"/>
      <c r="AO2954" s="133"/>
      <c r="AP2954" s="133"/>
      <c r="AQ2954" s="133"/>
      <c r="AR2954" s="133"/>
      <c r="AS2954" s="153">
        <v>0</v>
      </c>
      <c r="AT2954" s="153">
        <v>0</v>
      </c>
      <c r="AU2954" s="153">
        <v>0</v>
      </c>
      <c r="AV2954" s="135"/>
      <c r="AW2954" s="135"/>
      <c r="AX2954" s="135"/>
      <c r="AY2954" s="135"/>
      <c r="AZ2954" s="135"/>
      <c r="BA2954" s="135"/>
      <c r="BB2954" s="135"/>
      <c r="BC2954" s="135"/>
      <c r="BD2954" s="135"/>
      <c r="BE2954" s="135"/>
      <c r="BF2954" s="135"/>
      <c r="BG2954" s="135"/>
      <c r="BH2954" s="135"/>
      <c r="BI2954" s="2"/>
      <c r="BJ2954" s="136"/>
      <c r="BK2954" s="2"/>
      <c r="BL2954" s="136"/>
      <c r="BM2954" s="136"/>
      <c r="BN2954" s="2"/>
      <c r="BO2954" s="2"/>
      <c r="BP2954" s="136"/>
      <c r="BQ2954" s="137"/>
    </row>
    <row r="2955" spans="1:69" ht="12.75" customHeight="1" x14ac:dyDescent="0.2">
      <c r="A2955" s="2">
        <v>4444</v>
      </c>
      <c r="B2955" s="2"/>
      <c r="C2955" s="2"/>
      <c r="D2955" s="2"/>
      <c r="E2955" s="2"/>
      <c r="F2955" s="132">
        <v>0</v>
      </c>
      <c r="G2955" s="132"/>
      <c r="H2955" s="132">
        <f t="shared" si="332"/>
        <v>0</v>
      </c>
      <c r="I2955" s="132"/>
      <c r="J2955" s="132">
        <f t="shared" si="330"/>
        <v>0</v>
      </c>
      <c r="K2955" s="132">
        <f t="shared" si="333"/>
        <v>0</v>
      </c>
      <c r="L2955" s="132">
        <f t="shared" ref="L2955:L3018" si="334">H2955-J2955</f>
        <v>0</v>
      </c>
      <c r="M2955" s="133"/>
      <c r="N2955" s="133">
        <f t="shared" si="331"/>
        <v>0</v>
      </c>
      <c r="O2955" s="134"/>
      <c r="P2955" s="133"/>
      <c r="Q2955" s="2"/>
      <c r="R2955" s="156">
        <f t="shared" ref="R2955:R3018" si="335">T2955+V2955+X2955+Z2955+AB2955+AD2955+AF2955+AH2955+AJ2955+AL2955+AN2955+AP2955</f>
        <v>0</v>
      </c>
      <c r="S2955" s="156">
        <f t="shared" ref="S2955:S3018" si="336">U2955+W2955+Y2955+AA2955+AC2955+AE2955+AG2955+AI2955+AK2955+AM2955+AO2955+AQ2955</f>
        <v>0</v>
      </c>
      <c r="T2955" s="133"/>
      <c r="U2955" s="133"/>
      <c r="V2955" s="133"/>
      <c r="W2955" s="133"/>
      <c r="X2955" s="133"/>
      <c r="Y2955" s="133"/>
      <c r="Z2955" s="133"/>
      <c r="AA2955" s="133"/>
      <c r="AB2955" s="133"/>
      <c r="AC2955" s="133"/>
      <c r="AD2955" s="133"/>
      <c r="AE2955" s="133"/>
      <c r="AF2955" s="133"/>
      <c r="AG2955" s="133"/>
      <c r="AH2955" s="133"/>
      <c r="AI2955" s="133"/>
      <c r="AJ2955" s="133"/>
      <c r="AK2955" s="133"/>
      <c r="AL2955" s="133"/>
      <c r="AM2955" s="133"/>
      <c r="AN2955" s="133"/>
      <c r="AO2955" s="133"/>
      <c r="AP2955" s="133"/>
      <c r="AQ2955" s="133"/>
      <c r="AR2955" s="133"/>
      <c r="AS2955" s="153">
        <v>0</v>
      </c>
      <c r="AT2955" s="153">
        <v>0</v>
      </c>
      <c r="AU2955" s="153">
        <v>0</v>
      </c>
      <c r="AV2955" s="135"/>
      <c r="AW2955" s="135"/>
      <c r="AX2955" s="135"/>
      <c r="AY2955" s="135"/>
      <c r="AZ2955" s="135"/>
      <c r="BA2955" s="135"/>
      <c r="BB2955" s="135"/>
      <c r="BC2955" s="135"/>
      <c r="BD2955" s="135"/>
      <c r="BE2955" s="135"/>
      <c r="BF2955" s="135"/>
      <c r="BG2955" s="135"/>
      <c r="BH2955" s="135"/>
      <c r="BI2955" s="2"/>
      <c r="BJ2955" s="136"/>
      <c r="BK2955" s="2"/>
      <c r="BL2955" s="136"/>
      <c r="BM2955" s="136"/>
      <c r="BN2955" s="2"/>
      <c r="BO2955" s="2"/>
      <c r="BP2955" s="136"/>
      <c r="BQ2955" s="137"/>
    </row>
    <row r="2956" spans="1:69" ht="12.75" customHeight="1" x14ac:dyDescent="0.2">
      <c r="A2956" s="2">
        <v>4445</v>
      </c>
      <c r="B2956" s="2"/>
      <c r="C2956" s="2"/>
      <c r="D2956" s="2"/>
      <c r="E2956" s="2"/>
      <c r="F2956" s="132">
        <v>0</v>
      </c>
      <c r="G2956" s="132"/>
      <c r="H2956" s="132">
        <f t="shared" si="332"/>
        <v>0</v>
      </c>
      <c r="I2956" s="132"/>
      <c r="J2956" s="132">
        <f t="shared" si="330"/>
        <v>0</v>
      </c>
      <c r="K2956" s="132">
        <f t="shared" si="333"/>
        <v>0</v>
      </c>
      <c r="L2956" s="132">
        <f t="shared" si="334"/>
        <v>0</v>
      </c>
      <c r="M2956" s="133"/>
      <c r="N2956" s="133">
        <f t="shared" si="331"/>
        <v>0</v>
      </c>
      <c r="O2956" s="134"/>
      <c r="P2956" s="133"/>
      <c r="Q2956" s="2"/>
      <c r="R2956" s="156">
        <f t="shared" si="335"/>
        <v>0</v>
      </c>
      <c r="S2956" s="156">
        <f t="shared" si="336"/>
        <v>0</v>
      </c>
      <c r="T2956" s="133"/>
      <c r="U2956" s="133"/>
      <c r="V2956" s="133"/>
      <c r="W2956" s="133"/>
      <c r="X2956" s="133"/>
      <c r="Y2956" s="133"/>
      <c r="Z2956" s="133"/>
      <c r="AA2956" s="133"/>
      <c r="AB2956" s="133"/>
      <c r="AC2956" s="133"/>
      <c r="AD2956" s="133"/>
      <c r="AE2956" s="133"/>
      <c r="AF2956" s="133"/>
      <c r="AG2956" s="133"/>
      <c r="AH2956" s="133"/>
      <c r="AI2956" s="133"/>
      <c r="AJ2956" s="133"/>
      <c r="AK2956" s="133"/>
      <c r="AL2956" s="133"/>
      <c r="AM2956" s="133"/>
      <c r="AN2956" s="133"/>
      <c r="AO2956" s="133"/>
      <c r="AP2956" s="133"/>
      <c r="AQ2956" s="133"/>
      <c r="AR2956" s="133"/>
      <c r="AS2956" s="153">
        <v>0</v>
      </c>
      <c r="AT2956" s="153">
        <v>0</v>
      </c>
      <c r="AU2956" s="153">
        <v>0</v>
      </c>
      <c r="AV2956" s="135"/>
      <c r="AW2956" s="135"/>
      <c r="AX2956" s="135"/>
      <c r="AY2956" s="135"/>
      <c r="AZ2956" s="135"/>
      <c r="BA2956" s="135"/>
      <c r="BB2956" s="135"/>
      <c r="BC2956" s="135"/>
      <c r="BD2956" s="135"/>
      <c r="BE2956" s="135"/>
      <c r="BF2956" s="135"/>
      <c r="BG2956" s="135"/>
      <c r="BH2956" s="135"/>
      <c r="BI2956" s="2"/>
      <c r="BJ2956" s="136"/>
      <c r="BK2956" s="2"/>
      <c r="BL2956" s="136"/>
      <c r="BM2956" s="136"/>
      <c r="BN2956" s="2"/>
      <c r="BO2956" s="2"/>
      <c r="BP2956" s="136"/>
      <c r="BQ2956" s="137"/>
    </row>
    <row r="2957" spans="1:69" ht="12.75" customHeight="1" x14ac:dyDescent="0.2">
      <c r="A2957" s="2">
        <v>4446</v>
      </c>
      <c r="B2957" s="2"/>
      <c r="C2957" s="2"/>
      <c r="D2957" s="2"/>
      <c r="E2957" s="2"/>
      <c r="F2957" s="132">
        <v>0</v>
      </c>
      <c r="G2957" s="132"/>
      <c r="H2957" s="132">
        <f t="shared" si="332"/>
        <v>0</v>
      </c>
      <c r="I2957" s="132"/>
      <c r="J2957" s="132">
        <f t="shared" si="330"/>
        <v>0</v>
      </c>
      <c r="K2957" s="132">
        <f t="shared" si="333"/>
        <v>0</v>
      </c>
      <c r="L2957" s="132">
        <f t="shared" si="334"/>
        <v>0</v>
      </c>
      <c r="M2957" s="133"/>
      <c r="N2957" s="133">
        <f t="shared" si="331"/>
        <v>0</v>
      </c>
      <c r="O2957" s="134"/>
      <c r="P2957" s="133"/>
      <c r="Q2957" s="2"/>
      <c r="R2957" s="156">
        <f t="shared" si="335"/>
        <v>0</v>
      </c>
      <c r="S2957" s="156">
        <f t="shared" si="336"/>
        <v>0</v>
      </c>
      <c r="T2957" s="133"/>
      <c r="U2957" s="133"/>
      <c r="V2957" s="133"/>
      <c r="W2957" s="133"/>
      <c r="X2957" s="133"/>
      <c r="Y2957" s="133"/>
      <c r="Z2957" s="133"/>
      <c r="AA2957" s="133"/>
      <c r="AB2957" s="133"/>
      <c r="AC2957" s="133"/>
      <c r="AD2957" s="133"/>
      <c r="AE2957" s="133"/>
      <c r="AF2957" s="133"/>
      <c r="AG2957" s="133"/>
      <c r="AH2957" s="133"/>
      <c r="AI2957" s="133"/>
      <c r="AJ2957" s="133"/>
      <c r="AK2957" s="133"/>
      <c r="AL2957" s="133"/>
      <c r="AM2957" s="133"/>
      <c r="AN2957" s="133"/>
      <c r="AO2957" s="133"/>
      <c r="AP2957" s="133"/>
      <c r="AQ2957" s="133"/>
      <c r="AR2957" s="133"/>
      <c r="AS2957" s="153">
        <v>0</v>
      </c>
      <c r="AT2957" s="153">
        <v>0</v>
      </c>
      <c r="AU2957" s="153">
        <v>0</v>
      </c>
      <c r="AV2957" s="135"/>
      <c r="AW2957" s="135"/>
      <c r="AX2957" s="135"/>
      <c r="AY2957" s="135"/>
      <c r="AZ2957" s="135"/>
      <c r="BA2957" s="135"/>
      <c r="BB2957" s="135"/>
      <c r="BC2957" s="135"/>
      <c r="BD2957" s="135"/>
      <c r="BE2957" s="135"/>
      <c r="BF2957" s="135"/>
      <c r="BG2957" s="135"/>
      <c r="BH2957" s="135"/>
      <c r="BI2957" s="2"/>
      <c r="BJ2957" s="136"/>
      <c r="BK2957" s="2"/>
      <c r="BL2957" s="136"/>
      <c r="BM2957" s="136"/>
      <c r="BN2957" s="2"/>
      <c r="BO2957" s="2"/>
      <c r="BP2957" s="136"/>
      <c r="BQ2957" s="137"/>
    </row>
    <row r="2958" spans="1:69" ht="12.75" customHeight="1" x14ac:dyDescent="0.2">
      <c r="A2958" s="2">
        <v>4447</v>
      </c>
      <c r="B2958" s="2"/>
      <c r="C2958" s="2"/>
      <c r="D2958" s="2"/>
      <c r="E2958" s="2"/>
      <c r="F2958" s="132">
        <v>0</v>
      </c>
      <c r="G2958" s="132"/>
      <c r="H2958" s="132">
        <f t="shared" si="332"/>
        <v>0</v>
      </c>
      <c r="I2958" s="132"/>
      <c r="J2958" s="132">
        <f t="shared" si="330"/>
        <v>0</v>
      </c>
      <c r="K2958" s="132">
        <f t="shared" si="333"/>
        <v>0</v>
      </c>
      <c r="L2958" s="132">
        <f t="shared" si="334"/>
        <v>0</v>
      </c>
      <c r="M2958" s="133"/>
      <c r="N2958" s="133">
        <f t="shared" si="331"/>
        <v>0</v>
      </c>
      <c r="O2958" s="134"/>
      <c r="P2958" s="133"/>
      <c r="Q2958" s="2"/>
      <c r="R2958" s="156">
        <f t="shared" si="335"/>
        <v>0</v>
      </c>
      <c r="S2958" s="156">
        <f t="shared" si="336"/>
        <v>0</v>
      </c>
      <c r="T2958" s="133"/>
      <c r="U2958" s="133"/>
      <c r="V2958" s="133"/>
      <c r="W2958" s="133"/>
      <c r="X2958" s="133"/>
      <c r="Y2958" s="133"/>
      <c r="Z2958" s="133"/>
      <c r="AA2958" s="133"/>
      <c r="AB2958" s="133"/>
      <c r="AC2958" s="133"/>
      <c r="AD2958" s="133"/>
      <c r="AE2958" s="133"/>
      <c r="AF2958" s="133"/>
      <c r="AG2958" s="133"/>
      <c r="AH2958" s="133"/>
      <c r="AI2958" s="133"/>
      <c r="AJ2958" s="133"/>
      <c r="AK2958" s="133"/>
      <c r="AL2958" s="133"/>
      <c r="AM2958" s="133"/>
      <c r="AN2958" s="133"/>
      <c r="AO2958" s="133"/>
      <c r="AP2958" s="133"/>
      <c r="AQ2958" s="133"/>
      <c r="AR2958" s="133"/>
      <c r="AS2958" s="153">
        <v>0</v>
      </c>
      <c r="AT2958" s="153">
        <v>0</v>
      </c>
      <c r="AU2958" s="153">
        <v>0</v>
      </c>
      <c r="AV2958" s="135"/>
      <c r="AW2958" s="135"/>
      <c r="AX2958" s="135"/>
      <c r="AY2958" s="135"/>
      <c r="AZ2958" s="135"/>
      <c r="BA2958" s="135"/>
      <c r="BB2958" s="135"/>
      <c r="BC2958" s="135"/>
      <c r="BD2958" s="135"/>
      <c r="BE2958" s="135"/>
      <c r="BF2958" s="135"/>
      <c r="BG2958" s="135"/>
      <c r="BH2958" s="135"/>
      <c r="BI2958" s="2"/>
      <c r="BJ2958" s="136"/>
      <c r="BK2958" s="2"/>
      <c r="BL2958" s="136"/>
      <c r="BM2958" s="136"/>
      <c r="BN2958" s="2"/>
      <c r="BO2958" s="2"/>
      <c r="BP2958" s="136"/>
      <c r="BQ2958" s="137"/>
    </row>
    <row r="2959" spans="1:69" ht="12.75" customHeight="1" x14ac:dyDescent="0.2">
      <c r="A2959" s="2">
        <v>4448</v>
      </c>
      <c r="B2959" s="2"/>
      <c r="C2959" s="2"/>
      <c r="D2959" s="2"/>
      <c r="E2959" s="2"/>
      <c r="F2959" s="132">
        <v>0</v>
      </c>
      <c r="G2959" s="132"/>
      <c r="H2959" s="132">
        <f t="shared" si="332"/>
        <v>0</v>
      </c>
      <c r="I2959" s="132"/>
      <c r="J2959" s="132">
        <f t="shared" si="330"/>
        <v>0</v>
      </c>
      <c r="K2959" s="132">
        <f t="shared" si="333"/>
        <v>0</v>
      </c>
      <c r="L2959" s="132">
        <f t="shared" si="334"/>
        <v>0</v>
      </c>
      <c r="M2959" s="133"/>
      <c r="N2959" s="133">
        <f t="shared" si="331"/>
        <v>0</v>
      </c>
      <c r="O2959" s="134"/>
      <c r="P2959" s="133"/>
      <c r="Q2959" s="2"/>
      <c r="R2959" s="156">
        <f t="shared" si="335"/>
        <v>0</v>
      </c>
      <c r="S2959" s="156">
        <f t="shared" si="336"/>
        <v>0</v>
      </c>
      <c r="T2959" s="133"/>
      <c r="U2959" s="133"/>
      <c r="V2959" s="133"/>
      <c r="W2959" s="133"/>
      <c r="X2959" s="133"/>
      <c r="Y2959" s="133"/>
      <c r="Z2959" s="133"/>
      <c r="AA2959" s="133"/>
      <c r="AB2959" s="133"/>
      <c r="AC2959" s="133"/>
      <c r="AD2959" s="133"/>
      <c r="AE2959" s="133"/>
      <c r="AF2959" s="133"/>
      <c r="AG2959" s="133"/>
      <c r="AH2959" s="133"/>
      <c r="AI2959" s="133"/>
      <c r="AJ2959" s="133"/>
      <c r="AK2959" s="133"/>
      <c r="AL2959" s="133"/>
      <c r="AM2959" s="133"/>
      <c r="AN2959" s="133"/>
      <c r="AO2959" s="133"/>
      <c r="AP2959" s="133"/>
      <c r="AQ2959" s="133"/>
      <c r="AR2959" s="133"/>
      <c r="AS2959" s="153">
        <v>0</v>
      </c>
      <c r="AT2959" s="153">
        <v>0</v>
      </c>
      <c r="AU2959" s="153">
        <v>0</v>
      </c>
      <c r="AV2959" s="135"/>
      <c r="AW2959" s="135"/>
      <c r="AX2959" s="135"/>
      <c r="AY2959" s="135"/>
      <c r="AZ2959" s="135"/>
      <c r="BA2959" s="135"/>
      <c r="BB2959" s="135"/>
      <c r="BC2959" s="135"/>
      <c r="BD2959" s="135"/>
      <c r="BE2959" s="135"/>
      <c r="BF2959" s="135"/>
      <c r="BG2959" s="135"/>
      <c r="BH2959" s="135"/>
      <c r="BI2959" s="2"/>
      <c r="BJ2959" s="136"/>
      <c r="BK2959" s="2"/>
      <c r="BL2959" s="136"/>
      <c r="BM2959" s="136"/>
      <c r="BN2959" s="2"/>
      <c r="BO2959" s="2"/>
      <c r="BP2959" s="136"/>
      <c r="BQ2959" s="137"/>
    </row>
    <row r="2960" spans="1:69" ht="12.75" customHeight="1" x14ac:dyDescent="0.2">
      <c r="A2960" s="2">
        <v>4449</v>
      </c>
      <c r="B2960" s="2"/>
      <c r="C2960" s="2"/>
      <c r="D2960" s="2"/>
      <c r="E2960" s="2"/>
      <c r="F2960" s="132">
        <v>0</v>
      </c>
      <c r="G2960" s="132"/>
      <c r="H2960" s="132">
        <f t="shared" si="332"/>
        <v>0</v>
      </c>
      <c r="I2960" s="132"/>
      <c r="J2960" s="132">
        <f t="shared" si="330"/>
        <v>0</v>
      </c>
      <c r="K2960" s="132">
        <f t="shared" si="333"/>
        <v>0</v>
      </c>
      <c r="L2960" s="132">
        <f t="shared" si="334"/>
        <v>0</v>
      </c>
      <c r="M2960" s="133"/>
      <c r="N2960" s="133">
        <f t="shared" si="331"/>
        <v>0</v>
      </c>
      <c r="O2960" s="134"/>
      <c r="P2960" s="133"/>
      <c r="Q2960" s="2"/>
      <c r="R2960" s="156">
        <f t="shared" si="335"/>
        <v>0</v>
      </c>
      <c r="S2960" s="156">
        <f t="shared" si="336"/>
        <v>0</v>
      </c>
      <c r="T2960" s="133"/>
      <c r="U2960" s="133"/>
      <c r="V2960" s="133"/>
      <c r="W2960" s="133"/>
      <c r="X2960" s="133"/>
      <c r="Y2960" s="133"/>
      <c r="Z2960" s="133"/>
      <c r="AA2960" s="133"/>
      <c r="AB2960" s="133"/>
      <c r="AC2960" s="133"/>
      <c r="AD2960" s="133"/>
      <c r="AE2960" s="133"/>
      <c r="AF2960" s="133"/>
      <c r="AG2960" s="133"/>
      <c r="AH2960" s="133"/>
      <c r="AI2960" s="133"/>
      <c r="AJ2960" s="133"/>
      <c r="AK2960" s="133"/>
      <c r="AL2960" s="133"/>
      <c r="AM2960" s="133"/>
      <c r="AN2960" s="133"/>
      <c r="AO2960" s="133"/>
      <c r="AP2960" s="133"/>
      <c r="AQ2960" s="133"/>
      <c r="AR2960" s="133"/>
      <c r="AS2960" s="153">
        <v>0</v>
      </c>
      <c r="AT2960" s="153">
        <v>0</v>
      </c>
      <c r="AU2960" s="153">
        <v>0</v>
      </c>
      <c r="AV2960" s="135"/>
      <c r="AW2960" s="135"/>
      <c r="AX2960" s="135"/>
      <c r="AY2960" s="135"/>
      <c r="AZ2960" s="135"/>
      <c r="BA2960" s="135"/>
      <c r="BB2960" s="135"/>
      <c r="BC2960" s="135"/>
      <c r="BD2960" s="135"/>
      <c r="BE2960" s="135"/>
      <c r="BF2960" s="135"/>
      <c r="BG2960" s="135"/>
      <c r="BH2960" s="135"/>
      <c r="BI2960" s="2"/>
      <c r="BJ2960" s="136"/>
      <c r="BK2960" s="2"/>
      <c r="BL2960" s="136"/>
      <c r="BM2960" s="136"/>
      <c r="BN2960" s="2"/>
      <c r="BO2960" s="2"/>
      <c r="BP2960" s="136"/>
      <c r="BQ2960" s="137"/>
    </row>
    <row r="2961" spans="1:69" ht="12.75" customHeight="1" x14ac:dyDescent="0.2">
      <c r="A2961" s="2">
        <v>4450</v>
      </c>
      <c r="B2961" s="2"/>
      <c r="C2961" s="2"/>
      <c r="D2961" s="2"/>
      <c r="E2961" s="2"/>
      <c r="F2961" s="132">
        <v>0</v>
      </c>
      <c r="G2961" s="132"/>
      <c r="H2961" s="132">
        <f t="shared" si="332"/>
        <v>0</v>
      </c>
      <c r="I2961" s="132"/>
      <c r="J2961" s="132">
        <f t="shared" si="330"/>
        <v>0</v>
      </c>
      <c r="K2961" s="132">
        <f t="shared" si="333"/>
        <v>0</v>
      </c>
      <c r="L2961" s="132">
        <f t="shared" si="334"/>
        <v>0</v>
      </c>
      <c r="M2961" s="133"/>
      <c r="N2961" s="133">
        <f t="shared" si="331"/>
        <v>0</v>
      </c>
      <c r="O2961" s="134"/>
      <c r="P2961" s="133"/>
      <c r="Q2961" s="2"/>
      <c r="R2961" s="156">
        <f t="shared" si="335"/>
        <v>0</v>
      </c>
      <c r="S2961" s="156">
        <f t="shared" si="336"/>
        <v>0</v>
      </c>
      <c r="T2961" s="133"/>
      <c r="U2961" s="133"/>
      <c r="V2961" s="133"/>
      <c r="W2961" s="133"/>
      <c r="X2961" s="133"/>
      <c r="Y2961" s="133"/>
      <c r="Z2961" s="133"/>
      <c r="AA2961" s="133"/>
      <c r="AB2961" s="133"/>
      <c r="AC2961" s="133"/>
      <c r="AD2961" s="133"/>
      <c r="AE2961" s="133"/>
      <c r="AF2961" s="133"/>
      <c r="AG2961" s="133"/>
      <c r="AH2961" s="133"/>
      <c r="AI2961" s="133"/>
      <c r="AJ2961" s="133"/>
      <c r="AK2961" s="133"/>
      <c r="AL2961" s="133"/>
      <c r="AM2961" s="133"/>
      <c r="AN2961" s="133"/>
      <c r="AO2961" s="133"/>
      <c r="AP2961" s="133"/>
      <c r="AQ2961" s="133"/>
      <c r="AR2961" s="133"/>
      <c r="AS2961" s="153">
        <v>0</v>
      </c>
      <c r="AT2961" s="153">
        <v>0</v>
      </c>
      <c r="AU2961" s="153">
        <v>0</v>
      </c>
      <c r="AV2961" s="135"/>
      <c r="AW2961" s="135"/>
      <c r="AX2961" s="135"/>
      <c r="AY2961" s="135"/>
      <c r="AZ2961" s="135"/>
      <c r="BA2961" s="135"/>
      <c r="BB2961" s="135"/>
      <c r="BC2961" s="135"/>
      <c r="BD2961" s="135"/>
      <c r="BE2961" s="135"/>
      <c r="BF2961" s="135"/>
      <c r="BG2961" s="135"/>
      <c r="BH2961" s="135"/>
      <c r="BI2961" s="2"/>
      <c r="BJ2961" s="136"/>
      <c r="BK2961" s="2"/>
      <c r="BL2961" s="136"/>
      <c r="BM2961" s="136"/>
      <c r="BN2961" s="2"/>
      <c r="BO2961" s="2"/>
      <c r="BP2961" s="136"/>
      <c r="BQ2961" s="137"/>
    </row>
    <row r="2962" spans="1:69" ht="12.75" customHeight="1" x14ac:dyDescent="0.2">
      <c r="A2962" s="2">
        <v>4451</v>
      </c>
      <c r="B2962" s="2"/>
      <c r="C2962" s="2"/>
      <c r="D2962" s="2"/>
      <c r="E2962" s="2"/>
      <c r="F2962" s="132">
        <v>0</v>
      </c>
      <c r="G2962" s="132"/>
      <c r="H2962" s="132">
        <f t="shared" si="332"/>
        <v>0</v>
      </c>
      <c r="I2962" s="132"/>
      <c r="J2962" s="132">
        <f t="shared" si="330"/>
        <v>0</v>
      </c>
      <c r="K2962" s="132">
        <f t="shared" si="333"/>
        <v>0</v>
      </c>
      <c r="L2962" s="132">
        <f t="shared" si="334"/>
        <v>0</v>
      </c>
      <c r="M2962" s="133"/>
      <c r="N2962" s="133">
        <f t="shared" si="331"/>
        <v>0</v>
      </c>
      <c r="O2962" s="134"/>
      <c r="P2962" s="133"/>
      <c r="Q2962" s="2"/>
      <c r="R2962" s="156">
        <f t="shared" si="335"/>
        <v>0</v>
      </c>
      <c r="S2962" s="156">
        <f t="shared" si="336"/>
        <v>0</v>
      </c>
      <c r="T2962" s="133"/>
      <c r="U2962" s="133"/>
      <c r="V2962" s="133"/>
      <c r="W2962" s="133"/>
      <c r="X2962" s="133"/>
      <c r="Y2962" s="133"/>
      <c r="Z2962" s="133"/>
      <c r="AA2962" s="133"/>
      <c r="AB2962" s="133"/>
      <c r="AC2962" s="133"/>
      <c r="AD2962" s="133"/>
      <c r="AE2962" s="133"/>
      <c r="AF2962" s="133"/>
      <c r="AG2962" s="133"/>
      <c r="AH2962" s="133"/>
      <c r="AI2962" s="133"/>
      <c r="AJ2962" s="133"/>
      <c r="AK2962" s="133"/>
      <c r="AL2962" s="133"/>
      <c r="AM2962" s="133"/>
      <c r="AN2962" s="133"/>
      <c r="AO2962" s="133"/>
      <c r="AP2962" s="133"/>
      <c r="AQ2962" s="133"/>
      <c r="AR2962" s="133"/>
      <c r="AS2962" s="153">
        <v>0</v>
      </c>
      <c r="AT2962" s="153">
        <v>0</v>
      </c>
      <c r="AU2962" s="153">
        <v>0</v>
      </c>
      <c r="AV2962" s="135"/>
      <c r="AW2962" s="135"/>
      <c r="AX2962" s="135"/>
      <c r="AY2962" s="135"/>
      <c r="AZ2962" s="135"/>
      <c r="BA2962" s="135"/>
      <c r="BB2962" s="135"/>
      <c r="BC2962" s="135"/>
      <c r="BD2962" s="135"/>
      <c r="BE2962" s="135"/>
      <c r="BF2962" s="135"/>
      <c r="BG2962" s="135"/>
      <c r="BH2962" s="135"/>
      <c r="BI2962" s="2"/>
      <c r="BJ2962" s="136"/>
      <c r="BK2962" s="2"/>
      <c r="BL2962" s="136"/>
      <c r="BM2962" s="136"/>
      <c r="BN2962" s="2"/>
      <c r="BO2962" s="2"/>
      <c r="BP2962" s="136"/>
      <c r="BQ2962" s="137"/>
    </row>
    <row r="2963" spans="1:69" ht="12.75" customHeight="1" x14ac:dyDescent="0.2">
      <c r="A2963" s="2">
        <v>4452</v>
      </c>
      <c r="B2963" s="2"/>
      <c r="C2963" s="2"/>
      <c r="D2963" s="2"/>
      <c r="E2963" s="2"/>
      <c r="F2963" s="132">
        <v>0</v>
      </c>
      <c r="G2963" s="132"/>
      <c r="H2963" s="132">
        <f t="shared" si="332"/>
        <v>0</v>
      </c>
      <c r="I2963" s="132"/>
      <c r="J2963" s="132">
        <f t="shared" si="330"/>
        <v>0</v>
      </c>
      <c r="K2963" s="132">
        <f t="shared" si="333"/>
        <v>0</v>
      </c>
      <c r="L2963" s="132">
        <f t="shared" si="334"/>
        <v>0</v>
      </c>
      <c r="M2963" s="133"/>
      <c r="N2963" s="133">
        <f t="shared" si="331"/>
        <v>0</v>
      </c>
      <c r="O2963" s="134"/>
      <c r="P2963" s="133"/>
      <c r="Q2963" s="2"/>
      <c r="R2963" s="156">
        <f t="shared" si="335"/>
        <v>0</v>
      </c>
      <c r="S2963" s="156">
        <f t="shared" si="336"/>
        <v>0</v>
      </c>
      <c r="T2963" s="133"/>
      <c r="U2963" s="133"/>
      <c r="V2963" s="133"/>
      <c r="W2963" s="133"/>
      <c r="X2963" s="133"/>
      <c r="Y2963" s="133"/>
      <c r="Z2963" s="133"/>
      <c r="AA2963" s="133"/>
      <c r="AB2963" s="133"/>
      <c r="AC2963" s="133"/>
      <c r="AD2963" s="133"/>
      <c r="AE2963" s="133"/>
      <c r="AF2963" s="133"/>
      <c r="AG2963" s="133"/>
      <c r="AH2963" s="133"/>
      <c r="AI2963" s="133"/>
      <c r="AJ2963" s="133"/>
      <c r="AK2963" s="133"/>
      <c r="AL2963" s="133"/>
      <c r="AM2963" s="133"/>
      <c r="AN2963" s="133"/>
      <c r="AO2963" s="133"/>
      <c r="AP2963" s="133"/>
      <c r="AQ2963" s="133"/>
      <c r="AR2963" s="133"/>
      <c r="AS2963" s="153">
        <v>0</v>
      </c>
      <c r="AT2963" s="153">
        <v>0</v>
      </c>
      <c r="AU2963" s="153">
        <v>0</v>
      </c>
      <c r="AV2963" s="135"/>
      <c r="AW2963" s="135"/>
      <c r="AX2963" s="135"/>
      <c r="AY2963" s="135"/>
      <c r="AZ2963" s="135"/>
      <c r="BA2963" s="135"/>
      <c r="BB2963" s="135"/>
      <c r="BC2963" s="135"/>
      <c r="BD2963" s="135"/>
      <c r="BE2963" s="135"/>
      <c r="BF2963" s="135"/>
      <c r="BG2963" s="135"/>
      <c r="BH2963" s="135"/>
      <c r="BI2963" s="2"/>
      <c r="BJ2963" s="136"/>
      <c r="BK2963" s="2"/>
      <c r="BL2963" s="136"/>
      <c r="BM2963" s="136"/>
      <c r="BN2963" s="2"/>
      <c r="BO2963" s="2"/>
      <c r="BP2963" s="136"/>
      <c r="BQ2963" s="137"/>
    </row>
    <row r="2964" spans="1:69" ht="12.75" customHeight="1" x14ac:dyDescent="0.2">
      <c r="A2964" s="2">
        <v>4453</v>
      </c>
      <c r="B2964" s="2"/>
      <c r="C2964" s="2"/>
      <c r="D2964" s="2"/>
      <c r="E2964" s="2"/>
      <c r="F2964" s="132">
        <v>0</v>
      </c>
      <c r="G2964" s="132"/>
      <c r="H2964" s="132">
        <f t="shared" si="332"/>
        <v>0</v>
      </c>
      <c r="I2964" s="132"/>
      <c r="J2964" s="132">
        <f t="shared" si="330"/>
        <v>0</v>
      </c>
      <c r="K2964" s="132">
        <f t="shared" si="333"/>
        <v>0</v>
      </c>
      <c r="L2964" s="132">
        <f t="shared" si="334"/>
        <v>0</v>
      </c>
      <c r="M2964" s="133"/>
      <c r="N2964" s="133">
        <f t="shared" si="331"/>
        <v>0</v>
      </c>
      <c r="O2964" s="134"/>
      <c r="P2964" s="133"/>
      <c r="Q2964" s="2"/>
      <c r="R2964" s="156">
        <f t="shared" si="335"/>
        <v>0</v>
      </c>
      <c r="S2964" s="156">
        <f t="shared" si="336"/>
        <v>0</v>
      </c>
      <c r="T2964" s="133"/>
      <c r="U2964" s="133"/>
      <c r="V2964" s="133"/>
      <c r="W2964" s="133"/>
      <c r="X2964" s="133"/>
      <c r="Y2964" s="133"/>
      <c r="Z2964" s="133"/>
      <c r="AA2964" s="133"/>
      <c r="AB2964" s="133"/>
      <c r="AC2964" s="133"/>
      <c r="AD2964" s="133"/>
      <c r="AE2964" s="133"/>
      <c r="AF2964" s="133"/>
      <c r="AG2964" s="133"/>
      <c r="AH2964" s="133"/>
      <c r="AI2964" s="133"/>
      <c r="AJ2964" s="133"/>
      <c r="AK2964" s="133"/>
      <c r="AL2964" s="133"/>
      <c r="AM2964" s="133"/>
      <c r="AN2964" s="133"/>
      <c r="AO2964" s="133"/>
      <c r="AP2964" s="133"/>
      <c r="AQ2964" s="133"/>
      <c r="AR2964" s="133"/>
      <c r="AS2964" s="153">
        <v>0</v>
      </c>
      <c r="AT2964" s="153">
        <v>0</v>
      </c>
      <c r="AU2964" s="153">
        <v>0</v>
      </c>
      <c r="AV2964" s="135"/>
      <c r="AW2964" s="135"/>
      <c r="AX2964" s="135"/>
      <c r="AY2964" s="135"/>
      <c r="AZ2964" s="135"/>
      <c r="BA2964" s="135"/>
      <c r="BB2964" s="135"/>
      <c r="BC2964" s="135"/>
      <c r="BD2964" s="135"/>
      <c r="BE2964" s="135"/>
      <c r="BF2964" s="135"/>
      <c r="BG2964" s="135"/>
      <c r="BH2964" s="135"/>
      <c r="BI2964" s="2"/>
      <c r="BJ2964" s="136"/>
      <c r="BK2964" s="2"/>
      <c r="BL2964" s="136"/>
      <c r="BM2964" s="136"/>
      <c r="BN2964" s="2"/>
      <c r="BO2964" s="2"/>
      <c r="BP2964" s="136"/>
      <c r="BQ2964" s="137"/>
    </row>
    <row r="2965" spans="1:69" ht="12.75" customHeight="1" x14ac:dyDescent="0.2">
      <c r="A2965" s="2">
        <v>4454</v>
      </c>
      <c r="B2965" s="2"/>
      <c r="C2965" s="2"/>
      <c r="D2965" s="2"/>
      <c r="E2965" s="2"/>
      <c r="F2965" s="132">
        <v>0</v>
      </c>
      <c r="G2965" s="132"/>
      <c r="H2965" s="132">
        <f t="shared" si="332"/>
        <v>0</v>
      </c>
      <c r="I2965" s="132"/>
      <c r="J2965" s="132">
        <f t="shared" si="330"/>
        <v>0</v>
      </c>
      <c r="K2965" s="132">
        <f t="shared" si="333"/>
        <v>0</v>
      </c>
      <c r="L2965" s="132">
        <f t="shared" si="334"/>
        <v>0</v>
      </c>
      <c r="M2965" s="133"/>
      <c r="N2965" s="133">
        <f t="shared" si="331"/>
        <v>0</v>
      </c>
      <c r="O2965" s="134"/>
      <c r="P2965" s="133"/>
      <c r="Q2965" s="2"/>
      <c r="R2965" s="156">
        <f t="shared" si="335"/>
        <v>0</v>
      </c>
      <c r="S2965" s="156">
        <f t="shared" si="336"/>
        <v>0</v>
      </c>
      <c r="T2965" s="133"/>
      <c r="U2965" s="133"/>
      <c r="V2965" s="133"/>
      <c r="W2965" s="133"/>
      <c r="X2965" s="133"/>
      <c r="Y2965" s="133"/>
      <c r="Z2965" s="133"/>
      <c r="AA2965" s="133"/>
      <c r="AB2965" s="133"/>
      <c r="AC2965" s="133"/>
      <c r="AD2965" s="133"/>
      <c r="AE2965" s="133"/>
      <c r="AF2965" s="133"/>
      <c r="AG2965" s="133"/>
      <c r="AH2965" s="133"/>
      <c r="AI2965" s="133"/>
      <c r="AJ2965" s="133"/>
      <c r="AK2965" s="133"/>
      <c r="AL2965" s="133"/>
      <c r="AM2965" s="133"/>
      <c r="AN2965" s="133"/>
      <c r="AO2965" s="133"/>
      <c r="AP2965" s="133"/>
      <c r="AQ2965" s="133"/>
      <c r="AR2965" s="133"/>
      <c r="AS2965" s="153">
        <v>0</v>
      </c>
      <c r="AT2965" s="153">
        <v>0</v>
      </c>
      <c r="AU2965" s="153">
        <v>0</v>
      </c>
      <c r="AV2965" s="135"/>
      <c r="AW2965" s="135"/>
      <c r="AX2965" s="135"/>
      <c r="AY2965" s="135"/>
      <c r="AZ2965" s="135"/>
      <c r="BA2965" s="135"/>
      <c r="BB2965" s="135"/>
      <c r="BC2965" s="135"/>
      <c r="BD2965" s="135"/>
      <c r="BE2965" s="135"/>
      <c r="BF2965" s="135"/>
      <c r="BG2965" s="135"/>
      <c r="BH2965" s="135"/>
      <c r="BI2965" s="2"/>
      <c r="BJ2965" s="136"/>
      <c r="BK2965" s="2"/>
      <c r="BL2965" s="136"/>
      <c r="BM2965" s="136"/>
      <c r="BN2965" s="2"/>
      <c r="BO2965" s="2"/>
      <c r="BP2965" s="136"/>
      <c r="BQ2965" s="137"/>
    </row>
    <row r="2966" spans="1:69" ht="12.75" customHeight="1" x14ac:dyDescent="0.2">
      <c r="A2966" s="2">
        <v>4455</v>
      </c>
      <c r="B2966" s="2"/>
      <c r="C2966" s="2"/>
      <c r="D2966" s="2"/>
      <c r="E2966" s="2"/>
      <c r="F2966" s="132">
        <v>0</v>
      </c>
      <c r="G2966" s="132"/>
      <c r="H2966" s="132">
        <f t="shared" si="332"/>
        <v>0</v>
      </c>
      <c r="I2966" s="132"/>
      <c r="J2966" s="132">
        <f t="shared" si="330"/>
        <v>0</v>
      </c>
      <c r="K2966" s="132">
        <f t="shared" si="333"/>
        <v>0</v>
      </c>
      <c r="L2966" s="132">
        <f t="shared" si="334"/>
        <v>0</v>
      </c>
      <c r="M2966" s="133"/>
      <c r="N2966" s="133">
        <f t="shared" si="331"/>
        <v>0</v>
      </c>
      <c r="O2966" s="134"/>
      <c r="P2966" s="133"/>
      <c r="Q2966" s="2"/>
      <c r="R2966" s="156">
        <f t="shared" si="335"/>
        <v>0</v>
      </c>
      <c r="S2966" s="156">
        <f t="shared" si="336"/>
        <v>0</v>
      </c>
      <c r="T2966" s="133"/>
      <c r="U2966" s="133"/>
      <c r="V2966" s="133"/>
      <c r="W2966" s="133"/>
      <c r="X2966" s="133"/>
      <c r="Y2966" s="133"/>
      <c r="Z2966" s="133"/>
      <c r="AA2966" s="133"/>
      <c r="AB2966" s="133"/>
      <c r="AC2966" s="133"/>
      <c r="AD2966" s="133"/>
      <c r="AE2966" s="133"/>
      <c r="AF2966" s="133"/>
      <c r="AG2966" s="133"/>
      <c r="AH2966" s="133"/>
      <c r="AI2966" s="133"/>
      <c r="AJ2966" s="133"/>
      <c r="AK2966" s="133"/>
      <c r="AL2966" s="133"/>
      <c r="AM2966" s="133"/>
      <c r="AN2966" s="133"/>
      <c r="AO2966" s="133"/>
      <c r="AP2966" s="133"/>
      <c r="AQ2966" s="133"/>
      <c r="AR2966" s="133"/>
      <c r="AS2966" s="153">
        <v>0</v>
      </c>
      <c r="AT2966" s="153">
        <v>0</v>
      </c>
      <c r="AU2966" s="153">
        <v>0</v>
      </c>
      <c r="AV2966" s="135"/>
      <c r="AW2966" s="135"/>
      <c r="AX2966" s="135"/>
      <c r="AY2966" s="135"/>
      <c r="AZ2966" s="135"/>
      <c r="BA2966" s="135"/>
      <c r="BB2966" s="135"/>
      <c r="BC2966" s="135"/>
      <c r="BD2966" s="135"/>
      <c r="BE2966" s="135"/>
      <c r="BF2966" s="135"/>
      <c r="BG2966" s="135"/>
      <c r="BH2966" s="135"/>
      <c r="BI2966" s="2"/>
      <c r="BJ2966" s="136"/>
      <c r="BK2966" s="2"/>
      <c r="BL2966" s="136"/>
      <c r="BM2966" s="136"/>
      <c r="BN2966" s="2"/>
      <c r="BO2966" s="2"/>
      <c r="BP2966" s="136"/>
      <c r="BQ2966" s="137"/>
    </row>
    <row r="2967" spans="1:69" ht="12.75" customHeight="1" x14ac:dyDescent="0.2">
      <c r="A2967" s="2">
        <v>4456</v>
      </c>
      <c r="B2967" s="2"/>
      <c r="C2967" s="2"/>
      <c r="D2967" s="2"/>
      <c r="E2967" s="2"/>
      <c r="F2967" s="132">
        <v>0</v>
      </c>
      <c r="G2967" s="132"/>
      <c r="H2967" s="132">
        <f t="shared" si="332"/>
        <v>0</v>
      </c>
      <c r="I2967" s="132"/>
      <c r="J2967" s="132">
        <f t="shared" si="330"/>
        <v>0</v>
      </c>
      <c r="K2967" s="132">
        <f t="shared" si="333"/>
        <v>0</v>
      </c>
      <c r="L2967" s="132">
        <f t="shared" si="334"/>
        <v>0</v>
      </c>
      <c r="M2967" s="133"/>
      <c r="N2967" s="133">
        <f t="shared" si="331"/>
        <v>0</v>
      </c>
      <c r="O2967" s="134"/>
      <c r="P2967" s="133"/>
      <c r="Q2967" s="2"/>
      <c r="R2967" s="156">
        <f t="shared" si="335"/>
        <v>0</v>
      </c>
      <c r="S2967" s="156">
        <f t="shared" si="336"/>
        <v>0</v>
      </c>
      <c r="T2967" s="133"/>
      <c r="U2967" s="133"/>
      <c r="V2967" s="133"/>
      <c r="W2967" s="133"/>
      <c r="X2967" s="133"/>
      <c r="Y2967" s="133"/>
      <c r="Z2967" s="133"/>
      <c r="AA2967" s="133"/>
      <c r="AB2967" s="133"/>
      <c r="AC2967" s="133"/>
      <c r="AD2967" s="133"/>
      <c r="AE2967" s="133"/>
      <c r="AF2967" s="133"/>
      <c r="AG2967" s="133"/>
      <c r="AH2967" s="133"/>
      <c r="AI2967" s="133"/>
      <c r="AJ2967" s="133"/>
      <c r="AK2967" s="133"/>
      <c r="AL2967" s="133"/>
      <c r="AM2967" s="133"/>
      <c r="AN2967" s="133"/>
      <c r="AO2967" s="133"/>
      <c r="AP2967" s="133"/>
      <c r="AQ2967" s="133"/>
      <c r="AR2967" s="133"/>
      <c r="AS2967" s="153">
        <v>0</v>
      </c>
      <c r="AT2967" s="153">
        <v>0</v>
      </c>
      <c r="AU2967" s="153">
        <v>0</v>
      </c>
      <c r="AV2967" s="135"/>
      <c r="AW2967" s="135"/>
      <c r="AX2967" s="135"/>
      <c r="AY2967" s="135"/>
      <c r="AZ2967" s="135"/>
      <c r="BA2967" s="135"/>
      <c r="BB2967" s="135"/>
      <c r="BC2967" s="135"/>
      <c r="BD2967" s="135"/>
      <c r="BE2967" s="135"/>
      <c r="BF2967" s="135"/>
      <c r="BG2967" s="135"/>
      <c r="BH2967" s="135"/>
      <c r="BI2967" s="2"/>
      <c r="BJ2967" s="136"/>
      <c r="BK2967" s="2"/>
      <c r="BL2967" s="136"/>
      <c r="BM2967" s="136"/>
      <c r="BN2967" s="2"/>
      <c r="BO2967" s="2"/>
      <c r="BP2967" s="136"/>
      <c r="BQ2967" s="137"/>
    </row>
    <row r="2968" spans="1:69" ht="12.75" customHeight="1" x14ac:dyDescent="0.2">
      <c r="A2968" s="2">
        <v>4457</v>
      </c>
      <c r="B2968" s="2"/>
      <c r="C2968" s="2"/>
      <c r="D2968" s="2"/>
      <c r="E2968" s="2"/>
      <c r="F2968" s="132">
        <v>0</v>
      </c>
      <c r="G2968" s="132"/>
      <c r="H2968" s="132">
        <f t="shared" si="332"/>
        <v>0</v>
      </c>
      <c r="I2968" s="132"/>
      <c r="J2968" s="132">
        <f t="shared" si="330"/>
        <v>0</v>
      </c>
      <c r="K2968" s="132">
        <f t="shared" si="333"/>
        <v>0</v>
      </c>
      <c r="L2968" s="132">
        <f t="shared" si="334"/>
        <v>0</v>
      </c>
      <c r="M2968" s="133"/>
      <c r="N2968" s="133">
        <f t="shared" si="331"/>
        <v>0</v>
      </c>
      <c r="O2968" s="134"/>
      <c r="P2968" s="133"/>
      <c r="Q2968" s="2"/>
      <c r="R2968" s="156">
        <f t="shared" si="335"/>
        <v>0</v>
      </c>
      <c r="S2968" s="156">
        <f t="shared" si="336"/>
        <v>0</v>
      </c>
      <c r="T2968" s="133"/>
      <c r="U2968" s="133"/>
      <c r="V2968" s="133"/>
      <c r="W2968" s="133"/>
      <c r="X2968" s="133"/>
      <c r="Y2968" s="133"/>
      <c r="Z2968" s="133"/>
      <c r="AA2968" s="133"/>
      <c r="AB2968" s="133"/>
      <c r="AC2968" s="133"/>
      <c r="AD2968" s="133"/>
      <c r="AE2968" s="133"/>
      <c r="AF2968" s="133"/>
      <c r="AG2968" s="133"/>
      <c r="AH2968" s="133"/>
      <c r="AI2968" s="133"/>
      <c r="AJ2968" s="133"/>
      <c r="AK2968" s="133"/>
      <c r="AL2968" s="133"/>
      <c r="AM2968" s="133"/>
      <c r="AN2968" s="133"/>
      <c r="AO2968" s="133"/>
      <c r="AP2968" s="133"/>
      <c r="AQ2968" s="133"/>
      <c r="AR2968" s="133"/>
      <c r="AS2968" s="153">
        <v>0</v>
      </c>
      <c r="AT2968" s="153">
        <v>0</v>
      </c>
      <c r="AU2968" s="153">
        <v>0</v>
      </c>
      <c r="AV2968" s="135"/>
      <c r="AW2968" s="135"/>
      <c r="AX2968" s="135"/>
      <c r="AY2968" s="135"/>
      <c r="AZ2968" s="135"/>
      <c r="BA2968" s="135"/>
      <c r="BB2968" s="135"/>
      <c r="BC2968" s="135"/>
      <c r="BD2968" s="135"/>
      <c r="BE2968" s="135"/>
      <c r="BF2968" s="135"/>
      <c r="BG2968" s="135"/>
      <c r="BH2968" s="135"/>
      <c r="BI2968" s="2"/>
      <c r="BJ2968" s="136"/>
      <c r="BK2968" s="2"/>
      <c r="BL2968" s="136"/>
      <c r="BM2968" s="136"/>
      <c r="BN2968" s="2"/>
      <c r="BO2968" s="2"/>
      <c r="BP2968" s="136"/>
      <c r="BQ2968" s="137"/>
    </row>
    <row r="2969" spans="1:69" ht="12.75" customHeight="1" x14ac:dyDescent="0.2">
      <c r="A2969" s="2">
        <v>4458</v>
      </c>
      <c r="B2969" s="2"/>
      <c r="C2969" s="2"/>
      <c r="D2969" s="2"/>
      <c r="E2969" s="2"/>
      <c r="F2969" s="132">
        <v>0</v>
      </c>
      <c r="G2969" s="132"/>
      <c r="H2969" s="132">
        <f t="shared" si="332"/>
        <v>0</v>
      </c>
      <c r="I2969" s="132"/>
      <c r="J2969" s="132">
        <f t="shared" si="330"/>
        <v>0</v>
      </c>
      <c r="K2969" s="132">
        <f t="shared" si="333"/>
        <v>0</v>
      </c>
      <c r="L2969" s="132">
        <f t="shared" si="334"/>
        <v>0</v>
      </c>
      <c r="M2969" s="133"/>
      <c r="N2969" s="133">
        <f t="shared" si="331"/>
        <v>0</v>
      </c>
      <c r="O2969" s="134"/>
      <c r="P2969" s="133"/>
      <c r="Q2969" s="2"/>
      <c r="R2969" s="156">
        <f t="shared" si="335"/>
        <v>0</v>
      </c>
      <c r="S2969" s="156">
        <f t="shared" si="336"/>
        <v>0</v>
      </c>
      <c r="T2969" s="133"/>
      <c r="U2969" s="133"/>
      <c r="V2969" s="133"/>
      <c r="W2969" s="133"/>
      <c r="X2969" s="133"/>
      <c r="Y2969" s="133"/>
      <c r="Z2969" s="133"/>
      <c r="AA2969" s="133"/>
      <c r="AB2969" s="133"/>
      <c r="AC2969" s="133"/>
      <c r="AD2969" s="133"/>
      <c r="AE2969" s="133"/>
      <c r="AF2969" s="133"/>
      <c r="AG2969" s="133"/>
      <c r="AH2969" s="133"/>
      <c r="AI2969" s="133"/>
      <c r="AJ2969" s="133"/>
      <c r="AK2969" s="133"/>
      <c r="AL2969" s="133"/>
      <c r="AM2969" s="133"/>
      <c r="AN2969" s="133"/>
      <c r="AO2969" s="133"/>
      <c r="AP2969" s="133"/>
      <c r="AQ2969" s="133"/>
      <c r="AR2969" s="133"/>
      <c r="AS2969" s="153">
        <v>0</v>
      </c>
      <c r="AT2969" s="153">
        <v>0</v>
      </c>
      <c r="AU2969" s="153">
        <v>0</v>
      </c>
      <c r="AV2969" s="135"/>
      <c r="AW2969" s="135"/>
      <c r="AX2969" s="135"/>
      <c r="AY2969" s="135"/>
      <c r="AZ2969" s="135"/>
      <c r="BA2969" s="135"/>
      <c r="BB2969" s="135"/>
      <c r="BC2969" s="135"/>
      <c r="BD2969" s="135"/>
      <c r="BE2969" s="135"/>
      <c r="BF2969" s="135"/>
      <c r="BG2969" s="135"/>
      <c r="BH2969" s="135"/>
      <c r="BI2969" s="2"/>
      <c r="BJ2969" s="136"/>
      <c r="BK2969" s="2"/>
      <c r="BL2969" s="136"/>
      <c r="BM2969" s="136"/>
      <c r="BN2969" s="2"/>
      <c r="BO2969" s="2"/>
      <c r="BP2969" s="136"/>
      <c r="BQ2969" s="137"/>
    </row>
    <row r="2970" spans="1:69" ht="12.75" customHeight="1" x14ac:dyDescent="0.2">
      <c r="A2970" s="2">
        <v>4459</v>
      </c>
      <c r="B2970" s="2"/>
      <c r="C2970" s="2"/>
      <c r="D2970" s="2"/>
      <c r="E2970" s="2"/>
      <c r="F2970" s="132">
        <v>0</v>
      </c>
      <c r="G2970" s="132"/>
      <c r="H2970" s="132">
        <f t="shared" si="332"/>
        <v>0</v>
      </c>
      <c r="I2970" s="132"/>
      <c r="J2970" s="132">
        <f t="shared" si="330"/>
        <v>0</v>
      </c>
      <c r="K2970" s="132">
        <f t="shared" si="333"/>
        <v>0</v>
      </c>
      <c r="L2970" s="132">
        <f t="shared" si="334"/>
        <v>0</v>
      </c>
      <c r="M2970" s="133"/>
      <c r="N2970" s="133">
        <f t="shared" si="331"/>
        <v>0</v>
      </c>
      <c r="O2970" s="134"/>
      <c r="P2970" s="133"/>
      <c r="Q2970" s="2"/>
      <c r="R2970" s="156">
        <f t="shared" si="335"/>
        <v>0</v>
      </c>
      <c r="S2970" s="156">
        <f t="shared" si="336"/>
        <v>0</v>
      </c>
      <c r="T2970" s="133"/>
      <c r="U2970" s="133"/>
      <c r="V2970" s="133"/>
      <c r="W2970" s="133"/>
      <c r="X2970" s="133"/>
      <c r="Y2970" s="133"/>
      <c r="Z2970" s="133"/>
      <c r="AA2970" s="133"/>
      <c r="AB2970" s="133"/>
      <c r="AC2970" s="133"/>
      <c r="AD2970" s="133"/>
      <c r="AE2970" s="133"/>
      <c r="AF2970" s="133"/>
      <c r="AG2970" s="133"/>
      <c r="AH2970" s="133"/>
      <c r="AI2970" s="133"/>
      <c r="AJ2970" s="133"/>
      <c r="AK2970" s="133"/>
      <c r="AL2970" s="133"/>
      <c r="AM2970" s="133"/>
      <c r="AN2970" s="133"/>
      <c r="AO2970" s="133"/>
      <c r="AP2970" s="133"/>
      <c r="AQ2970" s="133"/>
      <c r="AR2970" s="133"/>
      <c r="AS2970" s="153">
        <v>0</v>
      </c>
      <c r="AT2970" s="153">
        <v>0</v>
      </c>
      <c r="AU2970" s="153">
        <v>0</v>
      </c>
      <c r="AV2970" s="135"/>
      <c r="AW2970" s="135"/>
      <c r="AX2970" s="135"/>
      <c r="AY2970" s="135"/>
      <c r="AZ2970" s="135"/>
      <c r="BA2970" s="135"/>
      <c r="BB2970" s="135"/>
      <c r="BC2970" s="135"/>
      <c r="BD2970" s="135"/>
      <c r="BE2970" s="135"/>
      <c r="BF2970" s="135"/>
      <c r="BG2970" s="135"/>
      <c r="BH2970" s="135"/>
      <c r="BI2970" s="2"/>
      <c r="BJ2970" s="136"/>
      <c r="BK2970" s="2"/>
      <c r="BL2970" s="136"/>
      <c r="BM2970" s="136"/>
      <c r="BN2970" s="2"/>
      <c r="BO2970" s="2"/>
      <c r="BP2970" s="136"/>
      <c r="BQ2970" s="137"/>
    </row>
    <row r="2971" spans="1:69" ht="12.75" customHeight="1" x14ac:dyDescent="0.2">
      <c r="A2971" s="2">
        <v>4460</v>
      </c>
      <c r="B2971" s="2"/>
      <c r="C2971" s="2"/>
      <c r="D2971" s="2"/>
      <c r="E2971" s="2"/>
      <c r="F2971" s="132">
        <v>0</v>
      </c>
      <c r="G2971" s="132"/>
      <c r="H2971" s="132">
        <f t="shared" si="332"/>
        <v>0</v>
      </c>
      <c r="I2971" s="132"/>
      <c r="J2971" s="132">
        <f t="shared" si="330"/>
        <v>0</v>
      </c>
      <c r="K2971" s="132">
        <f t="shared" si="333"/>
        <v>0</v>
      </c>
      <c r="L2971" s="132">
        <f t="shared" si="334"/>
        <v>0</v>
      </c>
      <c r="M2971" s="133"/>
      <c r="N2971" s="133">
        <f t="shared" si="331"/>
        <v>0</v>
      </c>
      <c r="O2971" s="134"/>
      <c r="P2971" s="133"/>
      <c r="Q2971" s="2"/>
      <c r="R2971" s="156">
        <f t="shared" si="335"/>
        <v>0</v>
      </c>
      <c r="S2971" s="156">
        <f t="shared" si="336"/>
        <v>0</v>
      </c>
      <c r="T2971" s="133"/>
      <c r="U2971" s="133"/>
      <c r="V2971" s="133"/>
      <c r="W2971" s="133"/>
      <c r="X2971" s="133"/>
      <c r="Y2971" s="133"/>
      <c r="Z2971" s="133"/>
      <c r="AA2971" s="133"/>
      <c r="AB2971" s="133"/>
      <c r="AC2971" s="133"/>
      <c r="AD2971" s="133"/>
      <c r="AE2971" s="133"/>
      <c r="AF2971" s="133"/>
      <c r="AG2971" s="133"/>
      <c r="AH2971" s="133"/>
      <c r="AI2971" s="133"/>
      <c r="AJ2971" s="133"/>
      <c r="AK2971" s="133"/>
      <c r="AL2971" s="133"/>
      <c r="AM2971" s="133"/>
      <c r="AN2971" s="133"/>
      <c r="AO2971" s="133"/>
      <c r="AP2971" s="133"/>
      <c r="AQ2971" s="133"/>
      <c r="AR2971" s="133"/>
      <c r="AS2971" s="153">
        <v>0</v>
      </c>
      <c r="AT2971" s="153">
        <v>0</v>
      </c>
      <c r="AU2971" s="153">
        <v>0</v>
      </c>
      <c r="AV2971" s="135"/>
      <c r="AW2971" s="135"/>
      <c r="AX2971" s="135"/>
      <c r="AY2971" s="135"/>
      <c r="AZ2971" s="135"/>
      <c r="BA2971" s="135"/>
      <c r="BB2971" s="135"/>
      <c r="BC2971" s="135"/>
      <c r="BD2971" s="135"/>
      <c r="BE2971" s="135"/>
      <c r="BF2971" s="135"/>
      <c r="BG2971" s="135"/>
      <c r="BH2971" s="135"/>
      <c r="BI2971" s="2"/>
      <c r="BJ2971" s="136"/>
      <c r="BK2971" s="2"/>
      <c r="BL2971" s="136"/>
      <c r="BM2971" s="136"/>
      <c r="BN2971" s="2"/>
      <c r="BO2971" s="2"/>
      <c r="BP2971" s="136"/>
      <c r="BQ2971" s="137"/>
    </row>
    <row r="2972" spans="1:69" ht="12.75" customHeight="1" x14ac:dyDescent="0.2">
      <c r="A2972" s="2">
        <v>4461</v>
      </c>
      <c r="B2972" s="2"/>
      <c r="C2972" s="2"/>
      <c r="D2972" s="2"/>
      <c r="E2972" s="2"/>
      <c r="F2972" s="132">
        <v>0</v>
      </c>
      <c r="G2972" s="132"/>
      <c r="H2972" s="132">
        <f t="shared" si="332"/>
        <v>0</v>
      </c>
      <c r="I2972" s="132"/>
      <c r="J2972" s="132">
        <f t="shared" si="330"/>
        <v>0</v>
      </c>
      <c r="K2972" s="132">
        <f t="shared" si="333"/>
        <v>0</v>
      </c>
      <c r="L2972" s="132">
        <f t="shared" si="334"/>
        <v>0</v>
      </c>
      <c r="M2972" s="133"/>
      <c r="N2972" s="133">
        <f t="shared" si="331"/>
        <v>0</v>
      </c>
      <c r="O2972" s="134"/>
      <c r="P2972" s="133"/>
      <c r="Q2972" s="2"/>
      <c r="R2972" s="156">
        <f t="shared" si="335"/>
        <v>0</v>
      </c>
      <c r="S2972" s="156">
        <f t="shared" si="336"/>
        <v>0</v>
      </c>
      <c r="T2972" s="133"/>
      <c r="U2972" s="133"/>
      <c r="V2972" s="133"/>
      <c r="W2972" s="133"/>
      <c r="X2972" s="133"/>
      <c r="Y2972" s="133"/>
      <c r="Z2972" s="133"/>
      <c r="AA2972" s="133"/>
      <c r="AB2972" s="133"/>
      <c r="AC2972" s="133"/>
      <c r="AD2972" s="133"/>
      <c r="AE2972" s="133"/>
      <c r="AF2972" s="133"/>
      <c r="AG2972" s="133"/>
      <c r="AH2972" s="133"/>
      <c r="AI2972" s="133"/>
      <c r="AJ2972" s="133"/>
      <c r="AK2972" s="133"/>
      <c r="AL2972" s="133"/>
      <c r="AM2972" s="133"/>
      <c r="AN2972" s="133"/>
      <c r="AO2972" s="133"/>
      <c r="AP2972" s="133"/>
      <c r="AQ2972" s="133"/>
      <c r="AR2972" s="133"/>
      <c r="AS2972" s="153">
        <v>0</v>
      </c>
      <c r="AT2972" s="153">
        <v>0</v>
      </c>
      <c r="AU2972" s="153">
        <v>0</v>
      </c>
      <c r="AV2972" s="135"/>
      <c r="AW2972" s="135"/>
      <c r="AX2972" s="135"/>
      <c r="AY2972" s="135"/>
      <c r="AZ2972" s="135"/>
      <c r="BA2972" s="135"/>
      <c r="BB2972" s="135"/>
      <c r="BC2972" s="135"/>
      <c r="BD2972" s="135"/>
      <c r="BE2972" s="135"/>
      <c r="BF2972" s="135"/>
      <c r="BG2972" s="135"/>
      <c r="BH2972" s="135"/>
      <c r="BI2972" s="2"/>
      <c r="BJ2972" s="136"/>
      <c r="BK2972" s="2"/>
      <c r="BL2972" s="136"/>
      <c r="BM2972" s="136"/>
      <c r="BN2972" s="2"/>
      <c r="BO2972" s="2"/>
      <c r="BP2972" s="136"/>
      <c r="BQ2972" s="137"/>
    </row>
    <row r="2973" spans="1:69" ht="12.75" customHeight="1" x14ac:dyDescent="0.2">
      <c r="A2973" s="2">
        <v>4462</v>
      </c>
      <c r="B2973" s="2"/>
      <c r="C2973" s="2"/>
      <c r="D2973" s="2"/>
      <c r="E2973" s="2"/>
      <c r="F2973" s="132">
        <v>0</v>
      </c>
      <c r="G2973" s="132"/>
      <c r="H2973" s="132">
        <f t="shared" si="332"/>
        <v>0</v>
      </c>
      <c r="I2973" s="132"/>
      <c r="J2973" s="132">
        <f t="shared" si="330"/>
        <v>0</v>
      </c>
      <c r="K2973" s="132">
        <f t="shared" si="333"/>
        <v>0</v>
      </c>
      <c r="L2973" s="132">
        <f t="shared" si="334"/>
        <v>0</v>
      </c>
      <c r="M2973" s="133"/>
      <c r="N2973" s="133">
        <f t="shared" si="331"/>
        <v>0</v>
      </c>
      <c r="O2973" s="134"/>
      <c r="P2973" s="133"/>
      <c r="Q2973" s="2"/>
      <c r="R2973" s="156">
        <f t="shared" si="335"/>
        <v>0</v>
      </c>
      <c r="S2973" s="156">
        <f t="shared" si="336"/>
        <v>0</v>
      </c>
      <c r="T2973" s="133"/>
      <c r="U2973" s="133"/>
      <c r="V2973" s="133"/>
      <c r="W2973" s="133"/>
      <c r="X2973" s="133"/>
      <c r="Y2973" s="133"/>
      <c r="Z2973" s="133"/>
      <c r="AA2973" s="133"/>
      <c r="AB2973" s="133"/>
      <c r="AC2973" s="133"/>
      <c r="AD2973" s="133"/>
      <c r="AE2973" s="133"/>
      <c r="AF2973" s="133"/>
      <c r="AG2973" s="133"/>
      <c r="AH2973" s="133"/>
      <c r="AI2973" s="133"/>
      <c r="AJ2973" s="133"/>
      <c r="AK2973" s="133"/>
      <c r="AL2973" s="133"/>
      <c r="AM2973" s="133"/>
      <c r="AN2973" s="133"/>
      <c r="AO2973" s="133"/>
      <c r="AP2973" s="133"/>
      <c r="AQ2973" s="133"/>
      <c r="AR2973" s="133"/>
      <c r="AS2973" s="153">
        <v>0</v>
      </c>
      <c r="AT2973" s="153">
        <v>0</v>
      </c>
      <c r="AU2973" s="153">
        <v>0</v>
      </c>
      <c r="AV2973" s="135"/>
      <c r="AW2973" s="135"/>
      <c r="AX2973" s="135"/>
      <c r="AY2973" s="135"/>
      <c r="AZ2973" s="135"/>
      <c r="BA2973" s="135"/>
      <c r="BB2973" s="135"/>
      <c r="BC2973" s="135"/>
      <c r="BD2973" s="135"/>
      <c r="BE2973" s="135"/>
      <c r="BF2973" s="135"/>
      <c r="BG2973" s="135"/>
      <c r="BH2973" s="135"/>
      <c r="BI2973" s="2"/>
      <c r="BJ2973" s="136"/>
      <c r="BK2973" s="2"/>
      <c r="BL2973" s="136"/>
      <c r="BM2973" s="136"/>
      <c r="BN2973" s="2"/>
      <c r="BO2973" s="2"/>
      <c r="BP2973" s="136"/>
      <c r="BQ2973" s="137"/>
    </row>
    <row r="2974" spans="1:69" ht="12.75" customHeight="1" x14ac:dyDescent="0.2">
      <c r="A2974" s="2">
        <v>4463</v>
      </c>
      <c r="B2974" s="2"/>
      <c r="C2974" s="2"/>
      <c r="D2974" s="2"/>
      <c r="E2974" s="2"/>
      <c r="F2974" s="132">
        <v>0</v>
      </c>
      <c r="G2974" s="132"/>
      <c r="H2974" s="132">
        <f t="shared" si="332"/>
        <v>0</v>
      </c>
      <c r="I2974" s="132"/>
      <c r="J2974" s="132">
        <f t="shared" si="330"/>
        <v>0</v>
      </c>
      <c r="K2974" s="132">
        <f t="shared" si="333"/>
        <v>0</v>
      </c>
      <c r="L2974" s="132">
        <f t="shared" si="334"/>
        <v>0</v>
      </c>
      <c r="M2974" s="133"/>
      <c r="N2974" s="133">
        <f t="shared" si="331"/>
        <v>0</v>
      </c>
      <c r="O2974" s="134"/>
      <c r="P2974" s="133"/>
      <c r="Q2974" s="2"/>
      <c r="R2974" s="156">
        <f t="shared" si="335"/>
        <v>0</v>
      </c>
      <c r="S2974" s="156">
        <f t="shared" si="336"/>
        <v>0</v>
      </c>
      <c r="T2974" s="133"/>
      <c r="U2974" s="133"/>
      <c r="V2974" s="133"/>
      <c r="W2974" s="133"/>
      <c r="X2974" s="133"/>
      <c r="Y2974" s="133"/>
      <c r="Z2974" s="133"/>
      <c r="AA2974" s="133"/>
      <c r="AB2974" s="133"/>
      <c r="AC2974" s="133"/>
      <c r="AD2974" s="133"/>
      <c r="AE2974" s="133"/>
      <c r="AF2974" s="133"/>
      <c r="AG2974" s="133"/>
      <c r="AH2974" s="133"/>
      <c r="AI2974" s="133"/>
      <c r="AJ2974" s="133"/>
      <c r="AK2974" s="133"/>
      <c r="AL2974" s="133"/>
      <c r="AM2974" s="133"/>
      <c r="AN2974" s="133"/>
      <c r="AO2974" s="133"/>
      <c r="AP2974" s="133"/>
      <c r="AQ2974" s="133"/>
      <c r="AR2974" s="133"/>
      <c r="AS2974" s="153">
        <v>0</v>
      </c>
      <c r="AT2974" s="153">
        <v>0</v>
      </c>
      <c r="AU2974" s="153">
        <v>0</v>
      </c>
      <c r="AV2974" s="135"/>
      <c r="AW2974" s="135"/>
      <c r="AX2974" s="135"/>
      <c r="AY2974" s="135"/>
      <c r="AZ2974" s="135"/>
      <c r="BA2974" s="135"/>
      <c r="BB2974" s="135"/>
      <c r="BC2974" s="135"/>
      <c r="BD2974" s="135"/>
      <c r="BE2974" s="135"/>
      <c r="BF2974" s="135"/>
      <c r="BG2974" s="135"/>
      <c r="BH2974" s="135"/>
      <c r="BI2974" s="2"/>
      <c r="BJ2974" s="136"/>
      <c r="BK2974" s="2"/>
      <c r="BL2974" s="136"/>
      <c r="BM2974" s="136"/>
      <c r="BN2974" s="2"/>
      <c r="BO2974" s="2"/>
      <c r="BP2974" s="136"/>
      <c r="BQ2974" s="137"/>
    </row>
    <row r="2975" spans="1:69" ht="12.75" customHeight="1" x14ac:dyDescent="0.2">
      <c r="A2975" s="2">
        <v>4464</v>
      </c>
      <c r="B2975" s="2"/>
      <c r="C2975" s="2"/>
      <c r="D2975" s="2"/>
      <c r="E2975" s="2"/>
      <c r="F2975" s="132">
        <v>0</v>
      </c>
      <c r="G2975" s="132"/>
      <c r="H2975" s="132">
        <f t="shared" si="332"/>
        <v>0</v>
      </c>
      <c r="I2975" s="132"/>
      <c r="J2975" s="132">
        <f t="shared" si="330"/>
        <v>0</v>
      </c>
      <c r="K2975" s="132">
        <f t="shared" si="333"/>
        <v>0</v>
      </c>
      <c r="L2975" s="132">
        <f t="shared" si="334"/>
        <v>0</v>
      </c>
      <c r="M2975" s="133"/>
      <c r="N2975" s="133">
        <f t="shared" si="331"/>
        <v>0</v>
      </c>
      <c r="O2975" s="134"/>
      <c r="P2975" s="133"/>
      <c r="Q2975" s="2"/>
      <c r="R2975" s="156">
        <f t="shared" si="335"/>
        <v>0</v>
      </c>
      <c r="S2975" s="156">
        <f t="shared" si="336"/>
        <v>0</v>
      </c>
      <c r="T2975" s="133"/>
      <c r="U2975" s="133"/>
      <c r="V2975" s="133"/>
      <c r="W2975" s="133"/>
      <c r="X2975" s="133"/>
      <c r="Y2975" s="133"/>
      <c r="Z2975" s="133"/>
      <c r="AA2975" s="133"/>
      <c r="AB2975" s="133"/>
      <c r="AC2975" s="133"/>
      <c r="AD2975" s="133"/>
      <c r="AE2975" s="133"/>
      <c r="AF2975" s="133"/>
      <c r="AG2975" s="133"/>
      <c r="AH2975" s="133"/>
      <c r="AI2975" s="133"/>
      <c r="AJ2975" s="133"/>
      <c r="AK2975" s="133"/>
      <c r="AL2975" s="133"/>
      <c r="AM2975" s="133"/>
      <c r="AN2975" s="133"/>
      <c r="AO2975" s="133"/>
      <c r="AP2975" s="133"/>
      <c r="AQ2975" s="133"/>
      <c r="AR2975" s="133"/>
      <c r="AS2975" s="153">
        <v>0</v>
      </c>
      <c r="AT2975" s="153">
        <v>0</v>
      </c>
      <c r="AU2975" s="153">
        <v>0</v>
      </c>
      <c r="AV2975" s="135"/>
      <c r="AW2975" s="135"/>
      <c r="AX2975" s="135"/>
      <c r="AY2975" s="135"/>
      <c r="AZ2975" s="135"/>
      <c r="BA2975" s="135"/>
      <c r="BB2975" s="135"/>
      <c r="BC2975" s="135"/>
      <c r="BD2975" s="135"/>
      <c r="BE2975" s="135"/>
      <c r="BF2975" s="135"/>
      <c r="BG2975" s="135"/>
      <c r="BH2975" s="135"/>
      <c r="BI2975" s="2"/>
      <c r="BJ2975" s="136"/>
      <c r="BK2975" s="2"/>
      <c r="BL2975" s="136"/>
      <c r="BM2975" s="136"/>
      <c r="BN2975" s="2"/>
      <c r="BO2975" s="2"/>
      <c r="BP2975" s="136"/>
      <c r="BQ2975" s="137"/>
    </row>
    <row r="2976" spans="1:69" ht="12.75" customHeight="1" x14ac:dyDescent="0.2">
      <c r="A2976" s="2">
        <v>4465</v>
      </c>
      <c r="B2976" s="2"/>
      <c r="C2976" s="2"/>
      <c r="D2976" s="2"/>
      <c r="E2976" s="2"/>
      <c r="F2976" s="132">
        <v>0</v>
      </c>
      <c r="G2976" s="132"/>
      <c r="H2976" s="132">
        <f t="shared" si="332"/>
        <v>0</v>
      </c>
      <c r="I2976" s="132"/>
      <c r="J2976" s="132">
        <f t="shared" si="330"/>
        <v>0</v>
      </c>
      <c r="K2976" s="132">
        <f t="shared" si="333"/>
        <v>0</v>
      </c>
      <c r="L2976" s="132">
        <f t="shared" si="334"/>
        <v>0</v>
      </c>
      <c r="M2976" s="133"/>
      <c r="N2976" s="133">
        <f t="shared" si="331"/>
        <v>0</v>
      </c>
      <c r="O2976" s="134"/>
      <c r="P2976" s="133"/>
      <c r="Q2976" s="2"/>
      <c r="R2976" s="156">
        <f t="shared" si="335"/>
        <v>0</v>
      </c>
      <c r="S2976" s="156">
        <f t="shared" si="336"/>
        <v>0</v>
      </c>
      <c r="T2976" s="133"/>
      <c r="U2976" s="133"/>
      <c r="V2976" s="133"/>
      <c r="W2976" s="133"/>
      <c r="X2976" s="133"/>
      <c r="Y2976" s="133"/>
      <c r="Z2976" s="133"/>
      <c r="AA2976" s="133"/>
      <c r="AB2976" s="133"/>
      <c r="AC2976" s="133"/>
      <c r="AD2976" s="133"/>
      <c r="AE2976" s="133"/>
      <c r="AF2976" s="133"/>
      <c r="AG2976" s="133"/>
      <c r="AH2976" s="133"/>
      <c r="AI2976" s="133"/>
      <c r="AJ2976" s="133"/>
      <c r="AK2976" s="133"/>
      <c r="AL2976" s="133"/>
      <c r="AM2976" s="133"/>
      <c r="AN2976" s="133"/>
      <c r="AO2976" s="133"/>
      <c r="AP2976" s="133"/>
      <c r="AQ2976" s="133"/>
      <c r="AR2976" s="133"/>
      <c r="AS2976" s="153">
        <v>0</v>
      </c>
      <c r="AT2976" s="153">
        <v>0</v>
      </c>
      <c r="AU2976" s="153">
        <v>0</v>
      </c>
      <c r="AV2976" s="135"/>
      <c r="AW2976" s="135"/>
      <c r="AX2976" s="135"/>
      <c r="AY2976" s="135"/>
      <c r="AZ2976" s="135"/>
      <c r="BA2976" s="135"/>
      <c r="BB2976" s="135"/>
      <c r="BC2976" s="135"/>
      <c r="BD2976" s="135"/>
      <c r="BE2976" s="135"/>
      <c r="BF2976" s="135"/>
      <c r="BG2976" s="135"/>
      <c r="BH2976" s="135"/>
      <c r="BI2976" s="2"/>
      <c r="BJ2976" s="136"/>
      <c r="BK2976" s="2"/>
      <c r="BL2976" s="136"/>
      <c r="BM2976" s="136"/>
      <c r="BN2976" s="2"/>
      <c r="BO2976" s="2"/>
      <c r="BP2976" s="136"/>
      <c r="BQ2976" s="137"/>
    </row>
    <row r="2977" spans="1:69" ht="12.75" customHeight="1" x14ac:dyDescent="0.2">
      <c r="A2977" s="2">
        <v>4466</v>
      </c>
      <c r="B2977" s="2"/>
      <c r="C2977" s="2"/>
      <c r="D2977" s="2"/>
      <c r="E2977" s="2"/>
      <c r="F2977" s="132">
        <v>0</v>
      </c>
      <c r="G2977" s="132"/>
      <c r="H2977" s="132">
        <f t="shared" si="332"/>
        <v>0</v>
      </c>
      <c r="I2977" s="132"/>
      <c r="J2977" s="132">
        <f t="shared" si="330"/>
        <v>0</v>
      </c>
      <c r="K2977" s="132">
        <f t="shared" si="333"/>
        <v>0</v>
      </c>
      <c r="L2977" s="132">
        <f t="shared" si="334"/>
        <v>0</v>
      </c>
      <c r="M2977" s="133"/>
      <c r="N2977" s="133">
        <f t="shared" si="331"/>
        <v>0</v>
      </c>
      <c r="O2977" s="134"/>
      <c r="P2977" s="133"/>
      <c r="Q2977" s="2"/>
      <c r="R2977" s="156">
        <f t="shared" si="335"/>
        <v>0</v>
      </c>
      <c r="S2977" s="156">
        <f t="shared" si="336"/>
        <v>0</v>
      </c>
      <c r="T2977" s="133"/>
      <c r="U2977" s="133"/>
      <c r="V2977" s="133"/>
      <c r="W2977" s="133"/>
      <c r="X2977" s="133"/>
      <c r="Y2977" s="133"/>
      <c r="Z2977" s="133"/>
      <c r="AA2977" s="133"/>
      <c r="AB2977" s="133"/>
      <c r="AC2977" s="133"/>
      <c r="AD2977" s="133"/>
      <c r="AE2977" s="133"/>
      <c r="AF2977" s="133"/>
      <c r="AG2977" s="133"/>
      <c r="AH2977" s="133"/>
      <c r="AI2977" s="133"/>
      <c r="AJ2977" s="133"/>
      <c r="AK2977" s="133"/>
      <c r="AL2977" s="133"/>
      <c r="AM2977" s="133"/>
      <c r="AN2977" s="133"/>
      <c r="AO2977" s="133"/>
      <c r="AP2977" s="133"/>
      <c r="AQ2977" s="133"/>
      <c r="AR2977" s="133"/>
      <c r="AS2977" s="153">
        <v>0</v>
      </c>
      <c r="AT2977" s="153">
        <v>0</v>
      </c>
      <c r="AU2977" s="153">
        <v>0</v>
      </c>
      <c r="AV2977" s="135"/>
      <c r="AW2977" s="135"/>
      <c r="AX2977" s="135"/>
      <c r="AY2977" s="135"/>
      <c r="AZ2977" s="135"/>
      <c r="BA2977" s="135"/>
      <c r="BB2977" s="135"/>
      <c r="BC2977" s="135"/>
      <c r="BD2977" s="135"/>
      <c r="BE2977" s="135"/>
      <c r="BF2977" s="135"/>
      <c r="BG2977" s="135"/>
      <c r="BH2977" s="135"/>
      <c r="BI2977" s="2"/>
      <c r="BJ2977" s="136"/>
      <c r="BK2977" s="2"/>
      <c r="BL2977" s="136"/>
      <c r="BM2977" s="136"/>
      <c r="BN2977" s="2"/>
      <c r="BO2977" s="2"/>
      <c r="BP2977" s="136"/>
      <c r="BQ2977" s="137"/>
    </row>
    <row r="2978" spans="1:69" ht="12.75" customHeight="1" x14ac:dyDescent="0.2">
      <c r="A2978" s="2">
        <v>4467</v>
      </c>
      <c r="B2978" s="2"/>
      <c r="C2978" s="2"/>
      <c r="D2978" s="2"/>
      <c r="E2978" s="2"/>
      <c r="F2978" s="132">
        <v>0</v>
      </c>
      <c r="G2978" s="132"/>
      <c r="H2978" s="132">
        <f t="shared" si="332"/>
        <v>0</v>
      </c>
      <c r="I2978" s="132"/>
      <c r="J2978" s="132">
        <f t="shared" si="330"/>
        <v>0</v>
      </c>
      <c r="K2978" s="132">
        <f t="shared" si="333"/>
        <v>0</v>
      </c>
      <c r="L2978" s="132">
        <f t="shared" si="334"/>
        <v>0</v>
      </c>
      <c r="M2978" s="133"/>
      <c r="N2978" s="133">
        <f t="shared" si="331"/>
        <v>0</v>
      </c>
      <c r="O2978" s="134"/>
      <c r="P2978" s="133"/>
      <c r="Q2978" s="2"/>
      <c r="R2978" s="156">
        <f t="shared" si="335"/>
        <v>0</v>
      </c>
      <c r="S2978" s="156">
        <f t="shared" si="336"/>
        <v>0</v>
      </c>
      <c r="T2978" s="133"/>
      <c r="U2978" s="133"/>
      <c r="V2978" s="133"/>
      <c r="W2978" s="133"/>
      <c r="X2978" s="133"/>
      <c r="Y2978" s="133"/>
      <c r="Z2978" s="133"/>
      <c r="AA2978" s="133"/>
      <c r="AB2978" s="133"/>
      <c r="AC2978" s="133"/>
      <c r="AD2978" s="133"/>
      <c r="AE2978" s="133"/>
      <c r="AF2978" s="133"/>
      <c r="AG2978" s="133"/>
      <c r="AH2978" s="133"/>
      <c r="AI2978" s="133"/>
      <c r="AJ2978" s="133"/>
      <c r="AK2978" s="133"/>
      <c r="AL2978" s="133"/>
      <c r="AM2978" s="133"/>
      <c r="AN2978" s="133"/>
      <c r="AO2978" s="133"/>
      <c r="AP2978" s="133"/>
      <c r="AQ2978" s="133"/>
      <c r="AR2978" s="133"/>
      <c r="AS2978" s="153">
        <v>0</v>
      </c>
      <c r="AT2978" s="153">
        <v>0</v>
      </c>
      <c r="AU2978" s="153">
        <v>0</v>
      </c>
      <c r="AV2978" s="135"/>
      <c r="AW2978" s="135"/>
      <c r="AX2978" s="135"/>
      <c r="AY2978" s="135"/>
      <c r="AZ2978" s="135"/>
      <c r="BA2978" s="135"/>
      <c r="BB2978" s="135"/>
      <c r="BC2978" s="135"/>
      <c r="BD2978" s="135"/>
      <c r="BE2978" s="135"/>
      <c r="BF2978" s="135"/>
      <c r="BG2978" s="135"/>
      <c r="BH2978" s="135"/>
      <c r="BI2978" s="2"/>
      <c r="BJ2978" s="136"/>
      <c r="BK2978" s="2"/>
      <c r="BL2978" s="136"/>
      <c r="BM2978" s="136"/>
      <c r="BN2978" s="2"/>
      <c r="BO2978" s="2"/>
      <c r="BP2978" s="136"/>
      <c r="BQ2978" s="137"/>
    </row>
    <row r="2979" spans="1:69" ht="12.75" customHeight="1" x14ac:dyDescent="0.2">
      <c r="A2979" s="2">
        <v>4468</v>
      </c>
      <c r="B2979" s="2"/>
      <c r="C2979" s="2"/>
      <c r="D2979" s="2"/>
      <c r="E2979" s="2"/>
      <c r="F2979" s="132">
        <v>0</v>
      </c>
      <c r="G2979" s="132"/>
      <c r="H2979" s="132">
        <f t="shared" si="332"/>
        <v>0</v>
      </c>
      <c r="I2979" s="132"/>
      <c r="J2979" s="132">
        <f t="shared" si="330"/>
        <v>0</v>
      </c>
      <c r="K2979" s="132">
        <f t="shared" si="333"/>
        <v>0</v>
      </c>
      <c r="L2979" s="132">
        <f t="shared" si="334"/>
        <v>0</v>
      </c>
      <c r="M2979" s="133"/>
      <c r="N2979" s="133">
        <f t="shared" si="331"/>
        <v>0</v>
      </c>
      <c r="O2979" s="134"/>
      <c r="P2979" s="133"/>
      <c r="Q2979" s="2"/>
      <c r="R2979" s="156">
        <f t="shared" si="335"/>
        <v>0</v>
      </c>
      <c r="S2979" s="156">
        <f t="shared" si="336"/>
        <v>0</v>
      </c>
      <c r="T2979" s="133"/>
      <c r="U2979" s="133"/>
      <c r="V2979" s="133"/>
      <c r="W2979" s="133"/>
      <c r="X2979" s="133"/>
      <c r="Y2979" s="133"/>
      <c r="Z2979" s="133"/>
      <c r="AA2979" s="133"/>
      <c r="AB2979" s="133"/>
      <c r="AC2979" s="133"/>
      <c r="AD2979" s="133"/>
      <c r="AE2979" s="133"/>
      <c r="AF2979" s="133"/>
      <c r="AG2979" s="133"/>
      <c r="AH2979" s="133"/>
      <c r="AI2979" s="133"/>
      <c r="AJ2979" s="133"/>
      <c r="AK2979" s="133"/>
      <c r="AL2979" s="133"/>
      <c r="AM2979" s="133"/>
      <c r="AN2979" s="133"/>
      <c r="AO2979" s="133"/>
      <c r="AP2979" s="133"/>
      <c r="AQ2979" s="133"/>
      <c r="AR2979" s="133"/>
      <c r="AS2979" s="153">
        <v>0</v>
      </c>
      <c r="AT2979" s="153">
        <v>0</v>
      </c>
      <c r="AU2979" s="153">
        <v>0</v>
      </c>
      <c r="AV2979" s="135"/>
      <c r="AW2979" s="135"/>
      <c r="AX2979" s="135"/>
      <c r="AY2979" s="135"/>
      <c r="AZ2979" s="135"/>
      <c r="BA2979" s="135"/>
      <c r="BB2979" s="135"/>
      <c r="BC2979" s="135"/>
      <c r="BD2979" s="135"/>
      <c r="BE2979" s="135"/>
      <c r="BF2979" s="135"/>
      <c r="BG2979" s="135"/>
      <c r="BH2979" s="135"/>
      <c r="BI2979" s="2"/>
      <c r="BJ2979" s="136"/>
      <c r="BK2979" s="2"/>
      <c r="BL2979" s="136"/>
      <c r="BM2979" s="136"/>
      <c r="BN2979" s="2"/>
      <c r="BO2979" s="2"/>
      <c r="BP2979" s="136"/>
      <c r="BQ2979" s="137"/>
    </row>
    <row r="2980" spans="1:69" ht="12.75" customHeight="1" x14ac:dyDescent="0.2">
      <c r="A2980" s="2">
        <v>4469</v>
      </c>
      <c r="B2980" s="2"/>
      <c r="C2980" s="2"/>
      <c r="D2980" s="2"/>
      <c r="E2980" s="2"/>
      <c r="F2980" s="132">
        <v>0</v>
      </c>
      <c r="G2980" s="132"/>
      <c r="H2980" s="132">
        <f t="shared" si="332"/>
        <v>0</v>
      </c>
      <c r="I2980" s="132"/>
      <c r="J2980" s="132">
        <f t="shared" ref="J2980:J3043" si="337">S2980</f>
        <v>0</v>
      </c>
      <c r="K2980" s="132">
        <f t="shared" si="333"/>
        <v>0</v>
      </c>
      <c r="L2980" s="132">
        <f t="shared" si="334"/>
        <v>0</v>
      </c>
      <c r="M2980" s="133"/>
      <c r="N2980" s="133">
        <f t="shared" si="331"/>
        <v>0</v>
      </c>
      <c r="O2980" s="134"/>
      <c r="P2980" s="133"/>
      <c r="Q2980" s="2"/>
      <c r="R2980" s="156">
        <f t="shared" si="335"/>
        <v>0</v>
      </c>
      <c r="S2980" s="156">
        <f t="shared" si="336"/>
        <v>0</v>
      </c>
      <c r="T2980" s="133"/>
      <c r="U2980" s="133"/>
      <c r="V2980" s="133"/>
      <c r="W2980" s="133"/>
      <c r="X2980" s="133"/>
      <c r="Y2980" s="133"/>
      <c r="Z2980" s="133"/>
      <c r="AA2980" s="133"/>
      <c r="AB2980" s="133"/>
      <c r="AC2980" s="133"/>
      <c r="AD2980" s="133"/>
      <c r="AE2980" s="133"/>
      <c r="AF2980" s="133"/>
      <c r="AG2980" s="133"/>
      <c r="AH2980" s="133"/>
      <c r="AI2980" s="133"/>
      <c r="AJ2980" s="133"/>
      <c r="AK2980" s="133"/>
      <c r="AL2980" s="133"/>
      <c r="AM2980" s="133"/>
      <c r="AN2980" s="133"/>
      <c r="AO2980" s="133"/>
      <c r="AP2980" s="133"/>
      <c r="AQ2980" s="133"/>
      <c r="AR2980" s="133"/>
      <c r="AS2980" s="153">
        <v>0</v>
      </c>
      <c r="AT2980" s="153">
        <v>0</v>
      </c>
      <c r="AU2980" s="153">
        <v>0</v>
      </c>
      <c r="AV2980" s="135"/>
      <c r="AW2980" s="135"/>
      <c r="AX2980" s="135"/>
      <c r="AY2980" s="135"/>
      <c r="AZ2980" s="135"/>
      <c r="BA2980" s="135"/>
      <c r="BB2980" s="135"/>
      <c r="BC2980" s="135"/>
      <c r="BD2980" s="135"/>
      <c r="BE2980" s="135"/>
      <c r="BF2980" s="135"/>
      <c r="BG2980" s="135"/>
      <c r="BH2980" s="135"/>
      <c r="BI2980" s="2"/>
      <c r="BJ2980" s="136"/>
      <c r="BK2980" s="2"/>
      <c r="BL2980" s="136"/>
      <c r="BM2980" s="136"/>
      <c r="BN2980" s="2"/>
      <c r="BO2980" s="2"/>
      <c r="BP2980" s="136"/>
      <c r="BQ2980" s="137"/>
    </row>
    <row r="2981" spans="1:69" ht="12.75" customHeight="1" x14ac:dyDescent="0.2">
      <c r="A2981" s="2">
        <v>4470</v>
      </c>
      <c r="B2981" s="2"/>
      <c r="C2981" s="2"/>
      <c r="D2981" s="2"/>
      <c r="E2981" s="2"/>
      <c r="F2981" s="132">
        <v>0</v>
      </c>
      <c r="G2981" s="132"/>
      <c r="H2981" s="132">
        <f t="shared" si="332"/>
        <v>0</v>
      </c>
      <c r="I2981" s="132"/>
      <c r="J2981" s="132">
        <f t="shared" si="337"/>
        <v>0</v>
      </c>
      <c r="K2981" s="132">
        <f t="shared" si="333"/>
        <v>0</v>
      </c>
      <c r="L2981" s="132">
        <f t="shared" si="334"/>
        <v>0</v>
      </c>
      <c r="M2981" s="133"/>
      <c r="N2981" s="133">
        <f t="shared" si="331"/>
        <v>0</v>
      </c>
      <c r="O2981" s="134"/>
      <c r="P2981" s="133"/>
      <c r="Q2981" s="2"/>
      <c r="R2981" s="156">
        <f t="shared" si="335"/>
        <v>0</v>
      </c>
      <c r="S2981" s="156">
        <f t="shared" si="336"/>
        <v>0</v>
      </c>
      <c r="T2981" s="133"/>
      <c r="U2981" s="133"/>
      <c r="V2981" s="133"/>
      <c r="W2981" s="133"/>
      <c r="X2981" s="133"/>
      <c r="Y2981" s="133"/>
      <c r="Z2981" s="133"/>
      <c r="AA2981" s="133"/>
      <c r="AB2981" s="133"/>
      <c r="AC2981" s="133"/>
      <c r="AD2981" s="133"/>
      <c r="AE2981" s="133"/>
      <c r="AF2981" s="133"/>
      <c r="AG2981" s="133"/>
      <c r="AH2981" s="133"/>
      <c r="AI2981" s="133"/>
      <c r="AJ2981" s="133"/>
      <c r="AK2981" s="133"/>
      <c r="AL2981" s="133"/>
      <c r="AM2981" s="133"/>
      <c r="AN2981" s="133"/>
      <c r="AO2981" s="133"/>
      <c r="AP2981" s="133"/>
      <c r="AQ2981" s="133"/>
      <c r="AR2981" s="133"/>
      <c r="AS2981" s="153">
        <v>0</v>
      </c>
      <c r="AT2981" s="153">
        <v>0</v>
      </c>
      <c r="AU2981" s="153">
        <v>0</v>
      </c>
      <c r="AV2981" s="135"/>
      <c r="AW2981" s="135"/>
      <c r="AX2981" s="135"/>
      <c r="AY2981" s="135"/>
      <c r="AZ2981" s="135"/>
      <c r="BA2981" s="135"/>
      <c r="BB2981" s="135"/>
      <c r="BC2981" s="135"/>
      <c r="BD2981" s="135"/>
      <c r="BE2981" s="135"/>
      <c r="BF2981" s="135"/>
      <c r="BG2981" s="135"/>
      <c r="BH2981" s="135"/>
      <c r="BI2981" s="2"/>
      <c r="BJ2981" s="136"/>
      <c r="BK2981" s="2"/>
      <c r="BL2981" s="136"/>
      <c r="BM2981" s="136"/>
      <c r="BN2981" s="2"/>
      <c r="BO2981" s="2"/>
      <c r="BP2981" s="136"/>
      <c r="BQ2981" s="137"/>
    </row>
    <row r="2982" spans="1:69" ht="12.75" customHeight="1" x14ac:dyDescent="0.2">
      <c r="A2982" s="2">
        <v>4471</v>
      </c>
      <c r="B2982" s="2"/>
      <c r="C2982" s="2"/>
      <c r="D2982" s="2"/>
      <c r="E2982" s="2"/>
      <c r="F2982" s="132">
        <v>0</v>
      </c>
      <c r="G2982" s="132"/>
      <c r="H2982" s="132">
        <f t="shared" si="332"/>
        <v>0</v>
      </c>
      <c r="I2982" s="132"/>
      <c r="J2982" s="132">
        <f t="shared" si="337"/>
        <v>0</v>
      </c>
      <c r="K2982" s="132">
        <f t="shared" si="333"/>
        <v>0</v>
      </c>
      <c r="L2982" s="132">
        <f t="shared" si="334"/>
        <v>0</v>
      </c>
      <c r="M2982" s="133"/>
      <c r="N2982" s="133">
        <f t="shared" si="331"/>
        <v>0</v>
      </c>
      <c r="O2982" s="134"/>
      <c r="P2982" s="133"/>
      <c r="Q2982" s="2"/>
      <c r="R2982" s="156">
        <f t="shared" si="335"/>
        <v>0</v>
      </c>
      <c r="S2982" s="156">
        <f t="shared" si="336"/>
        <v>0</v>
      </c>
      <c r="T2982" s="133"/>
      <c r="U2982" s="133"/>
      <c r="V2982" s="133"/>
      <c r="W2982" s="133"/>
      <c r="X2982" s="133"/>
      <c r="Y2982" s="133"/>
      <c r="Z2982" s="133"/>
      <c r="AA2982" s="133"/>
      <c r="AB2982" s="133"/>
      <c r="AC2982" s="133"/>
      <c r="AD2982" s="133"/>
      <c r="AE2982" s="133"/>
      <c r="AF2982" s="133"/>
      <c r="AG2982" s="133"/>
      <c r="AH2982" s="133"/>
      <c r="AI2982" s="133"/>
      <c r="AJ2982" s="133"/>
      <c r="AK2982" s="133"/>
      <c r="AL2982" s="133"/>
      <c r="AM2982" s="133"/>
      <c r="AN2982" s="133"/>
      <c r="AO2982" s="133"/>
      <c r="AP2982" s="133"/>
      <c r="AQ2982" s="133"/>
      <c r="AR2982" s="133"/>
      <c r="AS2982" s="153">
        <v>0</v>
      </c>
      <c r="AT2982" s="153">
        <v>0</v>
      </c>
      <c r="AU2982" s="153">
        <v>0</v>
      </c>
      <c r="AV2982" s="135"/>
      <c r="AW2982" s="135"/>
      <c r="AX2982" s="135"/>
      <c r="AY2982" s="135"/>
      <c r="AZ2982" s="135"/>
      <c r="BA2982" s="135"/>
      <c r="BB2982" s="135"/>
      <c r="BC2982" s="135"/>
      <c r="BD2982" s="135"/>
      <c r="BE2982" s="135"/>
      <c r="BF2982" s="135"/>
      <c r="BG2982" s="135"/>
      <c r="BH2982" s="135"/>
      <c r="BI2982" s="2"/>
      <c r="BJ2982" s="136"/>
      <c r="BK2982" s="2"/>
      <c r="BL2982" s="136"/>
      <c r="BM2982" s="136"/>
      <c r="BN2982" s="2"/>
      <c r="BO2982" s="2"/>
      <c r="BP2982" s="136"/>
      <c r="BQ2982" s="137"/>
    </row>
    <row r="2983" spans="1:69" ht="12.75" customHeight="1" x14ac:dyDescent="0.2">
      <c r="A2983" s="2">
        <v>4472</v>
      </c>
      <c r="B2983" s="2"/>
      <c r="C2983" s="2"/>
      <c r="D2983" s="2"/>
      <c r="E2983" s="2"/>
      <c r="F2983" s="132">
        <v>0</v>
      </c>
      <c r="G2983" s="132"/>
      <c r="H2983" s="132">
        <f t="shared" si="332"/>
        <v>0</v>
      </c>
      <c r="I2983" s="132"/>
      <c r="J2983" s="132">
        <f t="shared" si="337"/>
        <v>0</v>
      </c>
      <c r="K2983" s="132">
        <f t="shared" si="333"/>
        <v>0</v>
      </c>
      <c r="L2983" s="132">
        <f t="shared" si="334"/>
        <v>0</v>
      </c>
      <c r="M2983" s="133"/>
      <c r="N2983" s="133">
        <f t="shared" si="331"/>
        <v>0</v>
      </c>
      <c r="O2983" s="134"/>
      <c r="P2983" s="133"/>
      <c r="Q2983" s="2"/>
      <c r="R2983" s="156">
        <f t="shared" si="335"/>
        <v>0</v>
      </c>
      <c r="S2983" s="156">
        <f t="shared" si="336"/>
        <v>0</v>
      </c>
      <c r="T2983" s="133"/>
      <c r="U2983" s="133"/>
      <c r="V2983" s="133"/>
      <c r="W2983" s="133"/>
      <c r="X2983" s="133"/>
      <c r="Y2983" s="133"/>
      <c r="Z2983" s="133"/>
      <c r="AA2983" s="133"/>
      <c r="AB2983" s="133"/>
      <c r="AC2983" s="133"/>
      <c r="AD2983" s="133"/>
      <c r="AE2983" s="133"/>
      <c r="AF2983" s="133"/>
      <c r="AG2983" s="133"/>
      <c r="AH2983" s="133"/>
      <c r="AI2983" s="133"/>
      <c r="AJ2983" s="133"/>
      <c r="AK2983" s="133"/>
      <c r="AL2983" s="133"/>
      <c r="AM2983" s="133"/>
      <c r="AN2983" s="133"/>
      <c r="AO2983" s="133"/>
      <c r="AP2983" s="133"/>
      <c r="AQ2983" s="133"/>
      <c r="AR2983" s="133"/>
      <c r="AS2983" s="153">
        <v>0</v>
      </c>
      <c r="AT2983" s="153">
        <v>0</v>
      </c>
      <c r="AU2983" s="153">
        <v>0</v>
      </c>
      <c r="AV2983" s="135"/>
      <c r="AW2983" s="135"/>
      <c r="AX2983" s="135"/>
      <c r="AY2983" s="135"/>
      <c r="AZ2983" s="135"/>
      <c r="BA2983" s="135"/>
      <c r="BB2983" s="135"/>
      <c r="BC2983" s="135"/>
      <c r="BD2983" s="135"/>
      <c r="BE2983" s="135"/>
      <c r="BF2983" s="135"/>
      <c r="BG2983" s="135"/>
      <c r="BH2983" s="135"/>
      <c r="BI2983" s="2"/>
      <c r="BJ2983" s="136"/>
      <c r="BK2983" s="2"/>
      <c r="BL2983" s="136"/>
      <c r="BM2983" s="136"/>
      <c r="BN2983" s="2"/>
      <c r="BO2983" s="2"/>
      <c r="BP2983" s="136"/>
      <c r="BQ2983" s="137"/>
    </row>
    <row r="2984" spans="1:69" ht="12.75" customHeight="1" x14ac:dyDescent="0.2">
      <c r="A2984" s="2">
        <v>4473</v>
      </c>
      <c r="B2984" s="2"/>
      <c r="C2984" s="2"/>
      <c r="D2984" s="2"/>
      <c r="E2984" s="2"/>
      <c r="F2984" s="132">
        <v>0</v>
      </c>
      <c r="G2984" s="132"/>
      <c r="H2984" s="132">
        <f t="shared" si="332"/>
        <v>0</v>
      </c>
      <c r="I2984" s="132"/>
      <c r="J2984" s="132">
        <f t="shared" si="337"/>
        <v>0</v>
      </c>
      <c r="K2984" s="132">
        <f t="shared" si="333"/>
        <v>0</v>
      </c>
      <c r="L2984" s="132">
        <f t="shared" si="334"/>
        <v>0</v>
      </c>
      <c r="M2984" s="133"/>
      <c r="N2984" s="133">
        <f t="shared" si="331"/>
        <v>0</v>
      </c>
      <c r="O2984" s="134"/>
      <c r="P2984" s="133"/>
      <c r="Q2984" s="2"/>
      <c r="R2984" s="156">
        <f t="shared" si="335"/>
        <v>0</v>
      </c>
      <c r="S2984" s="156">
        <f t="shared" si="336"/>
        <v>0</v>
      </c>
      <c r="T2984" s="133"/>
      <c r="U2984" s="133"/>
      <c r="V2984" s="133"/>
      <c r="W2984" s="133"/>
      <c r="X2984" s="133"/>
      <c r="Y2984" s="133"/>
      <c r="Z2984" s="133"/>
      <c r="AA2984" s="133"/>
      <c r="AB2984" s="133"/>
      <c r="AC2984" s="133"/>
      <c r="AD2984" s="133"/>
      <c r="AE2984" s="133"/>
      <c r="AF2984" s="133"/>
      <c r="AG2984" s="133"/>
      <c r="AH2984" s="133"/>
      <c r="AI2984" s="133"/>
      <c r="AJ2984" s="133"/>
      <c r="AK2984" s="133"/>
      <c r="AL2984" s="133"/>
      <c r="AM2984" s="133"/>
      <c r="AN2984" s="133"/>
      <c r="AO2984" s="133"/>
      <c r="AP2984" s="133"/>
      <c r="AQ2984" s="133"/>
      <c r="AR2984" s="133"/>
      <c r="AS2984" s="153">
        <v>0</v>
      </c>
      <c r="AT2984" s="153">
        <v>0</v>
      </c>
      <c r="AU2984" s="153">
        <v>0</v>
      </c>
      <c r="AV2984" s="135"/>
      <c r="AW2984" s="135"/>
      <c r="AX2984" s="135"/>
      <c r="AY2984" s="135"/>
      <c r="AZ2984" s="135"/>
      <c r="BA2984" s="135"/>
      <c r="BB2984" s="135"/>
      <c r="BC2984" s="135"/>
      <c r="BD2984" s="135"/>
      <c r="BE2984" s="135"/>
      <c r="BF2984" s="135"/>
      <c r="BG2984" s="135"/>
      <c r="BH2984" s="135"/>
      <c r="BI2984" s="2"/>
      <c r="BJ2984" s="136"/>
      <c r="BK2984" s="2"/>
      <c r="BL2984" s="136"/>
      <c r="BM2984" s="136"/>
      <c r="BN2984" s="2"/>
      <c r="BO2984" s="2"/>
      <c r="BP2984" s="136"/>
      <c r="BQ2984" s="137"/>
    </row>
    <row r="2985" spans="1:69" ht="12.75" customHeight="1" x14ac:dyDescent="0.2">
      <c r="A2985" s="2">
        <v>4474</v>
      </c>
      <c r="B2985" s="2"/>
      <c r="C2985" s="2"/>
      <c r="D2985" s="2"/>
      <c r="E2985" s="2"/>
      <c r="F2985" s="132">
        <v>0</v>
      </c>
      <c r="G2985" s="132"/>
      <c r="H2985" s="132">
        <f t="shared" si="332"/>
        <v>0</v>
      </c>
      <c r="I2985" s="132"/>
      <c r="J2985" s="132">
        <f t="shared" si="337"/>
        <v>0</v>
      </c>
      <c r="K2985" s="132">
        <f t="shared" si="333"/>
        <v>0</v>
      </c>
      <c r="L2985" s="132">
        <f t="shared" si="334"/>
        <v>0</v>
      </c>
      <c r="M2985" s="133"/>
      <c r="N2985" s="133">
        <f t="shared" si="331"/>
        <v>0</v>
      </c>
      <c r="O2985" s="134"/>
      <c r="P2985" s="133"/>
      <c r="Q2985" s="2"/>
      <c r="R2985" s="156">
        <f t="shared" si="335"/>
        <v>0</v>
      </c>
      <c r="S2985" s="156">
        <f t="shared" si="336"/>
        <v>0</v>
      </c>
      <c r="T2985" s="133"/>
      <c r="U2985" s="133"/>
      <c r="V2985" s="133"/>
      <c r="W2985" s="133"/>
      <c r="X2985" s="133"/>
      <c r="Y2985" s="133"/>
      <c r="Z2985" s="133"/>
      <c r="AA2985" s="133"/>
      <c r="AB2985" s="133"/>
      <c r="AC2985" s="133"/>
      <c r="AD2985" s="133"/>
      <c r="AE2985" s="133"/>
      <c r="AF2985" s="133"/>
      <c r="AG2985" s="133"/>
      <c r="AH2985" s="133"/>
      <c r="AI2985" s="133"/>
      <c r="AJ2985" s="133"/>
      <c r="AK2985" s="133"/>
      <c r="AL2985" s="133"/>
      <c r="AM2985" s="133"/>
      <c r="AN2985" s="133"/>
      <c r="AO2985" s="133"/>
      <c r="AP2985" s="133"/>
      <c r="AQ2985" s="133"/>
      <c r="AR2985" s="133"/>
      <c r="AS2985" s="153">
        <v>0</v>
      </c>
      <c r="AT2985" s="153">
        <v>0</v>
      </c>
      <c r="AU2985" s="153">
        <v>0</v>
      </c>
      <c r="AV2985" s="135"/>
      <c r="AW2985" s="135"/>
      <c r="AX2985" s="135"/>
      <c r="AY2985" s="135"/>
      <c r="AZ2985" s="135"/>
      <c r="BA2985" s="135"/>
      <c r="BB2985" s="135"/>
      <c r="BC2985" s="135"/>
      <c r="BD2985" s="135"/>
      <c r="BE2985" s="135"/>
      <c r="BF2985" s="135"/>
      <c r="BG2985" s="135"/>
      <c r="BH2985" s="135"/>
      <c r="BI2985" s="2"/>
      <c r="BJ2985" s="136"/>
      <c r="BK2985" s="2"/>
      <c r="BL2985" s="136"/>
      <c r="BM2985" s="136"/>
      <c r="BN2985" s="2"/>
      <c r="BO2985" s="2"/>
      <c r="BP2985" s="136"/>
      <c r="BQ2985" s="137"/>
    </row>
    <row r="2986" spans="1:69" ht="12.75" customHeight="1" x14ac:dyDescent="0.2">
      <c r="A2986" s="2">
        <v>4475</v>
      </c>
      <c r="B2986" s="2"/>
      <c r="C2986" s="2"/>
      <c r="D2986" s="2"/>
      <c r="E2986" s="2"/>
      <c r="F2986" s="132">
        <v>0</v>
      </c>
      <c r="G2986" s="132"/>
      <c r="H2986" s="132">
        <f t="shared" si="332"/>
        <v>0</v>
      </c>
      <c r="I2986" s="132"/>
      <c r="J2986" s="132">
        <f t="shared" si="337"/>
        <v>0</v>
      </c>
      <c r="K2986" s="132">
        <f t="shared" si="333"/>
        <v>0</v>
      </c>
      <c r="L2986" s="132">
        <f t="shared" si="334"/>
        <v>0</v>
      </c>
      <c r="M2986" s="133"/>
      <c r="N2986" s="133">
        <f t="shared" ref="N2986:N3049" si="338">IF(OR(BK2986="принят",BK2986="Завершено",BK2986="ПриПро"),H2986-J2986,F2986-J2986)</f>
        <v>0</v>
      </c>
      <c r="O2986" s="134"/>
      <c r="P2986" s="133"/>
      <c r="Q2986" s="2"/>
      <c r="R2986" s="156">
        <f t="shared" si="335"/>
        <v>0</v>
      </c>
      <c r="S2986" s="156">
        <f t="shared" si="336"/>
        <v>0</v>
      </c>
      <c r="T2986" s="133"/>
      <c r="U2986" s="133"/>
      <c r="V2986" s="133"/>
      <c r="W2986" s="133"/>
      <c r="X2986" s="133"/>
      <c r="Y2986" s="133"/>
      <c r="Z2986" s="133"/>
      <c r="AA2986" s="133"/>
      <c r="AB2986" s="133"/>
      <c r="AC2986" s="133"/>
      <c r="AD2986" s="133"/>
      <c r="AE2986" s="133"/>
      <c r="AF2986" s="133"/>
      <c r="AG2986" s="133"/>
      <c r="AH2986" s="133"/>
      <c r="AI2986" s="133"/>
      <c r="AJ2986" s="133"/>
      <c r="AK2986" s="133"/>
      <c r="AL2986" s="133"/>
      <c r="AM2986" s="133"/>
      <c r="AN2986" s="133"/>
      <c r="AO2986" s="133"/>
      <c r="AP2986" s="133"/>
      <c r="AQ2986" s="133"/>
      <c r="AR2986" s="133"/>
      <c r="AS2986" s="153">
        <v>0</v>
      </c>
      <c r="AT2986" s="153">
        <v>0</v>
      </c>
      <c r="AU2986" s="153">
        <v>0</v>
      </c>
      <c r="AV2986" s="135"/>
      <c r="AW2986" s="135"/>
      <c r="AX2986" s="135"/>
      <c r="AY2986" s="135"/>
      <c r="AZ2986" s="135"/>
      <c r="BA2986" s="135"/>
      <c r="BB2986" s="135"/>
      <c r="BC2986" s="135"/>
      <c r="BD2986" s="135"/>
      <c r="BE2986" s="135"/>
      <c r="BF2986" s="135"/>
      <c r="BG2986" s="135"/>
      <c r="BH2986" s="135"/>
      <c r="BI2986" s="2"/>
      <c r="BJ2986" s="136"/>
      <c r="BK2986" s="2"/>
      <c r="BL2986" s="136"/>
      <c r="BM2986" s="136"/>
      <c r="BN2986" s="2"/>
      <c r="BO2986" s="2"/>
      <c r="BP2986" s="136"/>
      <c r="BQ2986" s="137"/>
    </row>
    <row r="2987" spans="1:69" ht="12.75" customHeight="1" x14ac:dyDescent="0.2">
      <c r="A2987" s="2">
        <v>4476</v>
      </c>
      <c r="B2987" s="2"/>
      <c r="C2987" s="2"/>
      <c r="D2987" s="2"/>
      <c r="E2987" s="2"/>
      <c r="F2987" s="132">
        <v>0</v>
      </c>
      <c r="G2987" s="132"/>
      <c r="H2987" s="132">
        <f t="shared" si="332"/>
        <v>0</v>
      </c>
      <c r="I2987" s="132"/>
      <c r="J2987" s="132">
        <f t="shared" si="337"/>
        <v>0</v>
      </c>
      <c r="K2987" s="132">
        <f t="shared" si="333"/>
        <v>0</v>
      </c>
      <c r="L2987" s="132">
        <f t="shared" si="334"/>
        <v>0</v>
      </c>
      <c r="M2987" s="133"/>
      <c r="N2987" s="133">
        <f t="shared" si="338"/>
        <v>0</v>
      </c>
      <c r="O2987" s="134"/>
      <c r="P2987" s="133"/>
      <c r="Q2987" s="2"/>
      <c r="R2987" s="156">
        <f t="shared" si="335"/>
        <v>0</v>
      </c>
      <c r="S2987" s="156">
        <f t="shared" si="336"/>
        <v>0</v>
      </c>
      <c r="T2987" s="133"/>
      <c r="U2987" s="133"/>
      <c r="V2987" s="133"/>
      <c r="W2987" s="133"/>
      <c r="X2987" s="133"/>
      <c r="Y2987" s="133"/>
      <c r="Z2987" s="133"/>
      <c r="AA2987" s="133"/>
      <c r="AB2987" s="133"/>
      <c r="AC2987" s="133"/>
      <c r="AD2987" s="133"/>
      <c r="AE2987" s="133"/>
      <c r="AF2987" s="133"/>
      <c r="AG2987" s="133"/>
      <c r="AH2987" s="133"/>
      <c r="AI2987" s="133"/>
      <c r="AJ2987" s="133"/>
      <c r="AK2987" s="133"/>
      <c r="AL2987" s="133"/>
      <c r="AM2987" s="133"/>
      <c r="AN2987" s="133"/>
      <c r="AO2987" s="133"/>
      <c r="AP2987" s="133"/>
      <c r="AQ2987" s="133"/>
      <c r="AR2987" s="133"/>
      <c r="AS2987" s="153">
        <v>0</v>
      </c>
      <c r="AT2987" s="153">
        <v>0</v>
      </c>
      <c r="AU2987" s="153">
        <v>0</v>
      </c>
      <c r="AV2987" s="135"/>
      <c r="AW2987" s="135"/>
      <c r="AX2987" s="135"/>
      <c r="AY2987" s="135"/>
      <c r="AZ2987" s="135"/>
      <c r="BA2987" s="135"/>
      <c r="BB2987" s="135"/>
      <c r="BC2987" s="135"/>
      <c r="BD2987" s="135"/>
      <c r="BE2987" s="135"/>
      <c r="BF2987" s="135"/>
      <c r="BG2987" s="135"/>
      <c r="BH2987" s="135"/>
      <c r="BI2987" s="2"/>
      <c r="BJ2987" s="136"/>
      <c r="BK2987" s="2"/>
      <c r="BL2987" s="136"/>
      <c r="BM2987" s="136"/>
      <c r="BN2987" s="2"/>
      <c r="BO2987" s="2"/>
      <c r="BP2987" s="136"/>
      <c r="BQ2987" s="137"/>
    </row>
    <row r="2988" spans="1:69" ht="12.75" customHeight="1" x14ac:dyDescent="0.2">
      <c r="A2988" s="2">
        <v>4477</v>
      </c>
      <c r="B2988" s="2"/>
      <c r="C2988" s="2"/>
      <c r="D2988" s="2"/>
      <c r="E2988" s="2"/>
      <c r="F2988" s="132">
        <v>0</v>
      </c>
      <c r="G2988" s="132"/>
      <c r="H2988" s="132">
        <f t="shared" si="332"/>
        <v>0</v>
      </c>
      <c r="I2988" s="132"/>
      <c r="J2988" s="132">
        <f t="shared" si="337"/>
        <v>0</v>
      </c>
      <c r="K2988" s="132">
        <f t="shared" si="333"/>
        <v>0</v>
      </c>
      <c r="L2988" s="132">
        <f t="shared" si="334"/>
        <v>0</v>
      </c>
      <c r="M2988" s="133"/>
      <c r="N2988" s="133">
        <f t="shared" si="338"/>
        <v>0</v>
      </c>
      <c r="O2988" s="134"/>
      <c r="P2988" s="133"/>
      <c r="Q2988" s="2"/>
      <c r="R2988" s="156">
        <f t="shared" si="335"/>
        <v>0</v>
      </c>
      <c r="S2988" s="156">
        <f t="shared" si="336"/>
        <v>0</v>
      </c>
      <c r="T2988" s="133"/>
      <c r="U2988" s="133"/>
      <c r="V2988" s="133"/>
      <c r="W2988" s="133"/>
      <c r="X2988" s="133"/>
      <c r="Y2988" s="133"/>
      <c r="Z2988" s="133"/>
      <c r="AA2988" s="133"/>
      <c r="AB2988" s="133"/>
      <c r="AC2988" s="133"/>
      <c r="AD2988" s="133"/>
      <c r="AE2988" s="133"/>
      <c r="AF2988" s="133"/>
      <c r="AG2988" s="133"/>
      <c r="AH2988" s="133"/>
      <c r="AI2988" s="133"/>
      <c r="AJ2988" s="133"/>
      <c r="AK2988" s="133"/>
      <c r="AL2988" s="133"/>
      <c r="AM2988" s="133"/>
      <c r="AN2988" s="133"/>
      <c r="AO2988" s="133"/>
      <c r="AP2988" s="133"/>
      <c r="AQ2988" s="133"/>
      <c r="AR2988" s="133"/>
      <c r="AS2988" s="153">
        <v>0</v>
      </c>
      <c r="AT2988" s="153">
        <v>0</v>
      </c>
      <c r="AU2988" s="153">
        <v>0</v>
      </c>
      <c r="AV2988" s="135"/>
      <c r="AW2988" s="135"/>
      <c r="AX2988" s="135"/>
      <c r="AY2988" s="135"/>
      <c r="AZ2988" s="135"/>
      <c r="BA2988" s="135"/>
      <c r="BB2988" s="135"/>
      <c r="BC2988" s="135"/>
      <c r="BD2988" s="135"/>
      <c r="BE2988" s="135"/>
      <c r="BF2988" s="135"/>
      <c r="BG2988" s="135"/>
      <c r="BH2988" s="135"/>
      <c r="BI2988" s="2"/>
      <c r="BJ2988" s="136"/>
      <c r="BK2988" s="2"/>
      <c r="BL2988" s="136"/>
      <c r="BM2988" s="136"/>
      <c r="BN2988" s="2"/>
      <c r="BO2988" s="2"/>
      <c r="BP2988" s="136"/>
      <c r="BQ2988" s="137"/>
    </row>
    <row r="2989" spans="1:69" ht="12.75" customHeight="1" x14ac:dyDescent="0.2">
      <c r="A2989" s="2">
        <v>4478</v>
      </c>
      <c r="B2989" s="2"/>
      <c r="C2989" s="2"/>
      <c r="D2989" s="2"/>
      <c r="E2989" s="2"/>
      <c r="F2989" s="132">
        <v>0</v>
      </c>
      <c r="G2989" s="132"/>
      <c r="H2989" s="132">
        <f t="shared" si="332"/>
        <v>0</v>
      </c>
      <c r="I2989" s="132"/>
      <c r="J2989" s="132">
        <f t="shared" si="337"/>
        <v>0</v>
      </c>
      <c r="K2989" s="132">
        <f t="shared" si="333"/>
        <v>0</v>
      </c>
      <c r="L2989" s="132">
        <f t="shared" si="334"/>
        <v>0</v>
      </c>
      <c r="M2989" s="133"/>
      <c r="N2989" s="133">
        <f t="shared" si="338"/>
        <v>0</v>
      </c>
      <c r="O2989" s="134"/>
      <c r="P2989" s="133"/>
      <c r="Q2989" s="2"/>
      <c r="R2989" s="156">
        <f t="shared" si="335"/>
        <v>0</v>
      </c>
      <c r="S2989" s="156">
        <f t="shared" si="336"/>
        <v>0</v>
      </c>
      <c r="T2989" s="133"/>
      <c r="U2989" s="133"/>
      <c r="V2989" s="133"/>
      <c r="W2989" s="133"/>
      <c r="X2989" s="133"/>
      <c r="Y2989" s="133"/>
      <c r="Z2989" s="133"/>
      <c r="AA2989" s="133"/>
      <c r="AB2989" s="133"/>
      <c r="AC2989" s="133"/>
      <c r="AD2989" s="133"/>
      <c r="AE2989" s="133"/>
      <c r="AF2989" s="133"/>
      <c r="AG2989" s="133"/>
      <c r="AH2989" s="133"/>
      <c r="AI2989" s="133"/>
      <c r="AJ2989" s="133"/>
      <c r="AK2989" s="133"/>
      <c r="AL2989" s="133"/>
      <c r="AM2989" s="133"/>
      <c r="AN2989" s="133"/>
      <c r="AO2989" s="133"/>
      <c r="AP2989" s="133"/>
      <c r="AQ2989" s="133"/>
      <c r="AR2989" s="133"/>
      <c r="AS2989" s="153">
        <v>0</v>
      </c>
      <c r="AT2989" s="153">
        <v>0</v>
      </c>
      <c r="AU2989" s="153">
        <v>0</v>
      </c>
      <c r="AV2989" s="135"/>
      <c r="AW2989" s="135"/>
      <c r="AX2989" s="135"/>
      <c r="AY2989" s="135"/>
      <c r="AZ2989" s="135"/>
      <c r="BA2989" s="135"/>
      <c r="BB2989" s="135"/>
      <c r="BC2989" s="135"/>
      <c r="BD2989" s="135"/>
      <c r="BE2989" s="135"/>
      <c r="BF2989" s="135"/>
      <c r="BG2989" s="135"/>
      <c r="BH2989" s="135"/>
      <c r="BI2989" s="2"/>
      <c r="BJ2989" s="136"/>
      <c r="BK2989" s="2"/>
      <c r="BL2989" s="136"/>
      <c r="BM2989" s="136"/>
      <c r="BN2989" s="2"/>
      <c r="BO2989" s="2"/>
      <c r="BP2989" s="136"/>
      <c r="BQ2989" s="137"/>
    </row>
    <row r="2990" spans="1:69" ht="12.75" customHeight="1" x14ac:dyDescent="0.2">
      <c r="A2990" s="2">
        <v>4479</v>
      </c>
      <c r="B2990" s="2"/>
      <c r="C2990" s="2"/>
      <c r="D2990" s="2"/>
      <c r="E2990" s="2"/>
      <c r="F2990" s="132">
        <v>0</v>
      </c>
      <c r="G2990" s="132"/>
      <c r="H2990" s="132">
        <f t="shared" ref="H2990:H3053" si="339">R2990</f>
        <v>0</v>
      </c>
      <c r="I2990" s="132"/>
      <c r="J2990" s="132">
        <f t="shared" si="337"/>
        <v>0</v>
      </c>
      <c r="K2990" s="132">
        <f t="shared" si="333"/>
        <v>0</v>
      </c>
      <c r="L2990" s="132">
        <f t="shared" si="334"/>
        <v>0</v>
      </c>
      <c r="M2990" s="133"/>
      <c r="N2990" s="133">
        <f t="shared" si="338"/>
        <v>0</v>
      </c>
      <c r="O2990" s="134"/>
      <c r="P2990" s="133"/>
      <c r="Q2990" s="2"/>
      <c r="R2990" s="156">
        <f t="shared" si="335"/>
        <v>0</v>
      </c>
      <c r="S2990" s="156">
        <f t="shared" si="336"/>
        <v>0</v>
      </c>
      <c r="T2990" s="133"/>
      <c r="U2990" s="133"/>
      <c r="V2990" s="133"/>
      <c r="W2990" s="133"/>
      <c r="X2990" s="133"/>
      <c r="Y2990" s="133"/>
      <c r="Z2990" s="133"/>
      <c r="AA2990" s="133"/>
      <c r="AB2990" s="133"/>
      <c r="AC2990" s="133"/>
      <c r="AD2990" s="133"/>
      <c r="AE2990" s="133"/>
      <c r="AF2990" s="133"/>
      <c r="AG2990" s="133"/>
      <c r="AH2990" s="133"/>
      <c r="AI2990" s="133"/>
      <c r="AJ2990" s="133"/>
      <c r="AK2990" s="133"/>
      <c r="AL2990" s="133"/>
      <c r="AM2990" s="133"/>
      <c r="AN2990" s="133"/>
      <c r="AO2990" s="133"/>
      <c r="AP2990" s="133"/>
      <c r="AQ2990" s="133"/>
      <c r="AR2990" s="133"/>
      <c r="AS2990" s="153">
        <v>0</v>
      </c>
      <c r="AT2990" s="153">
        <v>0</v>
      </c>
      <c r="AU2990" s="153">
        <v>0</v>
      </c>
      <c r="AV2990" s="135"/>
      <c r="AW2990" s="135"/>
      <c r="AX2990" s="135"/>
      <c r="AY2990" s="135"/>
      <c r="AZ2990" s="135"/>
      <c r="BA2990" s="135"/>
      <c r="BB2990" s="135"/>
      <c r="BC2990" s="135"/>
      <c r="BD2990" s="135"/>
      <c r="BE2990" s="135"/>
      <c r="BF2990" s="135"/>
      <c r="BG2990" s="135"/>
      <c r="BH2990" s="135"/>
      <c r="BI2990" s="2"/>
      <c r="BJ2990" s="136"/>
      <c r="BK2990" s="2"/>
      <c r="BL2990" s="136"/>
      <c r="BM2990" s="136"/>
      <c r="BN2990" s="2"/>
      <c r="BO2990" s="2"/>
      <c r="BP2990" s="136"/>
      <c r="BQ2990" s="137"/>
    </row>
    <row r="2991" spans="1:69" ht="12.75" customHeight="1" x14ac:dyDescent="0.2">
      <c r="A2991" s="2">
        <v>4480</v>
      </c>
      <c r="B2991" s="2"/>
      <c r="C2991" s="2"/>
      <c r="D2991" s="2"/>
      <c r="E2991" s="2"/>
      <c r="F2991" s="132">
        <v>0</v>
      </c>
      <c r="G2991" s="132"/>
      <c r="H2991" s="132">
        <f t="shared" si="339"/>
        <v>0</v>
      </c>
      <c r="I2991" s="132"/>
      <c r="J2991" s="132">
        <f t="shared" si="337"/>
        <v>0</v>
      </c>
      <c r="K2991" s="132">
        <f t="shared" si="333"/>
        <v>0</v>
      </c>
      <c r="L2991" s="132">
        <f t="shared" si="334"/>
        <v>0</v>
      </c>
      <c r="M2991" s="133"/>
      <c r="N2991" s="133">
        <f t="shared" si="338"/>
        <v>0</v>
      </c>
      <c r="O2991" s="134"/>
      <c r="P2991" s="133"/>
      <c r="Q2991" s="2"/>
      <c r="R2991" s="156">
        <f t="shared" si="335"/>
        <v>0</v>
      </c>
      <c r="S2991" s="156">
        <f t="shared" si="336"/>
        <v>0</v>
      </c>
      <c r="T2991" s="133"/>
      <c r="U2991" s="133"/>
      <c r="V2991" s="133"/>
      <c r="W2991" s="133"/>
      <c r="X2991" s="133"/>
      <c r="Y2991" s="133"/>
      <c r="Z2991" s="133"/>
      <c r="AA2991" s="133"/>
      <c r="AB2991" s="133"/>
      <c r="AC2991" s="133"/>
      <c r="AD2991" s="133"/>
      <c r="AE2991" s="133"/>
      <c r="AF2991" s="133"/>
      <c r="AG2991" s="133"/>
      <c r="AH2991" s="133"/>
      <c r="AI2991" s="133"/>
      <c r="AJ2991" s="133"/>
      <c r="AK2991" s="133"/>
      <c r="AL2991" s="133"/>
      <c r="AM2991" s="133"/>
      <c r="AN2991" s="133"/>
      <c r="AO2991" s="133"/>
      <c r="AP2991" s="133"/>
      <c r="AQ2991" s="133"/>
      <c r="AR2991" s="133"/>
      <c r="AS2991" s="153">
        <v>0</v>
      </c>
      <c r="AT2991" s="153">
        <v>0</v>
      </c>
      <c r="AU2991" s="153">
        <v>0</v>
      </c>
      <c r="AV2991" s="135"/>
      <c r="AW2991" s="135"/>
      <c r="AX2991" s="135"/>
      <c r="AY2991" s="135"/>
      <c r="AZ2991" s="135"/>
      <c r="BA2991" s="135"/>
      <c r="BB2991" s="135"/>
      <c r="BC2991" s="135"/>
      <c r="BD2991" s="135"/>
      <c r="BE2991" s="135"/>
      <c r="BF2991" s="135"/>
      <c r="BG2991" s="135"/>
      <c r="BH2991" s="135"/>
      <c r="BI2991" s="2"/>
      <c r="BJ2991" s="136"/>
      <c r="BK2991" s="2"/>
      <c r="BL2991" s="136"/>
      <c r="BM2991" s="136"/>
      <c r="BN2991" s="2"/>
      <c r="BO2991" s="2"/>
      <c r="BP2991" s="136"/>
      <c r="BQ2991" s="137"/>
    </row>
    <row r="2992" spans="1:69" ht="12.75" customHeight="1" x14ac:dyDescent="0.2">
      <c r="A2992" s="2">
        <v>4481</v>
      </c>
      <c r="B2992" s="2"/>
      <c r="C2992" s="2"/>
      <c r="D2992" s="2"/>
      <c r="E2992" s="2"/>
      <c r="F2992" s="132">
        <v>0</v>
      </c>
      <c r="G2992" s="132"/>
      <c r="H2992" s="132">
        <f t="shared" si="339"/>
        <v>0</v>
      </c>
      <c r="I2992" s="132"/>
      <c r="J2992" s="132">
        <f t="shared" si="337"/>
        <v>0</v>
      </c>
      <c r="K2992" s="132">
        <f t="shared" si="333"/>
        <v>0</v>
      </c>
      <c r="L2992" s="132">
        <f t="shared" si="334"/>
        <v>0</v>
      </c>
      <c r="M2992" s="133"/>
      <c r="N2992" s="133">
        <f t="shared" si="338"/>
        <v>0</v>
      </c>
      <c r="O2992" s="134"/>
      <c r="P2992" s="133"/>
      <c r="Q2992" s="2"/>
      <c r="R2992" s="156">
        <f t="shared" si="335"/>
        <v>0</v>
      </c>
      <c r="S2992" s="156">
        <f t="shared" si="336"/>
        <v>0</v>
      </c>
      <c r="T2992" s="133"/>
      <c r="U2992" s="133"/>
      <c r="V2992" s="133"/>
      <c r="W2992" s="133"/>
      <c r="X2992" s="133"/>
      <c r="Y2992" s="133"/>
      <c r="Z2992" s="133"/>
      <c r="AA2992" s="133"/>
      <c r="AB2992" s="133"/>
      <c r="AC2992" s="133"/>
      <c r="AD2992" s="133"/>
      <c r="AE2992" s="133"/>
      <c r="AF2992" s="133"/>
      <c r="AG2992" s="133"/>
      <c r="AH2992" s="133"/>
      <c r="AI2992" s="133"/>
      <c r="AJ2992" s="133"/>
      <c r="AK2992" s="133"/>
      <c r="AL2992" s="133"/>
      <c r="AM2992" s="133"/>
      <c r="AN2992" s="133"/>
      <c r="AO2992" s="133"/>
      <c r="AP2992" s="133"/>
      <c r="AQ2992" s="133"/>
      <c r="AR2992" s="133"/>
      <c r="AS2992" s="153">
        <v>0</v>
      </c>
      <c r="AT2992" s="153">
        <v>0</v>
      </c>
      <c r="AU2992" s="153">
        <v>0</v>
      </c>
      <c r="AV2992" s="135"/>
      <c r="AW2992" s="135"/>
      <c r="AX2992" s="135"/>
      <c r="AY2992" s="135"/>
      <c r="AZ2992" s="135"/>
      <c r="BA2992" s="135"/>
      <c r="BB2992" s="135"/>
      <c r="BC2992" s="135"/>
      <c r="BD2992" s="135"/>
      <c r="BE2992" s="135"/>
      <c r="BF2992" s="135"/>
      <c r="BG2992" s="135"/>
      <c r="BH2992" s="135"/>
      <c r="BI2992" s="2"/>
      <c r="BJ2992" s="136"/>
      <c r="BK2992" s="2"/>
      <c r="BL2992" s="136"/>
      <c r="BM2992" s="136"/>
      <c r="BN2992" s="2"/>
      <c r="BO2992" s="2"/>
      <c r="BP2992" s="136"/>
      <c r="BQ2992" s="137"/>
    </row>
    <row r="2993" spans="1:69" ht="12.75" customHeight="1" x14ac:dyDescent="0.2">
      <c r="A2993" s="2">
        <v>4482</v>
      </c>
      <c r="B2993" s="2"/>
      <c r="C2993" s="2"/>
      <c r="D2993" s="2"/>
      <c r="E2993" s="2"/>
      <c r="F2993" s="132">
        <v>0</v>
      </c>
      <c r="G2993" s="132"/>
      <c r="H2993" s="132">
        <f t="shared" si="339"/>
        <v>0</v>
      </c>
      <c r="I2993" s="132"/>
      <c r="J2993" s="132">
        <f t="shared" si="337"/>
        <v>0</v>
      </c>
      <c r="K2993" s="132">
        <f t="shared" si="333"/>
        <v>0</v>
      </c>
      <c r="L2993" s="132">
        <f t="shared" si="334"/>
        <v>0</v>
      </c>
      <c r="M2993" s="133"/>
      <c r="N2993" s="133">
        <f t="shared" si="338"/>
        <v>0</v>
      </c>
      <c r="O2993" s="134"/>
      <c r="P2993" s="133"/>
      <c r="Q2993" s="2"/>
      <c r="R2993" s="156">
        <f t="shared" si="335"/>
        <v>0</v>
      </c>
      <c r="S2993" s="156">
        <f t="shared" si="336"/>
        <v>0</v>
      </c>
      <c r="T2993" s="133"/>
      <c r="U2993" s="133"/>
      <c r="V2993" s="133"/>
      <c r="W2993" s="133"/>
      <c r="X2993" s="133"/>
      <c r="Y2993" s="133"/>
      <c r="Z2993" s="133"/>
      <c r="AA2993" s="133"/>
      <c r="AB2993" s="133"/>
      <c r="AC2993" s="133"/>
      <c r="AD2993" s="133"/>
      <c r="AE2993" s="133"/>
      <c r="AF2993" s="133"/>
      <c r="AG2993" s="133"/>
      <c r="AH2993" s="133"/>
      <c r="AI2993" s="133"/>
      <c r="AJ2993" s="133"/>
      <c r="AK2993" s="133"/>
      <c r="AL2993" s="133"/>
      <c r="AM2993" s="133"/>
      <c r="AN2993" s="133"/>
      <c r="AO2993" s="133"/>
      <c r="AP2993" s="133"/>
      <c r="AQ2993" s="133"/>
      <c r="AR2993" s="133"/>
      <c r="AS2993" s="153">
        <v>0</v>
      </c>
      <c r="AT2993" s="153">
        <v>0</v>
      </c>
      <c r="AU2993" s="153">
        <v>0</v>
      </c>
      <c r="AV2993" s="135"/>
      <c r="AW2993" s="135"/>
      <c r="AX2993" s="135"/>
      <c r="AY2993" s="135"/>
      <c r="AZ2993" s="135"/>
      <c r="BA2993" s="135"/>
      <c r="BB2993" s="135"/>
      <c r="BC2993" s="135"/>
      <c r="BD2993" s="135"/>
      <c r="BE2993" s="135"/>
      <c r="BF2993" s="135"/>
      <c r="BG2993" s="135"/>
      <c r="BH2993" s="135"/>
      <c r="BI2993" s="2"/>
      <c r="BJ2993" s="136"/>
      <c r="BK2993" s="2"/>
      <c r="BL2993" s="136"/>
      <c r="BM2993" s="136"/>
      <c r="BN2993" s="2"/>
      <c r="BO2993" s="2"/>
      <c r="BP2993" s="136"/>
      <c r="BQ2993" s="137"/>
    </row>
    <row r="2994" spans="1:69" ht="12.75" customHeight="1" x14ac:dyDescent="0.2">
      <c r="A2994" s="2">
        <v>4483</v>
      </c>
      <c r="B2994" s="2"/>
      <c r="C2994" s="2"/>
      <c r="D2994" s="2"/>
      <c r="E2994" s="2"/>
      <c r="F2994" s="132">
        <v>0</v>
      </c>
      <c r="G2994" s="132"/>
      <c r="H2994" s="132">
        <f t="shared" si="339"/>
        <v>0</v>
      </c>
      <c r="I2994" s="132"/>
      <c r="J2994" s="132">
        <f t="shared" si="337"/>
        <v>0</v>
      </c>
      <c r="K2994" s="132">
        <f t="shared" si="333"/>
        <v>0</v>
      </c>
      <c r="L2994" s="132">
        <f t="shared" si="334"/>
        <v>0</v>
      </c>
      <c r="M2994" s="133"/>
      <c r="N2994" s="133">
        <f t="shared" si="338"/>
        <v>0</v>
      </c>
      <c r="O2994" s="134"/>
      <c r="P2994" s="133"/>
      <c r="Q2994" s="2"/>
      <c r="R2994" s="156">
        <f t="shared" si="335"/>
        <v>0</v>
      </c>
      <c r="S2994" s="156">
        <f t="shared" si="336"/>
        <v>0</v>
      </c>
      <c r="T2994" s="133"/>
      <c r="U2994" s="133"/>
      <c r="V2994" s="133"/>
      <c r="W2994" s="133"/>
      <c r="X2994" s="133"/>
      <c r="Y2994" s="133"/>
      <c r="Z2994" s="133"/>
      <c r="AA2994" s="133"/>
      <c r="AB2994" s="133"/>
      <c r="AC2994" s="133"/>
      <c r="AD2994" s="133"/>
      <c r="AE2994" s="133"/>
      <c r="AF2994" s="133"/>
      <c r="AG2994" s="133"/>
      <c r="AH2994" s="133"/>
      <c r="AI2994" s="133"/>
      <c r="AJ2994" s="133"/>
      <c r="AK2994" s="133"/>
      <c r="AL2994" s="133"/>
      <c r="AM2994" s="133"/>
      <c r="AN2994" s="133"/>
      <c r="AO2994" s="133"/>
      <c r="AP2994" s="133"/>
      <c r="AQ2994" s="133"/>
      <c r="AR2994" s="133"/>
      <c r="AS2994" s="153">
        <v>0</v>
      </c>
      <c r="AT2994" s="153">
        <v>0</v>
      </c>
      <c r="AU2994" s="153">
        <v>0</v>
      </c>
      <c r="AV2994" s="135"/>
      <c r="AW2994" s="135"/>
      <c r="AX2994" s="135"/>
      <c r="AY2994" s="135"/>
      <c r="AZ2994" s="135"/>
      <c r="BA2994" s="135"/>
      <c r="BB2994" s="135"/>
      <c r="BC2994" s="135"/>
      <c r="BD2994" s="135"/>
      <c r="BE2994" s="135"/>
      <c r="BF2994" s="135"/>
      <c r="BG2994" s="135"/>
      <c r="BH2994" s="135"/>
      <c r="BI2994" s="2"/>
      <c r="BJ2994" s="136"/>
      <c r="BK2994" s="2"/>
      <c r="BL2994" s="136"/>
      <c r="BM2994" s="136"/>
      <c r="BN2994" s="2"/>
      <c r="BO2994" s="2"/>
      <c r="BP2994" s="136"/>
      <c r="BQ2994" s="137"/>
    </row>
    <row r="2995" spans="1:69" ht="12.75" customHeight="1" x14ac:dyDescent="0.2">
      <c r="A2995" s="2">
        <v>4484</v>
      </c>
      <c r="B2995" s="2"/>
      <c r="C2995" s="2"/>
      <c r="D2995" s="2"/>
      <c r="E2995" s="2"/>
      <c r="F2995" s="132">
        <v>0</v>
      </c>
      <c r="G2995" s="132"/>
      <c r="H2995" s="132">
        <f t="shared" si="339"/>
        <v>0</v>
      </c>
      <c r="I2995" s="132"/>
      <c r="J2995" s="132">
        <f t="shared" si="337"/>
        <v>0</v>
      </c>
      <c r="K2995" s="132">
        <f t="shared" si="333"/>
        <v>0</v>
      </c>
      <c r="L2995" s="132">
        <f t="shared" si="334"/>
        <v>0</v>
      </c>
      <c r="M2995" s="133"/>
      <c r="N2995" s="133">
        <f t="shared" si="338"/>
        <v>0</v>
      </c>
      <c r="O2995" s="134"/>
      <c r="P2995" s="133"/>
      <c r="Q2995" s="2"/>
      <c r="R2995" s="156">
        <f t="shared" si="335"/>
        <v>0</v>
      </c>
      <c r="S2995" s="156">
        <f t="shared" si="336"/>
        <v>0</v>
      </c>
      <c r="T2995" s="133"/>
      <c r="U2995" s="133"/>
      <c r="V2995" s="133"/>
      <c r="W2995" s="133"/>
      <c r="X2995" s="133"/>
      <c r="Y2995" s="133"/>
      <c r="Z2995" s="133"/>
      <c r="AA2995" s="133"/>
      <c r="AB2995" s="133"/>
      <c r="AC2995" s="133"/>
      <c r="AD2995" s="133"/>
      <c r="AE2995" s="133"/>
      <c r="AF2995" s="133"/>
      <c r="AG2995" s="133"/>
      <c r="AH2995" s="133"/>
      <c r="AI2995" s="133"/>
      <c r="AJ2995" s="133"/>
      <c r="AK2995" s="133"/>
      <c r="AL2995" s="133"/>
      <c r="AM2995" s="133"/>
      <c r="AN2995" s="133"/>
      <c r="AO2995" s="133"/>
      <c r="AP2995" s="133"/>
      <c r="AQ2995" s="133"/>
      <c r="AR2995" s="133"/>
      <c r="AS2995" s="153">
        <v>0</v>
      </c>
      <c r="AT2995" s="153">
        <v>0</v>
      </c>
      <c r="AU2995" s="153">
        <v>0</v>
      </c>
      <c r="AV2995" s="135"/>
      <c r="AW2995" s="135"/>
      <c r="AX2995" s="135"/>
      <c r="AY2995" s="135"/>
      <c r="AZ2995" s="135"/>
      <c r="BA2995" s="135"/>
      <c r="BB2995" s="135"/>
      <c r="BC2995" s="135"/>
      <c r="BD2995" s="135"/>
      <c r="BE2995" s="135"/>
      <c r="BF2995" s="135"/>
      <c r="BG2995" s="135"/>
      <c r="BH2995" s="135"/>
      <c r="BI2995" s="2"/>
      <c r="BJ2995" s="136"/>
      <c r="BK2995" s="2"/>
      <c r="BL2995" s="136"/>
      <c r="BM2995" s="136"/>
      <c r="BN2995" s="2"/>
      <c r="BO2995" s="2"/>
      <c r="BP2995" s="136"/>
      <c r="BQ2995" s="137"/>
    </row>
    <row r="2996" spans="1:69" ht="12.75" customHeight="1" x14ac:dyDescent="0.2">
      <c r="A2996" s="2">
        <v>4485</v>
      </c>
      <c r="B2996" s="2"/>
      <c r="C2996" s="2"/>
      <c r="D2996" s="2"/>
      <c r="E2996" s="2"/>
      <c r="F2996" s="132">
        <v>0</v>
      </c>
      <c r="G2996" s="132"/>
      <c r="H2996" s="132">
        <f t="shared" si="339"/>
        <v>0</v>
      </c>
      <c r="I2996" s="132"/>
      <c r="J2996" s="132">
        <f t="shared" si="337"/>
        <v>0</v>
      </c>
      <c r="K2996" s="132">
        <f t="shared" si="333"/>
        <v>0</v>
      </c>
      <c r="L2996" s="132">
        <f t="shared" si="334"/>
        <v>0</v>
      </c>
      <c r="M2996" s="133"/>
      <c r="N2996" s="133">
        <f t="shared" si="338"/>
        <v>0</v>
      </c>
      <c r="O2996" s="134"/>
      <c r="P2996" s="133"/>
      <c r="Q2996" s="2"/>
      <c r="R2996" s="156">
        <f t="shared" si="335"/>
        <v>0</v>
      </c>
      <c r="S2996" s="156">
        <f t="shared" si="336"/>
        <v>0</v>
      </c>
      <c r="T2996" s="133"/>
      <c r="U2996" s="133"/>
      <c r="V2996" s="133"/>
      <c r="W2996" s="133"/>
      <c r="X2996" s="133"/>
      <c r="Y2996" s="133"/>
      <c r="Z2996" s="133"/>
      <c r="AA2996" s="133"/>
      <c r="AB2996" s="133"/>
      <c r="AC2996" s="133"/>
      <c r="AD2996" s="133"/>
      <c r="AE2996" s="133"/>
      <c r="AF2996" s="133"/>
      <c r="AG2996" s="133"/>
      <c r="AH2996" s="133"/>
      <c r="AI2996" s="133"/>
      <c r="AJ2996" s="133"/>
      <c r="AK2996" s="133"/>
      <c r="AL2996" s="133"/>
      <c r="AM2996" s="133"/>
      <c r="AN2996" s="133"/>
      <c r="AO2996" s="133"/>
      <c r="AP2996" s="133"/>
      <c r="AQ2996" s="133"/>
      <c r="AR2996" s="133"/>
      <c r="AS2996" s="153">
        <v>0</v>
      </c>
      <c r="AT2996" s="153">
        <v>0</v>
      </c>
      <c r="AU2996" s="153">
        <v>0</v>
      </c>
      <c r="AV2996" s="135"/>
      <c r="AW2996" s="135"/>
      <c r="AX2996" s="135"/>
      <c r="AY2996" s="135"/>
      <c r="AZ2996" s="135"/>
      <c r="BA2996" s="135"/>
      <c r="BB2996" s="135"/>
      <c r="BC2996" s="135"/>
      <c r="BD2996" s="135"/>
      <c r="BE2996" s="135"/>
      <c r="BF2996" s="135"/>
      <c r="BG2996" s="135"/>
      <c r="BH2996" s="135"/>
      <c r="BI2996" s="2"/>
      <c r="BJ2996" s="136"/>
      <c r="BK2996" s="2"/>
      <c r="BL2996" s="136"/>
      <c r="BM2996" s="136"/>
      <c r="BN2996" s="2"/>
      <c r="BO2996" s="2"/>
      <c r="BP2996" s="136"/>
      <c r="BQ2996" s="137"/>
    </row>
    <row r="2997" spans="1:69" ht="12.75" customHeight="1" x14ac:dyDescent="0.2">
      <c r="A2997" s="2">
        <v>4486</v>
      </c>
      <c r="B2997" s="2"/>
      <c r="C2997" s="2"/>
      <c r="D2997" s="2"/>
      <c r="E2997" s="2"/>
      <c r="F2997" s="132">
        <v>0</v>
      </c>
      <c r="G2997" s="132"/>
      <c r="H2997" s="132">
        <f t="shared" si="339"/>
        <v>0</v>
      </c>
      <c r="I2997" s="132"/>
      <c r="J2997" s="132">
        <f t="shared" si="337"/>
        <v>0</v>
      </c>
      <c r="K2997" s="132">
        <f t="shared" si="333"/>
        <v>0</v>
      </c>
      <c r="L2997" s="132">
        <f t="shared" si="334"/>
        <v>0</v>
      </c>
      <c r="M2997" s="133"/>
      <c r="N2997" s="133">
        <f t="shared" si="338"/>
        <v>0</v>
      </c>
      <c r="O2997" s="134"/>
      <c r="P2997" s="133"/>
      <c r="Q2997" s="2"/>
      <c r="R2997" s="156">
        <f t="shared" si="335"/>
        <v>0</v>
      </c>
      <c r="S2997" s="156">
        <f t="shared" si="336"/>
        <v>0</v>
      </c>
      <c r="T2997" s="133"/>
      <c r="U2997" s="133"/>
      <c r="V2997" s="133"/>
      <c r="W2997" s="133"/>
      <c r="X2997" s="133"/>
      <c r="Y2997" s="133"/>
      <c r="Z2997" s="133"/>
      <c r="AA2997" s="133"/>
      <c r="AB2997" s="133"/>
      <c r="AC2997" s="133"/>
      <c r="AD2997" s="133"/>
      <c r="AE2997" s="133"/>
      <c r="AF2997" s="133"/>
      <c r="AG2997" s="133"/>
      <c r="AH2997" s="133"/>
      <c r="AI2997" s="133"/>
      <c r="AJ2997" s="133"/>
      <c r="AK2997" s="133"/>
      <c r="AL2997" s="133"/>
      <c r="AM2997" s="133"/>
      <c r="AN2997" s="133"/>
      <c r="AO2997" s="133"/>
      <c r="AP2997" s="133"/>
      <c r="AQ2997" s="133"/>
      <c r="AR2997" s="133"/>
      <c r="AS2997" s="153">
        <v>0</v>
      </c>
      <c r="AT2997" s="153">
        <v>0</v>
      </c>
      <c r="AU2997" s="153">
        <v>0</v>
      </c>
      <c r="AV2997" s="135"/>
      <c r="AW2997" s="135"/>
      <c r="AX2997" s="135"/>
      <c r="AY2997" s="135"/>
      <c r="AZ2997" s="135"/>
      <c r="BA2997" s="135"/>
      <c r="BB2997" s="135"/>
      <c r="BC2997" s="135"/>
      <c r="BD2997" s="135"/>
      <c r="BE2997" s="135"/>
      <c r="BF2997" s="135"/>
      <c r="BG2997" s="135"/>
      <c r="BH2997" s="135"/>
      <c r="BI2997" s="2"/>
      <c r="BJ2997" s="136"/>
      <c r="BK2997" s="2"/>
      <c r="BL2997" s="136"/>
      <c r="BM2997" s="136"/>
      <c r="BN2997" s="2"/>
      <c r="BO2997" s="2"/>
      <c r="BP2997" s="136"/>
      <c r="BQ2997" s="137"/>
    </row>
    <row r="2998" spans="1:69" ht="12.75" customHeight="1" x14ac:dyDescent="0.2">
      <c r="A2998" s="2">
        <v>4487</v>
      </c>
      <c r="B2998" s="2"/>
      <c r="C2998" s="2"/>
      <c r="D2998" s="2"/>
      <c r="E2998" s="2"/>
      <c r="F2998" s="132">
        <v>0</v>
      </c>
      <c r="G2998" s="132"/>
      <c r="H2998" s="132">
        <f t="shared" si="339"/>
        <v>0</v>
      </c>
      <c r="I2998" s="132"/>
      <c r="J2998" s="132">
        <f t="shared" si="337"/>
        <v>0</v>
      </c>
      <c r="K2998" s="132">
        <f t="shared" ref="K2998:K3061" si="340">F2998-J2998</f>
        <v>0</v>
      </c>
      <c r="L2998" s="132">
        <f t="shared" si="334"/>
        <v>0</v>
      </c>
      <c r="M2998" s="133"/>
      <c r="N2998" s="133">
        <f t="shared" si="338"/>
        <v>0</v>
      </c>
      <c r="O2998" s="134"/>
      <c r="P2998" s="133"/>
      <c r="Q2998" s="2"/>
      <c r="R2998" s="156">
        <f t="shared" si="335"/>
        <v>0</v>
      </c>
      <c r="S2998" s="156">
        <f t="shared" si="336"/>
        <v>0</v>
      </c>
      <c r="T2998" s="133"/>
      <c r="U2998" s="133"/>
      <c r="V2998" s="133"/>
      <c r="W2998" s="133"/>
      <c r="X2998" s="133"/>
      <c r="Y2998" s="133"/>
      <c r="Z2998" s="133"/>
      <c r="AA2998" s="133"/>
      <c r="AB2998" s="133"/>
      <c r="AC2998" s="133"/>
      <c r="AD2998" s="133"/>
      <c r="AE2998" s="133"/>
      <c r="AF2998" s="133"/>
      <c r="AG2998" s="133"/>
      <c r="AH2998" s="133"/>
      <c r="AI2998" s="133"/>
      <c r="AJ2998" s="133"/>
      <c r="AK2998" s="133"/>
      <c r="AL2998" s="133"/>
      <c r="AM2998" s="133"/>
      <c r="AN2998" s="133"/>
      <c r="AO2998" s="133"/>
      <c r="AP2998" s="133"/>
      <c r="AQ2998" s="133"/>
      <c r="AR2998" s="133"/>
      <c r="AS2998" s="153">
        <v>0</v>
      </c>
      <c r="AT2998" s="153">
        <v>0</v>
      </c>
      <c r="AU2998" s="153">
        <v>0</v>
      </c>
      <c r="AV2998" s="135"/>
      <c r="AW2998" s="135"/>
      <c r="AX2998" s="135"/>
      <c r="AY2998" s="135"/>
      <c r="AZ2998" s="135"/>
      <c r="BA2998" s="135"/>
      <c r="BB2998" s="135"/>
      <c r="BC2998" s="135"/>
      <c r="BD2998" s="135"/>
      <c r="BE2998" s="135"/>
      <c r="BF2998" s="135"/>
      <c r="BG2998" s="135"/>
      <c r="BH2998" s="135"/>
      <c r="BI2998" s="2"/>
      <c r="BJ2998" s="136"/>
      <c r="BK2998" s="2"/>
      <c r="BL2998" s="136"/>
      <c r="BM2998" s="136"/>
      <c r="BN2998" s="2"/>
      <c r="BO2998" s="2"/>
      <c r="BP2998" s="136"/>
      <c r="BQ2998" s="137"/>
    </row>
    <row r="2999" spans="1:69" ht="12.75" customHeight="1" x14ac:dyDescent="0.2">
      <c r="A2999" s="2">
        <v>4488</v>
      </c>
      <c r="B2999" s="2"/>
      <c r="C2999" s="2"/>
      <c r="D2999" s="2"/>
      <c r="E2999" s="2"/>
      <c r="F2999" s="132">
        <v>0</v>
      </c>
      <c r="G2999" s="132"/>
      <c r="H2999" s="132">
        <f t="shared" si="339"/>
        <v>0</v>
      </c>
      <c r="I2999" s="132"/>
      <c r="J2999" s="132">
        <f t="shared" si="337"/>
        <v>0</v>
      </c>
      <c r="K2999" s="132">
        <f t="shared" si="340"/>
        <v>0</v>
      </c>
      <c r="L2999" s="132">
        <f t="shared" si="334"/>
        <v>0</v>
      </c>
      <c r="M2999" s="133"/>
      <c r="N2999" s="133">
        <f t="shared" si="338"/>
        <v>0</v>
      </c>
      <c r="O2999" s="134"/>
      <c r="P2999" s="133"/>
      <c r="Q2999" s="2"/>
      <c r="R2999" s="156">
        <f t="shared" si="335"/>
        <v>0</v>
      </c>
      <c r="S2999" s="156">
        <f t="shared" si="336"/>
        <v>0</v>
      </c>
      <c r="T2999" s="133"/>
      <c r="U2999" s="133"/>
      <c r="V2999" s="133"/>
      <c r="W2999" s="133"/>
      <c r="X2999" s="133"/>
      <c r="Y2999" s="133"/>
      <c r="Z2999" s="133"/>
      <c r="AA2999" s="133"/>
      <c r="AB2999" s="133"/>
      <c r="AC2999" s="133"/>
      <c r="AD2999" s="133"/>
      <c r="AE2999" s="133"/>
      <c r="AF2999" s="133"/>
      <c r="AG2999" s="133"/>
      <c r="AH2999" s="133"/>
      <c r="AI2999" s="133"/>
      <c r="AJ2999" s="133"/>
      <c r="AK2999" s="133"/>
      <c r="AL2999" s="133"/>
      <c r="AM2999" s="133"/>
      <c r="AN2999" s="133"/>
      <c r="AO2999" s="133"/>
      <c r="AP2999" s="133"/>
      <c r="AQ2999" s="133"/>
      <c r="AR2999" s="133"/>
      <c r="AS2999" s="153">
        <v>0</v>
      </c>
      <c r="AT2999" s="153">
        <v>0</v>
      </c>
      <c r="AU2999" s="153">
        <v>0</v>
      </c>
      <c r="AV2999" s="135"/>
      <c r="AW2999" s="135"/>
      <c r="AX2999" s="135"/>
      <c r="AY2999" s="135"/>
      <c r="AZ2999" s="135"/>
      <c r="BA2999" s="135"/>
      <c r="BB2999" s="135"/>
      <c r="BC2999" s="135"/>
      <c r="BD2999" s="135"/>
      <c r="BE2999" s="135"/>
      <c r="BF2999" s="135"/>
      <c r="BG2999" s="135"/>
      <c r="BH2999" s="135"/>
      <c r="BI2999" s="2"/>
      <c r="BJ2999" s="136"/>
      <c r="BK2999" s="2"/>
      <c r="BL2999" s="136"/>
      <c r="BM2999" s="136"/>
      <c r="BN2999" s="2"/>
      <c r="BO2999" s="2"/>
      <c r="BP2999" s="136"/>
      <c r="BQ2999" s="137"/>
    </row>
    <row r="3000" spans="1:69" ht="12.75" customHeight="1" x14ac:dyDescent="0.2">
      <c r="A3000" s="2">
        <v>4489</v>
      </c>
      <c r="B3000" s="2"/>
      <c r="C3000" s="2"/>
      <c r="D3000" s="2"/>
      <c r="E3000" s="2"/>
      <c r="F3000" s="132">
        <v>0</v>
      </c>
      <c r="G3000" s="132"/>
      <c r="H3000" s="132">
        <f t="shared" si="339"/>
        <v>0</v>
      </c>
      <c r="I3000" s="132"/>
      <c r="J3000" s="132">
        <f t="shared" si="337"/>
        <v>0</v>
      </c>
      <c r="K3000" s="132">
        <f t="shared" si="340"/>
        <v>0</v>
      </c>
      <c r="L3000" s="132">
        <f t="shared" si="334"/>
        <v>0</v>
      </c>
      <c r="M3000" s="133"/>
      <c r="N3000" s="133">
        <f t="shared" si="338"/>
        <v>0</v>
      </c>
      <c r="O3000" s="134"/>
      <c r="P3000" s="133"/>
      <c r="Q3000" s="2"/>
      <c r="R3000" s="156">
        <f t="shared" si="335"/>
        <v>0</v>
      </c>
      <c r="S3000" s="156">
        <f t="shared" si="336"/>
        <v>0</v>
      </c>
      <c r="T3000" s="133"/>
      <c r="U3000" s="133"/>
      <c r="V3000" s="133"/>
      <c r="W3000" s="133"/>
      <c r="X3000" s="133"/>
      <c r="Y3000" s="133"/>
      <c r="Z3000" s="133"/>
      <c r="AA3000" s="133"/>
      <c r="AB3000" s="133"/>
      <c r="AC3000" s="133"/>
      <c r="AD3000" s="133"/>
      <c r="AE3000" s="133"/>
      <c r="AF3000" s="133"/>
      <c r="AG3000" s="133"/>
      <c r="AH3000" s="133"/>
      <c r="AI3000" s="133"/>
      <c r="AJ3000" s="133"/>
      <c r="AK3000" s="133"/>
      <c r="AL3000" s="133"/>
      <c r="AM3000" s="133"/>
      <c r="AN3000" s="133"/>
      <c r="AO3000" s="133"/>
      <c r="AP3000" s="133"/>
      <c r="AQ3000" s="133"/>
      <c r="AR3000" s="133"/>
      <c r="AS3000" s="153">
        <v>0</v>
      </c>
      <c r="AT3000" s="153">
        <v>0</v>
      </c>
      <c r="AU3000" s="153">
        <v>0</v>
      </c>
      <c r="AV3000" s="135"/>
      <c r="AW3000" s="135"/>
      <c r="AX3000" s="135"/>
      <c r="AY3000" s="135"/>
      <c r="AZ3000" s="135"/>
      <c r="BA3000" s="135"/>
      <c r="BB3000" s="135"/>
      <c r="BC3000" s="135"/>
      <c r="BD3000" s="135"/>
      <c r="BE3000" s="135"/>
      <c r="BF3000" s="135"/>
      <c r="BG3000" s="135"/>
      <c r="BH3000" s="135"/>
      <c r="BI3000" s="2"/>
      <c r="BJ3000" s="136"/>
      <c r="BK3000" s="2"/>
      <c r="BL3000" s="136"/>
      <c r="BM3000" s="136"/>
      <c r="BN3000" s="2"/>
      <c r="BO3000" s="2"/>
      <c r="BP3000" s="136"/>
      <c r="BQ3000" s="137"/>
    </row>
    <row r="3001" spans="1:69" ht="12.75" customHeight="1" x14ac:dyDescent="0.2">
      <c r="A3001" s="2">
        <v>4490</v>
      </c>
      <c r="B3001" s="2"/>
      <c r="C3001" s="2"/>
      <c r="D3001" s="2"/>
      <c r="E3001" s="2"/>
      <c r="F3001" s="132">
        <v>0</v>
      </c>
      <c r="G3001" s="132"/>
      <c r="H3001" s="132">
        <f t="shared" si="339"/>
        <v>0</v>
      </c>
      <c r="I3001" s="132"/>
      <c r="J3001" s="132">
        <f t="shared" si="337"/>
        <v>0</v>
      </c>
      <c r="K3001" s="132">
        <f t="shared" si="340"/>
        <v>0</v>
      </c>
      <c r="L3001" s="132">
        <f t="shared" si="334"/>
        <v>0</v>
      </c>
      <c r="M3001" s="133"/>
      <c r="N3001" s="133">
        <f t="shared" si="338"/>
        <v>0</v>
      </c>
      <c r="O3001" s="134"/>
      <c r="P3001" s="133"/>
      <c r="Q3001" s="2"/>
      <c r="R3001" s="156">
        <f t="shared" si="335"/>
        <v>0</v>
      </c>
      <c r="S3001" s="156">
        <f t="shared" si="336"/>
        <v>0</v>
      </c>
      <c r="T3001" s="133"/>
      <c r="U3001" s="133"/>
      <c r="V3001" s="133"/>
      <c r="W3001" s="133"/>
      <c r="X3001" s="133"/>
      <c r="Y3001" s="133"/>
      <c r="Z3001" s="133"/>
      <c r="AA3001" s="133"/>
      <c r="AB3001" s="133"/>
      <c r="AC3001" s="133"/>
      <c r="AD3001" s="133"/>
      <c r="AE3001" s="133"/>
      <c r="AF3001" s="133"/>
      <c r="AG3001" s="133"/>
      <c r="AH3001" s="133"/>
      <c r="AI3001" s="133"/>
      <c r="AJ3001" s="133"/>
      <c r="AK3001" s="133"/>
      <c r="AL3001" s="133"/>
      <c r="AM3001" s="133"/>
      <c r="AN3001" s="133"/>
      <c r="AO3001" s="133"/>
      <c r="AP3001" s="133"/>
      <c r="AQ3001" s="133"/>
      <c r="AR3001" s="133"/>
      <c r="AS3001" s="153">
        <v>0</v>
      </c>
      <c r="AT3001" s="153">
        <v>0</v>
      </c>
      <c r="AU3001" s="153">
        <v>0</v>
      </c>
      <c r="AV3001" s="135"/>
      <c r="AW3001" s="135"/>
      <c r="AX3001" s="135"/>
      <c r="AY3001" s="135"/>
      <c r="AZ3001" s="135"/>
      <c r="BA3001" s="135"/>
      <c r="BB3001" s="135"/>
      <c r="BC3001" s="135"/>
      <c r="BD3001" s="135"/>
      <c r="BE3001" s="135"/>
      <c r="BF3001" s="135"/>
      <c r="BG3001" s="135"/>
      <c r="BH3001" s="135"/>
      <c r="BI3001" s="2"/>
      <c r="BJ3001" s="136"/>
      <c r="BK3001" s="2"/>
      <c r="BL3001" s="136"/>
      <c r="BM3001" s="136"/>
      <c r="BN3001" s="2"/>
      <c r="BO3001" s="2"/>
      <c r="BP3001" s="136"/>
      <c r="BQ3001" s="137"/>
    </row>
    <row r="3002" spans="1:69" ht="12.75" customHeight="1" x14ac:dyDescent="0.2">
      <c r="A3002" s="2">
        <v>4491</v>
      </c>
      <c r="B3002" s="2"/>
      <c r="C3002" s="2"/>
      <c r="D3002" s="2"/>
      <c r="E3002" s="2"/>
      <c r="F3002" s="132">
        <v>0</v>
      </c>
      <c r="G3002" s="132"/>
      <c r="H3002" s="132">
        <f t="shared" si="339"/>
        <v>0</v>
      </c>
      <c r="I3002" s="132"/>
      <c r="J3002" s="132">
        <f t="shared" si="337"/>
        <v>0</v>
      </c>
      <c r="K3002" s="132">
        <f t="shared" si="340"/>
        <v>0</v>
      </c>
      <c r="L3002" s="132">
        <f t="shared" si="334"/>
        <v>0</v>
      </c>
      <c r="M3002" s="133"/>
      <c r="N3002" s="133">
        <f t="shared" si="338"/>
        <v>0</v>
      </c>
      <c r="O3002" s="134"/>
      <c r="P3002" s="133"/>
      <c r="Q3002" s="2"/>
      <c r="R3002" s="156">
        <f t="shared" si="335"/>
        <v>0</v>
      </c>
      <c r="S3002" s="156">
        <f t="shared" si="336"/>
        <v>0</v>
      </c>
      <c r="T3002" s="133"/>
      <c r="U3002" s="133"/>
      <c r="V3002" s="133"/>
      <c r="W3002" s="133"/>
      <c r="X3002" s="133"/>
      <c r="Y3002" s="133"/>
      <c r="Z3002" s="133"/>
      <c r="AA3002" s="133"/>
      <c r="AB3002" s="133"/>
      <c r="AC3002" s="133"/>
      <c r="AD3002" s="133"/>
      <c r="AE3002" s="133"/>
      <c r="AF3002" s="133"/>
      <c r="AG3002" s="133"/>
      <c r="AH3002" s="133"/>
      <c r="AI3002" s="133"/>
      <c r="AJ3002" s="133"/>
      <c r="AK3002" s="133"/>
      <c r="AL3002" s="133"/>
      <c r="AM3002" s="133"/>
      <c r="AN3002" s="133"/>
      <c r="AO3002" s="133"/>
      <c r="AP3002" s="133"/>
      <c r="AQ3002" s="133"/>
      <c r="AR3002" s="133"/>
      <c r="AS3002" s="153">
        <v>0</v>
      </c>
      <c r="AT3002" s="153">
        <v>0</v>
      </c>
      <c r="AU3002" s="153">
        <v>0</v>
      </c>
      <c r="AV3002" s="135"/>
      <c r="AW3002" s="135"/>
      <c r="AX3002" s="135"/>
      <c r="AY3002" s="135"/>
      <c r="AZ3002" s="135"/>
      <c r="BA3002" s="135"/>
      <c r="BB3002" s="135"/>
      <c r="BC3002" s="135"/>
      <c r="BD3002" s="135"/>
      <c r="BE3002" s="135"/>
      <c r="BF3002" s="135"/>
      <c r="BG3002" s="135"/>
      <c r="BH3002" s="135"/>
      <c r="BI3002" s="2"/>
      <c r="BJ3002" s="136"/>
      <c r="BK3002" s="2"/>
      <c r="BL3002" s="136"/>
      <c r="BM3002" s="136"/>
      <c r="BN3002" s="2"/>
      <c r="BO3002" s="2"/>
      <c r="BP3002" s="136"/>
      <c r="BQ3002" s="137"/>
    </row>
    <row r="3003" spans="1:69" ht="12.75" customHeight="1" x14ac:dyDescent="0.2">
      <c r="A3003" s="2">
        <v>4492</v>
      </c>
      <c r="B3003" s="2"/>
      <c r="C3003" s="2"/>
      <c r="D3003" s="2"/>
      <c r="E3003" s="2"/>
      <c r="F3003" s="132">
        <v>0</v>
      </c>
      <c r="G3003" s="132"/>
      <c r="H3003" s="132">
        <f t="shared" si="339"/>
        <v>0</v>
      </c>
      <c r="I3003" s="132"/>
      <c r="J3003" s="132">
        <f t="shared" si="337"/>
        <v>0</v>
      </c>
      <c r="K3003" s="132">
        <f t="shared" si="340"/>
        <v>0</v>
      </c>
      <c r="L3003" s="132">
        <f t="shared" si="334"/>
        <v>0</v>
      </c>
      <c r="M3003" s="133"/>
      <c r="N3003" s="133">
        <f t="shared" si="338"/>
        <v>0</v>
      </c>
      <c r="O3003" s="134"/>
      <c r="P3003" s="133"/>
      <c r="Q3003" s="2"/>
      <c r="R3003" s="156">
        <f t="shared" si="335"/>
        <v>0</v>
      </c>
      <c r="S3003" s="156">
        <f t="shared" si="336"/>
        <v>0</v>
      </c>
      <c r="T3003" s="133"/>
      <c r="U3003" s="133"/>
      <c r="V3003" s="133"/>
      <c r="W3003" s="133"/>
      <c r="X3003" s="133"/>
      <c r="Y3003" s="133"/>
      <c r="Z3003" s="133"/>
      <c r="AA3003" s="133"/>
      <c r="AB3003" s="133"/>
      <c r="AC3003" s="133"/>
      <c r="AD3003" s="133"/>
      <c r="AE3003" s="133"/>
      <c r="AF3003" s="133"/>
      <c r="AG3003" s="133"/>
      <c r="AH3003" s="133"/>
      <c r="AI3003" s="133"/>
      <c r="AJ3003" s="133"/>
      <c r="AK3003" s="133"/>
      <c r="AL3003" s="133"/>
      <c r="AM3003" s="133"/>
      <c r="AN3003" s="133"/>
      <c r="AO3003" s="133"/>
      <c r="AP3003" s="133"/>
      <c r="AQ3003" s="133"/>
      <c r="AR3003" s="133"/>
      <c r="AS3003" s="153">
        <v>0</v>
      </c>
      <c r="AT3003" s="153">
        <v>0</v>
      </c>
      <c r="AU3003" s="153">
        <v>0</v>
      </c>
      <c r="AV3003" s="135"/>
      <c r="AW3003" s="135"/>
      <c r="AX3003" s="135"/>
      <c r="AY3003" s="135"/>
      <c r="AZ3003" s="135"/>
      <c r="BA3003" s="135"/>
      <c r="BB3003" s="135"/>
      <c r="BC3003" s="135"/>
      <c r="BD3003" s="135"/>
      <c r="BE3003" s="135"/>
      <c r="BF3003" s="135"/>
      <c r="BG3003" s="135"/>
      <c r="BH3003" s="135"/>
      <c r="BI3003" s="2"/>
      <c r="BJ3003" s="136"/>
      <c r="BK3003" s="2"/>
      <c r="BL3003" s="136"/>
      <c r="BM3003" s="136"/>
      <c r="BN3003" s="2"/>
      <c r="BO3003" s="2"/>
      <c r="BP3003" s="136"/>
      <c r="BQ3003" s="137"/>
    </row>
    <row r="3004" spans="1:69" ht="12.75" customHeight="1" x14ac:dyDescent="0.2">
      <c r="A3004" s="2">
        <v>4493</v>
      </c>
      <c r="B3004" s="2"/>
      <c r="C3004" s="2"/>
      <c r="D3004" s="2"/>
      <c r="E3004" s="2"/>
      <c r="F3004" s="132">
        <v>0</v>
      </c>
      <c r="G3004" s="132"/>
      <c r="H3004" s="132">
        <f t="shared" si="339"/>
        <v>0</v>
      </c>
      <c r="I3004" s="132"/>
      <c r="J3004" s="132">
        <f t="shared" si="337"/>
        <v>0</v>
      </c>
      <c r="K3004" s="132">
        <f t="shared" si="340"/>
        <v>0</v>
      </c>
      <c r="L3004" s="132">
        <f t="shared" si="334"/>
        <v>0</v>
      </c>
      <c r="M3004" s="133"/>
      <c r="N3004" s="133">
        <f t="shared" si="338"/>
        <v>0</v>
      </c>
      <c r="O3004" s="134"/>
      <c r="P3004" s="133"/>
      <c r="Q3004" s="2"/>
      <c r="R3004" s="156">
        <f t="shared" si="335"/>
        <v>0</v>
      </c>
      <c r="S3004" s="156">
        <f t="shared" si="336"/>
        <v>0</v>
      </c>
      <c r="T3004" s="133"/>
      <c r="U3004" s="133"/>
      <c r="V3004" s="133"/>
      <c r="W3004" s="133"/>
      <c r="X3004" s="133"/>
      <c r="Y3004" s="133"/>
      <c r="Z3004" s="133"/>
      <c r="AA3004" s="133"/>
      <c r="AB3004" s="133"/>
      <c r="AC3004" s="133"/>
      <c r="AD3004" s="133"/>
      <c r="AE3004" s="133"/>
      <c r="AF3004" s="133"/>
      <c r="AG3004" s="133"/>
      <c r="AH3004" s="133"/>
      <c r="AI3004" s="133"/>
      <c r="AJ3004" s="133"/>
      <c r="AK3004" s="133"/>
      <c r="AL3004" s="133"/>
      <c r="AM3004" s="133"/>
      <c r="AN3004" s="133"/>
      <c r="AO3004" s="133"/>
      <c r="AP3004" s="133"/>
      <c r="AQ3004" s="133"/>
      <c r="AR3004" s="133"/>
      <c r="AS3004" s="153">
        <v>0</v>
      </c>
      <c r="AT3004" s="153">
        <v>0</v>
      </c>
      <c r="AU3004" s="153">
        <v>0</v>
      </c>
      <c r="AV3004" s="135"/>
      <c r="AW3004" s="135"/>
      <c r="AX3004" s="135"/>
      <c r="AY3004" s="135"/>
      <c r="AZ3004" s="135"/>
      <c r="BA3004" s="135"/>
      <c r="BB3004" s="135"/>
      <c r="BC3004" s="135"/>
      <c r="BD3004" s="135"/>
      <c r="BE3004" s="135"/>
      <c r="BF3004" s="135"/>
      <c r="BG3004" s="135"/>
      <c r="BH3004" s="135"/>
      <c r="BI3004" s="2"/>
      <c r="BJ3004" s="136"/>
      <c r="BK3004" s="2"/>
      <c r="BL3004" s="136"/>
      <c r="BM3004" s="136"/>
      <c r="BN3004" s="2"/>
      <c r="BO3004" s="2"/>
      <c r="BP3004" s="136"/>
      <c r="BQ3004" s="137"/>
    </row>
    <row r="3005" spans="1:69" ht="12.75" customHeight="1" x14ac:dyDescent="0.2">
      <c r="A3005" s="2">
        <v>4494</v>
      </c>
      <c r="B3005" s="2"/>
      <c r="C3005" s="2"/>
      <c r="D3005" s="2"/>
      <c r="E3005" s="2"/>
      <c r="F3005" s="132">
        <v>0</v>
      </c>
      <c r="G3005" s="132"/>
      <c r="H3005" s="132">
        <f t="shared" si="339"/>
        <v>0</v>
      </c>
      <c r="I3005" s="132"/>
      <c r="J3005" s="132">
        <f t="shared" si="337"/>
        <v>0</v>
      </c>
      <c r="K3005" s="132">
        <f t="shared" si="340"/>
        <v>0</v>
      </c>
      <c r="L3005" s="132">
        <f t="shared" si="334"/>
        <v>0</v>
      </c>
      <c r="M3005" s="133"/>
      <c r="N3005" s="133">
        <f t="shared" si="338"/>
        <v>0</v>
      </c>
      <c r="O3005" s="134"/>
      <c r="P3005" s="133"/>
      <c r="Q3005" s="2"/>
      <c r="R3005" s="156">
        <f t="shared" si="335"/>
        <v>0</v>
      </c>
      <c r="S3005" s="156">
        <f t="shared" si="336"/>
        <v>0</v>
      </c>
      <c r="T3005" s="133"/>
      <c r="U3005" s="133"/>
      <c r="V3005" s="133"/>
      <c r="W3005" s="133"/>
      <c r="X3005" s="133"/>
      <c r="Y3005" s="133"/>
      <c r="Z3005" s="133"/>
      <c r="AA3005" s="133"/>
      <c r="AB3005" s="133"/>
      <c r="AC3005" s="133"/>
      <c r="AD3005" s="133"/>
      <c r="AE3005" s="133"/>
      <c r="AF3005" s="133"/>
      <c r="AG3005" s="133"/>
      <c r="AH3005" s="133"/>
      <c r="AI3005" s="133"/>
      <c r="AJ3005" s="133"/>
      <c r="AK3005" s="133"/>
      <c r="AL3005" s="133"/>
      <c r="AM3005" s="133"/>
      <c r="AN3005" s="133"/>
      <c r="AO3005" s="133"/>
      <c r="AP3005" s="133"/>
      <c r="AQ3005" s="133"/>
      <c r="AR3005" s="133"/>
      <c r="AS3005" s="153">
        <v>0</v>
      </c>
      <c r="AT3005" s="153">
        <v>0</v>
      </c>
      <c r="AU3005" s="153">
        <v>0</v>
      </c>
      <c r="AV3005" s="135"/>
      <c r="AW3005" s="135"/>
      <c r="AX3005" s="135"/>
      <c r="AY3005" s="135"/>
      <c r="AZ3005" s="135"/>
      <c r="BA3005" s="135"/>
      <c r="BB3005" s="135"/>
      <c r="BC3005" s="135"/>
      <c r="BD3005" s="135"/>
      <c r="BE3005" s="135"/>
      <c r="BF3005" s="135"/>
      <c r="BG3005" s="135"/>
      <c r="BH3005" s="135"/>
      <c r="BI3005" s="2"/>
      <c r="BJ3005" s="136"/>
      <c r="BK3005" s="2"/>
      <c r="BL3005" s="136"/>
      <c r="BM3005" s="136"/>
      <c r="BN3005" s="2"/>
      <c r="BO3005" s="2"/>
      <c r="BP3005" s="136"/>
      <c r="BQ3005" s="137"/>
    </row>
    <row r="3006" spans="1:69" ht="12.75" customHeight="1" x14ac:dyDescent="0.2">
      <c r="A3006" s="2">
        <v>4495</v>
      </c>
      <c r="B3006" s="2"/>
      <c r="C3006" s="2"/>
      <c r="D3006" s="2"/>
      <c r="E3006" s="2"/>
      <c r="F3006" s="132">
        <v>0</v>
      </c>
      <c r="G3006" s="132"/>
      <c r="H3006" s="132">
        <f t="shared" si="339"/>
        <v>0</v>
      </c>
      <c r="I3006" s="132"/>
      <c r="J3006" s="132">
        <f t="shared" si="337"/>
        <v>0</v>
      </c>
      <c r="K3006" s="132">
        <f t="shared" si="340"/>
        <v>0</v>
      </c>
      <c r="L3006" s="132">
        <f t="shared" si="334"/>
        <v>0</v>
      </c>
      <c r="M3006" s="133"/>
      <c r="N3006" s="133">
        <f t="shared" si="338"/>
        <v>0</v>
      </c>
      <c r="O3006" s="134"/>
      <c r="P3006" s="133"/>
      <c r="Q3006" s="2"/>
      <c r="R3006" s="156">
        <f t="shared" si="335"/>
        <v>0</v>
      </c>
      <c r="S3006" s="156">
        <f t="shared" si="336"/>
        <v>0</v>
      </c>
      <c r="T3006" s="133"/>
      <c r="U3006" s="133"/>
      <c r="V3006" s="133"/>
      <c r="W3006" s="133"/>
      <c r="X3006" s="133"/>
      <c r="Y3006" s="133"/>
      <c r="Z3006" s="133"/>
      <c r="AA3006" s="133"/>
      <c r="AB3006" s="133"/>
      <c r="AC3006" s="133"/>
      <c r="AD3006" s="133"/>
      <c r="AE3006" s="133"/>
      <c r="AF3006" s="133"/>
      <c r="AG3006" s="133"/>
      <c r="AH3006" s="133"/>
      <c r="AI3006" s="133"/>
      <c r="AJ3006" s="133"/>
      <c r="AK3006" s="133"/>
      <c r="AL3006" s="133"/>
      <c r="AM3006" s="133"/>
      <c r="AN3006" s="133"/>
      <c r="AO3006" s="133"/>
      <c r="AP3006" s="133"/>
      <c r="AQ3006" s="133"/>
      <c r="AR3006" s="133"/>
      <c r="AS3006" s="153">
        <v>0</v>
      </c>
      <c r="AT3006" s="153">
        <v>0</v>
      </c>
      <c r="AU3006" s="153">
        <v>0</v>
      </c>
      <c r="AV3006" s="135"/>
      <c r="AW3006" s="135"/>
      <c r="AX3006" s="135"/>
      <c r="AY3006" s="135"/>
      <c r="AZ3006" s="135"/>
      <c r="BA3006" s="135"/>
      <c r="BB3006" s="135"/>
      <c r="BC3006" s="135"/>
      <c r="BD3006" s="135"/>
      <c r="BE3006" s="135"/>
      <c r="BF3006" s="135"/>
      <c r="BG3006" s="135"/>
      <c r="BH3006" s="135"/>
      <c r="BI3006" s="2"/>
      <c r="BJ3006" s="136"/>
      <c r="BK3006" s="2"/>
      <c r="BL3006" s="136"/>
      <c r="BM3006" s="136"/>
      <c r="BN3006" s="2"/>
      <c r="BO3006" s="2"/>
      <c r="BP3006" s="136"/>
      <c r="BQ3006" s="137"/>
    </row>
    <row r="3007" spans="1:69" ht="12.75" customHeight="1" x14ac:dyDescent="0.2">
      <c r="A3007" s="2">
        <v>4496</v>
      </c>
      <c r="B3007" s="2"/>
      <c r="C3007" s="2"/>
      <c r="D3007" s="2"/>
      <c r="E3007" s="2"/>
      <c r="F3007" s="132">
        <v>0</v>
      </c>
      <c r="G3007" s="132"/>
      <c r="H3007" s="132">
        <f t="shared" si="339"/>
        <v>0</v>
      </c>
      <c r="I3007" s="132"/>
      <c r="J3007" s="132">
        <f t="shared" si="337"/>
        <v>0</v>
      </c>
      <c r="K3007" s="132">
        <f t="shared" si="340"/>
        <v>0</v>
      </c>
      <c r="L3007" s="132">
        <f t="shared" si="334"/>
        <v>0</v>
      </c>
      <c r="M3007" s="133"/>
      <c r="N3007" s="133">
        <f t="shared" si="338"/>
        <v>0</v>
      </c>
      <c r="O3007" s="134"/>
      <c r="P3007" s="133"/>
      <c r="Q3007" s="2"/>
      <c r="R3007" s="156">
        <f t="shared" si="335"/>
        <v>0</v>
      </c>
      <c r="S3007" s="156">
        <f t="shared" si="336"/>
        <v>0</v>
      </c>
      <c r="T3007" s="133"/>
      <c r="U3007" s="133"/>
      <c r="V3007" s="133"/>
      <c r="W3007" s="133"/>
      <c r="X3007" s="133"/>
      <c r="Y3007" s="133"/>
      <c r="Z3007" s="133"/>
      <c r="AA3007" s="133"/>
      <c r="AB3007" s="133"/>
      <c r="AC3007" s="133"/>
      <c r="AD3007" s="133"/>
      <c r="AE3007" s="133"/>
      <c r="AF3007" s="133"/>
      <c r="AG3007" s="133"/>
      <c r="AH3007" s="133"/>
      <c r="AI3007" s="133"/>
      <c r="AJ3007" s="133"/>
      <c r="AK3007" s="133"/>
      <c r="AL3007" s="133"/>
      <c r="AM3007" s="133"/>
      <c r="AN3007" s="133"/>
      <c r="AO3007" s="133"/>
      <c r="AP3007" s="133"/>
      <c r="AQ3007" s="133"/>
      <c r="AR3007" s="133"/>
      <c r="AS3007" s="153">
        <v>0</v>
      </c>
      <c r="AT3007" s="153">
        <v>0</v>
      </c>
      <c r="AU3007" s="153">
        <v>0</v>
      </c>
      <c r="AV3007" s="135"/>
      <c r="AW3007" s="135"/>
      <c r="AX3007" s="135"/>
      <c r="AY3007" s="135"/>
      <c r="AZ3007" s="135"/>
      <c r="BA3007" s="135"/>
      <c r="BB3007" s="135"/>
      <c r="BC3007" s="135"/>
      <c r="BD3007" s="135"/>
      <c r="BE3007" s="135"/>
      <c r="BF3007" s="135"/>
      <c r="BG3007" s="135"/>
      <c r="BH3007" s="135"/>
      <c r="BI3007" s="2"/>
      <c r="BJ3007" s="136"/>
      <c r="BK3007" s="2"/>
      <c r="BL3007" s="136"/>
      <c r="BM3007" s="136"/>
      <c r="BN3007" s="2"/>
      <c r="BO3007" s="2"/>
      <c r="BP3007" s="136"/>
      <c r="BQ3007" s="137"/>
    </row>
    <row r="3008" spans="1:69" ht="12.75" customHeight="1" x14ac:dyDescent="0.2">
      <c r="A3008" s="2">
        <v>4497</v>
      </c>
      <c r="B3008" s="2"/>
      <c r="C3008" s="2"/>
      <c r="D3008" s="2"/>
      <c r="E3008" s="2"/>
      <c r="F3008" s="132">
        <v>0</v>
      </c>
      <c r="G3008" s="132"/>
      <c r="H3008" s="132">
        <f t="shared" si="339"/>
        <v>0</v>
      </c>
      <c r="I3008" s="132"/>
      <c r="J3008" s="132">
        <f t="shared" si="337"/>
        <v>0</v>
      </c>
      <c r="K3008" s="132">
        <f t="shared" si="340"/>
        <v>0</v>
      </c>
      <c r="L3008" s="132">
        <f t="shared" si="334"/>
        <v>0</v>
      </c>
      <c r="M3008" s="133"/>
      <c r="N3008" s="133">
        <f t="shared" si="338"/>
        <v>0</v>
      </c>
      <c r="O3008" s="134"/>
      <c r="P3008" s="133"/>
      <c r="Q3008" s="2"/>
      <c r="R3008" s="156">
        <f t="shared" si="335"/>
        <v>0</v>
      </c>
      <c r="S3008" s="156">
        <f t="shared" si="336"/>
        <v>0</v>
      </c>
      <c r="T3008" s="133"/>
      <c r="U3008" s="133"/>
      <c r="V3008" s="133"/>
      <c r="W3008" s="133"/>
      <c r="X3008" s="133"/>
      <c r="Y3008" s="133"/>
      <c r="Z3008" s="133"/>
      <c r="AA3008" s="133"/>
      <c r="AB3008" s="133"/>
      <c r="AC3008" s="133"/>
      <c r="AD3008" s="133"/>
      <c r="AE3008" s="133"/>
      <c r="AF3008" s="133"/>
      <c r="AG3008" s="133"/>
      <c r="AH3008" s="133"/>
      <c r="AI3008" s="133"/>
      <c r="AJ3008" s="133"/>
      <c r="AK3008" s="133"/>
      <c r="AL3008" s="133"/>
      <c r="AM3008" s="133"/>
      <c r="AN3008" s="133"/>
      <c r="AO3008" s="133"/>
      <c r="AP3008" s="133"/>
      <c r="AQ3008" s="133"/>
      <c r="AR3008" s="133"/>
      <c r="AS3008" s="153">
        <v>0</v>
      </c>
      <c r="AT3008" s="153">
        <v>0</v>
      </c>
      <c r="AU3008" s="153">
        <v>0</v>
      </c>
      <c r="AV3008" s="135"/>
      <c r="AW3008" s="135"/>
      <c r="AX3008" s="135"/>
      <c r="AY3008" s="135"/>
      <c r="AZ3008" s="135"/>
      <c r="BA3008" s="135"/>
      <c r="BB3008" s="135"/>
      <c r="BC3008" s="135"/>
      <c r="BD3008" s="135"/>
      <c r="BE3008" s="135"/>
      <c r="BF3008" s="135"/>
      <c r="BG3008" s="135"/>
      <c r="BH3008" s="135"/>
      <c r="BI3008" s="2"/>
      <c r="BJ3008" s="136"/>
      <c r="BK3008" s="2"/>
      <c r="BL3008" s="136"/>
      <c r="BM3008" s="136"/>
      <c r="BN3008" s="2"/>
      <c r="BO3008" s="2"/>
      <c r="BP3008" s="136"/>
      <c r="BQ3008" s="137"/>
    </row>
    <row r="3009" spans="1:69" ht="12.75" customHeight="1" x14ac:dyDescent="0.2">
      <c r="A3009" s="2">
        <v>4498</v>
      </c>
      <c r="B3009" s="2"/>
      <c r="C3009" s="2"/>
      <c r="D3009" s="2"/>
      <c r="E3009" s="2"/>
      <c r="F3009" s="132">
        <v>0</v>
      </c>
      <c r="G3009" s="132"/>
      <c r="H3009" s="132">
        <f t="shared" si="339"/>
        <v>0</v>
      </c>
      <c r="I3009" s="132"/>
      <c r="J3009" s="132">
        <f t="shared" si="337"/>
        <v>0</v>
      </c>
      <c r="K3009" s="132">
        <f t="shared" si="340"/>
        <v>0</v>
      </c>
      <c r="L3009" s="132">
        <f t="shared" si="334"/>
        <v>0</v>
      </c>
      <c r="M3009" s="133"/>
      <c r="N3009" s="133">
        <f t="shared" si="338"/>
        <v>0</v>
      </c>
      <c r="O3009" s="134"/>
      <c r="P3009" s="133"/>
      <c r="Q3009" s="2"/>
      <c r="R3009" s="156">
        <f t="shared" si="335"/>
        <v>0</v>
      </c>
      <c r="S3009" s="156">
        <f t="shared" si="336"/>
        <v>0</v>
      </c>
      <c r="T3009" s="133"/>
      <c r="U3009" s="133"/>
      <c r="V3009" s="133"/>
      <c r="W3009" s="133"/>
      <c r="X3009" s="133"/>
      <c r="Y3009" s="133"/>
      <c r="Z3009" s="133"/>
      <c r="AA3009" s="133"/>
      <c r="AB3009" s="133"/>
      <c r="AC3009" s="133"/>
      <c r="AD3009" s="133"/>
      <c r="AE3009" s="133"/>
      <c r="AF3009" s="133"/>
      <c r="AG3009" s="133"/>
      <c r="AH3009" s="133"/>
      <c r="AI3009" s="133"/>
      <c r="AJ3009" s="133"/>
      <c r="AK3009" s="133"/>
      <c r="AL3009" s="133"/>
      <c r="AM3009" s="133"/>
      <c r="AN3009" s="133"/>
      <c r="AO3009" s="133"/>
      <c r="AP3009" s="133"/>
      <c r="AQ3009" s="133"/>
      <c r="AR3009" s="133"/>
      <c r="AS3009" s="153">
        <v>0</v>
      </c>
      <c r="AT3009" s="153">
        <v>0</v>
      </c>
      <c r="AU3009" s="153">
        <v>0</v>
      </c>
      <c r="AV3009" s="135"/>
      <c r="AW3009" s="135"/>
      <c r="AX3009" s="135"/>
      <c r="AY3009" s="135"/>
      <c r="AZ3009" s="135"/>
      <c r="BA3009" s="135"/>
      <c r="BB3009" s="135"/>
      <c r="BC3009" s="135"/>
      <c r="BD3009" s="135"/>
      <c r="BE3009" s="135"/>
      <c r="BF3009" s="135"/>
      <c r="BG3009" s="135"/>
      <c r="BH3009" s="135"/>
      <c r="BI3009" s="2"/>
      <c r="BJ3009" s="136"/>
      <c r="BK3009" s="2"/>
      <c r="BL3009" s="136"/>
      <c r="BM3009" s="136"/>
      <c r="BN3009" s="2"/>
      <c r="BO3009" s="2"/>
      <c r="BP3009" s="136"/>
      <c r="BQ3009" s="137"/>
    </row>
    <row r="3010" spans="1:69" ht="12.75" customHeight="1" x14ac:dyDescent="0.2">
      <c r="A3010" s="2">
        <v>4499</v>
      </c>
      <c r="B3010" s="2"/>
      <c r="C3010" s="2"/>
      <c r="D3010" s="2"/>
      <c r="E3010" s="2"/>
      <c r="F3010" s="132">
        <v>0</v>
      </c>
      <c r="G3010" s="132"/>
      <c r="H3010" s="132">
        <f t="shared" si="339"/>
        <v>0</v>
      </c>
      <c r="I3010" s="132"/>
      <c r="J3010" s="132">
        <f t="shared" si="337"/>
        <v>0</v>
      </c>
      <c r="K3010" s="132">
        <f t="shared" si="340"/>
        <v>0</v>
      </c>
      <c r="L3010" s="132">
        <f t="shared" si="334"/>
        <v>0</v>
      </c>
      <c r="M3010" s="133"/>
      <c r="N3010" s="133">
        <f t="shared" si="338"/>
        <v>0</v>
      </c>
      <c r="O3010" s="134"/>
      <c r="P3010" s="133"/>
      <c r="Q3010" s="2"/>
      <c r="R3010" s="156">
        <f t="shared" si="335"/>
        <v>0</v>
      </c>
      <c r="S3010" s="156">
        <f t="shared" si="336"/>
        <v>0</v>
      </c>
      <c r="T3010" s="133"/>
      <c r="U3010" s="133"/>
      <c r="V3010" s="133"/>
      <c r="W3010" s="133"/>
      <c r="X3010" s="133"/>
      <c r="Y3010" s="133"/>
      <c r="Z3010" s="133"/>
      <c r="AA3010" s="133"/>
      <c r="AB3010" s="133"/>
      <c r="AC3010" s="133"/>
      <c r="AD3010" s="133"/>
      <c r="AE3010" s="133"/>
      <c r="AF3010" s="133"/>
      <c r="AG3010" s="133"/>
      <c r="AH3010" s="133"/>
      <c r="AI3010" s="133"/>
      <c r="AJ3010" s="133"/>
      <c r="AK3010" s="133"/>
      <c r="AL3010" s="133"/>
      <c r="AM3010" s="133"/>
      <c r="AN3010" s="133"/>
      <c r="AO3010" s="133"/>
      <c r="AP3010" s="133"/>
      <c r="AQ3010" s="133"/>
      <c r="AR3010" s="133"/>
      <c r="AS3010" s="153">
        <v>0</v>
      </c>
      <c r="AT3010" s="153">
        <v>0</v>
      </c>
      <c r="AU3010" s="153">
        <v>0</v>
      </c>
      <c r="AV3010" s="135"/>
      <c r="AW3010" s="135"/>
      <c r="AX3010" s="135"/>
      <c r="AY3010" s="135"/>
      <c r="AZ3010" s="135"/>
      <c r="BA3010" s="135"/>
      <c r="BB3010" s="135"/>
      <c r="BC3010" s="135"/>
      <c r="BD3010" s="135"/>
      <c r="BE3010" s="135"/>
      <c r="BF3010" s="135"/>
      <c r="BG3010" s="135"/>
      <c r="BH3010" s="135"/>
      <c r="BI3010" s="2"/>
      <c r="BJ3010" s="136"/>
      <c r="BK3010" s="2"/>
      <c r="BL3010" s="136"/>
      <c r="BM3010" s="136"/>
      <c r="BN3010" s="2"/>
      <c r="BO3010" s="2"/>
      <c r="BP3010" s="136"/>
      <c r="BQ3010" s="137"/>
    </row>
    <row r="3011" spans="1:69" ht="12.75" customHeight="1" x14ac:dyDescent="0.2">
      <c r="A3011" s="2">
        <v>4500</v>
      </c>
      <c r="B3011" s="2"/>
      <c r="C3011" s="2"/>
      <c r="D3011" s="2"/>
      <c r="E3011" s="2"/>
      <c r="F3011" s="132">
        <v>0</v>
      </c>
      <c r="G3011" s="132"/>
      <c r="H3011" s="132">
        <f t="shared" si="339"/>
        <v>0</v>
      </c>
      <c r="I3011" s="132"/>
      <c r="J3011" s="132">
        <f t="shared" si="337"/>
        <v>0</v>
      </c>
      <c r="K3011" s="132">
        <f t="shared" si="340"/>
        <v>0</v>
      </c>
      <c r="L3011" s="132">
        <f t="shared" si="334"/>
        <v>0</v>
      </c>
      <c r="M3011" s="133"/>
      <c r="N3011" s="133">
        <f t="shared" si="338"/>
        <v>0</v>
      </c>
      <c r="O3011" s="134"/>
      <c r="P3011" s="133"/>
      <c r="Q3011" s="2"/>
      <c r="R3011" s="156">
        <f t="shared" si="335"/>
        <v>0</v>
      </c>
      <c r="S3011" s="156">
        <f t="shared" si="336"/>
        <v>0</v>
      </c>
      <c r="T3011" s="133"/>
      <c r="U3011" s="133"/>
      <c r="V3011" s="133"/>
      <c r="W3011" s="133"/>
      <c r="X3011" s="133"/>
      <c r="Y3011" s="133"/>
      <c r="Z3011" s="133"/>
      <c r="AA3011" s="133"/>
      <c r="AB3011" s="133"/>
      <c r="AC3011" s="133"/>
      <c r="AD3011" s="133"/>
      <c r="AE3011" s="133"/>
      <c r="AF3011" s="133"/>
      <c r="AG3011" s="133"/>
      <c r="AH3011" s="133"/>
      <c r="AI3011" s="133"/>
      <c r="AJ3011" s="133"/>
      <c r="AK3011" s="133"/>
      <c r="AL3011" s="133"/>
      <c r="AM3011" s="133"/>
      <c r="AN3011" s="133"/>
      <c r="AO3011" s="133"/>
      <c r="AP3011" s="133"/>
      <c r="AQ3011" s="133"/>
      <c r="AR3011" s="133"/>
      <c r="AS3011" s="153">
        <v>0</v>
      </c>
      <c r="AT3011" s="153">
        <v>0</v>
      </c>
      <c r="AU3011" s="153">
        <v>0</v>
      </c>
      <c r="AV3011" s="135"/>
      <c r="AW3011" s="135"/>
      <c r="AX3011" s="135"/>
      <c r="AY3011" s="135"/>
      <c r="AZ3011" s="135"/>
      <c r="BA3011" s="135"/>
      <c r="BB3011" s="135"/>
      <c r="BC3011" s="135"/>
      <c r="BD3011" s="135"/>
      <c r="BE3011" s="135"/>
      <c r="BF3011" s="135"/>
      <c r="BG3011" s="135"/>
      <c r="BH3011" s="135"/>
      <c r="BI3011" s="2"/>
      <c r="BJ3011" s="136"/>
      <c r="BK3011" s="2"/>
      <c r="BL3011" s="136"/>
      <c r="BM3011" s="136"/>
      <c r="BN3011" s="2"/>
      <c r="BO3011" s="2"/>
      <c r="BP3011" s="136"/>
      <c r="BQ3011" s="137"/>
    </row>
    <row r="3012" spans="1:69" ht="12.75" customHeight="1" x14ac:dyDescent="0.2">
      <c r="A3012" s="2">
        <v>4501</v>
      </c>
      <c r="B3012" s="2"/>
      <c r="C3012" s="2"/>
      <c r="D3012" s="2"/>
      <c r="E3012" s="2"/>
      <c r="F3012" s="132">
        <v>0</v>
      </c>
      <c r="G3012" s="132"/>
      <c r="H3012" s="132">
        <f t="shared" si="339"/>
        <v>0</v>
      </c>
      <c r="I3012" s="132"/>
      <c r="J3012" s="132">
        <f t="shared" si="337"/>
        <v>0</v>
      </c>
      <c r="K3012" s="132">
        <f t="shared" si="340"/>
        <v>0</v>
      </c>
      <c r="L3012" s="132">
        <f t="shared" si="334"/>
        <v>0</v>
      </c>
      <c r="M3012" s="133"/>
      <c r="N3012" s="133">
        <f t="shared" si="338"/>
        <v>0</v>
      </c>
      <c r="O3012" s="134"/>
      <c r="P3012" s="133"/>
      <c r="Q3012" s="2"/>
      <c r="R3012" s="156">
        <f t="shared" si="335"/>
        <v>0</v>
      </c>
      <c r="S3012" s="156">
        <f t="shared" si="336"/>
        <v>0</v>
      </c>
      <c r="T3012" s="133"/>
      <c r="U3012" s="133"/>
      <c r="V3012" s="133"/>
      <c r="W3012" s="133"/>
      <c r="X3012" s="133"/>
      <c r="Y3012" s="133"/>
      <c r="Z3012" s="133"/>
      <c r="AA3012" s="133"/>
      <c r="AB3012" s="133"/>
      <c r="AC3012" s="133"/>
      <c r="AD3012" s="133"/>
      <c r="AE3012" s="133"/>
      <c r="AF3012" s="133"/>
      <c r="AG3012" s="133"/>
      <c r="AH3012" s="133"/>
      <c r="AI3012" s="133"/>
      <c r="AJ3012" s="133"/>
      <c r="AK3012" s="133"/>
      <c r="AL3012" s="133"/>
      <c r="AM3012" s="133"/>
      <c r="AN3012" s="133"/>
      <c r="AO3012" s="133"/>
      <c r="AP3012" s="133"/>
      <c r="AQ3012" s="133"/>
      <c r="AR3012" s="133"/>
      <c r="AS3012" s="153">
        <v>0</v>
      </c>
      <c r="AT3012" s="153">
        <v>0</v>
      </c>
      <c r="AU3012" s="153">
        <v>0</v>
      </c>
      <c r="AV3012" s="135"/>
      <c r="AW3012" s="135"/>
      <c r="AX3012" s="135"/>
      <c r="AY3012" s="135"/>
      <c r="AZ3012" s="135"/>
      <c r="BA3012" s="135"/>
      <c r="BB3012" s="135"/>
      <c r="BC3012" s="135"/>
      <c r="BD3012" s="135"/>
      <c r="BE3012" s="135"/>
      <c r="BF3012" s="135"/>
      <c r="BG3012" s="135"/>
      <c r="BH3012" s="135"/>
      <c r="BI3012" s="2"/>
      <c r="BJ3012" s="136"/>
      <c r="BK3012" s="2"/>
      <c r="BL3012" s="136"/>
      <c r="BM3012" s="136"/>
      <c r="BN3012" s="2"/>
      <c r="BO3012" s="2"/>
      <c r="BP3012" s="136"/>
      <c r="BQ3012" s="137"/>
    </row>
    <row r="3013" spans="1:69" ht="12.75" customHeight="1" x14ac:dyDescent="0.2">
      <c r="A3013" s="2">
        <v>4502</v>
      </c>
      <c r="B3013" s="2"/>
      <c r="C3013" s="2"/>
      <c r="D3013" s="2"/>
      <c r="E3013" s="2"/>
      <c r="F3013" s="132">
        <v>0</v>
      </c>
      <c r="G3013" s="132"/>
      <c r="H3013" s="132">
        <f t="shared" si="339"/>
        <v>0</v>
      </c>
      <c r="I3013" s="132"/>
      <c r="J3013" s="132">
        <f t="shared" si="337"/>
        <v>0</v>
      </c>
      <c r="K3013" s="132">
        <f t="shared" si="340"/>
        <v>0</v>
      </c>
      <c r="L3013" s="132">
        <f t="shared" si="334"/>
        <v>0</v>
      </c>
      <c r="M3013" s="133"/>
      <c r="N3013" s="133">
        <f t="shared" si="338"/>
        <v>0</v>
      </c>
      <c r="O3013" s="134"/>
      <c r="P3013" s="133"/>
      <c r="Q3013" s="2"/>
      <c r="R3013" s="156">
        <f t="shared" si="335"/>
        <v>0</v>
      </c>
      <c r="S3013" s="156">
        <f t="shared" si="336"/>
        <v>0</v>
      </c>
      <c r="T3013" s="133"/>
      <c r="U3013" s="133"/>
      <c r="V3013" s="133"/>
      <c r="W3013" s="133"/>
      <c r="X3013" s="133"/>
      <c r="Y3013" s="133"/>
      <c r="Z3013" s="133"/>
      <c r="AA3013" s="133"/>
      <c r="AB3013" s="133"/>
      <c r="AC3013" s="133"/>
      <c r="AD3013" s="133"/>
      <c r="AE3013" s="133"/>
      <c r="AF3013" s="133"/>
      <c r="AG3013" s="133"/>
      <c r="AH3013" s="133"/>
      <c r="AI3013" s="133"/>
      <c r="AJ3013" s="133"/>
      <c r="AK3013" s="133"/>
      <c r="AL3013" s="133"/>
      <c r="AM3013" s="133"/>
      <c r="AN3013" s="133"/>
      <c r="AO3013" s="133"/>
      <c r="AP3013" s="133"/>
      <c r="AQ3013" s="133"/>
      <c r="AR3013" s="133"/>
      <c r="AS3013" s="153">
        <v>0</v>
      </c>
      <c r="AT3013" s="153">
        <v>0</v>
      </c>
      <c r="AU3013" s="153">
        <v>0</v>
      </c>
      <c r="AV3013" s="135"/>
      <c r="AW3013" s="135"/>
      <c r="AX3013" s="135"/>
      <c r="AY3013" s="135"/>
      <c r="AZ3013" s="135"/>
      <c r="BA3013" s="135"/>
      <c r="BB3013" s="135"/>
      <c r="BC3013" s="135"/>
      <c r="BD3013" s="135"/>
      <c r="BE3013" s="135"/>
      <c r="BF3013" s="135"/>
      <c r="BG3013" s="135"/>
      <c r="BH3013" s="135"/>
      <c r="BI3013" s="2"/>
      <c r="BJ3013" s="136"/>
      <c r="BK3013" s="2"/>
      <c r="BL3013" s="136"/>
      <c r="BM3013" s="136"/>
      <c r="BN3013" s="2"/>
      <c r="BO3013" s="2"/>
      <c r="BP3013" s="136"/>
      <c r="BQ3013" s="137"/>
    </row>
    <row r="3014" spans="1:69" ht="12.75" customHeight="1" x14ac:dyDescent="0.2">
      <c r="A3014" s="2">
        <v>4503</v>
      </c>
      <c r="B3014" s="2"/>
      <c r="C3014" s="2"/>
      <c r="D3014" s="2"/>
      <c r="E3014" s="2"/>
      <c r="F3014" s="132">
        <v>0</v>
      </c>
      <c r="G3014" s="132"/>
      <c r="H3014" s="132">
        <f t="shared" si="339"/>
        <v>0</v>
      </c>
      <c r="I3014" s="132"/>
      <c r="J3014" s="132">
        <f t="shared" si="337"/>
        <v>0</v>
      </c>
      <c r="K3014" s="132">
        <f t="shared" si="340"/>
        <v>0</v>
      </c>
      <c r="L3014" s="132">
        <f t="shared" si="334"/>
        <v>0</v>
      </c>
      <c r="M3014" s="133"/>
      <c r="N3014" s="133">
        <f t="shared" si="338"/>
        <v>0</v>
      </c>
      <c r="O3014" s="134"/>
      <c r="P3014" s="133"/>
      <c r="Q3014" s="2"/>
      <c r="R3014" s="156">
        <f t="shared" si="335"/>
        <v>0</v>
      </c>
      <c r="S3014" s="156">
        <f t="shared" si="336"/>
        <v>0</v>
      </c>
      <c r="T3014" s="133"/>
      <c r="U3014" s="133"/>
      <c r="V3014" s="133"/>
      <c r="W3014" s="133"/>
      <c r="X3014" s="133"/>
      <c r="Y3014" s="133"/>
      <c r="Z3014" s="133"/>
      <c r="AA3014" s="133"/>
      <c r="AB3014" s="133"/>
      <c r="AC3014" s="133"/>
      <c r="AD3014" s="133"/>
      <c r="AE3014" s="133"/>
      <c r="AF3014" s="133"/>
      <c r="AG3014" s="133"/>
      <c r="AH3014" s="133"/>
      <c r="AI3014" s="133"/>
      <c r="AJ3014" s="133"/>
      <c r="AK3014" s="133"/>
      <c r="AL3014" s="133"/>
      <c r="AM3014" s="133"/>
      <c r="AN3014" s="133"/>
      <c r="AO3014" s="133"/>
      <c r="AP3014" s="133"/>
      <c r="AQ3014" s="133"/>
      <c r="AR3014" s="133"/>
      <c r="AS3014" s="153">
        <v>0</v>
      </c>
      <c r="AT3014" s="153">
        <v>0</v>
      </c>
      <c r="AU3014" s="153">
        <v>0</v>
      </c>
      <c r="AV3014" s="135"/>
      <c r="AW3014" s="135"/>
      <c r="AX3014" s="135"/>
      <c r="AY3014" s="135"/>
      <c r="AZ3014" s="135"/>
      <c r="BA3014" s="135"/>
      <c r="BB3014" s="135"/>
      <c r="BC3014" s="135"/>
      <c r="BD3014" s="135"/>
      <c r="BE3014" s="135"/>
      <c r="BF3014" s="135"/>
      <c r="BG3014" s="135"/>
      <c r="BH3014" s="135"/>
      <c r="BI3014" s="2"/>
      <c r="BJ3014" s="136"/>
      <c r="BK3014" s="2"/>
      <c r="BL3014" s="136"/>
      <c r="BM3014" s="136"/>
      <c r="BN3014" s="2"/>
      <c r="BO3014" s="2"/>
      <c r="BP3014" s="136"/>
      <c r="BQ3014" s="137"/>
    </row>
    <row r="3015" spans="1:69" ht="12.75" customHeight="1" x14ac:dyDescent="0.2">
      <c r="A3015" s="2">
        <v>4504</v>
      </c>
      <c r="B3015" s="2"/>
      <c r="C3015" s="2"/>
      <c r="D3015" s="2"/>
      <c r="E3015" s="2"/>
      <c r="F3015" s="132">
        <v>0</v>
      </c>
      <c r="G3015" s="132"/>
      <c r="H3015" s="132">
        <f t="shared" si="339"/>
        <v>0</v>
      </c>
      <c r="I3015" s="132"/>
      <c r="J3015" s="132">
        <f t="shared" si="337"/>
        <v>0</v>
      </c>
      <c r="K3015" s="132">
        <f t="shared" si="340"/>
        <v>0</v>
      </c>
      <c r="L3015" s="132">
        <f t="shared" si="334"/>
        <v>0</v>
      </c>
      <c r="M3015" s="133"/>
      <c r="N3015" s="133">
        <f t="shared" si="338"/>
        <v>0</v>
      </c>
      <c r="O3015" s="134"/>
      <c r="P3015" s="133"/>
      <c r="Q3015" s="2"/>
      <c r="R3015" s="156">
        <f t="shared" si="335"/>
        <v>0</v>
      </c>
      <c r="S3015" s="156">
        <f t="shared" si="336"/>
        <v>0</v>
      </c>
      <c r="T3015" s="133"/>
      <c r="U3015" s="133"/>
      <c r="V3015" s="133"/>
      <c r="W3015" s="133"/>
      <c r="X3015" s="133"/>
      <c r="Y3015" s="133"/>
      <c r="Z3015" s="133"/>
      <c r="AA3015" s="133"/>
      <c r="AB3015" s="133"/>
      <c r="AC3015" s="133"/>
      <c r="AD3015" s="133"/>
      <c r="AE3015" s="133"/>
      <c r="AF3015" s="133"/>
      <c r="AG3015" s="133"/>
      <c r="AH3015" s="133"/>
      <c r="AI3015" s="133"/>
      <c r="AJ3015" s="133"/>
      <c r="AK3015" s="133"/>
      <c r="AL3015" s="133"/>
      <c r="AM3015" s="133"/>
      <c r="AN3015" s="133"/>
      <c r="AO3015" s="133"/>
      <c r="AP3015" s="133"/>
      <c r="AQ3015" s="133"/>
      <c r="AR3015" s="133"/>
      <c r="AS3015" s="153">
        <v>0</v>
      </c>
      <c r="AT3015" s="153">
        <v>0</v>
      </c>
      <c r="AU3015" s="153">
        <v>0</v>
      </c>
      <c r="AV3015" s="135"/>
      <c r="AW3015" s="135"/>
      <c r="AX3015" s="135"/>
      <c r="AY3015" s="135"/>
      <c r="AZ3015" s="135"/>
      <c r="BA3015" s="135"/>
      <c r="BB3015" s="135"/>
      <c r="BC3015" s="135"/>
      <c r="BD3015" s="135"/>
      <c r="BE3015" s="135"/>
      <c r="BF3015" s="135"/>
      <c r="BG3015" s="135"/>
      <c r="BH3015" s="135"/>
      <c r="BI3015" s="2"/>
      <c r="BJ3015" s="136"/>
      <c r="BK3015" s="2"/>
      <c r="BL3015" s="136"/>
      <c r="BM3015" s="136"/>
      <c r="BN3015" s="2"/>
      <c r="BO3015" s="2"/>
      <c r="BP3015" s="136"/>
      <c r="BQ3015" s="137"/>
    </row>
    <row r="3016" spans="1:69" ht="12.75" customHeight="1" x14ac:dyDescent="0.2">
      <c r="A3016" s="2">
        <v>4505</v>
      </c>
      <c r="B3016" s="2"/>
      <c r="C3016" s="2"/>
      <c r="D3016" s="2"/>
      <c r="E3016" s="2"/>
      <c r="F3016" s="132">
        <v>0</v>
      </c>
      <c r="G3016" s="132"/>
      <c r="H3016" s="132">
        <f t="shared" si="339"/>
        <v>0</v>
      </c>
      <c r="I3016" s="132"/>
      <c r="J3016" s="132">
        <f t="shared" si="337"/>
        <v>0</v>
      </c>
      <c r="K3016" s="132">
        <f t="shared" si="340"/>
        <v>0</v>
      </c>
      <c r="L3016" s="132">
        <f t="shared" si="334"/>
        <v>0</v>
      </c>
      <c r="M3016" s="133"/>
      <c r="N3016" s="133">
        <f t="shared" si="338"/>
        <v>0</v>
      </c>
      <c r="O3016" s="134"/>
      <c r="P3016" s="133"/>
      <c r="Q3016" s="2"/>
      <c r="R3016" s="156">
        <f t="shared" si="335"/>
        <v>0</v>
      </c>
      <c r="S3016" s="156">
        <f t="shared" si="336"/>
        <v>0</v>
      </c>
      <c r="T3016" s="133"/>
      <c r="U3016" s="133"/>
      <c r="V3016" s="133"/>
      <c r="W3016" s="133"/>
      <c r="X3016" s="133"/>
      <c r="Y3016" s="133"/>
      <c r="Z3016" s="133"/>
      <c r="AA3016" s="133"/>
      <c r="AB3016" s="133"/>
      <c r="AC3016" s="133"/>
      <c r="AD3016" s="133"/>
      <c r="AE3016" s="133"/>
      <c r="AF3016" s="133"/>
      <c r="AG3016" s="133"/>
      <c r="AH3016" s="133"/>
      <c r="AI3016" s="133"/>
      <c r="AJ3016" s="133"/>
      <c r="AK3016" s="133"/>
      <c r="AL3016" s="133"/>
      <c r="AM3016" s="133"/>
      <c r="AN3016" s="133"/>
      <c r="AO3016" s="133"/>
      <c r="AP3016" s="133"/>
      <c r="AQ3016" s="133"/>
      <c r="AR3016" s="133"/>
      <c r="AS3016" s="153">
        <v>0</v>
      </c>
      <c r="AT3016" s="153">
        <v>0</v>
      </c>
      <c r="AU3016" s="153">
        <v>0</v>
      </c>
      <c r="AV3016" s="135"/>
      <c r="AW3016" s="135"/>
      <c r="AX3016" s="135"/>
      <c r="AY3016" s="135"/>
      <c r="AZ3016" s="135"/>
      <c r="BA3016" s="135"/>
      <c r="BB3016" s="135"/>
      <c r="BC3016" s="135"/>
      <c r="BD3016" s="135"/>
      <c r="BE3016" s="135"/>
      <c r="BF3016" s="135"/>
      <c r="BG3016" s="135"/>
      <c r="BH3016" s="135"/>
      <c r="BI3016" s="2"/>
      <c r="BJ3016" s="136"/>
      <c r="BK3016" s="2"/>
      <c r="BL3016" s="136"/>
      <c r="BM3016" s="136"/>
      <c r="BN3016" s="2"/>
      <c r="BO3016" s="2"/>
      <c r="BP3016" s="136"/>
      <c r="BQ3016" s="137"/>
    </row>
    <row r="3017" spans="1:69" ht="12.75" customHeight="1" x14ac:dyDescent="0.2">
      <c r="A3017" s="2">
        <v>4506</v>
      </c>
      <c r="B3017" s="2"/>
      <c r="C3017" s="2"/>
      <c r="D3017" s="2"/>
      <c r="E3017" s="2"/>
      <c r="F3017" s="132">
        <v>0</v>
      </c>
      <c r="G3017" s="132"/>
      <c r="H3017" s="132">
        <f t="shared" si="339"/>
        <v>0</v>
      </c>
      <c r="I3017" s="132"/>
      <c r="J3017" s="132">
        <f t="shared" si="337"/>
        <v>0</v>
      </c>
      <c r="K3017" s="132">
        <f t="shared" si="340"/>
        <v>0</v>
      </c>
      <c r="L3017" s="132">
        <f t="shared" si="334"/>
        <v>0</v>
      </c>
      <c r="M3017" s="133"/>
      <c r="N3017" s="133">
        <f t="shared" si="338"/>
        <v>0</v>
      </c>
      <c r="O3017" s="134"/>
      <c r="P3017" s="133"/>
      <c r="Q3017" s="2"/>
      <c r="R3017" s="156">
        <f t="shared" si="335"/>
        <v>0</v>
      </c>
      <c r="S3017" s="156">
        <f t="shared" si="336"/>
        <v>0</v>
      </c>
      <c r="T3017" s="133"/>
      <c r="U3017" s="133"/>
      <c r="V3017" s="133"/>
      <c r="W3017" s="133"/>
      <c r="X3017" s="133"/>
      <c r="Y3017" s="133"/>
      <c r="Z3017" s="133"/>
      <c r="AA3017" s="133"/>
      <c r="AB3017" s="133"/>
      <c r="AC3017" s="133"/>
      <c r="AD3017" s="133"/>
      <c r="AE3017" s="133"/>
      <c r="AF3017" s="133"/>
      <c r="AG3017" s="133"/>
      <c r="AH3017" s="133"/>
      <c r="AI3017" s="133"/>
      <c r="AJ3017" s="133"/>
      <c r="AK3017" s="133"/>
      <c r="AL3017" s="133"/>
      <c r="AM3017" s="133"/>
      <c r="AN3017" s="133"/>
      <c r="AO3017" s="133"/>
      <c r="AP3017" s="133"/>
      <c r="AQ3017" s="133"/>
      <c r="AR3017" s="133"/>
      <c r="AS3017" s="153">
        <v>0</v>
      </c>
      <c r="AT3017" s="153">
        <v>0</v>
      </c>
      <c r="AU3017" s="153">
        <v>0</v>
      </c>
      <c r="AV3017" s="135"/>
      <c r="AW3017" s="135"/>
      <c r="AX3017" s="135"/>
      <c r="AY3017" s="135"/>
      <c r="AZ3017" s="135"/>
      <c r="BA3017" s="135"/>
      <c r="BB3017" s="135"/>
      <c r="BC3017" s="135"/>
      <c r="BD3017" s="135"/>
      <c r="BE3017" s="135"/>
      <c r="BF3017" s="135"/>
      <c r="BG3017" s="135"/>
      <c r="BH3017" s="135"/>
      <c r="BI3017" s="2"/>
      <c r="BJ3017" s="136"/>
      <c r="BK3017" s="2"/>
      <c r="BL3017" s="136"/>
      <c r="BM3017" s="136"/>
      <c r="BN3017" s="2"/>
      <c r="BO3017" s="2"/>
      <c r="BP3017" s="136"/>
      <c r="BQ3017" s="137"/>
    </row>
    <row r="3018" spans="1:69" ht="12.75" customHeight="1" x14ac:dyDescent="0.2">
      <c r="A3018" s="2">
        <v>4507</v>
      </c>
      <c r="B3018" s="2"/>
      <c r="C3018" s="2"/>
      <c r="D3018" s="2"/>
      <c r="E3018" s="2"/>
      <c r="F3018" s="132">
        <v>0</v>
      </c>
      <c r="G3018" s="132"/>
      <c r="H3018" s="132">
        <f t="shared" si="339"/>
        <v>0</v>
      </c>
      <c r="I3018" s="132"/>
      <c r="J3018" s="132">
        <f t="shared" si="337"/>
        <v>0</v>
      </c>
      <c r="K3018" s="132">
        <f t="shared" si="340"/>
        <v>0</v>
      </c>
      <c r="L3018" s="132">
        <f t="shared" si="334"/>
        <v>0</v>
      </c>
      <c r="M3018" s="133"/>
      <c r="N3018" s="133">
        <f t="shared" si="338"/>
        <v>0</v>
      </c>
      <c r="O3018" s="134"/>
      <c r="P3018" s="133"/>
      <c r="Q3018" s="2"/>
      <c r="R3018" s="156">
        <f t="shared" si="335"/>
        <v>0</v>
      </c>
      <c r="S3018" s="156">
        <f t="shared" si="336"/>
        <v>0</v>
      </c>
      <c r="T3018" s="133"/>
      <c r="U3018" s="133"/>
      <c r="V3018" s="133"/>
      <c r="W3018" s="133"/>
      <c r="X3018" s="133"/>
      <c r="Y3018" s="133"/>
      <c r="Z3018" s="133"/>
      <c r="AA3018" s="133"/>
      <c r="AB3018" s="133"/>
      <c r="AC3018" s="133"/>
      <c r="AD3018" s="133"/>
      <c r="AE3018" s="133"/>
      <c r="AF3018" s="133"/>
      <c r="AG3018" s="133"/>
      <c r="AH3018" s="133"/>
      <c r="AI3018" s="133"/>
      <c r="AJ3018" s="133"/>
      <c r="AK3018" s="133"/>
      <c r="AL3018" s="133"/>
      <c r="AM3018" s="133"/>
      <c r="AN3018" s="133"/>
      <c r="AO3018" s="133"/>
      <c r="AP3018" s="133"/>
      <c r="AQ3018" s="133"/>
      <c r="AR3018" s="133"/>
      <c r="AS3018" s="153">
        <v>0</v>
      </c>
      <c r="AT3018" s="153">
        <v>0</v>
      </c>
      <c r="AU3018" s="153">
        <v>0</v>
      </c>
      <c r="AV3018" s="135"/>
      <c r="AW3018" s="135"/>
      <c r="AX3018" s="135"/>
      <c r="AY3018" s="135"/>
      <c r="AZ3018" s="135"/>
      <c r="BA3018" s="135"/>
      <c r="BB3018" s="135"/>
      <c r="BC3018" s="135"/>
      <c r="BD3018" s="135"/>
      <c r="BE3018" s="135"/>
      <c r="BF3018" s="135"/>
      <c r="BG3018" s="135"/>
      <c r="BH3018" s="135"/>
      <c r="BI3018" s="2"/>
      <c r="BJ3018" s="136"/>
      <c r="BK3018" s="2"/>
      <c r="BL3018" s="136"/>
      <c r="BM3018" s="136"/>
      <c r="BN3018" s="2"/>
      <c r="BO3018" s="2"/>
      <c r="BP3018" s="136"/>
      <c r="BQ3018" s="137"/>
    </row>
    <row r="3019" spans="1:69" ht="12.75" customHeight="1" x14ac:dyDescent="0.2">
      <c r="A3019" s="2">
        <v>4508</v>
      </c>
      <c r="B3019" s="2"/>
      <c r="C3019" s="2"/>
      <c r="D3019" s="2"/>
      <c r="E3019" s="2"/>
      <c r="F3019" s="132">
        <v>0</v>
      </c>
      <c r="G3019" s="132"/>
      <c r="H3019" s="132">
        <f t="shared" si="339"/>
        <v>0</v>
      </c>
      <c r="I3019" s="132"/>
      <c r="J3019" s="132">
        <f t="shared" si="337"/>
        <v>0</v>
      </c>
      <c r="K3019" s="132">
        <f t="shared" si="340"/>
        <v>0</v>
      </c>
      <c r="L3019" s="132">
        <f t="shared" ref="L3019:L3082" si="341">H3019-J3019</f>
        <v>0</v>
      </c>
      <c r="M3019" s="133"/>
      <c r="N3019" s="133">
        <f t="shared" si="338"/>
        <v>0</v>
      </c>
      <c r="O3019" s="134"/>
      <c r="P3019" s="133"/>
      <c r="Q3019" s="2"/>
      <c r="R3019" s="156">
        <f t="shared" ref="R3019:R3082" si="342">T3019+V3019+X3019+Z3019+AB3019+AD3019+AF3019+AH3019+AJ3019+AL3019+AN3019+AP3019</f>
        <v>0</v>
      </c>
      <c r="S3019" s="156">
        <f t="shared" ref="S3019:S3082" si="343">U3019+W3019+Y3019+AA3019+AC3019+AE3019+AG3019+AI3019+AK3019+AM3019+AO3019+AQ3019</f>
        <v>0</v>
      </c>
      <c r="T3019" s="133"/>
      <c r="U3019" s="133"/>
      <c r="V3019" s="133"/>
      <c r="W3019" s="133"/>
      <c r="X3019" s="133"/>
      <c r="Y3019" s="133"/>
      <c r="Z3019" s="133"/>
      <c r="AA3019" s="133"/>
      <c r="AB3019" s="133"/>
      <c r="AC3019" s="133"/>
      <c r="AD3019" s="133"/>
      <c r="AE3019" s="133"/>
      <c r="AF3019" s="133"/>
      <c r="AG3019" s="133"/>
      <c r="AH3019" s="133"/>
      <c r="AI3019" s="133"/>
      <c r="AJ3019" s="133"/>
      <c r="AK3019" s="133"/>
      <c r="AL3019" s="133"/>
      <c r="AM3019" s="133"/>
      <c r="AN3019" s="133"/>
      <c r="AO3019" s="133"/>
      <c r="AP3019" s="133"/>
      <c r="AQ3019" s="133"/>
      <c r="AR3019" s="133"/>
      <c r="AS3019" s="153">
        <v>0</v>
      </c>
      <c r="AT3019" s="153">
        <v>0</v>
      </c>
      <c r="AU3019" s="153">
        <v>0</v>
      </c>
      <c r="AV3019" s="135"/>
      <c r="AW3019" s="135"/>
      <c r="AX3019" s="135"/>
      <c r="AY3019" s="135"/>
      <c r="AZ3019" s="135"/>
      <c r="BA3019" s="135"/>
      <c r="BB3019" s="135"/>
      <c r="BC3019" s="135"/>
      <c r="BD3019" s="135"/>
      <c r="BE3019" s="135"/>
      <c r="BF3019" s="135"/>
      <c r="BG3019" s="135"/>
      <c r="BH3019" s="135"/>
      <c r="BI3019" s="2"/>
      <c r="BJ3019" s="136"/>
      <c r="BK3019" s="2"/>
      <c r="BL3019" s="136"/>
      <c r="BM3019" s="136"/>
      <c r="BN3019" s="2"/>
      <c r="BO3019" s="2"/>
      <c r="BP3019" s="136"/>
      <c r="BQ3019" s="137"/>
    </row>
    <row r="3020" spans="1:69" ht="12.75" customHeight="1" x14ac:dyDescent="0.2">
      <c r="A3020" s="2">
        <v>4509</v>
      </c>
      <c r="B3020" s="2"/>
      <c r="C3020" s="2"/>
      <c r="D3020" s="2"/>
      <c r="E3020" s="2"/>
      <c r="F3020" s="132">
        <v>0</v>
      </c>
      <c r="G3020" s="132"/>
      <c r="H3020" s="132">
        <f t="shared" si="339"/>
        <v>0</v>
      </c>
      <c r="I3020" s="132"/>
      <c r="J3020" s="132">
        <f t="shared" si="337"/>
        <v>0</v>
      </c>
      <c r="K3020" s="132">
        <f t="shared" si="340"/>
        <v>0</v>
      </c>
      <c r="L3020" s="132">
        <f t="shared" si="341"/>
        <v>0</v>
      </c>
      <c r="M3020" s="133"/>
      <c r="N3020" s="133">
        <f t="shared" si="338"/>
        <v>0</v>
      </c>
      <c r="O3020" s="134"/>
      <c r="P3020" s="133"/>
      <c r="Q3020" s="2"/>
      <c r="R3020" s="156">
        <f t="shared" si="342"/>
        <v>0</v>
      </c>
      <c r="S3020" s="156">
        <f t="shared" si="343"/>
        <v>0</v>
      </c>
      <c r="T3020" s="133"/>
      <c r="U3020" s="133"/>
      <c r="V3020" s="133"/>
      <c r="W3020" s="133"/>
      <c r="X3020" s="133"/>
      <c r="Y3020" s="133"/>
      <c r="Z3020" s="133"/>
      <c r="AA3020" s="133"/>
      <c r="AB3020" s="133"/>
      <c r="AC3020" s="133"/>
      <c r="AD3020" s="133"/>
      <c r="AE3020" s="133"/>
      <c r="AF3020" s="133"/>
      <c r="AG3020" s="133"/>
      <c r="AH3020" s="133"/>
      <c r="AI3020" s="133"/>
      <c r="AJ3020" s="133"/>
      <c r="AK3020" s="133"/>
      <c r="AL3020" s="133"/>
      <c r="AM3020" s="133"/>
      <c r="AN3020" s="133"/>
      <c r="AO3020" s="133"/>
      <c r="AP3020" s="133"/>
      <c r="AQ3020" s="133"/>
      <c r="AR3020" s="133"/>
      <c r="AS3020" s="153">
        <v>0</v>
      </c>
      <c r="AT3020" s="153">
        <v>0</v>
      </c>
      <c r="AU3020" s="153">
        <v>0</v>
      </c>
      <c r="AV3020" s="135"/>
      <c r="AW3020" s="135"/>
      <c r="AX3020" s="135"/>
      <c r="AY3020" s="135"/>
      <c r="AZ3020" s="135"/>
      <c r="BA3020" s="135"/>
      <c r="BB3020" s="135"/>
      <c r="BC3020" s="135"/>
      <c r="BD3020" s="135"/>
      <c r="BE3020" s="135"/>
      <c r="BF3020" s="135"/>
      <c r="BG3020" s="135"/>
      <c r="BH3020" s="135"/>
      <c r="BI3020" s="2"/>
      <c r="BJ3020" s="136"/>
      <c r="BK3020" s="2"/>
      <c r="BL3020" s="136"/>
      <c r="BM3020" s="136"/>
      <c r="BN3020" s="2"/>
      <c r="BO3020" s="2"/>
      <c r="BP3020" s="136"/>
      <c r="BQ3020" s="137"/>
    </row>
    <row r="3021" spans="1:69" ht="12.75" customHeight="1" x14ac:dyDescent="0.2">
      <c r="A3021" s="2">
        <v>4510</v>
      </c>
      <c r="B3021" s="2"/>
      <c r="C3021" s="2"/>
      <c r="D3021" s="2"/>
      <c r="E3021" s="2"/>
      <c r="F3021" s="132">
        <v>0</v>
      </c>
      <c r="G3021" s="132"/>
      <c r="H3021" s="132">
        <f t="shared" si="339"/>
        <v>0</v>
      </c>
      <c r="I3021" s="132"/>
      <c r="J3021" s="132">
        <f t="shared" si="337"/>
        <v>0</v>
      </c>
      <c r="K3021" s="132">
        <f t="shared" si="340"/>
        <v>0</v>
      </c>
      <c r="L3021" s="132">
        <f t="shared" si="341"/>
        <v>0</v>
      </c>
      <c r="M3021" s="133"/>
      <c r="N3021" s="133">
        <f t="shared" si="338"/>
        <v>0</v>
      </c>
      <c r="O3021" s="134"/>
      <c r="P3021" s="133"/>
      <c r="Q3021" s="2"/>
      <c r="R3021" s="156">
        <f t="shared" si="342"/>
        <v>0</v>
      </c>
      <c r="S3021" s="156">
        <f t="shared" si="343"/>
        <v>0</v>
      </c>
      <c r="T3021" s="133"/>
      <c r="U3021" s="133"/>
      <c r="V3021" s="133"/>
      <c r="W3021" s="133"/>
      <c r="X3021" s="133"/>
      <c r="Y3021" s="133"/>
      <c r="Z3021" s="133"/>
      <c r="AA3021" s="133"/>
      <c r="AB3021" s="133"/>
      <c r="AC3021" s="133"/>
      <c r="AD3021" s="133"/>
      <c r="AE3021" s="133"/>
      <c r="AF3021" s="133"/>
      <c r="AG3021" s="133"/>
      <c r="AH3021" s="133"/>
      <c r="AI3021" s="133"/>
      <c r="AJ3021" s="133"/>
      <c r="AK3021" s="133"/>
      <c r="AL3021" s="133"/>
      <c r="AM3021" s="133"/>
      <c r="AN3021" s="133"/>
      <c r="AO3021" s="133"/>
      <c r="AP3021" s="133"/>
      <c r="AQ3021" s="133"/>
      <c r="AR3021" s="133"/>
      <c r="AS3021" s="153">
        <v>0</v>
      </c>
      <c r="AT3021" s="153">
        <v>0</v>
      </c>
      <c r="AU3021" s="153">
        <v>0</v>
      </c>
      <c r="AV3021" s="135"/>
      <c r="AW3021" s="135"/>
      <c r="AX3021" s="135"/>
      <c r="AY3021" s="135"/>
      <c r="AZ3021" s="135"/>
      <c r="BA3021" s="135"/>
      <c r="BB3021" s="135"/>
      <c r="BC3021" s="135"/>
      <c r="BD3021" s="135"/>
      <c r="BE3021" s="135"/>
      <c r="BF3021" s="135"/>
      <c r="BG3021" s="135"/>
      <c r="BH3021" s="135"/>
      <c r="BI3021" s="2"/>
      <c r="BJ3021" s="136"/>
      <c r="BK3021" s="2"/>
      <c r="BL3021" s="136"/>
      <c r="BM3021" s="136"/>
      <c r="BN3021" s="2"/>
      <c r="BO3021" s="2"/>
      <c r="BP3021" s="136"/>
      <c r="BQ3021" s="137"/>
    </row>
    <row r="3022" spans="1:69" ht="12.75" customHeight="1" x14ac:dyDescent="0.2">
      <c r="A3022" s="2">
        <v>4511</v>
      </c>
      <c r="B3022" s="2"/>
      <c r="C3022" s="2"/>
      <c r="D3022" s="2"/>
      <c r="E3022" s="2"/>
      <c r="F3022" s="132">
        <v>0</v>
      </c>
      <c r="G3022" s="132"/>
      <c r="H3022" s="132">
        <f t="shared" si="339"/>
        <v>0</v>
      </c>
      <c r="I3022" s="132"/>
      <c r="J3022" s="132">
        <f t="shared" si="337"/>
        <v>0</v>
      </c>
      <c r="K3022" s="132">
        <f t="shared" si="340"/>
        <v>0</v>
      </c>
      <c r="L3022" s="132">
        <f t="shared" si="341"/>
        <v>0</v>
      </c>
      <c r="M3022" s="133"/>
      <c r="N3022" s="133">
        <f t="shared" si="338"/>
        <v>0</v>
      </c>
      <c r="O3022" s="134"/>
      <c r="P3022" s="133"/>
      <c r="Q3022" s="2"/>
      <c r="R3022" s="156">
        <f t="shared" si="342"/>
        <v>0</v>
      </c>
      <c r="S3022" s="156">
        <f t="shared" si="343"/>
        <v>0</v>
      </c>
      <c r="T3022" s="133"/>
      <c r="U3022" s="133"/>
      <c r="V3022" s="133"/>
      <c r="W3022" s="133"/>
      <c r="X3022" s="133"/>
      <c r="Y3022" s="133"/>
      <c r="Z3022" s="133"/>
      <c r="AA3022" s="133"/>
      <c r="AB3022" s="133"/>
      <c r="AC3022" s="133"/>
      <c r="AD3022" s="133"/>
      <c r="AE3022" s="133"/>
      <c r="AF3022" s="133"/>
      <c r="AG3022" s="133"/>
      <c r="AH3022" s="133"/>
      <c r="AI3022" s="133"/>
      <c r="AJ3022" s="133"/>
      <c r="AK3022" s="133"/>
      <c r="AL3022" s="133"/>
      <c r="AM3022" s="133"/>
      <c r="AN3022" s="133"/>
      <c r="AO3022" s="133"/>
      <c r="AP3022" s="133"/>
      <c r="AQ3022" s="133"/>
      <c r="AR3022" s="133"/>
      <c r="AS3022" s="153">
        <v>0</v>
      </c>
      <c r="AT3022" s="153">
        <v>0</v>
      </c>
      <c r="AU3022" s="153">
        <v>0</v>
      </c>
      <c r="AV3022" s="135"/>
      <c r="AW3022" s="135"/>
      <c r="AX3022" s="135"/>
      <c r="AY3022" s="135"/>
      <c r="AZ3022" s="135"/>
      <c r="BA3022" s="135"/>
      <c r="BB3022" s="135"/>
      <c r="BC3022" s="135"/>
      <c r="BD3022" s="135"/>
      <c r="BE3022" s="135"/>
      <c r="BF3022" s="135"/>
      <c r="BG3022" s="135"/>
      <c r="BH3022" s="135"/>
      <c r="BI3022" s="2"/>
      <c r="BJ3022" s="136"/>
      <c r="BK3022" s="2"/>
      <c r="BL3022" s="136"/>
      <c r="BM3022" s="136"/>
      <c r="BN3022" s="2"/>
      <c r="BO3022" s="2"/>
      <c r="BP3022" s="136"/>
      <c r="BQ3022" s="137"/>
    </row>
    <row r="3023" spans="1:69" ht="12.75" customHeight="1" x14ac:dyDescent="0.2">
      <c r="A3023" s="2">
        <v>4512</v>
      </c>
      <c r="B3023" s="2"/>
      <c r="C3023" s="2"/>
      <c r="D3023" s="2"/>
      <c r="E3023" s="2"/>
      <c r="F3023" s="132">
        <v>0</v>
      </c>
      <c r="G3023" s="132"/>
      <c r="H3023" s="132">
        <f t="shared" si="339"/>
        <v>0</v>
      </c>
      <c r="I3023" s="132"/>
      <c r="J3023" s="132">
        <f t="shared" si="337"/>
        <v>0</v>
      </c>
      <c r="K3023" s="132">
        <f t="shared" si="340"/>
        <v>0</v>
      </c>
      <c r="L3023" s="132">
        <f t="shared" si="341"/>
        <v>0</v>
      </c>
      <c r="M3023" s="133"/>
      <c r="N3023" s="133">
        <f t="shared" si="338"/>
        <v>0</v>
      </c>
      <c r="O3023" s="134"/>
      <c r="P3023" s="133"/>
      <c r="Q3023" s="2"/>
      <c r="R3023" s="156">
        <f t="shared" si="342"/>
        <v>0</v>
      </c>
      <c r="S3023" s="156">
        <f t="shared" si="343"/>
        <v>0</v>
      </c>
      <c r="T3023" s="133"/>
      <c r="U3023" s="133"/>
      <c r="V3023" s="133"/>
      <c r="W3023" s="133"/>
      <c r="X3023" s="133"/>
      <c r="Y3023" s="133"/>
      <c r="Z3023" s="133"/>
      <c r="AA3023" s="133"/>
      <c r="AB3023" s="133"/>
      <c r="AC3023" s="133"/>
      <c r="AD3023" s="133"/>
      <c r="AE3023" s="133"/>
      <c r="AF3023" s="133"/>
      <c r="AG3023" s="133"/>
      <c r="AH3023" s="133"/>
      <c r="AI3023" s="133"/>
      <c r="AJ3023" s="133"/>
      <c r="AK3023" s="133"/>
      <c r="AL3023" s="133"/>
      <c r="AM3023" s="133"/>
      <c r="AN3023" s="133"/>
      <c r="AO3023" s="133"/>
      <c r="AP3023" s="133"/>
      <c r="AQ3023" s="133"/>
      <c r="AR3023" s="133"/>
      <c r="AS3023" s="153">
        <v>0</v>
      </c>
      <c r="AT3023" s="153">
        <v>0</v>
      </c>
      <c r="AU3023" s="153">
        <v>0</v>
      </c>
      <c r="AV3023" s="135"/>
      <c r="AW3023" s="135"/>
      <c r="AX3023" s="135"/>
      <c r="AY3023" s="135"/>
      <c r="AZ3023" s="135"/>
      <c r="BA3023" s="135"/>
      <c r="BB3023" s="135"/>
      <c r="BC3023" s="135"/>
      <c r="BD3023" s="135"/>
      <c r="BE3023" s="135"/>
      <c r="BF3023" s="135"/>
      <c r="BG3023" s="135"/>
      <c r="BH3023" s="135"/>
      <c r="BI3023" s="2"/>
      <c r="BJ3023" s="136"/>
      <c r="BK3023" s="2"/>
      <c r="BL3023" s="136"/>
      <c r="BM3023" s="136"/>
      <c r="BN3023" s="2"/>
      <c r="BO3023" s="2"/>
      <c r="BP3023" s="136"/>
      <c r="BQ3023" s="137"/>
    </row>
    <row r="3024" spans="1:69" ht="12.75" customHeight="1" x14ac:dyDescent="0.2">
      <c r="A3024" s="2">
        <v>4513</v>
      </c>
      <c r="B3024" s="2"/>
      <c r="C3024" s="2"/>
      <c r="D3024" s="2"/>
      <c r="E3024" s="2"/>
      <c r="F3024" s="132">
        <v>0</v>
      </c>
      <c r="G3024" s="132"/>
      <c r="H3024" s="132">
        <f t="shared" si="339"/>
        <v>0</v>
      </c>
      <c r="I3024" s="132"/>
      <c r="J3024" s="132">
        <f t="shared" si="337"/>
        <v>0</v>
      </c>
      <c r="K3024" s="132">
        <f t="shared" si="340"/>
        <v>0</v>
      </c>
      <c r="L3024" s="132">
        <f t="shared" si="341"/>
        <v>0</v>
      </c>
      <c r="M3024" s="133"/>
      <c r="N3024" s="133">
        <f t="shared" si="338"/>
        <v>0</v>
      </c>
      <c r="O3024" s="134"/>
      <c r="P3024" s="133"/>
      <c r="Q3024" s="2"/>
      <c r="R3024" s="156">
        <f t="shared" si="342"/>
        <v>0</v>
      </c>
      <c r="S3024" s="156">
        <f t="shared" si="343"/>
        <v>0</v>
      </c>
      <c r="T3024" s="133"/>
      <c r="U3024" s="133"/>
      <c r="V3024" s="133"/>
      <c r="W3024" s="133"/>
      <c r="X3024" s="133"/>
      <c r="Y3024" s="133"/>
      <c r="Z3024" s="133"/>
      <c r="AA3024" s="133"/>
      <c r="AB3024" s="133"/>
      <c r="AC3024" s="133"/>
      <c r="AD3024" s="133"/>
      <c r="AE3024" s="133"/>
      <c r="AF3024" s="133"/>
      <c r="AG3024" s="133"/>
      <c r="AH3024" s="133"/>
      <c r="AI3024" s="133"/>
      <c r="AJ3024" s="133"/>
      <c r="AK3024" s="133"/>
      <c r="AL3024" s="133"/>
      <c r="AM3024" s="133"/>
      <c r="AN3024" s="133"/>
      <c r="AO3024" s="133"/>
      <c r="AP3024" s="133"/>
      <c r="AQ3024" s="133"/>
      <c r="AR3024" s="133"/>
      <c r="AS3024" s="153">
        <v>0</v>
      </c>
      <c r="AT3024" s="153">
        <v>0</v>
      </c>
      <c r="AU3024" s="153">
        <v>0</v>
      </c>
      <c r="AV3024" s="135"/>
      <c r="AW3024" s="135"/>
      <c r="AX3024" s="135"/>
      <c r="AY3024" s="135"/>
      <c r="AZ3024" s="135"/>
      <c r="BA3024" s="135"/>
      <c r="BB3024" s="135"/>
      <c r="BC3024" s="135"/>
      <c r="BD3024" s="135"/>
      <c r="BE3024" s="135"/>
      <c r="BF3024" s="135"/>
      <c r="BG3024" s="135"/>
      <c r="BH3024" s="135"/>
      <c r="BI3024" s="2"/>
      <c r="BJ3024" s="136"/>
      <c r="BK3024" s="2"/>
      <c r="BL3024" s="136"/>
      <c r="BM3024" s="136"/>
      <c r="BN3024" s="2"/>
      <c r="BO3024" s="2"/>
      <c r="BP3024" s="136"/>
      <c r="BQ3024" s="137"/>
    </row>
    <row r="3025" spans="1:69" ht="12.75" customHeight="1" x14ac:dyDescent="0.2">
      <c r="A3025" s="2">
        <v>4514</v>
      </c>
      <c r="B3025" s="2"/>
      <c r="C3025" s="2"/>
      <c r="D3025" s="2"/>
      <c r="E3025" s="2"/>
      <c r="F3025" s="132">
        <v>0</v>
      </c>
      <c r="G3025" s="132"/>
      <c r="H3025" s="132">
        <f t="shared" si="339"/>
        <v>0</v>
      </c>
      <c r="I3025" s="132"/>
      <c r="J3025" s="132">
        <f t="shared" si="337"/>
        <v>0</v>
      </c>
      <c r="K3025" s="132">
        <f t="shared" si="340"/>
        <v>0</v>
      </c>
      <c r="L3025" s="132">
        <f t="shared" si="341"/>
        <v>0</v>
      </c>
      <c r="M3025" s="133"/>
      <c r="N3025" s="133">
        <f t="shared" si="338"/>
        <v>0</v>
      </c>
      <c r="O3025" s="134"/>
      <c r="P3025" s="133"/>
      <c r="Q3025" s="2"/>
      <c r="R3025" s="156">
        <f t="shared" si="342"/>
        <v>0</v>
      </c>
      <c r="S3025" s="156">
        <f t="shared" si="343"/>
        <v>0</v>
      </c>
      <c r="T3025" s="133"/>
      <c r="U3025" s="133"/>
      <c r="V3025" s="133"/>
      <c r="W3025" s="133"/>
      <c r="X3025" s="133"/>
      <c r="Y3025" s="133"/>
      <c r="Z3025" s="133"/>
      <c r="AA3025" s="133"/>
      <c r="AB3025" s="133"/>
      <c r="AC3025" s="133"/>
      <c r="AD3025" s="133"/>
      <c r="AE3025" s="133"/>
      <c r="AF3025" s="133"/>
      <c r="AG3025" s="133"/>
      <c r="AH3025" s="133"/>
      <c r="AI3025" s="133"/>
      <c r="AJ3025" s="133"/>
      <c r="AK3025" s="133"/>
      <c r="AL3025" s="133"/>
      <c r="AM3025" s="133"/>
      <c r="AN3025" s="133"/>
      <c r="AO3025" s="133"/>
      <c r="AP3025" s="133"/>
      <c r="AQ3025" s="133"/>
      <c r="AR3025" s="133"/>
      <c r="AS3025" s="153">
        <v>0</v>
      </c>
      <c r="AT3025" s="153">
        <v>0</v>
      </c>
      <c r="AU3025" s="153">
        <v>0</v>
      </c>
      <c r="AV3025" s="135"/>
      <c r="AW3025" s="135"/>
      <c r="AX3025" s="135"/>
      <c r="AY3025" s="135"/>
      <c r="AZ3025" s="135"/>
      <c r="BA3025" s="135"/>
      <c r="BB3025" s="135"/>
      <c r="BC3025" s="135"/>
      <c r="BD3025" s="135"/>
      <c r="BE3025" s="135"/>
      <c r="BF3025" s="135"/>
      <c r="BG3025" s="135"/>
      <c r="BH3025" s="135"/>
      <c r="BI3025" s="2"/>
      <c r="BJ3025" s="136"/>
      <c r="BK3025" s="2"/>
      <c r="BL3025" s="136"/>
      <c r="BM3025" s="136"/>
      <c r="BN3025" s="2"/>
      <c r="BO3025" s="2"/>
      <c r="BP3025" s="136"/>
      <c r="BQ3025" s="137"/>
    </row>
    <row r="3026" spans="1:69" ht="12.75" customHeight="1" x14ac:dyDescent="0.2">
      <c r="A3026" s="2">
        <v>4515</v>
      </c>
      <c r="B3026" s="2"/>
      <c r="C3026" s="2"/>
      <c r="D3026" s="2"/>
      <c r="E3026" s="2"/>
      <c r="F3026" s="132">
        <v>0</v>
      </c>
      <c r="G3026" s="132"/>
      <c r="H3026" s="132">
        <f t="shared" si="339"/>
        <v>0</v>
      </c>
      <c r="I3026" s="132"/>
      <c r="J3026" s="132">
        <f t="shared" si="337"/>
        <v>0</v>
      </c>
      <c r="K3026" s="132">
        <f t="shared" si="340"/>
        <v>0</v>
      </c>
      <c r="L3026" s="132">
        <f t="shared" si="341"/>
        <v>0</v>
      </c>
      <c r="M3026" s="133"/>
      <c r="N3026" s="133">
        <f t="shared" si="338"/>
        <v>0</v>
      </c>
      <c r="O3026" s="134"/>
      <c r="P3026" s="133"/>
      <c r="Q3026" s="2"/>
      <c r="R3026" s="156">
        <f t="shared" si="342"/>
        <v>0</v>
      </c>
      <c r="S3026" s="156">
        <f t="shared" si="343"/>
        <v>0</v>
      </c>
      <c r="T3026" s="133"/>
      <c r="U3026" s="133"/>
      <c r="V3026" s="133"/>
      <c r="W3026" s="133"/>
      <c r="X3026" s="133"/>
      <c r="Y3026" s="133"/>
      <c r="Z3026" s="133"/>
      <c r="AA3026" s="133"/>
      <c r="AB3026" s="133"/>
      <c r="AC3026" s="133"/>
      <c r="AD3026" s="133"/>
      <c r="AE3026" s="133"/>
      <c r="AF3026" s="133"/>
      <c r="AG3026" s="133"/>
      <c r="AH3026" s="133"/>
      <c r="AI3026" s="133"/>
      <c r="AJ3026" s="133"/>
      <c r="AK3026" s="133"/>
      <c r="AL3026" s="133"/>
      <c r="AM3026" s="133"/>
      <c r="AN3026" s="133"/>
      <c r="AO3026" s="133"/>
      <c r="AP3026" s="133"/>
      <c r="AQ3026" s="133"/>
      <c r="AR3026" s="133"/>
      <c r="AS3026" s="153">
        <v>0</v>
      </c>
      <c r="AT3026" s="153">
        <v>0</v>
      </c>
      <c r="AU3026" s="153">
        <v>0</v>
      </c>
      <c r="AV3026" s="135"/>
      <c r="AW3026" s="135"/>
      <c r="AX3026" s="135"/>
      <c r="AY3026" s="135"/>
      <c r="AZ3026" s="135"/>
      <c r="BA3026" s="135"/>
      <c r="BB3026" s="135"/>
      <c r="BC3026" s="135"/>
      <c r="BD3026" s="135"/>
      <c r="BE3026" s="135"/>
      <c r="BF3026" s="135"/>
      <c r="BG3026" s="135"/>
      <c r="BH3026" s="135"/>
      <c r="BI3026" s="2"/>
      <c r="BJ3026" s="136"/>
      <c r="BK3026" s="2"/>
      <c r="BL3026" s="136"/>
      <c r="BM3026" s="136"/>
      <c r="BN3026" s="2"/>
      <c r="BO3026" s="2"/>
      <c r="BP3026" s="136"/>
      <c r="BQ3026" s="137"/>
    </row>
    <row r="3027" spans="1:69" ht="12.75" customHeight="1" x14ac:dyDescent="0.2">
      <c r="A3027" s="2">
        <v>4516</v>
      </c>
      <c r="B3027" s="2"/>
      <c r="C3027" s="2"/>
      <c r="D3027" s="2"/>
      <c r="E3027" s="2"/>
      <c r="F3027" s="132">
        <v>0</v>
      </c>
      <c r="G3027" s="132"/>
      <c r="H3027" s="132">
        <f t="shared" si="339"/>
        <v>0</v>
      </c>
      <c r="I3027" s="132"/>
      <c r="J3027" s="132">
        <f t="shared" si="337"/>
        <v>0</v>
      </c>
      <c r="K3027" s="132">
        <f t="shared" si="340"/>
        <v>0</v>
      </c>
      <c r="L3027" s="132">
        <f t="shared" si="341"/>
        <v>0</v>
      </c>
      <c r="M3027" s="133"/>
      <c r="N3027" s="133">
        <f t="shared" si="338"/>
        <v>0</v>
      </c>
      <c r="O3027" s="134"/>
      <c r="P3027" s="133"/>
      <c r="Q3027" s="2"/>
      <c r="R3027" s="156">
        <f t="shared" si="342"/>
        <v>0</v>
      </c>
      <c r="S3027" s="156">
        <f t="shared" si="343"/>
        <v>0</v>
      </c>
      <c r="T3027" s="133"/>
      <c r="U3027" s="133"/>
      <c r="V3027" s="133"/>
      <c r="W3027" s="133"/>
      <c r="X3027" s="133"/>
      <c r="Y3027" s="133"/>
      <c r="Z3027" s="133"/>
      <c r="AA3027" s="133"/>
      <c r="AB3027" s="133"/>
      <c r="AC3027" s="133"/>
      <c r="AD3027" s="133"/>
      <c r="AE3027" s="133"/>
      <c r="AF3027" s="133"/>
      <c r="AG3027" s="133"/>
      <c r="AH3027" s="133"/>
      <c r="AI3027" s="133"/>
      <c r="AJ3027" s="133"/>
      <c r="AK3027" s="133"/>
      <c r="AL3027" s="133"/>
      <c r="AM3027" s="133"/>
      <c r="AN3027" s="133"/>
      <c r="AO3027" s="133"/>
      <c r="AP3027" s="133"/>
      <c r="AQ3027" s="133"/>
      <c r="AR3027" s="133"/>
      <c r="AS3027" s="153">
        <v>0</v>
      </c>
      <c r="AT3027" s="153">
        <v>0</v>
      </c>
      <c r="AU3027" s="153">
        <v>0</v>
      </c>
      <c r="AV3027" s="135"/>
      <c r="AW3027" s="135"/>
      <c r="AX3027" s="135"/>
      <c r="AY3027" s="135"/>
      <c r="AZ3027" s="135"/>
      <c r="BA3027" s="135"/>
      <c r="BB3027" s="135"/>
      <c r="BC3027" s="135"/>
      <c r="BD3027" s="135"/>
      <c r="BE3027" s="135"/>
      <c r="BF3027" s="135"/>
      <c r="BG3027" s="135"/>
      <c r="BH3027" s="135"/>
      <c r="BI3027" s="2"/>
      <c r="BJ3027" s="136"/>
      <c r="BK3027" s="2"/>
      <c r="BL3027" s="136"/>
      <c r="BM3027" s="136"/>
      <c r="BN3027" s="2"/>
      <c r="BO3027" s="2"/>
      <c r="BP3027" s="136"/>
      <c r="BQ3027" s="137"/>
    </row>
    <row r="3028" spans="1:69" ht="12.75" customHeight="1" x14ac:dyDescent="0.2">
      <c r="A3028" s="2">
        <v>4517</v>
      </c>
      <c r="B3028" s="2"/>
      <c r="C3028" s="2"/>
      <c r="D3028" s="2"/>
      <c r="E3028" s="2"/>
      <c r="F3028" s="132">
        <v>0</v>
      </c>
      <c r="G3028" s="132"/>
      <c r="H3028" s="132">
        <f t="shared" si="339"/>
        <v>0</v>
      </c>
      <c r="I3028" s="132"/>
      <c r="J3028" s="132">
        <f t="shared" si="337"/>
        <v>0</v>
      </c>
      <c r="K3028" s="132">
        <f t="shared" si="340"/>
        <v>0</v>
      </c>
      <c r="L3028" s="132">
        <f t="shared" si="341"/>
        <v>0</v>
      </c>
      <c r="M3028" s="133"/>
      <c r="N3028" s="133">
        <f t="shared" si="338"/>
        <v>0</v>
      </c>
      <c r="O3028" s="134"/>
      <c r="P3028" s="133"/>
      <c r="Q3028" s="2"/>
      <c r="R3028" s="156">
        <f t="shared" si="342"/>
        <v>0</v>
      </c>
      <c r="S3028" s="156">
        <f t="shared" si="343"/>
        <v>0</v>
      </c>
      <c r="T3028" s="133"/>
      <c r="U3028" s="133"/>
      <c r="V3028" s="133"/>
      <c r="W3028" s="133"/>
      <c r="X3028" s="133"/>
      <c r="Y3028" s="133"/>
      <c r="Z3028" s="133"/>
      <c r="AA3028" s="133"/>
      <c r="AB3028" s="133"/>
      <c r="AC3028" s="133"/>
      <c r="AD3028" s="133"/>
      <c r="AE3028" s="133"/>
      <c r="AF3028" s="133"/>
      <c r="AG3028" s="133"/>
      <c r="AH3028" s="133"/>
      <c r="AI3028" s="133"/>
      <c r="AJ3028" s="133"/>
      <c r="AK3028" s="133"/>
      <c r="AL3028" s="133"/>
      <c r="AM3028" s="133"/>
      <c r="AN3028" s="133"/>
      <c r="AO3028" s="133"/>
      <c r="AP3028" s="133"/>
      <c r="AQ3028" s="133"/>
      <c r="AR3028" s="133"/>
      <c r="AS3028" s="153">
        <v>0</v>
      </c>
      <c r="AT3028" s="153">
        <v>0</v>
      </c>
      <c r="AU3028" s="153">
        <v>0</v>
      </c>
      <c r="AV3028" s="135"/>
      <c r="AW3028" s="135"/>
      <c r="AX3028" s="135"/>
      <c r="AY3028" s="135"/>
      <c r="AZ3028" s="135"/>
      <c r="BA3028" s="135"/>
      <c r="BB3028" s="135"/>
      <c r="BC3028" s="135"/>
      <c r="BD3028" s="135"/>
      <c r="BE3028" s="135"/>
      <c r="BF3028" s="135"/>
      <c r="BG3028" s="135"/>
      <c r="BH3028" s="135"/>
      <c r="BI3028" s="2"/>
      <c r="BJ3028" s="136"/>
      <c r="BK3028" s="2"/>
      <c r="BL3028" s="136"/>
      <c r="BM3028" s="136"/>
      <c r="BN3028" s="2"/>
      <c r="BO3028" s="2"/>
      <c r="BP3028" s="136"/>
      <c r="BQ3028" s="137"/>
    </row>
    <row r="3029" spans="1:69" ht="12.75" customHeight="1" x14ac:dyDescent="0.2">
      <c r="A3029" s="2">
        <v>4518</v>
      </c>
      <c r="B3029" s="2"/>
      <c r="C3029" s="2"/>
      <c r="D3029" s="2"/>
      <c r="E3029" s="2"/>
      <c r="F3029" s="132">
        <v>0</v>
      </c>
      <c r="G3029" s="132"/>
      <c r="H3029" s="132">
        <f t="shared" si="339"/>
        <v>0</v>
      </c>
      <c r="I3029" s="132"/>
      <c r="J3029" s="132">
        <f t="shared" si="337"/>
        <v>0</v>
      </c>
      <c r="K3029" s="132">
        <f t="shared" si="340"/>
        <v>0</v>
      </c>
      <c r="L3029" s="132">
        <f t="shared" si="341"/>
        <v>0</v>
      </c>
      <c r="M3029" s="133"/>
      <c r="N3029" s="133">
        <f t="shared" si="338"/>
        <v>0</v>
      </c>
      <c r="O3029" s="134"/>
      <c r="P3029" s="133"/>
      <c r="Q3029" s="2"/>
      <c r="R3029" s="156">
        <f t="shared" si="342"/>
        <v>0</v>
      </c>
      <c r="S3029" s="156">
        <f t="shared" si="343"/>
        <v>0</v>
      </c>
      <c r="T3029" s="133"/>
      <c r="U3029" s="133"/>
      <c r="V3029" s="133"/>
      <c r="W3029" s="133"/>
      <c r="X3029" s="133"/>
      <c r="Y3029" s="133"/>
      <c r="Z3029" s="133"/>
      <c r="AA3029" s="133"/>
      <c r="AB3029" s="133"/>
      <c r="AC3029" s="133"/>
      <c r="AD3029" s="133"/>
      <c r="AE3029" s="133"/>
      <c r="AF3029" s="133"/>
      <c r="AG3029" s="133"/>
      <c r="AH3029" s="133"/>
      <c r="AI3029" s="133"/>
      <c r="AJ3029" s="133"/>
      <c r="AK3029" s="133"/>
      <c r="AL3029" s="133"/>
      <c r="AM3029" s="133"/>
      <c r="AN3029" s="133"/>
      <c r="AO3029" s="133"/>
      <c r="AP3029" s="133"/>
      <c r="AQ3029" s="133"/>
      <c r="AR3029" s="133"/>
      <c r="AS3029" s="153">
        <v>0</v>
      </c>
      <c r="AT3029" s="153">
        <v>0</v>
      </c>
      <c r="AU3029" s="153">
        <v>0</v>
      </c>
      <c r="AV3029" s="135"/>
      <c r="AW3029" s="135"/>
      <c r="AX3029" s="135"/>
      <c r="AY3029" s="135"/>
      <c r="AZ3029" s="135"/>
      <c r="BA3029" s="135"/>
      <c r="BB3029" s="135"/>
      <c r="BC3029" s="135"/>
      <c r="BD3029" s="135"/>
      <c r="BE3029" s="135"/>
      <c r="BF3029" s="135"/>
      <c r="BG3029" s="135"/>
      <c r="BH3029" s="135"/>
      <c r="BI3029" s="2"/>
      <c r="BJ3029" s="136"/>
      <c r="BK3029" s="2"/>
      <c r="BL3029" s="136"/>
      <c r="BM3029" s="136"/>
      <c r="BN3029" s="2"/>
      <c r="BO3029" s="2"/>
      <c r="BP3029" s="136"/>
      <c r="BQ3029" s="137"/>
    </row>
    <row r="3030" spans="1:69" ht="12.75" customHeight="1" x14ac:dyDescent="0.2">
      <c r="A3030" s="2">
        <v>4519</v>
      </c>
      <c r="B3030" s="2"/>
      <c r="C3030" s="2"/>
      <c r="D3030" s="2"/>
      <c r="E3030" s="2"/>
      <c r="F3030" s="132">
        <v>0</v>
      </c>
      <c r="G3030" s="132"/>
      <c r="H3030" s="132">
        <f t="shared" si="339"/>
        <v>0</v>
      </c>
      <c r="I3030" s="132"/>
      <c r="J3030" s="132">
        <f t="shared" si="337"/>
        <v>0</v>
      </c>
      <c r="K3030" s="132">
        <f t="shared" si="340"/>
        <v>0</v>
      </c>
      <c r="L3030" s="132">
        <f t="shared" si="341"/>
        <v>0</v>
      </c>
      <c r="M3030" s="133"/>
      <c r="N3030" s="133">
        <f t="shared" si="338"/>
        <v>0</v>
      </c>
      <c r="O3030" s="134"/>
      <c r="P3030" s="133"/>
      <c r="Q3030" s="2"/>
      <c r="R3030" s="156">
        <f t="shared" si="342"/>
        <v>0</v>
      </c>
      <c r="S3030" s="156">
        <f t="shared" si="343"/>
        <v>0</v>
      </c>
      <c r="T3030" s="133"/>
      <c r="U3030" s="133"/>
      <c r="V3030" s="133"/>
      <c r="W3030" s="133"/>
      <c r="X3030" s="133"/>
      <c r="Y3030" s="133"/>
      <c r="Z3030" s="133"/>
      <c r="AA3030" s="133"/>
      <c r="AB3030" s="133"/>
      <c r="AC3030" s="133"/>
      <c r="AD3030" s="133"/>
      <c r="AE3030" s="133"/>
      <c r="AF3030" s="133"/>
      <c r="AG3030" s="133"/>
      <c r="AH3030" s="133"/>
      <c r="AI3030" s="133"/>
      <c r="AJ3030" s="133"/>
      <c r="AK3030" s="133"/>
      <c r="AL3030" s="133"/>
      <c r="AM3030" s="133"/>
      <c r="AN3030" s="133"/>
      <c r="AO3030" s="133"/>
      <c r="AP3030" s="133"/>
      <c r="AQ3030" s="133"/>
      <c r="AR3030" s="133"/>
      <c r="AS3030" s="153">
        <v>0</v>
      </c>
      <c r="AT3030" s="153">
        <v>0</v>
      </c>
      <c r="AU3030" s="153">
        <v>0</v>
      </c>
      <c r="AV3030" s="135"/>
      <c r="AW3030" s="135"/>
      <c r="AX3030" s="135"/>
      <c r="AY3030" s="135"/>
      <c r="AZ3030" s="135"/>
      <c r="BA3030" s="135"/>
      <c r="BB3030" s="135"/>
      <c r="BC3030" s="135"/>
      <c r="BD3030" s="135"/>
      <c r="BE3030" s="135"/>
      <c r="BF3030" s="135"/>
      <c r="BG3030" s="135"/>
      <c r="BH3030" s="135"/>
      <c r="BI3030" s="2"/>
      <c r="BJ3030" s="136"/>
      <c r="BK3030" s="2"/>
      <c r="BL3030" s="136"/>
      <c r="BM3030" s="136"/>
      <c r="BN3030" s="2"/>
      <c r="BO3030" s="2"/>
      <c r="BP3030" s="136"/>
      <c r="BQ3030" s="137"/>
    </row>
    <row r="3031" spans="1:69" ht="12.75" customHeight="1" x14ac:dyDescent="0.2">
      <c r="A3031" s="2">
        <v>4520</v>
      </c>
      <c r="B3031" s="2"/>
      <c r="C3031" s="2"/>
      <c r="D3031" s="2"/>
      <c r="E3031" s="2"/>
      <c r="F3031" s="132">
        <v>0</v>
      </c>
      <c r="G3031" s="132"/>
      <c r="H3031" s="132">
        <f t="shared" si="339"/>
        <v>0</v>
      </c>
      <c r="I3031" s="132"/>
      <c r="J3031" s="132">
        <f t="shared" si="337"/>
        <v>0</v>
      </c>
      <c r="K3031" s="132">
        <f t="shared" si="340"/>
        <v>0</v>
      </c>
      <c r="L3031" s="132">
        <f t="shared" si="341"/>
        <v>0</v>
      </c>
      <c r="M3031" s="133"/>
      <c r="N3031" s="133">
        <f t="shared" si="338"/>
        <v>0</v>
      </c>
      <c r="O3031" s="134"/>
      <c r="P3031" s="133"/>
      <c r="Q3031" s="2"/>
      <c r="R3031" s="156">
        <f t="shared" si="342"/>
        <v>0</v>
      </c>
      <c r="S3031" s="156">
        <f t="shared" si="343"/>
        <v>0</v>
      </c>
      <c r="T3031" s="133"/>
      <c r="U3031" s="133"/>
      <c r="V3031" s="133"/>
      <c r="W3031" s="133"/>
      <c r="X3031" s="133"/>
      <c r="Y3031" s="133"/>
      <c r="Z3031" s="133"/>
      <c r="AA3031" s="133"/>
      <c r="AB3031" s="133"/>
      <c r="AC3031" s="133"/>
      <c r="AD3031" s="133"/>
      <c r="AE3031" s="133"/>
      <c r="AF3031" s="133"/>
      <c r="AG3031" s="133"/>
      <c r="AH3031" s="133"/>
      <c r="AI3031" s="133"/>
      <c r="AJ3031" s="133"/>
      <c r="AK3031" s="133"/>
      <c r="AL3031" s="133"/>
      <c r="AM3031" s="133"/>
      <c r="AN3031" s="133"/>
      <c r="AO3031" s="133"/>
      <c r="AP3031" s="133"/>
      <c r="AQ3031" s="133"/>
      <c r="AR3031" s="133"/>
      <c r="AS3031" s="153">
        <v>0</v>
      </c>
      <c r="AT3031" s="153">
        <v>0</v>
      </c>
      <c r="AU3031" s="153">
        <v>0</v>
      </c>
      <c r="AV3031" s="135"/>
      <c r="AW3031" s="135"/>
      <c r="AX3031" s="135"/>
      <c r="AY3031" s="135"/>
      <c r="AZ3031" s="135"/>
      <c r="BA3031" s="135"/>
      <c r="BB3031" s="135"/>
      <c r="BC3031" s="135"/>
      <c r="BD3031" s="135"/>
      <c r="BE3031" s="135"/>
      <c r="BF3031" s="135"/>
      <c r="BG3031" s="135"/>
      <c r="BH3031" s="135"/>
      <c r="BI3031" s="2"/>
      <c r="BJ3031" s="136"/>
      <c r="BK3031" s="2"/>
      <c r="BL3031" s="136"/>
      <c r="BM3031" s="136"/>
      <c r="BN3031" s="2"/>
      <c r="BO3031" s="2"/>
      <c r="BP3031" s="136"/>
      <c r="BQ3031" s="137"/>
    </row>
    <row r="3032" spans="1:69" ht="12.75" customHeight="1" x14ac:dyDescent="0.2">
      <c r="A3032" s="2">
        <v>4521</v>
      </c>
      <c r="B3032" s="2"/>
      <c r="C3032" s="2"/>
      <c r="D3032" s="2"/>
      <c r="E3032" s="2"/>
      <c r="F3032" s="132">
        <v>0</v>
      </c>
      <c r="G3032" s="132"/>
      <c r="H3032" s="132">
        <f t="shared" si="339"/>
        <v>0</v>
      </c>
      <c r="I3032" s="132"/>
      <c r="J3032" s="132">
        <f t="shared" si="337"/>
        <v>0</v>
      </c>
      <c r="K3032" s="132">
        <f t="shared" si="340"/>
        <v>0</v>
      </c>
      <c r="L3032" s="132">
        <f t="shared" si="341"/>
        <v>0</v>
      </c>
      <c r="M3032" s="133"/>
      <c r="N3032" s="133">
        <f t="shared" si="338"/>
        <v>0</v>
      </c>
      <c r="O3032" s="134"/>
      <c r="P3032" s="133"/>
      <c r="Q3032" s="2"/>
      <c r="R3032" s="156">
        <f t="shared" si="342"/>
        <v>0</v>
      </c>
      <c r="S3032" s="156">
        <f t="shared" si="343"/>
        <v>0</v>
      </c>
      <c r="T3032" s="133"/>
      <c r="U3032" s="133"/>
      <c r="V3032" s="133"/>
      <c r="W3032" s="133"/>
      <c r="X3032" s="133"/>
      <c r="Y3032" s="133"/>
      <c r="Z3032" s="133"/>
      <c r="AA3032" s="133"/>
      <c r="AB3032" s="133"/>
      <c r="AC3032" s="133"/>
      <c r="AD3032" s="133"/>
      <c r="AE3032" s="133"/>
      <c r="AF3032" s="133"/>
      <c r="AG3032" s="133"/>
      <c r="AH3032" s="133"/>
      <c r="AI3032" s="133"/>
      <c r="AJ3032" s="133"/>
      <c r="AK3032" s="133"/>
      <c r="AL3032" s="133"/>
      <c r="AM3032" s="133"/>
      <c r="AN3032" s="133"/>
      <c r="AO3032" s="133"/>
      <c r="AP3032" s="133"/>
      <c r="AQ3032" s="133"/>
      <c r="AR3032" s="133"/>
      <c r="AS3032" s="153">
        <v>0</v>
      </c>
      <c r="AT3032" s="153">
        <v>0</v>
      </c>
      <c r="AU3032" s="153">
        <v>0</v>
      </c>
      <c r="AV3032" s="135"/>
      <c r="AW3032" s="135"/>
      <c r="AX3032" s="135"/>
      <c r="AY3032" s="135"/>
      <c r="AZ3032" s="135"/>
      <c r="BA3032" s="135"/>
      <c r="BB3032" s="135"/>
      <c r="BC3032" s="135"/>
      <c r="BD3032" s="135"/>
      <c r="BE3032" s="135"/>
      <c r="BF3032" s="135"/>
      <c r="BG3032" s="135"/>
      <c r="BH3032" s="135"/>
      <c r="BI3032" s="2"/>
      <c r="BJ3032" s="136"/>
      <c r="BK3032" s="2"/>
      <c r="BL3032" s="136"/>
      <c r="BM3032" s="136"/>
      <c r="BN3032" s="2"/>
      <c r="BO3032" s="2"/>
      <c r="BP3032" s="136"/>
      <c r="BQ3032" s="137"/>
    </row>
    <row r="3033" spans="1:69" ht="12.75" customHeight="1" x14ac:dyDescent="0.2">
      <c r="A3033" s="2">
        <v>4522</v>
      </c>
      <c r="B3033" s="2"/>
      <c r="C3033" s="2"/>
      <c r="D3033" s="2"/>
      <c r="E3033" s="2"/>
      <c r="F3033" s="132">
        <v>0</v>
      </c>
      <c r="G3033" s="132"/>
      <c r="H3033" s="132">
        <f t="shared" si="339"/>
        <v>0</v>
      </c>
      <c r="I3033" s="132"/>
      <c r="J3033" s="132">
        <f t="shared" si="337"/>
        <v>0</v>
      </c>
      <c r="K3033" s="132">
        <f t="shared" si="340"/>
        <v>0</v>
      </c>
      <c r="L3033" s="132">
        <f t="shared" si="341"/>
        <v>0</v>
      </c>
      <c r="M3033" s="133"/>
      <c r="N3033" s="133">
        <f t="shared" si="338"/>
        <v>0</v>
      </c>
      <c r="O3033" s="134"/>
      <c r="P3033" s="133"/>
      <c r="Q3033" s="2"/>
      <c r="R3033" s="156">
        <f t="shared" si="342"/>
        <v>0</v>
      </c>
      <c r="S3033" s="156">
        <f t="shared" si="343"/>
        <v>0</v>
      </c>
      <c r="T3033" s="133"/>
      <c r="U3033" s="133"/>
      <c r="V3033" s="133"/>
      <c r="W3033" s="133"/>
      <c r="X3033" s="133"/>
      <c r="Y3033" s="133"/>
      <c r="Z3033" s="133"/>
      <c r="AA3033" s="133"/>
      <c r="AB3033" s="133"/>
      <c r="AC3033" s="133"/>
      <c r="AD3033" s="133"/>
      <c r="AE3033" s="133"/>
      <c r="AF3033" s="133"/>
      <c r="AG3033" s="133"/>
      <c r="AH3033" s="133"/>
      <c r="AI3033" s="133"/>
      <c r="AJ3033" s="133"/>
      <c r="AK3033" s="133"/>
      <c r="AL3033" s="133"/>
      <c r="AM3033" s="133"/>
      <c r="AN3033" s="133"/>
      <c r="AO3033" s="133"/>
      <c r="AP3033" s="133"/>
      <c r="AQ3033" s="133"/>
      <c r="AR3033" s="133"/>
      <c r="AS3033" s="153">
        <v>0</v>
      </c>
      <c r="AT3033" s="153">
        <v>0</v>
      </c>
      <c r="AU3033" s="153">
        <v>0</v>
      </c>
      <c r="AV3033" s="135"/>
      <c r="AW3033" s="135"/>
      <c r="AX3033" s="135"/>
      <c r="AY3033" s="135"/>
      <c r="AZ3033" s="135"/>
      <c r="BA3033" s="135"/>
      <c r="BB3033" s="135"/>
      <c r="BC3033" s="135"/>
      <c r="BD3033" s="135"/>
      <c r="BE3033" s="135"/>
      <c r="BF3033" s="135"/>
      <c r="BG3033" s="135"/>
      <c r="BH3033" s="135"/>
      <c r="BI3033" s="2"/>
      <c r="BJ3033" s="136"/>
      <c r="BK3033" s="2"/>
      <c r="BL3033" s="136"/>
      <c r="BM3033" s="136"/>
      <c r="BN3033" s="2"/>
      <c r="BO3033" s="2"/>
      <c r="BP3033" s="136"/>
      <c r="BQ3033" s="137"/>
    </row>
    <row r="3034" spans="1:69" ht="12.75" customHeight="1" x14ac:dyDescent="0.2">
      <c r="A3034" s="2">
        <v>4523</v>
      </c>
      <c r="B3034" s="2"/>
      <c r="C3034" s="2"/>
      <c r="D3034" s="2"/>
      <c r="E3034" s="2"/>
      <c r="F3034" s="132">
        <v>0</v>
      </c>
      <c r="G3034" s="132"/>
      <c r="H3034" s="132">
        <f t="shared" si="339"/>
        <v>0</v>
      </c>
      <c r="I3034" s="132"/>
      <c r="J3034" s="132">
        <f t="shared" si="337"/>
        <v>0</v>
      </c>
      <c r="K3034" s="132">
        <f t="shared" si="340"/>
        <v>0</v>
      </c>
      <c r="L3034" s="132">
        <f t="shared" si="341"/>
        <v>0</v>
      </c>
      <c r="M3034" s="133"/>
      <c r="N3034" s="133">
        <f t="shared" si="338"/>
        <v>0</v>
      </c>
      <c r="O3034" s="134"/>
      <c r="P3034" s="133"/>
      <c r="Q3034" s="2"/>
      <c r="R3034" s="156">
        <f t="shared" si="342"/>
        <v>0</v>
      </c>
      <c r="S3034" s="156">
        <f t="shared" si="343"/>
        <v>0</v>
      </c>
      <c r="T3034" s="133"/>
      <c r="U3034" s="133"/>
      <c r="V3034" s="133"/>
      <c r="W3034" s="133"/>
      <c r="X3034" s="133"/>
      <c r="Y3034" s="133"/>
      <c r="Z3034" s="133"/>
      <c r="AA3034" s="133"/>
      <c r="AB3034" s="133"/>
      <c r="AC3034" s="133"/>
      <c r="AD3034" s="133"/>
      <c r="AE3034" s="133"/>
      <c r="AF3034" s="133"/>
      <c r="AG3034" s="133"/>
      <c r="AH3034" s="133"/>
      <c r="AI3034" s="133"/>
      <c r="AJ3034" s="133"/>
      <c r="AK3034" s="133"/>
      <c r="AL3034" s="133"/>
      <c r="AM3034" s="133"/>
      <c r="AN3034" s="133"/>
      <c r="AO3034" s="133"/>
      <c r="AP3034" s="133"/>
      <c r="AQ3034" s="133"/>
      <c r="AR3034" s="133"/>
      <c r="AS3034" s="153">
        <v>0</v>
      </c>
      <c r="AT3034" s="153">
        <v>0</v>
      </c>
      <c r="AU3034" s="153">
        <v>0</v>
      </c>
      <c r="AV3034" s="135"/>
      <c r="AW3034" s="135"/>
      <c r="AX3034" s="135"/>
      <c r="AY3034" s="135"/>
      <c r="AZ3034" s="135"/>
      <c r="BA3034" s="135"/>
      <c r="BB3034" s="135"/>
      <c r="BC3034" s="135"/>
      <c r="BD3034" s="135"/>
      <c r="BE3034" s="135"/>
      <c r="BF3034" s="135"/>
      <c r="BG3034" s="135"/>
      <c r="BH3034" s="135"/>
      <c r="BI3034" s="2"/>
      <c r="BJ3034" s="136"/>
      <c r="BK3034" s="2"/>
      <c r="BL3034" s="136"/>
      <c r="BM3034" s="136"/>
      <c r="BN3034" s="2"/>
      <c r="BO3034" s="2"/>
      <c r="BP3034" s="136"/>
      <c r="BQ3034" s="137"/>
    </row>
    <row r="3035" spans="1:69" ht="12.75" customHeight="1" x14ac:dyDescent="0.2">
      <c r="A3035" s="2">
        <v>4524</v>
      </c>
      <c r="B3035" s="2"/>
      <c r="C3035" s="2"/>
      <c r="D3035" s="2"/>
      <c r="E3035" s="2"/>
      <c r="F3035" s="132">
        <v>0</v>
      </c>
      <c r="G3035" s="132"/>
      <c r="H3035" s="132">
        <f t="shared" si="339"/>
        <v>0</v>
      </c>
      <c r="I3035" s="132"/>
      <c r="J3035" s="132">
        <f t="shared" si="337"/>
        <v>0</v>
      </c>
      <c r="K3035" s="132">
        <f t="shared" si="340"/>
        <v>0</v>
      </c>
      <c r="L3035" s="132">
        <f t="shared" si="341"/>
        <v>0</v>
      </c>
      <c r="M3035" s="133"/>
      <c r="N3035" s="133">
        <f t="shared" si="338"/>
        <v>0</v>
      </c>
      <c r="O3035" s="134"/>
      <c r="P3035" s="133"/>
      <c r="Q3035" s="2"/>
      <c r="R3035" s="156">
        <f t="shared" si="342"/>
        <v>0</v>
      </c>
      <c r="S3035" s="156">
        <f t="shared" si="343"/>
        <v>0</v>
      </c>
      <c r="T3035" s="133"/>
      <c r="U3035" s="133"/>
      <c r="V3035" s="133"/>
      <c r="W3035" s="133"/>
      <c r="X3035" s="133"/>
      <c r="Y3035" s="133"/>
      <c r="Z3035" s="133"/>
      <c r="AA3035" s="133"/>
      <c r="AB3035" s="133"/>
      <c r="AC3035" s="133"/>
      <c r="AD3035" s="133"/>
      <c r="AE3035" s="133"/>
      <c r="AF3035" s="133"/>
      <c r="AG3035" s="133"/>
      <c r="AH3035" s="133"/>
      <c r="AI3035" s="133"/>
      <c r="AJ3035" s="133"/>
      <c r="AK3035" s="133"/>
      <c r="AL3035" s="133"/>
      <c r="AM3035" s="133"/>
      <c r="AN3035" s="133"/>
      <c r="AO3035" s="133"/>
      <c r="AP3035" s="133"/>
      <c r="AQ3035" s="133"/>
      <c r="AR3035" s="133"/>
      <c r="AS3035" s="153">
        <v>0</v>
      </c>
      <c r="AT3035" s="153">
        <v>0</v>
      </c>
      <c r="AU3035" s="153">
        <v>0</v>
      </c>
      <c r="AV3035" s="135"/>
      <c r="AW3035" s="135"/>
      <c r="AX3035" s="135"/>
      <c r="AY3035" s="135"/>
      <c r="AZ3035" s="135"/>
      <c r="BA3035" s="135"/>
      <c r="BB3035" s="135"/>
      <c r="BC3035" s="135"/>
      <c r="BD3035" s="135"/>
      <c r="BE3035" s="135"/>
      <c r="BF3035" s="135"/>
      <c r="BG3035" s="135"/>
      <c r="BH3035" s="135"/>
      <c r="BI3035" s="2"/>
      <c r="BJ3035" s="136"/>
      <c r="BK3035" s="2"/>
      <c r="BL3035" s="136"/>
      <c r="BM3035" s="136"/>
      <c r="BN3035" s="2"/>
      <c r="BO3035" s="2"/>
      <c r="BP3035" s="136"/>
      <c r="BQ3035" s="137"/>
    </row>
    <row r="3036" spans="1:69" ht="12.75" customHeight="1" x14ac:dyDescent="0.2">
      <c r="A3036" s="2">
        <v>4525</v>
      </c>
      <c r="B3036" s="2"/>
      <c r="C3036" s="2"/>
      <c r="D3036" s="2"/>
      <c r="E3036" s="2"/>
      <c r="F3036" s="132">
        <v>0</v>
      </c>
      <c r="G3036" s="132"/>
      <c r="H3036" s="132">
        <f t="shared" si="339"/>
        <v>0</v>
      </c>
      <c r="I3036" s="132"/>
      <c r="J3036" s="132">
        <f t="shared" si="337"/>
        <v>0</v>
      </c>
      <c r="K3036" s="132">
        <f t="shared" si="340"/>
        <v>0</v>
      </c>
      <c r="L3036" s="132">
        <f t="shared" si="341"/>
        <v>0</v>
      </c>
      <c r="M3036" s="133"/>
      <c r="N3036" s="133">
        <f t="shared" si="338"/>
        <v>0</v>
      </c>
      <c r="O3036" s="134"/>
      <c r="P3036" s="133"/>
      <c r="Q3036" s="2"/>
      <c r="R3036" s="156">
        <f t="shared" si="342"/>
        <v>0</v>
      </c>
      <c r="S3036" s="156">
        <f t="shared" si="343"/>
        <v>0</v>
      </c>
      <c r="T3036" s="133"/>
      <c r="U3036" s="133"/>
      <c r="V3036" s="133"/>
      <c r="W3036" s="133"/>
      <c r="X3036" s="133"/>
      <c r="Y3036" s="133"/>
      <c r="Z3036" s="133"/>
      <c r="AA3036" s="133"/>
      <c r="AB3036" s="133"/>
      <c r="AC3036" s="133"/>
      <c r="AD3036" s="133"/>
      <c r="AE3036" s="133"/>
      <c r="AF3036" s="133"/>
      <c r="AG3036" s="133"/>
      <c r="AH3036" s="133"/>
      <c r="AI3036" s="133"/>
      <c r="AJ3036" s="133"/>
      <c r="AK3036" s="133"/>
      <c r="AL3036" s="133"/>
      <c r="AM3036" s="133"/>
      <c r="AN3036" s="133"/>
      <c r="AO3036" s="133"/>
      <c r="AP3036" s="133"/>
      <c r="AQ3036" s="133"/>
      <c r="AR3036" s="133"/>
      <c r="AS3036" s="153">
        <v>0</v>
      </c>
      <c r="AT3036" s="153">
        <v>0</v>
      </c>
      <c r="AU3036" s="153">
        <v>0</v>
      </c>
      <c r="AV3036" s="135"/>
      <c r="AW3036" s="135"/>
      <c r="AX3036" s="135"/>
      <c r="AY3036" s="135"/>
      <c r="AZ3036" s="135"/>
      <c r="BA3036" s="135"/>
      <c r="BB3036" s="135"/>
      <c r="BC3036" s="135"/>
      <c r="BD3036" s="135"/>
      <c r="BE3036" s="135"/>
      <c r="BF3036" s="135"/>
      <c r="BG3036" s="135"/>
      <c r="BH3036" s="135"/>
      <c r="BI3036" s="2"/>
      <c r="BJ3036" s="136"/>
      <c r="BK3036" s="2"/>
      <c r="BL3036" s="136"/>
      <c r="BM3036" s="136"/>
      <c r="BN3036" s="2"/>
      <c r="BO3036" s="2"/>
      <c r="BP3036" s="136"/>
      <c r="BQ3036" s="137"/>
    </row>
    <row r="3037" spans="1:69" ht="12.75" customHeight="1" x14ac:dyDescent="0.2">
      <c r="A3037" s="2">
        <v>4526</v>
      </c>
      <c r="B3037" s="2"/>
      <c r="C3037" s="2"/>
      <c r="D3037" s="2"/>
      <c r="E3037" s="2"/>
      <c r="F3037" s="132">
        <v>0</v>
      </c>
      <c r="G3037" s="132"/>
      <c r="H3037" s="132">
        <f t="shared" si="339"/>
        <v>0</v>
      </c>
      <c r="I3037" s="132"/>
      <c r="J3037" s="132">
        <f t="shared" si="337"/>
        <v>0</v>
      </c>
      <c r="K3037" s="132">
        <f t="shared" si="340"/>
        <v>0</v>
      </c>
      <c r="L3037" s="132">
        <f t="shared" si="341"/>
        <v>0</v>
      </c>
      <c r="M3037" s="133"/>
      <c r="N3037" s="133">
        <f t="shared" si="338"/>
        <v>0</v>
      </c>
      <c r="O3037" s="134"/>
      <c r="P3037" s="133"/>
      <c r="Q3037" s="2"/>
      <c r="R3037" s="156">
        <f t="shared" si="342"/>
        <v>0</v>
      </c>
      <c r="S3037" s="156">
        <f t="shared" si="343"/>
        <v>0</v>
      </c>
      <c r="T3037" s="133"/>
      <c r="U3037" s="133"/>
      <c r="V3037" s="133"/>
      <c r="W3037" s="133"/>
      <c r="X3037" s="133"/>
      <c r="Y3037" s="133"/>
      <c r="Z3037" s="133"/>
      <c r="AA3037" s="133"/>
      <c r="AB3037" s="133"/>
      <c r="AC3037" s="133"/>
      <c r="AD3037" s="133"/>
      <c r="AE3037" s="133"/>
      <c r="AF3037" s="133"/>
      <c r="AG3037" s="133"/>
      <c r="AH3037" s="133"/>
      <c r="AI3037" s="133"/>
      <c r="AJ3037" s="133"/>
      <c r="AK3037" s="133"/>
      <c r="AL3037" s="133"/>
      <c r="AM3037" s="133"/>
      <c r="AN3037" s="133"/>
      <c r="AO3037" s="133"/>
      <c r="AP3037" s="133"/>
      <c r="AQ3037" s="133"/>
      <c r="AR3037" s="133"/>
      <c r="AS3037" s="153">
        <v>0</v>
      </c>
      <c r="AT3037" s="153">
        <v>0</v>
      </c>
      <c r="AU3037" s="153">
        <v>0</v>
      </c>
      <c r="AV3037" s="135"/>
      <c r="AW3037" s="135"/>
      <c r="AX3037" s="135"/>
      <c r="AY3037" s="135"/>
      <c r="AZ3037" s="135"/>
      <c r="BA3037" s="135"/>
      <c r="BB3037" s="135"/>
      <c r="BC3037" s="135"/>
      <c r="BD3037" s="135"/>
      <c r="BE3037" s="135"/>
      <c r="BF3037" s="135"/>
      <c r="BG3037" s="135"/>
      <c r="BH3037" s="135"/>
      <c r="BI3037" s="2"/>
      <c r="BJ3037" s="136"/>
      <c r="BK3037" s="2"/>
      <c r="BL3037" s="136"/>
      <c r="BM3037" s="136"/>
      <c r="BN3037" s="2"/>
      <c r="BO3037" s="2"/>
      <c r="BP3037" s="136"/>
      <c r="BQ3037" s="137"/>
    </row>
    <row r="3038" spans="1:69" ht="12.75" customHeight="1" x14ac:dyDescent="0.2">
      <c r="A3038" s="2">
        <v>4527</v>
      </c>
      <c r="B3038" s="2"/>
      <c r="C3038" s="2"/>
      <c r="D3038" s="2"/>
      <c r="E3038" s="2"/>
      <c r="F3038" s="132">
        <v>0</v>
      </c>
      <c r="G3038" s="132"/>
      <c r="H3038" s="132">
        <f t="shared" si="339"/>
        <v>0</v>
      </c>
      <c r="I3038" s="132"/>
      <c r="J3038" s="132">
        <f t="shared" si="337"/>
        <v>0</v>
      </c>
      <c r="K3038" s="132">
        <f t="shared" si="340"/>
        <v>0</v>
      </c>
      <c r="L3038" s="132">
        <f t="shared" si="341"/>
        <v>0</v>
      </c>
      <c r="M3038" s="133"/>
      <c r="N3038" s="133">
        <f t="shared" si="338"/>
        <v>0</v>
      </c>
      <c r="O3038" s="134"/>
      <c r="P3038" s="133"/>
      <c r="Q3038" s="2"/>
      <c r="R3038" s="156">
        <f t="shared" si="342"/>
        <v>0</v>
      </c>
      <c r="S3038" s="156">
        <f t="shared" si="343"/>
        <v>0</v>
      </c>
      <c r="T3038" s="133"/>
      <c r="U3038" s="133"/>
      <c r="V3038" s="133"/>
      <c r="W3038" s="133"/>
      <c r="X3038" s="133"/>
      <c r="Y3038" s="133"/>
      <c r="Z3038" s="133"/>
      <c r="AA3038" s="133"/>
      <c r="AB3038" s="133"/>
      <c r="AC3038" s="133"/>
      <c r="AD3038" s="133"/>
      <c r="AE3038" s="133"/>
      <c r="AF3038" s="133"/>
      <c r="AG3038" s="133"/>
      <c r="AH3038" s="133"/>
      <c r="AI3038" s="133"/>
      <c r="AJ3038" s="133"/>
      <c r="AK3038" s="133"/>
      <c r="AL3038" s="133"/>
      <c r="AM3038" s="133"/>
      <c r="AN3038" s="133"/>
      <c r="AO3038" s="133"/>
      <c r="AP3038" s="133"/>
      <c r="AQ3038" s="133"/>
      <c r="AR3038" s="133"/>
      <c r="AS3038" s="153">
        <v>0</v>
      </c>
      <c r="AT3038" s="153">
        <v>0</v>
      </c>
      <c r="AU3038" s="153">
        <v>0</v>
      </c>
      <c r="AV3038" s="135"/>
      <c r="AW3038" s="135"/>
      <c r="AX3038" s="135"/>
      <c r="AY3038" s="135"/>
      <c r="AZ3038" s="135"/>
      <c r="BA3038" s="135"/>
      <c r="BB3038" s="135"/>
      <c r="BC3038" s="135"/>
      <c r="BD3038" s="135"/>
      <c r="BE3038" s="135"/>
      <c r="BF3038" s="135"/>
      <c r="BG3038" s="135"/>
      <c r="BH3038" s="135"/>
      <c r="BI3038" s="2"/>
      <c r="BJ3038" s="136"/>
      <c r="BK3038" s="2"/>
      <c r="BL3038" s="136"/>
      <c r="BM3038" s="136"/>
      <c r="BN3038" s="2"/>
      <c r="BO3038" s="2"/>
      <c r="BP3038" s="136"/>
      <c r="BQ3038" s="137"/>
    </row>
    <row r="3039" spans="1:69" ht="12.75" customHeight="1" x14ac:dyDescent="0.2">
      <c r="A3039" s="2">
        <v>4528</v>
      </c>
      <c r="B3039" s="2"/>
      <c r="C3039" s="2"/>
      <c r="D3039" s="2"/>
      <c r="E3039" s="2"/>
      <c r="F3039" s="132">
        <v>0</v>
      </c>
      <c r="G3039" s="132"/>
      <c r="H3039" s="132">
        <f t="shared" si="339"/>
        <v>0</v>
      </c>
      <c r="I3039" s="132"/>
      <c r="J3039" s="132">
        <f t="shared" si="337"/>
        <v>0</v>
      </c>
      <c r="K3039" s="132">
        <f t="shared" si="340"/>
        <v>0</v>
      </c>
      <c r="L3039" s="132">
        <f t="shared" si="341"/>
        <v>0</v>
      </c>
      <c r="M3039" s="133"/>
      <c r="N3039" s="133">
        <f t="shared" si="338"/>
        <v>0</v>
      </c>
      <c r="O3039" s="134"/>
      <c r="P3039" s="133"/>
      <c r="Q3039" s="2"/>
      <c r="R3039" s="156">
        <f t="shared" si="342"/>
        <v>0</v>
      </c>
      <c r="S3039" s="156">
        <f t="shared" si="343"/>
        <v>0</v>
      </c>
      <c r="T3039" s="133"/>
      <c r="U3039" s="133"/>
      <c r="V3039" s="133"/>
      <c r="W3039" s="133"/>
      <c r="X3039" s="133"/>
      <c r="Y3039" s="133"/>
      <c r="Z3039" s="133"/>
      <c r="AA3039" s="133"/>
      <c r="AB3039" s="133"/>
      <c r="AC3039" s="133"/>
      <c r="AD3039" s="133"/>
      <c r="AE3039" s="133"/>
      <c r="AF3039" s="133"/>
      <c r="AG3039" s="133"/>
      <c r="AH3039" s="133"/>
      <c r="AI3039" s="133"/>
      <c r="AJ3039" s="133"/>
      <c r="AK3039" s="133"/>
      <c r="AL3039" s="133"/>
      <c r="AM3039" s="133"/>
      <c r="AN3039" s="133"/>
      <c r="AO3039" s="133"/>
      <c r="AP3039" s="133"/>
      <c r="AQ3039" s="133"/>
      <c r="AR3039" s="133"/>
      <c r="AS3039" s="153">
        <v>0</v>
      </c>
      <c r="AT3039" s="153">
        <v>0</v>
      </c>
      <c r="AU3039" s="153">
        <v>0</v>
      </c>
      <c r="AV3039" s="135"/>
      <c r="AW3039" s="135"/>
      <c r="AX3039" s="135"/>
      <c r="AY3039" s="135"/>
      <c r="AZ3039" s="135"/>
      <c r="BA3039" s="135"/>
      <c r="BB3039" s="135"/>
      <c r="BC3039" s="135"/>
      <c r="BD3039" s="135"/>
      <c r="BE3039" s="135"/>
      <c r="BF3039" s="135"/>
      <c r="BG3039" s="135"/>
      <c r="BH3039" s="135"/>
      <c r="BI3039" s="2"/>
      <c r="BJ3039" s="136"/>
      <c r="BK3039" s="2"/>
      <c r="BL3039" s="136"/>
      <c r="BM3039" s="136"/>
      <c r="BN3039" s="2"/>
      <c r="BO3039" s="2"/>
      <c r="BP3039" s="136"/>
      <c r="BQ3039" s="137"/>
    </row>
    <row r="3040" spans="1:69" ht="12.75" customHeight="1" x14ac:dyDescent="0.2">
      <c r="A3040" s="2">
        <v>4529</v>
      </c>
      <c r="B3040" s="2"/>
      <c r="C3040" s="2"/>
      <c r="D3040" s="2"/>
      <c r="E3040" s="2"/>
      <c r="F3040" s="132">
        <v>0</v>
      </c>
      <c r="G3040" s="132"/>
      <c r="H3040" s="132">
        <f t="shared" si="339"/>
        <v>0</v>
      </c>
      <c r="I3040" s="132"/>
      <c r="J3040" s="132">
        <f t="shared" si="337"/>
        <v>0</v>
      </c>
      <c r="K3040" s="132">
        <f t="shared" si="340"/>
        <v>0</v>
      </c>
      <c r="L3040" s="132">
        <f t="shared" si="341"/>
        <v>0</v>
      </c>
      <c r="M3040" s="133"/>
      <c r="N3040" s="133">
        <f t="shared" si="338"/>
        <v>0</v>
      </c>
      <c r="O3040" s="134"/>
      <c r="P3040" s="133"/>
      <c r="Q3040" s="2"/>
      <c r="R3040" s="156">
        <f t="shared" si="342"/>
        <v>0</v>
      </c>
      <c r="S3040" s="156">
        <f t="shared" si="343"/>
        <v>0</v>
      </c>
      <c r="T3040" s="133"/>
      <c r="U3040" s="133"/>
      <c r="V3040" s="133"/>
      <c r="W3040" s="133"/>
      <c r="X3040" s="133"/>
      <c r="Y3040" s="133"/>
      <c r="Z3040" s="133"/>
      <c r="AA3040" s="133"/>
      <c r="AB3040" s="133"/>
      <c r="AC3040" s="133"/>
      <c r="AD3040" s="133"/>
      <c r="AE3040" s="133"/>
      <c r="AF3040" s="133"/>
      <c r="AG3040" s="133"/>
      <c r="AH3040" s="133"/>
      <c r="AI3040" s="133"/>
      <c r="AJ3040" s="133"/>
      <c r="AK3040" s="133"/>
      <c r="AL3040" s="133"/>
      <c r="AM3040" s="133"/>
      <c r="AN3040" s="133"/>
      <c r="AO3040" s="133"/>
      <c r="AP3040" s="133"/>
      <c r="AQ3040" s="133"/>
      <c r="AR3040" s="133"/>
      <c r="AS3040" s="153">
        <v>0</v>
      </c>
      <c r="AT3040" s="153">
        <v>0</v>
      </c>
      <c r="AU3040" s="153">
        <v>0</v>
      </c>
      <c r="AV3040" s="135"/>
      <c r="AW3040" s="135"/>
      <c r="AX3040" s="135"/>
      <c r="AY3040" s="135"/>
      <c r="AZ3040" s="135"/>
      <c r="BA3040" s="135"/>
      <c r="BB3040" s="135"/>
      <c r="BC3040" s="135"/>
      <c r="BD3040" s="135"/>
      <c r="BE3040" s="135"/>
      <c r="BF3040" s="135"/>
      <c r="BG3040" s="135"/>
      <c r="BH3040" s="135"/>
      <c r="BI3040" s="2"/>
      <c r="BJ3040" s="136"/>
      <c r="BK3040" s="2"/>
      <c r="BL3040" s="136"/>
      <c r="BM3040" s="136"/>
      <c r="BN3040" s="2"/>
      <c r="BO3040" s="2"/>
      <c r="BP3040" s="136"/>
      <c r="BQ3040" s="137"/>
    </row>
    <row r="3041" spans="1:69" ht="12.75" customHeight="1" x14ac:dyDescent="0.2">
      <c r="A3041" s="2">
        <v>4530</v>
      </c>
      <c r="B3041" s="2"/>
      <c r="C3041" s="2"/>
      <c r="D3041" s="2"/>
      <c r="E3041" s="2"/>
      <c r="F3041" s="132">
        <v>0</v>
      </c>
      <c r="G3041" s="132"/>
      <c r="H3041" s="132">
        <f t="shared" si="339"/>
        <v>0</v>
      </c>
      <c r="I3041" s="132"/>
      <c r="J3041" s="132">
        <f t="shared" si="337"/>
        <v>0</v>
      </c>
      <c r="K3041" s="132">
        <f t="shared" si="340"/>
        <v>0</v>
      </c>
      <c r="L3041" s="132">
        <f t="shared" si="341"/>
        <v>0</v>
      </c>
      <c r="M3041" s="133"/>
      <c r="N3041" s="133">
        <f t="shared" si="338"/>
        <v>0</v>
      </c>
      <c r="O3041" s="134"/>
      <c r="P3041" s="133"/>
      <c r="Q3041" s="2"/>
      <c r="R3041" s="156">
        <f t="shared" si="342"/>
        <v>0</v>
      </c>
      <c r="S3041" s="156">
        <f t="shared" si="343"/>
        <v>0</v>
      </c>
      <c r="T3041" s="133"/>
      <c r="U3041" s="133"/>
      <c r="V3041" s="133"/>
      <c r="W3041" s="133"/>
      <c r="X3041" s="133"/>
      <c r="Y3041" s="133"/>
      <c r="Z3041" s="133"/>
      <c r="AA3041" s="133"/>
      <c r="AB3041" s="133"/>
      <c r="AC3041" s="133"/>
      <c r="AD3041" s="133"/>
      <c r="AE3041" s="133"/>
      <c r="AF3041" s="133"/>
      <c r="AG3041" s="133"/>
      <c r="AH3041" s="133"/>
      <c r="AI3041" s="133"/>
      <c r="AJ3041" s="133"/>
      <c r="AK3041" s="133"/>
      <c r="AL3041" s="133"/>
      <c r="AM3041" s="133"/>
      <c r="AN3041" s="133"/>
      <c r="AO3041" s="133"/>
      <c r="AP3041" s="133"/>
      <c r="AQ3041" s="133"/>
      <c r="AR3041" s="133"/>
      <c r="AS3041" s="153">
        <v>0</v>
      </c>
      <c r="AT3041" s="153">
        <v>0</v>
      </c>
      <c r="AU3041" s="153">
        <v>0</v>
      </c>
      <c r="AV3041" s="135"/>
      <c r="AW3041" s="135"/>
      <c r="AX3041" s="135"/>
      <c r="AY3041" s="135"/>
      <c r="AZ3041" s="135"/>
      <c r="BA3041" s="135"/>
      <c r="BB3041" s="135"/>
      <c r="BC3041" s="135"/>
      <c r="BD3041" s="135"/>
      <c r="BE3041" s="135"/>
      <c r="BF3041" s="135"/>
      <c r="BG3041" s="135"/>
      <c r="BH3041" s="135"/>
      <c r="BI3041" s="2"/>
      <c r="BJ3041" s="136"/>
      <c r="BK3041" s="2"/>
      <c r="BL3041" s="136"/>
      <c r="BM3041" s="136"/>
      <c r="BN3041" s="2"/>
      <c r="BO3041" s="2"/>
      <c r="BP3041" s="136"/>
      <c r="BQ3041" s="137"/>
    </row>
    <row r="3042" spans="1:69" ht="12.75" customHeight="1" x14ac:dyDescent="0.2">
      <c r="A3042" s="2">
        <v>4531</v>
      </c>
      <c r="B3042" s="2"/>
      <c r="C3042" s="2"/>
      <c r="D3042" s="2"/>
      <c r="E3042" s="2"/>
      <c r="F3042" s="132">
        <v>0</v>
      </c>
      <c r="G3042" s="132"/>
      <c r="H3042" s="132">
        <f t="shared" si="339"/>
        <v>0</v>
      </c>
      <c r="I3042" s="132"/>
      <c r="J3042" s="132">
        <f t="shared" si="337"/>
        <v>0</v>
      </c>
      <c r="K3042" s="132">
        <f t="shared" si="340"/>
        <v>0</v>
      </c>
      <c r="L3042" s="132">
        <f t="shared" si="341"/>
        <v>0</v>
      </c>
      <c r="M3042" s="133"/>
      <c r="N3042" s="133">
        <f t="shared" si="338"/>
        <v>0</v>
      </c>
      <c r="O3042" s="134"/>
      <c r="P3042" s="133"/>
      <c r="Q3042" s="2"/>
      <c r="R3042" s="156">
        <f t="shared" si="342"/>
        <v>0</v>
      </c>
      <c r="S3042" s="156">
        <f t="shared" si="343"/>
        <v>0</v>
      </c>
      <c r="T3042" s="133"/>
      <c r="U3042" s="133"/>
      <c r="V3042" s="133"/>
      <c r="W3042" s="133"/>
      <c r="X3042" s="133"/>
      <c r="Y3042" s="133"/>
      <c r="Z3042" s="133"/>
      <c r="AA3042" s="133"/>
      <c r="AB3042" s="133"/>
      <c r="AC3042" s="133"/>
      <c r="AD3042" s="133"/>
      <c r="AE3042" s="133"/>
      <c r="AF3042" s="133"/>
      <c r="AG3042" s="133"/>
      <c r="AH3042" s="133"/>
      <c r="AI3042" s="133"/>
      <c r="AJ3042" s="133"/>
      <c r="AK3042" s="133"/>
      <c r="AL3042" s="133"/>
      <c r="AM3042" s="133"/>
      <c r="AN3042" s="133"/>
      <c r="AO3042" s="133"/>
      <c r="AP3042" s="133"/>
      <c r="AQ3042" s="133"/>
      <c r="AR3042" s="133"/>
      <c r="AS3042" s="153">
        <v>0</v>
      </c>
      <c r="AT3042" s="153">
        <v>0</v>
      </c>
      <c r="AU3042" s="153">
        <v>0</v>
      </c>
      <c r="AV3042" s="135"/>
      <c r="AW3042" s="135"/>
      <c r="AX3042" s="135"/>
      <c r="AY3042" s="135"/>
      <c r="AZ3042" s="135"/>
      <c r="BA3042" s="135"/>
      <c r="BB3042" s="135"/>
      <c r="BC3042" s="135"/>
      <c r="BD3042" s="135"/>
      <c r="BE3042" s="135"/>
      <c r="BF3042" s="135"/>
      <c r="BG3042" s="135"/>
      <c r="BH3042" s="135"/>
      <c r="BI3042" s="2"/>
      <c r="BJ3042" s="136"/>
      <c r="BK3042" s="2"/>
      <c r="BL3042" s="136"/>
      <c r="BM3042" s="136"/>
      <c r="BN3042" s="2"/>
      <c r="BO3042" s="2"/>
      <c r="BP3042" s="136"/>
      <c r="BQ3042" s="137"/>
    </row>
    <row r="3043" spans="1:69" ht="12.75" customHeight="1" x14ac:dyDescent="0.2">
      <c r="A3043" s="2">
        <v>4532</v>
      </c>
      <c r="B3043" s="2"/>
      <c r="C3043" s="2"/>
      <c r="D3043" s="2"/>
      <c r="E3043" s="2"/>
      <c r="F3043" s="132">
        <v>0</v>
      </c>
      <c r="G3043" s="132"/>
      <c r="H3043" s="132">
        <f t="shared" si="339"/>
        <v>0</v>
      </c>
      <c r="I3043" s="132"/>
      <c r="J3043" s="132">
        <f t="shared" si="337"/>
        <v>0</v>
      </c>
      <c r="K3043" s="132">
        <f t="shared" si="340"/>
        <v>0</v>
      </c>
      <c r="L3043" s="132">
        <f t="shared" si="341"/>
        <v>0</v>
      </c>
      <c r="M3043" s="133"/>
      <c r="N3043" s="133">
        <f t="shared" si="338"/>
        <v>0</v>
      </c>
      <c r="O3043" s="134"/>
      <c r="P3043" s="133"/>
      <c r="Q3043" s="2"/>
      <c r="R3043" s="156">
        <f t="shared" si="342"/>
        <v>0</v>
      </c>
      <c r="S3043" s="156">
        <f t="shared" si="343"/>
        <v>0</v>
      </c>
      <c r="T3043" s="133"/>
      <c r="U3043" s="133"/>
      <c r="V3043" s="133"/>
      <c r="W3043" s="133"/>
      <c r="X3043" s="133"/>
      <c r="Y3043" s="133"/>
      <c r="Z3043" s="133"/>
      <c r="AA3043" s="133"/>
      <c r="AB3043" s="133"/>
      <c r="AC3043" s="133"/>
      <c r="AD3043" s="133"/>
      <c r="AE3043" s="133"/>
      <c r="AF3043" s="133"/>
      <c r="AG3043" s="133"/>
      <c r="AH3043" s="133"/>
      <c r="AI3043" s="133"/>
      <c r="AJ3043" s="133"/>
      <c r="AK3043" s="133"/>
      <c r="AL3043" s="133"/>
      <c r="AM3043" s="133"/>
      <c r="AN3043" s="133"/>
      <c r="AO3043" s="133"/>
      <c r="AP3043" s="133"/>
      <c r="AQ3043" s="133"/>
      <c r="AR3043" s="133"/>
      <c r="AS3043" s="153">
        <v>0</v>
      </c>
      <c r="AT3043" s="153">
        <v>0</v>
      </c>
      <c r="AU3043" s="153">
        <v>0</v>
      </c>
      <c r="AV3043" s="135"/>
      <c r="AW3043" s="135"/>
      <c r="AX3043" s="135"/>
      <c r="AY3043" s="135"/>
      <c r="AZ3043" s="135"/>
      <c r="BA3043" s="135"/>
      <c r="BB3043" s="135"/>
      <c r="BC3043" s="135"/>
      <c r="BD3043" s="135"/>
      <c r="BE3043" s="135"/>
      <c r="BF3043" s="135"/>
      <c r="BG3043" s="135"/>
      <c r="BH3043" s="135"/>
      <c r="BI3043" s="2"/>
      <c r="BJ3043" s="136"/>
      <c r="BK3043" s="2"/>
      <c r="BL3043" s="136"/>
      <c r="BM3043" s="136"/>
      <c r="BN3043" s="2"/>
      <c r="BO3043" s="2"/>
      <c r="BP3043" s="136"/>
      <c r="BQ3043" s="137"/>
    </row>
    <row r="3044" spans="1:69" ht="12.75" customHeight="1" x14ac:dyDescent="0.2">
      <c r="A3044" s="2">
        <v>4533</v>
      </c>
      <c r="B3044" s="2"/>
      <c r="C3044" s="2"/>
      <c r="D3044" s="2"/>
      <c r="E3044" s="2"/>
      <c r="F3044" s="132">
        <v>0</v>
      </c>
      <c r="G3044" s="132"/>
      <c r="H3044" s="132">
        <f t="shared" si="339"/>
        <v>0</v>
      </c>
      <c r="I3044" s="132"/>
      <c r="J3044" s="132">
        <f t="shared" ref="J3044:J3107" si="344">S3044</f>
        <v>0</v>
      </c>
      <c r="K3044" s="132">
        <f t="shared" si="340"/>
        <v>0</v>
      </c>
      <c r="L3044" s="132">
        <f t="shared" si="341"/>
        <v>0</v>
      </c>
      <c r="M3044" s="133"/>
      <c r="N3044" s="133">
        <f t="shared" si="338"/>
        <v>0</v>
      </c>
      <c r="O3044" s="134"/>
      <c r="P3044" s="133"/>
      <c r="Q3044" s="2"/>
      <c r="R3044" s="156">
        <f t="shared" si="342"/>
        <v>0</v>
      </c>
      <c r="S3044" s="156">
        <f t="shared" si="343"/>
        <v>0</v>
      </c>
      <c r="T3044" s="133"/>
      <c r="U3044" s="133"/>
      <c r="V3044" s="133"/>
      <c r="W3044" s="133"/>
      <c r="X3044" s="133"/>
      <c r="Y3044" s="133"/>
      <c r="Z3044" s="133"/>
      <c r="AA3044" s="133"/>
      <c r="AB3044" s="133"/>
      <c r="AC3044" s="133"/>
      <c r="AD3044" s="133"/>
      <c r="AE3044" s="133"/>
      <c r="AF3044" s="133"/>
      <c r="AG3044" s="133"/>
      <c r="AH3044" s="133"/>
      <c r="AI3044" s="133"/>
      <c r="AJ3044" s="133"/>
      <c r="AK3044" s="133"/>
      <c r="AL3044" s="133"/>
      <c r="AM3044" s="133"/>
      <c r="AN3044" s="133"/>
      <c r="AO3044" s="133"/>
      <c r="AP3044" s="133"/>
      <c r="AQ3044" s="133"/>
      <c r="AR3044" s="133"/>
      <c r="AS3044" s="153">
        <v>0</v>
      </c>
      <c r="AT3044" s="153">
        <v>0</v>
      </c>
      <c r="AU3044" s="153">
        <v>0</v>
      </c>
      <c r="AV3044" s="135"/>
      <c r="AW3044" s="135"/>
      <c r="AX3044" s="135"/>
      <c r="AY3044" s="135"/>
      <c r="AZ3044" s="135"/>
      <c r="BA3044" s="135"/>
      <c r="BB3044" s="135"/>
      <c r="BC3044" s="135"/>
      <c r="BD3044" s="135"/>
      <c r="BE3044" s="135"/>
      <c r="BF3044" s="135"/>
      <c r="BG3044" s="135"/>
      <c r="BH3044" s="135"/>
      <c r="BI3044" s="2"/>
      <c r="BJ3044" s="136"/>
      <c r="BK3044" s="2"/>
      <c r="BL3044" s="136"/>
      <c r="BM3044" s="136"/>
      <c r="BN3044" s="2"/>
      <c r="BO3044" s="2"/>
      <c r="BP3044" s="136"/>
      <c r="BQ3044" s="137"/>
    </row>
    <row r="3045" spans="1:69" ht="12.75" customHeight="1" x14ac:dyDescent="0.2">
      <c r="A3045" s="2">
        <v>4534</v>
      </c>
      <c r="B3045" s="2"/>
      <c r="C3045" s="2"/>
      <c r="D3045" s="2"/>
      <c r="E3045" s="2"/>
      <c r="F3045" s="132">
        <v>0</v>
      </c>
      <c r="G3045" s="132"/>
      <c r="H3045" s="132">
        <f t="shared" si="339"/>
        <v>0</v>
      </c>
      <c r="I3045" s="132"/>
      <c r="J3045" s="132">
        <f t="shared" si="344"/>
        <v>0</v>
      </c>
      <c r="K3045" s="132">
        <f t="shared" si="340"/>
        <v>0</v>
      </c>
      <c r="L3045" s="132">
        <f t="shared" si="341"/>
        <v>0</v>
      </c>
      <c r="M3045" s="133"/>
      <c r="N3045" s="133">
        <f t="shared" si="338"/>
        <v>0</v>
      </c>
      <c r="O3045" s="134"/>
      <c r="P3045" s="133"/>
      <c r="Q3045" s="2"/>
      <c r="R3045" s="156">
        <f t="shared" si="342"/>
        <v>0</v>
      </c>
      <c r="S3045" s="156">
        <f t="shared" si="343"/>
        <v>0</v>
      </c>
      <c r="T3045" s="133"/>
      <c r="U3045" s="133"/>
      <c r="V3045" s="133"/>
      <c r="W3045" s="133"/>
      <c r="X3045" s="133"/>
      <c r="Y3045" s="133"/>
      <c r="Z3045" s="133"/>
      <c r="AA3045" s="133"/>
      <c r="AB3045" s="133"/>
      <c r="AC3045" s="133"/>
      <c r="AD3045" s="133"/>
      <c r="AE3045" s="133"/>
      <c r="AF3045" s="133"/>
      <c r="AG3045" s="133"/>
      <c r="AH3045" s="133"/>
      <c r="AI3045" s="133"/>
      <c r="AJ3045" s="133"/>
      <c r="AK3045" s="133"/>
      <c r="AL3045" s="133"/>
      <c r="AM3045" s="133"/>
      <c r="AN3045" s="133"/>
      <c r="AO3045" s="133"/>
      <c r="AP3045" s="133"/>
      <c r="AQ3045" s="133"/>
      <c r="AR3045" s="133"/>
      <c r="AS3045" s="153">
        <v>0</v>
      </c>
      <c r="AT3045" s="153">
        <v>0</v>
      </c>
      <c r="AU3045" s="153">
        <v>0</v>
      </c>
      <c r="AV3045" s="135"/>
      <c r="AW3045" s="135"/>
      <c r="AX3045" s="135"/>
      <c r="AY3045" s="135"/>
      <c r="AZ3045" s="135"/>
      <c r="BA3045" s="135"/>
      <c r="BB3045" s="135"/>
      <c r="BC3045" s="135"/>
      <c r="BD3045" s="135"/>
      <c r="BE3045" s="135"/>
      <c r="BF3045" s="135"/>
      <c r="BG3045" s="135"/>
      <c r="BH3045" s="135"/>
      <c r="BI3045" s="2"/>
      <c r="BJ3045" s="136"/>
      <c r="BK3045" s="2"/>
      <c r="BL3045" s="136"/>
      <c r="BM3045" s="136"/>
      <c r="BN3045" s="2"/>
      <c r="BO3045" s="2"/>
      <c r="BP3045" s="136"/>
      <c r="BQ3045" s="137"/>
    </row>
    <row r="3046" spans="1:69" ht="12.75" customHeight="1" x14ac:dyDescent="0.2">
      <c r="A3046" s="2">
        <v>4535</v>
      </c>
      <c r="B3046" s="2"/>
      <c r="C3046" s="2"/>
      <c r="D3046" s="2"/>
      <c r="E3046" s="2"/>
      <c r="F3046" s="132">
        <v>0</v>
      </c>
      <c r="G3046" s="132"/>
      <c r="H3046" s="132">
        <f t="shared" si="339"/>
        <v>0</v>
      </c>
      <c r="I3046" s="132"/>
      <c r="J3046" s="132">
        <f t="shared" si="344"/>
        <v>0</v>
      </c>
      <c r="K3046" s="132">
        <f t="shared" si="340"/>
        <v>0</v>
      </c>
      <c r="L3046" s="132">
        <f t="shared" si="341"/>
        <v>0</v>
      </c>
      <c r="M3046" s="133"/>
      <c r="N3046" s="133">
        <f t="shared" si="338"/>
        <v>0</v>
      </c>
      <c r="O3046" s="134"/>
      <c r="P3046" s="133"/>
      <c r="Q3046" s="2"/>
      <c r="R3046" s="156">
        <f t="shared" si="342"/>
        <v>0</v>
      </c>
      <c r="S3046" s="156">
        <f t="shared" si="343"/>
        <v>0</v>
      </c>
      <c r="T3046" s="133"/>
      <c r="U3046" s="133"/>
      <c r="V3046" s="133"/>
      <c r="W3046" s="133"/>
      <c r="X3046" s="133"/>
      <c r="Y3046" s="133"/>
      <c r="Z3046" s="133"/>
      <c r="AA3046" s="133"/>
      <c r="AB3046" s="133"/>
      <c r="AC3046" s="133"/>
      <c r="AD3046" s="133"/>
      <c r="AE3046" s="133"/>
      <c r="AF3046" s="133"/>
      <c r="AG3046" s="133"/>
      <c r="AH3046" s="133"/>
      <c r="AI3046" s="133"/>
      <c r="AJ3046" s="133"/>
      <c r="AK3046" s="133"/>
      <c r="AL3046" s="133"/>
      <c r="AM3046" s="133"/>
      <c r="AN3046" s="133"/>
      <c r="AO3046" s="133"/>
      <c r="AP3046" s="133"/>
      <c r="AQ3046" s="133"/>
      <c r="AR3046" s="133"/>
      <c r="AS3046" s="153">
        <v>0</v>
      </c>
      <c r="AT3046" s="153">
        <v>0</v>
      </c>
      <c r="AU3046" s="153">
        <v>0</v>
      </c>
      <c r="AV3046" s="135"/>
      <c r="AW3046" s="135"/>
      <c r="AX3046" s="135"/>
      <c r="AY3046" s="135"/>
      <c r="AZ3046" s="135"/>
      <c r="BA3046" s="135"/>
      <c r="BB3046" s="135"/>
      <c r="BC3046" s="135"/>
      <c r="BD3046" s="135"/>
      <c r="BE3046" s="135"/>
      <c r="BF3046" s="135"/>
      <c r="BG3046" s="135"/>
      <c r="BH3046" s="135"/>
      <c r="BI3046" s="2"/>
      <c r="BJ3046" s="136"/>
      <c r="BK3046" s="2"/>
      <c r="BL3046" s="136"/>
      <c r="BM3046" s="136"/>
      <c r="BN3046" s="2"/>
      <c r="BO3046" s="2"/>
      <c r="BP3046" s="136"/>
      <c r="BQ3046" s="137"/>
    </row>
    <row r="3047" spans="1:69" ht="12.75" customHeight="1" x14ac:dyDescent="0.2">
      <c r="A3047" s="2">
        <v>4536</v>
      </c>
      <c r="B3047" s="2"/>
      <c r="C3047" s="2"/>
      <c r="D3047" s="2"/>
      <c r="E3047" s="2"/>
      <c r="F3047" s="132">
        <v>0</v>
      </c>
      <c r="G3047" s="132"/>
      <c r="H3047" s="132">
        <f t="shared" si="339"/>
        <v>0</v>
      </c>
      <c r="I3047" s="132"/>
      <c r="J3047" s="132">
        <f t="shared" si="344"/>
        <v>0</v>
      </c>
      <c r="K3047" s="132">
        <f t="shared" si="340"/>
        <v>0</v>
      </c>
      <c r="L3047" s="132">
        <f t="shared" si="341"/>
        <v>0</v>
      </c>
      <c r="M3047" s="133"/>
      <c r="N3047" s="133">
        <f t="shared" si="338"/>
        <v>0</v>
      </c>
      <c r="O3047" s="134"/>
      <c r="P3047" s="133"/>
      <c r="Q3047" s="2"/>
      <c r="R3047" s="156">
        <f t="shared" si="342"/>
        <v>0</v>
      </c>
      <c r="S3047" s="156">
        <f t="shared" si="343"/>
        <v>0</v>
      </c>
      <c r="T3047" s="133"/>
      <c r="U3047" s="133"/>
      <c r="V3047" s="133"/>
      <c r="W3047" s="133"/>
      <c r="X3047" s="133"/>
      <c r="Y3047" s="133"/>
      <c r="Z3047" s="133"/>
      <c r="AA3047" s="133"/>
      <c r="AB3047" s="133"/>
      <c r="AC3047" s="133"/>
      <c r="AD3047" s="133"/>
      <c r="AE3047" s="133"/>
      <c r="AF3047" s="133"/>
      <c r="AG3047" s="133"/>
      <c r="AH3047" s="133"/>
      <c r="AI3047" s="133"/>
      <c r="AJ3047" s="133"/>
      <c r="AK3047" s="133"/>
      <c r="AL3047" s="133"/>
      <c r="AM3047" s="133"/>
      <c r="AN3047" s="133"/>
      <c r="AO3047" s="133"/>
      <c r="AP3047" s="133"/>
      <c r="AQ3047" s="133"/>
      <c r="AR3047" s="133"/>
      <c r="AS3047" s="153">
        <v>0</v>
      </c>
      <c r="AT3047" s="153">
        <v>0</v>
      </c>
      <c r="AU3047" s="153">
        <v>0</v>
      </c>
      <c r="AV3047" s="135"/>
      <c r="AW3047" s="135"/>
      <c r="AX3047" s="135"/>
      <c r="AY3047" s="135"/>
      <c r="AZ3047" s="135"/>
      <c r="BA3047" s="135"/>
      <c r="BB3047" s="135"/>
      <c r="BC3047" s="135"/>
      <c r="BD3047" s="135"/>
      <c r="BE3047" s="135"/>
      <c r="BF3047" s="135"/>
      <c r="BG3047" s="135"/>
      <c r="BH3047" s="135"/>
      <c r="BI3047" s="2"/>
      <c r="BJ3047" s="136"/>
      <c r="BK3047" s="2"/>
      <c r="BL3047" s="136"/>
      <c r="BM3047" s="136"/>
      <c r="BN3047" s="2"/>
      <c r="BO3047" s="2"/>
      <c r="BP3047" s="136"/>
      <c r="BQ3047" s="137"/>
    </row>
    <row r="3048" spans="1:69" ht="12.75" customHeight="1" x14ac:dyDescent="0.2">
      <c r="A3048" s="2">
        <v>4537</v>
      </c>
      <c r="B3048" s="2"/>
      <c r="C3048" s="2"/>
      <c r="D3048" s="2"/>
      <c r="E3048" s="2"/>
      <c r="F3048" s="132">
        <v>0</v>
      </c>
      <c r="G3048" s="132"/>
      <c r="H3048" s="132">
        <f t="shared" si="339"/>
        <v>0</v>
      </c>
      <c r="I3048" s="132"/>
      <c r="J3048" s="132">
        <f t="shared" si="344"/>
        <v>0</v>
      </c>
      <c r="K3048" s="132">
        <f t="shared" si="340"/>
        <v>0</v>
      </c>
      <c r="L3048" s="132">
        <f t="shared" si="341"/>
        <v>0</v>
      </c>
      <c r="M3048" s="133"/>
      <c r="N3048" s="133">
        <f t="shared" si="338"/>
        <v>0</v>
      </c>
      <c r="O3048" s="134"/>
      <c r="P3048" s="133"/>
      <c r="Q3048" s="2"/>
      <c r="R3048" s="156">
        <f t="shared" si="342"/>
        <v>0</v>
      </c>
      <c r="S3048" s="156">
        <f t="shared" si="343"/>
        <v>0</v>
      </c>
      <c r="T3048" s="133"/>
      <c r="U3048" s="133"/>
      <c r="V3048" s="133"/>
      <c r="W3048" s="133"/>
      <c r="X3048" s="133"/>
      <c r="Y3048" s="133"/>
      <c r="Z3048" s="133"/>
      <c r="AA3048" s="133"/>
      <c r="AB3048" s="133"/>
      <c r="AC3048" s="133"/>
      <c r="AD3048" s="133"/>
      <c r="AE3048" s="133"/>
      <c r="AF3048" s="133"/>
      <c r="AG3048" s="133"/>
      <c r="AH3048" s="133"/>
      <c r="AI3048" s="133"/>
      <c r="AJ3048" s="133"/>
      <c r="AK3048" s="133"/>
      <c r="AL3048" s="133"/>
      <c r="AM3048" s="133"/>
      <c r="AN3048" s="133"/>
      <c r="AO3048" s="133"/>
      <c r="AP3048" s="133"/>
      <c r="AQ3048" s="133"/>
      <c r="AR3048" s="133"/>
      <c r="AS3048" s="153">
        <v>0</v>
      </c>
      <c r="AT3048" s="153">
        <v>0</v>
      </c>
      <c r="AU3048" s="153">
        <v>0</v>
      </c>
      <c r="AV3048" s="135"/>
      <c r="AW3048" s="135"/>
      <c r="AX3048" s="135"/>
      <c r="AY3048" s="135"/>
      <c r="AZ3048" s="135"/>
      <c r="BA3048" s="135"/>
      <c r="BB3048" s="135"/>
      <c r="BC3048" s="135"/>
      <c r="BD3048" s="135"/>
      <c r="BE3048" s="135"/>
      <c r="BF3048" s="135"/>
      <c r="BG3048" s="135"/>
      <c r="BH3048" s="135"/>
      <c r="BI3048" s="2"/>
      <c r="BJ3048" s="136"/>
      <c r="BK3048" s="2"/>
      <c r="BL3048" s="136"/>
      <c r="BM3048" s="136"/>
      <c r="BN3048" s="2"/>
      <c r="BO3048" s="2"/>
      <c r="BP3048" s="136"/>
      <c r="BQ3048" s="137"/>
    </row>
    <row r="3049" spans="1:69" ht="12.75" customHeight="1" x14ac:dyDescent="0.2">
      <c r="A3049" s="2">
        <v>4538</v>
      </c>
      <c r="B3049" s="2"/>
      <c r="C3049" s="2"/>
      <c r="D3049" s="2"/>
      <c r="E3049" s="2"/>
      <c r="F3049" s="132">
        <v>0</v>
      </c>
      <c r="G3049" s="132"/>
      <c r="H3049" s="132">
        <f t="shared" si="339"/>
        <v>0</v>
      </c>
      <c r="I3049" s="132"/>
      <c r="J3049" s="132">
        <f t="shared" si="344"/>
        <v>0</v>
      </c>
      <c r="K3049" s="132">
        <f t="shared" si="340"/>
        <v>0</v>
      </c>
      <c r="L3049" s="132">
        <f t="shared" si="341"/>
        <v>0</v>
      </c>
      <c r="M3049" s="133"/>
      <c r="N3049" s="133">
        <f t="shared" si="338"/>
        <v>0</v>
      </c>
      <c r="O3049" s="134"/>
      <c r="P3049" s="133"/>
      <c r="Q3049" s="2"/>
      <c r="R3049" s="156">
        <f t="shared" si="342"/>
        <v>0</v>
      </c>
      <c r="S3049" s="156">
        <f t="shared" si="343"/>
        <v>0</v>
      </c>
      <c r="T3049" s="133"/>
      <c r="U3049" s="133"/>
      <c r="V3049" s="133"/>
      <c r="W3049" s="133"/>
      <c r="X3049" s="133"/>
      <c r="Y3049" s="133"/>
      <c r="Z3049" s="133"/>
      <c r="AA3049" s="133"/>
      <c r="AB3049" s="133"/>
      <c r="AC3049" s="133"/>
      <c r="AD3049" s="133"/>
      <c r="AE3049" s="133"/>
      <c r="AF3049" s="133"/>
      <c r="AG3049" s="133"/>
      <c r="AH3049" s="133"/>
      <c r="AI3049" s="133"/>
      <c r="AJ3049" s="133"/>
      <c r="AK3049" s="133"/>
      <c r="AL3049" s="133"/>
      <c r="AM3049" s="133"/>
      <c r="AN3049" s="133"/>
      <c r="AO3049" s="133"/>
      <c r="AP3049" s="133"/>
      <c r="AQ3049" s="133"/>
      <c r="AR3049" s="133"/>
      <c r="AS3049" s="153">
        <v>0</v>
      </c>
      <c r="AT3049" s="153">
        <v>0</v>
      </c>
      <c r="AU3049" s="153">
        <v>0</v>
      </c>
      <c r="AV3049" s="135"/>
      <c r="AW3049" s="135"/>
      <c r="AX3049" s="135"/>
      <c r="AY3049" s="135"/>
      <c r="AZ3049" s="135"/>
      <c r="BA3049" s="135"/>
      <c r="BB3049" s="135"/>
      <c r="BC3049" s="135"/>
      <c r="BD3049" s="135"/>
      <c r="BE3049" s="135"/>
      <c r="BF3049" s="135"/>
      <c r="BG3049" s="135"/>
      <c r="BH3049" s="135"/>
      <c r="BI3049" s="2"/>
      <c r="BJ3049" s="136"/>
      <c r="BK3049" s="2"/>
      <c r="BL3049" s="136"/>
      <c r="BM3049" s="136"/>
      <c r="BN3049" s="2"/>
      <c r="BO3049" s="2"/>
      <c r="BP3049" s="136"/>
      <c r="BQ3049" s="137"/>
    </row>
    <row r="3050" spans="1:69" ht="12.75" customHeight="1" x14ac:dyDescent="0.2">
      <c r="A3050" s="2">
        <v>4539</v>
      </c>
      <c r="B3050" s="2"/>
      <c r="C3050" s="2"/>
      <c r="D3050" s="2"/>
      <c r="E3050" s="2"/>
      <c r="F3050" s="132">
        <v>0</v>
      </c>
      <c r="G3050" s="132"/>
      <c r="H3050" s="132">
        <f t="shared" si="339"/>
        <v>0</v>
      </c>
      <c r="I3050" s="132"/>
      <c r="J3050" s="132">
        <f t="shared" si="344"/>
        <v>0</v>
      </c>
      <c r="K3050" s="132">
        <f t="shared" si="340"/>
        <v>0</v>
      </c>
      <c r="L3050" s="132">
        <f t="shared" si="341"/>
        <v>0</v>
      </c>
      <c r="M3050" s="133"/>
      <c r="N3050" s="133">
        <f t="shared" ref="N3050:N3113" si="345">IF(OR(BK3050="принят",BK3050="Завершено",BK3050="ПриПро"),H3050-J3050,F3050-J3050)</f>
        <v>0</v>
      </c>
      <c r="O3050" s="134"/>
      <c r="P3050" s="133"/>
      <c r="Q3050" s="2"/>
      <c r="R3050" s="156">
        <f t="shared" si="342"/>
        <v>0</v>
      </c>
      <c r="S3050" s="156">
        <f t="shared" si="343"/>
        <v>0</v>
      </c>
      <c r="T3050" s="133"/>
      <c r="U3050" s="133"/>
      <c r="V3050" s="133"/>
      <c r="W3050" s="133"/>
      <c r="X3050" s="133"/>
      <c r="Y3050" s="133"/>
      <c r="Z3050" s="133"/>
      <c r="AA3050" s="133"/>
      <c r="AB3050" s="133"/>
      <c r="AC3050" s="133"/>
      <c r="AD3050" s="133"/>
      <c r="AE3050" s="133"/>
      <c r="AF3050" s="133"/>
      <c r="AG3050" s="133"/>
      <c r="AH3050" s="133"/>
      <c r="AI3050" s="133"/>
      <c r="AJ3050" s="133"/>
      <c r="AK3050" s="133"/>
      <c r="AL3050" s="133"/>
      <c r="AM3050" s="133"/>
      <c r="AN3050" s="133"/>
      <c r="AO3050" s="133"/>
      <c r="AP3050" s="133"/>
      <c r="AQ3050" s="133"/>
      <c r="AR3050" s="133"/>
      <c r="AS3050" s="153">
        <v>0</v>
      </c>
      <c r="AT3050" s="153">
        <v>0</v>
      </c>
      <c r="AU3050" s="153">
        <v>0</v>
      </c>
      <c r="AV3050" s="135"/>
      <c r="AW3050" s="135"/>
      <c r="AX3050" s="135"/>
      <c r="AY3050" s="135"/>
      <c r="AZ3050" s="135"/>
      <c r="BA3050" s="135"/>
      <c r="BB3050" s="135"/>
      <c r="BC3050" s="135"/>
      <c r="BD3050" s="135"/>
      <c r="BE3050" s="135"/>
      <c r="BF3050" s="135"/>
      <c r="BG3050" s="135"/>
      <c r="BH3050" s="135"/>
      <c r="BI3050" s="2"/>
      <c r="BJ3050" s="136"/>
      <c r="BK3050" s="2"/>
      <c r="BL3050" s="136"/>
      <c r="BM3050" s="136"/>
      <c r="BN3050" s="2"/>
      <c r="BO3050" s="2"/>
      <c r="BP3050" s="136"/>
      <c r="BQ3050" s="137"/>
    </row>
    <row r="3051" spans="1:69" ht="12.75" customHeight="1" x14ac:dyDescent="0.2">
      <c r="A3051" s="2">
        <v>4540</v>
      </c>
      <c r="B3051" s="2"/>
      <c r="C3051" s="2"/>
      <c r="D3051" s="2"/>
      <c r="E3051" s="2"/>
      <c r="F3051" s="132">
        <v>0</v>
      </c>
      <c r="G3051" s="132"/>
      <c r="H3051" s="132">
        <f t="shared" si="339"/>
        <v>0</v>
      </c>
      <c r="I3051" s="132"/>
      <c r="J3051" s="132">
        <f t="shared" si="344"/>
        <v>0</v>
      </c>
      <c r="K3051" s="132">
        <f t="shared" si="340"/>
        <v>0</v>
      </c>
      <c r="L3051" s="132">
        <f t="shared" si="341"/>
        <v>0</v>
      </c>
      <c r="M3051" s="133"/>
      <c r="N3051" s="133">
        <f t="shared" si="345"/>
        <v>0</v>
      </c>
      <c r="O3051" s="134"/>
      <c r="P3051" s="133"/>
      <c r="Q3051" s="2"/>
      <c r="R3051" s="156">
        <f t="shared" si="342"/>
        <v>0</v>
      </c>
      <c r="S3051" s="156">
        <f t="shared" si="343"/>
        <v>0</v>
      </c>
      <c r="T3051" s="133"/>
      <c r="U3051" s="133"/>
      <c r="V3051" s="133"/>
      <c r="W3051" s="133"/>
      <c r="X3051" s="133"/>
      <c r="Y3051" s="133"/>
      <c r="Z3051" s="133"/>
      <c r="AA3051" s="133"/>
      <c r="AB3051" s="133"/>
      <c r="AC3051" s="133"/>
      <c r="AD3051" s="133"/>
      <c r="AE3051" s="133"/>
      <c r="AF3051" s="133"/>
      <c r="AG3051" s="133"/>
      <c r="AH3051" s="133"/>
      <c r="AI3051" s="133"/>
      <c r="AJ3051" s="133"/>
      <c r="AK3051" s="133"/>
      <c r="AL3051" s="133"/>
      <c r="AM3051" s="133"/>
      <c r="AN3051" s="133"/>
      <c r="AO3051" s="133"/>
      <c r="AP3051" s="133"/>
      <c r="AQ3051" s="133"/>
      <c r="AR3051" s="133"/>
      <c r="AS3051" s="153">
        <v>0</v>
      </c>
      <c r="AT3051" s="153">
        <v>0</v>
      </c>
      <c r="AU3051" s="153">
        <v>0</v>
      </c>
      <c r="AV3051" s="135"/>
      <c r="AW3051" s="135"/>
      <c r="AX3051" s="135"/>
      <c r="AY3051" s="135"/>
      <c r="AZ3051" s="135"/>
      <c r="BA3051" s="135"/>
      <c r="BB3051" s="135"/>
      <c r="BC3051" s="135"/>
      <c r="BD3051" s="135"/>
      <c r="BE3051" s="135"/>
      <c r="BF3051" s="135"/>
      <c r="BG3051" s="135"/>
      <c r="BH3051" s="135"/>
      <c r="BI3051" s="2"/>
      <c r="BJ3051" s="136"/>
      <c r="BK3051" s="2"/>
      <c r="BL3051" s="136"/>
      <c r="BM3051" s="136"/>
      <c r="BN3051" s="2"/>
      <c r="BO3051" s="2"/>
      <c r="BP3051" s="136"/>
      <c r="BQ3051" s="137"/>
    </row>
    <row r="3052" spans="1:69" ht="12.75" customHeight="1" x14ac:dyDescent="0.2">
      <c r="A3052" s="2">
        <v>4541</v>
      </c>
      <c r="B3052" s="2"/>
      <c r="C3052" s="2"/>
      <c r="D3052" s="2"/>
      <c r="E3052" s="2"/>
      <c r="F3052" s="132">
        <v>0</v>
      </c>
      <c r="G3052" s="132"/>
      <c r="H3052" s="132">
        <f t="shared" si="339"/>
        <v>0</v>
      </c>
      <c r="I3052" s="132"/>
      <c r="J3052" s="132">
        <f t="shared" si="344"/>
        <v>0</v>
      </c>
      <c r="K3052" s="132">
        <f t="shared" si="340"/>
        <v>0</v>
      </c>
      <c r="L3052" s="132">
        <f t="shared" si="341"/>
        <v>0</v>
      </c>
      <c r="M3052" s="133"/>
      <c r="N3052" s="133">
        <f t="shared" si="345"/>
        <v>0</v>
      </c>
      <c r="O3052" s="134"/>
      <c r="P3052" s="133"/>
      <c r="Q3052" s="2"/>
      <c r="R3052" s="156">
        <f t="shared" si="342"/>
        <v>0</v>
      </c>
      <c r="S3052" s="156">
        <f t="shared" si="343"/>
        <v>0</v>
      </c>
      <c r="T3052" s="133"/>
      <c r="U3052" s="133"/>
      <c r="V3052" s="133"/>
      <c r="W3052" s="133"/>
      <c r="X3052" s="133"/>
      <c r="Y3052" s="133"/>
      <c r="Z3052" s="133"/>
      <c r="AA3052" s="133"/>
      <c r="AB3052" s="133"/>
      <c r="AC3052" s="133"/>
      <c r="AD3052" s="133"/>
      <c r="AE3052" s="133"/>
      <c r="AF3052" s="133"/>
      <c r="AG3052" s="133"/>
      <c r="AH3052" s="133"/>
      <c r="AI3052" s="133"/>
      <c r="AJ3052" s="133"/>
      <c r="AK3052" s="133"/>
      <c r="AL3052" s="133"/>
      <c r="AM3052" s="133"/>
      <c r="AN3052" s="133"/>
      <c r="AO3052" s="133"/>
      <c r="AP3052" s="133"/>
      <c r="AQ3052" s="133"/>
      <c r="AR3052" s="133"/>
      <c r="AS3052" s="153">
        <v>0</v>
      </c>
      <c r="AT3052" s="153">
        <v>0</v>
      </c>
      <c r="AU3052" s="153">
        <v>0</v>
      </c>
      <c r="AV3052" s="135"/>
      <c r="AW3052" s="135"/>
      <c r="AX3052" s="135"/>
      <c r="AY3052" s="135"/>
      <c r="AZ3052" s="135"/>
      <c r="BA3052" s="135"/>
      <c r="BB3052" s="135"/>
      <c r="BC3052" s="135"/>
      <c r="BD3052" s="135"/>
      <c r="BE3052" s="135"/>
      <c r="BF3052" s="135"/>
      <c r="BG3052" s="135"/>
      <c r="BH3052" s="135"/>
      <c r="BI3052" s="2"/>
      <c r="BJ3052" s="136"/>
      <c r="BK3052" s="2"/>
      <c r="BL3052" s="136"/>
      <c r="BM3052" s="136"/>
      <c r="BN3052" s="2"/>
      <c r="BO3052" s="2"/>
      <c r="BP3052" s="136"/>
      <c r="BQ3052" s="137"/>
    </row>
    <row r="3053" spans="1:69" ht="12.75" customHeight="1" x14ac:dyDescent="0.2">
      <c r="A3053" s="2">
        <v>4542</v>
      </c>
      <c r="B3053" s="2"/>
      <c r="C3053" s="2"/>
      <c r="D3053" s="2"/>
      <c r="E3053" s="2"/>
      <c r="F3053" s="132">
        <v>0</v>
      </c>
      <c r="G3053" s="132"/>
      <c r="H3053" s="132">
        <f t="shared" si="339"/>
        <v>0</v>
      </c>
      <c r="I3053" s="132"/>
      <c r="J3053" s="132">
        <f t="shared" si="344"/>
        <v>0</v>
      </c>
      <c r="K3053" s="132">
        <f t="shared" si="340"/>
        <v>0</v>
      </c>
      <c r="L3053" s="132">
        <f t="shared" si="341"/>
        <v>0</v>
      </c>
      <c r="M3053" s="133"/>
      <c r="N3053" s="133">
        <f t="shared" si="345"/>
        <v>0</v>
      </c>
      <c r="O3053" s="134"/>
      <c r="P3053" s="133"/>
      <c r="Q3053" s="2"/>
      <c r="R3053" s="156">
        <f t="shared" si="342"/>
        <v>0</v>
      </c>
      <c r="S3053" s="156">
        <f t="shared" si="343"/>
        <v>0</v>
      </c>
      <c r="T3053" s="133"/>
      <c r="U3053" s="133"/>
      <c r="V3053" s="133"/>
      <c r="W3053" s="133"/>
      <c r="X3053" s="133"/>
      <c r="Y3053" s="133"/>
      <c r="Z3053" s="133"/>
      <c r="AA3053" s="133"/>
      <c r="AB3053" s="133"/>
      <c r="AC3053" s="133"/>
      <c r="AD3053" s="133"/>
      <c r="AE3053" s="133"/>
      <c r="AF3053" s="133"/>
      <c r="AG3053" s="133"/>
      <c r="AH3053" s="133"/>
      <c r="AI3053" s="133"/>
      <c r="AJ3053" s="133"/>
      <c r="AK3053" s="133"/>
      <c r="AL3053" s="133"/>
      <c r="AM3053" s="133"/>
      <c r="AN3053" s="133"/>
      <c r="AO3053" s="133"/>
      <c r="AP3053" s="133"/>
      <c r="AQ3053" s="133"/>
      <c r="AR3053" s="133"/>
      <c r="AS3053" s="153">
        <v>0</v>
      </c>
      <c r="AT3053" s="153">
        <v>0</v>
      </c>
      <c r="AU3053" s="153">
        <v>0</v>
      </c>
      <c r="AV3053" s="135"/>
      <c r="AW3053" s="135"/>
      <c r="AX3053" s="135"/>
      <c r="AY3053" s="135"/>
      <c r="AZ3053" s="135"/>
      <c r="BA3053" s="135"/>
      <c r="BB3053" s="135"/>
      <c r="BC3053" s="135"/>
      <c r="BD3053" s="135"/>
      <c r="BE3053" s="135"/>
      <c r="BF3053" s="135"/>
      <c r="BG3053" s="135"/>
      <c r="BH3053" s="135"/>
      <c r="BI3053" s="2"/>
      <c r="BJ3053" s="136"/>
      <c r="BK3053" s="2"/>
      <c r="BL3053" s="136"/>
      <c r="BM3053" s="136"/>
      <c r="BN3053" s="2"/>
      <c r="BO3053" s="2"/>
      <c r="BP3053" s="136"/>
      <c r="BQ3053" s="137"/>
    </row>
    <row r="3054" spans="1:69" ht="12.75" customHeight="1" x14ac:dyDescent="0.2">
      <c r="A3054" s="2">
        <v>4543</v>
      </c>
      <c r="B3054" s="2"/>
      <c r="C3054" s="2"/>
      <c r="D3054" s="2"/>
      <c r="E3054" s="2"/>
      <c r="F3054" s="132">
        <v>0</v>
      </c>
      <c r="G3054" s="132"/>
      <c r="H3054" s="132">
        <f t="shared" ref="H3054:H3117" si="346">R3054</f>
        <v>0</v>
      </c>
      <c r="I3054" s="132"/>
      <c r="J3054" s="132">
        <f t="shared" si="344"/>
        <v>0</v>
      </c>
      <c r="K3054" s="132">
        <f t="shared" si="340"/>
        <v>0</v>
      </c>
      <c r="L3054" s="132">
        <f t="shared" si="341"/>
        <v>0</v>
      </c>
      <c r="M3054" s="133"/>
      <c r="N3054" s="133">
        <f t="shared" si="345"/>
        <v>0</v>
      </c>
      <c r="O3054" s="134"/>
      <c r="P3054" s="133"/>
      <c r="Q3054" s="2"/>
      <c r="R3054" s="156">
        <f t="shared" si="342"/>
        <v>0</v>
      </c>
      <c r="S3054" s="156">
        <f t="shared" si="343"/>
        <v>0</v>
      </c>
      <c r="T3054" s="133"/>
      <c r="U3054" s="133"/>
      <c r="V3054" s="133"/>
      <c r="W3054" s="133"/>
      <c r="X3054" s="133"/>
      <c r="Y3054" s="133"/>
      <c r="Z3054" s="133"/>
      <c r="AA3054" s="133"/>
      <c r="AB3054" s="133"/>
      <c r="AC3054" s="133"/>
      <c r="AD3054" s="133"/>
      <c r="AE3054" s="133"/>
      <c r="AF3054" s="133"/>
      <c r="AG3054" s="133"/>
      <c r="AH3054" s="133"/>
      <c r="AI3054" s="133"/>
      <c r="AJ3054" s="133"/>
      <c r="AK3054" s="133"/>
      <c r="AL3054" s="133"/>
      <c r="AM3054" s="133"/>
      <c r="AN3054" s="133"/>
      <c r="AO3054" s="133"/>
      <c r="AP3054" s="133"/>
      <c r="AQ3054" s="133"/>
      <c r="AR3054" s="133"/>
      <c r="AS3054" s="153">
        <v>0</v>
      </c>
      <c r="AT3054" s="153">
        <v>0</v>
      </c>
      <c r="AU3054" s="153">
        <v>0</v>
      </c>
      <c r="AV3054" s="135"/>
      <c r="AW3054" s="135"/>
      <c r="AX3054" s="135"/>
      <c r="AY3054" s="135"/>
      <c r="AZ3054" s="135"/>
      <c r="BA3054" s="135"/>
      <c r="BB3054" s="135"/>
      <c r="BC3054" s="135"/>
      <c r="BD3054" s="135"/>
      <c r="BE3054" s="135"/>
      <c r="BF3054" s="135"/>
      <c r="BG3054" s="135"/>
      <c r="BH3054" s="135"/>
      <c r="BI3054" s="2"/>
      <c r="BJ3054" s="136"/>
      <c r="BK3054" s="2"/>
      <c r="BL3054" s="136"/>
      <c r="BM3054" s="136"/>
      <c r="BN3054" s="2"/>
      <c r="BO3054" s="2"/>
      <c r="BP3054" s="136"/>
      <c r="BQ3054" s="137"/>
    </row>
    <row r="3055" spans="1:69" ht="12.75" customHeight="1" x14ac:dyDescent="0.2">
      <c r="A3055" s="2">
        <v>4544</v>
      </c>
      <c r="B3055" s="2"/>
      <c r="C3055" s="2"/>
      <c r="D3055" s="2"/>
      <c r="E3055" s="2"/>
      <c r="F3055" s="132">
        <v>0</v>
      </c>
      <c r="G3055" s="132"/>
      <c r="H3055" s="132">
        <f t="shared" si="346"/>
        <v>0</v>
      </c>
      <c r="I3055" s="132"/>
      <c r="J3055" s="132">
        <f t="shared" si="344"/>
        <v>0</v>
      </c>
      <c r="K3055" s="132">
        <f t="shared" si="340"/>
        <v>0</v>
      </c>
      <c r="L3055" s="132">
        <f t="shared" si="341"/>
        <v>0</v>
      </c>
      <c r="M3055" s="133"/>
      <c r="N3055" s="133">
        <f t="shared" si="345"/>
        <v>0</v>
      </c>
      <c r="O3055" s="134"/>
      <c r="P3055" s="133"/>
      <c r="Q3055" s="2"/>
      <c r="R3055" s="156">
        <f t="shared" si="342"/>
        <v>0</v>
      </c>
      <c r="S3055" s="156">
        <f t="shared" si="343"/>
        <v>0</v>
      </c>
      <c r="T3055" s="133"/>
      <c r="U3055" s="133"/>
      <c r="V3055" s="133"/>
      <c r="W3055" s="133"/>
      <c r="X3055" s="133"/>
      <c r="Y3055" s="133"/>
      <c r="Z3055" s="133"/>
      <c r="AA3055" s="133"/>
      <c r="AB3055" s="133"/>
      <c r="AC3055" s="133"/>
      <c r="AD3055" s="133"/>
      <c r="AE3055" s="133"/>
      <c r="AF3055" s="133"/>
      <c r="AG3055" s="133"/>
      <c r="AH3055" s="133"/>
      <c r="AI3055" s="133"/>
      <c r="AJ3055" s="133"/>
      <c r="AK3055" s="133"/>
      <c r="AL3055" s="133"/>
      <c r="AM3055" s="133"/>
      <c r="AN3055" s="133"/>
      <c r="AO3055" s="133"/>
      <c r="AP3055" s="133"/>
      <c r="AQ3055" s="133"/>
      <c r="AR3055" s="133"/>
      <c r="AS3055" s="153">
        <v>0</v>
      </c>
      <c r="AT3055" s="153">
        <v>0</v>
      </c>
      <c r="AU3055" s="153">
        <v>0</v>
      </c>
      <c r="AV3055" s="135"/>
      <c r="AW3055" s="135"/>
      <c r="AX3055" s="135"/>
      <c r="AY3055" s="135"/>
      <c r="AZ3055" s="135"/>
      <c r="BA3055" s="135"/>
      <c r="BB3055" s="135"/>
      <c r="BC3055" s="135"/>
      <c r="BD3055" s="135"/>
      <c r="BE3055" s="135"/>
      <c r="BF3055" s="135"/>
      <c r="BG3055" s="135"/>
      <c r="BH3055" s="135"/>
      <c r="BI3055" s="2"/>
      <c r="BJ3055" s="136"/>
      <c r="BK3055" s="2"/>
      <c r="BL3055" s="136"/>
      <c r="BM3055" s="136"/>
      <c r="BN3055" s="2"/>
      <c r="BO3055" s="2"/>
      <c r="BP3055" s="136"/>
      <c r="BQ3055" s="137"/>
    </row>
    <row r="3056" spans="1:69" ht="12.75" customHeight="1" x14ac:dyDescent="0.2">
      <c r="A3056" s="2">
        <v>4545</v>
      </c>
      <c r="B3056" s="2"/>
      <c r="C3056" s="2"/>
      <c r="D3056" s="2"/>
      <c r="E3056" s="2"/>
      <c r="F3056" s="132">
        <v>0</v>
      </c>
      <c r="G3056" s="132"/>
      <c r="H3056" s="132">
        <f t="shared" si="346"/>
        <v>0</v>
      </c>
      <c r="I3056" s="132"/>
      <c r="J3056" s="132">
        <f t="shared" si="344"/>
        <v>0</v>
      </c>
      <c r="K3056" s="132">
        <f t="shared" si="340"/>
        <v>0</v>
      </c>
      <c r="L3056" s="132">
        <f t="shared" si="341"/>
        <v>0</v>
      </c>
      <c r="M3056" s="133"/>
      <c r="N3056" s="133">
        <f t="shared" si="345"/>
        <v>0</v>
      </c>
      <c r="O3056" s="134"/>
      <c r="P3056" s="133"/>
      <c r="Q3056" s="2"/>
      <c r="R3056" s="156">
        <f t="shared" si="342"/>
        <v>0</v>
      </c>
      <c r="S3056" s="156">
        <f t="shared" si="343"/>
        <v>0</v>
      </c>
      <c r="T3056" s="133"/>
      <c r="U3056" s="133"/>
      <c r="V3056" s="133"/>
      <c r="W3056" s="133"/>
      <c r="X3056" s="133"/>
      <c r="Y3056" s="133"/>
      <c r="Z3056" s="133"/>
      <c r="AA3056" s="133"/>
      <c r="AB3056" s="133"/>
      <c r="AC3056" s="133"/>
      <c r="AD3056" s="133"/>
      <c r="AE3056" s="133"/>
      <c r="AF3056" s="133"/>
      <c r="AG3056" s="133"/>
      <c r="AH3056" s="133"/>
      <c r="AI3056" s="133"/>
      <c r="AJ3056" s="133"/>
      <c r="AK3056" s="133"/>
      <c r="AL3056" s="133"/>
      <c r="AM3056" s="133"/>
      <c r="AN3056" s="133"/>
      <c r="AO3056" s="133"/>
      <c r="AP3056" s="133"/>
      <c r="AQ3056" s="133"/>
      <c r="AR3056" s="133"/>
      <c r="AS3056" s="153">
        <v>0</v>
      </c>
      <c r="AT3056" s="153">
        <v>0</v>
      </c>
      <c r="AU3056" s="153">
        <v>0</v>
      </c>
      <c r="AV3056" s="135"/>
      <c r="AW3056" s="135"/>
      <c r="AX3056" s="135"/>
      <c r="AY3056" s="135"/>
      <c r="AZ3056" s="135"/>
      <c r="BA3056" s="135"/>
      <c r="BB3056" s="135"/>
      <c r="BC3056" s="135"/>
      <c r="BD3056" s="135"/>
      <c r="BE3056" s="135"/>
      <c r="BF3056" s="135"/>
      <c r="BG3056" s="135"/>
      <c r="BH3056" s="135"/>
      <c r="BI3056" s="2"/>
      <c r="BJ3056" s="136"/>
      <c r="BK3056" s="2"/>
      <c r="BL3056" s="136"/>
      <c r="BM3056" s="136"/>
      <c r="BN3056" s="2"/>
      <c r="BO3056" s="2"/>
      <c r="BP3056" s="136"/>
      <c r="BQ3056" s="137"/>
    </row>
    <row r="3057" spans="1:69" ht="12.75" customHeight="1" x14ac:dyDescent="0.2">
      <c r="A3057" s="2">
        <v>4546</v>
      </c>
      <c r="B3057" s="2"/>
      <c r="C3057" s="2"/>
      <c r="D3057" s="2"/>
      <c r="E3057" s="2"/>
      <c r="F3057" s="132">
        <v>0</v>
      </c>
      <c r="G3057" s="132"/>
      <c r="H3057" s="132">
        <f t="shared" si="346"/>
        <v>0</v>
      </c>
      <c r="I3057" s="132"/>
      <c r="J3057" s="132">
        <f t="shared" si="344"/>
        <v>0</v>
      </c>
      <c r="K3057" s="132">
        <f t="shared" si="340"/>
        <v>0</v>
      </c>
      <c r="L3057" s="132">
        <f t="shared" si="341"/>
        <v>0</v>
      </c>
      <c r="M3057" s="133"/>
      <c r="N3057" s="133">
        <f t="shared" si="345"/>
        <v>0</v>
      </c>
      <c r="O3057" s="134"/>
      <c r="P3057" s="133"/>
      <c r="Q3057" s="2"/>
      <c r="R3057" s="156">
        <f t="shared" si="342"/>
        <v>0</v>
      </c>
      <c r="S3057" s="156">
        <f t="shared" si="343"/>
        <v>0</v>
      </c>
      <c r="T3057" s="133"/>
      <c r="U3057" s="133"/>
      <c r="V3057" s="133"/>
      <c r="W3057" s="133"/>
      <c r="X3057" s="133"/>
      <c r="Y3057" s="133"/>
      <c r="Z3057" s="133"/>
      <c r="AA3057" s="133"/>
      <c r="AB3057" s="133"/>
      <c r="AC3057" s="133"/>
      <c r="AD3057" s="133"/>
      <c r="AE3057" s="133"/>
      <c r="AF3057" s="133"/>
      <c r="AG3057" s="133"/>
      <c r="AH3057" s="133"/>
      <c r="AI3057" s="133"/>
      <c r="AJ3057" s="133"/>
      <c r="AK3057" s="133"/>
      <c r="AL3057" s="133"/>
      <c r="AM3057" s="133"/>
      <c r="AN3057" s="133"/>
      <c r="AO3057" s="133"/>
      <c r="AP3057" s="133"/>
      <c r="AQ3057" s="133"/>
      <c r="AR3057" s="133"/>
      <c r="AS3057" s="153">
        <v>0</v>
      </c>
      <c r="AT3057" s="153">
        <v>0</v>
      </c>
      <c r="AU3057" s="153">
        <v>0</v>
      </c>
      <c r="AV3057" s="135"/>
      <c r="AW3057" s="135"/>
      <c r="AX3057" s="135"/>
      <c r="AY3057" s="135"/>
      <c r="AZ3057" s="135"/>
      <c r="BA3057" s="135"/>
      <c r="BB3057" s="135"/>
      <c r="BC3057" s="135"/>
      <c r="BD3057" s="135"/>
      <c r="BE3057" s="135"/>
      <c r="BF3057" s="135"/>
      <c r="BG3057" s="135"/>
      <c r="BH3057" s="135"/>
      <c r="BI3057" s="2"/>
      <c r="BJ3057" s="136"/>
      <c r="BK3057" s="2"/>
      <c r="BL3057" s="136"/>
      <c r="BM3057" s="136"/>
      <c r="BN3057" s="2"/>
      <c r="BO3057" s="2"/>
      <c r="BP3057" s="136"/>
      <c r="BQ3057" s="137"/>
    </row>
    <row r="3058" spans="1:69" ht="12.75" customHeight="1" x14ac:dyDescent="0.2">
      <c r="A3058" s="2">
        <v>4547</v>
      </c>
      <c r="B3058" s="2"/>
      <c r="C3058" s="2"/>
      <c r="D3058" s="2"/>
      <c r="E3058" s="2"/>
      <c r="F3058" s="132">
        <v>0</v>
      </c>
      <c r="G3058" s="132"/>
      <c r="H3058" s="132">
        <f t="shared" si="346"/>
        <v>0</v>
      </c>
      <c r="I3058" s="132"/>
      <c r="J3058" s="132">
        <f t="shared" si="344"/>
        <v>0</v>
      </c>
      <c r="K3058" s="132">
        <f t="shared" si="340"/>
        <v>0</v>
      </c>
      <c r="L3058" s="132">
        <f t="shared" si="341"/>
        <v>0</v>
      </c>
      <c r="M3058" s="133"/>
      <c r="N3058" s="133">
        <f t="shared" si="345"/>
        <v>0</v>
      </c>
      <c r="O3058" s="134"/>
      <c r="P3058" s="133"/>
      <c r="Q3058" s="2"/>
      <c r="R3058" s="156">
        <f t="shared" si="342"/>
        <v>0</v>
      </c>
      <c r="S3058" s="156">
        <f t="shared" si="343"/>
        <v>0</v>
      </c>
      <c r="T3058" s="133"/>
      <c r="U3058" s="133"/>
      <c r="V3058" s="133"/>
      <c r="W3058" s="133"/>
      <c r="X3058" s="133"/>
      <c r="Y3058" s="133"/>
      <c r="Z3058" s="133"/>
      <c r="AA3058" s="133"/>
      <c r="AB3058" s="133"/>
      <c r="AC3058" s="133"/>
      <c r="AD3058" s="133"/>
      <c r="AE3058" s="133"/>
      <c r="AF3058" s="133"/>
      <c r="AG3058" s="133"/>
      <c r="AH3058" s="133"/>
      <c r="AI3058" s="133"/>
      <c r="AJ3058" s="133"/>
      <c r="AK3058" s="133"/>
      <c r="AL3058" s="133"/>
      <c r="AM3058" s="133"/>
      <c r="AN3058" s="133"/>
      <c r="AO3058" s="133"/>
      <c r="AP3058" s="133"/>
      <c r="AQ3058" s="133"/>
      <c r="AR3058" s="133"/>
      <c r="AS3058" s="153">
        <v>0</v>
      </c>
      <c r="AT3058" s="153">
        <v>0</v>
      </c>
      <c r="AU3058" s="153">
        <v>0</v>
      </c>
      <c r="AV3058" s="135"/>
      <c r="AW3058" s="135"/>
      <c r="AX3058" s="135"/>
      <c r="AY3058" s="135"/>
      <c r="AZ3058" s="135"/>
      <c r="BA3058" s="135"/>
      <c r="BB3058" s="135"/>
      <c r="BC3058" s="135"/>
      <c r="BD3058" s="135"/>
      <c r="BE3058" s="135"/>
      <c r="BF3058" s="135"/>
      <c r="BG3058" s="135"/>
      <c r="BH3058" s="135"/>
      <c r="BI3058" s="2"/>
      <c r="BJ3058" s="136"/>
      <c r="BK3058" s="2"/>
      <c r="BL3058" s="136"/>
      <c r="BM3058" s="136"/>
      <c r="BN3058" s="2"/>
      <c r="BO3058" s="2"/>
      <c r="BP3058" s="136"/>
      <c r="BQ3058" s="137"/>
    </row>
    <row r="3059" spans="1:69" ht="12.75" customHeight="1" x14ac:dyDescent="0.2">
      <c r="A3059" s="2">
        <v>4548</v>
      </c>
      <c r="B3059" s="2"/>
      <c r="C3059" s="2"/>
      <c r="D3059" s="2"/>
      <c r="E3059" s="2"/>
      <c r="F3059" s="132">
        <v>0</v>
      </c>
      <c r="G3059" s="132"/>
      <c r="H3059" s="132">
        <f t="shared" si="346"/>
        <v>0</v>
      </c>
      <c r="I3059" s="132"/>
      <c r="J3059" s="132">
        <f t="shared" si="344"/>
        <v>0</v>
      </c>
      <c r="K3059" s="132">
        <f t="shared" si="340"/>
        <v>0</v>
      </c>
      <c r="L3059" s="132">
        <f t="shared" si="341"/>
        <v>0</v>
      </c>
      <c r="M3059" s="133"/>
      <c r="N3059" s="133">
        <f t="shared" si="345"/>
        <v>0</v>
      </c>
      <c r="O3059" s="134"/>
      <c r="P3059" s="133"/>
      <c r="Q3059" s="2"/>
      <c r="R3059" s="156">
        <f t="shared" si="342"/>
        <v>0</v>
      </c>
      <c r="S3059" s="156">
        <f t="shared" si="343"/>
        <v>0</v>
      </c>
      <c r="T3059" s="133"/>
      <c r="U3059" s="133"/>
      <c r="V3059" s="133"/>
      <c r="W3059" s="133"/>
      <c r="X3059" s="133"/>
      <c r="Y3059" s="133"/>
      <c r="Z3059" s="133"/>
      <c r="AA3059" s="133"/>
      <c r="AB3059" s="133"/>
      <c r="AC3059" s="133"/>
      <c r="AD3059" s="133"/>
      <c r="AE3059" s="133"/>
      <c r="AF3059" s="133"/>
      <c r="AG3059" s="133"/>
      <c r="AH3059" s="133"/>
      <c r="AI3059" s="133"/>
      <c r="AJ3059" s="133"/>
      <c r="AK3059" s="133"/>
      <c r="AL3059" s="133"/>
      <c r="AM3059" s="133"/>
      <c r="AN3059" s="133"/>
      <c r="AO3059" s="133"/>
      <c r="AP3059" s="133"/>
      <c r="AQ3059" s="133"/>
      <c r="AR3059" s="133"/>
      <c r="AS3059" s="153">
        <v>0</v>
      </c>
      <c r="AT3059" s="153">
        <v>0</v>
      </c>
      <c r="AU3059" s="153">
        <v>0</v>
      </c>
      <c r="AV3059" s="135"/>
      <c r="AW3059" s="135"/>
      <c r="AX3059" s="135"/>
      <c r="AY3059" s="135"/>
      <c r="AZ3059" s="135"/>
      <c r="BA3059" s="135"/>
      <c r="BB3059" s="135"/>
      <c r="BC3059" s="135"/>
      <c r="BD3059" s="135"/>
      <c r="BE3059" s="135"/>
      <c r="BF3059" s="135"/>
      <c r="BG3059" s="135"/>
      <c r="BH3059" s="135"/>
      <c r="BI3059" s="2"/>
      <c r="BJ3059" s="136"/>
      <c r="BK3059" s="2"/>
      <c r="BL3059" s="136"/>
      <c r="BM3059" s="136"/>
      <c r="BN3059" s="2"/>
      <c r="BO3059" s="2"/>
      <c r="BP3059" s="136"/>
      <c r="BQ3059" s="137"/>
    </row>
    <row r="3060" spans="1:69" ht="12.75" customHeight="1" x14ac:dyDescent="0.2">
      <c r="A3060" s="2">
        <v>4549</v>
      </c>
      <c r="B3060" s="2"/>
      <c r="C3060" s="2"/>
      <c r="D3060" s="2"/>
      <c r="E3060" s="2"/>
      <c r="F3060" s="132">
        <v>0</v>
      </c>
      <c r="G3060" s="132"/>
      <c r="H3060" s="132">
        <f t="shared" si="346"/>
        <v>0</v>
      </c>
      <c r="I3060" s="132"/>
      <c r="J3060" s="132">
        <f t="shared" si="344"/>
        <v>0</v>
      </c>
      <c r="K3060" s="132">
        <f t="shared" si="340"/>
        <v>0</v>
      </c>
      <c r="L3060" s="132">
        <f t="shared" si="341"/>
        <v>0</v>
      </c>
      <c r="M3060" s="133"/>
      <c r="N3060" s="133">
        <f t="shared" si="345"/>
        <v>0</v>
      </c>
      <c r="O3060" s="134"/>
      <c r="P3060" s="133"/>
      <c r="Q3060" s="2"/>
      <c r="R3060" s="156">
        <f t="shared" si="342"/>
        <v>0</v>
      </c>
      <c r="S3060" s="156">
        <f t="shared" si="343"/>
        <v>0</v>
      </c>
      <c r="T3060" s="133"/>
      <c r="U3060" s="133"/>
      <c r="V3060" s="133"/>
      <c r="W3060" s="133"/>
      <c r="X3060" s="133"/>
      <c r="Y3060" s="133"/>
      <c r="Z3060" s="133"/>
      <c r="AA3060" s="133"/>
      <c r="AB3060" s="133"/>
      <c r="AC3060" s="133"/>
      <c r="AD3060" s="133"/>
      <c r="AE3060" s="133"/>
      <c r="AF3060" s="133"/>
      <c r="AG3060" s="133"/>
      <c r="AH3060" s="133"/>
      <c r="AI3060" s="133"/>
      <c r="AJ3060" s="133"/>
      <c r="AK3060" s="133"/>
      <c r="AL3060" s="133"/>
      <c r="AM3060" s="133"/>
      <c r="AN3060" s="133"/>
      <c r="AO3060" s="133"/>
      <c r="AP3060" s="133"/>
      <c r="AQ3060" s="133"/>
      <c r="AR3060" s="133"/>
      <c r="AS3060" s="153">
        <v>0</v>
      </c>
      <c r="AT3060" s="153">
        <v>0</v>
      </c>
      <c r="AU3060" s="153">
        <v>0</v>
      </c>
      <c r="AV3060" s="135"/>
      <c r="AW3060" s="135"/>
      <c r="AX3060" s="135"/>
      <c r="AY3060" s="135"/>
      <c r="AZ3060" s="135"/>
      <c r="BA3060" s="135"/>
      <c r="BB3060" s="135"/>
      <c r="BC3060" s="135"/>
      <c r="BD3060" s="135"/>
      <c r="BE3060" s="135"/>
      <c r="BF3060" s="135"/>
      <c r="BG3060" s="135"/>
      <c r="BH3060" s="135"/>
      <c r="BI3060" s="2"/>
      <c r="BJ3060" s="136"/>
      <c r="BK3060" s="2"/>
      <c r="BL3060" s="136"/>
      <c r="BM3060" s="136"/>
      <c r="BN3060" s="2"/>
      <c r="BO3060" s="2"/>
      <c r="BP3060" s="136"/>
      <c r="BQ3060" s="137"/>
    </row>
    <row r="3061" spans="1:69" ht="12.75" customHeight="1" x14ac:dyDescent="0.2">
      <c r="A3061" s="2">
        <v>4550</v>
      </c>
      <c r="B3061" s="2"/>
      <c r="C3061" s="2"/>
      <c r="D3061" s="2"/>
      <c r="E3061" s="2"/>
      <c r="F3061" s="132">
        <v>0</v>
      </c>
      <c r="G3061" s="132"/>
      <c r="H3061" s="132">
        <f t="shared" si="346"/>
        <v>0</v>
      </c>
      <c r="I3061" s="132"/>
      <c r="J3061" s="132">
        <f t="shared" si="344"/>
        <v>0</v>
      </c>
      <c r="K3061" s="132">
        <f t="shared" si="340"/>
        <v>0</v>
      </c>
      <c r="L3061" s="132">
        <f t="shared" si="341"/>
        <v>0</v>
      </c>
      <c r="M3061" s="133"/>
      <c r="N3061" s="133">
        <f t="shared" si="345"/>
        <v>0</v>
      </c>
      <c r="O3061" s="134"/>
      <c r="P3061" s="133"/>
      <c r="Q3061" s="2"/>
      <c r="R3061" s="156">
        <f t="shared" si="342"/>
        <v>0</v>
      </c>
      <c r="S3061" s="156">
        <f t="shared" si="343"/>
        <v>0</v>
      </c>
      <c r="T3061" s="133"/>
      <c r="U3061" s="133"/>
      <c r="V3061" s="133"/>
      <c r="W3061" s="133"/>
      <c r="X3061" s="133"/>
      <c r="Y3061" s="133"/>
      <c r="Z3061" s="133"/>
      <c r="AA3061" s="133"/>
      <c r="AB3061" s="133"/>
      <c r="AC3061" s="133"/>
      <c r="AD3061" s="133"/>
      <c r="AE3061" s="133"/>
      <c r="AF3061" s="133"/>
      <c r="AG3061" s="133"/>
      <c r="AH3061" s="133"/>
      <c r="AI3061" s="133"/>
      <c r="AJ3061" s="133"/>
      <c r="AK3061" s="133"/>
      <c r="AL3061" s="133"/>
      <c r="AM3061" s="133"/>
      <c r="AN3061" s="133"/>
      <c r="AO3061" s="133"/>
      <c r="AP3061" s="133"/>
      <c r="AQ3061" s="133"/>
      <c r="AR3061" s="133"/>
      <c r="AS3061" s="153">
        <v>0</v>
      </c>
      <c r="AT3061" s="153">
        <v>0</v>
      </c>
      <c r="AU3061" s="153">
        <v>0</v>
      </c>
      <c r="AV3061" s="135"/>
      <c r="AW3061" s="135"/>
      <c r="AX3061" s="135"/>
      <c r="AY3061" s="135"/>
      <c r="AZ3061" s="135"/>
      <c r="BA3061" s="135"/>
      <c r="BB3061" s="135"/>
      <c r="BC3061" s="135"/>
      <c r="BD3061" s="135"/>
      <c r="BE3061" s="135"/>
      <c r="BF3061" s="135"/>
      <c r="BG3061" s="135"/>
      <c r="BH3061" s="135"/>
      <c r="BI3061" s="2"/>
      <c r="BJ3061" s="136"/>
      <c r="BK3061" s="2"/>
      <c r="BL3061" s="136"/>
      <c r="BM3061" s="136"/>
      <c r="BN3061" s="2"/>
      <c r="BO3061" s="2"/>
      <c r="BP3061" s="136"/>
      <c r="BQ3061" s="137"/>
    </row>
    <row r="3062" spans="1:69" ht="12.75" customHeight="1" x14ac:dyDescent="0.2">
      <c r="A3062" s="2">
        <v>4551</v>
      </c>
      <c r="B3062" s="2"/>
      <c r="C3062" s="2"/>
      <c r="D3062" s="2"/>
      <c r="E3062" s="2"/>
      <c r="F3062" s="132">
        <v>0</v>
      </c>
      <c r="G3062" s="132"/>
      <c r="H3062" s="132">
        <f t="shared" si="346"/>
        <v>0</v>
      </c>
      <c r="I3062" s="132"/>
      <c r="J3062" s="132">
        <f t="shared" si="344"/>
        <v>0</v>
      </c>
      <c r="K3062" s="132">
        <f t="shared" ref="K3062:K3125" si="347">F3062-J3062</f>
        <v>0</v>
      </c>
      <c r="L3062" s="132">
        <f t="shared" si="341"/>
        <v>0</v>
      </c>
      <c r="M3062" s="133"/>
      <c r="N3062" s="133">
        <f t="shared" si="345"/>
        <v>0</v>
      </c>
      <c r="O3062" s="134"/>
      <c r="P3062" s="133"/>
      <c r="Q3062" s="2"/>
      <c r="R3062" s="156">
        <f t="shared" si="342"/>
        <v>0</v>
      </c>
      <c r="S3062" s="156">
        <f t="shared" si="343"/>
        <v>0</v>
      </c>
      <c r="T3062" s="133"/>
      <c r="U3062" s="133"/>
      <c r="V3062" s="133"/>
      <c r="W3062" s="133"/>
      <c r="X3062" s="133"/>
      <c r="Y3062" s="133"/>
      <c r="Z3062" s="133"/>
      <c r="AA3062" s="133"/>
      <c r="AB3062" s="133"/>
      <c r="AC3062" s="133"/>
      <c r="AD3062" s="133"/>
      <c r="AE3062" s="133"/>
      <c r="AF3062" s="133"/>
      <c r="AG3062" s="133"/>
      <c r="AH3062" s="133"/>
      <c r="AI3062" s="133"/>
      <c r="AJ3062" s="133"/>
      <c r="AK3062" s="133"/>
      <c r="AL3062" s="133"/>
      <c r="AM3062" s="133"/>
      <c r="AN3062" s="133"/>
      <c r="AO3062" s="133"/>
      <c r="AP3062" s="133"/>
      <c r="AQ3062" s="133"/>
      <c r="AR3062" s="133"/>
      <c r="AS3062" s="153">
        <v>0</v>
      </c>
      <c r="AT3062" s="153">
        <v>0</v>
      </c>
      <c r="AU3062" s="153">
        <v>0</v>
      </c>
      <c r="AV3062" s="135"/>
      <c r="AW3062" s="135"/>
      <c r="AX3062" s="135"/>
      <c r="AY3062" s="135"/>
      <c r="AZ3062" s="135"/>
      <c r="BA3062" s="135"/>
      <c r="BB3062" s="135"/>
      <c r="BC3062" s="135"/>
      <c r="BD3062" s="135"/>
      <c r="BE3062" s="135"/>
      <c r="BF3062" s="135"/>
      <c r="BG3062" s="135"/>
      <c r="BH3062" s="135"/>
      <c r="BI3062" s="2"/>
      <c r="BJ3062" s="136"/>
      <c r="BK3062" s="2"/>
      <c r="BL3062" s="136"/>
      <c r="BM3062" s="136"/>
      <c r="BN3062" s="2"/>
      <c r="BO3062" s="2"/>
      <c r="BP3062" s="136"/>
      <c r="BQ3062" s="137"/>
    </row>
    <row r="3063" spans="1:69" ht="12.75" customHeight="1" x14ac:dyDescent="0.2">
      <c r="A3063" s="2">
        <v>4552</v>
      </c>
      <c r="B3063" s="2"/>
      <c r="C3063" s="2"/>
      <c r="D3063" s="2"/>
      <c r="E3063" s="2"/>
      <c r="F3063" s="132">
        <v>0</v>
      </c>
      <c r="G3063" s="132"/>
      <c r="H3063" s="132">
        <f t="shared" si="346"/>
        <v>0</v>
      </c>
      <c r="I3063" s="132"/>
      <c r="J3063" s="132">
        <f t="shared" si="344"/>
        <v>0</v>
      </c>
      <c r="K3063" s="132">
        <f t="shared" si="347"/>
        <v>0</v>
      </c>
      <c r="L3063" s="132">
        <f t="shared" si="341"/>
        <v>0</v>
      </c>
      <c r="M3063" s="133"/>
      <c r="N3063" s="133">
        <f t="shared" si="345"/>
        <v>0</v>
      </c>
      <c r="O3063" s="134"/>
      <c r="P3063" s="133"/>
      <c r="Q3063" s="2"/>
      <c r="R3063" s="156">
        <f t="shared" si="342"/>
        <v>0</v>
      </c>
      <c r="S3063" s="156">
        <f t="shared" si="343"/>
        <v>0</v>
      </c>
      <c r="T3063" s="133"/>
      <c r="U3063" s="133"/>
      <c r="V3063" s="133"/>
      <c r="W3063" s="133"/>
      <c r="X3063" s="133"/>
      <c r="Y3063" s="133"/>
      <c r="Z3063" s="133"/>
      <c r="AA3063" s="133"/>
      <c r="AB3063" s="133"/>
      <c r="AC3063" s="133"/>
      <c r="AD3063" s="133"/>
      <c r="AE3063" s="133"/>
      <c r="AF3063" s="133"/>
      <c r="AG3063" s="133"/>
      <c r="AH3063" s="133"/>
      <c r="AI3063" s="133"/>
      <c r="AJ3063" s="133"/>
      <c r="AK3063" s="133"/>
      <c r="AL3063" s="133"/>
      <c r="AM3063" s="133"/>
      <c r="AN3063" s="133"/>
      <c r="AO3063" s="133"/>
      <c r="AP3063" s="133"/>
      <c r="AQ3063" s="133"/>
      <c r="AR3063" s="133"/>
      <c r="AS3063" s="153">
        <v>0</v>
      </c>
      <c r="AT3063" s="153">
        <v>0</v>
      </c>
      <c r="AU3063" s="153">
        <v>0</v>
      </c>
      <c r="AV3063" s="135"/>
      <c r="AW3063" s="135"/>
      <c r="AX3063" s="135"/>
      <c r="AY3063" s="135"/>
      <c r="AZ3063" s="135"/>
      <c r="BA3063" s="135"/>
      <c r="BB3063" s="135"/>
      <c r="BC3063" s="135"/>
      <c r="BD3063" s="135"/>
      <c r="BE3063" s="135"/>
      <c r="BF3063" s="135"/>
      <c r="BG3063" s="135"/>
      <c r="BH3063" s="135"/>
      <c r="BI3063" s="2"/>
      <c r="BJ3063" s="136"/>
      <c r="BK3063" s="2"/>
      <c r="BL3063" s="136"/>
      <c r="BM3063" s="136"/>
      <c r="BN3063" s="2"/>
      <c r="BO3063" s="2"/>
      <c r="BP3063" s="136"/>
      <c r="BQ3063" s="137"/>
    </row>
    <row r="3064" spans="1:69" ht="12.75" customHeight="1" x14ac:dyDescent="0.2">
      <c r="A3064" s="2">
        <v>4553</v>
      </c>
      <c r="B3064" s="2"/>
      <c r="C3064" s="2"/>
      <c r="D3064" s="2"/>
      <c r="E3064" s="2"/>
      <c r="F3064" s="132">
        <v>0</v>
      </c>
      <c r="G3064" s="132"/>
      <c r="H3064" s="132">
        <f t="shared" si="346"/>
        <v>0</v>
      </c>
      <c r="I3064" s="132"/>
      <c r="J3064" s="132">
        <f t="shared" si="344"/>
        <v>0</v>
      </c>
      <c r="K3064" s="132">
        <f t="shared" si="347"/>
        <v>0</v>
      </c>
      <c r="L3064" s="132">
        <f t="shared" si="341"/>
        <v>0</v>
      </c>
      <c r="M3064" s="133"/>
      <c r="N3064" s="133">
        <f t="shared" si="345"/>
        <v>0</v>
      </c>
      <c r="O3064" s="134"/>
      <c r="P3064" s="133"/>
      <c r="Q3064" s="2"/>
      <c r="R3064" s="156">
        <f t="shared" si="342"/>
        <v>0</v>
      </c>
      <c r="S3064" s="156">
        <f t="shared" si="343"/>
        <v>0</v>
      </c>
      <c r="T3064" s="133"/>
      <c r="U3064" s="133"/>
      <c r="V3064" s="133"/>
      <c r="W3064" s="133"/>
      <c r="X3064" s="133"/>
      <c r="Y3064" s="133"/>
      <c r="Z3064" s="133"/>
      <c r="AA3064" s="133"/>
      <c r="AB3064" s="133"/>
      <c r="AC3064" s="133"/>
      <c r="AD3064" s="133"/>
      <c r="AE3064" s="133"/>
      <c r="AF3064" s="133"/>
      <c r="AG3064" s="133"/>
      <c r="AH3064" s="133"/>
      <c r="AI3064" s="133"/>
      <c r="AJ3064" s="133"/>
      <c r="AK3064" s="133"/>
      <c r="AL3064" s="133"/>
      <c r="AM3064" s="133"/>
      <c r="AN3064" s="133"/>
      <c r="AO3064" s="133"/>
      <c r="AP3064" s="133"/>
      <c r="AQ3064" s="133"/>
      <c r="AR3064" s="133"/>
      <c r="AS3064" s="153">
        <v>0</v>
      </c>
      <c r="AT3064" s="153">
        <v>0</v>
      </c>
      <c r="AU3064" s="153">
        <v>0</v>
      </c>
      <c r="AV3064" s="135"/>
      <c r="AW3064" s="135"/>
      <c r="AX3064" s="135"/>
      <c r="AY3064" s="135"/>
      <c r="AZ3064" s="135"/>
      <c r="BA3064" s="135"/>
      <c r="BB3064" s="135"/>
      <c r="BC3064" s="135"/>
      <c r="BD3064" s="135"/>
      <c r="BE3064" s="135"/>
      <c r="BF3064" s="135"/>
      <c r="BG3064" s="135"/>
      <c r="BH3064" s="135"/>
      <c r="BI3064" s="2"/>
      <c r="BJ3064" s="136"/>
      <c r="BK3064" s="2"/>
      <c r="BL3064" s="136"/>
      <c r="BM3064" s="136"/>
      <c r="BN3064" s="2"/>
      <c r="BO3064" s="2"/>
      <c r="BP3064" s="136"/>
      <c r="BQ3064" s="137"/>
    </row>
    <row r="3065" spans="1:69" ht="12.75" customHeight="1" x14ac:dyDescent="0.2">
      <c r="A3065" s="2">
        <v>4554</v>
      </c>
      <c r="B3065" s="2"/>
      <c r="C3065" s="2"/>
      <c r="D3065" s="2"/>
      <c r="E3065" s="2"/>
      <c r="F3065" s="132">
        <v>0</v>
      </c>
      <c r="G3065" s="132"/>
      <c r="H3065" s="132">
        <f t="shared" si="346"/>
        <v>0</v>
      </c>
      <c r="I3065" s="132"/>
      <c r="J3065" s="132">
        <f t="shared" si="344"/>
        <v>0</v>
      </c>
      <c r="K3065" s="132">
        <f t="shared" si="347"/>
        <v>0</v>
      </c>
      <c r="L3065" s="132">
        <f t="shared" si="341"/>
        <v>0</v>
      </c>
      <c r="M3065" s="133"/>
      <c r="N3065" s="133">
        <f t="shared" si="345"/>
        <v>0</v>
      </c>
      <c r="O3065" s="134"/>
      <c r="P3065" s="133"/>
      <c r="Q3065" s="2"/>
      <c r="R3065" s="156">
        <f t="shared" si="342"/>
        <v>0</v>
      </c>
      <c r="S3065" s="156">
        <f t="shared" si="343"/>
        <v>0</v>
      </c>
      <c r="T3065" s="133"/>
      <c r="U3065" s="133"/>
      <c r="V3065" s="133"/>
      <c r="W3065" s="133"/>
      <c r="X3065" s="133"/>
      <c r="Y3065" s="133"/>
      <c r="Z3065" s="133"/>
      <c r="AA3065" s="133"/>
      <c r="AB3065" s="133"/>
      <c r="AC3065" s="133"/>
      <c r="AD3065" s="133"/>
      <c r="AE3065" s="133"/>
      <c r="AF3065" s="133"/>
      <c r="AG3065" s="133"/>
      <c r="AH3065" s="133"/>
      <c r="AI3065" s="133"/>
      <c r="AJ3065" s="133"/>
      <c r="AK3065" s="133"/>
      <c r="AL3065" s="133"/>
      <c r="AM3065" s="133"/>
      <c r="AN3065" s="133"/>
      <c r="AO3065" s="133"/>
      <c r="AP3065" s="133"/>
      <c r="AQ3065" s="133"/>
      <c r="AR3065" s="133"/>
      <c r="AS3065" s="153">
        <v>0</v>
      </c>
      <c r="AT3065" s="153">
        <v>0</v>
      </c>
      <c r="AU3065" s="153">
        <v>0</v>
      </c>
      <c r="AV3065" s="135"/>
      <c r="AW3065" s="135"/>
      <c r="AX3065" s="135"/>
      <c r="AY3065" s="135"/>
      <c r="AZ3065" s="135"/>
      <c r="BA3065" s="135"/>
      <c r="BB3065" s="135"/>
      <c r="BC3065" s="135"/>
      <c r="BD3065" s="135"/>
      <c r="BE3065" s="135"/>
      <c r="BF3065" s="135"/>
      <c r="BG3065" s="135"/>
      <c r="BH3065" s="135"/>
      <c r="BI3065" s="2"/>
      <c r="BJ3065" s="136"/>
      <c r="BK3065" s="2"/>
      <c r="BL3065" s="136"/>
      <c r="BM3065" s="136"/>
      <c r="BN3065" s="2"/>
      <c r="BO3065" s="2"/>
      <c r="BP3065" s="136"/>
      <c r="BQ3065" s="137"/>
    </row>
    <row r="3066" spans="1:69" ht="12.75" customHeight="1" x14ac:dyDescent="0.2">
      <c r="A3066" s="2">
        <v>4555</v>
      </c>
      <c r="B3066" s="2"/>
      <c r="C3066" s="2"/>
      <c r="D3066" s="2"/>
      <c r="E3066" s="2"/>
      <c r="F3066" s="132">
        <v>0</v>
      </c>
      <c r="G3066" s="132"/>
      <c r="H3066" s="132">
        <f t="shared" si="346"/>
        <v>0</v>
      </c>
      <c r="I3066" s="132"/>
      <c r="J3066" s="132">
        <f t="shared" si="344"/>
        <v>0</v>
      </c>
      <c r="K3066" s="132">
        <f t="shared" si="347"/>
        <v>0</v>
      </c>
      <c r="L3066" s="132">
        <f t="shared" si="341"/>
        <v>0</v>
      </c>
      <c r="M3066" s="133"/>
      <c r="N3066" s="133">
        <f t="shared" si="345"/>
        <v>0</v>
      </c>
      <c r="O3066" s="134"/>
      <c r="P3066" s="133"/>
      <c r="Q3066" s="2"/>
      <c r="R3066" s="156">
        <f t="shared" si="342"/>
        <v>0</v>
      </c>
      <c r="S3066" s="156">
        <f t="shared" si="343"/>
        <v>0</v>
      </c>
      <c r="T3066" s="133"/>
      <c r="U3066" s="133"/>
      <c r="V3066" s="133"/>
      <c r="W3066" s="133"/>
      <c r="X3066" s="133"/>
      <c r="Y3066" s="133"/>
      <c r="Z3066" s="133"/>
      <c r="AA3066" s="133"/>
      <c r="AB3066" s="133"/>
      <c r="AC3066" s="133"/>
      <c r="AD3066" s="133"/>
      <c r="AE3066" s="133"/>
      <c r="AF3066" s="133"/>
      <c r="AG3066" s="133"/>
      <c r="AH3066" s="133"/>
      <c r="AI3066" s="133"/>
      <c r="AJ3066" s="133"/>
      <c r="AK3066" s="133"/>
      <c r="AL3066" s="133"/>
      <c r="AM3066" s="133"/>
      <c r="AN3066" s="133"/>
      <c r="AO3066" s="133"/>
      <c r="AP3066" s="133"/>
      <c r="AQ3066" s="133"/>
      <c r="AR3066" s="133"/>
      <c r="AS3066" s="153">
        <v>0</v>
      </c>
      <c r="AT3066" s="153">
        <v>0</v>
      </c>
      <c r="AU3066" s="153">
        <v>0</v>
      </c>
      <c r="AV3066" s="135"/>
      <c r="AW3066" s="135"/>
      <c r="AX3066" s="135"/>
      <c r="AY3066" s="135"/>
      <c r="AZ3066" s="135"/>
      <c r="BA3066" s="135"/>
      <c r="BB3066" s="135"/>
      <c r="BC3066" s="135"/>
      <c r="BD3066" s="135"/>
      <c r="BE3066" s="135"/>
      <c r="BF3066" s="135"/>
      <c r="BG3066" s="135"/>
      <c r="BH3066" s="135"/>
      <c r="BI3066" s="2"/>
      <c r="BJ3066" s="136"/>
      <c r="BK3066" s="2"/>
      <c r="BL3066" s="136"/>
      <c r="BM3066" s="136"/>
      <c r="BN3066" s="2"/>
      <c r="BO3066" s="2"/>
      <c r="BP3066" s="136"/>
      <c r="BQ3066" s="137"/>
    </row>
    <row r="3067" spans="1:69" ht="12.75" customHeight="1" x14ac:dyDescent="0.2">
      <c r="A3067" s="2">
        <v>4556</v>
      </c>
      <c r="B3067" s="2"/>
      <c r="C3067" s="2"/>
      <c r="D3067" s="2"/>
      <c r="E3067" s="2"/>
      <c r="F3067" s="132">
        <v>0</v>
      </c>
      <c r="G3067" s="132"/>
      <c r="H3067" s="132">
        <f t="shared" si="346"/>
        <v>0</v>
      </c>
      <c r="I3067" s="132"/>
      <c r="J3067" s="132">
        <f t="shared" si="344"/>
        <v>0</v>
      </c>
      <c r="K3067" s="132">
        <f t="shared" si="347"/>
        <v>0</v>
      </c>
      <c r="L3067" s="132">
        <f t="shared" si="341"/>
        <v>0</v>
      </c>
      <c r="M3067" s="133"/>
      <c r="N3067" s="133">
        <f t="shared" si="345"/>
        <v>0</v>
      </c>
      <c r="O3067" s="134"/>
      <c r="P3067" s="133"/>
      <c r="Q3067" s="2"/>
      <c r="R3067" s="156">
        <f t="shared" si="342"/>
        <v>0</v>
      </c>
      <c r="S3067" s="156">
        <f t="shared" si="343"/>
        <v>0</v>
      </c>
      <c r="T3067" s="133"/>
      <c r="U3067" s="133"/>
      <c r="V3067" s="133"/>
      <c r="W3067" s="133"/>
      <c r="X3067" s="133"/>
      <c r="Y3067" s="133"/>
      <c r="Z3067" s="133"/>
      <c r="AA3067" s="133"/>
      <c r="AB3067" s="133"/>
      <c r="AC3067" s="133"/>
      <c r="AD3067" s="133"/>
      <c r="AE3067" s="133"/>
      <c r="AF3067" s="133"/>
      <c r="AG3067" s="133"/>
      <c r="AH3067" s="133"/>
      <c r="AI3067" s="133"/>
      <c r="AJ3067" s="133"/>
      <c r="AK3067" s="133"/>
      <c r="AL3067" s="133"/>
      <c r="AM3067" s="133"/>
      <c r="AN3067" s="133"/>
      <c r="AO3067" s="133"/>
      <c r="AP3067" s="133"/>
      <c r="AQ3067" s="133"/>
      <c r="AR3067" s="133"/>
      <c r="AS3067" s="153">
        <v>0</v>
      </c>
      <c r="AT3067" s="153">
        <v>0</v>
      </c>
      <c r="AU3067" s="153">
        <v>0</v>
      </c>
      <c r="AV3067" s="135"/>
      <c r="AW3067" s="135"/>
      <c r="AX3067" s="135"/>
      <c r="AY3067" s="135"/>
      <c r="AZ3067" s="135"/>
      <c r="BA3067" s="135"/>
      <c r="BB3067" s="135"/>
      <c r="BC3067" s="135"/>
      <c r="BD3067" s="135"/>
      <c r="BE3067" s="135"/>
      <c r="BF3067" s="135"/>
      <c r="BG3067" s="135"/>
      <c r="BH3067" s="135"/>
      <c r="BI3067" s="2"/>
      <c r="BJ3067" s="136"/>
      <c r="BK3067" s="2"/>
      <c r="BL3067" s="136"/>
      <c r="BM3067" s="136"/>
      <c r="BN3067" s="2"/>
      <c r="BO3067" s="2"/>
      <c r="BP3067" s="136"/>
      <c r="BQ3067" s="137"/>
    </row>
    <row r="3068" spans="1:69" ht="12.75" customHeight="1" x14ac:dyDescent="0.2">
      <c r="A3068" s="2">
        <v>4557</v>
      </c>
      <c r="B3068" s="2"/>
      <c r="C3068" s="2"/>
      <c r="D3068" s="2"/>
      <c r="E3068" s="2"/>
      <c r="F3068" s="132">
        <v>0</v>
      </c>
      <c r="G3068" s="132"/>
      <c r="H3068" s="132">
        <f t="shared" si="346"/>
        <v>0</v>
      </c>
      <c r="I3068" s="132"/>
      <c r="J3068" s="132">
        <f t="shared" si="344"/>
        <v>0</v>
      </c>
      <c r="K3068" s="132">
        <f t="shared" si="347"/>
        <v>0</v>
      </c>
      <c r="L3068" s="132">
        <f t="shared" si="341"/>
        <v>0</v>
      </c>
      <c r="M3068" s="133"/>
      <c r="N3068" s="133">
        <f t="shared" si="345"/>
        <v>0</v>
      </c>
      <c r="O3068" s="134"/>
      <c r="P3068" s="133"/>
      <c r="Q3068" s="2"/>
      <c r="R3068" s="156">
        <f t="shared" si="342"/>
        <v>0</v>
      </c>
      <c r="S3068" s="156">
        <f t="shared" si="343"/>
        <v>0</v>
      </c>
      <c r="T3068" s="133"/>
      <c r="U3068" s="133"/>
      <c r="V3068" s="133"/>
      <c r="W3068" s="133"/>
      <c r="X3068" s="133"/>
      <c r="Y3068" s="133"/>
      <c r="Z3068" s="133"/>
      <c r="AA3068" s="133"/>
      <c r="AB3068" s="133"/>
      <c r="AC3068" s="133"/>
      <c r="AD3068" s="133"/>
      <c r="AE3068" s="133"/>
      <c r="AF3068" s="133"/>
      <c r="AG3068" s="133"/>
      <c r="AH3068" s="133"/>
      <c r="AI3068" s="133"/>
      <c r="AJ3068" s="133"/>
      <c r="AK3068" s="133"/>
      <c r="AL3068" s="133"/>
      <c r="AM3068" s="133"/>
      <c r="AN3068" s="133"/>
      <c r="AO3068" s="133"/>
      <c r="AP3068" s="133"/>
      <c r="AQ3068" s="133"/>
      <c r="AR3068" s="133"/>
      <c r="AS3068" s="153">
        <v>0</v>
      </c>
      <c r="AT3068" s="153">
        <v>0</v>
      </c>
      <c r="AU3068" s="153">
        <v>0</v>
      </c>
      <c r="AV3068" s="135"/>
      <c r="AW3068" s="135"/>
      <c r="AX3068" s="135"/>
      <c r="AY3068" s="135"/>
      <c r="AZ3068" s="135"/>
      <c r="BA3068" s="135"/>
      <c r="BB3068" s="135"/>
      <c r="BC3068" s="135"/>
      <c r="BD3068" s="135"/>
      <c r="BE3068" s="135"/>
      <c r="BF3068" s="135"/>
      <c r="BG3068" s="135"/>
      <c r="BH3068" s="135"/>
      <c r="BI3068" s="2"/>
      <c r="BJ3068" s="136"/>
      <c r="BK3068" s="2"/>
      <c r="BL3068" s="136"/>
      <c r="BM3068" s="136"/>
      <c r="BN3068" s="2"/>
      <c r="BO3068" s="2"/>
      <c r="BP3068" s="136"/>
      <c r="BQ3068" s="137"/>
    </row>
    <row r="3069" spans="1:69" ht="12.75" customHeight="1" x14ac:dyDescent="0.2">
      <c r="A3069" s="2">
        <v>4558</v>
      </c>
      <c r="B3069" s="2"/>
      <c r="C3069" s="2"/>
      <c r="D3069" s="2"/>
      <c r="E3069" s="2"/>
      <c r="F3069" s="132">
        <v>0</v>
      </c>
      <c r="G3069" s="132"/>
      <c r="H3069" s="132">
        <f t="shared" si="346"/>
        <v>0</v>
      </c>
      <c r="I3069" s="132"/>
      <c r="J3069" s="132">
        <f t="shared" si="344"/>
        <v>0</v>
      </c>
      <c r="K3069" s="132">
        <f t="shared" si="347"/>
        <v>0</v>
      </c>
      <c r="L3069" s="132">
        <f t="shared" si="341"/>
        <v>0</v>
      </c>
      <c r="M3069" s="133"/>
      <c r="N3069" s="133">
        <f t="shared" si="345"/>
        <v>0</v>
      </c>
      <c r="O3069" s="134"/>
      <c r="P3069" s="133"/>
      <c r="Q3069" s="2"/>
      <c r="R3069" s="156">
        <f t="shared" si="342"/>
        <v>0</v>
      </c>
      <c r="S3069" s="156">
        <f t="shared" si="343"/>
        <v>0</v>
      </c>
      <c r="T3069" s="133"/>
      <c r="U3069" s="133"/>
      <c r="V3069" s="133"/>
      <c r="W3069" s="133"/>
      <c r="X3069" s="133"/>
      <c r="Y3069" s="133"/>
      <c r="Z3069" s="133"/>
      <c r="AA3069" s="133"/>
      <c r="AB3069" s="133"/>
      <c r="AC3069" s="133"/>
      <c r="AD3069" s="133"/>
      <c r="AE3069" s="133"/>
      <c r="AF3069" s="133"/>
      <c r="AG3069" s="133"/>
      <c r="AH3069" s="133"/>
      <c r="AI3069" s="133"/>
      <c r="AJ3069" s="133"/>
      <c r="AK3069" s="133"/>
      <c r="AL3069" s="133"/>
      <c r="AM3069" s="133"/>
      <c r="AN3069" s="133"/>
      <c r="AO3069" s="133"/>
      <c r="AP3069" s="133"/>
      <c r="AQ3069" s="133"/>
      <c r="AR3069" s="133"/>
      <c r="AS3069" s="153">
        <v>0</v>
      </c>
      <c r="AT3069" s="153">
        <v>0</v>
      </c>
      <c r="AU3069" s="153">
        <v>0</v>
      </c>
      <c r="AV3069" s="135"/>
      <c r="AW3069" s="135"/>
      <c r="AX3069" s="135"/>
      <c r="AY3069" s="135"/>
      <c r="AZ3069" s="135"/>
      <c r="BA3069" s="135"/>
      <c r="BB3069" s="135"/>
      <c r="BC3069" s="135"/>
      <c r="BD3069" s="135"/>
      <c r="BE3069" s="135"/>
      <c r="BF3069" s="135"/>
      <c r="BG3069" s="135"/>
      <c r="BH3069" s="135"/>
      <c r="BI3069" s="2"/>
      <c r="BJ3069" s="136"/>
      <c r="BK3069" s="2"/>
      <c r="BL3069" s="136"/>
      <c r="BM3069" s="136"/>
      <c r="BN3069" s="2"/>
      <c r="BO3069" s="2"/>
      <c r="BP3069" s="136"/>
      <c r="BQ3069" s="137"/>
    </row>
    <row r="3070" spans="1:69" ht="12.75" customHeight="1" x14ac:dyDescent="0.2">
      <c r="A3070" s="2">
        <v>4559</v>
      </c>
      <c r="B3070" s="2"/>
      <c r="C3070" s="2"/>
      <c r="D3070" s="2"/>
      <c r="E3070" s="2"/>
      <c r="F3070" s="132">
        <v>0</v>
      </c>
      <c r="G3070" s="132"/>
      <c r="H3070" s="132">
        <f t="shared" si="346"/>
        <v>0</v>
      </c>
      <c r="I3070" s="132"/>
      <c r="J3070" s="132">
        <f t="shared" si="344"/>
        <v>0</v>
      </c>
      <c r="K3070" s="132">
        <f t="shared" si="347"/>
        <v>0</v>
      </c>
      <c r="L3070" s="132">
        <f t="shared" si="341"/>
        <v>0</v>
      </c>
      <c r="M3070" s="133"/>
      <c r="N3070" s="133">
        <f t="shared" si="345"/>
        <v>0</v>
      </c>
      <c r="O3070" s="134"/>
      <c r="P3070" s="133"/>
      <c r="Q3070" s="2"/>
      <c r="R3070" s="156">
        <f t="shared" si="342"/>
        <v>0</v>
      </c>
      <c r="S3070" s="156">
        <f t="shared" si="343"/>
        <v>0</v>
      </c>
      <c r="T3070" s="133"/>
      <c r="U3070" s="133"/>
      <c r="V3070" s="133"/>
      <c r="W3070" s="133"/>
      <c r="X3070" s="133"/>
      <c r="Y3070" s="133"/>
      <c r="Z3070" s="133"/>
      <c r="AA3070" s="133"/>
      <c r="AB3070" s="133"/>
      <c r="AC3070" s="133"/>
      <c r="AD3070" s="133"/>
      <c r="AE3070" s="133"/>
      <c r="AF3070" s="133"/>
      <c r="AG3070" s="133"/>
      <c r="AH3070" s="133"/>
      <c r="AI3070" s="133"/>
      <c r="AJ3070" s="133"/>
      <c r="AK3070" s="133"/>
      <c r="AL3070" s="133"/>
      <c r="AM3070" s="133"/>
      <c r="AN3070" s="133"/>
      <c r="AO3070" s="133"/>
      <c r="AP3070" s="133"/>
      <c r="AQ3070" s="133"/>
      <c r="AR3070" s="133"/>
      <c r="AS3070" s="153">
        <v>0</v>
      </c>
      <c r="AT3070" s="153">
        <v>0</v>
      </c>
      <c r="AU3070" s="153">
        <v>0</v>
      </c>
      <c r="AV3070" s="135"/>
      <c r="AW3070" s="135"/>
      <c r="AX3070" s="135"/>
      <c r="AY3070" s="135"/>
      <c r="AZ3070" s="135"/>
      <c r="BA3070" s="135"/>
      <c r="BB3070" s="135"/>
      <c r="BC3070" s="135"/>
      <c r="BD3070" s="135"/>
      <c r="BE3070" s="135"/>
      <c r="BF3070" s="135"/>
      <c r="BG3070" s="135"/>
      <c r="BH3070" s="135"/>
      <c r="BI3070" s="2"/>
      <c r="BJ3070" s="136"/>
      <c r="BK3070" s="2"/>
      <c r="BL3070" s="136"/>
      <c r="BM3070" s="136"/>
      <c r="BN3070" s="2"/>
      <c r="BO3070" s="2"/>
      <c r="BP3070" s="136"/>
      <c r="BQ3070" s="137"/>
    </row>
    <row r="3071" spans="1:69" ht="12.75" customHeight="1" x14ac:dyDescent="0.2">
      <c r="A3071" s="2">
        <v>4560</v>
      </c>
      <c r="B3071" s="2"/>
      <c r="C3071" s="2"/>
      <c r="D3071" s="2"/>
      <c r="E3071" s="2"/>
      <c r="F3071" s="132">
        <v>0</v>
      </c>
      <c r="G3071" s="132"/>
      <c r="H3071" s="132">
        <f t="shared" si="346"/>
        <v>0</v>
      </c>
      <c r="I3071" s="132"/>
      <c r="J3071" s="132">
        <f t="shared" si="344"/>
        <v>0</v>
      </c>
      <c r="K3071" s="132">
        <f t="shared" si="347"/>
        <v>0</v>
      </c>
      <c r="L3071" s="132">
        <f t="shared" si="341"/>
        <v>0</v>
      </c>
      <c r="M3071" s="133"/>
      <c r="N3071" s="133">
        <f t="shared" si="345"/>
        <v>0</v>
      </c>
      <c r="O3071" s="134"/>
      <c r="P3071" s="133"/>
      <c r="Q3071" s="2"/>
      <c r="R3071" s="156">
        <f t="shared" si="342"/>
        <v>0</v>
      </c>
      <c r="S3071" s="156">
        <f t="shared" si="343"/>
        <v>0</v>
      </c>
      <c r="T3071" s="133"/>
      <c r="U3071" s="133"/>
      <c r="V3071" s="133"/>
      <c r="W3071" s="133"/>
      <c r="X3071" s="133"/>
      <c r="Y3071" s="133"/>
      <c r="Z3071" s="133"/>
      <c r="AA3071" s="133"/>
      <c r="AB3071" s="133"/>
      <c r="AC3071" s="133"/>
      <c r="AD3071" s="133"/>
      <c r="AE3071" s="133"/>
      <c r="AF3071" s="133"/>
      <c r="AG3071" s="133"/>
      <c r="AH3071" s="133"/>
      <c r="AI3071" s="133"/>
      <c r="AJ3071" s="133"/>
      <c r="AK3071" s="133"/>
      <c r="AL3071" s="133"/>
      <c r="AM3071" s="133"/>
      <c r="AN3071" s="133"/>
      <c r="AO3071" s="133"/>
      <c r="AP3071" s="133"/>
      <c r="AQ3071" s="133"/>
      <c r="AR3071" s="133"/>
      <c r="AS3071" s="153">
        <v>0</v>
      </c>
      <c r="AT3071" s="153">
        <v>0</v>
      </c>
      <c r="AU3071" s="153">
        <v>0</v>
      </c>
      <c r="AV3071" s="135"/>
      <c r="AW3071" s="135"/>
      <c r="AX3071" s="135"/>
      <c r="AY3071" s="135"/>
      <c r="AZ3071" s="135"/>
      <c r="BA3071" s="135"/>
      <c r="BB3071" s="135"/>
      <c r="BC3071" s="135"/>
      <c r="BD3071" s="135"/>
      <c r="BE3071" s="135"/>
      <c r="BF3071" s="135"/>
      <c r="BG3071" s="135"/>
      <c r="BH3071" s="135"/>
      <c r="BI3071" s="2"/>
      <c r="BJ3071" s="136"/>
      <c r="BK3071" s="2"/>
      <c r="BL3071" s="136"/>
      <c r="BM3071" s="136"/>
      <c r="BN3071" s="2"/>
      <c r="BO3071" s="2"/>
      <c r="BP3071" s="136"/>
      <c r="BQ3071" s="137"/>
    </row>
    <row r="3072" spans="1:69" ht="12.75" customHeight="1" x14ac:dyDescent="0.2">
      <c r="A3072" s="2">
        <v>4561</v>
      </c>
      <c r="B3072" s="2"/>
      <c r="C3072" s="2"/>
      <c r="D3072" s="2"/>
      <c r="E3072" s="2"/>
      <c r="F3072" s="132">
        <v>0</v>
      </c>
      <c r="G3072" s="132"/>
      <c r="H3072" s="132">
        <f t="shared" si="346"/>
        <v>0</v>
      </c>
      <c r="I3072" s="132"/>
      <c r="J3072" s="132">
        <f t="shared" si="344"/>
        <v>0</v>
      </c>
      <c r="K3072" s="132">
        <f t="shared" si="347"/>
        <v>0</v>
      </c>
      <c r="L3072" s="132">
        <f t="shared" si="341"/>
        <v>0</v>
      </c>
      <c r="M3072" s="133"/>
      <c r="N3072" s="133">
        <f t="shared" si="345"/>
        <v>0</v>
      </c>
      <c r="O3072" s="134"/>
      <c r="P3072" s="133"/>
      <c r="Q3072" s="2"/>
      <c r="R3072" s="156">
        <f t="shared" si="342"/>
        <v>0</v>
      </c>
      <c r="S3072" s="156">
        <f t="shared" si="343"/>
        <v>0</v>
      </c>
      <c r="T3072" s="133"/>
      <c r="U3072" s="133"/>
      <c r="V3072" s="133"/>
      <c r="W3072" s="133"/>
      <c r="X3072" s="133"/>
      <c r="Y3072" s="133"/>
      <c r="Z3072" s="133"/>
      <c r="AA3072" s="133"/>
      <c r="AB3072" s="133"/>
      <c r="AC3072" s="133"/>
      <c r="AD3072" s="133"/>
      <c r="AE3072" s="133"/>
      <c r="AF3072" s="133"/>
      <c r="AG3072" s="133"/>
      <c r="AH3072" s="133"/>
      <c r="AI3072" s="133"/>
      <c r="AJ3072" s="133"/>
      <c r="AK3072" s="133"/>
      <c r="AL3072" s="133"/>
      <c r="AM3072" s="133"/>
      <c r="AN3072" s="133"/>
      <c r="AO3072" s="133"/>
      <c r="AP3072" s="133"/>
      <c r="AQ3072" s="133"/>
      <c r="AR3072" s="133"/>
      <c r="AS3072" s="153">
        <v>0</v>
      </c>
      <c r="AT3072" s="153">
        <v>0</v>
      </c>
      <c r="AU3072" s="153">
        <v>0</v>
      </c>
      <c r="AV3072" s="135"/>
      <c r="AW3072" s="135"/>
      <c r="AX3072" s="135"/>
      <c r="AY3072" s="135"/>
      <c r="AZ3072" s="135"/>
      <c r="BA3072" s="135"/>
      <c r="BB3072" s="135"/>
      <c r="BC3072" s="135"/>
      <c r="BD3072" s="135"/>
      <c r="BE3072" s="135"/>
      <c r="BF3072" s="135"/>
      <c r="BG3072" s="135"/>
      <c r="BH3072" s="135"/>
      <c r="BI3072" s="2"/>
      <c r="BJ3072" s="136"/>
      <c r="BK3072" s="2"/>
      <c r="BL3072" s="136"/>
      <c r="BM3072" s="136"/>
      <c r="BN3072" s="2"/>
      <c r="BO3072" s="2"/>
      <c r="BP3072" s="136"/>
      <c r="BQ3072" s="137"/>
    </row>
    <row r="3073" spans="1:69" ht="12.75" customHeight="1" x14ac:dyDescent="0.2">
      <c r="A3073" s="2">
        <v>4562</v>
      </c>
      <c r="B3073" s="2"/>
      <c r="C3073" s="2"/>
      <c r="D3073" s="2"/>
      <c r="E3073" s="2"/>
      <c r="F3073" s="132">
        <v>0</v>
      </c>
      <c r="G3073" s="132"/>
      <c r="H3073" s="132">
        <f t="shared" si="346"/>
        <v>0</v>
      </c>
      <c r="I3073" s="132"/>
      <c r="J3073" s="132">
        <f t="shared" si="344"/>
        <v>0</v>
      </c>
      <c r="K3073" s="132">
        <f t="shared" si="347"/>
        <v>0</v>
      </c>
      <c r="L3073" s="132">
        <f t="shared" si="341"/>
        <v>0</v>
      </c>
      <c r="M3073" s="133"/>
      <c r="N3073" s="133">
        <f t="shared" si="345"/>
        <v>0</v>
      </c>
      <c r="O3073" s="134"/>
      <c r="P3073" s="133"/>
      <c r="Q3073" s="2"/>
      <c r="R3073" s="156">
        <f t="shared" si="342"/>
        <v>0</v>
      </c>
      <c r="S3073" s="156">
        <f t="shared" si="343"/>
        <v>0</v>
      </c>
      <c r="T3073" s="133"/>
      <c r="U3073" s="133"/>
      <c r="V3073" s="133"/>
      <c r="W3073" s="133"/>
      <c r="X3073" s="133"/>
      <c r="Y3073" s="133"/>
      <c r="Z3073" s="133"/>
      <c r="AA3073" s="133"/>
      <c r="AB3073" s="133"/>
      <c r="AC3073" s="133"/>
      <c r="AD3073" s="133"/>
      <c r="AE3073" s="133"/>
      <c r="AF3073" s="133"/>
      <c r="AG3073" s="133"/>
      <c r="AH3073" s="133"/>
      <c r="AI3073" s="133"/>
      <c r="AJ3073" s="133"/>
      <c r="AK3073" s="133"/>
      <c r="AL3073" s="133"/>
      <c r="AM3073" s="133"/>
      <c r="AN3073" s="133"/>
      <c r="AO3073" s="133"/>
      <c r="AP3073" s="133"/>
      <c r="AQ3073" s="133"/>
      <c r="AR3073" s="133"/>
      <c r="AS3073" s="153">
        <v>0</v>
      </c>
      <c r="AT3073" s="153">
        <v>0</v>
      </c>
      <c r="AU3073" s="153">
        <v>0</v>
      </c>
      <c r="AV3073" s="135"/>
      <c r="AW3073" s="135"/>
      <c r="AX3073" s="135"/>
      <c r="AY3073" s="135"/>
      <c r="AZ3073" s="135"/>
      <c r="BA3073" s="135"/>
      <c r="BB3073" s="135"/>
      <c r="BC3073" s="135"/>
      <c r="BD3073" s="135"/>
      <c r="BE3073" s="135"/>
      <c r="BF3073" s="135"/>
      <c r="BG3073" s="135"/>
      <c r="BH3073" s="135"/>
      <c r="BI3073" s="2"/>
      <c r="BJ3073" s="136"/>
      <c r="BK3073" s="2"/>
      <c r="BL3073" s="136"/>
      <c r="BM3073" s="136"/>
      <c r="BN3073" s="2"/>
      <c r="BO3073" s="2"/>
      <c r="BP3073" s="136"/>
      <c r="BQ3073" s="137"/>
    </row>
    <row r="3074" spans="1:69" ht="12.75" customHeight="1" x14ac:dyDescent="0.2">
      <c r="A3074" s="2">
        <v>4563</v>
      </c>
      <c r="B3074" s="2"/>
      <c r="C3074" s="2"/>
      <c r="D3074" s="2"/>
      <c r="E3074" s="2"/>
      <c r="F3074" s="132">
        <v>0</v>
      </c>
      <c r="G3074" s="132"/>
      <c r="H3074" s="132">
        <f t="shared" si="346"/>
        <v>0</v>
      </c>
      <c r="I3074" s="132"/>
      <c r="J3074" s="132">
        <f t="shared" si="344"/>
        <v>0</v>
      </c>
      <c r="K3074" s="132">
        <f t="shared" si="347"/>
        <v>0</v>
      </c>
      <c r="L3074" s="132">
        <f t="shared" si="341"/>
        <v>0</v>
      </c>
      <c r="M3074" s="133"/>
      <c r="N3074" s="133">
        <f t="shared" si="345"/>
        <v>0</v>
      </c>
      <c r="O3074" s="134"/>
      <c r="P3074" s="133"/>
      <c r="Q3074" s="2"/>
      <c r="R3074" s="156">
        <f t="shared" si="342"/>
        <v>0</v>
      </c>
      <c r="S3074" s="156">
        <f t="shared" si="343"/>
        <v>0</v>
      </c>
      <c r="T3074" s="133"/>
      <c r="U3074" s="133"/>
      <c r="V3074" s="133"/>
      <c r="W3074" s="133"/>
      <c r="X3074" s="133"/>
      <c r="Y3074" s="133"/>
      <c r="Z3074" s="133"/>
      <c r="AA3074" s="133"/>
      <c r="AB3074" s="133"/>
      <c r="AC3074" s="133"/>
      <c r="AD3074" s="133"/>
      <c r="AE3074" s="133"/>
      <c r="AF3074" s="133"/>
      <c r="AG3074" s="133"/>
      <c r="AH3074" s="133"/>
      <c r="AI3074" s="133"/>
      <c r="AJ3074" s="133"/>
      <c r="AK3074" s="133"/>
      <c r="AL3074" s="133"/>
      <c r="AM3074" s="133"/>
      <c r="AN3074" s="133"/>
      <c r="AO3074" s="133"/>
      <c r="AP3074" s="133"/>
      <c r="AQ3074" s="133"/>
      <c r="AR3074" s="133"/>
      <c r="AS3074" s="153">
        <v>0</v>
      </c>
      <c r="AT3074" s="153">
        <v>0</v>
      </c>
      <c r="AU3074" s="153">
        <v>0</v>
      </c>
      <c r="AV3074" s="135"/>
      <c r="AW3074" s="135"/>
      <c r="AX3074" s="135"/>
      <c r="AY3074" s="135"/>
      <c r="AZ3074" s="135"/>
      <c r="BA3074" s="135"/>
      <c r="BB3074" s="135"/>
      <c r="BC3074" s="135"/>
      <c r="BD3074" s="135"/>
      <c r="BE3074" s="135"/>
      <c r="BF3074" s="135"/>
      <c r="BG3074" s="135"/>
      <c r="BH3074" s="135"/>
      <c r="BI3074" s="2"/>
      <c r="BJ3074" s="136"/>
      <c r="BK3074" s="2"/>
      <c r="BL3074" s="136"/>
      <c r="BM3074" s="136"/>
      <c r="BN3074" s="2"/>
      <c r="BO3074" s="2"/>
      <c r="BP3074" s="136"/>
      <c r="BQ3074" s="137"/>
    </row>
    <row r="3075" spans="1:69" ht="12.75" customHeight="1" x14ac:dyDescent="0.2">
      <c r="A3075" s="2">
        <v>4564</v>
      </c>
      <c r="B3075" s="2"/>
      <c r="C3075" s="2"/>
      <c r="D3075" s="2"/>
      <c r="E3075" s="2"/>
      <c r="F3075" s="132">
        <v>0</v>
      </c>
      <c r="G3075" s="132"/>
      <c r="H3075" s="132">
        <f t="shared" si="346"/>
        <v>0</v>
      </c>
      <c r="I3075" s="132"/>
      <c r="J3075" s="132">
        <f t="shared" si="344"/>
        <v>0</v>
      </c>
      <c r="K3075" s="132">
        <f t="shared" si="347"/>
        <v>0</v>
      </c>
      <c r="L3075" s="132">
        <f t="shared" si="341"/>
        <v>0</v>
      </c>
      <c r="M3075" s="133"/>
      <c r="N3075" s="133">
        <f t="shared" si="345"/>
        <v>0</v>
      </c>
      <c r="O3075" s="134"/>
      <c r="P3075" s="133"/>
      <c r="Q3075" s="2"/>
      <c r="R3075" s="156">
        <f t="shared" si="342"/>
        <v>0</v>
      </c>
      <c r="S3075" s="156">
        <f t="shared" si="343"/>
        <v>0</v>
      </c>
      <c r="T3075" s="133"/>
      <c r="U3075" s="133"/>
      <c r="V3075" s="133"/>
      <c r="W3075" s="133"/>
      <c r="X3075" s="133"/>
      <c r="Y3075" s="133"/>
      <c r="Z3075" s="133"/>
      <c r="AA3075" s="133"/>
      <c r="AB3075" s="133"/>
      <c r="AC3075" s="133"/>
      <c r="AD3075" s="133"/>
      <c r="AE3075" s="133"/>
      <c r="AF3075" s="133"/>
      <c r="AG3075" s="133"/>
      <c r="AH3075" s="133"/>
      <c r="AI3075" s="133"/>
      <c r="AJ3075" s="133"/>
      <c r="AK3075" s="133"/>
      <c r="AL3075" s="133"/>
      <c r="AM3075" s="133"/>
      <c r="AN3075" s="133"/>
      <c r="AO3075" s="133"/>
      <c r="AP3075" s="133"/>
      <c r="AQ3075" s="133"/>
      <c r="AR3075" s="133"/>
      <c r="AS3075" s="153">
        <v>0</v>
      </c>
      <c r="AT3075" s="153">
        <v>0</v>
      </c>
      <c r="AU3075" s="153">
        <v>0</v>
      </c>
      <c r="AV3075" s="135"/>
      <c r="AW3075" s="135"/>
      <c r="AX3075" s="135"/>
      <c r="AY3075" s="135"/>
      <c r="AZ3075" s="135"/>
      <c r="BA3075" s="135"/>
      <c r="BB3075" s="135"/>
      <c r="BC3075" s="135"/>
      <c r="BD3075" s="135"/>
      <c r="BE3075" s="135"/>
      <c r="BF3075" s="135"/>
      <c r="BG3075" s="135"/>
      <c r="BH3075" s="135"/>
      <c r="BI3075" s="2"/>
      <c r="BJ3075" s="136"/>
      <c r="BK3075" s="2"/>
      <c r="BL3075" s="136"/>
      <c r="BM3075" s="136"/>
      <c r="BN3075" s="2"/>
      <c r="BO3075" s="2"/>
      <c r="BP3075" s="136"/>
      <c r="BQ3075" s="137"/>
    </row>
    <row r="3076" spans="1:69" ht="12.75" customHeight="1" x14ac:dyDescent="0.2">
      <c r="A3076" s="2">
        <v>4565</v>
      </c>
      <c r="B3076" s="2"/>
      <c r="C3076" s="2"/>
      <c r="D3076" s="2"/>
      <c r="E3076" s="2"/>
      <c r="F3076" s="132">
        <v>0</v>
      </c>
      <c r="G3076" s="132"/>
      <c r="H3076" s="132">
        <f t="shared" si="346"/>
        <v>0</v>
      </c>
      <c r="I3076" s="132"/>
      <c r="J3076" s="132">
        <f t="shared" si="344"/>
        <v>0</v>
      </c>
      <c r="K3076" s="132">
        <f t="shared" si="347"/>
        <v>0</v>
      </c>
      <c r="L3076" s="132">
        <f t="shared" si="341"/>
        <v>0</v>
      </c>
      <c r="M3076" s="133"/>
      <c r="N3076" s="133">
        <f t="shared" si="345"/>
        <v>0</v>
      </c>
      <c r="O3076" s="134"/>
      <c r="P3076" s="133"/>
      <c r="Q3076" s="2"/>
      <c r="R3076" s="156">
        <f t="shared" si="342"/>
        <v>0</v>
      </c>
      <c r="S3076" s="156">
        <f t="shared" si="343"/>
        <v>0</v>
      </c>
      <c r="T3076" s="133"/>
      <c r="U3076" s="133"/>
      <c r="V3076" s="133"/>
      <c r="W3076" s="133"/>
      <c r="X3076" s="133"/>
      <c r="Y3076" s="133"/>
      <c r="Z3076" s="133"/>
      <c r="AA3076" s="133"/>
      <c r="AB3076" s="133"/>
      <c r="AC3076" s="133"/>
      <c r="AD3076" s="133"/>
      <c r="AE3076" s="133"/>
      <c r="AF3076" s="133"/>
      <c r="AG3076" s="133"/>
      <c r="AH3076" s="133"/>
      <c r="AI3076" s="133"/>
      <c r="AJ3076" s="133"/>
      <c r="AK3076" s="133"/>
      <c r="AL3076" s="133"/>
      <c r="AM3076" s="133"/>
      <c r="AN3076" s="133"/>
      <c r="AO3076" s="133"/>
      <c r="AP3076" s="133"/>
      <c r="AQ3076" s="133"/>
      <c r="AR3076" s="133"/>
      <c r="AS3076" s="153">
        <v>0</v>
      </c>
      <c r="AT3076" s="153">
        <v>0</v>
      </c>
      <c r="AU3076" s="153">
        <v>0</v>
      </c>
      <c r="AV3076" s="135"/>
      <c r="AW3076" s="135"/>
      <c r="AX3076" s="135"/>
      <c r="AY3076" s="135"/>
      <c r="AZ3076" s="135"/>
      <c r="BA3076" s="135"/>
      <c r="BB3076" s="135"/>
      <c r="BC3076" s="135"/>
      <c r="BD3076" s="135"/>
      <c r="BE3076" s="135"/>
      <c r="BF3076" s="135"/>
      <c r="BG3076" s="135"/>
      <c r="BH3076" s="135"/>
      <c r="BI3076" s="2"/>
      <c r="BJ3076" s="136"/>
      <c r="BK3076" s="2"/>
      <c r="BL3076" s="136"/>
      <c r="BM3076" s="136"/>
      <c r="BN3076" s="2"/>
      <c r="BO3076" s="2"/>
      <c r="BP3076" s="136"/>
      <c r="BQ3076" s="137"/>
    </row>
    <row r="3077" spans="1:69" ht="12.75" customHeight="1" x14ac:dyDescent="0.2">
      <c r="A3077" s="2">
        <v>4566</v>
      </c>
      <c r="B3077" s="2"/>
      <c r="C3077" s="2"/>
      <c r="D3077" s="2"/>
      <c r="E3077" s="2"/>
      <c r="F3077" s="132">
        <v>0</v>
      </c>
      <c r="G3077" s="132"/>
      <c r="H3077" s="132">
        <f t="shared" si="346"/>
        <v>0</v>
      </c>
      <c r="I3077" s="132"/>
      <c r="J3077" s="132">
        <f t="shared" si="344"/>
        <v>0</v>
      </c>
      <c r="K3077" s="132">
        <f t="shared" si="347"/>
        <v>0</v>
      </c>
      <c r="L3077" s="132">
        <f t="shared" si="341"/>
        <v>0</v>
      </c>
      <c r="M3077" s="133"/>
      <c r="N3077" s="133">
        <f t="shared" si="345"/>
        <v>0</v>
      </c>
      <c r="O3077" s="134"/>
      <c r="P3077" s="133"/>
      <c r="Q3077" s="2"/>
      <c r="R3077" s="156">
        <f t="shared" si="342"/>
        <v>0</v>
      </c>
      <c r="S3077" s="156">
        <f t="shared" si="343"/>
        <v>0</v>
      </c>
      <c r="T3077" s="133"/>
      <c r="U3077" s="133"/>
      <c r="V3077" s="133"/>
      <c r="W3077" s="133"/>
      <c r="X3077" s="133"/>
      <c r="Y3077" s="133"/>
      <c r="Z3077" s="133"/>
      <c r="AA3077" s="133"/>
      <c r="AB3077" s="133"/>
      <c r="AC3077" s="133"/>
      <c r="AD3077" s="133"/>
      <c r="AE3077" s="133"/>
      <c r="AF3077" s="133"/>
      <c r="AG3077" s="133"/>
      <c r="AH3077" s="133"/>
      <c r="AI3077" s="133"/>
      <c r="AJ3077" s="133"/>
      <c r="AK3077" s="133"/>
      <c r="AL3077" s="133"/>
      <c r="AM3077" s="133"/>
      <c r="AN3077" s="133"/>
      <c r="AO3077" s="133"/>
      <c r="AP3077" s="133"/>
      <c r="AQ3077" s="133"/>
      <c r="AR3077" s="133"/>
      <c r="AS3077" s="153">
        <v>0</v>
      </c>
      <c r="AT3077" s="153">
        <v>0</v>
      </c>
      <c r="AU3077" s="153">
        <v>0</v>
      </c>
      <c r="AV3077" s="135"/>
      <c r="AW3077" s="135"/>
      <c r="AX3077" s="135"/>
      <c r="AY3077" s="135"/>
      <c r="AZ3077" s="135"/>
      <c r="BA3077" s="135"/>
      <c r="BB3077" s="135"/>
      <c r="BC3077" s="135"/>
      <c r="BD3077" s="135"/>
      <c r="BE3077" s="135"/>
      <c r="BF3077" s="135"/>
      <c r="BG3077" s="135"/>
      <c r="BH3077" s="135"/>
      <c r="BI3077" s="2"/>
      <c r="BJ3077" s="136"/>
      <c r="BK3077" s="2"/>
      <c r="BL3077" s="136"/>
      <c r="BM3077" s="136"/>
      <c r="BN3077" s="2"/>
      <c r="BO3077" s="2"/>
      <c r="BP3077" s="136"/>
      <c r="BQ3077" s="137"/>
    </row>
    <row r="3078" spans="1:69" ht="12.75" customHeight="1" x14ac:dyDescent="0.2">
      <c r="A3078" s="2">
        <v>4567</v>
      </c>
      <c r="B3078" s="2"/>
      <c r="C3078" s="2"/>
      <c r="D3078" s="2"/>
      <c r="E3078" s="2"/>
      <c r="F3078" s="132">
        <v>0</v>
      </c>
      <c r="G3078" s="132"/>
      <c r="H3078" s="132">
        <f t="shared" si="346"/>
        <v>0</v>
      </c>
      <c r="I3078" s="132"/>
      <c r="J3078" s="132">
        <f t="shared" si="344"/>
        <v>0</v>
      </c>
      <c r="K3078" s="132">
        <f t="shared" si="347"/>
        <v>0</v>
      </c>
      <c r="L3078" s="132">
        <f t="shared" si="341"/>
        <v>0</v>
      </c>
      <c r="M3078" s="133"/>
      <c r="N3078" s="133">
        <f t="shared" si="345"/>
        <v>0</v>
      </c>
      <c r="O3078" s="134"/>
      <c r="P3078" s="133"/>
      <c r="Q3078" s="2"/>
      <c r="R3078" s="156">
        <f t="shared" si="342"/>
        <v>0</v>
      </c>
      <c r="S3078" s="156">
        <f t="shared" si="343"/>
        <v>0</v>
      </c>
      <c r="T3078" s="133"/>
      <c r="U3078" s="133"/>
      <c r="V3078" s="133"/>
      <c r="W3078" s="133"/>
      <c r="X3078" s="133"/>
      <c r="Y3078" s="133"/>
      <c r="Z3078" s="133"/>
      <c r="AA3078" s="133"/>
      <c r="AB3078" s="133"/>
      <c r="AC3078" s="133"/>
      <c r="AD3078" s="133"/>
      <c r="AE3078" s="133"/>
      <c r="AF3078" s="133"/>
      <c r="AG3078" s="133"/>
      <c r="AH3078" s="133"/>
      <c r="AI3078" s="133"/>
      <c r="AJ3078" s="133"/>
      <c r="AK3078" s="133"/>
      <c r="AL3078" s="133"/>
      <c r="AM3078" s="133"/>
      <c r="AN3078" s="133"/>
      <c r="AO3078" s="133"/>
      <c r="AP3078" s="133"/>
      <c r="AQ3078" s="133"/>
      <c r="AR3078" s="133"/>
      <c r="AS3078" s="153">
        <v>0</v>
      </c>
      <c r="AT3078" s="153">
        <v>0</v>
      </c>
      <c r="AU3078" s="153">
        <v>0</v>
      </c>
      <c r="AV3078" s="135"/>
      <c r="AW3078" s="135"/>
      <c r="AX3078" s="135"/>
      <c r="AY3078" s="135"/>
      <c r="AZ3078" s="135"/>
      <c r="BA3078" s="135"/>
      <c r="BB3078" s="135"/>
      <c r="BC3078" s="135"/>
      <c r="BD3078" s="135"/>
      <c r="BE3078" s="135"/>
      <c r="BF3078" s="135"/>
      <c r="BG3078" s="135"/>
      <c r="BH3078" s="135"/>
      <c r="BI3078" s="2"/>
      <c r="BJ3078" s="136"/>
      <c r="BK3078" s="2"/>
      <c r="BL3078" s="136"/>
      <c r="BM3078" s="136"/>
      <c r="BN3078" s="2"/>
      <c r="BO3078" s="2"/>
      <c r="BP3078" s="136"/>
      <c r="BQ3078" s="137"/>
    </row>
    <row r="3079" spans="1:69" ht="12.75" customHeight="1" x14ac:dyDescent="0.2">
      <c r="A3079" s="2">
        <v>4568</v>
      </c>
      <c r="B3079" s="2"/>
      <c r="C3079" s="2"/>
      <c r="D3079" s="2"/>
      <c r="E3079" s="2"/>
      <c r="F3079" s="132">
        <v>0</v>
      </c>
      <c r="G3079" s="132"/>
      <c r="H3079" s="132">
        <f t="shared" si="346"/>
        <v>0</v>
      </c>
      <c r="I3079" s="132"/>
      <c r="J3079" s="132">
        <f t="shared" si="344"/>
        <v>0</v>
      </c>
      <c r="K3079" s="132">
        <f t="shared" si="347"/>
        <v>0</v>
      </c>
      <c r="L3079" s="132">
        <f t="shared" si="341"/>
        <v>0</v>
      </c>
      <c r="M3079" s="133"/>
      <c r="N3079" s="133">
        <f t="shared" si="345"/>
        <v>0</v>
      </c>
      <c r="O3079" s="134"/>
      <c r="P3079" s="133"/>
      <c r="Q3079" s="2"/>
      <c r="R3079" s="156">
        <f t="shared" si="342"/>
        <v>0</v>
      </c>
      <c r="S3079" s="156">
        <f t="shared" si="343"/>
        <v>0</v>
      </c>
      <c r="T3079" s="133"/>
      <c r="U3079" s="133"/>
      <c r="V3079" s="133"/>
      <c r="W3079" s="133"/>
      <c r="X3079" s="133"/>
      <c r="Y3079" s="133"/>
      <c r="Z3079" s="133"/>
      <c r="AA3079" s="133"/>
      <c r="AB3079" s="133"/>
      <c r="AC3079" s="133"/>
      <c r="AD3079" s="133"/>
      <c r="AE3079" s="133"/>
      <c r="AF3079" s="133"/>
      <c r="AG3079" s="133"/>
      <c r="AH3079" s="133"/>
      <c r="AI3079" s="133"/>
      <c r="AJ3079" s="133"/>
      <c r="AK3079" s="133"/>
      <c r="AL3079" s="133"/>
      <c r="AM3079" s="133"/>
      <c r="AN3079" s="133"/>
      <c r="AO3079" s="133"/>
      <c r="AP3079" s="133"/>
      <c r="AQ3079" s="133"/>
      <c r="AR3079" s="133"/>
      <c r="AS3079" s="153">
        <v>0</v>
      </c>
      <c r="AT3079" s="153">
        <v>0</v>
      </c>
      <c r="AU3079" s="153">
        <v>0</v>
      </c>
      <c r="AV3079" s="135"/>
      <c r="AW3079" s="135"/>
      <c r="AX3079" s="135"/>
      <c r="AY3079" s="135"/>
      <c r="AZ3079" s="135"/>
      <c r="BA3079" s="135"/>
      <c r="BB3079" s="135"/>
      <c r="BC3079" s="135"/>
      <c r="BD3079" s="135"/>
      <c r="BE3079" s="135"/>
      <c r="BF3079" s="135"/>
      <c r="BG3079" s="135"/>
      <c r="BH3079" s="135"/>
      <c r="BI3079" s="2"/>
      <c r="BJ3079" s="136"/>
      <c r="BK3079" s="2"/>
      <c r="BL3079" s="136"/>
      <c r="BM3079" s="136"/>
      <c r="BN3079" s="2"/>
      <c r="BO3079" s="2"/>
      <c r="BP3079" s="136"/>
      <c r="BQ3079" s="137"/>
    </row>
    <row r="3080" spans="1:69" ht="12.75" customHeight="1" x14ac:dyDescent="0.2">
      <c r="A3080" s="2">
        <v>4569</v>
      </c>
      <c r="B3080" s="2"/>
      <c r="C3080" s="2"/>
      <c r="D3080" s="2"/>
      <c r="E3080" s="2"/>
      <c r="F3080" s="132">
        <v>0</v>
      </c>
      <c r="G3080" s="132"/>
      <c r="H3080" s="132">
        <f t="shared" si="346"/>
        <v>0</v>
      </c>
      <c r="I3080" s="132"/>
      <c r="J3080" s="132">
        <f t="shared" si="344"/>
        <v>0</v>
      </c>
      <c r="K3080" s="132">
        <f t="shared" si="347"/>
        <v>0</v>
      </c>
      <c r="L3080" s="132">
        <f t="shared" si="341"/>
        <v>0</v>
      </c>
      <c r="M3080" s="133"/>
      <c r="N3080" s="133">
        <f t="shared" si="345"/>
        <v>0</v>
      </c>
      <c r="O3080" s="134"/>
      <c r="P3080" s="133"/>
      <c r="Q3080" s="2"/>
      <c r="R3080" s="156">
        <f t="shared" si="342"/>
        <v>0</v>
      </c>
      <c r="S3080" s="156">
        <f t="shared" si="343"/>
        <v>0</v>
      </c>
      <c r="T3080" s="133"/>
      <c r="U3080" s="133"/>
      <c r="V3080" s="133"/>
      <c r="W3080" s="133"/>
      <c r="X3080" s="133"/>
      <c r="Y3080" s="133"/>
      <c r="Z3080" s="133"/>
      <c r="AA3080" s="133"/>
      <c r="AB3080" s="133"/>
      <c r="AC3080" s="133"/>
      <c r="AD3080" s="133"/>
      <c r="AE3080" s="133"/>
      <c r="AF3080" s="133"/>
      <c r="AG3080" s="133"/>
      <c r="AH3080" s="133"/>
      <c r="AI3080" s="133"/>
      <c r="AJ3080" s="133"/>
      <c r="AK3080" s="133"/>
      <c r="AL3080" s="133"/>
      <c r="AM3080" s="133"/>
      <c r="AN3080" s="133"/>
      <c r="AO3080" s="133"/>
      <c r="AP3080" s="133"/>
      <c r="AQ3080" s="133"/>
      <c r="AR3080" s="133"/>
      <c r="AS3080" s="153">
        <v>0</v>
      </c>
      <c r="AT3080" s="153">
        <v>0</v>
      </c>
      <c r="AU3080" s="153">
        <v>0</v>
      </c>
      <c r="AV3080" s="135"/>
      <c r="AW3080" s="135"/>
      <c r="AX3080" s="135"/>
      <c r="AY3080" s="135"/>
      <c r="AZ3080" s="135"/>
      <c r="BA3080" s="135"/>
      <c r="BB3080" s="135"/>
      <c r="BC3080" s="135"/>
      <c r="BD3080" s="135"/>
      <c r="BE3080" s="135"/>
      <c r="BF3080" s="135"/>
      <c r="BG3080" s="135"/>
      <c r="BH3080" s="135"/>
      <c r="BI3080" s="2"/>
      <c r="BJ3080" s="136"/>
      <c r="BK3080" s="2"/>
      <c r="BL3080" s="136"/>
      <c r="BM3080" s="136"/>
      <c r="BN3080" s="2"/>
      <c r="BO3080" s="2"/>
      <c r="BP3080" s="136"/>
      <c r="BQ3080" s="137"/>
    </row>
    <row r="3081" spans="1:69" ht="12.75" customHeight="1" x14ac:dyDescent="0.2">
      <c r="A3081" s="2">
        <v>4570</v>
      </c>
      <c r="B3081" s="2"/>
      <c r="C3081" s="2"/>
      <c r="D3081" s="2"/>
      <c r="E3081" s="2"/>
      <c r="F3081" s="132">
        <v>0</v>
      </c>
      <c r="G3081" s="132"/>
      <c r="H3081" s="132">
        <f t="shared" si="346"/>
        <v>0</v>
      </c>
      <c r="I3081" s="132"/>
      <c r="J3081" s="132">
        <f t="shared" si="344"/>
        <v>0</v>
      </c>
      <c r="K3081" s="132">
        <f t="shared" si="347"/>
        <v>0</v>
      </c>
      <c r="L3081" s="132">
        <f t="shared" si="341"/>
        <v>0</v>
      </c>
      <c r="M3081" s="133"/>
      <c r="N3081" s="133">
        <f t="shared" si="345"/>
        <v>0</v>
      </c>
      <c r="O3081" s="134"/>
      <c r="P3081" s="133"/>
      <c r="Q3081" s="2"/>
      <c r="R3081" s="156">
        <f t="shared" si="342"/>
        <v>0</v>
      </c>
      <c r="S3081" s="156">
        <f t="shared" si="343"/>
        <v>0</v>
      </c>
      <c r="T3081" s="133"/>
      <c r="U3081" s="133"/>
      <c r="V3081" s="133"/>
      <c r="W3081" s="133"/>
      <c r="X3081" s="133"/>
      <c r="Y3081" s="133"/>
      <c r="Z3081" s="133"/>
      <c r="AA3081" s="133"/>
      <c r="AB3081" s="133"/>
      <c r="AC3081" s="133"/>
      <c r="AD3081" s="133"/>
      <c r="AE3081" s="133"/>
      <c r="AF3081" s="133"/>
      <c r="AG3081" s="133"/>
      <c r="AH3081" s="133"/>
      <c r="AI3081" s="133"/>
      <c r="AJ3081" s="133"/>
      <c r="AK3081" s="133"/>
      <c r="AL3081" s="133"/>
      <c r="AM3081" s="133"/>
      <c r="AN3081" s="133"/>
      <c r="AO3081" s="133"/>
      <c r="AP3081" s="133"/>
      <c r="AQ3081" s="133"/>
      <c r="AR3081" s="133"/>
      <c r="AS3081" s="153">
        <v>0</v>
      </c>
      <c r="AT3081" s="153">
        <v>0</v>
      </c>
      <c r="AU3081" s="153">
        <v>0</v>
      </c>
      <c r="AV3081" s="135"/>
      <c r="AW3081" s="135"/>
      <c r="AX3081" s="135"/>
      <c r="AY3081" s="135"/>
      <c r="AZ3081" s="135"/>
      <c r="BA3081" s="135"/>
      <c r="BB3081" s="135"/>
      <c r="BC3081" s="135"/>
      <c r="BD3081" s="135"/>
      <c r="BE3081" s="135"/>
      <c r="BF3081" s="135"/>
      <c r="BG3081" s="135"/>
      <c r="BH3081" s="135"/>
      <c r="BI3081" s="2"/>
      <c r="BJ3081" s="136"/>
      <c r="BK3081" s="2"/>
      <c r="BL3081" s="136"/>
      <c r="BM3081" s="136"/>
      <c r="BN3081" s="2"/>
      <c r="BO3081" s="2"/>
      <c r="BP3081" s="136"/>
      <c r="BQ3081" s="137"/>
    </row>
    <row r="3082" spans="1:69" ht="12.75" customHeight="1" x14ac:dyDescent="0.2">
      <c r="A3082" s="2">
        <v>4571</v>
      </c>
      <c r="B3082" s="2"/>
      <c r="C3082" s="2"/>
      <c r="D3082" s="2"/>
      <c r="E3082" s="2"/>
      <c r="F3082" s="132">
        <v>0</v>
      </c>
      <c r="G3082" s="132"/>
      <c r="H3082" s="132">
        <f t="shared" si="346"/>
        <v>0</v>
      </c>
      <c r="I3082" s="132"/>
      <c r="J3082" s="132">
        <f t="shared" si="344"/>
        <v>0</v>
      </c>
      <c r="K3082" s="132">
        <f t="shared" si="347"/>
        <v>0</v>
      </c>
      <c r="L3082" s="132">
        <f t="shared" si="341"/>
        <v>0</v>
      </c>
      <c r="M3082" s="133"/>
      <c r="N3082" s="133">
        <f t="shared" si="345"/>
        <v>0</v>
      </c>
      <c r="O3082" s="134"/>
      <c r="P3082" s="133"/>
      <c r="Q3082" s="2"/>
      <c r="R3082" s="156">
        <f t="shared" si="342"/>
        <v>0</v>
      </c>
      <c r="S3082" s="156">
        <f t="shared" si="343"/>
        <v>0</v>
      </c>
      <c r="T3082" s="133"/>
      <c r="U3082" s="133"/>
      <c r="V3082" s="133"/>
      <c r="W3082" s="133"/>
      <c r="X3082" s="133"/>
      <c r="Y3082" s="133"/>
      <c r="Z3082" s="133"/>
      <c r="AA3082" s="133"/>
      <c r="AB3082" s="133"/>
      <c r="AC3082" s="133"/>
      <c r="AD3082" s="133"/>
      <c r="AE3082" s="133"/>
      <c r="AF3082" s="133"/>
      <c r="AG3082" s="133"/>
      <c r="AH3082" s="133"/>
      <c r="AI3082" s="133"/>
      <c r="AJ3082" s="133"/>
      <c r="AK3082" s="133"/>
      <c r="AL3082" s="133"/>
      <c r="AM3082" s="133"/>
      <c r="AN3082" s="133"/>
      <c r="AO3082" s="133"/>
      <c r="AP3082" s="133"/>
      <c r="AQ3082" s="133"/>
      <c r="AR3082" s="133"/>
      <c r="AS3082" s="153">
        <v>0</v>
      </c>
      <c r="AT3082" s="153">
        <v>0</v>
      </c>
      <c r="AU3082" s="153">
        <v>0</v>
      </c>
      <c r="AV3082" s="135"/>
      <c r="AW3082" s="135"/>
      <c r="AX3082" s="135"/>
      <c r="AY3082" s="135"/>
      <c r="AZ3082" s="135"/>
      <c r="BA3082" s="135"/>
      <c r="BB3082" s="135"/>
      <c r="BC3082" s="135"/>
      <c r="BD3082" s="135"/>
      <c r="BE3082" s="135"/>
      <c r="BF3082" s="135"/>
      <c r="BG3082" s="135"/>
      <c r="BH3082" s="135"/>
      <c r="BI3082" s="2"/>
      <c r="BJ3082" s="136"/>
      <c r="BK3082" s="2"/>
      <c r="BL3082" s="136"/>
      <c r="BM3082" s="136"/>
      <c r="BN3082" s="2"/>
      <c r="BO3082" s="2"/>
      <c r="BP3082" s="136"/>
      <c r="BQ3082" s="137"/>
    </row>
    <row r="3083" spans="1:69" ht="12.75" customHeight="1" x14ac:dyDescent="0.2">
      <c r="A3083" s="2">
        <v>4572</v>
      </c>
      <c r="B3083" s="2"/>
      <c r="C3083" s="2"/>
      <c r="D3083" s="2"/>
      <c r="E3083" s="2"/>
      <c r="F3083" s="132">
        <v>0</v>
      </c>
      <c r="G3083" s="132"/>
      <c r="H3083" s="132">
        <f t="shared" si="346"/>
        <v>0</v>
      </c>
      <c r="I3083" s="132"/>
      <c r="J3083" s="132">
        <f t="shared" si="344"/>
        <v>0</v>
      </c>
      <c r="K3083" s="132">
        <f t="shared" si="347"/>
        <v>0</v>
      </c>
      <c r="L3083" s="132">
        <f t="shared" ref="L3083:L3146" si="348">H3083-J3083</f>
        <v>0</v>
      </c>
      <c r="M3083" s="133"/>
      <c r="N3083" s="133">
        <f t="shared" si="345"/>
        <v>0</v>
      </c>
      <c r="O3083" s="134"/>
      <c r="P3083" s="133"/>
      <c r="Q3083" s="2"/>
      <c r="R3083" s="156">
        <f t="shared" ref="R3083:R3146" si="349">T3083+V3083+X3083+Z3083+AB3083+AD3083+AF3083+AH3083+AJ3083+AL3083+AN3083+AP3083</f>
        <v>0</v>
      </c>
      <c r="S3083" s="156">
        <f t="shared" ref="S3083:S3146" si="350">U3083+W3083+Y3083+AA3083+AC3083+AE3083+AG3083+AI3083+AK3083+AM3083+AO3083+AQ3083</f>
        <v>0</v>
      </c>
      <c r="T3083" s="133"/>
      <c r="U3083" s="133"/>
      <c r="V3083" s="133"/>
      <c r="W3083" s="133"/>
      <c r="X3083" s="133"/>
      <c r="Y3083" s="133"/>
      <c r="Z3083" s="133"/>
      <c r="AA3083" s="133"/>
      <c r="AB3083" s="133"/>
      <c r="AC3083" s="133"/>
      <c r="AD3083" s="133"/>
      <c r="AE3083" s="133"/>
      <c r="AF3083" s="133"/>
      <c r="AG3083" s="133"/>
      <c r="AH3083" s="133"/>
      <c r="AI3083" s="133"/>
      <c r="AJ3083" s="133"/>
      <c r="AK3083" s="133"/>
      <c r="AL3083" s="133"/>
      <c r="AM3083" s="133"/>
      <c r="AN3083" s="133"/>
      <c r="AO3083" s="133"/>
      <c r="AP3083" s="133"/>
      <c r="AQ3083" s="133"/>
      <c r="AR3083" s="133"/>
      <c r="AS3083" s="153">
        <v>0</v>
      </c>
      <c r="AT3083" s="153">
        <v>0</v>
      </c>
      <c r="AU3083" s="153">
        <v>0</v>
      </c>
      <c r="AV3083" s="135"/>
      <c r="AW3083" s="135"/>
      <c r="AX3083" s="135"/>
      <c r="AY3083" s="135"/>
      <c r="AZ3083" s="135"/>
      <c r="BA3083" s="135"/>
      <c r="BB3083" s="135"/>
      <c r="BC3083" s="135"/>
      <c r="BD3083" s="135"/>
      <c r="BE3083" s="135"/>
      <c r="BF3083" s="135"/>
      <c r="BG3083" s="135"/>
      <c r="BH3083" s="135"/>
      <c r="BI3083" s="2"/>
      <c r="BJ3083" s="136"/>
      <c r="BK3083" s="2"/>
      <c r="BL3083" s="136"/>
      <c r="BM3083" s="136"/>
      <c r="BN3083" s="2"/>
      <c r="BO3083" s="2"/>
      <c r="BP3083" s="136"/>
      <c r="BQ3083" s="137"/>
    </row>
    <row r="3084" spans="1:69" ht="12.75" customHeight="1" x14ac:dyDescent="0.2">
      <c r="A3084" s="2">
        <v>4573</v>
      </c>
      <c r="B3084" s="2"/>
      <c r="C3084" s="2"/>
      <c r="D3084" s="2"/>
      <c r="E3084" s="2"/>
      <c r="F3084" s="132">
        <v>0</v>
      </c>
      <c r="G3084" s="132"/>
      <c r="H3084" s="132">
        <f t="shared" si="346"/>
        <v>0</v>
      </c>
      <c r="I3084" s="132"/>
      <c r="J3084" s="132">
        <f t="shared" si="344"/>
        <v>0</v>
      </c>
      <c r="K3084" s="132">
        <f t="shared" si="347"/>
        <v>0</v>
      </c>
      <c r="L3084" s="132">
        <f t="shared" si="348"/>
        <v>0</v>
      </c>
      <c r="M3084" s="133"/>
      <c r="N3084" s="133">
        <f t="shared" si="345"/>
        <v>0</v>
      </c>
      <c r="O3084" s="134"/>
      <c r="P3084" s="133"/>
      <c r="Q3084" s="2"/>
      <c r="R3084" s="156">
        <f t="shared" si="349"/>
        <v>0</v>
      </c>
      <c r="S3084" s="156">
        <f t="shared" si="350"/>
        <v>0</v>
      </c>
      <c r="T3084" s="133"/>
      <c r="U3084" s="133"/>
      <c r="V3084" s="133"/>
      <c r="W3084" s="133"/>
      <c r="X3084" s="133"/>
      <c r="Y3084" s="133"/>
      <c r="Z3084" s="133"/>
      <c r="AA3084" s="133"/>
      <c r="AB3084" s="133"/>
      <c r="AC3084" s="133"/>
      <c r="AD3084" s="133"/>
      <c r="AE3084" s="133"/>
      <c r="AF3084" s="133"/>
      <c r="AG3084" s="133"/>
      <c r="AH3084" s="133"/>
      <c r="AI3084" s="133"/>
      <c r="AJ3084" s="133"/>
      <c r="AK3084" s="133"/>
      <c r="AL3084" s="133"/>
      <c r="AM3084" s="133"/>
      <c r="AN3084" s="133"/>
      <c r="AO3084" s="133"/>
      <c r="AP3084" s="133"/>
      <c r="AQ3084" s="133"/>
      <c r="AR3084" s="133"/>
      <c r="AS3084" s="153">
        <v>0</v>
      </c>
      <c r="AT3084" s="153">
        <v>0</v>
      </c>
      <c r="AU3084" s="153">
        <v>0</v>
      </c>
      <c r="AV3084" s="135"/>
      <c r="AW3084" s="135"/>
      <c r="AX3084" s="135"/>
      <c r="AY3084" s="135"/>
      <c r="AZ3084" s="135"/>
      <c r="BA3084" s="135"/>
      <c r="BB3084" s="135"/>
      <c r="BC3084" s="135"/>
      <c r="BD3084" s="135"/>
      <c r="BE3084" s="135"/>
      <c r="BF3084" s="135"/>
      <c r="BG3084" s="135"/>
      <c r="BH3084" s="135"/>
      <c r="BI3084" s="2"/>
      <c r="BJ3084" s="136"/>
      <c r="BK3084" s="2"/>
      <c r="BL3084" s="136"/>
      <c r="BM3084" s="136"/>
      <c r="BN3084" s="2"/>
      <c r="BO3084" s="2"/>
      <c r="BP3084" s="136"/>
      <c r="BQ3084" s="137"/>
    </row>
    <row r="3085" spans="1:69" ht="12.75" customHeight="1" x14ac:dyDescent="0.2">
      <c r="A3085" s="2">
        <v>4574</v>
      </c>
      <c r="B3085" s="2"/>
      <c r="C3085" s="2"/>
      <c r="D3085" s="2"/>
      <c r="E3085" s="2"/>
      <c r="F3085" s="132">
        <v>0</v>
      </c>
      <c r="G3085" s="132"/>
      <c r="H3085" s="132">
        <f t="shared" si="346"/>
        <v>0</v>
      </c>
      <c r="I3085" s="132"/>
      <c r="J3085" s="132">
        <f t="shared" si="344"/>
        <v>0</v>
      </c>
      <c r="K3085" s="132">
        <f t="shared" si="347"/>
        <v>0</v>
      </c>
      <c r="L3085" s="132">
        <f t="shared" si="348"/>
        <v>0</v>
      </c>
      <c r="M3085" s="133"/>
      <c r="N3085" s="133">
        <f t="shared" si="345"/>
        <v>0</v>
      </c>
      <c r="O3085" s="134"/>
      <c r="P3085" s="133"/>
      <c r="Q3085" s="2"/>
      <c r="R3085" s="156">
        <f t="shared" si="349"/>
        <v>0</v>
      </c>
      <c r="S3085" s="156">
        <f t="shared" si="350"/>
        <v>0</v>
      </c>
      <c r="T3085" s="133"/>
      <c r="U3085" s="133"/>
      <c r="V3085" s="133"/>
      <c r="W3085" s="133"/>
      <c r="X3085" s="133"/>
      <c r="Y3085" s="133"/>
      <c r="Z3085" s="133"/>
      <c r="AA3085" s="133"/>
      <c r="AB3085" s="133"/>
      <c r="AC3085" s="133"/>
      <c r="AD3085" s="133"/>
      <c r="AE3085" s="133"/>
      <c r="AF3085" s="133"/>
      <c r="AG3085" s="133"/>
      <c r="AH3085" s="133"/>
      <c r="AI3085" s="133"/>
      <c r="AJ3085" s="133"/>
      <c r="AK3085" s="133"/>
      <c r="AL3085" s="133"/>
      <c r="AM3085" s="133"/>
      <c r="AN3085" s="133"/>
      <c r="AO3085" s="133"/>
      <c r="AP3085" s="133"/>
      <c r="AQ3085" s="133"/>
      <c r="AR3085" s="133"/>
      <c r="AS3085" s="153">
        <v>0</v>
      </c>
      <c r="AT3085" s="153">
        <v>0</v>
      </c>
      <c r="AU3085" s="153">
        <v>0</v>
      </c>
      <c r="AV3085" s="135"/>
      <c r="AW3085" s="135"/>
      <c r="AX3085" s="135"/>
      <c r="AY3085" s="135"/>
      <c r="AZ3085" s="135"/>
      <c r="BA3085" s="135"/>
      <c r="BB3085" s="135"/>
      <c r="BC3085" s="135"/>
      <c r="BD3085" s="135"/>
      <c r="BE3085" s="135"/>
      <c r="BF3085" s="135"/>
      <c r="BG3085" s="135"/>
      <c r="BH3085" s="135"/>
      <c r="BI3085" s="2"/>
      <c r="BJ3085" s="136"/>
      <c r="BK3085" s="2"/>
      <c r="BL3085" s="136"/>
      <c r="BM3085" s="136"/>
      <c r="BN3085" s="2"/>
      <c r="BO3085" s="2"/>
      <c r="BP3085" s="136"/>
      <c r="BQ3085" s="137"/>
    </row>
    <row r="3086" spans="1:69" ht="12.75" customHeight="1" x14ac:dyDescent="0.2">
      <c r="A3086" s="2">
        <v>4575</v>
      </c>
      <c r="B3086" s="2"/>
      <c r="C3086" s="2"/>
      <c r="D3086" s="2"/>
      <c r="E3086" s="2"/>
      <c r="F3086" s="132">
        <v>0</v>
      </c>
      <c r="G3086" s="132"/>
      <c r="H3086" s="132">
        <f t="shared" si="346"/>
        <v>0</v>
      </c>
      <c r="I3086" s="132"/>
      <c r="J3086" s="132">
        <f t="shared" si="344"/>
        <v>0</v>
      </c>
      <c r="K3086" s="132">
        <f t="shared" si="347"/>
        <v>0</v>
      </c>
      <c r="L3086" s="132">
        <f t="shared" si="348"/>
        <v>0</v>
      </c>
      <c r="M3086" s="133"/>
      <c r="N3086" s="133">
        <f t="shared" si="345"/>
        <v>0</v>
      </c>
      <c r="O3086" s="134"/>
      <c r="P3086" s="133"/>
      <c r="Q3086" s="2"/>
      <c r="R3086" s="156">
        <f t="shared" si="349"/>
        <v>0</v>
      </c>
      <c r="S3086" s="156">
        <f t="shared" si="350"/>
        <v>0</v>
      </c>
      <c r="T3086" s="133"/>
      <c r="U3086" s="133"/>
      <c r="V3086" s="133"/>
      <c r="W3086" s="133"/>
      <c r="X3086" s="133"/>
      <c r="Y3086" s="133"/>
      <c r="Z3086" s="133"/>
      <c r="AA3086" s="133"/>
      <c r="AB3086" s="133"/>
      <c r="AC3086" s="133"/>
      <c r="AD3086" s="133"/>
      <c r="AE3086" s="133"/>
      <c r="AF3086" s="133"/>
      <c r="AG3086" s="133"/>
      <c r="AH3086" s="133"/>
      <c r="AI3086" s="133"/>
      <c r="AJ3086" s="133"/>
      <c r="AK3086" s="133"/>
      <c r="AL3086" s="133"/>
      <c r="AM3086" s="133"/>
      <c r="AN3086" s="133"/>
      <c r="AO3086" s="133"/>
      <c r="AP3086" s="133"/>
      <c r="AQ3086" s="133"/>
      <c r="AR3086" s="133"/>
      <c r="AS3086" s="153">
        <v>0</v>
      </c>
      <c r="AT3086" s="153">
        <v>0</v>
      </c>
      <c r="AU3086" s="153">
        <v>0</v>
      </c>
      <c r="AV3086" s="135"/>
      <c r="AW3086" s="135"/>
      <c r="AX3086" s="135"/>
      <c r="AY3086" s="135"/>
      <c r="AZ3086" s="135"/>
      <c r="BA3086" s="135"/>
      <c r="BB3086" s="135"/>
      <c r="BC3086" s="135"/>
      <c r="BD3086" s="135"/>
      <c r="BE3086" s="135"/>
      <c r="BF3086" s="135"/>
      <c r="BG3086" s="135"/>
      <c r="BH3086" s="135"/>
      <c r="BI3086" s="2"/>
      <c r="BJ3086" s="136"/>
      <c r="BK3086" s="2"/>
      <c r="BL3086" s="136"/>
      <c r="BM3086" s="136"/>
      <c r="BN3086" s="2"/>
      <c r="BO3086" s="2"/>
      <c r="BP3086" s="136"/>
      <c r="BQ3086" s="137"/>
    </row>
    <row r="3087" spans="1:69" ht="12.75" customHeight="1" x14ac:dyDescent="0.2">
      <c r="A3087" s="2">
        <v>4576</v>
      </c>
      <c r="B3087" s="2"/>
      <c r="C3087" s="2"/>
      <c r="D3087" s="2"/>
      <c r="E3087" s="2"/>
      <c r="F3087" s="132">
        <v>0</v>
      </c>
      <c r="G3087" s="132"/>
      <c r="H3087" s="132">
        <f t="shared" si="346"/>
        <v>0</v>
      </c>
      <c r="I3087" s="132"/>
      <c r="J3087" s="132">
        <f t="shared" si="344"/>
        <v>0</v>
      </c>
      <c r="K3087" s="132">
        <f t="shared" si="347"/>
        <v>0</v>
      </c>
      <c r="L3087" s="132">
        <f t="shared" si="348"/>
        <v>0</v>
      </c>
      <c r="M3087" s="133"/>
      <c r="N3087" s="133">
        <f t="shared" si="345"/>
        <v>0</v>
      </c>
      <c r="O3087" s="134"/>
      <c r="P3087" s="133"/>
      <c r="Q3087" s="2"/>
      <c r="R3087" s="156">
        <f t="shared" si="349"/>
        <v>0</v>
      </c>
      <c r="S3087" s="156">
        <f t="shared" si="350"/>
        <v>0</v>
      </c>
      <c r="T3087" s="133"/>
      <c r="U3087" s="133"/>
      <c r="V3087" s="133"/>
      <c r="W3087" s="133"/>
      <c r="X3087" s="133"/>
      <c r="Y3087" s="133"/>
      <c r="Z3087" s="133"/>
      <c r="AA3087" s="133"/>
      <c r="AB3087" s="133"/>
      <c r="AC3087" s="133"/>
      <c r="AD3087" s="133"/>
      <c r="AE3087" s="133"/>
      <c r="AF3087" s="133"/>
      <c r="AG3087" s="133"/>
      <c r="AH3087" s="133"/>
      <c r="AI3087" s="133"/>
      <c r="AJ3087" s="133"/>
      <c r="AK3087" s="133"/>
      <c r="AL3087" s="133"/>
      <c r="AM3087" s="133"/>
      <c r="AN3087" s="133"/>
      <c r="AO3087" s="133"/>
      <c r="AP3087" s="133"/>
      <c r="AQ3087" s="133"/>
      <c r="AR3087" s="133"/>
      <c r="AS3087" s="153">
        <v>0</v>
      </c>
      <c r="AT3087" s="153">
        <v>0</v>
      </c>
      <c r="AU3087" s="153">
        <v>0</v>
      </c>
      <c r="AV3087" s="135"/>
      <c r="AW3087" s="135"/>
      <c r="AX3087" s="135"/>
      <c r="AY3087" s="135"/>
      <c r="AZ3087" s="135"/>
      <c r="BA3087" s="135"/>
      <c r="BB3087" s="135"/>
      <c r="BC3087" s="135"/>
      <c r="BD3087" s="135"/>
      <c r="BE3087" s="135"/>
      <c r="BF3087" s="135"/>
      <c r="BG3087" s="135"/>
      <c r="BH3087" s="135"/>
      <c r="BI3087" s="2"/>
      <c r="BJ3087" s="136"/>
      <c r="BK3087" s="2"/>
      <c r="BL3087" s="136"/>
      <c r="BM3087" s="136"/>
      <c r="BN3087" s="2"/>
      <c r="BO3087" s="2"/>
      <c r="BP3087" s="136"/>
      <c r="BQ3087" s="137"/>
    </row>
    <row r="3088" spans="1:69" ht="12.75" customHeight="1" x14ac:dyDescent="0.2">
      <c r="A3088" s="2">
        <v>4577</v>
      </c>
      <c r="B3088" s="2"/>
      <c r="C3088" s="2"/>
      <c r="D3088" s="2"/>
      <c r="E3088" s="2"/>
      <c r="F3088" s="132">
        <v>0</v>
      </c>
      <c r="G3088" s="132"/>
      <c r="H3088" s="132">
        <f t="shared" si="346"/>
        <v>0</v>
      </c>
      <c r="I3088" s="132"/>
      <c r="J3088" s="132">
        <f t="shared" si="344"/>
        <v>0</v>
      </c>
      <c r="K3088" s="132">
        <f t="shared" si="347"/>
        <v>0</v>
      </c>
      <c r="L3088" s="132">
        <f t="shared" si="348"/>
        <v>0</v>
      </c>
      <c r="M3088" s="133"/>
      <c r="N3088" s="133">
        <f t="shared" si="345"/>
        <v>0</v>
      </c>
      <c r="O3088" s="134"/>
      <c r="P3088" s="133"/>
      <c r="Q3088" s="2"/>
      <c r="R3088" s="156">
        <f t="shared" si="349"/>
        <v>0</v>
      </c>
      <c r="S3088" s="156">
        <f t="shared" si="350"/>
        <v>0</v>
      </c>
      <c r="T3088" s="133"/>
      <c r="U3088" s="133"/>
      <c r="V3088" s="133"/>
      <c r="W3088" s="133"/>
      <c r="X3088" s="133"/>
      <c r="Y3088" s="133"/>
      <c r="Z3088" s="133"/>
      <c r="AA3088" s="133"/>
      <c r="AB3088" s="133"/>
      <c r="AC3088" s="133"/>
      <c r="AD3088" s="133"/>
      <c r="AE3088" s="133"/>
      <c r="AF3088" s="133"/>
      <c r="AG3088" s="133"/>
      <c r="AH3088" s="133"/>
      <c r="AI3088" s="133"/>
      <c r="AJ3088" s="133"/>
      <c r="AK3088" s="133"/>
      <c r="AL3088" s="133"/>
      <c r="AM3088" s="133"/>
      <c r="AN3088" s="133"/>
      <c r="AO3088" s="133"/>
      <c r="AP3088" s="133"/>
      <c r="AQ3088" s="133"/>
      <c r="AR3088" s="133"/>
      <c r="AS3088" s="153">
        <v>0</v>
      </c>
      <c r="AT3088" s="153">
        <v>0</v>
      </c>
      <c r="AU3088" s="153">
        <v>0</v>
      </c>
      <c r="AV3088" s="135"/>
      <c r="AW3088" s="135"/>
      <c r="AX3088" s="135"/>
      <c r="AY3088" s="135"/>
      <c r="AZ3088" s="135"/>
      <c r="BA3088" s="135"/>
      <c r="BB3088" s="135"/>
      <c r="BC3088" s="135"/>
      <c r="BD3088" s="135"/>
      <c r="BE3088" s="135"/>
      <c r="BF3088" s="135"/>
      <c r="BG3088" s="135"/>
      <c r="BH3088" s="135"/>
      <c r="BI3088" s="2"/>
      <c r="BJ3088" s="136"/>
      <c r="BK3088" s="2"/>
      <c r="BL3088" s="136"/>
      <c r="BM3088" s="136"/>
      <c r="BN3088" s="2"/>
      <c r="BO3088" s="2"/>
      <c r="BP3088" s="136"/>
      <c r="BQ3088" s="137"/>
    </row>
    <row r="3089" spans="1:69" ht="12.75" customHeight="1" x14ac:dyDescent="0.2">
      <c r="A3089" s="2">
        <v>4578</v>
      </c>
      <c r="B3089" s="2"/>
      <c r="C3089" s="2"/>
      <c r="D3089" s="2"/>
      <c r="E3089" s="2"/>
      <c r="F3089" s="132">
        <v>0</v>
      </c>
      <c r="G3089" s="132"/>
      <c r="H3089" s="132">
        <f t="shared" si="346"/>
        <v>0</v>
      </c>
      <c r="I3089" s="132"/>
      <c r="J3089" s="132">
        <f t="shared" si="344"/>
        <v>0</v>
      </c>
      <c r="K3089" s="132">
        <f t="shared" si="347"/>
        <v>0</v>
      </c>
      <c r="L3089" s="132">
        <f t="shared" si="348"/>
        <v>0</v>
      </c>
      <c r="M3089" s="133"/>
      <c r="N3089" s="133">
        <f t="shared" si="345"/>
        <v>0</v>
      </c>
      <c r="O3089" s="134"/>
      <c r="P3089" s="133"/>
      <c r="Q3089" s="2"/>
      <c r="R3089" s="156">
        <f t="shared" si="349"/>
        <v>0</v>
      </c>
      <c r="S3089" s="156">
        <f t="shared" si="350"/>
        <v>0</v>
      </c>
      <c r="T3089" s="133"/>
      <c r="U3089" s="133"/>
      <c r="V3089" s="133"/>
      <c r="W3089" s="133"/>
      <c r="X3089" s="133"/>
      <c r="Y3089" s="133"/>
      <c r="Z3089" s="133"/>
      <c r="AA3089" s="133"/>
      <c r="AB3089" s="133"/>
      <c r="AC3089" s="133"/>
      <c r="AD3089" s="133"/>
      <c r="AE3089" s="133"/>
      <c r="AF3089" s="133"/>
      <c r="AG3089" s="133"/>
      <c r="AH3089" s="133"/>
      <c r="AI3089" s="133"/>
      <c r="AJ3089" s="133"/>
      <c r="AK3089" s="133"/>
      <c r="AL3089" s="133"/>
      <c r="AM3089" s="133"/>
      <c r="AN3089" s="133"/>
      <c r="AO3089" s="133"/>
      <c r="AP3089" s="133"/>
      <c r="AQ3089" s="133"/>
      <c r="AR3089" s="133"/>
      <c r="AS3089" s="153">
        <v>0</v>
      </c>
      <c r="AT3089" s="153">
        <v>0</v>
      </c>
      <c r="AU3089" s="153">
        <v>0</v>
      </c>
      <c r="AV3089" s="135"/>
      <c r="AW3089" s="135"/>
      <c r="AX3089" s="135"/>
      <c r="AY3089" s="135"/>
      <c r="AZ3089" s="135"/>
      <c r="BA3089" s="135"/>
      <c r="BB3089" s="135"/>
      <c r="BC3089" s="135"/>
      <c r="BD3089" s="135"/>
      <c r="BE3089" s="135"/>
      <c r="BF3089" s="135"/>
      <c r="BG3089" s="135"/>
      <c r="BH3089" s="135"/>
      <c r="BI3089" s="2"/>
      <c r="BJ3089" s="136"/>
      <c r="BK3089" s="2"/>
      <c r="BL3089" s="136"/>
      <c r="BM3089" s="136"/>
      <c r="BN3089" s="2"/>
      <c r="BO3089" s="2"/>
      <c r="BP3089" s="136"/>
      <c r="BQ3089" s="137"/>
    </row>
    <row r="3090" spans="1:69" ht="12.75" customHeight="1" x14ac:dyDescent="0.2">
      <c r="A3090" s="2">
        <v>4579</v>
      </c>
      <c r="B3090" s="2"/>
      <c r="C3090" s="2"/>
      <c r="D3090" s="2"/>
      <c r="E3090" s="2"/>
      <c r="F3090" s="132">
        <v>0</v>
      </c>
      <c r="G3090" s="132"/>
      <c r="H3090" s="132">
        <f t="shared" si="346"/>
        <v>0</v>
      </c>
      <c r="I3090" s="132"/>
      <c r="J3090" s="132">
        <f t="shared" si="344"/>
        <v>0</v>
      </c>
      <c r="K3090" s="132">
        <f t="shared" si="347"/>
        <v>0</v>
      </c>
      <c r="L3090" s="132">
        <f t="shared" si="348"/>
        <v>0</v>
      </c>
      <c r="M3090" s="133"/>
      <c r="N3090" s="133">
        <f t="shared" si="345"/>
        <v>0</v>
      </c>
      <c r="O3090" s="134"/>
      <c r="P3090" s="133"/>
      <c r="Q3090" s="2"/>
      <c r="R3090" s="156">
        <f t="shared" si="349"/>
        <v>0</v>
      </c>
      <c r="S3090" s="156">
        <f t="shared" si="350"/>
        <v>0</v>
      </c>
      <c r="T3090" s="133"/>
      <c r="U3090" s="133"/>
      <c r="V3090" s="133"/>
      <c r="W3090" s="133"/>
      <c r="X3090" s="133"/>
      <c r="Y3090" s="133"/>
      <c r="Z3090" s="133"/>
      <c r="AA3090" s="133"/>
      <c r="AB3090" s="133"/>
      <c r="AC3090" s="133"/>
      <c r="AD3090" s="133"/>
      <c r="AE3090" s="133"/>
      <c r="AF3090" s="133"/>
      <c r="AG3090" s="133"/>
      <c r="AH3090" s="133"/>
      <c r="AI3090" s="133"/>
      <c r="AJ3090" s="133"/>
      <c r="AK3090" s="133"/>
      <c r="AL3090" s="133"/>
      <c r="AM3090" s="133"/>
      <c r="AN3090" s="133"/>
      <c r="AO3090" s="133"/>
      <c r="AP3090" s="133"/>
      <c r="AQ3090" s="133"/>
      <c r="AR3090" s="133"/>
      <c r="AS3090" s="153">
        <v>0</v>
      </c>
      <c r="AT3090" s="153">
        <v>0</v>
      </c>
      <c r="AU3090" s="153">
        <v>0</v>
      </c>
      <c r="AV3090" s="135"/>
      <c r="AW3090" s="135"/>
      <c r="AX3090" s="135"/>
      <c r="AY3090" s="135"/>
      <c r="AZ3090" s="135"/>
      <c r="BA3090" s="135"/>
      <c r="BB3090" s="135"/>
      <c r="BC3090" s="135"/>
      <c r="BD3090" s="135"/>
      <c r="BE3090" s="135"/>
      <c r="BF3090" s="135"/>
      <c r="BG3090" s="135"/>
      <c r="BH3090" s="135"/>
      <c r="BI3090" s="2"/>
      <c r="BJ3090" s="136"/>
      <c r="BK3090" s="2"/>
      <c r="BL3090" s="136"/>
      <c r="BM3090" s="136"/>
      <c r="BN3090" s="2"/>
      <c r="BO3090" s="2"/>
      <c r="BP3090" s="136"/>
      <c r="BQ3090" s="137"/>
    </row>
    <row r="3091" spans="1:69" ht="12.75" customHeight="1" x14ac:dyDescent="0.2">
      <c r="A3091" s="2">
        <v>4580</v>
      </c>
      <c r="B3091" s="2"/>
      <c r="C3091" s="2"/>
      <c r="D3091" s="2"/>
      <c r="E3091" s="2"/>
      <c r="F3091" s="132">
        <v>0</v>
      </c>
      <c r="G3091" s="132"/>
      <c r="H3091" s="132">
        <f t="shared" si="346"/>
        <v>0</v>
      </c>
      <c r="I3091" s="132"/>
      <c r="J3091" s="132">
        <f t="shared" si="344"/>
        <v>0</v>
      </c>
      <c r="K3091" s="132">
        <f t="shared" si="347"/>
        <v>0</v>
      </c>
      <c r="L3091" s="132">
        <f t="shared" si="348"/>
        <v>0</v>
      </c>
      <c r="M3091" s="133"/>
      <c r="N3091" s="133">
        <f t="shared" si="345"/>
        <v>0</v>
      </c>
      <c r="O3091" s="134"/>
      <c r="P3091" s="133"/>
      <c r="Q3091" s="2"/>
      <c r="R3091" s="156">
        <f t="shared" si="349"/>
        <v>0</v>
      </c>
      <c r="S3091" s="156">
        <f t="shared" si="350"/>
        <v>0</v>
      </c>
      <c r="T3091" s="133"/>
      <c r="U3091" s="133"/>
      <c r="V3091" s="133"/>
      <c r="W3091" s="133"/>
      <c r="X3091" s="133"/>
      <c r="Y3091" s="133"/>
      <c r="Z3091" s="133"/>
      <c r="AA3091" s="133"/>
      <c r="AB3091" s="133"/>
      <c r="AC3091" s="133"/>
      <c r="AD3091" s="133"/>
      <c r="AE3091" s="133"/>
      <c r="AF3091" s="133"/>
      <c r="AG3091" s="133"/>
      <c r="AH3091" s="133"/>
      <c r="AI3091" s="133"/>
      <c r="AJ3091" s="133"/>
      <c r="AK3091" s="133"/>
      <c r="AL3091" s="133"/>
      <c r="AM3091" s="133"/>
      <c r="AN3091" s="133"/>
      <c r="AO3091" s="133"/>
      <c r="AP3091" s="133"/>
      <c r="AQ3091" s="133"/>
      <c r="AR3091" s="133"/>
      <c r="AS3091" s="153">
        <v>0</v>
      </c>
      <c r="AT3091" s="153">
        <v>0</v>
      </c>
      <c r="AU3091" s="153">
        <v>0</v>
      </c>
      <c r="AV3091" s="135"/>
      <c r="AW3091" s="135"/>
      <c r="AX3091" s="135"/>
      <c r="AY3091" s="135"/>
      <c r="AZ3091" s="135"/>
      <c r="BA3091" s="135"/>
      <c r="BB3091" s="135"/>
      <c r="BC3091" s="135"/>
      <c r="BD3091" s="135"/>
      <c r="BE3091" s="135"/>
      <c r="BF3091" s="135"/>
      <c r="BG3091" s="135"/>
      <c r="BH3091" s="135"/>
      <c r="BI3091" s="2"/>
      <c r="BJ3091" s="136"/>
      <c r="BK3091" s="2"/>
      <c r="BL3091" s="136"/>
      <c r="BM3091" s="136"/>
      <c r="BN3091" s="2"/>
      <c r="BO3091" s="2"/>
      <c r="BP3091" s="136"/>
      <c r="BQ3091" s="137"/>
    </row>
    <row r="3092" spans="1:69" ht="12.75" customHeight="1" x14ac:dyDescent="0.2">
      <c r="A3092" s="2">
        <v>4581</v>
      </c>
      <c r="B3092" s="2"/>
      <c r="C3092" s="2"/>
      <c r="D3092" s="2"/>
      <c r="E3092" s="2"/>
      <c r="F3092" s="132">
        <v>0</v>
      </c>
      <c r="G3092" s="132"/>
      <c r="H3092" s="132">
        <f t="shared" si="346"/>
        <v>0</v>
      </c>
      <c r="I3092" s="132"/>
      <c r="J3092" s="132">
        <f t="shared" si="344"/>
        <v>0</v>
      </c>
      <c r="K3092" s="132">
        <f t="shared" si="347"/>
        <v>0</v>
      </c>
      <c r="L3092" s="132">
        <f t="shared" si="348"/>
        <v>0</v>
      </c>
      <c r="M3092" s="133"/>
      <c r="N3092" s="133">
        <f t="shared" si="345"/>
        <v>0</v>
      </c>
      <c r="O3092" s="134"/>
      <c r="P3092" s="133"/>
      <c r="Q3092" s="2"/>
      <c r="R3092" s="156">
        <f t="shared" si="349"/>
        <v>0</v>
      </c>
      <c r="S3092" s="156">
        <f t="shared" si="350"/>
        <v>0</v>
      </c>
      <c r="T3092" s="133"/>
      <c r="U3092" s="133"/>
      <c r="V3092" s="133"/>
      <c r="W3092" s="133"/>
      <c r="X3092" s="133"/>
      <c r="Y3092" s="133"/>
      <c r="Z3092" s="133"/>
      <c r="AA3092" s="133"/>
      <c r="AB3092" s="133"/>
      <c r="AC3092" s="133"/>
      <c r="AD3092" s="133"/>
      <c r="AE3092" s="133"/>
      <c r="AF3092" s="133"/>
      <c r="AG3092" s="133"/>
      <c r="AH3092" s="133"/>
      <c r="AI3092" s="133"/>
      <c r="AJ3092" s="133"/>
      <c r="AK3092" s="133"/>
      <c r="AL3092" s="133"/>
      <c r="AM3092" s="133"/>
      <c r="AN3092" s="133"/>
      <c r="AO3092" s="133"/>
      <c r="AP3092" s="133"/>
      <c r="AQ3092" s="133"/>
      <c r="AR3092" s="133"/>
      <c r="AS3092" s="153">
        <v>0</v>
      </c>
      <c r="AT3092" s="153">
        <v>0</v>
      </c>
      <c r="AU3092" s="153">
        <v>0</v>
      </c>
      <c r="AV3092" s="135"/>
      <c r="AW3092" s="135"/>
      <c r="AX3092" s="135"/>
      <c r="AY3092" s="135"/>
      <c r="AZ3092" s="135"/>
      <c r="BA3092" s="135"/>
      <c r="BB3092" s="135"/>
      <c r="BC3092" s="135"/>
      <c r="BD3092" s="135"/>
      <c r="BE3092" s="135"/>
      <c r="BF3092" s="135"/>
      <c r="BG3092" s="135"/>
      <c r="BH3092" s="135"/>
      <c r="BI3092" s="2"/>
      <c r="BJ3092" s="136"/>
      <c r="BK3092" s="2"/>
      <c r="BL3092" s="136"/>
      <c r="BM3092" s="136"/>
      <c r="BN3092" s="2"/>
      <c r="BO3092" s="2"/>
      <c r="BP3092" s="136"/>
      <c r="BQ3092" s="137"/>
    </row>
    <row r="3093" spans="1:69" ht="12.75" customHeight="1" x14ac:dyDescent="0.2">
      <c r="A3093" s="2">
        <v>4582</v>
      </c>
      <c r="B3093" s="2"/>
      <c r="C3093" s="2"/>
      <c r="D3093" s="2"/>
      <c r="E3093" s="2"/>
      <c r="F3093" s="132">
        <v>0</v>
      </c>
      <c r="G3093" s="132"/>
      <c r="H3093" s="132">
        <f t="shared" si="346"/>
        <v>0</v>
      </c>
      <c r="I3093" s="132"/>
      <c r="J3093" s="132">
        <f t="shared" si="344"/>
        <v>0</v>
      </c>
      <c r="K3093" s="132">
        <f t="shared" si="347"/>
        <v>0</v>
      </c>
      <c r="L3093" s="132">
        <f t="shared" si="348"/>
        <v>0</v>
      </c>
      <c r="M3093" s="133"/>
      <c r="N3093" s="133">
        <f t="shared" si="345"/>
        <v>0</v>
      </c>
      <c r="O3093" s="134"/>
      <c r="P3093" s="133"/>
      <c r="Q3093" s="2"/>
      <c r="R3093" s="156">
        <f t="shared" si="349"/>
        <v>0</v>
      </c>
      <c r="S3093" s="156">
        <f t="shared" si="350"/>
        <v>0</v>
      </c>
      <c r="T3093" s="133"/>
      <c r="U3093" s="133"/>
      <c r="V3093" s="133"/>
      <c r="W3093" s="133"/>
      <c r="X3093" s="133"/>
      <c r="Y3093" s="133"/>
      <c r="Z3093" s="133"/>
      <c r="AA3093" s="133"/>
      <c r="AB3093" s="133"/>
      <c r="AC3093" s="133"/>
      <c r="AD3093" s="133"/>
      <c r="AE3093" s="133"/>
      <c r="AF3093" s="133"/>
      <c r="AG3093" s="133"/>
      <c r="AH3093" s="133"/>
      <c r="AI3093" s="133"/>
      <c r="AJ3093" s="133"/>
      <c r="AK3093" s="133"/>
      <c r="AL3093" s="133"/>
      <c r="AM3093" s="133"/>
      <c r="AN3093" s="133"/>
      <c r="AO3093" s="133"/>
      <c r="AP3093" s="133"/>
      <c r="AQ3093" s="133"/>
      <c r="AR3093" s="133"/>
      <c r="AS3093" s="153">
        <v>0</v>
      </c>
      <c r="AT3093" s="153">
        <v>0</v>
      </c>
      <c r="AU3093" s="153">
        <v>0</v>
      </c>
      <c r="AV3093" s="135"/>
      <c r="AW3093" s="135"/>
      <c r="AX3093" s="135"/>
      <c r="AY3093" s="135"/>
      <c r="AZ3093" s="135"/>
      <c r="BA3093" s="135"/>
      <c r="BB3093" s="135"/>
      <c r="BC3093" s="135"/>
      <c r="BD3093" s="135"/>
      <c r="BE3093" s="135"/>
      <c r="BF3093" s="135"/>
      <c r="BG3093" s="135"/>
      <c r="BH3093" s="135"/>
      <c r="BI3093" s="2"/>
      <c r="BJ3093" s="136"/>
      <c r="BK3093" s="2"/>
      <c r="BL3093" s="136"/>
      <c r="BM3093" s="136"/>
      <c r="BN3093" s="2"/>
      <c r="BO3093" s="2"/>
      <c r="BP3093" s="136"/>
      <c r="BQ3093" s="137"/>
    </row>
    <row r="3094" spans="1:69" ht="12.75" customHeight="1" x14ac:dyDescent="0.2">
      <c r="A3094" s="2">
        <v>4583</v>
      </c>
      <c r="B3094" s="2"/>
      <c r="C3094" s="2"/>
      <c r="D3094" s="2"/>
      <c r="E3094" s="2"/>
      <c r="F3094" s="132">
        <v>0</v>
      </c>
      <c r="G3094" s="132"/>
      <c r="H3094" s="132">
        <f t="shared" si="346"/>
        <v>0</v>
      </c>
      <c r="I3094" s="132"/>
      <c r="J3094" s="132">
        <f t="shared" si="344"/>
        <v>0</v>
      </c>
      <c r="K3094" s="132">
        <f t="shared" si="347"/>
        <v>0</v>
      </c>
      <c r="L3094" s="132">
        <f t="shared" si="348"/>
        <v>0</v>
      </c>
      <c r="M3094" s="133"/>
      <c r="N3094" s="133">
        <f t="shared" si="345"/>
        <v>0</v>
      </c>
      <c r="O3094" s="134"/>
      <c r="P3094" s="133"/>
      <c r="Q3094" s="2"/>
      <c r="R3094" s="156">
        <f t="shared" si="349"/>
        <v>0</v>
      </c>
      <c r="S3094" s="156">
        <f t="shared" si="350"/>
        <v>0</v>
      </c>
      <c r="T3094" s="133"/>
      <c r="U3094" s="133"/>
      <c r="V3094" s="133"/>
      <c r="W3094" s="133"/>
      <c r="X3094" s="133"/>
      <c r="Y3094" s="133"/>
      <c r="Z3094" s="133"/>
      <c r="AA3094" s="133"/>
      <c r="AB3094" s="133"/>
      <c r="AC3094" s="133"/>
      <c r="AD3094" s="133"/>
      <c r="AE3094" s="133"/>
      <c r="AF3094" s="133"/>
      <c r="AG3094" s="133"/>
      <c r="AH3094" s="133"/>
      <c r="AI3094" s="133"/>
      <c r="AJ3094" s="133"/>
      <c r="AK3094" s="133"/>
      <c r="AL3094" s="133"/>
      <c r="AM3094" s="133"/>
      <c r="AN3094" s="133"/>
      <c r="AO3094" s="133"/>
      <c r="AP3094" s="133"/>
      <c r="AQ3094" s="133"/>
      <c r="AR3094" s="133"/>
      <c r="AS3094" s="153">
        <v>0</v>
      </c>
      <c r="AT3094" s="153">
        <v>0</v>
      </c>
      <c r="AU3094" s="153">
        <v>0</v>
      </c>
      <c r="AV3094" s="135"/>
      <c r="AW3094" s="135"/>
      <c r="AX3094" s="135"/>
      <c r="AY3094" s="135"/>
      <c r="AZ3094" s="135"/>
      <c r="BA3094" s="135"/>
      <c r="BB3094" s="135"/>
      <c r="BC3094" s="135"/>
      <c r="BD3094" s="135"/>
      <c r="BE3094" s="135"/>
      <c r="BF3094" s="135"/>
      <c r="BG3094" s="135"/>
      <c r="BH3094" s="135"/>
      <c r="BI3094" s="2"/>
      <c r="BJ3094" s="136"/>
      <c r="BK3094" s="2"/>
      <c r="BL3094" s="136"/>
      <c r="BM3094" s="136"/>
      <c r="BN3094" s="2"/>
      <c r="BO3094" s="2"/>
      <c r="BP3094" s="136"/>
      <c r="BQ3094" s="137"/>
    </row>
    <row r="3095" spans="1:69" ht="12.75" customHeight="1" x14ac:dyDescent="0.2">
      <c r="A3095" s="2">
        <v>4584</v>
      </c>
      <c r="B3095" s="2"/>
      <c r="C3095" s="2"/>
      <c r="D3095" s="2"/>
      <c r="E3095" s="2"/>
      <c r="F3095" s="132">
        <v>0</v>
      </c>
      <c r="G3095" s="132"/>
      <c r="H3095" s="132">
        <f t="shared" si="346"/>
        <v>0</v>
      </c>
      <c r="I3095" s="132"/>
      <c r="J3095" s="132">
        <f t="shared" si="344"/>
        <v>0</v>
      </c>
      <c r="K3095" s="132">
        <f t="shared" si="347"/>
        <v>0</v>
      </c>
      <c r="L3095" s="132">
        <f t="shared" si="348"/>
        <v>0</v>
      </c>
      <c r="M3095" s="133"/>
      <c r="N3095" s="133">
        <f t="shared" si="345"/>
        <v>0</v>
      </c>
      <c r="O3095" s="134"/>
      <c r="P3095" s="133"/>
      <c r="Q3095" s="2"/>
      <c r="R3095" s="156">
        <f t="shared" si="349"/>
        <v>0</v>
      </c>
      <c r="S3095" s="156">
        <f t="shared" si="350"/>
        <v>0</v>
      </c>
      <c r="T3095" s="133"/>
      <c r="U3095" s="133"/>
      <c r="V3095" s="133"/>
      <c r="W3095" s="133"/>
      <c r="X3095" s="133"/>
      <c r="Y3095" s="133"/>
      <c r="Z3095" s="133"/>
      <c r="AA3095" s="133"/>
      <c r="AB3095" s="133"/>
      <c r="AC3095" s="133"/>
      <c r="AD3095" s="133"/>
      <c r="AE3095" s="133"/>
      <c r="AF3095" s="133"/>
      <c r="AG3095" s="133"/>
      <c r="AH3095" s="133"/>
      <c r="AI3095" s="133"/>
      <c r="AJ3095" s="133"/>
      <c r="AK3095" s="133"/>
      <c r="AL3095" s="133"/>
      <c r="AM3095" s="133"/>
      <c r="AN3095" s="133"/>
      <c r="AO3095" s="133"/>
      <c r="AP3095" s="133"/>
      <c r="AQ3095" s="133"/>
      <c r="AR3095" s="133"/>
      <c r="AS3095" s="153">
        <v>0</v>
      </c>
      <c r="AT3095" s="153">
        <v>0</v>
      </c>
      <c r="AU3095" s="153">
        <v>0</v>
      </c>
      <c r="AV3095" s="135"/>
      <c r="AW3095" s="135"/>
      <c r="AX3095" s="135"/>
      <c r="AY3095" s="135"/>
      <c r="AZ3095" s="135"/>
      <c r="BA3095" s="135"/>
      <c r="BB3095" s="135"/>
      <c r="BC3095" s="135"/>
      <c r="BD3095" s="135"/>
      <c r="BE3095" s="135"/>
      <c r="BF3095" s="135"/>
      <c r="BG3095" s="135"/>
      <c r="BH3095" s="135"/>
      <c r="BI3095" s="2"/>
      <c r="BJ3095" s="136"/>
      <c r="BK3095" s="2"/>
      <c r="BL3095" s="136"/>
      <c r="BM3095" s="136"/>
      <c r="BN3095" s="2"/>
      <c r="BO3095" s="2"/>
      <c r="BP3095" s="136"/>
      <c r="BQ3095" s="137"/>
    </row>
    <row r="3096" spans="1:69" ht="12.75" customHeight="1" x14ac:dyDescent="0.2">
      <c r="A3096" s="2">
        <v>4585</v>
      </c>
      <c r="B3096" s="2"/>
      <c r="C3096" s="2"/>
      <c r="D3096" s="2"/>
      <c r="E3096" s="2"/>
      <c r="F3096" s="132">
        <v>0</v>
      </c>
      <c r="G3096" s="132"/>
      <c r="H3096" s="132">
        <f t="shared" si="346"/>
        <v>0</v>
      </c>
      <c r="I3096" s="132"/>
      <c r="J3096" s="132">
        <f t="shared" si="344"/>
        <v>0</v>
      </c>
      <c r="K3096" s="132">
        <f t="shared" si="347"/>
        <v>0</v>
      </c>
      <c r="L3096" s="132">
        <f t="shared" si="348"/>
        <v>0</v>
      </c>
      <c r="M3096" s="133"/>
      <c r="N3096" s="133">
        <f t="shared" si="345"/>
        <v>0</v>
      </c>
      <c r="O3096" s="134"/>
      <c r="P3096" s="133"/>
      <c r="Q3096" s="2"/>
      <c r="R3096" s="156">
        <f t="shared" si="349"/>
        <v>0</v>
      </c>
      <c r="S3096" s="156">
        <f t="shared" si="350"/>
        <v>0</v>
      </c>
      <c r="T3096" s="133"/>
      <c r="U3096" s="133"/>
      <c r="V3096" s="133"/>
      <c r="W3096" s="133"/>
      <c r="X3096" s="133"/>
      <c r="Y3096" s="133"/>
      <c r="Z3096" s="133"/>
      <c r="AA3096" s="133"/>
      <c r="AB3096" s="133"/>
      <c r="AC3096" s="133"/>
      <c r="AD3096" s="133"/>
      <c r="AE3096" s="133"/>
      <c r="AF3096" s="133"/>
      <c r="AG3096" s="133"/>
      <c r="AH3096" s="133"/>
      <c r="AI3096" s="133"/>
      <c r="AJ3096" s="133"/>
      <c r="AK3096" s="133"/>
      <c r="AL3096" s="133"/>
      <c r="AM3096" s="133"/>
      <c r="AN3096" s="133"/>
      <c r="AO3096" s="133"/>
      <c r="AP3096" s="133"/>
      <c r="AQ3096" s="133"/>
      <c r="AR3096" s="133"/>
      <c r="AS3096" s="153">
        <v>0</v>
      </c>
      <c r="AT3096" s="153">
        <v>0</v>
      </c>
      <c r="AU3096" s="153">
        <v>0</v>
      </c>
      <c r="AV3096" s="135"/>
      <c r="AW3096" s="135"/>
      <c r="AX3096" s="135"/>
      <c r="AY3096" s="135"/>
      <c r="AZ3096" s="135"/>
      <c r="BA3096" s="135"/>
      <c r="BB3096" s="135"/>
      <c r="BC3096" s="135"/>
      <c r="BD3096" s="135"/>
      <c r="BE3096" s="135"/>
      <c r="BF3096" s="135"/>
      <c r="BG3096" s="135"/>
      <c r="BH3096" s="135"/>
      <c r="BI3096" s="2"/>
      <c r="BJ3096" s="136"/>
      <c r="BK3096" s="2"/>
      <c r="BL3096" s="136"/>
      <c r="BM3096" s="136"/>
      <c r="BN3096" s="2"/>
      <c r="BO3096" s="2"/>
      <c r="BP3096" s="136"/>
      <c r="BQ3096" s="137"/>
    </row>
    <row r="3097" spans="1:69" ht="12.75" customHeight="1" x14ac:dyDescent="0.2">
      <c r="A3097" s="2">
        <v>4586</v>
      </c>
      <c r="B3097" s="2"/>
      <c r="C3097" s="2"/>
      <c r="D3097" s="2"/>
      <c r="E3097" s="2"/>
      <c r="F3097" s="132">
        <v>0</v>
      </c>
      <c r="G3097" s="132"/>
      <c r="H3097" s="132">
        <f t="shared" si="346"/>
        <v>0</v>
      </c>
      <c r="I3097" s="132"/>
      <c r="J3097" s="132">
        <f t="shared" si="344"/>
        <v>0</v>
      </c>
      <c r="K3097" s="132">
        <f t="shared" si="347"/>
        <v>0</v>
      </c>
      <c r="L3097" s="132">
        <f t="shared" si="348"/>
        <v>0</v>
      </c>
      <c r="M3097" s="133"/>
      <c r="N3097" s="133">
        <f t="shared" si="345"/>
        <v>0</v>
      </c>
      <c r="O3097" s="134"/>
      <c r="P3097" s="133"/>
      <c r="Q3097" s="2"/>
      <c r="R3097" s="156">
        <f t="shared" si="349"/>
        <v>0</v>
      </c>
      <c r="S3097" s="156">
        <f t="shared" si="350"/>
        <v>0</v>
      </c>
      <c r="T3097" s="133"/>
      <c r="U3097" s="133"/>
      <c r="V3097" s="133"/>
      <c r="W3097" s="133"/>
      <c r="X3097" s="133"/>
      <c r="Y3097" s="133"/>
      <c r="Z3097" s="133"/>
      <c r="AA3097" s="133"/>
      <c r="AB3097" s="133"/>
      <c r="AC3097" s="133"/>
      <c r="AD3097" s="133"/>
      <c r="AE3097" s="133"/>
      <c r="AF3097" s="133"/>
      <c r="AG3097" s="133"/>
      <c r="AH3097" s="133"/>
      <c r="AI3097" s="133"/>
      <c r="AJ3097" s="133"/>
      <c r="AK3097" s="133"/>
      <c r="AL3097" s="133"/>
      <c r="AM3097" s="133"/>
      <c r="AN3097" s="133"/>
      <c r="AO3097" s="133"/>
      <c r="AP3097" s="133"/>
      <c r="AQ3097" s="133"/>
      <c r="AR3097" s="133"/>
      <c r="AS3097" s="153">
        <v>0</v>
      </c>
      <c r="AT3097" s="153">
        <v>0</v>
      </c>
      <c r="AU3097" s="153">
        <v>0</v>
      </c>
      <c r="AV3097" s="135"/>
      <c r="AW3097" s="135"/>
      <c r="AX3097" s="135"/>
      <c r="AY3097" s="135"/>
      <c r="AZ3097" s="135"/>
      <c r="BA3097" s="135"/>
      <c r="BB3097" s="135"/>
      <c r="BC3097" s="135"/>
      <c r="BD3097" s="135"/>
      <c r="BE3097" s="135"/>
      <c r="BF3097" s="135"/>
      <c r="BG3097" s="135"/>
      <c r="BH3097" s="135"/>
      <c r="BI3097" s="2"/>
      <c r="BJ3097" s="136"/>
      <c r="BK3097" s="2"/>
      <c r="BL3097" s="136"/>
      <c r="BM3097" s="136"/>
      <c r="BN3097" s="2"/>
      <c r="BO3097" s="2"/>
      <c r="BP3097" s="136"/>
      <c r="BQ3097" s="137"/>
    </row>
    <row r="3098" spans="1:69" ht="12.75" customHeight="1" x14ac:dyDescent="0.2">
      <c r="A3098" s="2">
        <v>4587</v>
      </c>
      <c r="B3098" s="2"/>
      <c r="C3098" s="2"/>
      <c r="D3098" s="2"/>
      <c r="E3098" s="2"/>
      <c r="F3098" s="132">
        <v>0</v>
      </c>
      <c r="G3098" s="132"/>
      <c r="H3098" s="132">
        <f t="shared" si="346"/>
        <v>0</v>
      </c>
      <c r="I3098" s="132"/>
      <c r="J3098" s="132">
        <f t="shared" si="344"/>
        <v>0</v>
      </c>
      <c r="K3098" s="132">
        <f t="shared" si="347"/>
        <v>0</v>
      </c>
      <c r="L3098" s="132">
        <f t="shared" si="348"/>
        <v>0</v>
      </c>
      <c r="M3098" s="133"/>
      <c r="N3098" s="133">
        <f t="shared" si="345"/>
        <v>0</v>
      </c>
      <c r="O3098" s="134"/>
      <c r="P3098" s="133"/>
      <c r="Q3098" s="2"/>
      <c r="R3098" s="156">
        <f t="shared" si="349"/>
        <v>0</v>
      </c>
      <c r="S3098" s="156">
        <f t="shared" si="350"/>
        <v>0</v>
      </c>
      <c r="T3098" s="133"/>
      <c r="U3098" s="133"/>
      <c r="V3098" s="133"/>
      <c r="W3098" s="133"/>
      <c r="X3098" s="133"/>
      <c r="Y3098" s="133"/>
      <c r="Z3098" s="133"/>
      <c r="AA3098" s="133"/>
      <c r="AB3098" s="133"/>
      <c r="AC3098" s="133"/>
      <c r="AD3098" s="133"/>
      <c r="AE3098" s="133"/>
      <c r="AF3098" s="133"/>
      <c r="AG3098" s="133"/>
      <c r="AH3098" s="133"/>
      <c r="AI3098" s="133"/>
      <c r="AJ3098" s="133"/>
      <c r="AK3098" s="133"/>
      <c r="AL3098" s="133"/>
      <c r="AM3098" s="133"/>
      <c r="AN3098" s="133"/>
      <c r="AO3098" s="133"/>
      <c r="AP3098" s="133"/>
      <c r="AQ3098" s="133"/>
      <c r="AR3098" s="133"/>
      <c r="AS3098" s="153">
        <v>0</v>
      </c>
      <c r="AT3098" s="153">
        <v>0</v>
      </c>
      <c r="AU3098" s="153">
        <v>0</v>
      </c>
      <c r="AV3098" s="135"/>
      <c r="AW3098" s="135"/>
      <c r="AX3098" s="135"/>
      <c r="AY3098" s="135"/>
      <c r="AZ3098" s="135"/>
      <c r="BA3098" s="135"/>
      <c r="BB3098" s="135"/>
      <c r="BC3098" s="135"/>
      <c r="BD3098" s="135"/>
      <c r="BE3098" s="135"/>
      <c r="BF3098" s="135"/>
      <c r="BG3098" s="135"/>
      <c r="BH3098" s="135"/>
      <c r="BI3098" s="2"/>
      <c r="BJ3098" s="136"/>
      <c r="BK3098" s="2"/>
      <c r="BL3098" s="136"/>
      <c r="BM3098" s="136"/>
      <c r="BN3098" s="2"/>
      <c r="BO3098" s="2"/>
      <c r="BP3098" s="136"/>
      <c r="BQ3098" s="137"/>
    </row>
    <row r="3099" spans="1:69" ht="12.75" customHeight="1" x14ac:dyDescent="0.2">
      <c r="A3099" s="2">
        <v>4588</v>
      </c>
      <c r="B3099" s="2"/>
      <c r="C3099" s="2"/>
      <c r="D3099" s="2"/>
      <c r="E3099" s="2"/>
      <c r="F3099" s="132">
        <v>0</v>
      </c>
      <c r="G3099" s="132"/>
      <c r="H3099" s="132">
        <f t="shared" si="346"/>
        <v>0</v>
      </c>
      <c r="I3099" s="132"/>
      <c r="J3099" s="132">
        <f t="shared" si="344"/>
        <v>0</v>
      </c>
      <c r="K3099" s="132">
        <f t="shared" si="347"/>
        <v>0</v>
      </c>
      <c r="L3099" s="132">
        <f t="shared" si="348"/>
        <v>0</v>
      </c>
      <c r="M3099" s="133"/>
      <c r="N3099" s="133">
        <f t="shared" si="345"/>
        <v>0</v>
      </c>
      <c r="O3099" s="134"/>
      <c r="P3099" s="133"/>
      <c r="Q3099" s="2"/>
      <c r="R3099" s="156">
        <f t="shared" si="349"/>
        <v>0</v>
      </c>
      <c r="S3099" s="156">
        <f t="shared" si="350"/>
        <v>0</v>
      </c>
      <c r="T3099" s="133"/>
      <c r="U3099" s="133"/>
      <c r="V3099" s="133"/>
      <c r="W3099" s="133"/>
      <c r="X3099" s="133"/>
      <c r="Y3099" s="133"/>
      <c r="Z3099" s="133"/>
      <c r="AA3099" s="133"/>
      <c r="AB3099" s="133"/>
      <c r="AC3099" s="133"/>
      <c r="AD3099" s="133"/>
      <c r="AE3099" s="133"/>
      <c r="AF3099" s="133"/>
      <c r="AG3099" s="133"/>
      <c r="AH3099" s="133"/>
      <c r="AI3099" s="133"/>
      <c r="AJ3099" s="133"/>
      <c r="AK3099" s="133"/>
      <c r="AL3099" s="133"/>
      <c r="AM3099" s="133"/>
      <c r="AN3099" s="133"/>
      <c r="AO3099" s="133"/>
      <c r="AP3099" s="133"/>
      <c r="AQ3099" s="133"/>
      <c r="AR3099" s="133"/>
      <c r="AS3099" s="153">
        <v>0</v>
      </c>
      <c r="AT3099" s="153">
        <v>0</v>
      </c>
      <c r="AU3099" s="153">
        <v>0</v>
      </c>
      <c r="AV3099" s="135"/>
      <c r="AW3099" s="135"/>
      <c r="AX3099" s="135"/>
      <c r="AY3099" s="135"/>
      <c r="AZ3099" s="135"/>
      <c r="BA3099" s="135"/>
      <c r="BB3099" s="135"/>
      <c r="BC3099" s="135"/>
      <c r="BD3099" s="135"/>
      <c r="BE3099" s="135"/>
      <c r="BF3099" s="135"/>
      <c r="BG3099" s="135"/>
      <c r="BH3099" s="135"/>
      <c r="BI3099" s="2"/>
      <c r="BJ3099" s="136"/>
      <c r="BK3099" s="2"/>
      <c r="BL3099" s="136"/>
      <c r="BM3099" s="136"/>
      <c r="BN3099" s="2"/>
      <c r="BO3099" s="2"/>
      <c r="BP3099" s="136"/>
      <c r="BQ3099" s="137"/>
    </row>
    <row r="3100" spans="1:69" ht="12.75" customHeight="1" x14ac:dyDescent="0.2">
      <c r="A3100" s="2">
        <v>4589</v>
      </c>
      <c r="B3100" s="2"/>
      <c r="C3100" s="2"/>
      <c r="D3100" s="2"/>
      <c r="E3100" s="2"/>
      <c r="F3100" s="132">
        <v>0</v>
      </c>
      <c r="G3100" s="132"/>
      <c r="H3100" s="132">
        <f t="shared" si="346"/>
        <v>0</v>
      </c>
      <c r="I3100" s="132"/>
      <c r="J3100" s="132">
        <f t="shared" si="344"/>
        <v>0</v>
      </c>
      <c r="K3100" s="132">
        <f t="shared" si="347"/>
        <v>0</v>
      </c>
      <c r="L3100" s="132">
        <f t="shared" si="348"/>
        <v>0</v>
      </c>
      <c r="M3100" s="133"/>
      <c r="N3100" s="133">
        <f t="shared" si="345"/>
        <v>0</v>
      </c>
      <c r="O3100" s="134"/>
      <c r="P3100" s="133"/>
      <c r="Q3100" s="2"/>
      <c r="R3100" s="156">
        <f t="shared" si="349"/>
        <v>0</v>
      </c>
      <c r="S3100" s="156">
        <f t="shared" si="350"/>
        <v>0</v>
      </c>
      <c r="T3100" s="133"/>
      <c r="U3100" s="133"/>
      <c r="V3100" s="133"/>
      <c r="W3100" s="133"/>
      <c r="X3100" s="133"/>
      <c r="Y3100" s="133"/>
      <c r="Z3100" s="133"/>
      <c r="AA3100" s="133"/>
      <c r="AB3100" s="133"/>
      <c r="AC3100" s="133"/>
      <c r="AD3100" s="133"/>
      <c r="AE3100" s="133"/>
      <c r="AF3100" s="133"/>
      <c r="AG3100" s="133"/>
      <c r="AH3100" s="133"/>
      <c r="AI3100" s="133"/>
      <c r="AJ3100" s="133"/>
      <c r="AK3100" s="133"/>
      <c r="AL3100" s="133"/>
      <c r="AM3100" s="133"/>
      <c r="AN3100" s="133"/>
      <c r="AO3100" s="133"/>
      <c r="AP3100" s="133"/>
      <c r="AQ3100" s="133"/>
      <c r="AR3100" s="133"/>
      <c r="AS3100" s="153">
        <v>0</v>
      </c>
      <c r="AT3100" s="153">
        <v>0</v>
      </c>
      <c r="AU3100" s="153">
        <v>0</v>
      </c>
      <c r="AV3100" s="135"/>
      <c r="AW3100" s="135"/>
      <c r="AX3100" s="135"/>
      <c r="AY3100" s="135"/>
      <c r="AZ3100" s="135"/>
      <c r="BA3100" s="135"/>
      <c r="BB3100" s="135"/>
      <c r="BC3100" s="135"/>
      <c r="BD3100" s="135"/>
      <c r="BE3100" s="135"/>
      <c r="BF3100" s="135"/>
      <c r="BG3100" s="135"/>
      <c r="BH3100" s="135"/>
      <c r="BI3100" s="2"/>
      <c r="BJ3100" s="136"/>
      <c r="BK3100" s="2"/>
      <c r="BL3100" s="136"/>
      <c r="BM3100" s="136"/>
      <c r="BN3100" s="2"/>
      <c r="BO3100" s="2"/>
      <c r="BP3100" s="136"/>
      <c r="BQ3100" s="137"/>
    </row>
    <row r="3101" spans="1:69" ht="12.75" customHeight="1" x14ac:dyDescent="0.2">
      <c r="A3101" s="2">
        <v>4590</v>
      </c>
      <c r="B3101" s="2"/>
      <c r="C3101" s="2"/>
      <c r="D3101" s="2"/>
      <c r="E3101" s="2"/>
      <c r="F3101" s="132">
        <v>0</v>
      </c>
      <c r="G3101" s="132"/>
      <c r="H3101" s="132">
        <f t="shared" si="346"/>
        <v>0</v>
      </c>
      <c r="I3101" s="132"/>
      <c r="J3101" s="132">
        <f t="shared" si="344"/>
        <v>0</v>
      </c>
      <c r="K3101" s="132">
        <f t="shared" si="347"/>
        <v>0</v>
      </c>
      <c r="L3101" s="132">
        <f t="shared" si="348"/>
        <v>0</v>
      </c>
      <c r="M3101" s="133"/>
      <c r="N3101" s="133">
        <f t="shared" si="345"/>
        <v>0</v>
      </c>
      <c r="O3101" s="134"/>
      <c r="P3101" s="133"/>
      <c r="Q3101" s="2"/>
      <c r="R3101" s="156">
        <f t="shared" si="349"/>
        <v>0</v>
      </c>
      <c r="S3101" s="156">
        <f t="shared" si="350"/>
        <v>0</v>
      </c>
      <c r="T3101" s="133"/>
      <c r="U3101" s="133"/>
      <c r="V3101" s="133"/>
      <c r="W3101" s="133"/>
      <c r="X3101" s="133"/>
      <c r="Y3101" s="133"/>
      <c r="Z3101" s="133"/>
      <c r="AA3101" s="133"/>
      <c r="AB3101" s="133"/>
      <c r="AC3101" s="133"/>
      <c r="AD3101" s="133"/>
      <c r="AE3101" s="133"/>
      <c r="AF3101" s="133"/>
      <c r="AG3101" s="133"/>
      <c r="AH3101" s="133"/>
      <c r="AI3101" s="133"/>
      <c r="AJ3101" s="133"/>
      <c r="AK3101" s="133"/>
      <c r="AL3101" s="133"/>
      <c r="AM3101" s="133"/>
      <c r="AN3101" s="133"/>
      <c r="AO3101" s="133"/>
      <c r="AP3101" s="133"/>
      <c r="AQ3101" s="133"/>
      <c r="AR3101" s="133"/>
      <c r="AS3101" s="153">
        <v>0</v>
      </c>
      <c r="AT3101" s="153">
        <v>0</v>
      </c>
      <c r="AU3101" s="153">
        <v>0</v>
      </c>
      <c r="AV3101" s="135"/>
      <c r="AW3101" s="135"/>
      <c r="AX3101" s="135"/>
      <c r="AY3101" s="135"/>
      <c r="AZ3101" s="135"/>
      <c r="BA3101" s="135"/>
      <c r="BB3101" s="135"/>
      <c r="BC3101" s="135"/>
      <c r="BD3101" s="135"/>
      <c r="BE3101" s="135"/>
      <c r="BF3101" s="135"/>
      <c r="BG3101" s="135"/>
      <c r="BH3101" s="135"/>
      <c r="BI3101" s="2"/>
      <c r="BJ3101" s="136"/>
      <c r="BK3101" s="2"/>
      <c r="BL3101" s="136"/>
      <c r="BM3101" s="136"/>
      <c r="BN3101" s="2"/>
      <c r="BO3101" s="2"/>
      <c r="BP3101" s="136"/>
      <c r="BQ3101" s="137"/>
    </row>
    <row r="3102" spans="1:69" ht="12.75" customHeight="1" x14ac:dyDescent="0.2">
      <c r="A3102" s="2">
        <v>4591</v>
      </c>
      <c r="B3102" s="2"/>
      <c r="C3102" s="2"/>
      <c r="D3102" s="2"/>
      <c r="E3102" s="2"/>
      <c r="F3102" s="132">
        <v>0</v>
      </c>
      <c r="G3102" s="132"/>
      <c r="H3102" s="132">
        <f t="shared" si="346"/>
        <v>0</v>
      </c>
      <c r="I3102" s="132"/>
      <c r="J3102" s="132">
        <f t="shared" si="344"/>
        <v>0</v>
      </c>
      <c r="K3102" s="132">
        <f t="shared" si="347"/>
        <v>0</v>
      </c>
      <c r="L3102" s="132">
        <f t="shared" si="348"/>
        <v>0</v>
      </c>
      <c r="M3102" s="133"/>
      <c r="N3102" s="133">
        <f t="shared" si="345"/>
        <v>0</v>
      </c>
      <c r="O3102" s="134"/>
      <c r="P3102" s="133"/>
      <c r="Q3102" s="2"/>
      <c r="R3102" s="156">
        <f t="shared" si="349"/>
        <v>0</v>
      </c>
      <c r="S3102" s="156">
        <f t="shared" si="350"/>
        <v>0</v>
      </c>
      <c r="T3102" s="133"/>
      <c r="U3102" s="133"/>
      <c r="V3102" s="133"/>
      <c r="W3102" s="133"/>
      <c r="X3102" s="133"/>
      <c r="Y3102" s="133"/>
      <c r="Z3102" s="133"/>
      <c r="AA3102" s="133"/>
      <c r="AB3102" s="133"/>
      <c r="AC3102" s="133"/>
      <c r="AD3102" s="133"/>
      <c r="AE3102" s="133"/>
      <c r="AF3102" s="133"/>
      <c r="AG3102" s="133"/>
      <c r="AH3102" s="133"/>
      <c r="AI3102" s="133"/>
      <c r="AJ3102" s="133"/>
      <c r="AK3102" s="133"/>
      <c r="AL3102" s="133"/>
      <c r="AM3102" s="133"/>
      <c r="AN3102" s="133"/>
      <c r="AO3102" s="133"/>
      <c r="AP3102" s="133"/>
      <c r="AQ3102" s="133"/>
      <c r="AR3102" s="133"/>
      <c r="AS3102" s="153">
        <v>0</v>
      </c>
      <c r="AT3102" s="153">
        <v>0</v>
      </c>
      <c r="AU3102" s="153">
        <v>0</v>
      </c>
      <c r="AV3102" s="135"/>
      <c r="AW3102" s="135"/>
      <c r="AX3102" s="135"/>
      <c r="AY3102" s="135"/>
      <c r="AZ3102" s="135"/>
      <c r="BA3102" s="135"/>
      <c r="BB3102" s="135"/>
      <c r="BC3102" s="135"/>
      <c r="BD3102" s="135"/>
      <c r="BE3102" s="135"/>
      <c r="BF3102" s="135"/>
      <c r="BG3102" s="135"/>
      <c r="BH3102" s="135"/>
      <c r="BI3102" s="2"/>
      <c r="BJ3102" s="136"/>
      <c r="BK3102" s="2"/>
      <c r="BL3102" s="136"/>
      <c r="BM3102" s="136"/>
      <c r="BN3102" s="2"/>
      <c r="BO3102" s="2"/>
      <c r="BP3102" s="136"/>
      <c r="BQ3102" s="137"/>
    </row>
    <row r="3103" spans="1:69" ht="12.75" customHeight="1" x14ac:dyDescent="0.2">
      <c r="A3103" s="2">
        <v>4592</v>
      </c>
      <c r="B3103" s="2"/>
      <c r="C3103" s="2"/>
      <c r="D3103" s="2"/>
      <c r="E3103" s="2"/>
      <c r="F3103" s="132">
        <v>0</v>
      </c>
      <c r="G3103" s="132"/>
      <c r="H3103" s="132">
        <f t="shared" si="346"/>
        <v>0</v>
      </c>
      <c r="I3103" s="132"/>
      <c r="J3103" s="132">
        <f t="shared" si="344"/>
        <v>0</v>
      </c>
      <c r="K3103" s="132">
        <f t="shared" si="347"/>
        <v>0</v>
      </c>
      <c r="L3103" s="132">
        <f t="shared" si="348"/>
        <v>0</v>
      </c>
      <c r="M3103" s="133"/>
      <c r="N3103" s="133">
        <f t="shared" si="345"/>
        <v>0</v>
      </c>
      <c r="O3103" s="134"/>
      <c r="P3103" s="133"/>
      <c r="Q3103" s="2"/>
      <c r="R3103" s="156">
        <f t="shared" si="349"/>
        <v>0</v>
      </c>
      <c r="S3103" s="156">
        <f t="shared" si="350"/>
        <v>0</v>
      </c>
      <c r="T3103" s="133"/>
      <c r="U3103" s="133"/>
      <c r="V3103" s="133"/>
      <c r="W3103" s="133"/>
      <c r="X3103" s="133"/>
      <c r="Y3103" s="133"/>
      <c r="Z3103" s="133"/>
      <c r="AA3103" s="133"/>
      <c r="AB3103" s="133"/>
      <c r="AC3103" s="133"/>
      <c r="AD3103" s="133"/>
      <c r="AE3103" s="133"/>
      <c r="AF3103" s="133"/>
      <c r="AG3103" s="133"/>
      <c r="AH3103" s="133"/>
      <c r="AI3103" s="133"/>
      <c r="AJ3103" s="133"/>
      <c r="AK3103" s="133"/>
      <c r="AL3103" s="133"/>
      <c r="AM3103" s="133"/>
      <c r="AN3103" s="133"/>
      <c r="AO3103" s="133"/>
      <c r="AP3103" s="133"/>
      <c r="AQ3103" s="133"/>
      <c r="AR3103" s="133"/>
      <c r="AS3103" s="153">
        <v>0</v>
      </c>
      <c r="AT3103" s="153">
        <v>0</v>
      </c>
      <c r="AU3103" s="153">
        <v>0</v>
      </c>
      <c r="AV3103" s="135"/>
      <c r="AW3103" s="135"/>
      <c r="AX3103" s="135"/>
      <c r="AY3103" s="135"/>
      <c r="AZ3103" s="135"/>
      <c r="BA3103" s="135"/>
      <c r="BB3103" s="135"/>
      <c r="BC3103" s="135"/>
      <c r="BD3103" s="135"/>
      <c r="BE3103" s="135"/>
      <c r="BF3103" s="135"/>
      <c r="BG3103" s="135"/>
      <c r="BH3103" s="135"/>
      <c r="BI3103" s="2"/>
      <c r="BJ3103" s="136"/>
      <c r="BK3103" s="2"/>
      <c r="BL3103" s="136"/>
      <c r="BM3103" s="136"/>
      <c r="BN3103" s="2"/>
      <c r="BO3103" s="2"/>
      <c r="BP3103" s="136"/>
      <c r="BQ3103" s="137"/>
    </row>
    <row r="3104" spans="1:69" ht="12.75" customHeight="1" x14ac:dyDescent="0.2">
      <c r="A3104" s="2">
        <v>4593</v>
      </c>
      <c r="B3104" s="2"/>
      <c r="C3104" s="2"/>
      <c r="D3104" s="2"/>
      <c r="E3104" s="2"/>
      <c r="F3104" s="132">
        <v>0</v>
      </c>
      <c r="G3104" s="132"/>
      <c r="H3104" s="132">
        <f t="shared" si="346"/>
        <v>0</v>
      </c>
      <c r="I3104" s="132"/>
      <c r="J3104" s="132">
        <f t="shared" si="344"/>
        <v>0</v>
      </c>
      <c r="K3104" s="132">
        <f t="shared" si="347"/>
        <v>0</v>
      </c>
      <c r="L3104" s="132">
        <f t="shared" si="348"/>
        <v>0</v>
      </c>
      <c r="M3104" s="133"/>
      <c r="N3104" s="133">
        <f t="shared" si="345"/>
        <v>0</v>
      </c>
      <c r="O3104" s="134"/>
      <c r="P3104" s="133"/>
      <c r="Q3104" s="2"/>
      <c r="R3104" s="156">
        <f t="shared" si="349"/>
        <v>0</v>
      </c>
      <c r="S3104" s="156">
        <f t="shared" si="350"/>
        <v>0</v>
      </c>
      <c r="T3104" s="133"/>
      <c r="U3104" s="133"/>
      <c r="V3104" s="133"/>
      <c r="W3104" s="133"/>
      <c r="X3104" s="133"/>
      <c r="Y3104" s="133"/>
      <c r="Z3104" s="133"/>
      <c r="AA3104" s="133"/>
      <c r="AB3104" s="133"/>
      <c r="AC3104" s="133"/>
      <c r="AD3104" s="133"/>
      <c r="AE3104" s="133"/>
      <c r="AF3104" s="133"/>
      <c r="AG3104" s="133"/>
      <c r="AH3104" s="133"/>
      <c r="AI3104" s="133"/>
      <c r="AJ3104" s="133"/>
      <c r="AK3104" s="133"/>
      <c r="AL3104" s="133"/>
      <c r="AM3104" s="133"/>
      <c r="AN3104" s="133"/>
      <c r="AO3104" s="133"/>
      <c r="AP3104" s="133"/>
      <c r="AQ3104" s="133"/>
      <c r="AR3104" s="133"/>
      <c r="AS3104" s="153">
        <v>0</v>
      </c>
      <c r="AT3104" s="153">
        <v>0</v>
      </c>
      <c r="AU3104" s="153">
        <v>0</v>
      </c>
      <c r="AV3104" s="135"/>
      <c r="AW3104" s="135"/>
      <c r="AX3104" s="135"/>
      <c r="AY3104" s="135"/>
      <c r="AZ3104" s="135"/>
      <c r="BA3104" s="135"/>
      <c r="BB3104" s="135"/>
      <c r="BC3104" s="135"/>
      <c r="BD3104" s="135"/>
      <c r="BE3104" s="135"/>
      <c r="BF3104" s="135"/>
      <c r="BG3104" s="135"/>
      <c r="BH3104" s="135"/>
      <c r="BI3104" s="2"/>
      <c r="BJ3104" s="136"/>
      <c r="BK3104" s="2"/>
      <c r="BL3104" s="136"/>
      <c r="BM3104" s="136"/>
      <c r="BN3104" s="2"/>
      <c r="BO3104" s="2"/>
      <c r="BP3104" s="136"/>
      <c r="BQ3104" s="137"/>
    </row>
    <row r="3105" spans="1:69" ht="12.75" customHeight="1" x14ac:dyDescent="0.2">
      <c r="A3105" s="2">
        <v>4594</v>
      </c>
      <c r="B3105" s="2"/>
      <c r="C3105" s="2"/>
      <c r="D3105" s="2"/>
      <c r="E3105" s="2"/>
      <c r="F3105" s="132">
        <v>0</v>
      </c>
      <c r="G3105" s="132"/>
      <c r="H3105" s="132">
        <f t="shared" si="346"/>
        <v>0</v>
      </c>
      <c r="I3105" s="132"/>
      <c r="J3105" s="132">
        <f t="shared" si="344"/>
        <v>0</v>
      </c>
      <c r="K3105" s="132">
        <f t="shared" si="347"/>
        <v>0</v>
      </c>
      <c r="L3105" s="132">
        <f t="shared" si="348"/>
        <v>0</v>
      </c>
      <c r="M3105" s="133"/>
      <c r="N3105" s="133">
        <f t="shared" si="345"/>
        <v>0</v>
      </c>
      <c r="O3105" s="134"/>
      <c r="P3105" s="133"/>
      <c r="Q3105" s="2"/>
      <c r="R3105" s="156">
        <f t="shared" si="349"/>
        <v>0</v>
      </c>
      <c r="S3105" s="156">
        <f t="shared" si="350"/>
        <v>0</v>
      </c>
      <c r="T3105" s="133"/>
      <c r="U3105" s="133"/>
      <c r="V3105" s="133"/>
      <c r="W3105" s="133"/>
      <c r="X3105" s="133"/>
      <c r="Y3105" s="133"/>
      <c r="Z3105" s="133"/>
      <c r="AA3105" s="133"/>
      <c r="AB3105" s="133"/>
      <c r="AC3105" s="133"/>
      <c r="AD3105" s="133"/>
      <c r="AE3105" s="133"/>
      <c r="AF3105" s="133"/>
      <c r="AG3105" s="133"/>
      <c r="AH3105" s="133"/>
      <c r="AI3105" s="133"/>
      <c r="AJ3105" s="133"/>
      <c r="AK3105" s="133"/>
      <c r="AL3105" s="133"/>
      <c r="AM3105" s="133"/>
      <c r="AN3105" s="133"/>
      <c r="AO3105" s="133"/>
      <c r="AP3105" s="133"/>
      <c r="AQ3105" s="133"/>
      <c r="AR3105" s="133"/>
      <c r="AS3105" s="153">
        <v>0</v>
      </c>
      <c r="AT3105" s="153">
        <v>0</v>
      </c>
      <c r="AU3105" s="153">
        <v>0</v>
      </c>
      <c r="AV3105" s="135"/>
      <c r="AW3105" s="135"/>
      <c r="AX3105" s="135"/>
      <c r="AY3105" s="135"/>
      <c r="AZ3105" s="135"/>
      <c r="BA3105" s="135"/>
      <c r="BB3105" s="135"/>
      <c r="BC3105" s="135"/>
      <c r="BD3105" s="135"/>
      <c r="BE3105" s="135"/>
      <c r="BF3105" s="135"/>
      <c r="BG3105" s="135"/>
      <c r="BH3105" s="135"/>
      <c r="BI3105" s="2"/>
      <c r="BJ3105" s="136"/>
      <c r="BK3105" s="2"/>
      <c r="BL3105" s="136"/>
      <c r="BM3105" s="136"/>
      <c r="BN3105" s="2"/>
      <c r="BO3105" s="2"/>
      <c r="BP3105" s="136"/>
      <c r="BQ3105" s="137"/>
    </row>
    <row r="3106" spans="1:69" ht="12.75" customHeight="1" x14ac:dyDescent="0.2">
      <c r="A3106" s="2">
        <v>4595</v>
      </c>
      <c r="B3106" s="2"/>
      <c r="C3106" s="2"/>
      <c r="D3106" s="2"/>
      <c r="E3106" s="2"/>
      <c r="F3106" s="132">
        <v>0</v>
      </c>
      <c r="G3106" s="132"/>
      <c r="H3106" s="132">
        <f t="shared" si="346"/>
        <v>0</v>
      </c>
      <c r="I3106" s="132"/>
      <c r="J3106" s="132">
        <f t="shared" si="344"/>
        <v>0</v>
      </c>
      <c r="K3106" s="132">
        <f t="shared" si="347"/>
        <v>0</v>
      </c>
      <c r="L3106" s="132">
        <f t="shared" si="348"/>
        <v>0</v>
      </c>
      <c r="M3106" s="133"/>
      <c r="N3106" s="133">
        <f t="shared" si="345"/>
        <v>0</v>
      </c>
      <c r="O3106" s="134"/>
      <c r="P3106" s="133"/>
      <c r="Q3106" s="2"/>
      <c r="R3106" s="156">
        <f t="shared" si="349"/>
        <v>0</v>
      </c>
      <c r="S3106" s="156">
        <f t="shared" si="350"/>
        <v>0</v>
      </c>
      <c r="T3106" s="133"/>
      <c r="U3106" s="133"/>
      <c r="V3106" s="133"/>
      <c r="W3106" s="133"/>
      <c r="X3106" s="133"/>
      <c r="Y3106" s="133"/>
      <c r="Z3106" s="133"/>
      <c r="AA3106" s="133"/>
      <c r="AB3106" s="133"/>
      <c r="AC3106" s="133"/>
      <c r="AD3106" s="133"/>
      <c r="AE3106" s="133"/>
      <c r="AF3106" s="133"/>
      <c r="AG3106" s="133"/>
      <c r="AH3106" s="133"/>
      <c r="AI3106" s="133"/>
      <c r="AJ3106" s="133"/>
      <c r="AK3106" s="133"/>
      <c r="AL3106" s="133"/>
      <c r="AM3106" s="133"/>
      <c r="AN3106" s="133"/>
      <c r="AO3106" s="133"/>
      <c r="AP3106" s="133"/>
      <c r="AQ3106" s="133"/>
      <c r="AR3106" s="133"/>
      <c r="AS3106" s="153">
        <v>0</v>
      </c>
      <c r="AT3106" s="153">
        <v>0</v>
      </c>
      <c r="AU3106" s="153">
        <v>0</v>
      </c>
      <c r="AV3106" s="135"/>
      <c r="AW3106" s="135"/>
      <c r="AX3106" s="135"/>
      <c r="AY3106" s="135"/>
      <c r="AZ3106" s="135"/>
      <c r="BA3106" s="135"/>
      <c r="BB3106" s="135"/>
      <c r="BC3106" s="135"/>
      <c r="BD3106" s="135"/>
      <c r="BE3106" s="135"/>
      <c r="BF3106" s="135"/>
      <c r="BG3106" s="135"/>
      <c r="BH3106" s="135"/>
      <c r="BI3106" s="2"/>
      <c r="BJ3106" s="136"/>
      <c r="BK3106" s="2"/>
      <c r="BL3106" s="136"/>
      <c r="BM3106" s="136"/>
      <c r="BN3106" s="2"/>
      <c r="BO3106" s="2"/>
      <c r="BP3106" s="136"/>
      <c r="BQ3106" s="137"/>
    </row>
    <row r="3107" spans="1:69" ht="12.75" customHeight="1" x14ac:dyDescent="0.2">
      <c r="A3107" s="2">
        <v>4596</v>
      </c>
      <c r="B3107" s="2"/>
      <c r="C3107" s="2"/>
      <c r="D3107" s="2"/>
      <c r="E3107" s="2"/>
      <c r="F3107" s="132">
        <v>0</v>
      </c>
      <c r="G3107" s="132"/>
      <c r="H3107" s="132">
        <f t="shared" si="346"/>
        <v>0</v>
      </c>
      <c r="I3107" s="132"/>
      <c r="J3107" s="132">
        <f t="shared" si="344"/>
        <v>0</v>
      </c>
      <c r="K3107" s="132">
        <f t="shared" si="347"/>
        <v>0</v>
      </c>
      <c r="L3107" s="132">
        <f t="shared" si="348"/>
        <v>0</v>
      </c>
      <c r="M3107" s="133"/>
      <c r="N3107" s="133">
        <f t="shared" si="345"/>
        <v>0</v>
      </c>
      <c r="O3107" s="134"/>
      <c r="P3107" s="133"/>
      <c r="Q3107" s="2"/>
      <c r="R3107" s="156">
        <f t="shared" si="349"/>
        <v>0</v>
      </c>
      <c r="S3107" s="156">
        <f t="shared" si="350"/>
        <v>0</v>
      </c>
      <c r="T3107" s="133"/>
      <c r="U3107" s="133"/>
      <c r="V3107" s="133"/>
      <c r="W3107" s="133"/>
      <c r="X3107" s="133"/>
      <c r="Y3107" s="133"/>
      <c r="Z3107" s="133"/>
      <c r="AA3107" s="133"/>
      <c r="AB3107" s="133"/>
      <c r="AC3107" s="133"/>
      <c r="AD3107" s="133"/>
      <c r="AE3107" s="133"/>
      <c r="AF3107" s="133"/>
      <c r="AG3107" s="133"/>
      <c r="AH3107" s="133"/>
      <c r="AI3107" s="133"/>
      <c r="AJ3107" s="133"/>
      <c r="AK3107" s="133"/>
      <c r="AL3107" s="133"/>
      <c r="AM3107" s="133"/>
      <c r="AN3107" s="133"/>
      <c r="AO3107" s="133"/>
      <c r="AP3107" s="133"/>
      <c r="AQ3107" s="133"/>
      <c r="AR3107" s="133"/>
      <c r="AS3107" s="153">
        <v>0</v>
      </c>
      <c r="AT3107" s="153">
        <v>0</v>
      </c>
      <c r="AU3107" s="153">
        <v>0</v>
      </c>
      <c r="AV3107" s="135"/>
      <c r="AW3107" s="135"/>
      <c r="AX3107" s="135"/>
      <c r="AY3107" s="135"/>
      <c r="AZ3107" s="135"/>
      <c r="BA3107" s="135"/>
      <c r="BB3107" s="135"/>
      <c r="BC3107" s="135"/>
      <c r="BD3107" s="135"/>
      <c r="BE3107" s="135"/>
      <c r="BF3107" s="135"/>
      <c r="BG3107" s="135"/>
      <c r="BH3107" s="135"/>
      <c r="BI3107" s="2"/>
      <c r="BJ3107" s="136"/>
      <c r="BK3107" s="2"/>
      <c r="BL3107" s="136"/>
      <c r="BM3107" s="136"/>
      <c r="BN3107" s="2"/>
      <c r="BO3107" s="2"/>
      <c r="BP3107" s="136"/>
      <c r="BQ3107" s="137"/>
    </row>
    <row r="3108" spans="1:69" ht="12.75" customHeight="1" x14ac:dyDescent="0.2">
      <c r="A3108" s="2">
        <v>4597</v>
      </c>
      <c r="B3108" s="2"/>
      <c r="C3108" s="2"/>
      <c r="D3108" s="2"/>
      <c r="E3108" s="2"/>
      <c r="F3108" s="132">
        <v>0</v>
      </c>
      <c r="G3108" s="132"/>
      <c r="H3108" s="132">
        <f t="shared" si="346"/>
        <v>0</v>
      </c>
      <c r="I3108" s="132"/>
      <c r="J3108" s="132">
        <f t="shared" ref="J3108:J3171" si="351">S3108</f>
        <v>0</v>
      </c>
      <c r="K3108" s="132">
        <f t="shared" si="347"/>
        <v>0</v>
      </c>
      <c r="L3108" s="132">
        <f t="shared" si="348"/>
        <v>0</v>
      </c>
      <c r="M3108" s="133"/>
      <c r="N3108" s="133">
        <f t="shared" si="345"/>
        <v>0</v>
      </c>
      <c r="O3108" s="134"/>
      <c r="P3108" s="133"/>
      <c r="Q3108" s="2"/>
      <c r="R3108" s="156">
        <f t="shared" si="349"/>
        <v>0</v>
      </c>
      <c r="S3108" s="156">
        <f t="shared" si="350"/>
        <v>0</v>
      </c>
      <c r="T3108" s="133"/>
      <c r="U3108" s="133"/>
      <c r="V3108" s="133"/>
      <c r="W3108" s="133"/>
      <c r="X3108" s="133"/>
      <c r="Y3108" s="133"/>
      <c r="Z3108" s="133"/>
      <c r="AA3108" s="133"/>
      <c r="AB3108" s="133"/>
      <c r="AC3108" s="133"/>
      <c r="AD3108" s="133"/>
      <c r="AE3108" s="133"/>
      <c r="AF3108" s="133"/>
      <c r="AG3108" s="133"/>
      <c r="AH3108" s="133"/>
      <c r="AI3108" s="133"/>
      <c r="AJ3108" s="133"/>
      <c r="AK3108" s="133"/>
      <c r="AL3108" s="133"/>
      <c r="AM3108" s="133"/>
      <c r="AN3108" s="133"/>
      <c r="AO3108" s="133"/>
      <c r="AP3108" s="133"/>
      <c r="AQ3108" s="133"/>
      <c r="AR3108" s="133"/>
      <c r="AS3108" s="153">
        <v>0</v>
      </c>
      <c r="AT3108" s="153">
        <v>0</v>
      </c>
      <c r="AU3108" s="153">
        <v>0</v>
      </c>
      <c r="AV3108" s="135"/>
      <c r="AW3108" s="135"/>
      <c r="AX3108" s="135"/>
      <c r="AY3108" s="135"/>
      <c r="AZ3108" s="135"/>
      <c r="BA3108" s="135"/>
      <c r="BB3108" s="135"/>
      <c r="BC3108" s="135"/>
      <c r="BD3108" s="135"/>
      <c r="BE3108" s="135"/>
      <c r="BF3108" s="135"/>
      <c r="BG3108" s="135"/>
      <c r="BH3108" s="135"/>
      <c r="BI3108" s="2"/>
      <c r="BJ3108" s="136"/>
      <c r="BK3108" s="2"/>
      <c r="BL3108" s="136"/>
      <c r="BM3108" s="136"/>
      <c r="BN3108" s="2"/>
      <c r="BO3108" s="2"/>
      <c r="BP3108" s="136"/>
      <c r="BQ3108" s="137"/>
    </row>
    <row r="3109" spans="1:69" ht="12.75" customHeight="1" x14ac:dyDescent="0.2">
      <c r="A3109" s="2">
        <v>4598</v>
      </c>
      <c r="B3109" s="2"/>
      <c r="C3109" s="2"/>
      <c r="D3109" s="2"/>
      <c r="E3109" s="2"/>
      <c r="F3109" s="132">
        <v>0</v>
      </c>
      <c r="G3109" s="132"/>
      <c r="H3109" s="132">
        <f t="shared" si="346"/>
        <v>0</v>
      </c>
      <c r="I3109" s="132"/>
      <c r="J3109" s="132">
        <f t="shared" si="351"/>
        <v>0</v>
      </c>
      <c r="K3109" s="132">
        <f t="shared" si="347"/>
        <v>0</v>
      </c>
      <c r="L3109" s="132">
        <f t="shared" si="348"/>
        <v>0</v>
      </c>
      <c r="M3109" s="133"/>
      <c r="N3109" s="133">
        <f t="shared" si="345"/>
        <v>0</v>
      </c>
      <c r="O3109" s="134"/>
      <c r="P3109" s="133"/>
      <c r="Q3109" s="2"/>
      <c r="R3109" s="156">
        <f t="shared" si="349"/>
        <v>0</v>
      </c>
      <c r="S3109" s="156">
        <f t="shared" si="350"/>
        <v>0</v>
      </c>
      <c r="T3109" s="133"/>
      <c r="U3109" s="133"/>
      <c r="V3109" s="133"/>
      <c r="W3109" s="133"/>
      <c r="X3109" s="133"/>
      <c r="Y3109" s="133"/>
      <c r="Z3109" s="133"/>
      <c r="AA3109" s="133"/>
      <c r="AB3109" s="133"/>
      <c r="AC3109" s="133"/>
      <c r="AD3109" s="133"/>
      <c r="AE3109" s="133"/>
      <c r="AF3109" s="133"/>
      <c r="AG3109" s="133"/>
      <c r="AH3109" s="133"/>
      <c r="AI3109" s="133"/>
      <c r="AJ3109" s="133"/>
      <c r="AK3109" s="133"/>
      <c r="AL3109" s="133"/>
      <c r="AM3109" s="133"/>
      <c r="AN3109" s="133"/>
      <c r="AO3109" s="133"/>
      <c r="AP3109" s="133"/>
      <c r="AQ3109" s="133"/>
      <c r="AR3109" s="133"/>
      <c r="AS3109" s="153">
        <v>0</v>
      </c>
      <c r="AT3109" s="153">
        <v>0</v>
      </c>
      <c r="AU3109" s="153">
        <v>0</v>
      </c>
      <c r="AV3109" s="135"/>
      <c r="AW3109" s="135"/>
      <c r="AX3109" s="135"/>
      <c r="AY3109" s="135"/>
      <c r="AZ3109" s="135"/>
      <c r="BA3109" s="135"/>
      <c r="BB3109" s="135"/>
      <c r="BC3109" s="135"/>
      <c r="BD3109" s="135"/>
      <c r="BE3109" s="135"/>
      <c r="BF3109" s="135"/>
      <c r="BG3109" s="135"/>
      <c r="BH3109" s="135"/>
      <c r="BI3109" s="2"/>
      <c r="BJ3109" s="136"/>
      <c r="BK3109" s="2"/>
      <c r="BL3109" s="136"/>
      <c r="BM3109" s="136"/>
      <c r="BN3109" s="2"/>
      <c r="BO3109" s="2"/>
      <c r="BP3109" s="136"/>
      <c r="BQ3109" s="137"/>
    </row>
    <row r="3110" spans="1:69" ht="12.75" customHeight="1" x14ac:dyDescent="0.2">
      <c r="A3110" s="2">
        <v>4599</v>
      </c>
      <c r="B3110" s="2"/>
      <c r="C3110" s="2"/>
      <c r="D3110" s="2"/>
      <c r="E3110" s="2"/>
      <c r="F3110" s="132">
        <v>0</v>
      </c>
      <c r="G3110" s="132"/>
      <c r="H3110" s="132">
        <f t="shared" si="346"/>
        <v>0</v>
      </c>
      <c r="I3110" s="132"/>
      <c r="J3110" s="132">
        <f t="shared" si="351"/>
        <v>0</v>
      </c>
      <c r="K3110" s="132">
        <f t="shared" si="347"/>
        <v>0</v>
      </c>
      <c r="L3110" s="132">
        <f t="shared" si="348"/>
        <v>0</v>
      </c>
      <c r="M3110" s="133"/>
      <c r="N3110" s="133">
        <f t="shared" si="345"/>
        <v>0</v>
      </c>
      <c r="O3110" s="134"/>
      <c r="P3110" s="133"/>
      <c r="Q3110" s="2"/>
      <c r="R3110" s="156">
        <f t="shared" si="349"/>
        <v>0</v>
      </c>
      <c r="S3110" s="156">
        <f t="shared" si="350"/>
        <v>0</v>
      </c>
      <c r="T3110" s="133"/>
      <c r="U3110" s="133"/>
      <c r="V3110" s="133"/>
      <c r="W3110" s="133"/>
      <c r="X3110" s="133"/>
      <c r="Y3110" s="133"/>
      <c r="Z3110" s="133"/>
      <c r="AA3110" s="133"/>
      <c r="AB3110" s="133"/>
      <c r="AC3110" s="133"/>
      <c r="AD3110" s="133"/>
      <c r="AE3110" s="133"/>
      <c r="AF3110" s="133"/>
      <c r="AG3110" s="133"/>
      <c r="AH3110" s="133"/>
      <c r="AI3110" s="133"/>
      <c r="AJ3110" s="133"/>
      <c r="AK3110" s="133"/>
      <c r="AL3110" s="133"/>
      <c r="AM3110" s="133"/>
      <c r="AN3110" s="133"/>
      <c r="AO3110" s="133"/>
      <c r="AP3110" s="133"/>
      <c r="AQ3110" s="133"/>
      <c r="AR3110" s="133"/>
      <c r="AS3110" s="153">
        <v>0</v>
      </c>
      <c r="AT3110" s="153">
        <v>0</v>
      </c>
      <c r="AU3110" s="153">
        <v>0</v>
      </c>
      <c r="AV3110" s="135"/>
      <c r="AW3110" s="135"/>
      <c r="AX3110" s="135"/>
      <c r="AY3110" s="135"/>
      <c r="AZ3110" s="135"/>
      <c r="BA3110" s="135"/>
      <c r="BB3110" s="135"/>
      <c r="BC3110" s="135"/>
      <c r="BD3110" s="135"/>
      <c r="BE3110" s="135"/>
      <c r="BF3110" s="135"/>
      <c r="BG3110" s="135"/>
      <c r="BH3110" s="135"/>
      <c r="BI3110" s="2"/>
      <c r="BJ3110" s="136"/>
      <c r="BK3110" s="2"/>
      <c r="BL3110" s="136"/>
      <c r="BM3110" s="136"/>
      <c r="BN3110" s="2"/>
      <c r="BO3110" s="2"/>
      <c r="BP3110" s="136"/>
      <c r="BQ3110" s="137"/>
    </row>
    <row r="3111" spans="1:69" ht="12.75" customHeight="1" x14ac:dyDescent="0.2">
      <c r="A3111" s="2">
        <v>4600</v>
      </c>
      <c r="B3111" s="2"/>
      <c r="C3111" s="2"/>
      <c r="D3111" s="2"/>
      <c r="E3111" s="2"/>
      <c r="F3111" s="132">
        <v>0</v>
      </c>
      <c r="G3111" s="132"/>
      <c r="H3111" s="132">
        <f t="shared" si="346"/>
        <v>0</v>
      </c>
      <c r="I3111" s="132"/>
      <c r="J3111" s="132">
        <f t="shared" si="351"/>
        <v>0</v>
      </c>
      <c r="K3111" s="132">
        <f t="shared" si="347"/>
        <v>0</v>
      </c>
      <c r="L3111" s="132">
        <f t="shared" si="348"/>
        <v>0</v>
      </c>
      <c r="M3111" s="133"/>
      <c r="N3111" s="133">
        <f t="shared" si="345"/>
        <v>0</v>
      </c>
      <c r="O3111" s="134"/>
      <c r="P3111" s="133"/>
      <c r="Q3111" s="2"/>
      <c r="R3111" s="156">
        <f t="shared" si="349"/>
        <v>0</v>
      </c>
      <c r="S3111" s="156">
        <f t="shared" si="350"/>
        <v>0</v>
      </c>
      <c r="T3111" s="133"/>
      <c r="U3111" s="133"/>
      <c r="V3111" s="133"/>
      <c r="W3111" s="133"/>
      <c r="X3111" s="133"/>
      <c r="Y3111" s="133"/>
      <c r="Z3111" s="133"/>
      <c r="AA3111" s="133"/>
      <c r="AB3111" s="133"/>
      <c r="AC3111" s="133"/>
      <c r="AD3111" s="133"/>
      <c r="AE3111" s="133"/>
      <c r="AF3111" s="133"/>
      <c r="AG3111" s="133"/>
      <c r="AH3111" s="133"/>
      <c r="AI3111" s="133"/>
      <c r="AJ3111" s="133"/>
      <c r="AK3111" s="133"/>
      <c r="AL3111" s="133"/>
      <c r="AM3111" s="133"/>
      <c r="AN3111" s="133"/>
      <c r="AO3111" s="133"/>
      <c r="AP3111" s="133"/>
      <c r="AQ3111" s="133"/>
      <c r="AR3111" s="133"/>
      <c r="AS3111" s="153">
        <v>0</v>
      </c>
      <c r="AT3111" s="153">
        <v>0</v>
      </c>
      <c r="AU3111" s="153">
        <v>0</v>
      </c>
      <c r="AV3111" s="135"/>
      <c r="AW3111" s="135"/>
      <c r="AX3111" s="135"/>
      <c r="AY3111" s="135"/>
      <c r="AZ3111" s="135"/>
      <c r="BA3111" s="135"/>
      <c r="BB3111" s="135"/>
      <c r="BC3111" s="135"/>
      <c r="BD3111" s="135"/>
      <c r="BE3111" s="135"/>
      <c r="BF3111" s="135"/>
      <c r="BG3111" s="135"/>
      <c r="BH3111" s="135"/>
      <c r="BI3111" s="2"/>
      <c r="BJ3111" s="136"/>
      <c r="BK3111" s="2"/>
      <c r="BL3111" s="136"/>
      <c r="BM3111" s="136"/>
      <c r="BN3111" s="2"/>
      <c r="BO3111" s="2"/>
      <c r="BP3111" s="136"/>
      <c r="BQ3111" s="137"/>
    </row>
    <row r="3112" spans="1:69" ht="12.75" customHeight="1" x14ac:dyDescent="0.2">
      <c r="A3112" s="2">
        <v>4601</v>
      </c>
      <c r="B3112" s="2"/>
      <c r="C3112" s="2"/>
      <c r="D3112" s="2"/>
      <c r="E3112" s="2"/>
      <c r="F3112" s="132">
        <v>0</v>
      </c>
      <c r="G3112" s="132"/>
      <c r="H3112" s="132">
        <f t="shared" si="346"/>
        <v>0</v>
      </c>
      <c r="I3112" s="132"/>
      <c r="J3112" s="132">
        <f t="shared" si="351"/>
        <v>0</v>
      </c>
      <c r="K3112" s="132">
        <f t="shared" si="347"/>
        <v>0</v>
      </c>
      <c r="L3112" s="132">
        <f t="shared" si="348"/>
        <v>0</v>
      </c>
      <c r="M3112" s="133"/>
      <c r="N3112" s="133">
        <f t="shared" si="345"/>
        <v>0</v>
      </c>
      <c r="O3112" s="134"/>
      <c r="P3112" s="133"/>
      <c r="Q3112" s="2"/>
      <c r="R3112" s="156">
        <f t="shared" si="349"/>
        <v>0</v>
      </c>
      <c r="S3112" s="156">
        <f t="shared" si="350"/>
        <v>0</v>
      </c>
      <c r="T3112" s="133"/>
      <c r="U3112" s="133"/>
      <c r="V3112" s="133"/>
      <c r="W3112" s="133"/>
      <c r="X3112" s="133"/>
      <c r="Y3112" s="133"/>
      <c r="Z3112" s="133"/>
      <c r="AA3112" s="133"/>
      <c r="AB3112" s="133"/>
      <c r="AC3112" s="133"/>
      <c r="AD3112" s="133"/>
      <c r="AE3112" s="133"/>
      <c r="AF3112" s="133"/>
      <c r="AG3112" s="133"/>
      <c r="AH3112" s="133"/>
      <c r="AI3112" s="133"/>
      <c r="AJ3112" s="133"/>
      <c r="AK3112" s="133"/>
      <c r="AL3112" s="133"/>
      <c r="AM3112" s="133"/>
      <c r="AN3112" s="133"/>
      <c r="AO3112" s="133"/>
      <c r="AP3112" s="133"/>
      <c r="AQ3112" s="133"/>
      <c r="AR3112" s="133"/>
      <c r="AS3112" s="153">
        <v>0</v>
      </c>
      <c r="AT3112" s="153">
        <v>0</v>
      </c>
      <c r="AU3112" s="153">
        <v>0</v>
      </c>
      <c r="AV3112" s="135"/>
      <c r="AW3112" s="135"/>
      <c r="AX3112" s="135"/>
      <c r="AY3112" s="135"/>
      <c r="AZ3112" s="135"/>
      <c r="BA3112" s="135"/>
      <c r="BB3112" s="135"/>
      <c r="BC3112" s="135"/>
      <c r="BD3112" s="135"/>
      <c r="BE3112" s="135"/>
      <c r="BF3112" s="135"/>
      <c r="BG3112" s="135"/>
      <c r="BH3112" s="135"/>
      <c r="BI3112" s="2"/>
      <c r="BJ3112" s="136"/>
      <c r="BK3112" s="2"/>
      <c r="BL3112" s="136"/>
      <c r="BM3112" s="136"/>
      <c r="BN3112" s="2"/>
      <c r="BO3112" s="2"/>
      <c r="BP3112" s="136"/>
      <c r="BQ3112" s="137"/>
    </row>
    <row r="3113" spans="1:69" ht="12.75" customHeight="1" x14ac:dyDescent="0.2">
      <c r="A3113" s="2">
        <v>4602</v>
      </c>
      <c r="B3113" s="2"/>
      <c r="C3113" s="2"/>
      <c r="D3113" s="2"/>
      <c r="E3113" s="2"/>
      <c r="F3113" s="132">
        <v>0</v>
      </c>
      <c r="G3113" s="132"/>
      <c r="H3113" s="132">
        <f t="shared" si="346"/>
        <v>0</v>
      </c>
      <c r="I3113" s="132"/>
      <c r="J3113" s="132">
        <f t="shared" si="351"/>
        <v>0</v>
      </c>
      <c r="K3113" s="132">
        <f t="shared" si="347"/>
        <v>0</v>
      </c>
      <c r="L3113" s="132">
        <f t="shared" si="348"/>
        <v>0</v>
      </c>
      <c r="M3113" s="133"/>
      <c r="N3113" s="133">
        <f t="shared" si="345"/>
        <v>0</v>
      </c>
      <c r="O3113" s="134"/>
      <c r="P3113" s="133"/>
      <c r="Q3113" s="2"/>
      <c r="R3113" s="156">
        <f t="shared" si="349"/>
        <v>0</v>
      </c>
      <c r="S3113" s="156">
        <f t="shared" si="350"/>
        <v>0</v>
      </c>
      <c r="T3113" s="133"/>
      <c r="U3113" s="133"/>
      <c r="V3113" s="133"/>
      <c r="W3113" s="133"/>
      <c r="X3113" s="133"/>
      <c r="Y3113" s="133"/>
      <c r="Z3113" s="133"/>
      <c r="AA3113" s="133"/>
      <c r="AB3113" s="133"/>
      <c r="AC3113" s="133"/>
      <c r="AD3113" s="133"/>
      <c r="AE3113" s="133"/>
      <c r="AF3113" s="133"/>
      <c r="AG3113" s="133"/>
      <c r="AH3113" s="133"/>
      <c r="AI3113" s="133"/>
      <c r="AJ3113" s="133"/>
      <c r="AK3113" s="133"/>
      <c r="AL3113" s="133"/>
      <c r="AM3113" s="133"/>
      <c r="AN3113" s="133"/>
      <c r="AO3113" s="133"/>
      <c r="AP3113" s="133"/>
      <c r="AQ3113" s="133"/>
      <c r="AR3113" s="133"/>
      <c r="AS3113" s="153">
        <v>0</v>
      </c>
      <c r="AT3113" s="153">
        <v>0</v>
      </c>
      <c r="AU3113" s="153">
        <v>0</v>
      </c>
      <c r="AV3113" s="135"/>
      <c r="AW3113" s="135"/>
      <c r="AX3113" s="135"/>
      <c r="AY3113" s="135"/>
      <c r="AZ3113" s="135"/>
      <c r="BA3113" s="135"/>
      <c r="BB3113" s="135"/>
      <c r="BC3113" s="135"/>
      <c r="BD3113" s="135"/>
      <c r="BE3113" s="135"/>
      <c r="BF3113" s="135"/>
      <c r="BG3113" s="135"/>
      <c r="BH3113" s="135"/>
      <c r="BI3113" s="2"/>
      <c r="BJ3113" s="136"/>
      <c r="BK3113" s="2"/>
      <c r="BL3113" s="136"/>
      <c r="BM3113" s="136"/>
      <c r="BN3113" s="2"/>
      <c r="BO3113" s="2"/>
      <c r="BP3113" s="136"/>
      <c r="BQ3113" s="137"/>
    </row>
    <row r="3114" spans="1:69" ht="12.75" customHeight="1" x14ac:dyDescent="0.2">
      <c r="A3114" s="2">
        <v>4603</v>
      </c>
      <c r="B3114" s="2"/>
      <c r="C3114" s="2"/>
      <c r="D3114" s="2"/>
      <c r="E3114" s="2"/>
      <c r="F3114" s="132">
        <v>0</v>
      </c>
      <c r="G3114" s="132"/>
      <c r="H3114" s="132">
        <f t="shared" si="346"/>
        <v>0</v>
      </c>
      <c r="I3114" s="132"/>
      <c r="J3114" s="132">
        <f t="shared" si="351"/>
        <v>0</v>
      </c>
      <c r="K3114" s="132">
        <f t="shared" si="347"/>
        <v>0</v>
      </c>
      <c r="L3114" s="132">
        <f t="shared" si="348"/>
        <v>0</v>
      </c>
      <c r="M3114" s="133"/>
      <c r="N3114" s="133">
        <f t="shared" ref="N3114:N3177" si="352">IF(OR(BK3114="принят",BK3114="Завершено",BK3114="ПриПро"),H3114-J3114,F3114-J3114)</f>
        <v>0</v>
      </c>
      <c r="O3114" s="134"/>
      <c r="P3114" s="133"/>
      <c r="Q3114" s="2"/>
      <c r="R3114" s="156">
        <f t="shared" si="349"/>
        <v>0</v>
      </c>
      <c r="S3114" s="156">
        <f t="shared" si="350"/>
        <v>0</v>
      </c>
      <c r="T3114" s="133"/>
      <c r="U3114" s="133"/>
      <c r="V3114" s="133"/>
      <c r="W3114" s="133"/>
      <c r="X3114" s="133"/>
      <c r="Y3114" s="133"/>
      <c r="Z3114" s="133"/>
      <c r="AA3114" s="133"/>
      <c r="AB3114" s="133"/>
      <c r="AC3114" s="133"/>
      <c r="AD3114" s="133"/>
      <c r="AE3114" s="133"/>
      <c r="AF3114" s="133"/>
      <c r="AG3114" s="133"/>
      <c r="AH3114" s="133"/>
      <c r="AI3114" s="133"/>
      <c r="AJ3114" s="133"/>
      <c r="AK3114" s="133"/>
      <c r="AL3114" s="133"/>
      <c r="AM3114" s="133"/>
      <c r="AN3114" s="133"/>
      <c r="AO3114" s="133"/>
      <c r="AP3114" s="133"/>
      <c r="AQ3114" s="133"/>
      <c r="AR3114" s="133"/>
      <c r="AS3114" s="153">
        <v>0</v>
      </c>
      <c r="AT3114" s="153">
        <v>0</v>
      </c>
      <c r="AU3114" s="153">
        <v>0</v>
      </c>
      <c r="AV3114" s="135"/>
      <c r="AW3114" s="135"/>
      <c r="AX3114" s="135"/>
      <c r="AY3114" s="135"/>
      <c r="AZ3114" s="135"/>
      <c r="BA3114" s="135"/>
      <c r="BB3114" s="135"/>
      <c r="BC3114" s="135"/>
      <c r="BD3114" s="135"/>
      <c r="BE3114" s="135"/>
      <c r="BF3114" s="135"/>
      <c r="BG3114" s="135"/>
      <c r="BH3114" s="135"/>
      <c r="BI3114" s="2"/>
      <c r="BJ3114" s="136"/>
      <c r="BK3114" s="2"/>
      <c r="BL3114" s="136"/>
      <c r="BM3114" s="136"/>
      <c r="BN3114" s="2"/>
      <c r="BO3114" s="2"/>
      <c r="BP3114" s="136"/>
      <c r="BQ3114" s="137"/>
    </row>
    <row r="3115" spans="1:69" ht="12.75" customHeight="1" x14ac:dyDescent="0.2">
      <c r="A3115" s="2">
        <v>4604</v>
      </c>
      <c r="B3115" s="2"/>
      <c r="C3115" s="2"/>
      <c r="D3115" s="2"/>
      <c r="E3115" s="2"/>
      <c r="F3115" s="132">
        <v>0</v>
      </c>
      <c r="G3115" s="132"/>
      <c r="H3115" s="132">
        <f t="shared" si="346"/>
        <v>0</v>
      </c>
      <c r="I3115" s="132"/>
      <c r="J3115" s="132">
        <f t="shared" si="351"/>
        <v>0</v>
      </c>
      <c r="K3115" s="132">
        <f t="shared" si="347"/>
        <v>0</v>
      </c>
      <c r="L3115" s="132">
        <f t="shared" si="348"/>
        <v>0</v>
      </c>
      <c r="M3115" s="133"/>
      <c r="N3115" s="133">
        <f t="shared" si="352"/>
        <v>0</v>
      </c>
      <c r="O3115" s="134"/>
      <c r="P3115" s="133"/>
      <c r="Q3115" s="2"/>
      <c r="R3115" s="156">
        <f t="shared" si="349"/>
        <v>0</v>
      </c>
      <c r="S3115" s="156">
        <f t="shared" si="350"/>
        <v>0</v>
      </c>
      <c r="T3115" s="133"/>
      <c r="U3115" s="133"/>
      <c r="V3115" s="133"/>
      <c r="W3115" s="133"/>
      <c r="X3115" s="133"/>
      <c r="Y3115" s="133"/>
      <c r="Z3115" s="133"/>
      <c r="AA3115" s="133"/>
      <c r="AB3115" s="133"/>
      <c r="AC3115" s="133"/>
      <c r="AD3115" s="133"/>
      <c r="AE3115" s="133"/>
      <c r="AF3115" s="133"/>
      <c r="AG3115" s="133"/>
      <c r="AH3115" s="133"/>
      <c r="AI3115" s="133"/>
      <c r="AJ3115" s="133"/>
      <c r="AK3115" s="133"/>
      <c r="AL3115" s="133"/>
      <c r="AM3115" s="133"/>
      <c r="AN3115" s="133"/>
      <c r="AO3115" s="133"/>
      <c r="AP3115" s="133"/>
      <c r="AQ3115" s="133"/>
      <c r="AR3115" s="133"/>
      <c r="AS3115" s="153">
        <v>0</v>
      </c>
      <c r="AT3115" s="153">
        <v>0</v>
      </c>
      <c r="AU3115" s="153">
        <v>0</v>
      </c>
      <c r="AV3115" s="135"/>
      <c r="AW3115" s="135"/>
      <c r="AX3115" s="135"/>
      <c r="AY3115" s="135"/>
      <c r="AZ3115" s="135"/>
      <c r="BA3115" s="135"/>
      <c r="BB3115" s="135"/>
      <c r="BC3115" s="135"/>
      <c r="BD3115" s="135"/>
      <c r="BE3115" s="135"/>
      <c r="BF3115" s="135"/>
      <c r="BG3115" s="135"/>
      <c r="BH3115" s="135"/>
      <c r="BI3115" s="2"/>
      <c r="BJ3115" s="136"/>
      <c r="BK3115" s="2"/>
      <c r="BL3115" s="136"/>
      <c r="BM3115" s="136"/>
      <c r="BN3115" s="2"/>
      <c r="BO3115" s="2"/>
      <c r="BP3115" s="136"/>
      <c r="BQ3115" s="137"/>
    </row>
    <row r="3116" spans="1:69" ht="12.75" customHeight="1" x14ac:dyDescent="0.2">
      <c r="A3116" s="2">
        <v>4605</v>
      </c>
      <c r="B3116" s="2"/>
      <c r="C3116" s="2"/>
      <c r="D3116" s="2"/>
      <c r="E3116" s="2"/>
      <c r="F3116" s="132">
        <v>0</v>
      </c>
      <c r="G3116" s="132"/>
      <c r="H3116" s="132">
        <f t="shared" si="346"/>
        <v>0</v>
      </c>
      <c r="I3116" s="132"/>
      <c r="J3116" s="132">
        <f t="shared" si="351"/>
        <v>0</v>
      </c>
      <c r="K3116" s="132">
        <f t="shared" si="347"/>
        <v>0</v>
      </c>
      <c r="L3116" s="132">
        <f t="shared" si="348"/>
        <v>0</v>
      </c>
      <c r="M3116" s="133"/>
      <c r="N3116" s="133">
        <f t="shared" si="352"/>
        <v>0</v>
      </c>
      <c r="O3116" s="134"/>
      <c r="P3116" s="133"/>
      <c r="Q3116" s="2"/>
      <c r="R3116" s="156">
        <f t="shared" si="349"/>
        <v>0</v>
      </c>
      <c r="S3116" s="156">
        <f t="shared" si="350"/>
        <v>0</v>
      </c>
      <c r="T3116" s="133"/>
      <c r="U3116" s="133"/>
      <c r="V3116" s="133"/>
      <c r="W3116" s="133"/>
      <c r="X3116" s="133"/>
      <c r="Y3116" s="133"/>
      <c r="Z3116" s="133"/>
      <c r="AA3116" s="133"/>
      <c r="AB3116" s="133"/>
      <c r="AC3116" s="133"/>
      <c r="AD3116" s="133"/>
      <c r="AE3116" s="133"/>
      <c r="AF3116" s="133"/>
      <c r="AG3116" s="133"/>
      <c r="AH3116" s="133"/>
      <c r="AI3116" s="133"/>
      <c r="AJ3116" s="133"/>
      <c r="AK3116" s="133"/>
      <c r="AL3116" s="133"/>
      <c r="AM3116" s="133"/>
      <c r="AN3116" s="133"/>
      <c r="AO3116" s="133"/>
      <c r="AP3116" s="133"/>
      <c r="AQ3116" s="133"/>
      <c r="AR3116" s="133"/>
      <c r="AS3116" s="153">
        <v>0</v>
      </c>
      <c r="AT3116" s="153">
        <v>0</v>
      </c>
      <c r="AU3116" s="153">
        <v>0</v>
      </c>
      <c r="AV3116" s="135"/>
      <c r="AW3116" s="135"/>
      <c r="AX3116" s="135"/>
      <c r="AY3116" s="135"/>
      <c r="AZ3116" s="135"/>
      <c r="BA3116" s="135"/>
      <c r="BB3116" s="135"/>
      <c r="BC3116" s="135"/>
      <c r="BD3116" s="135"/>
      <c r="BE3116" s="135"/>
      <c r="BF3116" s="135"/>
      <c r="BG3116" s="135"/>
      <c r="BH3116" s="135"/>
      <c r="BI3116" s="2"/>
      <c r="BJ3116" s="136"/>
      <c r="BK3116" s="2"/>
      <c r="BL3116" s="136"/>
      <c r="BM3116" s="136"/>
      <c r="BN3116" s="2"/>
      <c r="BO3116" s="2"/>
      <c r="BP3116" s="136"/>
      <c r="BQ3116" s="137"/>
    </row>
    <row r="3117" spans="1:69" ht="12.75" customHeight="1" x14ac:dyDescent="0.2">
      <c r="A3117" s="2">
        <v>4606</v>
      </c>
      <c r="B3117" s="2"/>
      <c r="C3117" s="2"/>
      <c r="D3117" s="2"/>
      <c r="E3117" s="2"/>
      <c r="F3117" s="132">
        <v>0</v>
      </c>
      <c r="G3117" s="132"/>
      <c r="H3117" s="132">
        <f t="shared" si="346"/>
        <v>0</v>
      </c>
      <c r="I3117" s="132"/>
      <c r="J3117" s="132">
        <f t="shared" si="351"/>
        <v>0</v>
      </c>
      <c r="K3117" s="132">
        <f t="shared" si="347"/>
        <v>0</v>
      </c>
      <c r="L3117" s="132">
        <f t="shared" si="348"/>
        <v>0</v>
      </c>
      <c r="M3117" s="133"/>
      <c r="N3117" s="133">
        <f t="shared" si="352"/>
        <v>0</v>
      </c>
      <c r="O3117" s="134"/>
      <c r="P3117" s="133"/>
      <c r="Q3117" s="2"/>
      <c r="R3117" s="156">
        <f t="shared" si="349"/>
        <v>0</v>
      </c>
      <c r="S3117" s="156">
        <f t="shared" si="350"/>
        <v>0</v>
      </c>
      <c r="T3117" s="133"/>
      <c r="U3117" s="133"/>
      <c r="V3117" s="133"/>
      <c r="W3117" s="133"/>
      <c r="X3117" s="133"/>
      <c r="Y3117" s="133"/>
      <c r="Z3117" s="133"/>
      <c r="AA3117" s="133"/>
      <c r="AB3117" s="133"/>
      <c r="AC3117" s="133"/>
      <c r="AD3117" s="133"/>
      <c r="AE3117" s="133"/>
      <c r="AF3117" s="133"/>
      <c r="AG3117" s="133"/>
      <c r="AH3117" s="133"/>
      <c r="AI3117" s="133"/>
      <c r="AJ3117" s="133"/>
      <c r="AK3117" s="133"/>
      <c r="AL3117" s="133"/>
      <c r="AM3117" s="133"/>
      <c r="AN3117" s="133"/>
      <c r="AO3117" s="133"/>
      <c r="AP3117" s="133"/>
      <c r="AQ3117" s="133"/>
      <c r="AR3117" s="133"/>
      <c r="AS3117" s="153">
        <v>0</v>
      </c>
      <c r="AT3117" s="153">
        <v>0</v>
      </c>
      <c r="AU3117" s="153">
        <v>0</v>
      </c>
      <c r="AV3117" s="135"/>
      <c r="AW3117" s="135"/>
      <c r="AX3117" s="135"/>
      <c r="AY3117" s="135"/>
      <c r="AZ3117" s="135"/>
      <c r="BA3117" s="135"/>
      <c r="BB3117" s="135"/>
      <c r="BC3117" s="135"/>
      <c r="BD3117" s="135"/>
      <c r="BE3117" s="135"/>
      <c r="BF3117" s="135"/>
      <c r="BG3117" s="135"/>
      <c r="BH3117" s="135"/>
      <c r="BI3117" s="2"/>
      <c r="BJ3117" s="136"/>
      <c r="BK3117" s="2"/>
      <c r="BL3117" s="136"/>
      <c r="BM3117" s="136"/>
      <c r="BN3117" s="2"/>
      <c r="BO3117" s="2"/>
      <c r="BP3117" s="136"/>
      <c r="BQ3117" s="137"/>
    </row>
    <row r="3118" spans="1:69" ht="12.75" customHeight="1" x14ac:dyDescent="0.2">
      <c r="A3118" s="2">
        <v>4607</v>
      </c>
      <c r="B3118" s="2"/>
      <c r="C3118" s="2"/>
      <c r="D3118" s="2"/>
      <c r="E3118" s="2"/>
      <c r="F3118" s="132">
        <v>0</v>
      </c>
      <c r="G3118" s="132"/>
      <c r="H3118" s="132">
        <f t="shared" ref="H3118:H3181" si="353">R3118</f>
        <v>0</v>
      </c>
      <c r="I3118" s="132"/>
      <c r="J3118" s="132">
        <f t="shared" si="351"/>
        <v>0</v>
      </c>
      <c r="K3118" s="132">
        <f t="shared" si="347"/>
        <v>0</v>
      </c>
      <c r="L3118" s="132">
        <f t="shared" si="348"/>
        <v>0</v>
      </c>
      <c r="M3118" s="133"/>
      <c r="N3118" s="133">
        <f t="shared" si="352"/>
        <v>0</v>
      </c>
      <c r="O3118" s="134"/>
      <c r="P3118" s="133"/>
      <c r="Q3118" s="2"/>
      <c r="R3118" s="156">
        <f t="shared" si="349"/>
        <v>0</v>
      </c>
      <c r="S3118" s="156">
        <f t="shared" si="350"/>
        <v>0</v>
      </c>
      <c r="T3118" s="133"/>
      <c r="U3118" s="133"/>
      <c r="V3118" s="133"/>
      <c r="W3118" s="133"/>
      <c r="X3118" s="133"/>
      <c r="Y3118" s="133"/>
      <c r="Z3118" s="133"/>
      <c r="AA3118" s="133"/>
      <c r="AB3118" s="133"/>
      <c r="AC3118" s="133"/>
      <c r="AD3118" s="133"/>
      <c r="AE3118" s="133"/>
      <c r="AF3118" s="133"/>
      <c r="AG3118" s="133"/>
      <c r="AH3118" s="133"/>
      <c r="AI3118" s="133"/>
      <c r="AJ3118" s="133"/>
      <c r="AK3118" s="133"/>
      <c r="AL3118" s="133"/>
      <c r="AM3118" s="133"/>
      <c r="AN3118" s="133"/>
      <c r="AO3118" s="133"/>
      <c r="AP3118" s="133"/>
      <c r="AQ3118" s="133"/>
      <c r="AR3118" s="133"/>
      <c r="AS3118" s="153">
        <v>0</v>
      </c>
      <c r="AT3118" s="153">
        <v>0</v>
      </c>
      <c r="AU3118" s="153">
        <v>0</v>
      </c>
      <c r="AV3118" s="135"/>
      <c r="AW3118" s="135"/>
      <c r="AX3118" s="135"/>
      <c r="AY3118" s="135"/>
      <c r="AZ3118" s="135"/>
      <c r="BA3118" s="135"/>
      <c r="BB3118" s="135"/>
      <c r="BC3118" s="135"/>
      <c r="BD3118" s="135"/>
      <c r="BE3118" s="135"/>
      <c r="BF3118" s="135"/>
      <c r="BG3118" s="135"/>
      <c r="BH3118" s="135"/>
      <c r="BI3118" s="2"/>
      <c r="BJ3118" s="136"/>
      <c r="BK3118" s="2"/>
      <c r="BL3118" s="136"/>
      <c r="BM3118" s="136"/>
      <c r="BN3118" s="2"/>
      <c r="BO3118" s="2"/>
      <c r="BP3118" s="136"/>
      <c r="BQ3118" s="137"/>
    </row>
    <row r="3119" spans="1:69" ht="12.75" customHeight="1" x14ac:dyDescent="0.2">
      <c r="A3119" s="2">
        <v>4608</v>
      </c>
      <c r="B3119" s="2"/>
      <c r="C3119" s="2"/>
      <c r="D3119" s="2"/>
      <c r="E3119" s="2"/>
      <c r="F3119" s="132">
        <v>0</v>
      </c>
      <c r="G3119" s="132"/>
      <c r="H3119" s="132">
        <f t="shared" si="353"/>
        <v>0</v>
      </c>
      <c r="I3119" s="132"/>
      <c r="J3119" s="132">
        <f t="shared" si="351"/>
        <v>0</v>
      </c>
      <c r="K3119" s="132">
        <f t="shared" si="347"/>
        <v>0</v>
      </c>
      <c r="L3119" s="132">
        <f t="shared" si="348"/>
        <v>0</v>
      </c>
      <c r="M3119" s="133"/>
      <c r="N3119" s="133">
        <f t="shared" si="352"/>
        <v>0</v>
      </c>
      <c r="O3119" s="134"/>
      <c r="P3119" s="133"/>
      <c r="Q3119" s="2"/>
      <c r="R3119" s="156">
        <f t="shared" si="349"/>
        <v>0</v>
      </c>
      <c r="S3119" s="156">
        <f t="shared" si="350"/>
        <v>0</v>
      </c>
      <c r="T3119" s="133"/>
      <c r="U3119" s="133"/>
      <c r="V3119" s="133"/>
      <c r="W3119" s="133"/>
      <c r="X3119" s="133"/>
      <c r="Y3119" s="133"/>
      <c r="Z3119" s="133"/>
      <c r="AA3119" s="133"/>
      <c r="AB3119" s="133"/>
      <c r="AC3119" s="133"/>
      <c r="AD3119" s="133"/>
      <c r="AE3119" s="133"/>
      <c r="AF3119" s="133"/>
      <c r="AG3119" s="133"/>
      <c r="AH3119" s="133"/>
      <c r="AI3119" s="133"/>
      <c r="AJ3119" s="133"/>
      <c r="AK3119" s="133"/>
      <c r="AL3119" s="133"/>
      <c r="AM3119" s="133"/>
      <c r="AN3119" s="133"/>
      <c r="AO3119" s="133"/>
      <c r="AP3119" s="133"/>
      <c r="AQ3119" s="133"/>
      <c r="AR3119" s="133"/>
      <c r="AS3119" s="153">
        <v>0</v>
      </c>
      <c r="AT3119" s="153">
        <v>0</v>
      </c>
      <c r="AU3119" s="153">
        <v>0</v>
      </c>
      <c r="AV3119" s="135"/>
      <c r="AW3119" s="135"/>
      <c r="AX3119" s="135"/>
      <c r="AY3119" s="135"/>
      <c r="AZ3119" s="135"/>
      <c r="BA3119" s="135"/>
      <c r="BB3119" s="135"/>
      <c r="BC3119" s="135"/>
      <c r="BD3119" s="135"/>
      <c r="BE3119" s="135"/>
      <c r="BF3119" s="135"/>
      <c r="BG3119" s="135"/>
      <c r="BH3119" s="135"/>
      <c r="BI3119" s="2"/>
      <c r="BJ3119" s="136"/>
      <c r="BK3119" s="2"/>
      <c r="BL3119" s="136"/>
      <c r="BM3119" s="136"/>
      <c r="BN3119" s="2"/>
      <c r="BO3119" s="2"/>
      <c r="BP3119" s="136"/>
      <c r="BQ3119" s="137"/>
    </row>
    <row r="3120" spans="1:69" ht="12.75" customHeight="1" x14ac:dyDescent="0.2">
      <c r="A3120" s="2">
        <v>4609</v>
      </c>
      <c r="B3120" s="2"/>
      <c r="C3120" s="2"/>
      <c r="D3120" s="2"/>
      <c r="E3120" s="2"/>
      <c r="F3120" s="132">
        <v>0</v>
      </c>
      <c r="G3120" s="132"/>
      <c r="H3120" s="132">
        <f t="shared" si="353"/>
        <v>0</v>
      </c>
      <c r="I3120" s="132"/>
      <c r="J3120" s="132">
        <f t="shared" si="351"/>
        <v>0</v>
      </c>
      <c r="K3120" s="132">
        <f t="shared" si="347"/>
        <v>0</v>
      </c>
      <c r="L3120" s="132">
        <f t="shared" si="348"/>
        <v>0</v>
      </c>
      <c r="M3120" s="133"/>
      <c r="N3120" s="133">
        <f t="shared" si="352"/>
        <v>0</v>
      </c>
      <c r="O3120" s="134"/>
      <c r="P3120" s="133"/>
      <c r="Q3120" s="2"/>
      <c r="R3120" s="156">
        <f t="shared" si="349"/>
        <v>0</v>
      </c>
      <c r="S3120" s="156">
        <f t="shared" si="350"/>
        <v>0</v>
      </c>
      <c r="T3120" s="133"/>
      <c r="U3120" s="133"/>
      <c r="V3120" s="133"/>
      <c r="W3120" s="133"/>
      <c r="X3120" s="133"/>
      <c r="Y3120" s="133"/>
      <c r="Z3120" s="133"/>
      <c r="AA3120" s="133"/>
      <c r="AB3120" s="133"/>
      <c r="AC3120" s="133"/>
      <c r="AD3120" s="133"/>
      <c r="AE3120" s="133"/>
      <c r="AF3120" s="133"/>
      <c r="AG3120" s="133"/>
      <c r="AH3120" s="133"/>
      <c r="AI3120" s="133"/>
      <c r="AJ3120" s="133"/>
      <c r="AK3120" s="133"/>
      <c r="AL3120" s="133"/>
      <c r="AM3120" s="133"/>
      <c r="AN3120" s="133"/>
      <c r="AO3120" s="133"/>
      <c r="AP3120" s="133"/>
      <c r="AQ3120" s="133"/>
      <c r="AR3120" s="133"/>
      <c r="AS3120" s="153">
        <v>0</v>
      </c>
      <c r="AT3120" s="153">
        <v>0</v>
      </c>
      <c r="AU3120" s="153">
        <v>0</v>
      </c>
      <c r="AV3120" s="135"/>
      <c r="AW3120" s="135"/>
      <c r="AX3120" s="135"/>
      <c r="AY3120" s="135"/>
      <c r="AZ3120" s="135"/>
      <c r="BA3120" s="135"/>
      <c r="BB3120" s="135"/>
      <c r="BC3120" s="135"/>
      <c r="BD3120" s="135"/>
      <c r="BE3120" s="135"/>
      <c r="BF3120" s="135"/>
      <c r="BG3120" s="135"/>
      <c r="BH3120" s="135"/>
      <c r="BI3120" s="2"/>
      <c r="BJ3120" s="136"/>
      <c r="BK3120" s="2"/>
      <c r="BL3120" s="136"/>
      <c r="BM3120" s="136"/>
      <c r="BN3120" s="2"/>
      <c r="BO3120" s="2"/>
      <c r="BP3120" s="136"/>
      <c r="BQ3120" s="137"/>
    </row>
    <row r="3121" spans="1:69" ht="12.75" customHeight="1" x14ac:dyDescent="0.2">
      <c r="A3121" s="2">
        <v>4610</v>
      </c>
      <c r="B3121" s="2"/>
      <c r="C3121" s="2"/>
      <c r="D3121" s="2"/>
      <c r="E3121" s="2"/>
      <c r="F3121" s="132">
        <v>0</v>
      </c>
      <c r="G3121" s="132"/>
      <c r="H3121" s="132">
        <f t="shared" si="353"/>
        <v>0</v>
      </c>
      <c r="I3121" s="132"/>
      <c r="J3121" s="132">
        <f t="shared" si="351"/>
        <v>0</v>
      </c>
      <c r="K3121" s="132">
        <f t="shared" si="347"/>
        <v>0</v>
      </c>
      <c r="L3121" s="132">
        <f t="shared" si="348"/>
        <v>0</v>
      </c>
      <c r="M3121" s="133"/>
      <c r="N3121" s="133">
        <f t="shared" si="352"/>
        <v>0</v>
      </c>
      <c r="O3121" s="134"/>
      <c r="P3121" s="133"/>
      <c r="Q3121" s="2"/>
      <c r="R3121" s="156">
        <f t="shared" si="349"/>
        <v>0</v>
      </c>
      <c r="S3121" s="156">
        <f t="shared" si="350"/>
        <v>0</v>
      </c>
      <c r="T3121" s="133"/>
      <c r="U3121" s="133"/>
      <c r="V3121" s="133"/>
      <c r="W3121" s="133"/>
      <c r="X3121" s="133"/>
      <c r="Y3121" s="133"/>
      <c r="Z3121" s="133"/>
      <c r="AA3121" s="133"/>
      <c r="AB3121" s="133"/>
      <c r="AC3121" s="133"/>
      <c r="AD3121" s="133"/>
      <c r="AE3121" s="133"/>
      <c r="AF3121" s="133"/>
      <c r="AG3121" s="133"/>
      <c r="AH3121" s="133"/>
      <c r="AI3121" s="133"/>
      <c r="AJ3121" s="133"/>
      <c r="AK3121" s="133"/>
      <c r="AL3121" s="133"/>
      <c r="AM3121" s="133"/>
      <c r="AN3121" s="133"/>
      <c r="AO3121" s="133"/>
      <c r="AP3121" s="133"/>
      <c r="AQ3121" s="133"/>
      <c r="AR3121" s="133"/>
      <c r="AS3121" s="153">
        <v>0</v>
      </c>
      <c r="AT3121" s="153">
        <v>0</v>
      </c>
      <c r="AU3121" s="153">
        <v>0</v>
      </c>
      <c r="AV3121" s="135"/>
      <c r="AW3121" s="135"/>
      <c r="AX3121" s="135"/>
      <c r="AY3121" s="135"/>
      <c r="AZ3121" s="135"/>
      <c r="BA3121" s="135"/>
      <c r="BB3121" s="135"/>
      <c r="BC3121" s="135"/>
      <c r="BD3121" s="135"/>
      <c r="BE3121" s="135"/>
      <c r="BF3121" s="135"/>
      <c r="BG3121" s="135"/>
      <c r="BH3121" s="135"/>
      <c r="BI3121" s="2"/>
      <c r="BJ3121" s="136"/>
      <c r="BK3121" s="2"/>
      <c r="BL3121" s="136"/>
      <c r="BM3121" s="136"/>
      <c r="BN3121" s="2"/>
      <c r="BO3121" s="2"/>
      <c r="BP3121" s="136"/>
      <c r="BQ3121" s="137"/>
    </row>
    <row r="3122" spans="1:69" ht="12.75" customHeight="1" x14ac:dyDescent="0.2">
      <c r="A3122" s="2">
        <v>4611</v>
      </c>
      <c r="B3122" s="2"/>
      <c r="C3122" s="2"/>
      <c r="D3122" s="2"/>
      <c r="E3122" s="2"/>
      <c r="F3122" s="132">
        <v>0</v>
      </c>
      <c r="G3122" s="132"/>
      <c r="H3122" s="132">
        <f t="shared" si="353"/>
        <v>0</v>
      </c>
      <c r="I3122" s="132"/>
      <c r="J3122" s="132">
        <f t="shared" si="351"/>
        <v>0</v>
      </c>
      <c r="K3122" s="132">
        <f t="shared" si="347"/>
        <v>0</v>
      </c>
      <c r="L3122" s="132">
        <f t="shared" si="348"/>
        <v>0</v>
      </c>
      <c r="M3122" s="133"/>
      <c r="N3122" s="133">
        <f t="shared" si="352"/>
        <v>0</v>
      </c>
      <c r="O3122" s="134"/>
      <c r="P3122" s="133"/>
      <c r="Q3122" s="2"/>
      <c r="R3122" s="156">
        <f t="shared" si="349"/>
        <v>0</v>
      </c>
      <c r="S3122" s="156">
        <f t="shared" si="350"/>
        <v>0</v>
      </c>
      <c r="T3122" s="133"/>
      <c r="U3122" s="133"/>
      <c r="V3122" s="133"/>
      <c r="W3122" s="133"/>
      <c r="X3122" s="133"/>
      <c r="Y3122" s="133"/>
      <c r="Z3122" s="133"/>
      <c r="AA3122" s="133"/>
      <c r="AB3122" s="133"/>
      <c r="AC3122" s="133"/>
      <c r="AD3122" s="133"/>
      <c r="AE3122" s="133"/>
      <c r="AF3122" s="133"/>
      <c r="AG3122" s="133"/>
      <c r="AH3122" s="133"/>
      <c r="AI3122" s="133"/>
      <c r="AJ3122" s="133"/>
      <c r="AK3122" s="133"/>
      <c r="AL3122" s="133"/>
      <c r="AM3122" s="133"/>
      <c r="AN3122" s="133"/>
      <c r="AO3122" s="133"/>
      <c r="AP3122" s="133"/>
      <c r="AQ3122" s="133"/>
      <c r="AR3122" s="133"/>
      <c r="AS3122" s="153">
        <v>0</v>
      </c>
      <c r="AT3122" s="153">
        <v>0</v>
      </c>
      <c r="AU3122" s="153">
        <v>0</v>
      </c>
      <c r="AV3122" s="135"/>
      <c r="AW3122" s="135"/>
      <c r="AX3122" s="135"/>
      <c r="AY3122" s="135"/>
      <c r="AZ3122" s="135"/>
      <c r="BA3122" s="135"/>
      <c r="BB3122" s="135"/>
      <c r="BC3122" s="135"/>
      <c r="BD3122" s="135"/>
      <c r="BE3122" s="135"/>
      <c r="BF3122" s="135"/>
      <c r="BG3122" s="135"/>
      <c r="BH3122" s="135"/>
      <c r="BI3122" s="2"/>
      <c r="BJ3122" s="136"/>
      <c r="BK3122" s="2"/>
      <c r="BL3122" s="136"/>
      <c r="BM3122" s="136"/>
      <c r="BN3122" s="2"/>
      <c r="BO3122" s="2"/>
      <c r="BP3122" s="136"/>
      <c r="BQ3122" s="137"/>
    </row>
    <row r="3123" spans="1:69" ht="12.75" customHeight="1" x14ac:dyDescent="0.2">
      <c r="A3123" s="2">
        <v>4612</v>
      </c>
      <c r="B3123" s="2"/>
      <c r="C3123" s="2"/>
      <c r="D3123" s="2"/>
      <c r="E3123" s="2"/>
      <c r="F3123" s="132">
        <v>0</v>
      </c>
      <c r="G3123" s="132"/>
      <c r="H3123" s="132">
        <f t="shared" si="353"/>
        <v>0</v>
      </c>
      <c r="I3123" s="132"/>
      <c r="J3123" s="132">
        <f t="shared" si="351"/>
        <v>0</v>
      </c>
      <c r="K3123" s="132">
        <f t="shared" si="347"/>
        <v>0</v>
      </c>
      <c r="L3123" s="132">
        <f t="shared" si="348"/>
        <v>0</v>
      </c>
      <c r="M3123" s="133"/>
      <c r="N3123" s="133">
        <f t="shared" si="352"/>
        <v>0</v>
      </c>
      <c r="O3123" s="134"/>
      <c r="P3123" s="133"/>
      <c r="Q3123" s="2"/>
      <c r="R3123" s="156">
        <f t="shared" si="349"/>
        <v>0</v>
      </c>
      <c r="S3123" s="156">
        <f t="shared" si="350"/>
        <v>0</v>
      </c>
      <c r="T3123" s="133"/>
      <c r="U3123" s="133"/>
      <c r="V3123" s="133"/>
      <c r="W3123" s="133"/>
      <c r="X3123" s="133"/>
      <c r="Y3123" s="133"/>
      <c r="Z3123" s="133"/>
      <c r="AA3123" s="133"/>
      <c r="AB3123" s="133"/>
      <c r="AC3123" s="133"/>
      <c r="AD3123" s="133"/>
      <c r="AE3123" s="133"/>
      <c r="AF3123" s="133"/>
      <c r="AG3123" s="133"/>
      <c r="AH3123" s="133"/>
      <c r="AI3123" s="133"/>
      <c r="AJ3123" s="133"/>
      <c r="AK3123" s="133"/>
      <c r="AL3123" s="133"/>
      <c r="AM3123" s="133"/>
      <c r="AN3123" s="133"/>
      <c r="AO3123" s="133"/>
      <c r="AP3123" s="133"/>
      <c r="AQ3123" s="133"/>
      <c r="AR3123" s="133"/>
      <c r="AS3123" s="153">
        <v>0</v>
      </c>
      <c r="AT3123" s="153">
        <v>0</v>
      </c>
      <c r="AU3123" s="153">
        <v>0</v>
      </c>
      <c r="AV3123" s="135"/>
      <c r="AW3123" s="135"/>
      <c r="AX3123" s="135"/>
      <c r="AY3123" s="135"/>
      <c r="AZ3123" s="135"/>
      <c r="BA3123" s="135"/>
      <c r="BB3123" s="135"/>
      <c r="BC3123" s="135"/>
      <c r="BD3123" s="135"/>
      <c r="BE3123" s="135"/>
      <c r="BF3123" s="135"/>
      <c r="BG3123" s="135"/>
      <c r="BH3123" s="135"/>
      <c r="BI3123" s="2"/>
      <c r="BJ3123" s="136"/>
      <c r="BK3123" s="2"/>
      <c r="BL3123" s="136"/>
      <c r="BM3123" s="136"/>
      <c r="BN3123" s="2"/>
      <c r="BO3123" s="2"/>
      <c r="BP3123" s="136"/>
      <c r="BQ3123" s="137"/>
    </row>
    <row r="3124" spans="1:69" ht="12.75" customHeight="1" x14ac:dyDescent="0.2">
      <c r="A3124" s="2">
        <v>4613</v>
      </c>
      <c r="B3124" s="2"/>
      <c r="C3124" s="2"/>
      <c r="D3124" s="2"/>
      <c r="E3124" s="2"/>
      <c r="F3124" s="132">
        <v>0</v>
      </c>
      <c r="G3124" s="132"/>
      <c r="H3124" s="132">
        <f t="shared" si="353"/>
        <v>0</v>
      </c>
      <c r="I3124" s="132"/>
      <c r="J3124" s="132">
        <f t="shared" si="351"/>
        <v>0</v>
      </c>
      <c r="K3124" s="132">
        <f t="shared" si="347"/>
        <v>0</v>
      </c>
      <c r="L3124" s="132">
        <f t="shared" si="348"/>
        <v>0</v>
      </c>
      <c r="M3124" s="133"/>
      <c r="N3124" s="133">
        <f t="shared" si="352"/>
        <v>0</v>
      </c>
      <c r="O3124" s="134"/>
      <c r="P3124" s="133"/>
      <c r="Q3124" s="2"/>
      <c r="R3124" s="156">
        <f t="shared" si="349"/>
        <v>0</v>
      </c>
      <c r="S3124" s="156">
        <f t="shared" si="350"/>
        <v>0</v>
      </c>
      <c r="T3124" s="133"/>
      <c r="U3124" s="133"/>
      <c r="V3124" s="133"/>
      <c r="W3124" s="133"/>
      <c r="X3124" s="133"/>
      <c r="Y3124" s="133"/>
      <c r="Z3124" s="133"/>
      <c r="AA3124" s="133"/>
      <c r="AB3124" s="133"/>
      <c r="AC3124" s="133"/>
      <c r="AD3124" s="133"/>
      <c r="AE3124" s="133"/>
      <c r="AF3124" s="133"/>
      <c r="AG3124" s="133"/>
      <c r="AH3124" s="133"/>
      <c r="AI3124" s="133"/>
      <c r="AJ3124" s="133"/>
      <c r="AK3124" s="133"/>
      <c r="AL3124" s="133"/>
      <c r="AM3124" s="133"/>
      <c r="AN3124" s="133"/>
      <c r="AO3124" s="133"/>
      <c r="AP3124" s="133"/>
      <c r="AQ3124" s="133"/>
      <c r="AR3124" s="133"/>
      <c r="AS3124" s="153">
        <v>0</v>
      </c>
      <c r="AT3124" s="153">
        <v>0</v>
      </c>
      <c r="AU3124" s="153">
        <v>0</v>
      </c>
      <c r="AV3124" s="135"/>
      <c r="AW3124" s="135"/>
      <c r="AX3124" s="135"/>
      <c r="AY3124" s="135"/>
      <c r="AZ3124" s="135"/>
      <c r="BA3124" s="135"/>
      <c r="BB3124" s="135"/>
      <c r="BC3124" s="135"/>
      <c r="BD3124" s="135"/>
      <c r="BE3124" s="135"/>
      <c r="BF3124" s="135"/>
      <c r="BG3124" s="135"/>
      <c r="BH3124" s="135"/>
      <c r="BI3124" s="2"/>
      <c r="BJ3124" s="136"/>
      <c r="BK3124" s="2"/>
      <c r="BL3124" s="136"/>
      <c r="BM3124" s="136"/>
      <c r="BN3124" s="2"/>
      <c r="BO3124" s="2"/>
      <c r="BP3124" s="136"/>
      <c r="BQ3124" s="137"/>
    </row>
    <row r="3125" spans="1:69" ht="12.75" customHeight="1" x14ac:dyDescent="0.2">
      <c r="A3125" s="2">
        <v>4614</v>
      </c>
      <c r="B3125" s="2"/>
      <c r="C3125" s="2"/>
      <c r="D3125" s="2"/>
      <c r="E3125" s="2"/>
      <c r="F3125" s="132">
        <v>0</v>
      </c>
      <c r="G3125" s="132"/>
      <c r="H3125" s="132">
        <f t="shared" si="353"/>
        <v>0</v>
      </c>
      <c r="I3125" s="132"/>
      <c r="J3125" s="132">
        <f t="shared" si="351"/>
        <v>0</v>
      </c>
      <c r="K3125" s="132">
        <f t="shared" si="347"/>
        <v>0</v>
      </c>
      <c r="L3125" s="132">
        <f t="shared" si="348"/>
        <v>0</v>
      </c>
      <c r="M3125" s="133"/>
      <c r="N3125" s="133">
        <f t="shared" si="352"/>
        <v>0</v>
      </c>
      <c r="O3125" s="134"/>
      <c r="P3125" s="133"/>
      <c r="Q3125" s="2"/>
      <c r="R3125" s="156">
        <f t="shared" si="349"/>
        <v>0</v>
      </c>
      <c r="S3125" s="156">
        <f t="shared" si="350"/>
        <v>0</v>
      </c>
      <c r="T3125" s="133"/>
      <c r="U3125" s="133"/>
      <c r="V3125" s="133"/>
      <c r="W3125" s="133"/>
      <c r="X3125" s="133"/>
      <c r="Y3125" s="133"/>
      <c r="Z3125" s="133"/>
      <c r="AA3125" s="133"/>
      <c r="AB3125" s="133"/>
      <c r="AC3125" s="133"/>
      <c r="AD3125" s="133"/>
      <c r="AE3125" s="133"/>
      <c r="AF3125" s="133"/>
      <c r="AG3125" s="133"/>
      <c r="AH3125" s="133"/>
      <c r="AI3125" s="133"/>
      <c r="AJ3125" s="133"/>
      <c r="AK3125" s="133"/>
      <c r="AL3125" s="133"/>
      <c r="AM3125" s="133"/>
      <c r="AN3125" s="133"/>
      <c r="AO3125" s="133"/>
      <c r="AP3125" s="133"/>
      <c r="AQ3125" s="133"/>
      <c r="AR3125" s="133"/>
      <c r="AS3125" s="153">
        <v>0</v>
      </c>
      <c r="AT3125" s="153">
        <v>0</v>
      </c>
      <c r="AU3125" s="153">
        <v>0</v>
      </c>
      <c r="AV3125" s="135"/>
      <c r="AW3125" s="135"/>
      <c r="AX3125" s="135"/>
      <c r="AY3125" s="135"/>
      <c r="AZ3125" s="135"/>
      <c r="BA3125" s="135"/>
      <c r="BB3125" s="135"/>
      <c r="BC3125" s="135"/>
      <c r="BD3125" s="135"/>
      <c r="BE3125" s="135"/>
      <c r="BF3125" s="135"/>
      <c r="BG3125" s="135"/>
      <c r="BH3125" s="135"/>
      <c r="BI3125" s="2"/>
      <c r="BJ3125" s="136"/>
      <c r="BK3125" s="2"/>
      <c r="BL3125" s="136"/>
      <c r="BM3125" s="136"/>
      <c r="BN3125" s="2"/>
      <c r="BO3125" s="2"/>
      <c r="BP3125" s="136"/>
      <c r="BQ3125" s="137"/>
    </row>
    <row r="3126" spans="1:69" ht="12.75" customHeight="1" x14ac:dyDescent="0.2">
      <c r="A3126" s="2">
        <v>4615</v>
      </c>
      <c r="B3126" s="2"/>
      <c r="C3126" s="2"/>
      <c r="D3126" s="2"/>
      <c r="E3126" s="2"/>
      <c r="F3126" s="132">
        <v>0</v>
      </c>
      <c r="G3126" s="132"/>
      <c r="H3126" s="132">
        <f t="shared" si="353"/>
        <v>0</v>
      </c>
      <c r="I3126" s="132"/>
      <c r="J3126" s="132">
        <f t="shared" si="351"/>
        <v>0</v>
      </c>
      <c r="K3126" s="132">
        <f t="shared" ref="K3126:K3189" si="354">F3126-J3126</f>
        <v>0</v>
      </c>
      <c r="L3126" s="132">
        <f t="shared" si="348"/>
        <v>0</v>
      </c>
      <c r="M3126" s="133"/>
      <c r="N3126" s="133">
        <f t="shared" si="352"/>
        <v>0</v>
      </c>
      <c r="O3126" s="134"/>
      <c r="P3126" s="133"/>
      <c r="Q3126" s="2"/>
      <c r="R3126" s="156">
        <f t="shared" si="349"/>
        <v>0</v>
      </c>
      <c r="S3126" s="156">
        <f t="shared" si="350"/>
        <v>0</v>
      </c>
      <c r="T3126" s="133"/>
      <c r="U3126" s="133"/>
      <c r="V3126" s="133"/>
      <c r="W3126" s="133"/>
      <c r="X3126" s="133"/>
      <c r="Y3126" s="133"/>
      <c r="Z3126" s="133"/>
      <c r="AA3126" s="133"/>
      <c r="AB3126" s="133"/>
      <c r="AC3126" s="133"/>
      <c r="AD3126" s="133"/>
      <c r="AE3126" s="133"/>
      <c r="AF3126" s="133"/>
      <c r="AG3126" s="133"/>
      <c r="AH3126" s="133"/>
      <c r="AI3126" s="133"/>
      <c r="AJ3126" s="133"/>
      <c r="AK3126" s="133"/>
      <c r="AL3126" s="133"/>
      <c r="AM3126" s="133"/>
      <c r="AN3126" s="133"/>
      <c r="AO3126" s="133"/>
      <c r="AP3126" s="133"/>
      <c r="AQ3126" s="133"/>
      <c r="AR3126" s="133"/>
      <c r="AS3126" s="153">
        <v>0</v>
      </c>
      <c r="AT3126" s="153">
        <v>0</v>
      </c>
      <c r="AU3126" s="153">
        <v>0</v>
      </c>
      <c r="AV3126" s="135"/>
      <c r="AW3126" s="135"/>
      <c r="AX3126" s="135"/>
      <c r="AY3126" s="135"/>
      <c r="AZ3126" s="135"/>
      <c r="BA3126" s="135"/>
      <c r="BB3126" s="135"/>
      <c r="BC3126" s="135"/>
      <c r="BD3126" s="135"/>
      <c r="BE3126" s="135"/>
      <c r="BF3126" s="135"/>
      <c r="BG3126" s="135"/>
      <c r="BH3126" s="135"/>
      <c r="BI3126" s="2"/>
      <c r="BJ3126" s="136"/>
      <c r="BK3126" s="2"/>
      <c r="BL3126" s="136"/>
      <c r="BM3126" s="136"/>
      <c r="BN3126" s="2"/>
      <c r="BO3126" s="2"/>
      <c r="BP3126" s="136"/>
      <c r="BQ3126" s="137"/>
    </row>
    <row r="3127" spans="1:69" ht="12.75" customHeight="1" x14ac:dyDescent="0.2">
      <c r="A3127" s="2">
        <v>4616</v>
      </c>
      <c r="B3127" s="2"/>
      <c r="C3127" s="2"/>
      <c r="D3127" s="2"/>
      <c r="E3127" s="2"/>
      <c r="F3127" s="132">
        <v>0</v>
      </c>
      <c r="G3127" s="132"/>
      <c r="H3127" s="132">
        <f t="shared" si="353"/>
        <v>0</v>
      </c>
      <c r="I3127" s="132"/>
      <c r="J3127" s="132">
        <f t="shared" si="351"/>
        <v>0</v>
      </c>
      <c r="K3127" s="132">
        <f t="shared" si="354"/>
        <v>0</v>
      </c>
      <c r="L3127" s="132">
        <f t="shared" si="348"/>
        <v>0</v>
      </c>
      <c r="M3127" s="133"/>
      <c r="N3127" s="133">
        <f t="shared" si="352"/>
        <v>0</v>
      </c>
      <c r="O3127" s="134"/>
      <c r="P3127" s="133"/>
      <c r="Q3127" s="2"/>
      <c r="R3127" s="156">
        <f t="shared" si="349"/>
        <v>0</v>
      </c>
      <c r="S3127" s="156">
        <f t="shared" si="350"/>
        <v>0</v>
      </c>
      <c r="T3127" s="133"/>
      <c r="U3127" s="133"/>
      <c r="V3127" s="133"/>
      <c r="W3127" s="133"/>
      <c r="X3127" s="133"/>
      <c r="Y3127" s="133"/>
      <c r="Z3127" s="133"/>
      <c r="AA3127" s="133"/>
      <c r="AB3127" s="133"/>
      <c r="AC3127" s="133"/>
      <c r="AD3127" s="133"/>
      <c r="AE3127" s="133"/>
      <c r="AF3127" s="133"/>
      <c r="AG3127" s="133"/>
      <c r="AH3127" s="133"/>
      <c r="AI3127" s="133"/>
      <c r="AJ3127" s="133"/>
      <c r="AK3127" s="133"/>
      <c r="AL3127" s="133"/>
      <c r="AM3127" s="133"/>
      <c r="AN3127" s="133"/>
      <c r="AO3127" s="133"/>
      <c r="AP3127" s="133"/>
      <c r="AQ3127" s="133"/>
      <c r="AR3127" s="133"/>
      <c r="AS3127" s="153">
        <v>0</v>
      </c>
      <c r="AT3127" s="153">
        <v>0</v>
      </c>
      <c r="AU3127" s="153">
        <v>0</v>
      </c>
      <c r="AV3127" s="135"/>
      <c r="AW3127" s="135"/>
      <c r="AX3127" s="135"/>
      <c r="AY3127" s="135"/>
      <c r="AZ3127" s="135"/>
      <c r="BA3127" s="135"/>
      <c r="BB3127" s="135"/>
      <c r="BC3127" s="135"/>
      <c r="BD3127" s="135"/>
      <c r="BE3127" s="135"/>
      <c r="BF3127" s="135"/>
      <c r="BG3127" s="135"/>
      <c r="BH3127" s="135"/>
      <c r="BI3127" s="2"/>
      <c r="BJ3127" s="136"/>
      <c r="BK3127" s="2"/>
      <c r="BL3127" s="136"/>
      <c r="BM3127" s="136"/>
      <c r="BN3127" s="2"/>
      <c r="BO3127" s="2"/>
      <c r="BP3127" s="136"/>
      <c r="BQ3127" s="137"/>
    </row>
    <row r="3128" spans="1:69" ht="12.75" customHeight="1" x14ac:dyDescent="0.2">
      <c r="A3128" s="2">
        <v>4617</v>
      </c>
      <c r="B3128" s="2"/>
      <c r="C3128" s="2"/>
      <c r="D3128" s="2"/>
      <c r="E3128" s="2"/>
      <c r="F3128" s="132">
        <v>0</v>
      </c>
      <c r="G3128" s="132"/>
      <c r="H3128" s="132">
        <f t="shared" si="353"/>
        <v>0</v>
      </c>
      <c r="I3128" s="132"/>
      <c r="J3128" s="132">
        <f t="shared" si="351"/>
        <v>0</v>
      </c>
      <c r="K3128" s="132">
        <f t="shared" si="354"/>
        <v>0</v>
      </c>
      <c r="L3128" s="132">
        <f t="shared" si="348"/>
        <v>0</v>
      </c>
      <c r="M3128" s="133"/>
      <c r="N3128" s="133">
        <f t="shared" si="352"/>
        <v>0</v>
      </c>
      <c r="O3128" s="134"/>
      <c r="P3128" s="133"/>
      <c r="Q3128" s="2"/>
      <c r="R3128" s="156">
        <f t="shared" si="349"/>
        <v>0</v>
      </c>
      <c r="S3128" s="156">
        <f t="shared" si="350"/>
        <v>0</v>
      </c>
      <c r="T3128" s="133"/>
      <c r="U3128" s="133"/>
      <c r="V3128" s="133"/>
      <c r="W3128" s="133"/>
      <c r="X3128" s="133"/>
      <c r="Y3128" s="133"/>
      <c r="Z3128" s="133"/>
      <c r="AA3128" s="133"/>
      <c r="AB3128" s="133"/>
      <c r="AC3128" s="133"/>
      <c r="AD3128" s="133"/>
      <c r="AE3128" s="133"/>
      <c r="AF3128" s="133"/>
      <c r="AG3128" s="133"/>
      <c r="AH3128" s="133"/>
      <c r="AI3128" s="133"/>
      <c r="AJ3128" s="133"/>
      <c r="AK3128" s="133"/>
      <c r="AL3128" s="133"/>
      <c r="AM3128" s="133"/>
      <c r="AN3128" s="133"/>
      <c r="AO3128" s="133"/>
      <c r="AP3128" s="133"/>
      <c r="AQ3128" s="133"/>
      <c r="AR3128" s="133"/>
      <c r="AS3128" s="153">
        <v>0</v>
      </c>
      <c r="AT3128" s="153">
        <v>0</v>
      </c>
      <c r="AU3128" s="153">
        <v>0</v>
      </c>
      <c r="AV3128" s="135"/>
      <c r="AW3128" s="135"/>
      <c r="AX3128" s="135"/>
      <c r="AY3128" s="135"/>
      <c r="AZ3128" s="135"/>
      <c r="BA3128" s="135"/>
      <c r="BB3128" s="135"/>
      <c r="BC3128" s="135"/>
      <c r="BD3128" s="135"/>
      <c r="BE3128" s="135"/>
      <c r="BF3128" s="135"/>
      <c r="BG3128" s="135"/>
      <c r="BH3128" s="135"/>
      <c r="BI3128" s="2"/>
      <c r="BJ3128" s="136"/>
      <c r="BK3128" s="2"/>
      <c r="BL3128" s="136"/>
      <c r="BM3128" s="136"/>
      <c r="BN3128" s="2"/>
      <c r="BO3128" s="2"/>
      <c r="BP3128" s="136"/>
      <c r="BQ3128" s="137"/>
    </row>
    <row r="3129" spans="1:69" ht="12.75" customHeight="1" x14ac:dyDescent="0.2">
      <c r="A3129" s="2">
        <v>4618</v>
      </c>
      <c r="B3129" s="2"/>
      <c r="C3129" s="2"/>
      <c r="D3129" s="2"/>
      <c r="E3129" s="2"/>
      <c r="F3129" s="132">
        <v>0</v>
      </c>
      <c r="G3129" s="132"/>
      <c r="H3129" s="132">
        <f t="shared" si="353"/>
        <v>0</v>
      </c>
      <c r="I3129" s="132"/>
      <c r="J3129" s="132">
        <f t="shared" si="351"/>
        <v>0</v>
      </c>
      <c r="K3129" s="132">
        <f t="shared" si="354"/>
        <v>0</v>
      </c>
      <c r="L3129" s="132">
        <f t="shared" si="348"/>
        <v>0</v>
      </c>
      <c r="M3129" s="133"/>
      <c r="N3129" s="133">
        <f t="shared" si="352"/>
        <v>0</v>
      </c>
      <c r="O3129" s="134"/>
      <c r="P3129" s="133"/>
      <c r="Q3129" s="2"/>
      <c r="R3129" s="156">
        <f t="shared" si="349"/>
        <v>0</v>
      </c>
      <c r="S3129" s="156">
        <f t="shared" si="350"/>
        <v>0</v>
      </c>
      <c r="T3129" s="133"/>
      <c r="U3129" s="133"/>
      <c r="V3129" s="133"/>
      <c r="W3129" s="133"/>
      <c r="X3129" s="133"/>
      <c r="Y3129" s="133"/>
      <c r="Z3129" s="133"/>
      <c r="AA3129" s="133"/>
      <c r="AB3129" s="133"/>
      <c r="AC3129" s="133"/>
      <c r="AD3129" s="133"/>
      <c r="AE3129" s="133"/>
      <c r="AF3129" s="133"/>
      <c r="AG3129" s="133"/>
      <c r="AH3129" s="133"/>
      <c r="AI3129" s="133"/>
      <c r="AJ3129" s="133"/>
      <c r="AK3129" s="133"/>
      <c r="AL3129" s="133"/>
      <c r="AM3129" s="133"/>
      <c r="AN3129" s="133"/>
      <c r="AO3129" s="133"/>
      <c r="AP3129" s="133"/>
      <c r="AQ3129" s="133"/>
      <c r="AR3129" s="133"/>
      <c r="AS3129" s="153">
        <v>0</v>
      </c>
      <c r="AT3129" s="153">
        <v>0</v>
      </c>
      <c r="AU3129" s="153">
        <v>0</v>
      </c>
      <c r="AV3129" s="135"/>
      <c r="AW3129" s="135"/>
      <c r="AX3129" s="135"/>
      <c r="AY3129" s="135"/>
      <c r="AZ3129" s="135"/>
      <c r="BA3129" s="135"/>
      <c r="BB3129" s="135"/>
      <c r="BC3129" s="135"/>
      <c r="BD3129" s="135"/>
      <c r="BE3129" s="135"/>
      <c r="BF3129" s="135"/>
      <c r="BG3129" s="135"/>
      <c r="BH3129" s="135"/>
      <c r="BI3129" s="2"/>
      <c r="BJ3129" s="136"/>
      <c r="BK3129" s="2"/>
      <c r="BL3129" s="136"/>
      <c r="BM3129" s="136"/>
      <c r="BN3129" s="2"/>
      <c r="BO3129" s="2"/>
      <c r="BP3129" s="136"/>
      <c r="BQ3129" s="137"/>
    </row>
    <row r="3130" spans="1:69" ht="12.75" customHeight="1" x14ac:dyDescent="0.2">
      <c r="A3130" s="2">
        <v>4619</v>
      </c>
      <c r="B3130" s="2"/>
      <c r="C3130" s="2"/>
      <c r="D3130" s="2"/>
      <c r="E3130" s="2"/>
      <c r="F3130" s="132">
        <v>0</v>
      </c>
      <c r="G3130" s="132"/>
      <c r="H3130" s="132">
        <f t="shared" si="353"/>
        <v>0</v>
      </c>
      <c r="I3130" s="132"/>
      <c r="J3130" s="132">
        <f t="shared" si="351"/>
        <v>0</v>
      </c>
      <c r="K3130" s="132">
        <f t="shared" si="354"/>
        <v>0</v>
      </c>
      <c r="L3130" s="132">
        <f t="shared" si="348"/>
        <v>0</v>
      </c>
      <c r="M3130" s="133"/>
      <c r="N3130" s="133">
        <f t="shared" si="352"/>
        <v>0</v>
      </c>
      <c r="O3130" s="134"/>
      <c r="P3130" s="133"/>
      <c r="Q3130" s="2"/>
      <c r="R3130" s="156">
        <f t="shared" si="349"/>
        <v>0</v>
      </c>
      <c r="S3130" s="156">
        <f t="shared" si="350"/>
        <v>0</v>
      </c>
      <c r="T3130" s="133"/>
      <c r="U3130" s="133"/>
      <c r="V3130" s="133"/>
      <c r="W3130" s="133"/>
      <c r="X3130" s="133"/>
      <c r="Y3130" s="133"/>
      <c r="Z3130" s="133"/>
      <c r="AA3130" s="133"/>
      <c r="AB3130" s="133"/>
      <c r="AC3130" s="133"/>
      <c r="AD3130" s="133"/>
      <c r="AE3130" s="133"/>
      <c r="AF3130" s="133"/>
      <c r="AG3130" s="133"/>
      <c r="AH3130" s="133"/>
      <c r="AI3130" s="133"/>
      <c r="AJ3130" s="133"/>
      <c r="AK3130" s="133"/>
      <c r="AL3130" s="133"/>
      <c r="AM3130" s="133"/>
      <c r="AN3130" s="133"/>
      <c r="AO3130" s="133"/>
      <c r="AP3130" s="133"/>
      <c r="AQ3130" s="133"/>
      <c r="AR3130" s="133"/>
      <c r="AS3130" s="153">
        <v>0</v>
      </c>
      <c r="AT3130" s="153">
        <v>0</v>
      </c>
      <c r="AU3130" s="153">
        <v>0</v>
      </c>
      <c r="AV3130" s="135"/>
      <c r="AW3130" s="135"/>
      <c r="AX3130" s="135"/>
      <c r="AY3130" s="135"/>
      <c r="AZ3130" s="135"/>
      <c r="BA3130" s="135"/>
      <c r="BB3130" s="135"/>
      <c r="BC3130" s="135"/>
      <c r="BD3130" s="135"/>
      <c r="BE3130" s="135"/>
      <c r="BF3130" s="135"/>
      <c r="BG3130" s="135"/>
      <c r="BH3130" s="135"/>
      <c r="BI3130" s="2"/>
      <c r="BJ3130" s="136"/>
      <c r="BK3130" s="2"/>
      <c r="BL3130" s="136"/>
      <c r="BM3130" s="136"/>
      <c r="BN3130" s="2"/>
      <c r="BO3130" s="2"/>
      <c r="BP3130" s="136"/>
      <c r="BQ3130" s="137"/>
    </row>
    <row r="3131" spans="1:69" ht="12.75" customHeight="1" x14ac:dyDescent="0.2">
      <c r="A3131" s="2">
        <v>4620</v>
      </c>
      <c r="B3131" s="2"/>
      <c r="C3131" s="2"/>
      <c r="D3131" s="2"/>
      <c r="E3131" s="2"/>
      <c r="F3131" s="132">
        <v>0</v>
      </c>
      <c r="G3131" s="132"/>
      <c r="H3131" s="132">
        <f t="shared" si="353"/>
        <v>0</v>
      </c>
      <c r="I3131" s="132"/>
      <c r="J3131" s="132">
        <f t="shared" si="351"/>
        <v>0</v>
      </c>
      <c r="K3131" s="132">
        <f t="shared" si="354"/>
        <v>0</v>
      </c>
      <c r="L3131" s="132">
        <f t="shared" si="348"/>
        <v>0</v>
      </c>
      <c r="M3131" s="133"/>
      <c r="N3131" s="133">
        <f t="shared" si="352"/>
        <v>0</v>
      </c>
      <c r="O3131" s="134"/>
      <c r="P3131" s="133"/>
      <c r="Q3131" s="2"/>
      <c r="R3131" s="156">
        <f t="shared" si="349"/>
        <v>0</v>
      </c>
      <c r="S3131" s="156">
        <f t="shared" si="350"/>
        <v>0</v>
      </c>
      <c r="T3131" s="133"/>
      <c r="U3131" s="133"/>
      <c r="V3131" s="133"/>
      <c r="W3131" s="133"/>
      <c r="X3131" s="133"/>
      <c r="Y3131" s="133"/>
      <c r="Z3131" s="133"/>
      <c r="AA3131" s="133"/>
      <c r="AB3131" s="133"/>
      <c r="AC3131" s="133"/>
      <c r="AD3131" s="133"/>
      <c r="AE3131" s="133"/>
      <c r="AF3131" s="133"/>
      <c r="AG3131" s="133"/>
      <c r="AH3131" s="133"/>
      <c r="AI3131" s="133"/>
      <c r="AJ3131" s="133"/>
      <c r="AK3131" s="133"/>
      <c r="AL3131" s="133"/>
      <c r="AM3131" s="133"/>
      <c r="AN3131" s="133"/>
      <c r="AO3131" s="133"/>
      <c r="AP3131" s="133"/>
      <c r="AQ3131" s="133"/>
      <c r="AR3131" s="133"/>
      <c r="AS3131" s="153">
        <v>0</v>
      </c>
      <c r="AT3131" s="153">
        <v>0</v>
      </c>
      <c r="AU3131" s="153">
        <v>0</v>
      </c>
      <c r="AV3131" s="135"/>
      <c r="AW3131" s="135"/>
      <c r="AX3131" s="135"/>
      <c r="AY3131" s="135"/>
      <c r="AZ3131" s="135"/>
      <c r="BA3131" s="135"/>
      <c r="BB3131" s="135"/>
      <c r="BC3131" s="135"/>
      <c r="BD3131" s="135"/>
      <c r="BE3131" s="135"/>
      <c r="BF3131" s="135"/>
      <c r="BG3131" s="135"/>
      <c r="BH3131" s="135"/>
      <c r="BI3131" s="2"/>
      <c r="BJ3131" s="136"/>
      <c r="BK3131" s="2"/>
      <c r="BL3131" s="136"/>
      <c r="BM3131" s="136"/>
      <c r="BN3131" s="2"/>
      <c r="BO3131" s="2"/>
      <c r="BP3131" s="136"/>
      <c r="BQ3131" s="137"/>
    </row>
    <row r="3132" spans="1:69" ht="12.75" customHeight="1" x14ac:dyDescent="0.2">
      <c r="A3132" s="2">
        <v>4621</v>
      </c>
      <c r="B3132" s="2"/>
      <c r="C3132" s="2"/>
      <c r="D3132" s="2"/>
      <c r="E3132" s="2"/>
      <c r="F3132" s="132">
        <v>0</v>
      </c>
      <c r="G3132" s="132"/>
      <c r="H3132" s="132">
        <f t="shared" si="353"/>
        <v>0</v>
      </c>
      <c r="I3132" s="132"/>
      <c r="J3132" s="132">
        <f t="shared" si="351"/>
        <v>0</v>
      </c>
      <c r="K3132" s="132">
        <f t="shared" si="354"/>
        <v>0</v>
      </c>
      <c r="L3132" s="132">
        <f t="shared" si="348"/>
        <v>0</v>
      </c>
      <c r="M3132" s="133"/>
      <c r="N3132" s="133">
        <f t="shared" si="352"/>
        <v>0</v>
      </c>
      <c r="O3132" s="134"/>
      <c r="P3132" s="133"/>
      <c r="Q3132" s="2"/>
      <c r="R3132" s="156">
        <f t="shared" si="349"/>
        <v>0</v>
      </c>
      <c r="S3132" s="156">
        <f t="shared" si="350"/>
        <v>0</v>
      </c>
      <c r="T3132" s="133"/>
      <c r="U3132" s="133"/>
      <c r="V3132" s="133"/>
      <c r="W3132" s="133"/>
      <c r="X3132" s="133"/>
      <c r="Y3132" s="133"/>
      <c r="Z3132" s="133"/>
      <c r="AA3132" s="133"/>
      <c r="AB3132" s="133"/>
      <c r="AC3132" s="133"/>
      <c r="AD3132" s="133"/>
      <c r="AE3132" s="133"/>
      <c r="AF3132" s="133"/>
      <c r="AG3132" s="133"/>
      <c r="AH3132" s="133"/>
      <c r="AI3132" s="133"/>
      <c r="AJ3132" s="133"/>
      <c r="AK3132" s="133"/>
      <c r="AL3132" s="133"/>
      <c r="AM3132" s="133"/>
      <c r="AN3132" s="133"/>
      <c r="AO3132" s="133"/>
      <c r="AP3132" s="133"/>
      <c r="AQ3132" s="133"/>
      <c r="AR3132" s="133"/>
      <c r="AS3132" s="153">
        <v>0</v>
      </c>
      <c r="AT3132" s="153">
        <v>0</v>
      </c>
      <c r="AU3132" s="153">
        <v>0</v>
      </c>
      <c r="AV3132" s="135"/>
      <c r="AW3132" s="135"/>
      <c r="AX3132" s="135"/>
      <c r="AY3132" s="135"/>
      <c r="AZ3132" s="135"/>
      <c r="BA3132" s="135"/>
      <c r="BB3132" s="135"/>
      <c r="BC3132" s="135"/>
      <c r="BD3132" s="135"/>
      <c r="BE3132" s="135"/>
      <c r="BF3132" s="135"/>
      <c r="BG3132" s="135"/>
      <c r="BH3132" s="135"/>
      <c r="BI3132" s="2"/>
      <c r="BJ3132" s="136"/>
      <c r="BK3132" s="2"/>
      <c r="BL3132" s="136"/>
      <c r="BM3132" s="136"/>
      <c r="BN3132" s="2"/>
      <c r="BO3132" s="2"/>
      <c r="BP3132" s="136"/>
      <c r="BQ3132" s="137"/>
    </row>
    <row r="3133" spans="1:69" ht="12.75" customHeight="1" x14ac:dyDescent="0.2">
      <c r="A3133" s="2">
        <v>4622</v>
      </c>
      <c r="B3133" s="2"/>
      <c r="C3133" s="2"/>
      <c r="D3133" s="2"/>
      <c r="E3133" s="2"/>
      <c r="F3133" s="132">
        <v>0</v>
      </c>
      <c r="G3133" s="132"/>
      <c r="H3133" s="132">
        <f t="shared" si="353"/>
        <v>0</v>
      </c>
      <c r="I3133" s="132"/>
      <c r="J3133" s="132">
        <f t="shared" si="351"/>
        <v>0</v>
      </c>
      <c r="K3133" s="132">
        <f t="shared" si="354"/>
        <v>0</v>
      </c>
      <c r="L3133" s="132">
        <f t="shared" si="348"/>
        <v>0</v>
      </c>
      <c r="M3133" s="133"/>
      <c r="N3133" s="133">
        <f t="shared" si="352"/>
        <v>0</v>
      </c>
      <c r="O3133" s="134"/>
      <c r="P3133" s="133"/>
      <c r="Q3133" s="2"/>
      <c r="R3133" s="156">
        <f t="shared" si="349"/>
        <v>0</v>
      </c>
      <c r="S3133" s="156">
        <f t="shared" si="350"/>
        <v>0</v>
      </c>
      <c r="T3133" s="133"/>
      <c r="U3133" s="133"/>
      <c r="V3133" s="133"/>
      <c r="W3133" s="133"/>
      <c r="X3133" s="133"/>
      <c r="Y3133" s="133"/>
      <c r="Z3133" s="133"/>
      <c r="AA3133" s="133"/>
      <c r="AB3133" s="133"/>
      <c r="AC3133" s="133"/>
      <c r="AD3133" s="133"/>
      <c r="AE3133" s="133"/>
      <c r="AF3133" s="133"/>
      <c r="AG3133" s="133"/>
      <c r="AH3133" s="133"/>
      <c r="AI3133" s="133"/>
      <c r="AJ3133" s="133"/>
      <c r="AK3133" s="133"/>
      <c r="AL3133" s="133"/>
      <c r="AM3133" s="133"/>
      <c r="AN3133" s="133"/>
      <c r="AO3133" s="133"/>
      <c r="AP3133" s="133"/>
      <c r="AQ3133" s="133"/>
      <c r="AR3133" s="133"/>
      <c r="AS3133" s="153">
        <v>0</v>
      </c>
      <c r="AT3133" s="153">
        <v>0</v>
      </c>
      <c r="AU3133" s="153">
        <v>0</v>
      </c>
      <c r="AV3133" s="135"/>
      <c r="AW3133" s="135"/>
      <c r="AX3133" s="135"/>
      <c r="AY3133" s="135"/>
      <c r="AZ3133" s="135"/>
      <c r="BA3133" s="135"/>
      <c r="BB3133" s="135"/>
      <c r="BC3133" s="135"/>
      <c r="BD3133" s="135"/>
      <c r="BE3133" s="135"/>
      <c r="BF3133" s="135"/>
      <c r="BG3133" s="135"/>
      <c r="BH3133" s="135"/>
      <c r="BI3133" s="2"/>
      <c r="BJ3133" s="136"/>
      <c r="BK3133" s="2"/>
      <c r="BL3133" s="136"/>
      <c r="BM3133" s="136"/>
      <c r="BN3133" s="2"/>
      <c r="BO3133" s="2"/>
      <c r="BP3133" s="136"/>
      <c r="BQ3133" s="137"/>
    </row>
    <row r="3134" spans="1:69" ht="12.75" customHeight="1" x14ac:dyDescent="0.2">
      <c r="A3134" s="2">
        <v>4623</v>
      </c>
      <c r="B3134" s="2"/>
      <c r="C3134" s="2"/>
      <c r="D3134" s="2"/>
      <c r="E3134" s="2"/>
      <c r="F3134" s="132">
        <v>0</v>
      </c>
      <c r="G3134" s="132"/>
      <c r="H3134" s="132">
        <f t="shared" si="353"/>
        <v>0</v>
      </c>
      <c r="I3134" s="132"/>
      <c r="J3134" s="132">
        <f t="shared" si="351"/>
        <v>0</v>
      </c>
      <c r="K3134" s="132">
        <f t="shared" si="354"/>
        <v>0</v>
      </c>
      <c r="L3134" s="132">
        <f t="shared" si="348"/>
        <v>0</v>
      </c>
      <c r="M3134" s="133"/>
      <c r="N3134" s="133">
        <f t="shared" si="352"/>
        <v>0</v>
      </c>
      <c r="O3134" s="134"/>
      <c r="P3134" s="133"/>
      <c r="Q3134" s="2"/>
      <c r="R3134" s="156">
        <f t="shared" si="349"/>
        <v>0</v>
      </c>
      <c r="S3134" s="156">
        <f t="shared" si="350"/>
        <v>0</v>
      </c>
      <c r="T3134" s="133"/>
      <c r="U3134" s="133"/>
      <c r="V3134" s="133"/>
      <c r="W3134" s="133"/>
      <c r="X3134" s="133"/>
      <c r="Y3134" s="133"/>
      <c r="Z3134" s="133"/>
      <c r="AA3134" s="133"/>
      <c r="AB3134" s="133"/>
      <c r="AC3134" s="133"/>
      <c r="AD3134" s="133"/>
      <c r="AE3134" s="133"/>
      <c r="AF3134" s="133"/>
      <c r="AG3134" s="133"/>
      <c r="AH3134" s="133"/>
      <c r="AI3134" s="133"/>
      <c r="AJ3134" s="133"/>
      <c r="AK3134" s="133"/>
      <c r="AL3134" s="133"/>
      <c r="AM3134" s="133"/>
      <c r="AN3134" s="133"/>
      <c r="AO3134" s="133"/>
      <c r="AP3134" s="133"/>
      <c r="AQ3134" s="133"/>
      <c r="AR3134" s="133"/>
      <c r="AS3134" s="153">
        <v>0</v>
      </c>
      <c r="AT3134" s="153">
        <v>0</v>
      </c>
      <c r="AU3134" s="153">
        <v>0</v>
      </c>
      <c r="AV3134" s="135"/>
      <c r="AW3134" s="135"/>
      <c r="AX3134" s="135"/>
      <c r="AY3134" s="135"/>
      <c r="AZ3134" s="135"/>
      <c r="BA3134" s="135"/>
      <c r="BB3134" s="135"/>
      <c r="BC3134" s="135"/>
      <c r="BD3134" s="135"/>
      <c r="BE3134" s="135"/>
      <c r="BF3134" s="135"/>
      <c r="BG3134" s="135"/>
      <c r="BH3134" s="135"/>
      <c r="BI3134" s="2"/>
      <c r="BJ3134" s="136"/>
      <c r="BK3134" s="2"/>
      <c r="BL3134" s="136"/>
      <c r="BM3134" s="136"/>
      <c r="BN3134" s="2"/>
      <c r="BO3134" s="2"/>
      <c r="BP3134" s="136"/>
      <c r="BQ3134" s="137"/>
    </row>
    <row r="3135" spans="1:69" ht="12.75" customHeight="1" x14ac:dyDescent="0.2">
      <c r="A3135" s="2">
        <v>4624</v>
      </c>
      <c r="B3135" s="2"/>
      <c r="C3135" s="2"/>
      <c r="D3135" s="2"/>
      <c r="E3135" s="2"/>
      <c r="F3135" s="132">
        <v>0</v>
      </c>
      <c r="G3135" s="132"/>
      <c r="H3135" s="132">
        <f t="shared" si="353"/>
        <v>0</v>
      </c>
      <c r="I3135" s="132"/>
      <c r="J3135" s="132">
        <f t="shared" si="351"/>
        <v>0</v>
      </c>
      <c r="K3135" s="132">
        <f t="shared" si="354"/>
        <v>0</v>
      </c>
      <c r="L3135" s="132">
        <f t="shared" si="348"/>
        <v>0</v>
      </c>
      <c r="M3135" s="133"/>
      <c r="N3135" s="133">
        <f t="shared" si="352"/>
        <v>0</v>
      </c>
      <c r="O3135" s="134"/>
      <c r="P3135" s="133"/>
      <c r="Q3135" s="2"/>
      <c r="R3135" s="156">
        <f t="shared" si="349"/>
        <v>0</v>
      </c>
      <c r="S3135" s="156">
        <f t="shared" si="350"/>
        <v>0</v>
      </c>
      <c r="T3135" s="133"/>
      <c r="U3135" s="133"/>
      <c r="V3135" s="133"/>
      <c r="W3135" s="133"/>
      <c r="X3135" s="133"/>
      <c r="Y3135" s="133"/>
      <c r="Z3135" s="133"/>
      <c r="AA3135" s="133"/>
      <c r="AB3135" s="133"/>
      <c r="AC3135" s="133"/>
      <c r="AD3135" s="133"/>
      <c r="AE3135" s="133"/>
      <c r="AF3135" s="133"/>
      <c r="AG3135" s="133"/>
      <c r="AH3135" s="133"/>
      <c r="AI3135" s="133"/>
      <c r="AJ3135" s="133"/>
      <c r="AK3135" s="133"/>
      <c r="AL3135" s="133"/>
      <c r="AM3135" s="133"/>
      <c r="AN3135" s="133"/>
      <c r="AO3135" s="133"/>
      <c r="AP3135" s="133"/>
      <c r="AQ3135" s="133"/>
      <c r="AR3135" s="133"/>
      <c r="AS3135" s="153">
        <v>0</v>
      </c>
      <c r="AT3135" s="153">
        <v>0</v>
      </c>
      <c r="AU3135" s="153">
        <v>0</v>
      </c>
      <c r="AV3135" s="135"/>
      <c r="AW3135" s="135"/>
      <c r="AX3135" s="135"/>
      <c r="AY3135" s="135"/>
      <c r="AZ3135" s="135"/>
      <c r="BA3135" s="135"/>
      <c r="BB3135" s="135"/>
      <c r="BC3135" s="135"/>
      <c r="BD3135" s="135"/>
      <c r="BE3135" s="135"/>
      <c r="BF3135" s="135"/>
      <c r="BG3135" s="135"/>
      <c r="BH3135" s="135"/>
      <c r="BI3135" s="2"/>
      <c r="BJ3135" s="136"/>
      <c r="BK3135" s="2"/>
      <c r="BL3135" s="136"/>
      <c r="BM3135" s="136"/>
      <c r="BN3135" s="2"/>
      <c r="BO3135" s="2"/>
      <c r="BP3135" s="136"/>
      <c r="BQ3135" s="137"/>
    </row>
    <row r="3136" spans="1:69" ht="12.75" customHeight="1" x14ac:dyDescent="0.2">
      <c r="A3136" s="2">
        <v>4625</v>
      </c>
      <c r="B3136" s="2"/>
      <c r="C3136" s="2"/>
      <c r="D3136" s="2"/>
      <c r="E3136" s="2"/>
      <c r="F3136" s="132">
        <v>0</v>
      </c>
      <c r="G3136" s="132"/>
      <c r="H3136" s="132">
        <f t="shared" si="353"/>
        <v>0</v>
      </c>
      <c r="I3136" s="132"/>
      <c r="J3136" s="132">
        <f t="shared" si="351"/>
        <v>0</v>
      </c>
      <c r="K3136" s="132">
        <f t="shared" si="354"/>
        <v>0</v>
      </c>
      <c r="L3136" s="132">
        <f t="shared" si="348"/>
        <v>0</v>
      </c>
      <c r="M3136" s="133"/>
      <c r="N3136" s="133">
        <f t="shared" si="352"/>
        <v>0</v>
      </c>
      <c r="O3136" s="134"/>
      <c r="P3136" s="133"/>
      <c r="Q3136" s="2"/>
      <c r="R3136" s="156">
        <f t="shared" si="349"/>
        <v>0</v>
      </c>
      <c r="S3136" s="156">
        <f t="shared" si="350"/>
        <v>0</v>
      </c>
      <c r="T3136" s="133"/>
      <c r="U3136" s="133"/>
      <c r="V3136" s="133"/>
      <c r="W3136" s="133"/>
      <c r="X3136" s="133"/>
      <c r="Y3136" s="133"/>
      <c r="Z3136" s="133"/>
      <c r="AA3136" s="133"/>
      <c r="AB3136" s="133"/>
      <c r="AC3136" s="133"/>
      <c r="AD3136" s="133"/>
      <c r="AE3136" s="133"/>
      <c r="AF3136" s="133"/>
      <c r="AG3136" s="133"/>
      <c r="AH3136" s="133"/>
      <c r="AI3136" s="133"/>
      <c r="AJ3136" s="133"/>
      <c r="AK3136" s="133"/>
      <c r="AL3136" s="133"/>
      <c r="AM3136" s="133"/>
      <c r="AN3136" s="133"/>
      <c r="AO3136" s="133"/>
      <c r="AP3136" s="133"/>
      <c r="AQ3136" s="133"/>
      <c r="AR3136" s="133"/>
      <c r="AS3136" s="153">
        <v>0</v>
      </c>
      <c r="AT3136" s="153">
        <v>0</v>
      </c>
      <c r="AU3136" s="153">
        <v>0</v>
      </c>
      <c r="AV3136" s="135"/>
      <c r="AW3136" s="135"/>
      <c r="AX3136" s="135"/>
      <c r="AY3136" s="135"/>
      <c r="AZ3136" s="135"/>
      <c r="BA3136" s="135"/>
      <c r="BB3136" s="135"/>
      <c r="BC3136" s="135"/>
      <c r="BD3136" s="135"/>
      <c r="BE3136" s="135"/>
      <c r="BF3136" s="135"/>
      <c r="BG3136" s="135"/>
      <c r="BH3136" s="135"/>
      <c r="BI3136" s="2"/>
      <c r="BJ3136" s="136"/>
      <c r="BK3136" s="2"/>
      <c r="BL3136" s="136"/>
      <c r="BM3136" s="136"/>
      <c r="BN3136" s="2"/>
      <c r="BO3136" s="2"/>
      <c r="BP3136" s="136"/>
      <c r="BQ3136" s="137"/>
    </row>
    <row r="3137" spans="1:69" ht="12.75" customHeight="1" x14ac:dyDescent="0.2">
      <c r="A3137" s="2">
        <v>4626</v>
      </c>
      <c r="B3137" s="2"/>
      <c r="C3137" s="2"/>
      <c r="D3137" s="2"/>
      <c r="E3137" s="2"/>
      <c r="F3137" s="132">
        <v>0</v>
      </c>
      <c r="G3137" s="132"/>
      <c r="H3137" s="132">
        <f t="shared" si="353"/>
        <v>0</v>
      </c>
      <c r="I3137" s="132"/>
      <c r="J3137" s="132">
        <f t="shared" si="351"/>
        <v>0</v>
      </c>
      <c r="K3137" s="132">
        <f t="shared" si="354"/>
        <v>0</v>
      </c>
      <c r="L3137" s="132">
        <f t="shared" si="348"/>
        <v>0</v>
      </c>
      <c r="M3137" s="133"/>
      <c r="N3137" s="133">
        <f t="shared" si="352"/>
        <v>0</v>
      </c>
      <c r="O3137" s="134"/>
      <c r="P3137" s="133"/>
      <c r="Q3137" s="2"/>
      <c r="R3137" s="156">
        <f t="shared" si="349"/>
        <v>0</v>
      </c>
      <c r="S3137" s="156">
        <f t="shared" si="350"/>
        <v>0</v>
      </c>
      <c r="T3137" s="133"/>
      <c r="U3137" s="133"/>
      <c r="V3137" s="133"/>
      <c r="W3137" s="133"/>
      <c r="X3137" s="133"/>
      <c r="Y3137" s="133"/>
      <c r="Z3137" s="133"/>
      <c r="AA3137" s="133"/>
      <c r="AB3137" s="133"/>
      <c r="AC3137" s="133"/>
      <c r="AD3137" s="133"/>
      <c r="AE3137" s="133"/>
      <c r="AF3137" s="133"/>
      <c r="AG3137" s="133"/>
      <c r="AH3137" s="133"/>
      <c r="AI3137" s="133"/>
      <c r="AJ3137" s="133"/>
      <c r="AK3137" s="133"/>
      <c r="AL3137" s="133"/>
      <c r="AM3137" s="133"/>
      <c r="AN3137" s="133"/>
      <c r="AO3137" s="133"/>
      <c r="AP3137" s="133"/>
      <c r="AQ3137" s="133"/>
      <c r="AR3137" s="133"/>
      <c r="AS3137" s="153">
        <v>0</v>
      </c>
      <c r="AT3137" s="153">
        <v>0</v>
      </c>
      <c r="AU3137" s="153">
        <v>0</v>
      </c>
      <c r="AV3137" s="135"/>
      <c r="AW3137" s="135"/>
      <c r="AX3137" s="135"/>
      <c r="AY3137" s="135"/>
      <c r="AZ3137" s="135"/>
      <c r="BA3137" s="135"/>
      <c r="BB3137" s="135"/>
      <c r="BC3137" s="135"/>
      <c r="BD3137" s="135"/>
      <c r="BE3137" s="135"/>
      <c r="BF3137" s="135"/>
      <c r="BG3137" s="135"/>
      <c r="BH3137" s="135"/>
      <c r="BI3137" s="2"/>
      <c r="BJ3137" s="136"/>
      <c r="BK3137" s="2"/>
      <c r="BL3137" s="136"/>
      <c r="BM3137" s="136"/>
      <c r="BN3137" s="2"/>
      <c r="BO3137" s="2"/>
      <c r="BP3137" s="136"/>
      <c r="BQ3137" s="137"/>
    </row>
    <row r="3138" spans="1:69" ht="12.75" customHeight="1" x14ac:dyDescent="0.2">
      <c r="A3138" s="2">
        <v>4627</v>
      </c>
      <c r="B3138" s="2"/>
      <c r="C3138" s="2"/>
      <c r="D3138" s="2"/>
      <c r="E3138" s="2"/>
      <c r="F3138" s="132">
        <v>0</v>
      </c>
      <c r="G3138" s="132"/>
      <c r="H3138" s="132">
        <f t="shared" si="353"/>
        <v>0</v>
      </c>
      <c r="I3138" s="132"/>
      <c r="J3138" s="132">
        <f t="shared" si="351"/>
        <v>0</v>
      </c>
      <c r="K3138" s="132">
        <f t="shared" si="354"/>
        <v>0</v>
      </c>
      <c r="L3138" s="132">
        <f t="shared" si="348"/>
        <v>0</v>
      </c>
      <c r="M3138" s="133"/>
      <c r="N3138" s="133">
        <f t="shared" si="352"/>
        <v>0</v>
      </c>
      <c r="O3138" s="134"/>
      <c r="P3138" s="133"/>
      <c r="Q3138" s="2"/>
      <c r="R3138" s="156">
        <f t="shared" si="349"/>
        <v>0</v>
      </c>
      <c r="S3138" s="156">
        <f t="shared" si="350"/>
        <v>0</v>
      </c>
      <c r="T3138" s="133"/>
      <c r="U3138" s="133"/>
      <c r="V3138" s="133"/>
      <c r="W3138" s="133"/>
      <c r="X3138" s="133"/>
      <c r="Y3138" s="133"/>
      <c r="Z3138" s="133"/>
      <c r="AA3138" s="133"/>
      <c r="AB3138" s="133"/>
      <c r="AC3138" s="133"/>
      <c r="AD3138" s="133"/>
      <c r="AE3138" s="133"/>
      <c r="AF3138" s="133"/>
      <c r="AG3138" s="133"/>
      <c r="AH3138" s="133"/>
      <c r="AI3138" s="133"/>
      <c r="AJ3138" s="133"/>
      <c r="AK3138" s="133"/>
      <c r="AL3138" s="133"/>
      <c r="AM3138" s="133"/>
      <c r="AN3138" s="133"/>
      <c r="AO3138" s="133"/>
      <c r="AP3138" s="133"/>
      <c r="AQ3138" s="133"/>
      <c r="AR3138" s="133"/>
      <c r="AS3138" s="153">
        <v>0</v>
      </c>
      <c r="AT3138" s="153">
        <v>0</v>
      </c>
      <c r="AU3138" s="153">
        <v>0</v>
      </c>
      <c r="AV3138" s="135"/>
      <c r="AW3138" s="135"/>
      <c r="AX3138" s="135"/>
      <c r="AY3138" s="135"/>
      <c r="AZ3138" s="135"/>
      <c r="BA3138" s="135"/>
      <c r="BB3138" s="135"/>
      <c r="BC3138" s="135"/>
      <c r="BD3138" s="135"/>
      <c r="BE3138" s="135"/>
      <c r="BF3138" s="135"/>
      <c r="BG3138" s="135"/>
      <c r="BH3138" s="135"/>
      <c r="BI3138" s="2"/>
      <c r="BJ3138" s="136"/>
      <c r="BK3138" s="2"/>
      <c r="BL3138" s="136"/>
      <c r="BM3138" s="136"/>
      <c r="BN3138" s="2"/>
      <c r="BO3138" s="2"/>
      <c r="BP3138" s="136"/>
      <c r="BQ3138" s="137"/>
    </row>
    <row r="3139" spans="1:69" ht="12.75" customHeight="1" x14ac:dyDescent="0.2">
      <c r="A3139" s="2">
        <v>4628</v>
      </c>
      <c r="B3139" s="2"/>
      <c r="C3139" s="2"/>
      <c r="D3139" s="2"/>
      <c r="E3139" s="2"/>
      <c r="F3139" s="132">
        <v>0</v>
      </c>
      <c r="G3139" s="132"/>
      <c r="H3139" s="132">
        <f t="shared" si="353"/>
        <v>0</v>
      </c>
      <c r="I3139" s="132"/>
      <c r="J3139" s="132">
        <f t="shared" si="351"/>
        <v>0</v>
      </c>
      <c r="K3139" s="132">
        <f t="shared" si="354"/>
        <v>0</v>
      </c>
      <c r="L3139" s="132">
        <f t="shared" si="348"/>
        <v>0</v>
      </c>
      <c r="M3139" s="133"/>
      <c r="N3139" s="133">
        <f t="shared" si="352"/>
        <v>0</v>
      </c>
      <c r="O3139" s="134"/>
      <c r="P3139" s="133"/>
      <c r="Q3139" s="2"/>
      <c r="R3139" s="156">
        <f t="shared" si="349"/>
        <v>0</v>
      </c>
      <c r="S3139" s="156">
        <f t="shared" si="350"/>
        <v>0</v>
      </c>
      <c r="T3139" s="133"/>
      <c r="U3139" s="133"/>
      <c r="V3139" s="133"/>
      <c r="W3139" s="133"/>
      <c r="X3139" s="133"/>
      <c r="Y3139" s="133"/>
      <c r="Z3139" s="133"/>
      <c r="AA3139" s="133"/>
      <c r="AB3139" s="133"/>
      <c r="AC3139" s="133"/>
      <c r="AD3139" s="133"/>
      <c r="AE3139" s="133"/>
      <c r="AF3139" s="133"/>
      <c r="AG3139" s="133"/>
      <c r="AH3139" s="133"/>
      <c r="AI3139" s="133"/>
      <c r="AJ3139" s="133"/>
      <c r="AK3139" s="133"/>
      <c r="AL3139" s="133"/>
      <c r="AM3139" s="133"/>
      <c r="AN3139" s="133"/>
      <c r="AO3139" s="133"/>
      <c r="AP3139" s="133"/>
      <c r="AQ3139" s="133"/>
      <c r="AR3139" s="133"/>
      <c r="AS3139" s="153">
        <v>0</v>
      </c>
      <c r="AT3139" s="153">
        <v>0</v>
      </c>
      <c r="AU3139" s="153">
        <v>0</v>
      </c>
      <c r="AV3139" s="135"/>
      <c r="AW3139" s="135"/>
      <c r="AX3139" s="135"/>
      <c r="AY3139" s="135"/>
      <c r="AZ3139" s="135"/>
      <c r="BA3139" s="135"/>
      <c r="BB3139" s="135"/>
      <c r="BC3139" s="135"/>
      <c r="BD3139" s="135"/>
      <c r="BE3139" s="135"/>
      <c r="BF3139" s="135"/>
      <c r="BG3139" s="135"/>
      <c r="BH3139" s="135"/>
      <c r="BI3139" s="2"/>
      <c r="BJ3139" s="136"/>
      <c r="BK3139" s="2"/>
      <c r="BL3139" s="136"/>
      <c r="BM3139" s="136"/>
      <c r="BN3139" s="2"/>
      <c r="BO3139" s="2"/>
      <c r="BP3139" s="136"/>
      <c r="BQ3139" s="137"/>
    </row>
    <row r="3140" spans="1:69" ht="12.75" customHeight="1" x14ac:dyDescent="0.2">
      <c r="A3140" s="2">
        <v>4629</v>
      </c>
      <c r="B3140" s="2"/>
      <c r="C3140" s="2"/>
      <c r="D3140" s="2"/>
      <c r="E3140" s="2"/>
      <c r="F3140" s="132">
        <v>0</v>
      </c>
      <c r="G3140" s="132"/>
      <c r="H3140" s="132">
        <f t="shared" si="353"/>
        <v>0</v>
      </c>
      <c r="I3140" s="132"/>
      <c r="J3140" s="132">
        <f t="shared" si="351"/>
        <v>0</v>
      </c>
      <c r="K3140" s="132">
        <f t="shared" si="354"/>
        <v>0</v>
      </c>
      <c r="L3140" s="132">
        <f t="shared" si="348"/>
        <v>0</v>
      </c>
      <c r="M3140" s="133"/>
      <c r="N3140" s="133">
        <f t="shared" si="352"/>
        <v>0</v>
      </c>
      <c r="O3140" s="134"/>
      <c r="P3140" s="133"/>
      <c r="Q3140" s="2"/>
      <c r="R3140" s="156">
        <f t="shared" si="349"/>
        <v>0</v>
      </c>
      <c r="S3140" s="156">
        <f t="shared" si="350"/>
        <v>0</v>
      </c>
      <c r="T3140" s="133"/>
      <c r="U3140" s="133"/>
      <c r="V3140" s="133"/>
      <c r="W3140" s="133"/>
      <c r="X3140" s="133"/>
      <c r="Y3140" s="133"/>
      <c r="Z3140" s="133"/>
      <c r="AA3140" s="133"/>
      <c r="AB3140" s="133"/>
      <c r="AC3140" s="133"/>
      <c r="AD3140" s="133"/>
      <c r="AE3140" s="133"/>
      <c r="AF3140" s="133"/>
      <c r="AG3140" s="133"/>
      <c r="AH3140" s="133"/>
      <c r="AI3140" s="133"/>
      <c r="AJ3140" s="133"/>
      <c r="AK3140" s="133"/>
      <c r="AL3140" s="133"/>
      <c r="AM3140" s="133"/>
      <c r="AN3140" s="133"/>
      <c r="AO3140" s="133"/>
      <c r="AP3140" s="133"/>
      <c r="AQ3140" s="133"/>
      <c r="AR3140" s="133"/>
      <c r="AS3140" s="153">
        <v>0</v>
      </c>
      <c r="AT3140" s="153">
        <v>0</v>
      </c>
      <c r="AU3140" s="153">
        <v>0</v>
      </c>
      <c r="AV3140" s="135"/>
      <c r="AW3140" s="135"/>
      <c r="AX3140" s="135"/>
      <c r="AY3140" s="135"/>
      <c r="AZ3140" s="135"/>
      <c r="BA3140" s="135"/>
      <c r="BB3140" s="135"/>
      <c r="BC3140" s="135"/>
      <c r="BD3140" s="135"/>
      <c r="BE3140" s="135"/>
      <c r="BF3140" s="135"/>
      <c r="BG3140" s="135"/>
      <c r="BH3140" s="135"/>
      <c r="BI3140" s="2"/>
      <c r="BJ3140" s="136"/>
      <c r="BK3140" s="2"/>
      <c r="BL3140" s="136"/>
      <c r="BM3140" s="136"/>
      <c r="BN3140" s="2"/>
      <c r="BO3140" s="2"/>
      <c r="BP3140" s="136"/>
      <c r="BQ3140" s="137"/>
    </row>
    <row r="3141" spans="1:69" ht="12.75" customHeight="1" x14ac:dyDescent="0.2">
      <c r="A3141" s="2">
        <v>4630</v>
      </c>
      <c r="B3141" s="2"/>
      <c r="C3141" s="2"/>
      <c r="D3141" s="2"/>
      <c r="E3141" s="2"/>
      <c r="F3141" s="132">
        <v>0</v>
      </c>
      <c r="G3141" s="132"/>
      <c r="H3141" s="132">
        <f t="shared" si="353"/>
        <v>0</v>
      </c>
      <c r="I3141" s="132"/>
      <c r="J3141" s="132">
        <f t="shared" si="351"/>
        <v>0</v>
      </c>
      <c r="K3141" s="132">
        <f t="shared" si="354"/>
        <v>0</v>
      </c>
      <c r="L3141" s="132">
        <f t="shared" si="348"/>
        <v>0</v>
      </c>
      <c r="M3141" s="133"/>
      <c r="N3141" s="133">
        <f t="shared" si="352"/>
        <v>0</v>
      </c>
      <c r="O3141" s="134"/>
      <c r="P3141" s="133"/>
      <c r="Q3141" s="2"/>
      <c r="R3141" s="156">
        <f t="shared" si="349"/>
        <v>0</v>
      </c>
      <c r="S3141" s="156">
        <f t="shared" si="350"/>
        <v>0</v>
      </c>
      <c r="T3141" s="133"/>
      <c r="U3141" s="133"/>
      <c r="V3141" s="133"/>
      <c r="W3141" s="133"/>
      <c r="X3141" s="133"/>
      <c r="Y3141" s="133"/>
      <c r="Z3141" s="133"/>
      <c r="AA3141" s="133"/>
      <c r="AB3141" s="133"/>
      <c r="AC3141" s="133"/>
      <c r="AD3141" s="133"/>
      <c r="AE3141" s="133"/>
      <c r="AF3141" s="133"/>
      <c r="AG3141" s="133"/>
      <c r="AH3141" s="133"/>
      <c r="AI3141" s="133"/>
      <c r="AJ3141" s="133"/>
      <c r="AK3141" s="133"/>
      <c r="AL3141" s="133"/>
      <c r="AM3141" s="133"/>
      <c r="AN3141" s="133"/>
      <c r="AO3141" s="133"/>
      <c r="AP3141" s="133"/>
      <c r="AQ3141" s="133"/>
      <c r="AR3141" s="133"/>
      <c r="AS3141" s="153">
        <v>0</v>
      </c>
      <c r="AT3141" s="153">
        <v>0</v>
      </c>
      <c r="AU3141" s="153">
        <v>0</v>
      </c>
      <c r="AV3141" s="135"/>
      <c r="AW3141" s="135"/>
      <c r="AX3141" s="135"/>
      <c r="AY3141" s="135"/>
      <c r="AZ3141" s="135"/>
      <c r="BA3141" s="135"/>
      <c r="BB3141" s="135"/>
      <c r="BC3141" s="135"/>
      <c r="BD3141" s="135"/>
      <c r="BE3141" s="135"/>
      <c r="BF3141" s="135"/>
      <c r="BG3141" s="135"/>
      <c r="BH3141" s="135"/>
      <c r="BI3141" s="2"/>
      <c r="BJ3141" s="136"/>
      <c r="BK3141" s="2"/>
      <c r="BL3141" s="136"/>
      <c r="BM3141" s="136"/>
      <c r="BN3141" s="2"/>
      <c r="BO3141" s="2"/>
      <c r="BP3141" s="136"/>
      <c r="BQ3141" s="137"/>
    </row>
    <row r="3142" spans="1:69" ht="12.75" customHeight="1" x14ac:dyDescent="0.2">
      <c r="A3142" s="2">
        <v>4631</v>
      </c>
      <c r="B3142" s="2"/>
      <c r="C3142" s="2"/>
      <c r="D3142" s="2"/>
      <c r="E3142" s="2"/>
      <c r="F3142" s="132">
        <v>0</v>
      </c>
      <c r="G3142" s="132"/>
      <c r="H3142" s="132">
        <f t="shared" si="353"/>
        <v>0</v>
      </c>
      <c r="I3142" s="132"/>
      <c r="J3142" s="132">
        <f t="shared" si="351"/>
        <v>0</v>
      </c>
      <c r="K3142" s="132">
        <f t="shared" si="354"/>
        <v>0</v>
      </c>
      <c r="L3142" s="132">
        <f t="shared" si="348"/>
        <v>0</v>
      </c>
      <c r="M3142" s="133"/>
      <c r="N3142" s="133">
        <f t="shared" si="352"/>
        <v>0</v>
      </c>
      <c r="O3142" s="134"/>
      <c r="P3142" s="133"/>
      <c r="Q3142" s="2"/>
      <c r="R3142" s="156">
        <f t="shared" si="349"/>
        <v>0</v>
      </c>
      <c r="S3142" s="156">
        <f t="shared" si="350"/>
        <v>0</v>
      </c>
      <c r="T3142" s="133"/>
      <c r="U3142" s="133"/>
      <c r="V3142" s="133"/>
      <c r="W3142" s="133"/>
      <c r="X3142" s="133"/>
      <c r="Y3142" s="133"/>
      <c r="Z3142" s="133"/>
      <c r="AA3142" s="133"/>
      <c r="AB3142" s="133"/>
      <c r="AC3142" s="133"/>
      <c r="AD3142" s="133"/>
      <c r="AE3142" s="133"/>
      <c r="AF3142" s="133"/>
      <c r="AG3142" s="133"/>
      <c r="AH3142" s="133"/>
      <c r="AI3142" s="133"/>
      <c r="AJ3142" s="133"/>
      <c r="AK3142" s="133"/>
      <c r="AL3142" s="133"/>
      <c r="AM3142" s="133"/>
      <c r="AN3142" s="133"/>
      <c r="AO3142" s="133"/>
      <c r="AP3142" s="133"/>
      <c r="AQ3142" s="133"/>
      <c r="AR3142" s="133"/>
      <c r="AS3142" s="153">
        <v>0</v>
      </c>
      <c r="AT3142" s="153">
        <v>0</v>
      </c>
      <c r="AU3142" s="153">
        <v>0</v>
      </c>
      <c r="AV3142" s="135"/>
      <c r="AW3142" s="135"/>
      <c r="AX3142" s="135"/>
      <c r="AY3142" s="135"/>
      <c r="AZ3142" s="135"/>
      <c r="BA3142" s="135"/>
      <c r="BB3142" s="135"/>
      <c r="BC3142" s="135"/>
      <c r="BD3142" s="135"/>
      <c r="BE3142" s="135"/>
      <c r="BF3142" s="135"/>
      <c r="BG3142" s="135"/>
      <c r="BH3142" s="135"/>
      <c r="BI3142" s="2"/>
      <c r="BJ3142" s="136"/>
      <c r="BK3142" s="2"/>
      <c r="BL3142" s="136"/>
      <c r="BM3142" s="136"/>
      <c r="BN3142" s="2"/>
      <c r="BO3142" s="2"/>
      <c r="BP3142" s="136"/>
      <c r="BQ3142" s="137"/>
    </row>
    <row r="3143" spans="1:69" ht="12.75" customHeight="1" x14ac:dyDescent="0.2">
      <c r="A3143" s="2">
        <v>4632</v>
      </c>
      <c r="B3143" s="2"/>
      <c r="C3143" s="2"/>
      <c r="D3143" s="2"/>
      <c r="E3143" s="2"/>
      <c r="F3143" s="132">
        <v>0</v>
      </c>
      <c r="G3143" s="132"/>
      <c r="H3143" s="132">
        <f t="shared" si="353"/>
        <v>0</v>
      </c>
      <c r="I3143" s="132"/>
      <c r="J3143" s="132">
        <f t="shared" si="351"/>
        <v>0</v>
      </c>
      <c r="K3143" s="132">
        <f t="shared" si="354"/>
        <v>0</v>
      </c>
      <c r="L3143" s="132">
        <f t="shared" si="348"/>
        <v>0</v>
      </c>
      <c r="M3143" s="133"/>
      <c r="N3143" s="133">
        <f t="shared" si="352"/>
        <v>0</v>
      </c>
      <c r="O3143" s="134"/>
      <c r="P3143" s="133"/>
      <c r="Q3143" s="2"/>
      <c r="R3143" s="156">
        <f t="shared" si="349"/>
        <v>0</v>
      </c>
      <c r="S3143" s="156">
        <f t="shared" si="350"/>
        <v>0</v>
      </c>
      <c r="T3143" s="133"/>
      <c r="U3143" s="133"/>
      <c r="V3143" s="133"/>
      <c r="W3143" s="133"/>
      <c r="X3143" s="133"/>
      <c r="Y3143" s="133"/>
      <c r="Z3143" s="133"/>
      <c r="AA3143" s="133"/>
      <c r="AB3143" s="133"/>
      <c r="AC3143" s="133"/>
      <c r="AD3143" s="133"/>
      <c r="AE3143" s="133"/>
      <c r="AF3143" s="133"/>
      <c r="AG3143" s="133"/>
      <c r="AH3143" s="133"/>
      <c r="AI3143" s="133"/>
      <c r="AJ3143" s="133"/>
      <c r="AK3143" s="133"/>
      <c r="AL3143" s="133"/>
      <c r="AM3143" s="133"/>
      <c r="AN3143" s="133"/>
      <c r="AO3143" s="133"/>
      <c r="AP3143" s="133"/>
      <c r="AQ3143" s="133"/>
      <c r="AR3143" s="133"/>
      <c r="AS3143" s="153">
        <v>0</v>
      </c>
      <c r="AT3143" s="153">
        <v>0</v>
      </c>
      <c r="AU3143" s="153">
        <v>0</v>
      </c>
      <c r="AV3143" s="135"/>
      <c r="AW3143" s="135"/>
      <c r="AX3143" s="135"/>
      <c r="AY3143" s="135"/>
      <c r="AZ3143" s="135"/>
      <c r="BA3143" s="135"/>
      <c r="BB3143" s="135"/>
      <c r="BC3143" s="135"/>
      <c r="BD3143" s="135"/>
      <c r="BE3143" s="135"/>
      <c r="BF3143" s="135"/>
      <c r="BG3143" s="135"/>
      <c r="BH3143" s="135"/>
      <c r="BI3143" s="2"/>
      <c r="BJ3143" s="136"/>
      <c r="BK3143" s="2"/>
      <c r="BL3143" s="136"/>
      <c r="BM3143" s="136"/>
      <c r="BN3143" s="2"/>
      <c r="BO3143" s="2"/>
      <c r="BP3143" s="136"/>
      <c r="BQ3143" s="137"/>
    </row>
    <row r="3144" spans="1:69" ht="12.75" customHeight="1" x14ac:dyDescent="0.2">
      <c r="A3144" s="2">
        <v>4633</v>
      </c>
      <c r="B3144" s="2"/>
      <c r="C3144" s="2"/>
      <c r="D3144" s="2"/>
      <c r="E3144" s="2"/>
      <c r="F3144" s="132">
        <v>0</v>
      </c>
      <c r="G3144" s="132"/>
      <c r="H3144" s="132">
        <f t="shared" si="353"/>
        <v>0</v>
      </c>
      <c r="I3144" s="132"/>
      <c r="J3144" s="132">
        <f t="shared" si="351"/>
        <v>0</v>
      </c>
      <c r="K3144" s="132">
        <f t="shared" si="354"/>
        <v>0</v>
      </c>
      <c r="L3144" s="132">
        <f t="shared" si="348"/>
        <v>0</v>
      </c>
      <c r="M3144" s="133"/>
      <c r="N3144" s="133">
        <f t="shared" si="352"/>
        <v>0</v>
      </c>
      <c r="O3144" s="134"/>
      <c r="P3144" s="133"/>
      <c r="Q3144" s="2"/>
      <c r="R3144" s="156">
        <f t="shared" si="349"/>
        <v>0</v>
      </c>
      <c r="S3144" s="156">
        <f t="shared" si="350"/>
        <v>0</v>
      </c>
      <c r="T3144" s="133"/>
      <c r="U3144" s="133"/>
      <c r="V3144" s="133"/>
      <c r="W3144" s="133"/>
      <c r="X3144" s="133"/>
      <c r="Y3144" s="133"/>
      <c r="Z3144" s="133"/>
      <c r="AA3144" s="133"/>
      <c r="AB3144" s="133"/>
      <c r="AC3144" s="133"/>
      <c r="AD3144" s="133"/>
      <c r="AE3144" s="133"/>
      <c r="AF3144" s="133"/>
      <c r="AG3144" s="133"/>
      <c r="AH3144" s="133"/>
      <c r="AI3144" s="133"/>
      <c r="AJ3144" s="133"/>
      <c r="AK3144" s="133"/>
      <c r="AL3144" s="133"/>
      <c r="AM3144" s="133"/>
      <c r="AN3144" s="133"/>
      <c r="AO3144" s="133"/>
      <c r="AP3144" s="133"/>
      <c r="AQ3144" s="133"/>
      <c r="AR3144" s="133"/>
      <c r="AS3144" s="153">
        <v>0</v>
      </c>
      <c r="AT3144" s="153">
        <v>0</v>
      </c>
      <c r="AU3144" s="153">
        <v>0</v>
      </c>
      <c r="AV3144" s="135"/>
      <c r="AW3144" s="135"/>
      <c r="AX3144" s="135"/>
      <c r="AY3144" s="135"/>
      <c r="AZ3144" s="135"/>
      <c r="BA3144" s="135"/>
      <c r="BB3144" s="135"/>
      <c r="BC3144" s="135"/>
      <c r="BD3144" s="135"/>
      <c r="BE3144" s="135"/>
      <c r="BF3144" s="135"/>
      <c r="BG3144" s="135"/>
      <c r="BH3144" s="135"/>
      <c r="BI3144" s="2"/>
      <c r="BJ3144" s="136"/>
      <c r="BK3144" s="2"/>
      <c r="BL3144" s="136"/>
      <c r="BM3144" s="136"/>
      <c r="BN3144" s="2"/>
      <c r="BO3144" s="2"/>
      <c r="BP3144" s="136"/>
      <c r="BQ3144" s="137"/>
    </row>
    <row r="3145" spans="1:69" ht="12.75" customHeight="1" x14ac:dyDescent="0.2">
      <c r="A3145" s="2">
        <v>4634</v>
      </c>
      <c r="B3145" s="2"/>
      <c r="C3145" s="2"/>
      <c r="D3145" s="2"/>
      <c r="E3145" s="2"/>
      <c r="F3145" s="132">
        <v>0</v>
      </c>
      <c r="G3145" s="132"/>
      <c r="H3145" s="132">
        <f t="shared" si="353"/>
        <v>0</v>
      </c>
      <c r="I3145" s="132"/>
      <c r="J3145" s="132">
        <f t="shared" si="351"/>
        <v>0</v>
      </c>
      <c r="K3145" s="132">
        <f t="shared" si="354"/>
        <v>0</v>
      </c>
      <c r="L3145" s="132">
        <f t="shared" si="348"/>
        <v>0</v>
      </c>
      <c r="M3145" s="133"/>
      <c r="N3145" s="133">
        <f t="shared" si="352"/>
        <v>0</v>
      </c>
      <c r="O3145" s="134"/>
      <c r="P3145" s="133"/>
      <c r="Q3145" s="2"/>
      <c r="R3145" s="156">
        <f t="shared" si="349"/>
        <v>0</v>
      </c>
      <c r="S3145" s="156">
        <f t="shared" si="350"/>
        <v>0</v>
      </c>
      <c r="T3145" s="133"/>
      <c r="U3145" s="133"/>
      <c r="V3145" s="133"/>
      <c r="W3145" s="133"/>
      <c r="X3145" s="133"/>
      <c r="Y3145" s="133"/>
      <c r="Z3145" s="133"/>
      <c r="AA3145" s="133"/>
      <c r="AB3145" s="133"/>
      <c r="AC3145" s="133"/>
      <c r="AD3145" s="133"/>
      <c r="AE3145" s="133"/>
      <c r="AF3145" s="133"/>
      <c r="AG3145" s="133"/>
      <c r="AH3145" s="133"/>
      <c r="AI3145" s="133"/>
      <c r="AJ3145" s="133"/>
      <c r="AK3145" s="133"/>
      <c r="AL3145" s="133"/>
      <c r="AM3145" s="133"/>
      <c r="AN3145" s="133"/>
      <c r="AO3145" s="133"/>
      <c r="AP3145" s="133"/>
      <c r="AQ3145" s="133"/>
      <c r="AR3145" s="133"/>
      <c r="AS3145" s="153">
        <v>0</v>
      </c>
      <c r="AT3145" s="153">
        <v>0</v>
      </c>
      <c r="AU3145" s="153">
        <v>0</v>
      </c>
      <c r="AV3145" s="135"/>
      <c r="AW3145" s="135"/>
      <c r="AX3145" s="135"/>
      <c r="AY3145" s="135"/>
      <c r="AZ3145" s="135"/>
      <c r="BA3145" s="135"/>
      <c r="BB3145" s="135"/>
      <c r="BC3145" s="135"/>
      <c r="BD3145" s="135"/>
      <c r="BE3145" s="135"/>
      <c r="BF3145" s="135"/>
      <c r="BG3145" s="135"/>
      <c r="BH3145" s="135"/>
      <c r="BI3145" s="2"/>
      <c r="BJ3145" s="136"/>
      <c r="BK3145" s="2"/>
      <c r="BL3145" s="136"/>
      <c r="BM3145" s="136"/>
      <c r="BN3145" s="2"/>
      <c r="BO3145" s="2"/>
      <c r="BP3145" s="136"/>
      <c r="BQ3145" s="137"/>
    </row>
    <row r="3146" spans="1:69" ht="12.75" customHeight="1" x14ac:dyDescent="0.2">
      <c r="A3146" s="2">
        <v>4635</v>
      </c>
      <c r="B3146" s="2"/>
      <c r="C3146" s="2"/>
      <c r="D3146" s="2"/>
      <c r="E3146" s="2"/>
      <c r="F3146" s="132">
        <v>0</v>
      </c>
      <c r="G3146" s="132"/>
      <c r="H3146" s="132">
        <f t="shared" si="353"/>
        <v>0</v>
      </c>
      <c r="I3146" s="132"/>
      <c r="J3146" s="132">
        <f t="shared" si="351"/>
        <v>0</v>
      </c>
      <c r="K3146" s="132">
        <f t="shared" si="354"/>
        <v>0</v>
      </c>
      <c r="L3146" s="132">
        <f t="shared" si="348"/>
        <v>0</v>
      </c>
      <c r="M3146" s="133"/>
      <c r="N3146" s="133">
        <f t="shared" si="352"/>
        <v>0</v>
      </c>
      <c r="O3146" s="134"/>
      <c r="P3146" s="133"/>
      <c r="Q3146" s="2"/>
      <c r="R3146" s="156">
        <f t="shared" si="349"/>
        <v>0</v>
      </c>
      <c r="S3146" s="156">
        <f t="shared" si="350"/>
        <v>0</v>
      </c>
      <c r="T3146" s="133"/>
      <c r="U3146" s="133"/>
      <c r="V3146" s="133"/>
      <c r="W3146" s="133"/>
      <c r="X3146" s="133"/>
      <c r="Y3146" s="133"/>
      <c r="Z3146" s="133"/>
      <c r="AA3146" s="133"/>
      <c r="AB3146" s="133"/>
      <c r="AC3146" s="133"/>
      <c r="AD3146" s="133"/>
      <c r="AE3146" s="133"/>
      <c r="AF3146" s="133"/>
      <c r="AG3146" s="133"/>
      <c r="AH3146" s="133"/>
      <c r="AI3146" s="133"/>
      <c r="AJ3146" s="133"/>
      <c r="AK3146" s="133"/>
      <c r="AL3146" s="133"/>
      <c r="AM3146" s="133"/>
      <c r="AN3146" s="133"/>
      <c r="AO3146" s="133"/>
      <c r="AP3146" s="133"/>
      <c r="AQ3146" s="133"/>
      <c r="AR3146" s="133"/>
      <c r="AS3146" s="153">
        <v>0</v>
      </c>
      <c r="AT3146" s="153">
        <v>0</v>
      </c>
      <c r="AU3146" s="153">
        <v>0</v>
      </c>
      <c r="AV3146" s="135"/>
      <c r="AW3146" s="135"/>
      <c r="AX3146" s="135"/>
      <c r="AY3146" s="135"/>
      <c r="AZ3146" s="135"/>
      <c r="BA3146" s="135"/>
      <c r="BB3146" s="135"/>
      <c r="BC3146" s="135"/>
      <c r="BD3146" s="135"/>
      <c r="BE3146" s="135"/>
      <c r="BF3146" s="135"/>
      <c r="BG3146" s="135"/>
      <c r="BH3146" s="135"/>
      <c r="BI3146" s="2"/>
      <c r="BJ3146" s="136"/>
      <c r="BK3146" s="2"/>
      <c r="BL3146" s="136"/>
      <c r="BM3146" s="136"/>
      <c r="BN3146" s="2"/>
      <c r="BO3146" s="2"/>
      <c r="BP3146" s="136"/>
      <c r="BQ3146" s="137"/>
    </row>
    <row r="3147" spans="1:69" ht="12.75" customHeight="1" x14ac:dyDescent="0.2">
      <c r="A3147" s="2">
        <v>4636</v>
      </c>
      <c r="B3147" s="2"/>
      <c r="C3147" s="2"/>
      <c r="D3147" s="2"/>
      <c r="E3147" s="2"/>
      <c r="F3147" s="132">
        <v>0</v>
      </c>
      <c r="G3147" s="132"/>
      <c r="H3147" s="132">
        <f t="shared" si="353"/>
        <v>0</v>
      </c>
      <c r="I3147" s="132"/>
      <c r="J3147" s="132">
        <f t="shared" si="351"/>
        <v>0</v>
      </c>
      <c r="K3147" s="132">
        <f t="shared" si="354"/>
        <v>0</v>
      </c>
      <c r="L3147" s="132">
        <f t="shared" ref="L3147:L3210" si="355">H3147-J3147</f>
        <v>0</v>
      </c>
      <c r="M3147" s="133"/>
      <c r="N3147" s="133">
        <f t="shared" si="352"/>
        <v>0</v>
      </c>
      <c r="O3147" s="134"/>
      <c r="P3147" s="133"/>
      <c r="Q3147" s="2"/>
      <c r="R3147" s="156">
        <f t="shared" ref="R3147:R3210" si="356">T3147+V3147+X3147+Z3147+AB3147+AD3147+AF3147+AH3147+AJ3147+AL3147+AN3147+AP3147</f>
        <v>0</v>
      </c>
      <c r="S3147" s="156">
        <f t="shared" ref="S3147:S3210" si="357">U3147+W3147+Y3147+AA3147+AC3147+AE3147+AG3147+AI3147+AK3147+AM3147+AO3147+AQ3147</f>
        <v>0</v>
      </c>
      <c r="T3147" s="133"/>
      <c r="U3147" s="133"/>
      <c r="V3147" s="133"/>
      <c r="W3147" s="133"/>
      <c r="X3147" s="133"/>
      <c r="Y3147" s="133"/>
      <c r="Z3147" s="133"/>
      <c r="AA3147" s="133"/>
      <c r="AB3147" s="133"/>
      <c r="AC3147" s="133"/>
      <c r="AD3147" s="133"/>
      <c r="AE3147" s="133"/>
      <c r="AF3147" s="133"/>
      <c r="AG3147" s="133"/>
      <c r="AH3147" s="133"/>
      <c r="AI3147" s="133"/>
      <c r="AJ3147" s="133"/>
      <c r="AK3147" s="133"/>
      <c r="AL3147" s="133"/>
      <c r="AM3147" s="133"/>
      <c r="AN3147" s="133"/>
      <c r="AO3147" s="133"/>
      <c r="AP3147" s="133"/>
      <c r="AQ3147" s="133"/>
      <c r="AR3147" s="133"/>
      <c r="AS3147" s="153">
        <v>0</v>
      </c>
      <c r="AT3147" s="153">
        <v>0</v>
      </c>
      <c r="AU3147" s="153">
        <v>0</v>
      </c>
      <c r="AV3147" s="135"/>
      <c r="AW3147" s="135"/>
      <c r="AX3147" s="135"/>
      <c r="AY3147" s="135"/>
      <c r="AZ3147" s="135"/>
      <c r="BA3147" s="135"/>
      <c r="BB3147" s="135"/>
      <c r="BC3147" s="135"/>
      <c r="BD3147" s="135"/>
      <c r="BE3147" s="135"/>
      <c r="BF3147" s="135"/>
      <c r="BG3147" s="135"/>
      <c r="BH3147" s="135"/>
      <c r="BI3147" s="2"/>
      <c r="BJ3147" s="136"/>
      <c r="BK3147" s="2"/>
      <c r="BL3147" s="136"/>
      <c r="BM3147" s="136"/>
      <c r="BN3147" s="2"/>
      <c r="BO3147" s="2"/>
      <c r="BP3147" s="136"/>
      <c r="BQ3147" s="137"/>
    </row>
    <row r="3148" spans="1:69" ht="12.75" customHeight="1" x14ac:dyDescent="0.2">
      <c r="A3148" s="2">
        <v>4637</v>
      </c>
      <c r="B3148" s="2"/>
      <c r="C3148" s="2"/>
      <c r="D3148" s="2"/>
      <c r="E3148" s="2"/>
      <c r="F3148" s="132">
        <v>0</v>
      </c>
      <c r="G3148" s="132"/>
      <c r="H3148" s="132">
        <f t="shared" si="353"/>
        <v>0</v>
      </c>
      <c r="I3148" s="132"/>
      <c r="J3148" s="132">
        <f t="shared" si="351"/>
        <v>0</v>
      </c>
      <c r="K3148" s="132">
        <f t="shared" si="354"/>
        <v>0</v>
      </c>
      <c r="L3148" s="132">
        <f t="shared" si="355"/>
        <v>0</v>
      </c>
      <c r="M3148" s="133"/>
      <c r="N3148" s="133">
        <f t="shared" si="352"/>
        <v>0</v>
      </c>
      <c r="O3148" s="134"/>
      <c r="P3148" s="133"/>
      <c r="Q3148" s="2"/>
      <c r="R3148" s="156">
        <f t="shared" si="356"/>
        <v>0</v>
      </c>
      <c r="S3148" s="156">
        <f t="shared" si="357"/>
        <v>0</v>
      </c>
      <c r="T3148" s="133"/>
      <c r="U3148" s="133"/>
      <c r="V3148" s="133"/>
      <c r="W3148" s="133"/>
      <c r="X3148" s="133"/>
      <c r="Y3148" s="133"/>
      <c r="Z3148" s="133"/>
      <c r="AA3148" s="133"/>
      <c r="AB3148" s="133"/>
      <c r="AC3148" s="133"/>
      <c r="AD3148" s="133"/>
      <c r="AE3148" s="133"/>
      <c r="AF3148" s="133"/>
      <c r="AG3148" s="133"/>
      <c r="AH3148" s="133"/>
      <c r="AI3148" s="133"/>
      <c r="AJ3148" s="133"/>
      <c r="AK3148" s="133"/>
      <c r="AL3148" s="133"/>
      <c r="AM3148" s="133"/>
      <c r="AN3148" s="133"/>
      <c r="AO3148" s="133"/>
      <c r="AP3148" s="133"/>
      <c r="AQ3148" s="133"/>
      <c r="AR3148" s="133"/>
      <c r="AS3148" s="153">
        <v>0</v>
      </c>
      <c r="AT3148" s="153">
        <v>0</v>
      </c>
      <c r="AU3148" s="153">
        <v>0</v>
      </c>
      <c r="AV3148" s="135"/>
      <c r="AW3148" s="135"/>
      <c r="AX3148" s="135"/>
      <c r="AY3148" s="135"/>
      <c r="AZ3148" s="135"/>
      <c r="BA3148" s="135"/>
      <c r="BB3148" s="135"/>
      <c r="BC3148" s="135"/>
      <c r="BD3148" s="135"/>
      <c r="BE3148" s="135"/>
      <c r="BF3148" s="135"/>
      <c r="BG3148" s="135"/>
      <c r="BH3148" s="135"/>
      <c r="BI3148" s="2"/>
      <c r="BJ3148" s="136"/>
      <c r="BK3148" s="2"/>
      <c r="BL3148" s="136"/>
      <c r="BM3148" s="136"/>
      <c r="BN3148" s="2"/>
      <c r="BO3148" s="2"/>
      <c r="BP3148" s="136"/>
      <c r="BQ3148" s="137"/>
    </row>
    <row r="3149" spans="1:69" ht="12.75" customHeight="1" x14ac:dyDescent="0.2">
      <c r="A3149" s="2">
        <v>4638</v>
      </c>
      <c r="B3149" s="2"/>
      <c r="C3149" s="2"/>
      <c r="D3149" s="2"/>
      <c r="E3149" s="2"/>
      <c r="F3149" s="132">
        <v>0</v>
      </c>
      <c r="G3149" s="132"/>
      <c r="H3149" s="132">
        <f t="shared" si="353"/>
        <v>0</v>
      </c>
      <c r="I3149" s="132"/>
      <c r="J3149" s="132">
        <f t="shared" si="351"/>
        <v>0</v>
      </c>
      <c r="K3149" s="132">
        <f t="shared" si="354"/>
        <v>0</v>
      </c>
      <c r="L3149" s="132">
        <f t="shared" si="355"/>
        <v>0</v>
      </c>
      <c r="M3149" s="133"/>
      <c r="N3149" s="133">
        <f t="shared" si="352"/>
        <v>0</v>
      </c>
      <c r="O3149" s="134"/>
      <c r="P3149" s="133"/>
      <c r="Q3149" s="2"/>
      <c r="R3149" s="156">
        <f t="shared" si="356"/>
        <v>0</v>
      </c>
      <c r="S3149" s="156">
        <f t="shared" si="357"/>
        <v>0</v>
      </c>
      <c r="T3149" s="133"/>
      <c r="U3149" s="133"/>
      <c r="V3149" s="133"/>
      <c r="W3149" s="133"/>
      <c r="X3149" s="133"/>
      <c r="Y3149" s="133"/>
      <c r="Z3149" s="133"/>
      <c r="AA3149" s="133"/>
      <c r="AB3149" s="133"/>
      <c r="AC3149" s="133"/>
      <c r="AD3149" s="133"/>
      <c r="AE3149" s="133"/>
      <c r="AF3149" s="133"/>
      <c r="AG3149" s="133"/>
      <c r="AH3149" s="133"/>
      <c r="AI3149" s="133"/>
      <c r="AJ3149" s="133"/>
      <c r="AK3149" s="133"/>
      <c r="AL3149" s="133"/>
      <c r="AM3149" s="133"/>
      <c r="AN3149" s="133"/>
      <c r="AO3149" s="133"/>
      <c r="AP3149" s="133"/>
      <c r="AQ3149" s="133"/>
      <c r="AR3149" s="133"/>
      <c r="AS3149" s="153">
        <v>0</v>
      </c>
      <c r="AT3149" s="153">
        <v>0</v>
      </c>
      <c r="AU3149" s="153">
        <v>0</v>
      </c>
      <c r="AV3149" s="135"/>
      <c r="AW3149" s="135"/>
      <c r="AX3149" s="135"/>
      <c r="AY3149" s="135"/>
      <c r="AZ3149" s="135"/>
      <c r="BA3149" s="135"/>
      <c r="BB3149" s="135"/>
      <c r="BC3149" s="135"/>
      <c r="BD3149" s="135"/>
      <c r="BE3149" s="135"/>
      <c r="BF3149" s="135"/>
      <c r="BG3149" s="135"/>
      <c r="BH3149" s="135"/>
      <c r="BI3149" s="2"/>
      <c r="BJ3149" s="136"/>
      <c r="BK3149" s="2"/>
      <c r="BL3149" s="136"/>
      <c r="BM3149" s="136"/>
      <c r="BN3149" s="2"/>
      <c r="BO3149" s="2"/>
      <c r="BP3149" s="136"/>
      <c r="BQ3149" s="137"/>
    </row>
    <row r="3150" spans="1:69" ht="12.75" customHeight="1" x14ac:dyDescent="0.2">
      <c r="A3150" s="2">
        <v>4639</v>
      </c>
      <c r="B3150" s="2"/>
      <c r="C3150" s="2"/>
      <c r="D3150" s="2"/>
      <c r="E3150" s="2"/>
      <c r="F3150" s="132">
        <v>0</v>
      </c>
      <c r="G3150" s="132"/>
      <c r="H3150" s="132">
        <f t="shared" si="353"/>
        <v>0</v>
      </c>
      <c r="I3150" s="132"/>
      <c r="J3150" s="132">
        <f t="shared" si="351"/>
        <v>0</v>
      </c>
      <c r="K3150" s="132">
        <f t="shared" si="354"/>
        <v>0</v>
      </c>
      <c r="L3150" s="132">
        <f t="shared" si="355"/>
        <v>0</v>
      </c>
      <c r="M3150" s="133"/>
      <c r="N3150" s="133">
        <f t="shared" si="352"/>
        <v>0</v>
      </c>
      <c r="O3150" s="134"/>
      <c r="P3150" s="133"/>
      <c r="Q3150" s="2"/>
      <c r="R3150" s="156">
        <f t="shared" si="356"/>
        <v>0</v>
      </c>
      <c r="S3150" s="156">
        <f t="shared" si="357"/>
        <v>0</v>
      </c>
      <c r="T3150" s="133"/>
      <c r="U3150" s="133"/>
      <c r="V3150" s="133"/>
      <c r="W3150" s="133"/>
      <c r="X3150" s="133"/>
      <c r="Y3150" s="133"/>
      <c r="Z3150" s="133"/>
      <c r="AA3150" s="133"/>
      <c r="AB3150" s="133"/>
      <c r="AC3150" s="133"/>
      <c r="AD3150" s="133"/>
      <c r="AE3150" s="133"/>
      <c r="AF3150" s="133"/>
      <c r="AG3150" s="133"/>
      <c r="AH3150" s="133"/>
      <c r="AI3150" s="133"/>
      <c r="AJ3150" s="133"/>
      <c r="AK3150" s="133"/>
      <c r="AL3150" s="133"/>
      <c r="AM3150" s="133"/>
      <c r="AN3150" s="133"/>
      <c r="AO3150" s="133"/>
      <c r="AP3150" s="133"/>
      <c r="AQ3150" s="133"/>
      <c r="AR3150" s="133"/>
      <c r="AS3150" s="153">
        <v>0</v>
      </c>
      <c r="AT3150" s="153">
        <v>0</v>
      </c>
      <c r="AU3150" s="153">
        <v>0</v>
      </c>
      <c r="AV3150" s="135"/>
      <c r="AW3150" s="135"/>
      <c r="AX3150" s="135"/>
      <c r="AY3150" s="135"/>
      <c r="AZ3150" s="135"/>
      <c r="BA3150" s="135"/>
      <c r="BB3150" s="135"/>
      <c r="BC3150" s="135"/>
      <c r="BD3150" s="135"/>
      <c r="BE3150" s="135"/>
      <c r="BF3150" s="135"/>
      <c r="BG3150" s="135"/>
      <c r="BH3150" s="135"/>
      <c r="BI3150" s="2"/>
      <c r="BJ3150" s="136"/>
      <c r="BK3150" s="2"/>
      <c r="BL3150" s="136"/>
      <c r="BM3150" s="136"/>
      <c r="BN3150" s="2"/>
      <c r="BO3150" s="2"/>
      <c r="BP3150" s="136"/>
      <c r="BQ3150" s="137"/>
    </row>
    <row r="3151" spans="1:69" ht="12.75" customHeight="1" x14ac:dyDescent="0.2">
      <c r="A3151" s="2">
        <v>4640</v>
      </c>
      <c r="B3151" s="2"/>
      <c r="C3151" s="2"/>
      <c r="D3151" s="2"/>
      <c r="E3151" s="2"/>
      <c r="F3151" s="132">
        <v>0</v>
      </c>
      <c r="G3151" s="132"/>
      <c r="H3151" s="132">
        <f t="shared" si="353"/>
        <v>0</v>
      </c>
      <c r="I3151" s="132"/>
      <c r="J3151" s="132">
        <f t="shared" si="351"/>
        <v>0</v>
      </c>
      <c r="K3151" s="132">
        <f t="shared" si="354"/>
        <v>0</v>
      </c>
      <c r="L3151" s="132">
        <f t="shared" si="355"/>
        <v>0</v>
      </c>
      <c r="M3151" s="133"/>
      <c r="N3151" s="133">
        <f t="shared" si="352"/>
        <v>0</v>
      </c>
      <c r="O3151" s="134"/>
      <c r="P3151" s="133"/>
      <c r="Q3151" s="2"/>
      <c r="R3151" s="156">
        <f t="shared" si="356"/>
        <v>0</v>
      </c>
      <c r="S3151" s="156">
        <f t="shared" si="357"/>
        <v>0</v>
      </c>
      <c r="T3151" s="133"/>
      <c r="U3151" s="133"/>
      <c r="V3151" s="133"/>
      <c r="W3151" s="133"/>
      <c r="X3151" s="133"/>
      <c r="Y3151" s="133"/>
      <c r="Z3151" s="133"/>
      <c r="AA3151" s="133"/>
      <c r="AB3151" s="133"/>
      <c r="AC3151" s="133"/>
      <c r="AD3151" s="133"/>
      <c r="AE3151" s="133"/>
      <c r="AF3151" s="133"/>
      <c r="AG3151" s="133"/>
      <c r="AH3151" s="133"/>
      <c r="AI3151" s="133"/>
      <c r="AJ3151" s="133"/>
      <c r="AK3151" s="133"/>
      <c r="AL3151" s="133"/>
      <c r="AM3151" s="133"/>
      <c r="AN3151" s="133"/>
      <c r="AO3151" s="133"/>
      <c r="AP3151" s="133"/>
      <c r="AQ3151" s="133"/>
      <c r="AR3151" s="133"/>
      <c r="AS3151" s="153">
        <v>0</v>
      </c>
      <c r="AT3151" s="153">
        <v>0</v>
      </c>
      <c r="AU3151" s="153">
        <v>0</v>
      </c>
      <c r="AV3151" s="135"/>
      <c r="AW3151" s="135"/>
      <c r="AX3151" s="135"/>
      <c r="AY3151" s="135"/>
      <c r="AZ3151" s="135"/>
      <c r="BA3151" s="135"/>
      <c r="BB3151" s="135"/>
      <c r="BC3151" s="135"/>
      <c r="BD3151" s="135"/>
      <c r="BE3151" s="135"/>
      <c r="BF3151" s="135"/>
      <c r="BG3151" s="135"/>
      <c r="BH3151" s="135"/>
      <c r="BI3151" s="2"/>
      <c r="BJ3151" s="136"/>
      <c r="BK3151" s="2"/>
      <c r="BL3151" s="136"/>
      <c r="BM3151" s="136"/>
      <c r="BN3151" s="2"/>
      <c r="BO3151" s="2"/>
      <c r="BP3151" s="136"/>
      <c r="BQ3151" s="137"/>
    </row>
    <row r="3152" spans="1:69" ht="12.75" customHeight="1" x14ac:dyDescent="0.2">
      <c r="A3152" s="2">
        <v>4641</v>
      </c>
      <c r="B3152" s="2"/>
      <c r="C3152" s="2"/>
      <c r="D3152" s="2"/>
      <c r="E3152" s="2"/>
      <c r="F3152" s="132">
        <v>0</v>
      </c>
      <c r="G3152" s="132"/>
      <c r="H3152" s="132">
        <f t="shared" si="353"/>
        <v>0</v>
      </c>
      <c r="I3152" s="132"/>
      <c r="J3152" s="132">
        <f t="shared" si="351"/>
        <v>0</v>
      </c>
      <c r="K3152" s="132">
        <f t="shared" si="354"/>
        <v>0</v>
      </c>
      <c r="L3152" s="132">
        <f t="shared" si="355"/>
        <v>0</v>
      </c>
      <c r="M3152" s="133"/>
      <c r="N3152" s="133">
        <f t="shared" si="352"/>
        <v>0</v>
      </c>
      <c r="O3152" s="134"/>
      <c r="P3152" s="133"/>
      <c r="Q3152" s="2"/>
      <c r="R3152" s="156">
        <f t="shared" si="356"/>
        <v>0</v>
      </c>
      <c r="S3152" s="156">
        <f t="shared" si="357"/>
        <v>0</v>
      </c>
      <c r="T3152" s="133"/>
      <c r="U3152" s="133"/>
      <c r="V3152" s="133"/>
      <c r="W3152" s="133"/>
      <c r="X3152" s="133"/>
      <c r="Y3152" s="133"/>
      <c r="Z3152" s="133"/>
      <c r="AA3152" s="133"/>
      <c r="AB3152" s="133"/>
      <c r="AC3152" s="133"/>
      <c r="AD3152" s="133"/>
      <c r="AE3152" s="133"/>
      <c r="AF3152" s="133"/>
      <c r="AG3152" s="133"/>
      <c r="AH3152" s="133"/>
      <c r="AI3152" s="133"/>
      <c r="AJ3152" s="133"/>
      <c r="AK3152" s="133"/>
      <c r="AL3152" s="133"/>
      <c r="AM3152" s="133"/>
      <c r="AN3152" s="133"/>
      <c r="AO3152" s="133"/>
      <c r="AP3152" s="133"/>
      <c r="AQ3152" s="133"/>
      <c r="AR3152" s="133"/>
      <c r="AS3152" s="153">
        <v>0</v>
      </c>
      <c r="AT3152" s="153">
        <v>0</v>
      </c>
      <c r="AU3152" s="153">
        <v>0</v>
      </c>
      <c r="AV3152" s="135"/>
      <c r="AW3152" s="135"/>
      <c r="AX3152" s="135"/>
      <c r="AY3152" s="135"/>
      <c r="AZ3152" s="135"/>
      <c r="BA3152" s="135"/>
      <c r="BB3152" s="135"/>
      <c r="BC3152" s="135"/>
      <c r="BD3152" s="135"/>
      <c r="BE3152" s="135"/>
      <c r="BF3152" s="135"/>
      <c r="BG3152" s="135"/>
      <c r="BH3152" s="135"/>
      <c r="BI3152" s="2"/>
      <c r="BJ3152" s="136"/>
      <c r="BK3152" s="2"/>
      <c r="BL3152" s="136"/>
      <c r="BM3152" s="136"/>
      <c r="BN3152" s="2"/>
      <c r="BO3152" s="2"/>
      <c r="BP3152" s="136"/>
      <c r="BQ3152" s="137"/>
    </row>
    <row r="3153" spans="1:69" ht="12.75" customHeight="1" x14ac:dyDescent="0.2">
      <c r="A3153" s="2">
        <v>4642</v>
      </c>
      <c r="B3153" s="2"/>
      <c r="C3153" s="2"/>
      <c r="D3153" s="2"/>
      <c r="E3153" s="2"/>
      <c r="F3153" s="132">
        <v>0</v>
      </c>
      <c r="G3153" s="132"/>
      <c r="H3153" s="132">
        <f t="shared" si="353"/>
        <v>0</v>
      </c>
      <c r="I3153" s="132"/>
      <c r="J3153" s="132">
        <f t="shared" si="351"/>
        <v>0</v>
      </c>
      <c r="K3153" s="132">
        <f t="shared" si="354"/>
        <v>0</v>
      </c>
      <c r="L3153" s="132">
        <f t="shared" si="355"/>
        <v>0</v>
      </c>
      <c r="M3153" s="133"/>
      <c r="N3153" s="133">
        <f t="shared" si="352"/>
        <v>0</v>
      </c>
      <c r="O3153" s="134"/>
      <c r="P3153" s="133"/>
      <c r="Q3153" s="2"/>
      <c r="R3153" s="156">
        <f t="shared" si="356"/>
        <v>0</v>
      </c>
      <c r="S3153" s="156">
        <f t="shared" si="357"/>
        <v>0</v>
      </c>
      <c r="T3153" s="133"/>
      <c r="U3153" s="133"/>
      <c r="V3153" s="133"/>
      <c r="W3153" s="133"/>
      <c r="X3153" s="133"/>
      <c r="Y3153" s="133"/>
      <c r="Z3153" s="133"/>
      <c r="AA3153" s="133"/>
      <c r="AB3153" s="133"/>
      <c r="AC3153" s="133"/>
      <c r="AD3153" s="133"/>
      <c r="AE3153" s="133"/>
      <c r="AF3153" s="133"/>
      <c r="AG3153" s="133"/>
      <c r="AH3153" s="133"/>
      <c r="AI3153" s="133"/>
      <c r="AJ3153" s="133"/>
      <c r="AK3153" s="133"/>
      <c r="AL3153" s="133"/>
      <c r="AM3153" s="133"/>
      <c r="AN3153" s="133"/>
      <c r="AO3153" s="133"/>
      <c r="AP3153" s="133"/>
      <c r="AQ3153" s="133"/>
      <c r="AR3153" s="133"/>
      <c r="AS3153" s="153">
        <v>0</v>
      </c>
      <c r="AT3153" s="153">
        <v>0</v>
      </c>
      <c r="AU3153" s="153">
        <v>0</v>
      </c>
      <c r="AV3153" s="135"/>
      <c r="AW3153" s="135"/>
      <c r="AX3153" s="135"/>
      <c r="AY3153" s="135"/>
      <c r="AZ3153" s="135"/>
      <c r="BA3153" s="135"/>
      <c r="BB3153" s="135"/>
      <c r="BC3153" s="135"/>
      <c r="BD3153" s="135"/>
      <c r="BE3153" s="135"/>
      <c r="BF3153" s="135"/>
      <c r="BG3153" s="135"/>
      <c r="BH3153" s="135"/>
      <c r="BI3153" s="2"/>
      <c r="BJ3153" s="136"/>
      <c r="BK3153" s="2"/>
      <c r="BL3153" s="136"/>
      <c r="BM3153" s="136"/>
      <c r="BN3153" s="2"/>
      <c r="BO3153" s="2"/>
      <c r="BP3153" s="136"/>
      <c r="BQ3153" s="137"/>
    </row>
    <row r="3154" spans="1:69" ht="12.75" customHeight="1" x14ac:dyDescent="0.2">
      <c r="A3154" s="2">
        <v>4643</v>
      </c>
      <c r="B3154" s="2"/>
      <c r="C3154" s="2"/>
      <c r="D3154" s="2"/>
      <c r="E3154" s="2"/>
      <c r="F3154" s="132">
        <v>0</v>
      </c>
      <c r="G3154" s="132"/>
      <c r="H3154" s="132">
        <f t="shared" si="353"/>
        <v>0</v>
      </c>
      <c r="I3154" s="132"/>
      <c r="J3154" s="132">
        <f t="shared" si="351"/>
        <v>0</v>
      </c>
      <c r="K3154" s="132">
        <f t="shared" si="354"/>
        <v>0</v>
      </c>
      <c r="L3154" s="132">
        <f t="shared" si="355"/>
        <v>0</v>
      </c>
      <c r="M3154" s="133"/>
      <c r="N3154" s="133">
        <f t="shared" si="352"/>
        <v>0</v>
      </c>
      <c r="O3154" s="134"/>
      <c r="P3154" s="133"/>
      <c r="Q3154" s="2"/>
      <c r="R3154" s="156">
        <f t="shared" si="356"/>
        <v>0</v>
      </c>
      <c r="S3154" s="156">
        <f t="shared" si="357"/>
        <v>0</v>
      </c>
      <c r="T3154" s="133"/>
      <c r="U3154" s="133"/>
      <c r="V3154" s="133"/>
      <c r="W3154" s="133"/>
      <c r="X3154" s="133"/>
      <c r="Y3154" s="133"/>
      <c r="Z3154" s="133"/>
      <c r="AA3154" s="133"/>
      <c r="AB3154" s="133"/>
      <c r="AC3154" s="133"/>
      <c r="AD3154" s="133"/>
      <c r="AE3154" s="133"/>
      <c r="AF3154" s="133"/>
      <c r="AG3154" s="133"/>
      <c r="AH3154" s="133"/>
      <c r="AI3154" s="133"/>
      <c r="AJ3154" s="133"/>
      <c r="AK3154" s="133"/>
      <c r="AL3154" s="133"/>
      <c r="AM3154" s="133"/>
      <c r="AN3154" s="133"/>
      <c r="AO3154" s="133"/>
      <c r="AP3154" s="133"/>
      <c r="AQ3154" s="133"/>
      <c r="AR3154" s="133"/>
      <c r="AS3154" s="153">
        <v>0</v>
      </c>
      <c r="AT3154" s="153">
        <v>0</v>
      </c>
      <c r="AU3154" s="153">
        <v>0</v>
      </c>
      <c r="AV3154" s="135"/>
      <c r="AW3154" s="135"/>
      <c r="AX3154" s="135"/>
      <c r="AY3154" s="135"/>
      <c r="AZ3154" s="135"/>
      <c r="BA3154" s="135"/>
      <c r="BB3154" s="135"/>
      <c r="BC3154" s="135"/>
      <c r="BD3154" s="135"/>
      <c r="BE3154" s="135"/>
      <c r="BF3154" s="135"/>
      <c r="BG3154" s="135"/>
      <c r="BH3154" s="135"/>
      <c r="BI3154" s="2"/>
      <c r="BJ3154" s="136"/>
      <c r="BK3154" s="2"/>
      <c r="BL3154" s="136"/>
      <c r="BM3154" s="136"/>
      <c r="BN3154" s="2"/>
      <c r="BO3154" s="2"/>
      <c r="BP3154" s="136"/>
      <c r="BQ3154" s="137"/>
    </row>
    <row r="3155" spans="1:69" ht="12.75" customHeight="1" x14ac:dyDescent="0.2">
      <c r="A3155" s="2">
        <v>4644</v>
      </c>
      <c r="B3155" s="2"/>
      <c r="C3155" s="2"/>
      <c r="D3155" s="2"/>
      <c r="E3155" s="2"/>
      <c r="F3155" s="132">
        <v>0</v>
      </c>
      <c r="G3155" s="132"/>
      <c r="H3155" s="132">
        <f t="shared" si="353"/>
        <v>0</v>
      </c>
      <c r="I3155" s="132"/>
      <c r="J3155" s="132">
        <f t="shared" si="351"/>
        <v>0</v>
      </c>
      <c r="K3155" s="132">
        <f t="shared" si="354"/>
        <v>0</v>
      </c>
      <c r="L3155" s="132">
        <f t="shared" si="355"/>
        <v>0</v>
      </c>
      <c r="M3155" s="133"/>
      <c r="N3155" s="133">
        <f t="shared" si="352"/>
        <v>0</v>
      </c>
      <c r="O3155" s="134"/>
      <c r="P3155" s="133"/>
      <c r="Q3155" s="2"/>
      <c r="R3155" s="156">
        <f t="shared" si="356"/>
        <v>0</v>
      </c>
      <c r="S3155" s="156">
        <f t="shared" si="357"/>
        <v>0</v>
      </c>
      <c r="T3155" s="133"/>
      <c r="U3155" s="133"/>
      <c r="V3155" s="133"/>
      <c r="W3155" s="133"/>
      <c r="X3155" s="133"/>
      <c r="Y3155" s="133"/>
      <c r="Z3155" s="133"/>
      <c r="AA3155" s="133"/>
      <c r="AB3155" s="133"/>
      <c r="AC3155" s="133"/>
      <c r="AD3155" s="133"/>
      <c r="AE3155" s="133"/>
      <c r="AF3155" s="133"/>
      <c r="AG3155" s="133"/>
      <c r="AH3155" s="133"/>
      <c r="AI3155" s="133"/>
      <c r="AJ3155" s="133"/>
      <c r="AK3155" s="133"/>
      <c r="AL3155" s="133"/>
      <c r="AM3155" s="133"/>
      <c r="AN3155" s="133"/>
      <c r="AO3155" s="133"/>
      <c r="AP3155" s="133"/>
      <c r="AQ3155" s="133"/>
      <c r="AR3155" s="133"/>
      <c r="AS3155" s="153">
        <v>0</v>
      </c>
      <c r="AT3155" s="153">
        <v>0</v>
      </c>
      <c r="AU3155" s="153">
        <v>0</v>
      </c>
      <c r="AV3155" s="135"/>
      <c r="AW3155" s="135"/>
      <c r="AX3155" s="135"/>
      <c r="AY3155" s="135"/>
      <c r="AZ3155" s="135"/>
      <c r="BA3155" s="135"/>
      <c r="BB3155" s="135"/>
      <c r="BC3155" s="135"/>
      <c r="BD3155" s="135"/>
      <c r="BE3155" s="135"/>
      <c r="BF3155" s="135"/>
      <c r="BG3155" s="135"/>
      <c r="BH3155" s="135"/>
      <c r="BI3155" s="2"/>
      <c r="BJ3155" s="136"/>
      <c r="BK3155" s="2"/>
      <c r="BL3155" s="136"/>
      <c r="BM3155" s="136"/>
      <c r="BN3155" s="2"/>
      <c r="BO3155" s="2"/>
      <c r="BP3155" s="136"/>
      <c r="BQ3155" s="137"/>
    </row>
    <row r="3156" spans="1:69" ht="12.75" customHeight="1" x14ac:dyDescent="0.2">
      <c r="A3156" s="2">
        <v>4645</v>
      </c>
      <c r="B3156" s="2"/>
      <c r="C3156" s="2"/>
      <c r="D3156" s="2"/>
      <c r="E3156" s="2"/>
      <c r="F3156" s="132">
        <v>0</v>
      </c>
      <c r="G3156" s="132"/>
      <c r="H3156" s="132">
        <f t="shared" si="353"/>
        <v>0</v>
      </c>
      <c r="I3156" s="132"/>
      <c r="J3156" s="132">
        <f t="shared" si="351"/>
        <v>0</v>
      </c>
      <c r="K3156" s="132">
        <f t="shared" si="354"/>
        <v>0</v>
      </c>
      <c r="L3156" s="132">
        <f t="shared" si="355"/>
        <v>0</v>
      </c>
      <c r="M3156" s="133"/>
      <c r="N3156" s="133">
        <f t="shared" si="352"/>
        <v>0</v>
      </c>
      <c r="O3156" s="134"/>
      <c r="P3156" s="133"/>
      <c r="Q3156" s="2"/>
      <c r="R3156" s="156">
        <f t="shared" si="356"/>
        <v>0</v>
      </c>
      <c r="S3156" s="156">
        <f t="shared" si="357"/>
        <v>0</v>
      </c>
      <c r="T3156" s="133"/>
      <c r="U3156" s="133"/>
      <c r="V3156" s="133"/>
      <c r="W3156" s="133"/>
      <c r="X3156" s="133"/>
      <c r="Y3156" s="133"/>
      <c r="Z3156" s="133"/>
      <c r="AA3156" s="133"/>
      <c r="AB3156" s="133"/>
      <c r="AC3156" s="133"/>
      <c r="AD3156" s="133"/>
      <c r="AE3156" s="133"/>
      <c r="AF3156" s="133"/>
      <c r="AG3156" s="133"/>
      <c r="AH3156" s="133"/>
      <c r="AI3156" s="133"/>
      <c r="AJ3156" s="133"/>
      <c r="AK3156" s="133"/>
      <c r="AL3156" s="133"/>
      <c r="AM3156" s="133"/>
      <c r="AN3156" s="133"/>
      <c r="AO3156" s="133"/>
      <c r="AP3156" s="133"/>
      <c r="AQ3156" s="133"/>
      <c r="AR3156" s="133"/>
      <c r="AS3156" s="153">
        <v>0</v>
      </c>
      <c r="AT3156" s="153">
        <v>0</v>
      </c>
      <c r="AU3156" s="153">
        <v>0</v>
      </c>
      <c r="AV3156" s="135"/>
      <c r="AW3156" s="135"/>
      <c r="AX3156" s="135"/>
      <c r="AY3156" s="135"/>
      <c r="AZ3156" s="135"/>
      <c r="BA3156" s="135"/>
      <c r="BB3156" s="135"/>
      <c r="BC3156" s="135"/>
      <c r="BD3156" s="135"/>
      <c r="BE3156" s="135"/>
      <c r="BF3156" s="135"/>
      <c r="BG3156" s="135"/>
      <c r="BH3156" s="135"/>
      <c r="BI3156" s="2"/>
      <c r="BJ3156" s="136"/>
      <c r="BK3156" s="2"/>
      <c r="BL3156" s="136"/>
      <c r="BM3156" s="136"/>
      <c r="BN3156" s="2"/>
      <c r="BO3156" s="2"/>
      <c r="BP3156" s="136"/>
      <c r="BQ3156" s="137"/>
    </row>
    <row r="3157" spans="1:69" ht="12.75" customHeight="1" x14ac:dyDescent="0.2">
      <c r="A3157" s="2">
        <v>4646</v>
      </c>
      <c r="B3157" s="2"/>
      <c r="C3157" s="2"/>
      <c r="D3157" s="2"/>
      <c r="E3157" s="2"/>
      <c r="F3157" s="132">
        <v>0</v>
      </c>
      <c r="G3157" s="132"/>
      <c r="H3157" s="132">
        <f t="shared" si="353"/>
        <v>0</v>
      </c>
      <c r="I3157" s="132"/>
      <c r="J3157" s="132">
        <f t="shared" si="351"/>
        <v>0</v>
      </c>
      <c r="K3157" s="132">
        <f t="shared" si="354"/>
        <v>0</v>
      </c>
      <c r="L3157" s="132">
        <f t="shared" si="355"/>
        <v>0</v>
      </c>
      <c r="M3157" s="133"/>
      <c r="N3157" s="133">
        <f t="shared" si="352"/>
        <v>0</v>
      </c>
      <c r="O3157" s="134"/>
      <c r="P3157" s="133"/>
      <c r="Q3157" s="2"/>
      <c r="R3157" s="156">
        <f t="shared" si="356"/>
        <v>0</v>
      </c>
      <c r="S3157" s="156">
        <f t="shared" si="357"/>
        <v>0</v>
      </c>
      <c r="T3157" s="133"/>
      <c r="U3157" s="133"/>
      <c r="V3157" s="133"/>
      <c r="W3157" s="133"/>
      <c r="X3157" s="133"/>
      <c r="Y3157" s="133"/>
      <c r="Z3157" s="133"/>
      <c r="AA3157" s="133"/>
      <c r="AB3157" s="133"/>
      <c r="AC3157" s="133"/>
      <c r="AD3157" s="133"/>
      <c r="AE3157" s="133"/>
      <c r="AF3157" s="133"/>
      <c r="AG3157" s="133"/>
      <c r="AH3157" s="133"/>
      <c r="AI3157" s="133"/>
      <c r="AJ3157" s="133"/>
      <c r="AK3157" s="133"/>
      <c r="AL3157" s="133"/>
      <c r="AM3157" s="133"/>
      <c r="AN3157" s="133"/>
      <c r="AO3157" s="133"/>
      <c r="AP3157" s="133"/>
      <c r="AQ3157" s="133"/>
      <c r="AR3157" s="133"/>
      <c r="AS3157" s="153">
        <v>0</v>
      </c>
      <c r="AT3157" s="153">
        <v>0</v>
      </c>
      <c r="AU3157" s="153">
        <v>0</v>
      </c>
      <c r="AV3157" s="135"/>
      <c r="AW3157" s="135"/>
      <c r="AX3157" s="135"/>
      <c r="AY3157" s="135"/>
      <c r="AZ3157" s="135"/>
      <c r="BA3157" s="135"/>
      <c r="BB3157" s="135"/>
      <c r="BC3157" s="135"/>
      <c r="BD3157" s="135"/>
      <c r="BE3157" s="135"/>
      <c r="BF3157" s="135"/>
      <c r="BG3157" s="135"/>
      <c r="BH3157" s="135"/>
      <c r="BI3157" s="2"/>
      <c r="BJ3157" s="136"/>
      <c r="BK3157" s="2"/>
      <c r="BL3157" s="136"/>
      <c r="BM3157" s="136"/>
      <c r="BN3157" s="2"/>
      <c r="BO3157" s="2"/>
      <c r="BP3157" s="136"/>
      <c r="BQ3157" s="137"/>
    </row>
    <row r="3158" spans="1:69" ht="12.75" customHeight="1" x14ac:dyDescent="0.2">
      <c r="A3158" s="2">
        <v>4647</v>
      </c>
      <c r="B3158" s="2"/>
      <c r="C3158" s="2"/>
      <c r="D3158" s="2"/>
      <c r="E3158" s="2"/>
      <c r="F3158" s="132">
        <v>0</v>
      </c>
      <c r="G3158" s="132"/>
      <c r="H3158" s="132">
        <f t="shared" si="353"/>
        <v>0</v>
      </c>
      <c r="I3158" s="132"/>
      <c r="J3158" s="132">
        <f t="shared" si="351"/>
        <v>0</v>
      </c>
      <c r="K3158" s="132">
        <f t="shared" si="354"/>
        <v>0</v>
      </c>
      <c r="L3158" s="132">
        <f t="shared" si="355"/>
        <v>0</v>
      </c>
      <c r="M3158" s="133"/>
      <c r="N3158" s="133">
        <f t="shared" si="352"/>
        <v>0</v>
      </c>
      <c r="O3158" s="134"/>
      <c r="P3158" s="133"/>
      <c r="Q3158" s="2"/>
      <c r="R3158" s="156">
        <f t="shared" si="356"/>
        <v>0</v>
      </c>
      <c r="S3158" s="156">
        <f t="shared" si="357"/>
        <v>0</v>
      </c>
      <c r="T3158" s="133"/>
      <c r="U3158" s="133"/>
      <c r="V3158" s="133"/>
      <c r="W3158" s="133"/>
      <c r="X3158" s="133"/>
      <c r="Y3158" s="133"/>
      <c r="Z3158" s="133"/>
      <c r="AA3158" s="133"/>
      <c r="AB3158" s="133"/>
      <c r="AC3158" s="133"/>
      <c r="AD3158" s="133"/>
      <c r="AE3158" s="133"/>
      <c r="AF3158" s="133"/>
      <c r="AG3158" s="133"/>
      <c r="AH3158" s="133"/>
      <c r="AI3158" s="133"/>
      <c r="AJ3158" s="133"/>
      <c r="AK3158" s="133"/>
      <c r="AL3158" s="133"/>
      <c r="AM3158" s="133"/>
      <c r="AN3158" s="133"/>
      <c r="AO3158" s="133"/>
      <c r="AP3158" s="133"/>
      <c r="AQ3158" s="133"/>
      <c r="AR3158" s="133"/>
      <c r="AS3158" s="153">
        <v>0</v>
      </c>
      <c r="AT3158" s="153">
        <v>0</v>
      </c>
      <c r="AU3158" s="153">
        <v>0</v>
      </c>
      <c r="AV3158" s="135"/>
      <c r="AW3158" s="135"/>
      <c r="AX3158" s="135"/>
      <c r="AY3158" s="135"/>
      <c r="AZ3158" s="135"/>
      <c r="BA3158" s="135"/>
      <c r="BB3158" s="135"/>
      <c r="BC3158" s="135"/>
      <c r="BD3158" s="135"/>
      <c r="BE3158" s="135"/>
      <c r="BF3158" s="135"/>
      <c r="BG3158" s="135"/>
      <c r="BH3158" s="135"/>
      <c r="BI3158" s="2"/>
      <c r="BJ3158" s="136"/>
      <c r="BK3158" s="2"/>
      <c r="BL3158" s="136"/>
      <c r="BM3158" s="136"/>
      <c r="BN3158" s="2"/>
      <c r="BO3158" s="2"/>
      <c r="BP3158" s="136"/>
      <c r="BQ3158" s="137"/>
    </row>
    <row r="3159" spans="1:69" ht="12.75" customHeight="1" x14ac:dyDescent="0.2">
      <c r="A3159" s="2">
        <v>4648</v>
      </c>
      <c r="B3159" s="2"/>
      <c r="C3159" s="2"/>
      <c r="D3159" s="2"/>
      <c r="E3159" s="2"/>
      <c r="F3159" s="132">
        <v>0</v>
      </c>
      <c r="G3159" s="132"/>
      <c r="H3159" s="132">
        <f t="shared" si="353"/>
        <v>0</v>
      </c>
      <c r="I3159" s="132"/>
      <c r="J3159" s="132">
        <f t="shared" si="351"/>
        <v>0</v>
      </c>
      <c r="K3159" s="132">
        <f t="shared" si="354"/>
        <v>0</v>
      </c>
      <c r="L3159" s="132">
        <f t="shared" si="355"/>
        <v>0</v>
      </c>
      <c r="M3159" s="133"/>
      <c r="N3159" s="133">
        <f t="shared" si="352"/>
        <v>0</v>
      </c>
      <c r="O3159" s="134"/>
      <c r="P3159" s="133"/>
      <c r="Q3159" s="2"/>
      <c r="R3159" s="156">
        <f t="shared" si="356"/>
        <v>0</v>
      </c>
      <c r="S3159" s="156">
        <f t="shared" si="357"/>
        <v>0</v>
      </c>
      <c r="T3159" s="133"/>
      <c r="U3159" s="133"/>
      <c r="V3159" s="133"/>
      <c r="W3159" s="133"/>
      <c r="X3159" s="133"/>
      <c r="Y3159" s="133"/>
      <c r="Z3159" s="133"/>
      <c r="AA3159" s="133"/>
      <c r="AB3159" s="133"/>
      <c r="AC3159" s="133"/>
      <c r="AD3159" s="133"/>
      <c r="AE3159" s="133"/>
      <c r="AF3159" s="133"/>
      <c r="AG3159" s="133"/>
      <c r="AH3159" s="133"/>
      <c r="AI3159" s="133"/>
      <c r="AJ3159" s="133"/>
      <c r="AK3159" s="133"/>
      <c r="AL3159" s="133"/>
      <c r="AM3159" s="133"/>
      <c r="AN3159" s="133"/>
      <c r="AO3159" s="133"/>
      <c r="AP3159" s="133"/>
      <c r="AQ3159" s="133"/>
      <c r="AR3159" s="133"/>
      <c r="AS3159" s="153">
        <v>0</v>
      </c>
      <c r="AT3159" s="153">
        <v>0</v>
      </c>
      <c r="AU3159" s="153">
        <v>0</v>
      </c>
      <c r="AV3159" s="135"/>
      <c r="AW3159" s="135"/>
      <c r="AX3159" s="135"/>
      <c r="AY3159" s="135"/>
      <c r="AZ3159" s="135"/>
      <c r="BA3159" s="135"/>
      <c r="BB3159" s="135"/>
      <c r="BC3159" s="135"/>
      <c r="BD3159" s="135"/>
      <c r="BE3159" s="135"/>
      <c r="BF3159" s="135"/>
      <c r="BG3159" s="135"/>
      <c r="BH3159" s="135"/>
      <c r="BI3159" s="2"/>
      <c r="BJ3159" s="136"/>
      <c r="BK3159" s="2"/>
      <c r="BL3159" s="136"/>
      <c r="BM3159" s="136"/>
      <c r="BN3159" s="2"/>
      <c r="BO3159" s="2"/>
      <c r="BP3159" s="136"/>
      <c r="BQ3159" s="137"/>
    </row>
    <row r="3160" spans="1:69" ht="12.75" customHeight="1" x14ac:dyDescent="0.2">
      <c r="A3160" s="2">
        <v>4649</v>
      </c>
      <c r="B3160" s="2"/>
      <c r="C3160" s="2"/>
      <c r="D3160" s="2"/>
      <c r="E3160" s="2"/>
      <c r="F3160" s="132">
        <v>0</v>
      </c>
      <c r="G3160" s="132"/>
      <c r="H3160" s="132">
        <f t="shared" si="353"/>
        <v>0</v>
      </c>
      <c r="I3160" s="132"/>
      <c r="J3160" s="132">
        <f t="shared" si="351"/>
        <v>0</v>
      </c>
      <c r="K3160" s="132">
        <f t="shared" si="354"/>
        <v>0</v>
      </c>
      <c r="L3160" s="132">
        <f t="shared" si="355"/>
        <v>0</v>
      </c>
      <c r="M3160" s="133"/>
      <c r="N3160" s="133">
        <f t="shared" si="352"/>
        <v>0</v>
      </c>
      <c r="O3160" s="134"/>
      <c r="P3160" s="133"/>
      <c r="Q3160" s="2"/>
      <c r="R3160" s="156">
        <f t="shared" si="356"/>
        <v>0</v>
      </c>
      <c r="S3160" s="156">
        <f t="shared" si="357"/>
        <v>0</v>
      </c>
      <c r="T3160" s="133"/>
      <c r="U3160" s="133"/>
      <c r="V3160" s="133"/>
      <c r="W3160" s="133"/>
      <c r="X3160" s="133"/>
      <c r="Y3160" s="133"/>
      <c r="Z3160" s="133"/>
      <c r="AA3160" s="133"/>
      <c r="AB3160" s="133"/>
      <c r="AC3160" s="133"/>
      <c r="AD3160" s="133"/>
      <c r="AE3160" s="133"/>
      <c r="AF3160" s="133"/>
      <c r="AG3160" s="133"/>
      <c r="AH3160" s="133"/>
      <c r="AI3160" s="133"/>
      <c r="AJ3160" s="133"/>
      <c r="AK3160" s="133"/>
      <c r="AL3160" s="133"/>
      <c r="AM3160" s="133"/>
      <c r="AN3160" s="133"/>
      <c r="AO3160" s="133"/>
      <c r="AP3160" s="133"/>
      <c r="AQ3160" s="133"/>
      <c r="AR3160" s="133"/>
      <c r="AS3160" s="153">
        <v>0</v>
      </c>
      <c r="AT3160" s="153">
        <v>0</v>
      </c>
      <c r="AU3160" s="153">
        <v>0</v>
      </c>
      <c r="AV3160" s="135"/>
      <c r="AW3160" s="135"/>
      <c r="AX3160" s="135"/>
      <c r="AY3160" s="135"/>
      <c r="AZ3160" s="135"/>
      <c r="BA3160" s="135"/>
      <c r="BB3160" s="135"/>
      <c r="BC3160" s="135"/>
      <c r="BD3160" s="135"/>
      <c r="BE3160" s="135"/>
      <c r="BF3160" s="135"/>
      <c r="BG3160" s="135"/>
      <c r="BH3160" s="135"/>
      <c r="BI3160" s="2"/>
      <c r="BJ3160" s="136"/>
      <c r="BK3160" s="2"/>
      <c r="BL3160" s="136"/>
      <c r="BM3160" s="136"/>
      <c r="BN3160" s="2"/>
      <c r="BO3160" s="2"/>
      <c r="BP3160" s="136"/>
      <c r="BQ3160" s="137"/>
    </row>
    <row r="3161" spans="1:69" ht="12.75" customHeight="1" x14ac:dyDescent="0.2">
      <c r="A3161" s="2">
        <v>4650</v>
      </c>
      <c r="B3161" s="2"/>
      <c r="C3161" s="2"/>
      <c r="D3161" s="2"/>
      <c r="E3161" s="2"/>
      <c r="F3161" s="132">
        <v>0</v>
      </c>
      <c r="G3161" s="132"/>
      <c r="H3161" s="132">
        <f t="shared" si="353"/>
        <v>0</v>
      </c>
      <c r="I3161" s="132"/>
      <c r="J3161" s="132">
        <f t="shared" si="351"/>
        <v>0</v>
      </c>
      <c r="K3161" s="132">
        <f t="shared" si="354"/>
        <v>0</v>
      </c>
      <c r="L3161" s="132">
        <f t="shared" si="355"/>
        <v>0</v>
      </c>
      <c r="M3161" s="133"/>
      <c r="N3161" s="133">
        <f t="shared" si="352"/>
        <v>0</v>
      </c>
      <c r="O3161" s="134"/>
      <c r="P3161" s="133"/>
      <c r="Q3161" s="2"/>
      <c r="R3161" s="156">
        <f t="shared" si="356"/>
        <v>0</v>
      </c>
      <c r="S3161" s="156">
        <f t="shared" si="357"/>
        <v>0</v>
      </c>
      <c r="T3161" s="133"/>
      <c r="U3161" s="133"/>
      <c r="V3161" s="133"/>
      <c r="W3161" s="133"/>
      <c r="X3161" s="133"/>
      <c r="Y3161" s="133"/>
      <c r="Z3161" s="133"/>
      <c r="AA3161" s="133"/>
      <c r="AB3161" s="133"/>
      <c r="AC3161" s="133"/>
      <c r="AD3161" s="133"/>
      <c r="AE3161" s="133"/>
      <c r="AF3161" s="133"/>
      <c r="AG3161" s="133"/>
      <c r="AH3161" s="133"/>
      <c r="AI3161" s="133"/>
      <c r="AJ3161" s="133"/>
      <c r="AK3161" s="133"/>
      <c r="AL3161" s="133"/>
      <c r="AM3161" s="133"/>
      <c r="AN3161" s="133"/>
      <c r="AO3161" s="133"/>
      <c r="AP3161" s="133"/>
      <c r="AQ3161" s="133"/>
      <c r="AR3161" s="133"/>
      <c r="AS3161" s="153">
        <v>0</v>
      </c>
      <c r="AT3161" s="153">
        <v>0</v>
      </c>
      <c r="AU3161" s="153">
        <v>0</v>
      </c>
      <c r="AV3161" s="135"/>
      <c r="AW3161" s="135"/>
      <c r="AX3161" s="135"/>
      <c r="AY3161" s="135"/>
      <c r="AZ3161" s="135"/>
      <c r="BA3161" s="135"/>
      <c r="BB3161" s="135"/>
      <c r="BC3161" s="135"/>
      <c r="BD3161" s="135"/>
      <c r="BE3161" s="135"/>
      <c r="BF3161" s="135"/>
      <c r="BG3161" s="135"/>
      <c r="BH3161" s="135"/>
      <c r="BI3161" s="2"/>
      <c r="BJ3161" s="136"/>
      <c r="BK3161" s="2"/>
      <c r="BL3161" s="136"/>
      <c r="BM3161" s="136"/>
      <c r="BN3161" s="2"/>
      <c r="BO3161" s="2"/>
      <c r="BP3161" s="136"/>
      <c r="BQ3161" s="137"/>
    </row>
    <row r="3162" spans="1:69" ht="12.75" customHeight="1" x14ac:dyDescent="0.2">
      <c r="A3162" s="2">
        <v>4651</v>
      </c>
      <c r="B3162" s="2"/>
      <c r="C3162" s="2"/>
      <c r="D3162" s="2"/>
      <c r="E3162" s="2"/>
      <c r="F3162" s="132">
        <v>0</v>
      </c>
      <c r="G3162" s="132"/>
      <c r="H3162" s="132">
        <f t="shared" si="353"/>
        <v>0</v>
      </c>
      <c r="I3162" s="132"/>
      <c r="J3162" s="132">
        <f t="shared" si="351"/>
        <v>0</v>
      </c>
      <c r="K3162" s="132">
        <f t="shared" si="354"/>
        <v>0</v>
      </c>
      <c r="L3162" s="132">
        <f t="shared" si="355"/>
        <v>0</v>
      </c>
      <c r="M3162" s="133"/>
      <c r="N3162" s="133">
        <f t="shared" si="352"/>
        <v>0</v>
      </c>
      <c r="O3162" s="134"/>
      <c r="P3162" s="133"/>
      <c r="Q3162" s="2"/>
      <c r="R3162" s="156">
        <f t="shared" si="356"/>
        <v>0</v>
      </c>
      <c r="S3162" s="156">
        <f t="shared" si="357"/>
        <v>0</v>
      </c>
      <c r="T3162" s="133"/>
      <c r="U3162" s="133"/>
      <c r="V3162" s="133"/>
      <c r="W3162" s="133"/>
      <c r="X3162" s="133"/>
      <c r="Y3162" s="133"/>
      <c r="Z3162" s="133"/>
      <c r="AA3162" s="133"/>
      <c r="AB3162" s="133"/>
      <c r="AC3162" s="133"/>
      <c r="AD3162" s="133"/>
      <c r="AE3162" s="133"/>
      <c r="AF3162" s="133"/>
      <c r="AG3162" s="133"/>
      <c r="AH3162" s="133"/>
      <c r="AI3162" s="133"/>
      <c r="AJ3162" s="133"/>
      <c r="AK3162" s="133"/>
      <c r="AL3162" s="133"/>
      <c r="AM3162" s="133"/>
      <c r="AN3162" s="133"/>
      <c r="AO3162" s="133"/>
      <c r="AP3162" s="133"/>
      <c r="AQ3162" s="133"/>
      <c r="AR3162" s="133"/>
      <c r="AS3162" s="153">
        <v>0</v>
      </c>
      <c r="AT3162" s="153">
        <v>0</v>
      </c>
      <c r="AU3162" s="153">
        <v>0</v>
      </c>
      <c r="AV3162" s="135"/>
      <c r="AW3162" s="135"/>
      <c r="AX3162" s="135"/>
      <c r="AY3162" s="135"/>
      <c r="AZ3162" s="135"/>
      <c r="BA3162" s="135"/>
      <c r="BB3162" s="135"/>
      <c r="BC3162" s="135"/>
      <c r="BD3162" s="135"/>
      <c r="BE3162" s="135"/>
      <c r="BF3162" s="135"/>
      <c r="BG3162" s="135"/>
      <c r="BH3162" s="135"/>
      <c r="BI3162" s="2"/>
      <c r="BJ3162" s="136"/>
      <c r="BK3162" s="2"/>
      <c r="BL3162" s="136"/>
      <c r="BM3162" s="136"/>
      <c r="BN3162" s="2"/>
      <c r="BO3162" s="2"/>
      <c r="BP3162" s="136"/>
      <c r="BQ3162" s="137"/>
    </row>
    <row r="3163" spans="1:69" ht="12.75" customHeight="1" x14ac:dyDescent="0.2">
      <c r="A3163" s="2">
        <v>4652</v>
      </c>
      <c r="B3163" s="2"/>
      <c r="C3163" s="2"/>
      <c r="D3163" s="2"/>
      <c r="E3163" s="2"/>
      <c r="F3163" s="132">
        <v>0</v>
      </c>
      <c r="G3163" s="132"/>
      <c r="H3163" s="132">
        <f t="shared" si="353"/>
        <v>0</v>
      </c>
      <c r="I3163" s="132"/>
      <c r="J3163" s="132">
        <f t="shared" si="351"/>
        <v>0</v>
      </c>
      <c r="K3163" s="132">
        <f t="shared" si="354"/>
        <v>0</v>
      </c>
      <c r="L3163" s="132">
        <f t="shared" si="355"/>
        <v>0</v>
      </c>
      <c r="M3163" s="133"/>
      <c r="N3163" s="133">
        <f t="shared" si="352"/>
        <v>0</v>
      </c>
      <c r="O3163" s="134"/>
      <c r="P3163" s="133"/>
      <c r="Q3163" s="2"/>
      <c r="R3163" s="156">
        <f t="shared" si="356"/>
        <v>0</v>
      </c>
      <c r="S3163" s="156">
        <f t="shared" si="357"/>
        <v>0</v>
      </c>
      <c r="T3163" s="133"/>
      <c r="U3163" s="133"/>
      <c r="V3163" s="133"/>
      <c r="W3163" s="133"/>
      <c r="X3163" s="133"/>
      <c r="Y3163" s="133"/>
      <c r="Z3163" s="133"/>
      <c r="AA3163" s="133"/>
      <c r="AB3163" s="133"/>
      <c r="AC3163" s="133"/>
      <c r="AD3163" s="133"/>
      <c r="AE3163" s="133"/>
      <c r="AF3163" s="133"/>
      <c r="AG3163" s="133"/>
      <c r="AH3163" s="133"/>
      <c r="AI3163" s="133"/>
      <c r="AJ3163" s="133"/>
      <c r="AK3163" s="133"/>
      <c r="AL3163" s="133"/>
      <c r="AM3163" s="133"/>
      <c r="AN3163" s="133"/>
      <c r="AO3163" s="133"/>
      <c r="AP3163" s="133"/>
      <c r="AQ3163" s="133"/>
      <c r="AR3163" s="133"/>
      <c r="AS3163" s="153">
        <v>0</v>
      </c>
      <c r="AT3163" s="153">
        <v>0</v>
      </c>
      <c r="AU3163" s="153">
        <v>0</v>
      </c>
      <c r="AV3163" s="135"/>
      <c r="AW3163" s="135"/>
      <c r="AX3163" s="135"/>
      <c r="AY3163" s="135"/>
      <c r="AZ3163" s="135"/>
      <c r="BA3163" s="135"/>
      <c r="BB3163" s="135"/>
      <c r="BC3163" s="135"/>
      <c r="BD3163" s="135"/>
      <c r="BE3163" s="135"/>
      <c r="BF3163" s="135"/>
      <c r="BG3163" s="135"/>
      <c r="BH3163" s="135"/>
      <c r="BI3163" s="2"/>
      <c r="BJ3163" s="136"/>
      <c r="BK3163" s="2"/>
      <c r="BL3163" s="136"/>
      <c r="BM3163" s="136"/>
      <c r="BN3163" s="2"/>
      <c r="BO3163" s="2"/>
      <c r="BP3163" s="136"/>
      <c r="BQ3163" s="137"/>
    </row>
    <row r="3164" spans="1:69" ht="12.75" customHeight="1" x14ac:dyDescent="0.2">
      <c r="A3164" s="2">
        <v>4653</v>
      </c>
      <c r="B3164" s="2"/>
      <c r="C3164" s="2"/>
      <c r="D3164" s="2"/>
      <c r="E3164" s="2"/>
      <c r="F3164" s="132">
        <v>0</v>
      </c>
      <c r="G3164" s="132"/>
      <c r="H3164" s="132">
        <f t="shared" si="353"/>
        <v>0</v>
      </c>
      <c r="I3164" s="132"/>
      <c r="J3164" s="132">
        <f t="shared" si="351"/>
        <v>0</v>
      </c>
      <c r="K3164" s="132">
        <f t="shared" si="354"/>
        <v>0</v>
      </c>
      <c r="L3164" s="132">
        <f t="shared" si="355"/>
        <v>0</v>
      </c>
      <c r="M3164" s="133"/>
      <c r="N3164" s="133">
        <f t="shared" si="352"/>
        <v>0</v>
      </c>
      <c r="O3164" s="134"/>
      <c r="P3164" s="133"/>
      <c r="Q3164" s="2"/>
      <c r="R3164" s="156">
        <f t="shared" si="356"/>
        <v>0</v>
      </c>
      <c r="S3164" s="156">
        <f t="shared" si="357"/>
        <v>0</v>
      </c>
      <c r="T3164" s="133"/>
      <c r="U3164" s="133"/>
      <c r="V3164" s="133"/>
      <c r="W3164" s="133"/>
      <c r="X3164" s="133"/>
      <c r="Y3164" s="133"/>
      <c r="Z3164" s="133"/>
      <c r="AA3164" s="133"/>
      <c r="AB3164" s="133"/>
      <c r="AC3164" s="133"/>
      <c r="AD3164" s="133"/>
      <c r="AE3164" s="133"/>
      <c r="AF3164" s="133"/>
      <c r="AG3164" s="133"/>
      <c r="AH3164" s="133"/>
      <c r="AI3164" s="133"/>
      <c r="AJ3164" s="133"/>
      <c r="AK3164" s="133"/>
      <c r="AL3164" s="133"/>
      <c r="AM3164" s="133"/>
      <c r="AN3164" s="133"/>
      <c r="AO3164" s="133"/>
      <c r="AP3164" s="133"/>
      <c r="AQ3164" s="133"/>
      <c r="AR3164" s="133"/>
      <c r="AS3164" s="153">
        <v>0</v>
      </c>
      <c r="AT3164" s="153">
        <v>0</v>
      </c>
      <c r="AU3164" s="153">
        <v>0</v>
      </c>
      <c r="AV3164" s="135"/>
      <c r="AW3164" s="135"/>
      <c r="AX3164" s="135"/>
      <c r="AY3164" s="135"/>
      <c r="AZ3164" s="135"/>
      <c r="BA3164" s="135"/>
      <c r="BB3164" s="135"/>
      <c r="BC3164" s="135"/>
      <c r="BD3164" s="135"/>
      <c r="BE3164" s="135"/>
      <c r="BF3164" s="135"/>
      <c r="BG3164" s="135"/>
      <c r="BH3164" s="135"/>
      <c r="BI3164" s="2"/>
      <c r="BJ3164" s="136"/>
      <c r="BK3164" s="2"/>
      <c r="BL3164" s="136"/>
      <c r="BM3164" s="136"/>
      <c r="BN3164" s="2"/>
      <c r="BO3164" s="2"/>
      <c r="BP3164" s="136"/>
      <c r="BQ3164" s="137"/>
    </row>
    <row r="3165" spans="1:69" ht="12.75" customHeight="1" x14ac:dyDescent="0.2">
      <c r="A3165" s="2">
        <v>4654</v>
      </c>
      <c r="B3165" s="2"/>
      <c r="C3165" s="2"/>
      <c r="D3165" s="2"/>
      <c r="E3165" s="2"/>
      <c r="F3165" s="132">
        <v>0</v>
      </c>
      <c r="G3165" s="132"/>
      <c r="H3165" s="132">
        <f t="shared" si="353"/>
        <v>0</v>
      </c>
      <c r="I3165" s="132"/>
      <c r="J3165" s="132">
        <f t="shared" si="351"/>
        <v>0</v>
      </c>
      <c r="K3165" s="132">
        <f t="shared" si="354"/>
        <v>0</v>
      </c>
      <c r="L3165" s="132">
        <f t="shared" si="355"/>
        <v>0</v>
      </c>
      <c r="M3165" s="133"/>
      <c r="N3165" s="133">
        <f t="shared" si="352"/>
        <v>0</v>
      </c>
      <c r="O3165" s="134"/>
      <c r="P3165" s="133"/>
      <c r="Q3165" s="2"/>
      <c r="R3165" s="156">
        <f t="shared" si="356"/>
        <v>0</v>
      </c>
      <c r="S3165" s="156">
        <f t="shared" si="357"/>
        <v>0</v>
      </c>
      <c r="T3165" s="133"/>
      <c r="U3165" s="133"/>
      <c r="V3165" s="133"/>
      <c r="W3165" s="133"/>
      <c r="X3165" s="133"/>
      <c r="Y3165" s="133"/>
      <c r="Z3165" s="133"/>
      <c r="AA3165" s="133"/>
      <c r="AB3165" s="133"/>
      <c r="AC3165" s="133"/>
      <c r="AD3165" s="133"/>
      <c r="AE3165" s="133"/>
      <c r="AF3165" s="133"/>
      <c r="AG3165" s="133"/>
      <c r="AH3165" s="133"/>
      <c r="AI3165" s="133"/>
      <c r="AJ3165" s="133"/>
      <c r="AK3165" s="133"/>
      <c r="AL3165" s="133"/>
      <c r="AM3165" s="133"/>
      <c r="AN3165" s="133"/>
      <c r="AO3165" s="133"/>
      <c r="AP3165" s="133"/>
      <c r="AQ3165" s="133"/>
      <c r="AR3165" s="133"/>
      <c r="AS3165" s="153">
        <v>0</v>
      </c>
      <c r="AT3165" s="153">
        <v>0</v>
      </c>
      <c r="AU3165" s="153">
        <v>0</v>
      </c>
      <c r="AV3165" s="135"/>
      <c r="AW3165" s="135"/>
      <c r="AX3165" s="135"/>
      <c r="AY3165" s="135"/>
      <c r="AZ3165" s="135"/>
      <c r="BA3165" s="135"/>
      <c r="BB3165" s="135"/>
      <c r="BC3165" s="135"/>
      <c r="BD3165" s="135"/>
      <c r="BE3165" s="135"/>
      <c r="BF3165" s="135"/>
      <c r="BG3165" s="135"/>
      <c r="BH3165" s="135"/>
      <c r="BI3165" s="2"/>
      <c r="BJ3165" s="136"/>
      <c r="BK3165" s="2"/>
      <c r="BL3165" s="136"/>
      <c r="BM3165" s="136"/>
      <c r="BN3165" s="2"/>
      <c r="BO3165" s="2"/>
      <c r="BP3165" s="136"/>
      <c r="BQ3165" s="137"/>
    </row>
    <row r="3166" spans="1:69" ht="12.75" customHeight="1" x14ac:dyDescent="0.2">
      <c r="A3166" s="2">
        <v>4655</v>
      </c>
      <c r="B3166" s="2"/>
      <c r="C3166" s="2"/>
      <c r="D3166" s="2"/>
      <c r="E3166" s="2"/>
      <c r="F3166" s="132">
        <v>0</v>
      </c>
      <c r="G3166" s="132"/>
      <c r="H3166" s="132">
        <f t="shared" si="353"/>
        <v>0</v>
      </c>
      <c r="I3166" s="132"/>
      <c r="J3166" s="132">
        <f t="shared" si="351"/>
        <v>0</v>
      </c>
      <c r="K3166" s="132">
        <f t="shared" si="354"/>
        <v>0</v>
      </c>
      <c r="L3166" s="132">
        <f t="shared" si="355"/>
        <v>0</v>
      </c>
      <c r="M3166" s="133"/>
      <c r="N3166" s="133">
        <f t="shared" si="352"/>
        <v>0</v>
      </c>
      <c r="O3166" s="134"/>
      <c r="P3166" s="133"/>
      <c r="Q3166" s="2"/>
      <c r="R3166" s="156">
        <f t="shared" si="356"/>
        <v>0</v>
      </c>
      <c r="S3166" s="156">
        <f t="shared" si="357"/>
        <v>0</v>
      </c>
      <c r="T3166" s="133"/>
      <c r="U3166" s="133"/>
      <c r="V3166" s="133"/>
      <c r="W3166" s="133"/>
      <c r="X3166" s="133"/>
      <c r="Y3166" s="133"/>
      <c r="Z3166" s="133"/>
      <c r="AA3166" s="133"/>
      <c r="AB3166" s="133"/>
      <c r="AC3166" s="133"/>
      <c r="AD3166" s="133"/>
      <c r="AE3166" s="133"/>
      <c r="AF3166" s="133"/>
      <c r="AG3166" s="133"/>
      <c r="AH3166" s="133"/>
      <c r="AI3166" s="133"/>
      <c r="AJ3166" s="133"/>
      <c r="AK3166" s="133"/>
      <c r="AL3166" s="133"/>
      <c r="AM3166" s="133"/>
      <c r="AN3166" s="133"/>
      <c r="AO3166" s="133"/>
      <c r="AP3166" s="133"/>
      <c r="AQ3166" s="133"/>
      <c r="AR3166" s="133"/>
      <c r="AS3166" s="153">
        <v>0</v>
      </c>
      <c r="AT3166" s="153">
        <v>0</v>
      </c>
      <c r="AU3166" s="153">
        <v>0</v>
      </c>
      <c r="AV3166" s="135"/>
      <c r="AW3166" s="135"/>
      <c r="AX3166" s="135"/>
      <c r="AY3166" s="135"/>
      <c r="AZ3166" s="135"/>
      <c r="BA3166" s="135"/>
      <c r="BB3166" s="135"/>
      <c r="BC3166" s="135"/>
      <c r="BD3166" s="135"/>
      <c r="BE3166" s="135"/>
      <c r="BF3166" s="135"/>
      <c r="BG3166" s="135"/>
      <c r="BH3166" s="135"/>
      <c r="BI3166" s="2"/>
      <c r="BJ3166" s="136"/>
      <c r="BK3166" s="2"/>
      <c r="BL3166" s="136"/>
      <c r="BM3166" s="136"/>
      <c r="BN3166" s="2"/>
      <c r="BO3166" s="2"/>
      <c r="BP3166" s="136"/>
      <c r="BQ3166" s="137"/>
    </row>
    <row r="3167" spans="1:69" ht="12.75" customHeight="1" x14ac:dyDescent="0.2">
      <c r="A3167" s="2">
        <v>4656</v>
      </c>
      <c r="B3167" s="2"/>
      <c r="C3167" s="2"/>
      <c r="D3167" s="2"/>
      <c r="E3167" s="2"/>
      <c r="F3167" s="132">
        <v>0</v>
      </c>
      <c r="G3167" s="132"/>
      <c r="H3167" s="132">
        <f t="shared" si="353"/>
        <v>0</v>
      </c>
      <c r="I3167" s="132"/>
      <c r="J3167" s="132">
        <f t="shared" si="351"/>
        <v>0</v>
      </c>
      <c r="K3167" s="132">
        <f t="shared" si="354"/>
        <v>0</v>
      </c>
      <c r="L3167" s="132">
        <f t="shared" si="355"/>
        <v>0</v>
      </c>
      <c r="M3167" s="133"/>
      <c r="N3167" s="133">
        <f t="shared" si="352"/>
        <v>0</v>
      </c>
      <c r="O3167" s="134"/>
      <c r="P3167" s="133"/>
      <c r="Q3167" s="2"/>
      <c r="R3167" s="156">
        <f t="shared" si="356"/>
        <v>0</v>
      </c>
      <c r="S3167" s="156">
        <f t="shared" si="357"/>
        <v>0</v>
      </c>
      <c r="T3167" s="133"/>
      <c r="U3167" s="133"/>
      <c r="V3167" s="133"/>
      <c r="W3167" s="133"/>
      <c r="X3167" s="133"/>
      <c r="Y3167" s="133"/>
      <c r="Z3167" s="133"/>
      <c r="AA3167" s="133"/>
      <c r="AB3167" s="133"/>
      <c r="AC3167" s="133"/>
      <c r="AD3167" s="133"/>
      <c r="AE3167" s="133"/>
      <c r="AF3167" s="133"/>
      <c r="AG3167" s="133"/>
      <c r="AH3167" s="133"/>
      <c r="AI3167" s="133"/>
      <c r="AJ3167" s="133"/>
      <c r="AK3167" s="133"/>
      <c r="AL3167" s="133"/>
      <c r="AM3167" s="133"/>
      <c r="AN3167" s="133"/>
      <c r="AO3167" s="133"/>
      <c r="AP3167" s="133"/>
      <c r="AQ3167" s="133"/>
      <c r="AR3167" s="133"/>
      <c r="AS3167" s="153">
        <v>0</v>
      </c>
      <c r="AT3167" s="153">
        <v>0</v>
      </c>
      <c r="AU3167" s="153">
        <v>0</v>
      </c>
      <c r="AV3167" s="135"/>
      <c r="AW3167" s="135"/>
      <c r="AX3167" s="135"/>
      <c r="AY3167" s="135"/>
      <c r="AZ3167" s="135"/>
      <c r="BA3167" s="135"/>
      <c r="BB3167" s="135"/>
      <c r="BC3167" s="135"/>
      <c r="BD3167" s="135"/>
      <c r="BE3167" s="135"/>
      <c r="BF3167" s="135"/>
      <c r="BG3167" s="135"/>
      <c r="BH3167" s="135"/>
      <c r="BI3167" s="2"/>
      <c r="BJ3167" s="136"/>
      <c r="BK3167" s="2"/>
      <c r="BL3167" s="136"/>
      <c r="BM3167" s="136"/>
      <c r="BN3167" s="2"/>
      <c r="BO3167" s="2"/>
      <c r="BP3167" s="136"/>
      <c r="BQ3167" s="137"/>
    </row>
    <row r="3168" spans="1:69" ht="12.75" customHeight="1" x14ac:dyDescent="0.2">
      <c r="A3168" s="2">
        <v>4657</v>
      </c>
      <c r="B3168" s="2"/>
      <c r="C3168" s="2"/>
      <c r="D3168" s="2"/>
      <c r="E3168" s="2"/>
      <c r="F3168" s="132">
        <v>0</v>
      </c>
      <c r="G3168" s="132"/>
      <c r="H3168" s="132">
        <f t="shared" si="353"/>
        <v>0</v>
      </c>
      <c r="I3168" s="132"/>
      <c r="J3168" s="132">
        <f t="shared" si="351"/>
        <v>0</v>
      </c>
      <c r="K3168" s="132">
        <f t="shared" si="354"/>
        <v>0</v>
      </c>
      <c r="L3168" s="132">
        <f t="shared" si="355"/>
        <v>0</v>
      </c>
      <c r="M3168" s="133"/>
      <c r="N3168" s="133">
        <f t="shared" si="352"/>
        <v>0</v>
      </c>
      <c r="O3168" s="134"/>
      <c r="P3168" s="133"/>
      <c r="Q3168" s="2"/>
      <c r="R3168" s="156">
        <f t="shared" si="356"/>
        <v>0</v>
      </c>
      <c r="S3168" s="156">
        <f t="shared" si="357"/>
        <v>0</v>
      </c>
      <c r="T3168" s="133"/>
      <c r="U3168" s="133"/>
      <c r="V3168" s="133"/>
      <c r="W3168" s="133"/>
      <c r="X3168" s="133"/>
      <c r="Y3168" s="133"/>
      <c r="Z3168" s="133"/>
      <c r="AA3168" s="133"/>
      <c r="AB3168" s="133"/>
      <c r="AC3168" s="133"/>
      <c r="AD3168" s="133"/>
      <c r="AE3168" s="133"/>
      <c r="AF3168" s="133"/>
      <c r="AG3168" s="133"/>
      <c r="AH3168" s="133"/>
      <c r="AI3168" s="133"/>
      <c r="AJ3168" s="133"/>
      <c r="AK3168" s="133"/>
      <c r="AL3168" s="133"/>
      <c r="AM3168" s="133"/>
      <c r="AN3168" s="133"/>
      <c r="AO3168" s="133"/>
      <c r="AP3168" s="133"/>
      <c r="AQ3168" s="133"/>
      <c r="AR3168" s="133"/>
      <c r="AS3168" s="153">
        <v>0</v>
      </c>
      <c r="AT3168" s="153">
        <v>0</v>
      </c>
      <c r="AU3168" s="153">
        <v>0</v>
      </c>
      <c r="AV3168" s="135"/>
      <c r="AW3168" s="135"/>
      <c r="AX3168" s="135"/>
      <c r="AY3168" s="135"/>
      <c r="AZ3168" s="135"/>
      <c r="BA3168" s="135"/>
      <c r="BB3168" s="135"/>
      <c r="BC3168" s="135"/>
      <c r="BD3168" s="135"/>
      <c r="BE3168" s="135"/>
      <c r="BF3168" s="135"/>
      <c r="BG3168" s="135"/>
      <c r="BH3168" s="135"/>
      <c r="BI3168" s="2"/>
      <c r="BJ3168" s="136"/>
      <c r="BK3168" s="2"/>
      <c r="BL3168" s="136"/>
      <c r="BM3168" s="136"/>
      <c r="BN3168" s="2"/>
      <c r="BO3168" s="2"/>
      <c r="BP3168" s="136"/>
      <c r="BQ3168" s="137"/>
    </row>
    <row r="3169" spans="1:69" ht="12.75" customHeight="1" x14ac:dyDescent="0.2">
      <c r="A3169" s="2">
        <v>4658</v>
      </c>
      <c r="B3169" s="2"/>
      <c r="C3169" s="2"/>
      <c r="D3169" s="2"/>
      <c r="E3169" s="2"/>
      <c r="F3169" s="132">
        <v>0</v>
      </c>
      <c r="G3169" s="132"/>
      <c r="H3169" s="132">
        <f t="shared" si="353"/>
        <v>0</v>
      </c>
      <c r="I3169" s="132"/>
      <c r="J3169" s="132">
        <f t="shared" si="351"/>
        <v>0</v>
      </c>
      <c r="K3169" s="132">
        <f t="shared" si="354"/>
        <v>0</v>
      </c>
      <c r="L3169" s="132">
        <f t="shared" si="355"/>
        <v>0</v>
      </c>
      <c r="M3169" s="133"/>
      <c r="N3169" s="133">
        <f t="shared" si="352"/>
        <v>0</v>
      </c>
      <c r="O3169" s="134"/>
      <c r="P3169" s="133"/>
      <c r="Q3169" s="2"/>
      <c r="R3169" s="156">
        <f t="shared" si="356"/>
        <v>0</v>
      </c>
      <c r="S3169" s="156">
        <f t="shared" si="357"/>
        <v>0</v>
      </c>
      <c r="T3169" s="133"/>
      <c r="U3169" s="133"/>
      <c r="V3169" s="133"/>
      <c r="W3169" s="133"/>
      <c r="X3169" s="133"/>
      <c r="Y3169" s="133"/>
      <c r="Z3169" s="133"/>
      <c r="AA3169" s="133"/>
      <c r="AB3169" s="133"/>
      <c r="AC3169" s="133"/>
      <c r="AD3169" s="133"/>
      <c r="AE3169" s="133"/>
      <c r="AF3169" s="133"/>
      <c r="AG3169" s="133"/>
      <c r="AH3169" s="133"/>
      <c r="AI3169" s="133"/>
      <c r="AJ3169" s="133"/>
      <c r="AK3169" s="133"/>
      <c r="AL3169" s="133"/>
      <c r="AM3169" s="133"/>
      <c r="AN3169" s="133"/>
      <c r="AO3169" s="133"/>
      <c r="AP3169" s="133"/>
      <c r="AQ3169" s="133"/>
      <c r="AR3169" s="133"/>
      <c r="AS3169" s="153">
        <v>0</v>
      </c>
      <c r="AT3169" s="153">
        <v>0</v>
      </c>
      <c r="AU3169" s="153">
        <v>0</v>
      </c>
      <c r="AV3169" s="135"/>
      <c r="AW3169" s="135"/>
      <c r="AX3169" s="135"/>
      <c r="AY3169" s="135"/>
      <c r="AZ3169" s="135"/>
      <c r="BA3169" s="135"/>
      <c r="BB3169" s="135"/>
      <c r="BC3169" s="135"/>
      <c r="BD3169" s="135"/>
      <c r="BE3169" s="135"/>
      <c r="BF3169" s="135"/>
      <c r="BG3169" s="135"/>
      <c r="BH3169" s="135"/>
      <c r="BI3169" s="2"/>
      <c r="BJ3169" s="136"/>
      <c r="BK3169" s="2"/>
      <c r="BL3169" s="136"/>
      <c r="BM3169" s="136"/>
      <c r="BN3169" s="2"/>
      <c r="BO3169" s="2"/>
      <c r="BP3169" s="136"/>
      <c r="BQ3169" s="137"/>
    </row>
    <row r="3170" spans="1:69" ht="12.75" customHeight="1" x14ac:dyDescent="0.2">
      <c r="A3170" s="2">
        <v>4659</v>
      </c>
      <c r="B3170" s="2"/>
      <c r="C3170" s="2"/>
      <c r="D3170" s="2"/>
      <c r="E3170" s="2"/>
      <c r="F3170" s="132">
        <v>0</v>
      </c>
      <c r="G3170" s="132"/>
      <c r="H3170" s="132">
        <f t="shared" si="353"/>
        <v>0</v>
      </c>
      <c r="I3170" s="132"/>
      <c r="J3170" s="132">
        <f t="shared" si="351"/>
        <v>0</v>
      </c>
      <c r="K3170" s="132">
        <f t="shared" si="354"/>
        <v>0</v>
      </c>
      <c r="L3170" s="132">
        <f t="shared" si="355"/>
        <v>0</v>
      </c>
      <c r="M3170" s="133"/>
      <c r="N3170" s="133">
        <f t="shared" si="352"/>
        <v>0</v>
      </c>
      <c r="O3170" s="134"/>
      <c r="P3170" s="133"/>
      <c r="Q3170" s="2"/>
      <c r="R3170" s="156">
        <f t="shared" si="356"/>
        <v>0</v>
      </c>
      <c r="S3170" s="156">
        <f t="shared" si="357"/>
        <v>0</v>
      </c>
      <c r="T3170" s="133"/>
      <c r="U3170" s="133"/>
      <c r="V3170" s="133"/>
      <c r="W3170" s="133"/>
      <c r="X3170" s="133"/>
      <c r="Y3170" s="133"/>
      <c r="Z3170" s="133"/>
      <c r="AA3170" s="133"/>
      <c r="AB3170" s="133"/>
      <c r="AC3170" s="133"/>
      <c r="AD3170" s="133"/>
      <c r="AE3170" s="133"/>
      <c r="AF3170" s="133"/>
      <c r="AG3170" s="133"/>
      <c r="AH3170" s="133"/>
      <c r="AI3170" s="133"/>
      <c r="AJ3170" s="133"/>
      <c r="AK3170" s="133"/>
      <c r="AL3170" s="133"/>
      <c r="AM3170" s="133"/>
      <c r="AN3170" s="133"/>
      <c r="AO3170" s="133"/>
      <c r="AP3170" s="133"/>
      <c r="AQ3170" s="133"/>
      <c r="AR3170" s="133"/>
      <c r="AS3170" s="153">
        <v>0</v>
      </c>
      <c r="AT3170" s="153">
        <v>0</v>
      </c>
      <c r="AU3170" s="153">
        <v>0</v>
      </c>
      <c r="AV3170" s="135"/>
      <c r="AW3170" s="135"/>
      <c r="AX3170" s="135"/>
      <c r="AY3170" s="135"/>
      <c r="AZ3170" s="135"/>
      <c r="BA3170" s="135"/>
      <c r="BB3170" s="135"/>
      <c r="BC3170" s="135"/>
      <c r="BD3170" s="135"/>
      <c r="BE3170" s="135"/>
      <c r="BF3170" s="135"/>
      <c r="BG3170" s="135"/>
      <c r="BH3170" s="135"/>
      <c r="BI3170" s="2"/>
      <c r="BJ3170" s="136"/>
      <c r="BK3170" s="2"/>
      <c r="BL3170" s="136"/>
      <c r="BM3170" s="136"/>
      <c r="BN3170" s="2"/>
      <c r="BO3170" s="2"/>
      <c r="BP3170" s="136"/>
      <c r="BQ3170" s="137"/>
    </row>
    <row r="3171" spans="1:69" ht="12.75" customHeight="1" x14ac:dyDescent="0.2">
      <c r="A3171" s="2">
        <v>4660</v>
      </c>
      <c r="B3171" s="2"/>
      <c r="C3171" s="2"/>
      <c r="D3171" s="2"/>
      <c r="E3171" s="2"/>
      <c r="F3171" s="132">
        <v>0</v>
      </c>
      <c r="G3171" s="132"/>
      <c r="H3171" s="132">
        <f t="shared" si="353"/>
        <v>0</v>
      </c>
      <c r="I3171" s="132"/>
      <c r="J3171" s="132">
        <f t="shared" si="351"/>
        <v>0</v>
      </c>
      <c r="K3171" s="132">
        <f t="shared" si="354"/>
        <v>0</v>
      </c>
      <c r="L3171" s="132">
        <f t="shared" si="355"/>
        <v>0</v>
      </c>
      <c r="M3171" s="133"/>
      <c r="N3171" s="133">
        <f t="shared" si="352"/>
        <v>0</v>
      </c>
      <c r="O3171" s="134"/>
      <c r="P3171" s="133"/>
      <c r="Q3171" s="2"/>
      <c r="R3171" s="156">
        <f t="shared" si="356"/>
        <v>0</v>
      </c>
      <c r="S3171" s="156">
        <f t="shared" si="357"/>
        <v>0</v>
      </c>
      <c r="T3171" s="133"/>
      <c r="U3171" s="133"/>
      <c r="V3171" s="133"/>
      <c r="W3171" s="133"/>
      <c r="X3171" s="133"/>
      <c r="Y3171" s="133"/>
      <c r="Z3171" s="133"/>
      <c r="AA3171" s="133"/>
      <c r="AB3171" s="133"/>
      <c r="AC3171" s="133"/>
      <c r="AD3171" s="133"/>
      <c r="AE3171" s="133"/>
      <c r="AF3171" s="133"/>
      <c r="AG3171" s="133"/>
      <c r="AH3171" s="133"/>
      <c r="AI3171" s="133"/>
      <c r="AJ3171" s="133"/>
      <c r="AK3171" s="133"/>
      <c r="AL3171" s="133"/>
      <c r="AM3171" s="133"/>
      <c r="AN3171" s="133"/>
      <c r="AO3171" s="133"/>
      <c r="AP3171" s="133"/>
      <c r="AQ3171" s="133"/>
      <c r="AR3171" s="133"/>
      <c r="AS3171" s="153">
        <v>0</v>
      </c>
      <c r="AT3171" s="153">
        <v>0</v>
      </c>
      <c r="AU3171" s="153">
        <v>0</v>
      </c>
      <c r="AV3171" s="135"/>
      <c r="AW3171" s="135"/>
      <c r="AX3171" s="135"/>
      <c r="AY3171" s="135"/>
      <c r="AZ3171" s="135"/>
      <c r="BA3171" s="135"/>
      <c r="BB3171" s="135"/>
      <c r="BC3171" s="135"/>
      <c r="BD3171" s="135"/>
      <c r="BE3171" s="135"/>
      <c r="BF3171" s="135"/>
      <c r="BG3171" s="135"/>
      <c r="BH3171" s="135"/>
      <c r="BI3171" s="2"/>
      <c r="BJ3171" s="136"/>
      <c r="BK3171" s="2"/>
      <c r="BL3171" s="136"/>
      <c r="BM3171" s="136"/>
      <c r="BN3171" s="2"/>
      <c r="BO3171" s="2"/>
      <c r="BP3171" s="136"/>
      <c r="BQ3171" s="137"/>
    </row>
    <row r="3172" spans="1:69" ht="12.75" customHeight="1" x14ac:dyDescent="0.2">
      <c r="A3172" s="2">
        <v>4661</v>
      </c>
      <c r="B3172" s="2"/>
      <c r="C3172" s="2"/>
      <c r="D3172" s="2"/>
      <c r="E3172" s="2"/>
      <c r="F3172" s="132">
        <v>0</v>
      </c>
      <c r="G3172" s="132"/>
      <c r="H3172" s="132">
        <f t="shared" si="353"/>
        <v>0</v>
      </c>
      <c r="I3172" s="132"/>
      <c r="J3172" s="132">
        <f t="shared" ref="J3172:J3235" si="358">S3172</f>
        <v>0</v>
      </c>
      <c r="K3172" s="132">
        <f t="shared" si="354"/>
        <v>0</v>
      </c>
      <c r="L3172" s="132">
        <f t="shared" si="355"/>
        <v>0</v>
      </c>
      <c r="M3172" s="133"/>
      <c r="N3172" s="133">
        <f t="shared" si="352"/>
        <v>0</v>
      </c>
      <c r="O3172" s="134"/>
      <c r="P3172" s="133"/>
      <c r="Q3172" s="2"/>
      <c r="R3172" s="156">
        <f t="shared" si="356"/>
        <v>0</v>
      </c>
      <c r="S3172" s="156">
        <f t="shared" si="357"/>
        <v>0</v>
      </c>
      <c r="T3172" s="133"/>
      <c r="U3172" s="133"/>
      <c r="V3172" s="133"/>
      <c r="W3172" s="133"/>
      <c r="X3172" s="133"/>
      <c r="Y3172" s="133"/>
      <c r="Z3172" s="133"/>
      <c r="AA3172" s="133"/>
      <c r="AB3172" s="133"/>
      <c r="AC3172" s="133"/>
      <c r="AD3172" s="133"/>
      <c r="AE3172" s="133"/>
      <c r="AF3172" s="133"/>
      <c r="AG3172" s="133"/>
      <c r="AH3172" s="133"/>
      <c r="AI3172" s="133"/>
      <c r="AJ3172" s="133"/>
      <c r="AK3172" s="133"/>
      <c r="AL3172" s="133"/>
      <c r="AM3172" s="133"/>
      <c r="AN3172" s="133"/>
      <c r="AO3172" s="133"/>
      <c r="AP3172" s="133"/>
      <c r="AQ3172" s="133"/>
      <c r="AR3172" s="133"/>
      <c r="AS3172" s="153">
        <v>0</v>
      </c>
      <c r="AT3172" s="153">
        <v>0</v>
      </c>
      <c r="AU3172" s="153">
        <v>0</v>
      </c>
      <c r="AV3172" s="135"/>
      <c r="AW3172" s="135"/>
      <c r="AX3172" s="135"/>
      <c r="AY3172" s="135"/>
      <c r="AZ3172" s="135"/>
      <c r="BA3172" s="135"/>
      <c r="BB3172" s="135"/>
      <c r="BC3172" s="135"/>
      <c r="BD3172" s="135"/>
      <c r="BE3172" s="135"/>
      <c r="BF3172" s="135"/>
      <c r="BG3172" s="135"/>
      <c r="BH3172" s="135"/>
      <c r="BI3172" s="2"/>
      <c r="BJ3172" s="136"/>
      <c r="BK3172" s="2"/>
      <c r="BL3172" s="136"/>
      <c r="BM3172" s="136"/>
      <c r="BN3172" s="2"/>
      <c r="BO3172" s="2"/>
      <c r="BP3172" s="136"/>
      <c r="BQ3172" s="137"/>
    </row>
    <row r="3173" spans="1:69" ht="12.75" customHeight="1" x14ac:dyDescent="0.2">
      <c r="A3173" s="2">
        <v>4662</v>
      </c>
      <c r="B3173" s="2"/>
      <c r="C3173" s="2"/>
      <c r="D3173" s="2"/>
      <c r="E3173" s="2"/>
      <c r="F3173" s="132">
        <v>0</v>
      </c>
      <c r="G3173" s="132"/>
      <c r="H3173" s="132">
        <f t="shared" si="353"/>
        <v>0</v>
      </c>
      <c r="I3173" s="132"/>
      <c r="J3173" s="132">
        <f t="shared" si="358"/>
        <v>0</v>
      </c>
      <c r="K3173" s="132">
        <f t="shared" si="354"/>
        <v>0</v>
      </c>
      <c r="L3173" s="132">
        <f t="shared" si="355"/>
        <v>0</v>
      </c>
      <c r="M3173" s="133"/>
      <c r="N3173" s="133">
        <f t="shared" si="352"/>
        <v>0</v>
      </c>
      <c r="O3173" s="134"/>
      <c r="P3173" s="133"/>
      <c r="Q3173" s="2"/>
      <c r="R3173" s="156">
        <f t="shared" si="356"/>
        <v>0</v>
      </c>
      <c r="S3173" s="156">
        <f t="shared" si="357"/>
        <v>0</v>
      </c>
      <c r="T3173" s="133"/>
      <c r="U3173" s="133"/>
      <c r="V3173" s="133"/>
      <c r="W3173" s="133"/>
      <c r="X3173" s="133"/>
      <c r="Y3173" s="133"/>
      <c r="Z3173" s="133"/>
      <c r="AA3173" s="133"/>
      <c r="AB3173" s="133"/>
      <c r="AC3173" s="133"/>
      <c r="AD3173" s="133"/>
      <c r="AE3173" s="133"/>
      <c r="AF3173" s="133"/>
      <c r="AG3173" s="133"/>
      <c r="AH3173" s="133"/>
      <c r="AI3173" s="133"/>
      <c r="AJ3173" s="133"/>
      <c r="AK3173" s="133"/>
      <c r="AL3173" s="133"/>
      <c r="AM3173" s="133"/>
      <c r="AN3173" s="133"/>
      <c r="AO3173" s="133"/>
      <c r="AP3173" s="133"/>
      <c r="AQ3173" s="133"/>
      <c r="AR3173" s="133"/>
      <c r="AS3173" s="153">
        <v>0</v>
      </c>
      <c r="AT3173" s="153">
        <v>0</v>
      </c>
      <c r="AU3173" s="153">
        <v>0</v>
      </c>
      <c r="AV3173" s="135"/>
      <c r="AW3173" s="135"/>
      <c r="AX3173" s="135"/>
      <c r="AY3173" s="135"/>
      <c r="AZ3173" s="135"/>
      <c r="BA3173" s="135"/>
      <c r="BB3173" s="135"/>
      <c r="BC3173" s="135"/>
      <c r="BD3173" s="135"/>
      <c r="BE3173" s="135"/>
      <c r="BF3173" s="135"/>
      <c r="BG3173" s="135"/>
      <c r="BH3173" s="135"/>
      <c r="BI3173" s="2"/>
      <c r="BJ3173" s="136"/>
      <c r="BK3173" s="2"/>
      <c r="BL3173" s="136"/>
      <c r="BM3173" s="136"/>
      <c r="BN3173" s="2"/>
      <c r="BO3173" s="2"/>
      <c r="BP3173" s="136"/>
      <c r="BQ3173" s="137"/>
    </row>
    <row r="3174" spans="1:69" ht="12.75" customHeight="1" x14ac:dyDescent="0.2">
      <c r="A3174" s="2">
        <v>4663</v>
      </c>
      <c r="B3174" s="2"/>
      <c r="C3174" s="2"/>
      <c r="D3174" s="2"/>
      <c r="E3174" s="2"/>
      <c r="F3174" s="132">
        <v>0</v>
      </c>
      <c r="G3174" s="132"/>
      <c r="H3174" s="132">
        <f t="shared" si="353"/>
        <v>0</v>
      </c>
      <c r="I3174" s="132"/>
      <c r="J3174" s="132">
        <f t="shared" si="358"/>
        <v>0</v>
      </c>
      <c r="K3174" s="132">
        <f t="shared" si="354"/>
        <v>0</v>
      </c>
      <c r="L3174" s="132">
        <f t="shared" si="355"/>
        <v>0</v>
      </c>
      <c r="M3174" s="133"/>
      <c r="N3174" s="133">
        <f t="shared" si="352"/>
        <v>0</v>
      </c>
      <c r="O3174" s="134"/>
      <c r="P3174" s="133"/>
      <c r="Q3174" s="2"/>
      <c r="R3174" s="156">
        <f t="shared" si="356"/>
        <v>0</v>
      </c>
      <c r="S3174" s="156">
        <f t="shared" si="357"/>
        <v>0</v>
      </c>
      <c r="T3174" s="133"/>
      <c r="U3174" s="133"/>
      <c r="V3174" s="133"/>
      <c r="W3174" s="133"/>
      <c r="X3174" s="133"/>
      <c r="Y3174" s="133"/>
      <c r="Z3174" s="133"/>
      <c r="AA3174" s="133"/>
      <c r="AB3174" s="133"/>
      <c r="AC3174" s="133"/>
      <c r="AD3174" s="133"/>
      <c r="AE3174" s="133"/>
      <c r="AF3174" s="133"/>
      <c r="AG3174" s="133"/>
      <c r="AH3174" s="133"/>
      <c r="AI3174" s="133"/>
      <c r="AJ3174" s="133"/>
      <c r="AK3174" s="133"/>
      <c r="AL3174" s="133"/>
      <c r="AM3174" s="133"/>
      <c r="AN3174" s="133"/>
      <c r="AO3174" s="133"/>
      <c r="AP3174" s="133"/>
      <c r="AQ3174" s="133"/>
      <c r="AR3174" s="133"/>
      <c r="AS3174" s="153">
        <v>0</v>
      </c>
      <c r="AT3174" s="153">
        <v>0</v>
      </c>
      <c r="AU3174" s="153">
        <v>0</v>
      </c>
      <c r="AV3174" s="135"/>
      <c r="AW3174" s="135"/>
      <c r="AX3174" s="135"/>
      <c r="AY3174" s="135"/>
      <c r="AZ3174" s="135"/>
      <c r="BA3174" s="135"/>
      <c r="BB3174" s="135"/>
      <c r="BC3174" s="135"/>
      <c r="BD3174" s="135"/>
      <c r="BE3174" s="135"/>
      <c r="BF3174" s="135"/>
      <c r="BG3174" s="135"/>
      <c r="BH3174" s="135"/>
      <c r="BI3174" s="2"/>
      <c r="BJ3174" s="136"/>
      <c r="BK3174" s="2"/>
      <c r="BL3174" s="136"/>
      <c r="BM3174" s="136"/>
      <c r="BN3174" s="2"/>
      <c r="BO3174" s="2"/>
      <c r="BP3174" s="136"/>
      <c r="BQ3174" s="137"/>
    </row>
    <row r="3175" spans="1:69" ht="12.75" customHeight="1" x14ac:dyDescent="0.2">
      <c r="A3175" s="2">
        <v>4664</v>
      </c>
      <c r="B3175" s="2"/>
      <c r="C3175" s="2"/>
      <c r="D3175" s="2"/>
      <c r="E3175" s="2"/>
      <c r="F3175" s="132">
        <v>0</v>
      </c>
      <c r="G3175" s="132"/>
      <c r="H3175" s="132">
        <f t="shared" si="353"/>
        <v>0</v>
      </c>
      <c r="I3175" s="132"/>
      <c r="J3175" s="132">
        <f t="shared" si="358"/>
        <v>0</v>
      </c>
      <c r="K3175" s="132">
        <f t="shared" si="354"/>
        <v>0</v>
      </c>
      <c r="L3175" s="132">
        <f t="shared" si="355"/>
        <v>0</v>
      </c>
      <c r="M3175" s="133"/>
      <c r="N3175" s="133">
        <f t="shared" si="352"/>
        <v>0</v>
      </c>
      <c r="O3175" s="134"/>
      <c r="P3175" s="133"/>
      <c r="Q3175" s="2"/>
      <c r="R3175" s="156">
        <f t="shared" si="356"/>
        <v>0</v>
      </c>
      <c r="S3175" s="156">
        <f t="shared" si="357"/>
        <v>0</v>
      </c>
      <c r="T3175" s="133"/>
      <c r="U3175" s="133"/>
      <c r="V3175" s="133"/>
      <c r="W3175" s="133"/>
      <c r="X3175" s="133"/>
      <c r="Y3175" s="133"/>
      <c r="Z3175" s="133"/>
      <c r="AA3175" s="133"/>
      <c r="AB3175" s="133"/>
      <c r="AC3175" s="133"/>
      <c r="AD3175" s="133"/>
      <c r="AE3175" s="133"/>
      <c r="AF3175" s="133"/>
      <c r="AG3175" s="133"/>
      <c r="AH3175" s="133"/>
      <c r="AI3175" s="133"/>
      <c r="AJ3175" s="133"/>
      <c r="AK3175" s="133"/>
      <c r="AL3175" s="133"/>
      <c r="AM3175" s="133"/>
      <c r="AN3175" s="133"/>
      <c r="AO3175" s="133"/>
      <c r="AP3175" s="133"/>
      <c r="AQ3175" s="133"/>
      <c r="AR3175" s="133"/>
      <c r="AS3175" s="153">
        <v>0</v>
      </c>
      <c r="AT3175" s="153">
        <v>0</v>
      </c>
      <c r="AU3175" s="153">
        <v>0</v>
      </c>
      <c r="AV3175" s="135"/>
      <c r="AW3175" s="135"/>
      <c r="AX3175" s="135"/>
      <c r="AY3175" s="135"/>
      <c r="AZ3175" s="135"/>
      <c r="BA3175" s="135"/>
      <c r="BB3175" s="135"/>
      <c r="BC3175" s="135"/>
      <c r="BD3175" s="135"/>
      <c r="BE3175" s="135"/>
      <c r="BF3175" s="135"/>
      <c r="BG3175" s="135"/>
      <c r="BH3175" s="135"/>
      <c r="BI3175" s="2"/>
      <c r="BJ3175" s="136"/>
      <c r="BK3175" s="2"/>
      <c r="BL3175" s="136"/>
      <c r="BM3175" s="136"/>
      <c r="BN3175" s="2"/>
      <c r="BO3175" s="2"/>
      <c r="BP3175" s="136"/>
      <c r="BQ3175" s="137"/>
    </row>
    <row r="3176" spans="1:69" ht="12.75" customHeight="1" x14ac:dyDescent="0.2">
      <c r="A3176" s="2">
        <v>4665</v>
      </c>
      <c r="B3176" s="2"/>
      <c r="C3176" s="2"/>
      <c r="D3176" s="2"/>
      <c r="E3176" s="2"/>
      <c r="F3176" s="132">
        <v>0</v>
      </c>
      <c r="G3176" s="132"/>
      <c r="H3176" s="132">
        <f t="shared" si="353"/>
        <v>0</v>
      </c>
      <c r="I3176" s="132"/>
      <c r="J3176" s="132">
        <f t="shared" si="358"/>
        <v>0</v>
      </c>
      <c r="K3176" s="132">
        <f t="shared" si="354"/>
        <v>0</v>
      </c>
      <c r="L3176" s="132">
        <f t="shared" si="355"/>
        <v>0</v>
      </c>
      <c r="M3176" s="133"/>
      <c r="N3176" s="133">
        <f t="shared" si="352"/>
        <v>0</v>
      </c>
      <c r="O3176" s="134"/>
      <c r="P3176" s="133"/>
      <c r="Q3176" s="2"/>
      <c r="R3176" s="156">
        <f t="shared" si="356"/>
        <v>0</v>
      </c>
      <c r="S3176" s="156">
        <f t="shared" si="357"/>
        <v>0</v>
      </c>
      <c r="T3176" s="133"/>
      <c r="U3176" s="133"/>
      <c r="V3176" s="133"/>
      <c r="W3176" s="133"/>
      <c r="X3176" s="133"/>
      <c r="Y3176" s="133"/>
      <c r="Z3176" s="133"/>
      <c r="AA3176" s="133"/>
      <c r="AB3176" s="133"/>
      <c r="AC3176" s="133"/>
      <c r="AD3176" s="133"/>
      <c r="AE3176" s="133"/>
      <c r="AF3176" s="133"/>
      <c r="AG3176" s="133"/>
      <c r="AH3176" s="133"/>
      <c r="AI3176" s="133"/>
      <c r="AJ3176" s="133"/>
      <c r="AK3176" s="133"/>
      <c r="AL3176" s="133"/>
      <c r="AM3176" s="133"/>
      <c r="AN3176" s="133"/>
      <c r="AO3176" s="133"/>
      <c r="AP3176" s="133"/>
      <c r="AQ3176" s="133"/>
      <c r="AR3176" s="133"/>
      <c r="AS3176" s="153">
        <v>0</v>
      </c>
      <c r="AT3176" s="153">
        <v>0</v>
      </c>
      <c r="AU3176" s="153">
        <v>0</v>
      </c>
      <c r="AV3176" s="135"/>
      <c r="AW3176" s="135"/>
      <c r="AX3176" s="135"/>
      <c r="AY3176" s="135"/>
      <c r="AZ3176" s="135"/>
      <c r="BA3176" s="135"/>
      <c r="BB3176" s="135"/>
      <c r="BC3176" s="135"/>
      <c r="BD3176" s="135"/>
      <c r="BE3176" s="135"/>
      <c r="BF3176" s="135"/>
      <c r="BG3176" s="135"/>
      <c r="BH3176" s="135"/>
      <c r="BI3176" s="2"/>
      <c r="BJ3176" s="136"/>
      <c r="BK3176" s="2"/>
      <c r="BL3176" s="136"/>
      <c r="BM3176" s="136"/>
      <c r="BN3176" s="2"/>
      <c r="BO3176" s="2"/>
      <c r="BP3176" s="136"/>
      <c r="BQ3176" s="137"/>
    </row>
    <row r="3177" spans="1:69" ht="12.75" customHeight="1" x14ac:dyDescent="0.2">
      <c r="A3177" s="2">
        <v>4666</v>
      </c>
      <c r="B3177" s="2"/>
      <c r="C3177" s="2"/>
      <c r="D3177" s="2"/>
      <c r="E3177" s="2"/>
      <c r="F3177" s="132">
        <v>0</v>
      </c>
      <c r="G3177" s="132"/>
      <c r="H3177" s="132">
        <f t="shared" si="353"/>
        <v>0</v>
      </c>
      <c r="I3177" s="132"/>
      <c r="J3177" s="132">
        <f t="shared" si="358"/>
        <v>0</v>
      </c>
      <c r="K3177" s="132">
        <f t="shared" si="354"/>
        <v>0</v>
      </c>
      <c r="L3177" s="132">
        <f t="shared" si="355"/>
        <v>0</v>
      </c>
      <c r="M3177" s="133"/>
      <c r="N3177" s="133">
        <f t="shared" si="352"/>
        <v>0</v>
      </c>
      <c r="O3177" s="134"/>
      <c r="P3177" s="133"/>
      <c r="Q3177" s="2"/>
      <c r="R3177" s="156">
        <f t="shared" si="356"/>
        <v>0</v>
      </c>
      <c r="S3177" s="156">
        <f t="shared" si="357"/>
        <v>0</v>
      </c>
      <c r="T3177" s="133"/>
      <c r="U3177" s="133"/>
      <c r="V3177" s="133"/>
      <c r="W3177" s="133"/>
      <c r="X3177" s="133"/>
      <c r="Y3177" s="133"/>
      <c r="Z3177" s="133"/>
      <c r="AA3177" s="133"/>
      <c r="AB3177" s="133"/>
      <c r="AC3177" s="133"/>
      <c r="AD3177" s="133"/>
      <c r="AE3177" s="133"/>
      <c r="AF3177" s="133"/>
      <c r="AG3177" s="133"/>
      <c r="AH3177" s="133"/>
      <c r="AI3177" s="133"/>
      <c r="AJ3177" s="133"/>
      <c r="AK3177" s="133"/>
      <c r="AL3177" s="133"/>
      <c r="AM3177" s="133"/>
      <c r="AN3177" s="133"/>
      <c r="AO3177" s="133"/>
      <c r="AP3177" s="133"/>
      <c r="AQ3177" s="133"/>
      <c r="AR3177" s="133"/>
      <c r="AS3177" s="153">
        <v>0</v>
      </c>
      <c r="AT3177" s="153">
        <v>0</v>
      </c>
      <c r="AU3177" s="153">
        <v>0</v>
      </c>
      <c r="AV3177" s="135"/>
      <c r="AW3177" s="135"/>
      <c r="AX3177" s="135"/>
      <c r="AY3177" s="135"/>
      <c r="AZ3177" s="135"/>
      <c r="BA3177" s="135"/>
      <c r="BB3177" s="135"/>
      <c r="BC3177" s="135"/>
      <c r="BD3177" s="135"/>
      <c r="BE3177" s="135"/>
      <c r="BF3177" s="135"/>
      <c r="BG3177" s="135"/>
      <c r="BH3177" s="135"/>
      <c r="BI3177" s="2"/>
      <c r="BJ3177" s="136"/>
      <c r="BK3177" s="2"/>
      <c r="BL3177" s="136"/>
      <c r="BM3177" s="136"/>
      <c r="BN3177" s="2"/>
      <c r="BO3177" s="2"/>
      <c r="BP3177" s="136"/>
      <c r="BQ3177" s="137"/>
    </row>
    <row r="3178" spans="1:69" ht="12.75" customHeight="1" x14ac:dyDescent="0.2">
      <c r="A3178" s="2">
        <v>4667</v>
      </c>
      <c r="B3178" s="2"/>
      <c r="C3178" s="2"/>
      <c r="D3178" s="2"/>
      <c r="E3178" s="2"/>
      <c r="F3178" s="132">
        <v>0</v>
      </c>
      <c r="G3178" s="132"/>
      <c r="H3178" s="132">
        <f t="shared" si="353"/>
        <v>0</v>
      </c>
      <c r="I3178" s="132"/>
      <c r="J3178" s="132">
        <f t="shared" si="358"/>
        <v>0</v>
      </c>
      <c r="K3178" s="132">
        <f t="shared" si="354"/>
        <v>0</v>
      </c>
      <c r="L3178" s="132">
        <f t="shared" si="355"/>
        <v>0</v>
      </c>
      <c r="M3178" s="133"/>
      <c r="N3178" s="133">
        <f t="shared" ref="N3178:N3241" si="359">IF(OR(BK3178="принят",BK3178="Завершено",BK3178="ПриПро"),H3178-J3178,F3178-J3178)</f>
        <v>0</v>
      </c>
      <c r="O3178" s="134"/>
      <c r="P3178" s="133"/>
      <c r="Q3178" s="2"/>
      <c r="R3178" s="156">
        <f t="shared" si="356"/>
        <v>0</v>
      </c>
      <c r="S3178" s="156">
        <f t="shared" si="357"/>
        <v>0</v>
      </c>
      <c r="T3178" s="133"/>
      <c r="U3178" s="133"/>
      <c r="V3178" s="133"/>
      <c r="W3178" s="133"/>
      <c r="X3178" s="133"/>
      <c r="Y3178" s="133"/>
      <c r="Z3178" s="133"/>
      <c r="AA3178" s="133"/>
      <c r="AB3178" s="133"/>
      <c r="AC3178" s="133"/>
      <c r="AD3178" s="133"/>
      <c r="AE3178" s="133"/>
      <c r="AF3178" s="133"/>
      <c r="AG3178" s="133"/>
      <c r="AH3178" s="133"/>
      <c r="AI3178" s="133"/>
      <c r="AJ3178" s="133"/>
      <c r="AK3178" s="133"/>
      <c r="AL3178" s="133"/>
      <c r="AM3178" s="133"/>
      <c r="AN3178" s="133"/>
      <c r="AO3178" s="133"/>
      <c r="AP3178" s="133"/>
      <c r="AQ3178" s="133"/>
      <c r="AR3178" s="133"/>
      <c r="AS3178" s="153">
        <v>0</v>
      </c>
      <c r="AT3178" s="153">
        <v>0</v>
      </c>
      <c r="AU3178" s="153">
        <v>0</v>
      </c>
      <c r="AV3178" s="135"/>
      <c r="AW3178" s="135"/>
      <c r="AX3178" s="135"/>
      <c r="AY3178" s="135"/>
      <c r="AZ3178" s="135"/>
      <c r="BA3178" s="135"/>
      <c r="BB3178" s="135"/>
      <c r="BC3178" s="135"/>
      <c r="BD3178" s="135"/>
      <c r="BE3178" s="135"/>
      <c r="BF3178" s="135"/>
      <c r="BG3178" s="135"/>
      <c r="BH3178" s="135"/>
      <c r="BI3178" s="2"/>
      <c r="BJ3178" s="136"/>
      <c r="BK3178" s="2"/>
      <c r="BL3178" s="136"/>
      <c r="BM3178" s="136"/>
      <c r="BN3178" s="2"/>
      <c r="BO3178" s="2"/>
      <c r="BP3178" s="136"/>
      <c r="BQ3178" s="137"/>
    </row>
    <row r="3179" spans="1:69" ht="12.75" customHeight="1" x14ac:dyDescent="0.2">
      <c r="A3179" s="2">
        <v>4668</v>
      </c>
      <c r="B3179" s="2"/>
      <c r="C3179" s="2"/>
      <c r="D3179" s="2"/>
      <c r="E3179" s="2"/>
      <c r="F3179" s="132">
        <v>0</v>
      </c>
      <c r="G3179" s="132"/>
      <c r="H3179" s="132">
        <f t="shared" si="353"/>
        <v>0</v>
      </c>
      <c r="I3179" s="132"/>
      <c r="J3179" s="132">
        <f t="shared" si="358"/>
        <v>0</v>
      </c>
      <c r="K3179" s="132">
        <f t="shared" si="354"/>
        <v>0</v>
      </c>
      <c r="L3179" s="132">
        <f t="shared" si="355"/>
        <v>0</v>
      </c>
      <c r="M3179" s="133"/>
      <c r="N3179" s="133">
        <f t="shared" si="359"/>
        <v>0</v>
      </c>
      <c r="O3179" s="134"/>
      <c r="P3179" s="133"/>
      <c r="Q3179" s="2"/>
      <c r="R3179" s="156">
        <f t="shared" si="356"/>
        <v>0</v>
      </c>
      <c r="S3179" s="156">
        <f t="shared" si="357"/>
        <v>0</v>
      </c>
      <c r="T3179" s="133"/>
      <c r="U3179" s="133"/>
      <c r="V3179" s="133"/>
      <c r="W3179" s="133"/>
      <c r="X3179" s="133"/>
      <c r="Y3179" s="133"/>
      <c r="Z3179" s="133"/>
      <c r="AA3179" s="133"/>
      <c r="AB3179" s="133"/>
      <c r="AC3179" s="133"/>
      <c r="AD3179" s="133"/>
      <c r="AE3179" s="133"/>
      <c r="AF3179" s="133"/>
      <c r="AG3179" s="133"/>
      <c r="AH3179" s="133"/>
      <c r="AI3179" s="133"/>
      <c r="AJ3179" s="133"/>
      <c r="AK3179" s="133"/>
      <c r="AL3179" s="133"/>
      <c r="AM3179" s="133"/>
      <c r="AN3179" s="133"/>
      <c r="AO3179" s="133"/>
      <c r="AP3179" s="133"/>
      <c r="AQ3179" s="133"/>
      <c r="AR3179" s="133"/>
      <c r="AS3179" s="153">
        <v>0</v>
      </c>
      <c r="AT3179" s="153">
        <v>0</v>
      </c>
      <c r="AU3179" s="153">
        <v>0</v>
      </c>
      <c r="AV3179" s="135"/>
      <c r="AW3179" s="135"/>
      <c r="AX3179" s="135"/>
      <c r="AY3179" s="135"/>
      <c r="AZ3179" s="135"/>
      <c r="BA3179" s="135"/>
      <c r="BB3179" s="135"/>
      <c r="BC3179" s="135"/>
      <c r="BD3179" s="135"/>
      <c r="BE3179" s="135"/>
      <c r="BF3179" s="135"/>
      <c r="BG3179" s="135"/>
      <c r="BH3179" s="135"/>
      <c r="BI3179" s="2"/>
      <c r="BJ3179" s="136"/>
      <c r="BK3179" s="2"/>
      <c r="BL3179" s="136"/>
      <c r="BM3179" s="136"/>
      <c r="BN3179" s="2"/>
      <c r="BO3179" s="2"/>
      <c r="BP3179" s="136"/>
      <c r="BQ3179" s="137"/>
    </row>
    <row r="3180" spans="1:69" ht="12.75" customHeight="1" x14ac:dyDescent="0.2">
      <c r="A3180" s="2">
        <v>4669</v>
      </c>
      <c r="B3180" s="2"/>
      <c r="C3180" s="2"/>
      <c r="D3180" s="2"/>
      <c r="E3180" s="2"/>
      <c r="F3180" s="132">
        <v>0</v>
      </c>
      <c r="G3180" s="132"/>
      <c r="H3180" s="132">
        <f t="shared" si="353"/>
        <v>0</v>
      </c>
      <c r="I3180" s="132"/>
      <c r="J3180" s="132">
        <f t="shared" si="358"/>
        <v>0</v>
      </c>
      <c r="K3180" s="132">
        <f t="shared" si="354"/>
        <v>0</v>
      </c>
      <c r="L3180" s="132">
        <f t="shared" si="355"/>
        <v>0</v>
      </c>
      <c r="M3180" s="133"/>
      <c r="N3180" s="133">
        <f t="shared" si="359"/>
        <v>0</v>
      </c>
      <c r="O3180" s="134"/>
      <c r="P3180" s="133"/>
      <c r="Q3180" s="2"/>
      <c r="R3180" s="156">
        <f t="shared" si="356"/>
        <v>0</v>
      </c>
      <c r="S3180" s="156">
        <f t="shared" si="357"/>
        <v>0</v>
      </c>
      <c r="T3180" s="133"/>
      <c r="U3180" s="133"/>
      <c r="V3180" s="133"/>
      <c r="W3180" s="133"/>
      <c r="X3180" s="133"/>
      <c r="Y3180" s="133"/>
      <c r="Z3180" s="133"/>
      <c r="AA3180" s="133"/>
      <c r="AB3180" s="133"/>
      <c r="AC3180" s="133"/>
      <c r="AD3180" s="133"/>
      <c r="AE3180" s="133"/>
      <c r="AF3180" s="133"/>
      <c r="AG3180" s="133"/>
      <c r="AH3180" s="133"/>
      <c r="AI3180" s="133"/>
      <c r="AJ3180" s="133"/>
      <c r="AK3180" s="133"/>
      <c r="AL3180" s="133"/>
      <c r="AM3180" s="133"/>
      <c r="AN3180" s="133"/>
      <c r="AO3180" s="133"/>
      <c r="AP3180" s="133"/>
      <c r="AQ3180" s="133"/>
      <c r="AR3180" s="133"/>
      <c r="AS3180" s="153">
        <v>0</v>
      </c>
      <c r="AT3180" s="153">
        <v>0</v>
      </c>
      <c r="AU3180" s="153">
        <v>0</v>
      </c>
      <c r="AV3180" s="135"/>
      <c r="AW3180" s="135"/>
      <c r="AX3180" s="135"/>
      <c r="AY3180" s="135"/>
      <c r="AZ3180" s="135"/>
      <c r="BA3180" s="135"/>
      <c r="BB3180" s="135"/>
      <c r="BC3180" s="135"/>
      <c r="BD3180" s="135"/>
      <c r="BE3180" s="135"/>
      <c r="BF3180" s="135"/>
      <c r="BG3180" s="135"/>
      <c r="BH3180" s="135"/>
      <c r="BI3180" s="2"/>
      <c r="BJ3180" s="136"/>
      <c r="BK3180" s="2"/>
      <c r="BL3180" s="136"/>
      <c r="BM3180" s="136"/>
      <c r="BN3180" s="2"/>
      <c r="BO3180" s="2"/>
      <c r="BP3180" s="136"/>
      <c r="BQ3180" s="137"/>
    </row>
    <row r="3181" spans="1:69" ht="12.75" customHeight="1" x14ac:dyDescent="0.2">
      <c r="A3181" s="2">
        <v>4670</v>
      </c>
      <c r="B3181" s="2"/>
      <c r="C3181" s="2"/>
      <c r="D3181" s="2"/>
      <c r="E3181" s="2"/>
      <c r="F3181" s="132">
        <v>0</v>
      </c>
      <c r="G3181" s="132"/>
      <c r="H3181" s="132">
        <f t="shared" si="353"/>
        <v>0</v>
      </c>
      <c r="I3181" s="132"/>
      <c r="J3181" s="132">
        <f t="shared" si="358"/>
        <v>0</v>
      </c>
      <c r="K3181" s="132">
        <f t="shared" si="354"/>
        <v>0</v>
      </c>
      <c r="L3181" s="132">
        <f t="shared" si="355"/>
        <v>0</v>
      </c>
      <c r="M3181" s="133"/>
      <c r="N3181" s="133">
        <f t="shared" si="359"/>
        <v>0</v>
      </c>
      <c r="O3181" s="134"/>
      <c r="P3181" s="133"/>
      <c r="Q3181" s="2"/>
      <c r="R3181" s="156">
        <f t="shared" si="356"/>
        <v>0</v>
      </c>
      <c r="S3181" s="156">
        <f t="shared" si="357"/>
        <v>0</v>
      </c>
      <c r="T3181" s="133"/>
      <c r="U3181" s="133"/>
      <c r="V3181" s="133"/>
      <c r="W3181" s="133"/>
      <c r="X3181" s="133"/>
      <c r="Y3181" s="133"/>
      <c r="Z3181" s="133"/>
      <c r="AA3181" s="133"/>
      <c r="AB3181" s="133"/>
      <c r="AC3181" s="133"/>
      <c r="AD3181" s="133"/>
      <c r="AE3181" s="133"/>
      <c r="AF3181" s="133"/>
      <c r="AG3181" s="133"/>
      <c r="AH3181" s="133"/>
      <c r="AI3181" s="133"/>
      <c r="AJ3181" s="133"/>
      <c r="AK3181" s="133"/>
      <c r="AL3181" s="133"/>
      <c r="AM3181" s="133"/>
      <c r="AN3181" s="133"/>
      <c r="AO3181" s="133"/>
      <c r="AP3181" s="133"/>
      <c r="AQ3181" s="133"/>
      <c r="AR3181" s="133"/>
      <c r="AS3181" s="153">
        <v>0</v>
      </c>
      <c r="AT3181" s="153">
        <v>0</v>
      </c>
      <c r="AU3181" s="153">
        <v>0</v>
      </c>
      <c r="AV3181" s="135"/>
      <c r="AW3181" s="135"/>
      <c r="AX3181" s="135"/>
      <c r="AY3181" s="135"/>
      <c r="AZ3181" s="135"/>
      <c r="BA3181" s="135"/>
      <c r="BB3181" s="135"/>
      <c r="BC3181" s="135"/>
      <c r="BD3181" s="135"/>
      <c r="BE3181" s="135"/>
      <c r="BF3181" s="135"/>
      <c r="BG3181" s="135"/>
      <c r="BH3181" s="135"/>
      <c r="BI3181" s="2"/>
      <c r="BJ3181" s="136"/>
      <c r="BK3181" s="2"/>
      <c r="BL3181" s="136"/>
      <c r="BM3181" s="136"/>
      <c r="BN3181" s="2"/>
      <c r="BO3181" s="2"/>
      <c r="BP3181" s="136"/>
      <c r="BQ3181" s="137"/>
    </row>
    <row r="3182" spans="1:69" ht="12.75" customHeight="1" x14ac:dyDescent="0.2">
      <c r="A3182" s="2">
        <v>4671</v>
      </c>
      <c r="B3182" s="2"/>
      <c r="C3182" s="2"/>
      <c r="D3182" s="2"/>
      <c r="E3182" s="2"/>
      <c r="F3182" s="132">
        <v>0</v>
      </c>
      <c r="G3182" s="132"/>
      <c r="H3182" s="132">
        <f t="shared" ref="H3182:H3245" si="360">R3182</f>
        <v>0</v>
      </c>
      <c r="I3182" s="132"/>
      <c r="J3182" s="132">
        <f t="shared" si="358"/>
        <v>0</v>
      </c>
      <c r="K3182" s="132">
        <f t="shared" si="354"/>
        <v>0</v>
      </c>
      <c r="L3182" s="132">
        <f t="shared" si="355"/>
        <v>0</v>
      </c>
      <c r="M3182" s="133"/>
      <c r="N3182" s="133">
        <f t="shared" si="359"/>
        <v>0</v>
      </c>
      <c r="O3182" s="134"/>
      <c r="P3182" s="133"/>
      <c r="Q3182" s="2"/>
      <c r="R3182" s="156">
        <f t="shared" si="356"/>
        <v>0</v>
      </c>
      <c r="S3182" s="156">
        <f t="shared" si="357"/>
        <v>0</v>
      </c>
      <c r="T3182" s="133"/>
      <c r="U3182" s="133"/>
      <c r="V3182" s="133"/>
      <c r="W3182" s="133"/>
      <c r="X3182" s="133"/>
      <c r="Y3182" s="133"/>
      <c r="Z3182" s="133"/>
      <c r="AA3182" s="133"/>
      <c r="AB3182" s="133"/>
      <c r="AC3182" s="133"/>
      <c r="AD3182" s="133"/>
      <c r="AE3182" s="133"/>
      <c r="AF3182" s="133"/>
      <c r="AG3182" s="133"/>
      <c r="AH3182" s="133"/>
      <c r="AI3182" s="133"/>
      <c r="AJ3182" s="133"/>
      <c r="AK3182" s="133"/>
      <c r="AL3182" s="133"/>
      <c r="AM3182" s="133"/>
      <c r="AN3182" s="133"/>
      <c r="AO3182" s="133"/>
      <c r="AP3182" s="133"/>
      <c r="AQ3182" s="133"/>
      <c r="AR3182" s="133"/>
      <c r="AS3182" s="153">
        <v>0</v>
      </c>
      <c r="AT3182" s="153">
        <v>0</v>
      </c>
      <c r="AU3182" s="153">
        <v>0</v>
      </c>
      <c r="AV3182" s="135"/>
      <c r="AW3182" s="135"/>
      <c r="AX3182" s="135"/>
      <c r="AY3182" s="135"/>
      <c r="AZ3182" s="135"/>
      <c r="BA3182" s="135"/>
      <c r="BB3182" s="135"/>
      <c r="BC3182" s="135"/>
      <c r="BD3182" s="135"/>
      <c r="BE3182" s="135"/>
      <c r="BF3182" s="135"/>
      <c r="BG3182" s="135"/>
      <c r="BH3182" s="135"/>
      <c r="BI3182" s="2"/>
      <c r="BJ3182" s="136"/>
      <c r="BK3182" s="2"/>
      <c r="BL3182" s="136"/>
      <c r="BM3182" s="136"/>
      <c r="BN3182" s="2"/>
      <c r="BO3182" s="2"/>
      <c r="BP3182" s="136"/>
      <c r="BQ3182" s="137"/>
    </row>
    <row r="3183" spans="1:69" ht="12.75" customHeight="1" x14ac:dyDescent="0.2">
      <c r="A3183" s="2">
        <v>4672</v>
      </c>
      <c r="B3183" s="2"/>
      <c r="C3183" s="2"/>
      <c r="D3183" s="2"/>
      <c r="E3183" s="2"/>
      <c r="F3183" s="132">
        <v>0</v>
      </c>
      <c r="G3183" s="132"/>
      <c r="H3183" s="132">
        <f t="shared" si="360"/>
        <v>0</v>
      </c>
      <c r="I3183" s="132"/>
      <c r="J3183" s="132">
        <f t="shared" si="358"/>
        <v>0</v>
      </c>
      <c r="K3183" s="132">
        <f t="shared" si="354"/>
        <v>0</v>
      </c>
      <c r="L3183" s="132">
        <f t="shared" si="355"/>
        <v>0</v>
      </c>
      <c r="M3183" s="133"/>
      <c r="N3183" s="133">
        <f t="shared" si="359"/>
        <v>0</v>
      </c>
      <c r="O3183" s="134"/>
      <c r="P3183" s="133"/>
      <c r="Q3183" s="2"/>
      <c r="R3183" s="156">
        <f t="shared" si="356"/>
        <v>0</v>
      </c>
      <c r="S3183" s="156">
        <f t="shared" si="357"/>
        <v>0</v>
      </c>
      <c r="T3183" s="133"/>
      <c r="U3183" s="133"/>
      <c r="V3183" s="133"/>
      <c r="W3183" s="133"/>
      <c r="X3183" s="133"/>
      <c r="Y3183" s="133"/>
      <c r="Z3183" s="133"/>
      <c r="AA3183" s="133"/>
      <c r="AB3183" s="133"/>
      <c r="AC3183" s="133"/>
      <c r="AD3183" s="133"/>
      <c r="AE3183" s="133"/>
      <c r="AF3183" s="133"/>
      <c r="AG3183" s="133"/>
      <c r="AH3183" s="133"/>
      <c r="AI3183" s="133"/>
      <c r="AJ3183" s="133"/>
      <c r="AK3183" s="133"/>
      <c r="AL3183" s="133"/>
      <c r="AM3183" s="133"/>
      <c r="AN3183" s="133"/>
      <c r="AO3183" s="133"/>
      <c r="AP3183" s="133"/>
      <c r="AQ3183" s="133"/>
      <c r="AR3183" s="133"/>
      <c r="AS3183" s="153">
        <v>0</v>
      </c>
      <c r="AT3183" s="153">
        <v>0</v>
      </c>
      <c r="AU3183" s="153">
        <v>0</v>
      </c>
      <c r="AV3183" s="135"/>
      <c r="AW3183" s="135"/>
      <c r="AX3183" s="135"/>
      <c r="AY3183" s="135"/>
      <c r="AZ3183" s="135"/>
      <c r="BA3183" s="135"/>
      <c r="BB3183" s="135"/>
      <c r="BC3183" s="135"/>
      <c r="BD3183" s="135"/>
      <c r="BE3183" s="135"/>
      <c r="BF3183" s="135"/>
      <c r="BG3183" s="135"/>
      <c r="BH3183" s="135"/>
      <c r="BI3183" s="2"/>
      <c r="BJ3183" s="136"/>
      <c r="BK3183" s="2"/>
      <c r="BL3183" s="136"/>
      <c r="BM3183" s="136"/>
      <c r="BN3183" s="2"/>
      <c r="BO3183" s="2"/>
      <c r="BP3183" s="136"/>
      <c r="BQ3183" s="137"/>
    </row>
    <row r="3184" spans="1:69" ht="12.75" customHeight="1" x14ac:dyDescent="0.2">
      <c r="A3184" s="2">
        <v>4673</v>
      </c>
      <c r="B3184" s="2"/>
      <c r="C3184" s="2"/>
      <c r="D3184" s="2"/>
      <c r="E3184" s="2"/>
      <c r="F3184" s="132">
        <v>0</v>
      </c>
      <c r="G3184" s="132"/>
      <c r="H3184" s="132">
        <f t="shared" si="360"/>
        <v>0</v>
      </c>
      <c r="I3184" s="132"/>
      <c r="J3184" s="132">
        <f t="shared" si="358"/>
        <v>0</v>
      </c>
      <c r="K3184" s="132">
        <f t="shared" si="354"/>
        <v>0</v>
      </c>
      <c r="L3184" s="132">
        <f t="shared" si="355"/>
        <v>0</v>
      </c>
      <c r="M3184" s="133"/>
      <c r="N3184" s="133">
        <f t="shared" si="359"/>
        <v>0</v>
      </c>
      <c r="O3184" s="134"/>
      <c r="P3184" s="133"/>
      <c r="Q3184" s="2"/>
      <c r="R3184" s="156">
        <f t="shared" si="356"/>
        <v>0</v>
      </c>
      <c r="S3184" s="156">
        <f t="shared" si="357"/>
        <v>0</v>
      </c>
      <c r="T3184" s="133"/>
      <c r="U3184" s="133"/>
      <c r="V3184" s="133"/>
      <c r="W3184" s="133"/>
      <c r="X3184" s="133"/>
      <c r="Y3184" s="133"/>
      <c r="Z3184" s="133"/>
      <c r="AA3184" s="133"/>
      <c r="AB3184" s="133"/>
      <c r="AC3184" s="133"/>
      <c r="AD3184" s="133"/>
      <c r="AE3184" s="133"/>
      <c r="AF3184" s="133"/>
      <c r="AG3184" s="133"/>
      <c r="AH3184" s="133"/>
      <c r="AI3184" s="133"/>
      <c r="AJ3184" s="133"/>
      <c r="AK3184" s="133"/>
      <c r="AL3184" s="133"/>
      <c r="AM3184" s="133"/>
      <c r="AN3184" s="133"/>
      <c r="AO3184" s="133"/>
      <c r="AP3184" s="133"/>
      <c r="AQ3184" s="133"/>
      <c r="AR3184" s="133"/>
      <c r="AS3184" s="153">
        <v>0</v>
      </c>
      <c r="AT3184" s="153">
        <v>0</v>
      </c>
      <c r="AU3184" s="153">
        <v>0</v>
      </c>
      <c r="AV3184" s="135"/>
      <c r="AW3184" s="135"/>
      <c r="AX3184" s="135"/>
      <c r="AY3184" s="135"/>
      <c r="AZ3184" s="135"/>
      <c r="BA3184" s="135"/>
      <c r="BB3184" s="135"/>
      <c r="BC3184" s="135"/>
      <c r="BD3184" s="135"/>
      <c r="BE3184" s="135"/>
      <c r="BF3184" s="135"/>
      <c r="BG3184" s="135"/>
      <c r="BH3184" s="135"/>
      <c r="BI3184" s="2"/>
      <c r="BJ3184" s="136"/>
      <c r="BK3184" s="2"/>
      <c r="BL3184" s="136"/>
      <c r="BM3184" s="136"/>
      <c r="BN3184" s="2"/>
      <c r="BO3184" s="2"/>
      <c r="BP3184" s="136"/>
      <c r="BQ3184" s="137"/>
    </row>
    <row r="3185" spans="1:69" ht="12.75" customHeight="1" x14ac:dyDescent="0.2">
      <c r="A3185" s="2">
        <v>4674</v>
      </c>
      <c r="B3185" s="2"/>
      <c r="C3185" s="2"/>
      <c r="D3185" s="2"/>
      <c r="E3185" s="2"/>
      <c r="F3185" s="132">
        <v>0</v>
      </c>
      <c r="G3185" s="132"/>
      <c r="H3185" s="132">
        <f t="shared" si="360"/>
        <v>0</v>
      </c>
      <c r="I3185" s="132"/>
      <c r="J3185" s="132">
        <f t="shared" si="358"/>
        <v>0</v>
      </c>
      <c r="K3185" s="132">
        <f t="shared" si="354"/>
        <v>0</v>
      </c>
      <c r="L3185" s="132">
        <f t="shared" si="355"/>
        <v>0</v>
      </c>
      <c r="M3185" s="133"/>
      <c r="N3185" s="133">
        <f t="shared" si="359"/>
        <v>0</v>
      </c>
      <c r="O3185" s="134"/>
      <c r="P3185" s="133"/>
      <c r="Q3185" s="2"/>
      <c r="R3185" s="156">
        <f t="shared" si="356"/>
        <v>0</v>
      </c>
      <c r="S3185" s="156">
        <f t="shared" si="357"/>
        <v>0</v>
      </c>
      <c r="T3185" s="133"/>
      <c r="U3185" s="133"/>
      <c r="V3185" s="133"/>
      <c r="W3185" s="133"/>
      <c r="X3185" s="133"/>
      <c r="Y3185" s="133"/>
      <c r="Z3185" s="133"/>
      <c r="AA3185" s="133"/>
      <c r="AB3185" s="133"/>
      <c r="AC3185" s="133"/>
      <c r="AD3185" s="133"/>
      <c r="AE3185" s="133"/>
      <c r="AF3185" s="133"/>
      <c r="AG3185" s="133"/>
      <c r="AH3185" s="133"/>
      <c r="AI3185" s="133"/>
      <c r="AJ3185" s="133"/>
      <c r="AK3185" s="133"/>
      <c r="AL3185" s="133"/>
      <c r="AM3185" s="133"/>
      <c r="AN3185" s="133"/>
      <c r="AO3185" s="133"/>
      <c r="AP3185" s="133"/>
      <c r="AQ3185" s="133"/>
      <c r="AR3185" s="133"/>
      <c r="AS3185" s="153">
        <v>0</v>
      </c>
      <c r="AT3185" s="153">
        <v>0</v>
      </c>
      <c r="AU3185" s="153">
        <v>0</v>
      </c>
      <c r="AV3185" s="135"/>
      <c r="AW3185" s="135"/>
      <c r="AX3185" s="135"/>
      <c r="AY3185" s="135"/>
      <c r="AZ3185" s="135"/>
      <c r="BA3185" s="135"/>
      <c r="BB3185" s="135"/>
      <c r="BC3185" s="135"/>
      <c r="BD3185" s="135"/>
      <c r="BE3185" s="135"/>
      <c r="BF3185" s="135"/>
      <c r="BG3185" s="135"/>
      <c r="BH3185" s="135"/>
      <c r="BI3185" s="2"/>
      <c r="BJ3185" s="136"/>
      <c r="BK3185" s="2"/>
      <c r="BL3185" s="136"/>
      <c r="BM3185" s="136"/>
      <c r="BN3185" s="2"/>
      <c r="BO3185" s="2"/>
      <c r="BP3185" s="136"/>
      <c r="BQ3185" s="137"/>
    </row>
    <row r="3186" spans="1:69" ht="12.75" customHeight="1" x14ac:dyDescent="0.2">
      <c r="A3186" s="2">
        <v>4675</v>
      </c>
      <c r="B3186" s="2"/>
      <c r="C3186" s="2"/>
      <c r="D3186" s="2"/>
      <c r="E3186" s="2"/>
      <c r="F3186" s="132">
        <v>0</v>
      </c>
      <c r="G3186" s="132"/>
      <c r="H3186" s="132">
        <f t="shared" si="360"/>
        <v>0</v>
      </c>
      <c r="I3186" s="132"/>
      <c r="J3186" s="132">
        <f t="shared" si="358"/>
        <v>0</v>
      </c>
      <c r="K3186" s="132">
        <f t="shared" si="354"/>
        <v>0</v>
      </c>
      <c r="L3186" s="132">
        <f t="shared" si="355"/>
        <v>0</v>
      </c>
      <c r="M3186" s="133"/>
      <c r="N3186" s="133">
        <f t="shared" si="359"/>
        <v>0</v>
      </c>
      <c r="O3186" s="134"/>
      <c r="P3186" s="133"/>
      <c r="Q3186" s="2"/>
      <c r="R3186" s="156">
        <f t="shared" si="356"/>
        <v>0</v>
      </c>
      <c r="S3186" s="156">
        <f t="shared" si="357"/>
        <v>0</v>
      </c>
      <c r="T3186" s="133"/>
      <c r="U3186" s="133"/>
      <c r="V3186" s="133"/>
      <c r="W3186" s="133"/>
      <c r="X3186" s="133"/>
      <c r="Y3186" s="133"/>
      <c r="Z3186" s="133"/>
      <c r="AA3186" s="133"/>
      <c r="AB3186" s="133"/>
      <c r="AC3186" s="133"/>
      <c r="AD3186" s="133"/>
      <c r="AE3186" s="133"/>
      <c r="AF3186" s="133"/>
      <c r="AG3186" s="133"/>
      <c r="AH3186" s="133"/>
      <c r="AI3186" s="133"/>
      <c r="AJ3186" s="133"/>
      <c r="AK3186" s="133"/>
      <c r="AL3186" s="133"/>
      <c r="AM3186" s="133"/>
      <c r="AN3186" s="133"/>
      <c r="AO3186" s="133"/>
      <c r="AP3186" s="133"/>
      <c r="AQ3186" s="133"/>
      <c r="AR3186" s="133"/>
      <c r="AS3186" s="153">
        <v>0</v>
      </c>
      <c r="AT3186" s="153">
        <v>0</v>
      </c>
      <c r="AU3186" s="153">
        <v>0</v>
      </c>
      <c r="AV3186" s="135"/>
      <c r="AW3186" s="135"/>
      <c r="AX3186" s="135"/>
      <c r="AY3186" s="135"/>
      <c r="AZ3186" s="135"/>
      <c r="BA3186" s="135"/>
      <c r="BB3186" s="135"/>
      <c r="BC3186" s="135"/>
      <c r="BD3186" s="135"/>
      <c r="BE3186" s="135"/>
      <c r="BF3186" s="135"/>
      <c r="BG3186" s="135"/>
      <c r="BH3186" s="135"/>
      <c r="BI3186" s="2"/>
      <c r="BJ3186" s="136"/>
      <c r="BK3186" s="2"/>
      <c r="BL3186" s="136"/>
      <c r="BM3186" s="136"/>
      <c r="BN3186" s="2"/>
      <c r="BO3186" s="2"/>
      <c r="BP3186" s="136"/>
      <c r="BQ3186" s="137"/>
    </row>
    <row r="3187" spans="1:69" ht="12.75" customHeight="1" x14ac:dyDescent="0.2">
      <c r="A3187" s="2">
        <v>4676</v>
      </c>
      <c r="B3187" s="2"/>
      <c r="C3187" s="2"/>
      <c r="D3187" s="2"/>
      <c r="E3187" s="2"/>
      <c r="F3187" s="132">
        <v>0</v>
      </c>
      <c r="G3187" s="132"/>
      <c r="H3187" s="132">
        <f t="shared" si="360"/>
        <v>0</v>
      </c>
      <c r="I3187" s="132"/>
      <c r="J3187" s="132">
        <f t="shared" si="358"/>
        <v>0</v>
      </c>
      <c r="K3187" s="132">
        <f t="shared" si="354"/>
        <v>0</v>
      </c>
      <c r="L3187" s="132">
        <f t="shared" si="355"/>
        <v>0</v>
      </c>
      <c r="M3187" s="133"/>
      <c r="N3187" s="133">
        <f t="shared" si="359"/>
        <v>0</v>
      </c>
      <c r="O3187" s="134"/>
      <c r="P3187" s="133"/>
      <c r="Q3187" s="2"/>
      <c r="R3187" s="156">
        <f t="shared" si="356"/>
        <v>0</v>
      </c>
      <c r="S3187" s="156">
        <f t="shared" si="357"/>
        <v>0</v>
      </c>
      <c r="T3187" s="133"/>
      <c r="U3187" s="133"/>
      <c r="V3187" s="133"/>
      <c r="W3187" s="133"/>
      <c r="X3187" s="133"/>
      <c r="Y3187" s="133"/>
      <c r="Z3187" s="133"/>
      <c r="AA3187" s="133"/>
      <c r="AB3187" s="133"/>
      <c r="AC3187" s="133"/>
      <c r="AD3187" s="133"/>
      <c r="AE3187" s="133"/>
      <c r="AF3187" s="133"/>
      <c r="AG3187" s="133"/>
      <c r="AH3187" s="133"/>
      <c r="AI3187" s="133"/>
      <c r="AJ3187" s="133"/>
      <c r="AK3187" s="133"/>
      <c r="AL3187" s="133"/>
      <c r="AM3187" s="133"/>
      <c r="AN3187" s="133"/>
      <c r="AO3187" s="133"/>
      <c r="AP3187" s="133"/>
      <c r="AQ3187" s="133"/>
      <c r="AR3187" s="133"/>
      <c r="AS3187" s="153">
        <v>0</v>
      </c>
      <c r="AT3187" s="153">
        <v>0</v>
      </c>
      <c r="AU3187" s="153">
        <v>0</v>
      </c>
      <c r="AV3187" s="135"/>
      <c r="AW3187" s="135"/>
      <c r="AX3187" s="135"/>
      <c r="AY3187" s="135"/>
      <c r="AZ3187" s="135"/>
      <c r="BA3187" s="135"/>
      <c r="BB3187" s="135"/>
      <c r="BC3187" s="135"/>
      <c r="BD3187" s="135"/>
      <c r="BE3187" s="135"/>
      <c r="BF3187" s="135"/>
      <c r="BG3187" s="135"/>
      <c r="BH3187" s="135"/>
      <c r="BI3187" s="2"/>
      <c r="BJ3187" s="136"/>
      <c r="BK3187" s="2"/>
      <c r="BL3187" s="136"/>
      <c r="BM3187" s="136"/>
      <c r="BN3187" s="2"/>
      <c r="BO3187" s="2"/>
      <c r="BP3187" s="136"/>
      <c r="BQ3187" s="137"/>
    </row>
    <row r="3188" spans="1:69" ht="12.75" customHeight="1" x14ac:dyDescent="0.2">
      <c r="A3188" s="2">
        <v>4677</v>
      </c>
      <c r="B3188" s="2"/>
      <c r="C3188" s="2"/>
      <c r="D3188" s="2"/>
      <c r="E3188" s="2"/>
      <c r="F3188" s="132">
        <v>0</v>
      </c>
      <c r="G3188" s="132"/>
      <c r="H3188" s="132">
        <f t="shared" si="360"/>
        <v>0</v>
      </c>
      <c r="I3188" s="132"/>
      <c r="J3188" s="132">
        <f t="shared" si="358"/>
        <v>0</v>
      </c>
      <c r="K3188" s="132">
        <f t="shared" si="354"/>
        <v>0</v>
      </c>
      <c r="L3188" s="132">
        <f t="shared" si="355"/>
        <v>0</v>
      </c>
      <c r="M3188" s="133"/>
      <c r="N3188" s="133">
        <f t="shared" si="359"/>
        <v>0</v>
      </c>
      <c r="O3188" s="134"/>
      <c r="P3188" s="133"/>
      <c r="Q3188" s="2"/>
      <c r="R3188" s="156">
        <f t="shared" si="356"/>
        <v>0</v>
      </c>
      <c r="S3188" s="156">
        <f t="shared" si="357"/>
        <v>0</v>
      </c>
      <c r="T3188" s="133"/>
      <c r="U3188" s="133"/>
      <c r="V3188" s="133"/>
      <c r="W3188" s="133"/>
      <c r="X3188" s="133"/>
      <c r="Y3188" s="133"/>
      <c r="Z3188" s="133"/>
      <c r="AA3188" s="133"/>
      <c r="AB3188" s="133"/>
      <c r="AC3188" s="133"/>
      <c r="AD3188" s="133"/>
      <c r="AE3188" s="133"/>
      <c r="AF3188" s="133"/>
      <c r="AG3188" s="133"/>
      <c r="AH3188" s="133"/>
      <c r="AI3188" s="133"/>
      <c r="AJ3188" s="133"/>
      <c r="AK3188" s="133"/>
      <c r="AL3188" s="133"/>
      <c r="AM3188" s="133"/>
      <c r="AN3188" s="133"/>
      <c r="AO3188" s="133"/>
      <c r="AP3188" s="133"/>
      <c r="AQ3188" s="133"/>
      <c r="AR3188" s="133"/>
      <c r="AS3188" s="153">
        <v>0</v>
      </c>
      <c r="AT3188" s="153">
        <v>0</v>
      </c>
      <c r="AU3188" s="153">
        <v>0</v>
      </c>
      <c r="AV3188" s="135"/>
      <c r="AW3188" s="135"/>
      <c r="AX3188" s="135"/>
      <c r="AY3188" s="135"/>
      <c r="AZ3188" s="135"/>
      <c r="BA3188" s="135"/>
      <c r="BB3188" s="135"/>
      <c r="BC3188" s="135"/>
      <c r="BD3188" s="135"/>
      <c r="BE3188" s="135"/>
      <c r="BF3188" s="135"/>
      <c r="BG3188" s="135"/>
      <c r="BH3188" s="135"/>
      <c r="BI3188" s="2"/>
      <c r="BJ3188" s="136"/>
      <c r="BK3188" s="2"/>
      <c r="BL3188" s="136"/>
      <c r="BM3188" s="136"/>
      <c r="BN3188" s="2"/>
      <c r="BO3188" s="2"/>
      <c r="BP3188" s="136"/>
      <c r="BQ3188" s="137"/>
    </row>
    <row r="3189" spans="1:69" ht="12.75" customHeight="1" x14ac:dyDescent="0.2">
      <c r="A3189" s="2">
        <v>4678</v>
      </c>
      <c r="B3189" s="2"/>
      <c r="C3189" s="2"/>
      <c r="D3189" s="2"/>
      <c r="E3189" s="2"/>
      <c r="F3189" s="132">
        <v>0</v>
      </c>
      <c r="G3189" s="132"/>
      <c r="H3189" s="132">
        <f t="shared" si="360"/>
        <v>0</v>
      </c>
      <c r="I3189" s="132"/>
      <c r="J3189" s="132">
        <f t="shared" si="358"/>
        <v>0</v>
      </c>
      <c r="K3189" s="132">
        <f t="shared" si="354"/>
        <v>0</v>
      </c>
      <c r="L3189" s="132">
        <f t="shared" si="355"/>
        <v>0</v>
      </c>
      <c r="M3189" s="133"/>
      <c r="N3189" s="133">
        <f t="shared" si="359"/>
        <v>0</v>
      </c>
      <c r="O3189" s="134"/>
      <c r="P3189" s="133"/>
      <c r="Q3189" s="2"/>
      <c r="R3189" s="156">
        <f t="shared" si="356"/>
        <v>0</v>
      </c>
      <c r="S3189" s="156">
        <f t="shared" si="357"/>
        <v>0</v>
      </c>
      <c r="T3189" s="133"/>
      <c r="U3189" s="133"/>
      <c r="V3189" s="133"/>
      <c r="W3189" s="133"/>
      <c r="X3189" s="133"/>
      <c r="Y3189" s="133"/>
      <c r="Z3189" s="133"/>
      <c r="AA3189" s="133"/>
      <c r="AB3189" s="133"/>
      <c r="AC3189" s="133"/>
      <c r="AD3189" s="133"/>
      <c r="AE3189" s="133"/>
      <c r="AF3189" s="133"/>
      <c r="AG3189" s="133"/>
      <c r="AH3189" s="133"/>
      <c r="AI3189" s="133"/>
      <c r="AJ3189" s="133"/>
      <c r="AK3189" s="133"/>
      <c r="AL3189" s="133"/>
      <c r="AM3189" s="133"/>
      <c r="AN3189" s="133"/>
      <c r="AO3189" s="133"/>
      <c r="AP3189" s="133"/>
      <c r="AQ3189" s="133"/>
      <c r="AR3189" s="133"/>
      <c r="AS3189" s="153">
        <v>0</v>
      </c>
      <c r="AT3189" s="153">
        <v>0</v>
      </c>
      <c r="AU3189" s="153">
        <v>0</v>
      </c>
      <c r="AV3189" s="135"/>
      <c r="AW3189" s="135"/>
      <c r="AX3189" s="135"/>
      <c r="AY3189" s="135"/>
      <c r="AZ3189" s="135"/>
      <c r="BA3189" s="135"/>
      <c r="BB3189" s="135"/>
      <c r="BC3189" s="135"/>
      <c r="BD3189" s="135"/>
      <c r="BE3189" s="135"/>
      <c r="BF3189" s="135"/>
      <c r="BG3189" s="135"/>
      <c r="BH3189" s="135"/>
      <c r="BI3189" s="2"/>
      <c r="BJ3189" s="136"/>
      <c r="BK3189" s="2"/>
      <c r="BL3189" s="136"/>
      <c r="BM3189" s="136"/>
      <c r="BN3189" s="2"/>
      <c r="BO3189" s="2"/>
      <c r="BP3189" s="136"/>
      <c r="BQ3189" s="137"/>
    </row>
    <row r="3190" spans="1:69" ht="12.75" customHeight="1" x14ac:dyDescent="0.2">
      <c r="A3190" s="2">
        <v>4679</v>
      </c>
      <c r="B3190" s="2"/>
      <c r="C3190" s="2"/>
      <c r="D3190" s="2"/>
      <c r="E3190" s="2"/>
      <c r="F3190" s="132">
        <v>0</v>
      </c>
      <c r="G3190" s="132"/>
      <c r="H3190" s="132">
        <f t="shared" si="360"/>
        <v>0</v>
      </c>
      <c r="I3190" s="132"/>
      <c r="J3190" s="132">
        <f t="shared" si="358"/>
        <v>0</v>
      </c>
      <c r="K3190" s="132">
        <f t="shared" ref="K3190:K3253" si="361">F3190-J3190</f>
        <v>0</v>
      </c>
      <c r="L3190" s="132">
        <f t="shared" si="355"/>
        <v>0</v>
      </c>
      <c r="M3190" s="133"/>
      <c r="N3190" s="133">
        <f t="shared" si="359"/>
        <v>0</v>
      </c>
      <c r="O3190" s="134"/>
      <c r="P3190" s="133"/>
      <c r="Q3190" s="2"/>
      <c r="R3190" s="156">
        <f t="shared" si="356"/>
        <v>0</v>
      </c>
      <c r="S3190" s="156">
        <f t="shared" si="357"/>
        <v>0</v>
      </c>
      <c r="T3190" s="133"/>
      <c r="U3190" s="133"/>
      <c r="V3190" s="133"/>
      <c r="W3190" s="133"/>
      <c r="X3190" s="133"/>
      <c r="Y3190" s="133"/>
      <c r="Z3190" s="133"/>
      <c r="AA3190" s="133"/>
      <c r="AB3190" s="133"/>
      <c r="AC3190" s="133"/>
      <c r="AD3190" s="133"/>
      <c r="AE3190" s="133"/>
      <c r="AF3190" s="133"/>
      <c r="AG3190" s="133"/>
      <c r="AH3190" s="133"/>
      <c r="AI3190" s="133"/>
      <c r="AJ3190" s="133"/>
      <c r="AK3190" s="133"/>
      <c r="AL3190" s="133"/>
      <c r="AM3190" s="133"/>
      <c r="AN3190" s="133"/>
      <c r="AO3190" s="133"/>
      <c r="AP3190" s="133"/>
      <c r="AQ3190" s="133"/>
      <c r="AR3190" s="133"/>
      <c r="AS3190" s="153">
        <v>0</v>
      </c>
      <c r="AT3190" s="153">
        <v>0</v>
      </c>
      <c r="AU3190" s="153">
        <v>0</v>
      </c>
      <c r="AV3190" s="135"/>
      <c r="AW3190" s="135"/>
      <c r="AX3190" s="135"/>
      <c r="AY3190" s="135"/>
      <c r="AZ3190" s="135"/>
      <c r="BA3190" s="135"/>
      <c r="BB3190" s="135"/>
      <c r="BC3190" s="135"/>
      <c r="BD3190" s="135"/>
      <c r="BE3190" s="135"/>
      <c r="BF3190" s="135"/>
      <c r="BG3190" s="135"/>
      <c r="BH3190" s="135"/>
      <c r="BI3190" s="2"/>
      <c r="BJ3190" s="136"/>
      <c r="BK3190" s="2"/>
      <c r="BL3190" s="136"/>
      <c r="BM3190" s="136"/>
      <c r="BN3190" s="2"/>
      <c r="BO3190" s="2"/>
      <c r="BP3190" s="136"/>
      <c r="BQ3190" s="137"/>
    </row>
    <row r="3191" spans="1:69" ht="12.75" customHeight="1" x14ac:dyDescent="0.2">
      <c r="A3191" s="2">
        <v>4680</v>
      </c>
      <c r="B3191" s="2"/>
      <c r="C3191" s="2"/>
      <c r="D3191" s="2"/>
      <c r="E3191" s="2"/>
      <c r="F3191" s="132">
        <v>0</v>
      </c>
      <c r="G3191" s="132"/>
      <c r="H3191" s="132">
        <f t="shared" si="360"/>
        <v>0</v>
      </c>
      <c r="I3191" s="132"/>
      <c r="J3191" s="132">
        <f t="shared" si="358"/>
        <v>0</v>
      </c>
      <c r="K3191" s="132">
        <f t="shared" si="361"/>
        <v>0</v>
      </c>
      <c r="L3191" s="132">
        <f t="shared" si="355"/>
        <v>0</v>
      </c>
      <c r="M3191" s="133"/>
      <c r="N3191" s="133">
        <f t="shared" si="359"/>
        <v>0</v>
      </c>
      <c r="O3191" s="134"/>
      <c r="P3191" s="133"/>
      <c r="Q3191" s="2"/>
      <c r="R3191" s="156">
        <f t="shared" si="356"/>
        <v>0</v>
      </c>
      <c r="S3191" s="156">
        <f t="shared" si="357"/>
        <v>0</v>
      </c>
      <c r="T3191" s="133"/>
      <c r="U3191" s="133"/>
      <c r="V3191" s="133"/>
      <c r="W3191" s="133"/>
      <c r="X3191" s="133"/>
      <c r="Y3191" s="133"/>
      <c r="Z3191" s="133"/>
      <c r="AA3191" s="133"/>
      <c r="AB3191" s="133"/>
      <c r="AC3191" s="133"/>
      <c r="AD3191" s="133"/>
      <c r="AE3191" s="133"/>
      <c r="AF3191" s="133"/>
      <c r="AG3191" s="133"/>
      <c r="AH3191" s="133"/>
      <c r="AI3191" s="133"/>
      <c r="AJ3191" s="133"/>
      <c r="AK3191" s="133"/>
      <c r="AL3191" s="133"/>
      <c r="AM3191" s="133"/>
      <c r="AN3191" s="133"/>
      <c r="AO3191" s="133"/>
      <c r="AP3191" s="133"/>
      <c r="AQ3191" s="133"/>
      <c r="AR3191" s="133"/>
      <c r="AS3191" s="153">
        <v>0</v>
      </c>
      <c r="AT3191" s="153">
        <v>0</v>
      </c>
      <c r="AU3191" s="153">
        <v>0</v>
      </c>
      <c r="AV3191" s="135"/>
      <c r="AW3191" s="135"/>
      <c r="AX3191" s="135"/>
      <c r="AY3191" s="135"/>
      <c r="AZ3191" s="135"/>
      <c r="BA3191" s="135"/>
      <c r="BB3191" s="135"/>
      <c r="BC3191" s="135"/>
      <c r="BD3191" s="135"/>
      <c r="BE3191" s="135"/>
      <c r="BF3191" s="135"/>
      <c r="BG3191" s="135"/>
      <c r="BH3191" s="135"/>
      <c r="BI3191" s="2"/>
      <c r="BJ3191" s="136"/>
      <c r="BK3191" s="2"/>
      <c r="BL3191" s="136"/>
      <c r="BM3191" s="136"/>
      <c r="BN3191" s="2"/>
      <c r="BO3191" s="2"/>
      <c r="BP3191" s="136"/>
      <c r="BQ3191" s="137"/>
    </row>
    <row r="3192" spans="1:69" ht="12.75" customHeight="1" x14ac:dyDescent="0.2">
      <c r="A3192" s="2">
        <v>4681</v>
      </c>
      <c r="B3192" s="2"/>
      <c r="C3192" s="2"/>
      <c r="D3192" s="2"/>
      <c r="E3192" s="2"/>
      <c r="F3192" s="132">
        <v>0</v>
      </c>
      <c r="G3192" s="132"/>
      <c r="H3192" s="132">
        <f t="shared" si="360"/>
        <v>0</v>
      </c>
      <c r="I3192" s="132"/>
      <c r="J3192" s="132">
        <f t="shared" si="358"/>
        <v>0</v>
      </c>
      <c r="K3192" s="132">
        <f t="shared" si="361"/>
        <v>0</v>
      </c>
      <c r="L3192" s="132">
        <f t="shared" si="355"/>
        <v>0</v>
      </c>
      <c r="M3192" s="133"/>
      <c r="N3192" s="133">
        <f t="shared" si="359"/>
        <v>0</v>
      </c>
      <c r="O3192" s="134"/>
      <c r="P3192" s="133"/>
      <c r="Q3192" s="2"/>
      <c r="R3192" s="156">
        <f t="shared" si="356"/>
        <v>0</v>
      </c>
      <c r="S3192" s="156">
        <f t="shared" si="357"/>
        <v>0</v>
      </c>
      <c r="T3192" s="133"/>
      <c r="U3192" s="133"/>
      <c r="V3192" s="133"/>
      <c r="W3192" s="133"/>
      <c r="X3192" s="133"/>
      <c r="Y3192" s="133"/>
      <c r="Z3192" s="133"/>
      <c r="AA3192" s="133"/>
      <c r="AB3192" s="133"/>
      <c r="AC3192" s="133"/>
      <c r="AD3192" s="133"/>
      <c r="AE3192" s="133"/>
      <c r="AF3192" s="133"/>
      <c r="AG3192" s="133"/>
      <c r="AH3192" s="133"/>
      <c r="AI3192" s="133"/>
      <c r="AJ3192" s="133"/>
      <c r="AK3192" s="133"/>
      <c r="AL3192" s="133"/>
      <c r="AM3192" s="133"/>
      <c r="AN3192" s="133"/>
      <c r="AO3192" s="133"/>
      <c r="AP3192" s="133"/>
      <c r="AQ3192" s="133"/>
      <c r="AR3192" s="133"/>
      <c r="AS3192" s="153">
        <v>0</v>
      </c>
      <c r="AT3192" s="153">
        <v>0</v>
      </c>
      <c r="AU3192" s="153">
        <v>0</v>
      </c>
      <c r="AV3192" s="135"/>
      <c r="AW3192" s="135"/>
      <c r="AX3192" s="135"/>
      <c r="AY3192" s="135"/>
      <c r="AZ3192" s="135"/>
      <c r="BA3192" s="135"/>
      <c r="BB3192" s="135"/>
      <c r="BC3192" s="135"/>
      <c r="BD3192" s="135"/>
      <c r="BE3192" s="135"/>
      <c r="BF3192" s="135"/>
      <c r="BG3192" s="135"/>
      <c r="BH3192" s="135"/>
      <c r="BI3192" s="2"/>
      <c r="BJ3192" s="136"/>
      <c r="BK3192" s="2"/>
      <c r="BL3192" s="136"/>
      <c r="BM3192" s="136"/>
      <c r="BN3192" s="2"/>
      <c r="BO3192" s="2"/>
      <c r="BP3192" s="136"/>
      <c r="BQ3192" s="137"/>
    </row>
    <row r="3193" spans="1:69" ht="12.75" customHeight="1" x14ac:dyDescent="0.2">
      <c r="A3193" s="2">
        <v>4682</v>
      </c>
      <c r="B3193" s="2"/>
      <c r="C3193" s="2"/>
      <c r="D3193" s="2"/>
      <c r="E3193" s="2"/>
      <c r="F3193" s="132">
        <v>0</v>
      </c>
      <c r="G3193" s="132"/>
      <c r="H3193" s="132">
        <f t="shared" si="360"/>
        <v>0</v>
      </c>
      <c r="I3193" s="132"/>
      <c r="J3193" s="132">
        <f t="shared" si="358"/>
        <v>0</v>
      </c>
      <c r="K3193" s="132">
        <f t="shared" si="361"/>
        <v>0</v>
      </c>
      <c r="L3193" s="132">
        <f t="shared" si="355"/>
        <v>0</v>
      </c>
      <c r="M3193" s="133"/>
      <c r="N3193" s="133">
        <f t="shared" si="359"/>
        <v>0</v>
      </c>
      <c r="O3193" s="134"/>
      <c r="P3193" s="133"/>
      <c r="Q3193" s="2"/>
      <c r="R3193" s="156">
        <f t="shared" si="356"/>
        <v>0</v>
      </c>
      <c r="S3193" s="156">
        <f t="shared" si="357"/>
        <v>0</v>
      </c>
      <c r="T3193" s="133"/>
      <c r="U3193" s="133"/>
      <c r="V3193" s="133"/>
      <c r="W3193" s="133"/>
      <c r="X3193" s="133"/>
      <c r="Y3193" s="133"/>
      <c r="Z3193" s="133"/>
      <c r="AA3193" s="133"/>
      <c r="AB3193" s="133"/>
      <c r="AC3193" s="133"/>
      <c r="AD3193" s="133"/>
      <c r="AE3193" s="133"/>
      <c r="AF3193" s="133"/>
      <c r="AG3193" s="133"/>
      <c r="AH3193" s="133"/>
      <c r="AI3193" s="133"/>
      <c r="AJ3193" s="133"/>
      <c r="AK3193" s="133"/>
      <c r="AL3193" s="133"/>
      <c r="AM3193" s="133"/>
      <c r="AN3193" s="133"/>
      <c r="AO3193" s="133"/>
      <c r="AP3193" s="133"/>
      <c r="AQ3193" s="133"/>
      <c r="AR3193" s="133"/>
      <c r="AS3193" s="153">
        <v>0</v>
      </c>
      <c r="AT3193" s="153">
        <v>0</v>
      </c>
      <c r="AU3193" s="153">
        <v>0</v>
      </c>
      <c r="AV3193" s="135"/>
      <c r="AW3193" s="135"/>
      <c r="AX3193" s="135"/>
      <c r="AY3193" s="135"/>
      <c r="AZ3193" s="135"/>
      <c r="BA3193" s="135"/>
      <c r="BB3193" s="135"/>
      <c r="BC3193" s="135"/>
      <c r="BD3193" s="135"/>
      <c r="BE3193" s="135"/>
      <c r="BF3193" s="135"/>
      <c r="BG3193" s="135"/>
      <c r="BH3193" s="135"/>
      <c r="BI3193" s="2"/>
      <c r="BJ3193" s="136"/>
      <c r="BK3193" s="2"/>
      <c r="BL3193" s="136"/>
      <c r="BM3193" s="136"/>
      <c r="BN3193" s="2"/>
      <c r="BO3193" s="2"/>
      <c r="BP3193" s="136"/>
      <c r="BQ3193" s="137"/>
    </row>
    <row r="3194" spans="1:69" ht="12.75" customHeight="1" x14ac:dyDescent="0.2">
      <c r="A3194" s="2">
        <v>4683</v>
      </c>
      <c r="B3194" s="2"/>
      <c r="C3194" s="2"/>
      <c r="D3194" s="2"/>
      <c r="E3194" s="2"/>
      <c r="F3194" s="132">
        <v>0</v>
      </c>
      <c r="G3194" s="132"/>
      <c r="H3194" s="132">
        <f t="shared" si="360"/>
        <v>0</v>
      </c>
      <c r="I3194" s="132"/>
      <c r="J3194" s="132">
        <f t="shared" si="358"/>
        <v>0</v>
      </c>
      <c r="K3194" s="132">
        <f t="shared" si="361"/>
        <v>0</v>
      </c>
      <c r="L3194" s="132">
        <f t="shared" si="355"/>
        <v>0</v>
      </c>
      <c r="M3194" s="133"/>
      <c r="N3194" s="133">
        <f t="shared" si="359"/>
        <v>0</v>
      </c>
      <c r="O3194" s="134"/>
      <c r="P3194" s="133"/>
      <c r="Q3194" s="2"/>
      <c r="R3194" s="156">
        <f t="shared" si="356"/>
        <v>0</v>
      </c>
      <c r="S3194" s="156">
        <f t="shared" si="357"/>
        <v>0</v>
      </c>
      <c r="T3194" s="133"/>
      <c r="U3194" s="133"/>
      <c r="V3194" s="133"/>
      <c r="W3194" s="133"/>
      <c r="X3194" s="133"/>
      <c r="Y3194" s="133"/>
      <c r="Z3194" s="133"/>
      <c r="AA3194" s="133"/>
      <c r="AB3194" s="133"/>
      <c r="AC3194" s="133"/>
      <c r="AD3194" s="133"/>
      <c r="AE3194" s="133"/>
      <c r="AF3194" s="133"/>
      <c r="AG3194" s="133"/>
      <c r="AH3194" s="133"/>
      <c r="AI3194" s="133"/>
      <c r="AJ3194" s="133"/>
      <c r="AK3194" s="133"/>
      <c r="AL3194" s="133"/>
      <c r="AM3194" s="133"/>
      <c r="AN3194" s="133"/>
      <c r="AO3194" s="133"/>
      <c r="AP3194" s="133"/>
      <c r="AQ3194" s="133"/>
      <c r="AR3194" s="133"/>
      <c r="AS3194" s="153">
        <v>0</v>
      </c>
      <c r="AT3194" s="153">
        <v>0</v>
      </c>
      <c r="AU3194" s="153">
        <v>0</v>
      </c>
      <c r="AV3194" s="135"/>
      <c r="AW3194" s="135"/>
      <c r="AX3194" s="135"/>
      <c r="AY3194" s="135"/>
      <c r="AZ3194" s="135"/>
      <c r="BA3194" s="135"/>
      <c r="BB3194" s="135"/>
      <c r="BC3194" s="135"/>
      <c r="BD3194" s="135"/>
      <c r="BE3194" s="135"/>
      <c r="BF3194" s="135"/>
      <c r="BG3194" s="135"/>
      <c r="BH3194" s="135"/>
      <c r="BI3194" s="2"/>
      <c r="BJ3194" s="136"/>
      <c r="BK3194" s="2"/>
      <c r="BL3194" s="136"/>
      <c r="BM3194" s="136"/>
      <c r="BN3194" s="2"/>
      <c r="BO3194" s="2"/>
      <c r="BP3194" s="136"/>
      <c r="BQ3194" s="137"/>
    </row>
    <row r="3195" spans="1:69" ht="12.75" customHeight="1" x14ac:dyDescent="0.2">
      <c r="A3195" s="2">
        <v>4684</v>
      </c>
      <c r="B3195" s="2"/>
      <c r="C3195" s="2"/>
      <c r="D3195" s="2"/>
      <c r="E3195" s="2"/>
      <c r="F3195" s="132">
        <v>0</v>
      </c>
      <c r="G3195" s="132"/>
      <c r="H3195" s="132">
        <f t="shared" si="360"/>
        <v>0</v>
      </c>
      <c r="I3195" s="132"/>
      <c r="J3195" s="132">
        <f t="shared" si="358"/>
        <v>0</v>
      </c>
      <c r="K3195" s="132">
        <f t="shared" si="361"/>
        <v>0</v>
      </c>
      <c r="L3195" s="132">
        <f t="shared" si="355"/>
        <v>0</v>
      </c>
      <c r="M3195" s="133"/>
      <c r="N3195" s="133">
        <f t="shared" si="359"/>
        <v>0</v>
      </c>
      <c r="O3195" s="134"/>
      <c r="P3195" s="133"/>
      <c r="Q3195" s="2"/>
      <c r="R3195" s="156">
        <f t="shared" si="356"/>
        <v>0</v>
      </c>
      <c r="S3195" s="156">
        <f t="shared" si="357"/>
        <v>0</v>
      </c>
      <c r="T3195" s="133"/>
      <c r="U3195" s="133"/>
      <c r="V3195" s="133"/>
      <c r="W3195" s="133"/>
      <c r="X3195" s="133"/>
      <c r="Y3195" s="133"/>
      <c r="Z3195" s="133"/>
      <c r="AA3195" s="133"/>
      <c r="AB3195" s="133"/>
      <c r="AC3195" s="133"/>
      <c r="AD3195" s="133"/>
      <c r="AE3195" s="133"/>
      <c r="AF3195" s="133"/>
      <c r="AG3195" s="133"/>
      <c r="AH3195" s="133"/>
      <c r="AI3195" s="133"/>
      <c r="AJ3195" s="133"/>
      <c r="AK3195" s="133"/>
      <c r="AL3195" s="133"/>
      <c r="AM3195" s="133"/>
      <c r="AN3195" s="133"/>
      <c r="AO3195" s="133"/>
      <c r="AP3195" s="133"/>
      <c r="AQ3195" s="133"/>
      <c r="AR3195" s="133"/>
      <c r="AS3195" s="153">
        <v>0</v>
      </c>
      <c r="AT3195" s="153">
        <v>0</v>
      </c>
      <c r="AU3195" s="153">
        <v>0</v>
      </c>
      <c r="AV3195" s="135"/>
      <c r="AW3195" s="135"/>
      <c r="AX3195" s="135"/>
      <c r="AY3195" s="135"/>
      <c r="AZ3195" s="135"/>
      <c r="BA3195" s="135"/>
      <c r="BB3195" s="135"/>
      <c r="BC3195" s="135"/>
      <c r="BD3195" s="135"/>
      <c r="BE3195" s="135"/>
      <c r="BF3195" s="135"/>
      <c r="BG3195" s="135"/>
      <c r="BH3195" s="135"/>
      <c r="BI3195" s="2"/>
      <c r="BJ3195" s="136"/>
      <c r="BK3195" s="2"/>
      <c r="BL3195" s="136"/>
      <c r="BM3195" s="136"/>
      <c r="BN3195" s="2"/>
      <c r="BO3195" s="2"/>
      <c r="BP3195" s="136"/>
      <c r="BQ3195" s="137"/>
    </row>
    <row r="3196" spans="1:69" ht="12.75" customHeight="1" x14ac:dyDescent="0.2">
      <c r="A3196" s="2">
        <v>4685</v>
      </c>
      <c r="B3196" s="2"/>
      <c r="C3196" s="2"/>
      <c r="D3196" s="2"/>
      <c r="E3196" s="2"/>
      <c r="F3196" s="132">
        <v>0</v>
      </c>
      <c r="G3196" s="132"/>
      <c r="H3196" s="132">
        <f t="shared" si="360"/>
        <v>0</v>
      </c>
      <c r="I3196" s="132"/>
      <c r="J3196" s="132">
        <f t="shared" si="358"/>
        <v>0</v>
      </c>
      <c r="K3196" s="132">
        <f t="shared" si="361"/>
        <v>0</v>
      </c>
      <c r="L3196" s="132">
        <f t="shared" si="355"/>
        <v>0</v>
      </c>
      <c r="M3196" s="133"/>
      <c r="N3196" s="133">
        <f t="shared" si="359"/>
        <v>0</v>
      </c>
      <c r="O3196" s="134"/>
      <c r="P3196" s="133"/>
      <c r="Q3196" s="2"/>
      <c r="R3196" s="156">
        <f t="shared" si="356"/>
        <v>0</v>
      </c>
      <c r="S3196" s="156">
        <f t="shared" si="357"/>
        <v>0</v>
      </c>
      <c r="T3196" s="133"/>
      <c r="U3196" s="133"/>
      <c r="V3196" s="133"/>
      <c r="W3196" s="133"/>
      <c r="X3196" s="133"/>
      <c r="Y3196" s="133"/>
      <c r="Z3196" s="133"/>
      <c r="AA3196" s="133"/>
      <c r="AB3196" s="133"/>
      <c r="AC3196" s="133"/>
      <c r="AD3196" s="133"/>
      <c r="AE3196" s="133"/>
      <c r="AF3196" s="133"/>
      <c r="AG3196" s="133"/>
      <c r="AH3196" s="133"/>
      <c r="AI3196" s="133"/>
      <c r="AJ3196" s="133"/>
      <c r="AK3196" s="133"/>
      <c r="AL3196" s="133"/>
      <c r="AM3196" s="133"/>
      <c r="AN3196" s="133"/>
      <c r="AO3196" s="133"/>
      <c r="AP3196" s="133"/>
      <c r="AQ3196" s="133"/>
      <c r="AR3196" s="133"/>
      <c r="AS3196" s="153">
        <v>0</v>
      </c>
      <c r="AT3196" s="153">
        <v>0</v>
      </c>
      <c r="AU3196" s="153">
        <v>0</v>
      </c>
      <c r="AV3196" s="135"/>
      <c r="AW3196" s="135"/>
      <c r="AX3196" s="135"/>
      <c r="AY3196" s="135"/>
      <c r="AZ3196" s="135"/>
      <c r="BA3196" s="135"/>
      <c r="BB3196" s="135"/>
      <c r="BC3196" s="135"/>
      <c r="BD3196" s="135"/>
      <c r="BE3196" s="135"/>
      <c r="BF3196" s="135"/>
      <c r="BG3196" s="135"/>
      <c r="BH3196" s="135"/>
      <c r="BI3196" s="2"/>
      <c r="BJ3196" s="136"/>
      <c r="BK3196" s="2"/>
      <c r="BL3196" s="136"/>
      <c r="BM3196" s="136"/>
      <c r="BN3196" s="2"/>
      <c r="BO3196" s="2"/>
      <c r="BP3196" s="136"/>
      <c r="BQ3196" s="137"/>
    </row>
    <row r="3197" spans="1:69" ht="12.75" customHeight="1" x14ac:dyDescent="0.2">
      <c r="A3197" s="2">
        <v>4686</v>
      </c>
      <c r="B3197" s="2"/>
      <c r="C3197" s="2"/>
      <c r="D3197" s="2"/>
      <c r="E3197" s="2"/>
      <c r="F3197" s="132">
        <v>0</v>
      </c>
      <c r="G3197" s="132"/>
      <c r="H3197" s="132">
        <f t="shared" si="360"/>
        <v>0</v>
      </c>
      <c r="I3197" s="132"/>
      <c r="J3197" s="132">
        <f t="shared" si="358"/>
        <v>0</v>
      </c>
      <c r="K3197" s="132">
        <f t="shared" si="361"/>
        <v>0</v>
      </c>
      <c r="L3197" s="132">
        <f t="shared" si="355"/>
        <v>0</v>
      </c>
      <c r="M3197" s="133"/>
      <c r="N3197" s="133">
        <f t="shared" si="359"/>
        <v>0</v>
      </c>
      <c r="O3197" s="134"/>
      <c r="P3197" s="133"/>
      <c r="Q3197" s="2"/>
      <c r="R3197" s="156">
        <f t="shared" si="356"/>
        <v>0</v>
      </c>
      <c r="S3197" s="156">
        <f t="shared" si="357"/>
        <v>0</v>
      </c>
      <c r="T3197" s="133"/>
      <c r="U3197" s="133"/>
      <c r="V3197" s="133"/>
      <c r="W3197" s="133"/>
      <c r="X3197" s="133"/>
      <c r="Y3197" s="133"/>
      <c r="Z3197" s="133"/>
      <c r="AA3197" s="133"/>
      <c r="AB3197" s="133"/>
      <c r="AC3197" s="133"/>
      <c r="AD3197" s="133"/>
      <c r="AE3197" s="133"/>
      <c r="AF3197" s="133"/>
      <c r="AG3197" s="133"/>
      <c r="AH3197" s="133"/>
      <c r="AI3197" s="133"/>
      <c r="AJ3197" s="133"/>
      <c r="AK3197" s="133"/>
      <c r="AL3197" s="133"/>
      <c r="AM3197" s="133"/>
      <c r="AN3197" s="133"/>
      <c r="AO3197" s="133"/>
      <c r="AP3197" s="133"/>
      <c r="AQ3197" s="133"/>
      <c r="AR3197" s="133"/>
      <c r="AS3197" s="153">
        <v>0</v>
      </c>
      <c r="AT3197" s="153">
        <v>0</v>
      </c>
      <c r="AU3197" s="153">
        <v>0</v>
      </c>
      <c r="AV3197" s="135"/>
      <c r="AW3197" s="135"/>
      <c r="AX3197" s="135"/>
      <c r="AY3197" s="135"/>
      <c r="AZ3197" s="135"/>
      <c r="BA3197" s="135"/>
      <c r="BB3197" s="135"/>
      <c r="BC3197" s="135"/>
      <c r="BD3197" s="135"/>
      <c r="BE3197" s="135"/>
      <c r="BF3197" s="135"/>
      <c r="BG3197" s="135"/>
      <c r="BH3197" s="135"/>
      <c r="BI3197" s="2"/>
      <c r="BJ3197" s="136"/>
      <c r="BK3197" s="2"/>
      <c r="BL3197" s="136"/>
      <c r="BM3197" s="136"/>
      <c r="BN3197" s="2"/>
      <c r="BO3197" s="2"/>
      <c r="BP3197" s="136"/>
      <c r="BQ3197" s="137"/>
    </row>
    <row r="3198" spans="1:69" ht="12.75" customHeight="1" x14ac:dyDescent="0.2">
      <c r="A3198" s="2">
        <v>4687</v>
      </c>
      <c r="B3198" s="2"/>
      <c r="C3198" s="2"/>
      <c r="D3198" s="2"/>
      <c r="E3198" s="2"/>
      <c r="F3198" s="132">
        <v>0</v>
      </c>
      <c r="G3198" s="132"/>
      <c r="H3198" s="132">
        <f t="shared" si="360"/>
        <v>0</v>
      </c>
      <c r="I3198" s="132"/>
      <c r="J3198" s="132">
        <f t="shared" si="358"/>
        <v>0</v>
      </c>
      <c r="K3198" s="132">
        <f t="shared" si="361"/>
        <v>0</v>
      </c>
      <c r="L3198" s="132">
        <f t="shared" si="355"/>
        <v>0</v>
      </c>
      <c r="M3198" s="133"/>
      <c r="N3198" s="133">
        <f t="shared" si="359"/>
        <v>0</v>
      </c>
      <c r="O3198" s="134"/>
      <c r="P3198" s="133"/>
      <c r="Q3198" s="2"/>
      <c r="R3198" s="156">
        <f t="shared" si="356"/>
        <v>0</v>
      </c>
      <c r="S3198" s="156">
        <f t="shared" si="357"/>
        <v>0</v>
      </c>
      <c r="T3198" s="133"/>
      <c r="U3198" s="133"/>
      <c r="V3198" s="133"/>
      <c r="W3198" s="133"/>
      <c r="X3198" s="133"/>
      <c r="Y3198" s="133"/>
      <c r="Z3198" s="133"/>
      <c r="AA3198" s="133"/>
      <c r="AB3198" s="133"/>
      <c r="AC3198" s="133"/>
      <c r="AD3198" s="133"/>
      <c r="AE3198" s="133"/>
      <c r="AF3198" s="133"/>
      <c r="AG3198" s="133"/>
      <c r="AH3198" s="133"/>
      <c r="AI3198" s="133"/>
      <c r="AJ3198" s="133"/>
      <c r="AK3198" s="133"/>
      <c r="AL3198" s="133"/>
      <c r="AM3198" s="133"/>
      <c r="AN3198" s="133"/>
      <c r="AO3198" s="133"/>
      <c r="AP3198" s="133"/>
      <c r="AQ3198" s="133"/>
      <c r="AR3198" s="133"/>
      <c r="AS3198" s="153">
        <v>0</v>
      </c>
      <c r="AT3198" s="153">
        <v>0</v>
      </c>
      <c r="AU3198" s="153">
        <v>0</v>
      </c>
      <c r="AV3198" s="135"/>
      <c r="AW3198" s="135"/>
      <c r="AX3198" s="135"/>
      <c r="AY3198" s="135"/>
      <c r="AZ3198" s="135"/>
      <c r="BA3198" s="135"/>
      <c r="BB3198" s="135"/>
      <c r="BC3198" s="135"/>
      <c r="BD3198" s="135"/>
      <c r="BE3198" s="135"/>
      <c r="BF3198" s="135"/>
      <c r="BG3198" s="135"/>
      <c r="BH3198" s="135"/>
      <c r="BI3198" s="2"/>
      <c r="BJ3198" s="136"/>
      <c r="BK3198" s="2"/>
      <c r="BL3198" s="136"/>
      <c r="BM3198" s="136"/>
      <c r="BN3198" s="2"/>
      <c r="BO3198" s="2"/>
      <c r="BP3198" s="136"/>
      <c r="BQ3198" s="137"/>
    </row>
    <row r="3199" spans="1:69" ht="12.75" customHeight="1" x14ac:dyDescent="0.2">
      <c r="A3199" s="2">
        <v>4688</v>
      </c>
      <c r="B3199" s="2"/>
      <c r="C3199" s="2"/>
      <c r="D3199" s="2"/>
      <c r="E3199" s="2"/>
      <c r="F3199" s="132">
        <v>0</v>
      </c>
      <c r="G3199" s="132"/>
      <c r="H3199" s="132">
        <f t="shared" si="360"/>
        <v>0</v>
      </c>
      <c r="I3199" s="132"/>
      <c r="J3199" s="132">
        <f t="shared" si="358"/>
        <v>0</v>
      </c>
      <c r="K3199" s="132">
        <f t="shared" si="361"/>
        <v>0</v>
      </c>
      <c r="L3199" s="132">
        <f t="shared" si="355"/>
        <v>0</v>
      </c>
      <c r="M3199" s="133"/>
      <c r="N3199" s="133">
        <f t="shared" si="359"/>
        <v>0</v>
      </c>
      <c r="O3199" s="134"/>
      <c r="P3199" s="133"/>
      <c r="Q3199" s="2"/>
      <c r="R3199" s="156">
        <f t="shared" si="356"/>
        <v>0</v>
      </c>
      <c r="S3199" s="156">
        <f t="shared" si="357"/>
        <v>0</v>
      </c>
      <c r="T3199" s="133"/>
      <c r="U3199" s="133"/>
      <c r="V3199" s="133"/>
      <c r="W3199" s="133"/>
      <c r="X3199" s="133"/>
      <c r="Y3199" s="133"/>
      <c r="Z3199" s="133"/>
      <c r="AA3199" s="133"/>
      <c r="AB3199" s="133"/>
      <c r="AC3199" s="133"/>
      <c r="AD3199" s="133"/>
      <c r="AE3199" s="133"/>
      <c r="AF3199" s="133"/>
      <c r="AG3199" s="133"/>
      <c r="AH3199" s="133"/>
      <c r="AI3199" s="133"/>
      <c r="AJ3199" s="133"/>
      <c r="AK3199" s="133"/>
      <c r="AL3199" s="133"/>
      <c r="AM3199" s="133"/>
      <c r="AN3199" s="133"/>
      <c r="AO3199" s="133"/>
      <c r="AP3199" s="133"/>
      <c r="AQ3199" s="133"/>
      <c r="AR3199" s="133"/>
      <c r="AS3199" s="153">
        <v>0</v>
      </c>
      <c r="AT3199" s="153">
        <v>0</v>
      </c>
      <c r="AU3199" s="153">
        <v>0</v>
      </c>
      <c r="AV3199" s="135"/>
      <c r="AW3199" s="135"/>
      <c r="AX3199" s="135"/>
      <c r="AY3199" s="135"/>
      <c r="AZ3199" s="135"/>
      <c r="BA3199" s="135"/>
      <c r="BB3199" s="135"/>
      <c r="BC3199" s="135"/>
      <c r="BD3199" s="135"/>
      <c r="BE3199" s="135"/>
      <c r="BF3199" s="135"/>
      <c r="BG3199" s="135"/>
      <c r="BH3199" s="135"/>
      <c r="BI3199" s="2"/>
      <c r="BJ3199" s="136"/>
      <c r="BK3199" s="2"/>
      <c r="BL3199" s="136"/>
      <c r="BM3199" s="136"/>
      <c r="BN3199" s="2"/>
      <c r="BO3199" s="2"/>
      <c r="BP3199" s="136"/>
      <c r="BQ3199" s="137"/>
    </row>
    <row r="3200" spans="1:69" ht="12.75" customHeight="1" x14ac:dyDescent="0.2">
      <c r="A3200" s="2">
        <v>4689</v>
      </c>
      <c r="B3200" s="2"/>
      <c r="C3200" s="2"/>
      <c r="D3200" s="2"/>
      <c r="E3200" s="2"/>
      <c r="F3200" s="132">
        <v>0</v>
      </c>
      <c r="G3200" s="132"/>
      <c r="H3200" s="132">
        <f t="shared" si="360"/>
        <v>0</v>
      </c>
      <c r="I3200" s="132"/>
      <c r="J3200" s="132">
        <f t="shared" si="358"/>
        <v>0</v>
      </c>
      <c r="K3200" s="132">
        <f t="shared" si="361"/>
        <v>0</v>
      </c>
      <c r="L3200" s="132">
        <f t="shared" si="355"/>
        <v>0</v>
      </c>
      <c r="M3200" s="133"/>
      <c r="N3200" s="133">
        <f t="shared" si="359"/>
        <v>0</v>
      </c>
      <c r="O3200" s="134"/>
      <c r="P3200" s="133"/>
      <c r="Q3200" s="2"/>
      <c r="R3200" s="156">
        <f t="shared" si="356"/>
        <v>0</v>
      </c>
      <c r="S3200" s="156">
        <f t="shared" si="357"/>
        <v>0</v>
      </c>
      <c r="T3200" s="133"/>
      <c r="U3200" s="133"/>
      <c r="V3200" s="133"/>
      <c r="W3200" s="133"/>
      <c r="X3200" s="133"/>
      <c r="Y3200" s="133"/>
      <c r="Z3200" s="133"/>
      <c r="AA3200" s="133"/>
      <c r="AB3200" s="133"/>
      <c r="AC3200" s="133"/>
      <c r="AD3200" s="133"/>
      <c r="AE3200" s="133"/>
      <c r="AF3200" s="133"/>
      <c r="AG3200" s="133"/>
      <c r="AH3200" s="133"/>
      <c r="AI3200" s="133"/>
      <c r="AJ3200" s="133"/>
      <c r="AK3200" s="133"/>
      <c r="AL3200" s="133"/>
      <c r="AM3200" s="133"/>
      <c r="AN3200" s="133"/>
      <c r="AO3200" s="133"/>
      <c r="AP3200" s="133"/>
      <c r="AQ3200" s="133"/>
      <c r="AR3200" s="133"/>
      <c r="AS3200" s="153">
        <v>0</v>
      </c>
      <c r="AT3200" s="153">
        <v>0</v>
      </c>
      <c r="AU3200" s="153">
        <v>0</v>
      </c>
      <c r="AV3200" s="135"/>
      <c r="AW3200" s="135"/>
      <c r="AX3200" s="135"/>
      <c r="AY3200" s="135"/>
      <c r="AZ3200" s="135"/>
      <c r="BA3200" s="135"/>
      <c r="BB3200" s="135"/>
      <c r="BC3200" s="135"/>
      <c r="BD3200" s="135"/>
      <c r="BE3200" s="135"/>
      <c r="BF3200" s="135"/>
      <c r="BG3200" s="135"/>
      <c r="BH3200" s="135"/>
      <c r="BI3200" s="2"/>
      <c r="BJ3200" s="136"/>
      <c r="BK3200" s="2"/>
      <c r="BL3200" s="136"/>
      <c r="BM3200" s="136"/>
      <c r="BN3200" s="2"/>
      <c r="BO3200" s="2"/>
      <c r="BP3200" s="136"/>
      <c r="BQ3200" s="137"/>
    </row>
    <row r="3201" spans="1:69" ht="12.75" customHeight="1" x14ac:dyDescent="0.2">
      <c r="A3201" s="2">
        <v>4690</v>
      </c>
      <c r="B3201" s="2"/>
      <c r="C3201" s="2"/>
      <c r="D3201" s="2"/>
      <c r="E3201" s="2"/>
      <c r="F3201" s="132">
        <v>0</v>
      </c>
      <c r="G3201" s="132"/>
      <c r="H3201" s="132">
        <f t="shared" si="360"/>
        <v>0</v>
      </c>
      <c r="I3201" s="132"/>
      <c r="J3201" s="132">
        <f t="shared" si="358"/>
        <v>0</v>
      </c>
      <c r="K3201" s="132">
        <f t="shared" si="361"/>
        <v>0</v>
      </c>
      <c r="L3201" s="132">
        <f t="shared" si="355"/>
        <v>0</v>
      </c>
      <c r="M3201" s="133"/>
      <c r="N3201" s="133">
        <f t="shared" si="359"/>
        <v>0</v>
      </c>
      <c r="O3201" s="134"/>
      <c r="P3201" s="133"/>
      <c r="Q3201" s="2"/>
      <c r="R3201" s="156">
        <f t="shared" si="356"/>
        <v>0</v>
      </c>
      <c r="S3201" s="156">
        <f t="shared" si="357"/>
        <v>0</v>
      </c>
      <c r="T3201" s="133"/>
      <c r="U3201" s="133"/>
      <c r="V3201" s="133"/>
      <c r="W3201" s="133"/>
      <c r="X3201" s="133"/>
      <c r="Y3201" s="133"/>
      <c r="Z3201" s="133"/>
      <c r="AA3201" s="133"/>
      <c r="AB3201" s="133"/>
      <c r="AC3201" s="133"/>
      <c r="AD3201" s="133"/>
      <c r="AE3201" s="133"/>
      <c r="AF3201" s="133"/>
      <c r="AG3201" s="133"/>
      <c r="AH3201" s="133"/>
      <c r="AI3201" s="133"/>
      <c r="AJ3201" s="133"/>
      <c r="AK3201" s="133"/>
      <c r="AL3201" s="133"/>
      <c r="AM3201" s="133"/>
      <c r="AN3201" s="133"/>
      <c r="AO3201" s="133"/>
      <c r="AP3201" s="133"/>
      <c r="AQ3201" s="133"/>
      <c r="AR3201" s="133"/>
      <c r="AS3201" s="153">
        <v>0</v>
      </c>
      <c r="AT3201" s="153">
        <v>0</v>
      </c>
      <c r="AU3201" s="153">
        <v>0</v>
      </c>
      <c r="AV3201" s="135"/>
      <c r="AW3201" s="135"/>
      <c r="AX3201" s="135"/>
      <c r="AY3201" s="135"/>
      <c r="AZ3201" s="135"/>
      <c r="BA3201" s="135"/>
      <c r="BB3201" s="135"/>
      <c r="BC3201" s="135"/>
      <c r="BD3201" s="135"/>
      <c r="BE3201" s="135"/>
      <c r="BF3201" s="135"/>
      <c r="BG3201" s="135"/>
      <c r="BH3201" s="135"/>
      <c r="BI3201" s="2"/>
      <c r="BJ3201" s="136"/>
      <c r="BK3201" s="2"/>
      <c r="BL3201" s="136"/>
      <c r="BM3201" s="136"/>
      <c r="BN3201" s="2"/>
      <c r="BO3201" s="2"/>
      <c r="BP3201" s="136"/>
      <c r="BQ3201" s="137"/>
    </row>
    <row r="3202" spans="1:69" ht="12.75" customHeight="1" x14ac:dyDescent="0.2">
      <c r="A3202" s="2">
        <v>4691</v>
      </c>
      <c r="B3202" s="2"/>
      <c r="C3202" s="2"/>
      <c r="D3202" s="2"/>
      <c r="E3202" s="2"/>
      <c r="F3202" s="132">
        <v>0</v>
      </c>
      <c r="G3202" s="132"/>
      <c r="H3202" s="132">
        <f t="shared" si="360"/>
        <v>0</v>
      </c>
      <c r="I3202" s="132"/>
      <c r="J3202" s="132">
        <f t="shared" si="358"/>
        <v>0</v>
      </c>
      <c r="K3202" s="132">
        <f t="shared" si="361"/>
        <v>0</v>
      </c>
      <c r="L3202" s="132">
        <f t="shared" si="355"/>
        <v>0</v>
      </c>
      <c r="M3202" s="133"/>
      <c r="N3202" s="133">
        <f t="shared" si="359"/>
        <v>0</v>
      </c>
      <c r="O3202" s="134"/>
      <c r="P3202" s="133"/>
      <c r="Q3202" s="2"/>
      <c r="R3202" s="156">
        <f t="shared" si="356"/>
        <v>0</v>
      </c>
      <c r="S3202" s="156">
        <f t="shared" si="357"/>
        <v>0</v>
      </c>
      <c r="T3202" s="133"/>
      <c r="U3202" s="133"/>
      <c r="V3202" s="133"/>
      <c r="W3202" s="133"/>
      <c r="X3202" s="133"/>
      <c r="Y3202" s="133"/>
      <c r="Z3202" s="133"/>
      <c r="AA3202" s="133"/>
      <c r="AB3202" s="133"/>
      <c r="AC3202" s="133"/>
      <c r="AD3202" s="133"/>
      <c r="AE3202" s="133"/>
      <c r="AF3202" s="133"/>
      <c r="AG3202" s="133"/>
      <c r="AH3202" s="133"/>
      <c r="AI3202" s="133"/>
      <c r="AJ3202" s="133"/>
      <c r="AK3202" s="133"/>
      <c r="AL3202" s="133"/>
      <c r="AM3202" s="133"/>
      <c r="AN3202" s="133"/>
      <c r="AO3202" s="133"/>
      <c r="AP3202" s="133"/>
      <c r="AQ3202" s="133"/>
      <c r="AR3202" s="133"/>
      <c r="AS3202" s="153">
        <v>0</v>
      </c>
      <c r="AT3202" s="153">
        <v>0</v>
      </c>
      <c r="AU3202" s="153">
        <v>0</v>
      </c>
      <c r="AV3202" s="135"/>
      <c r="AW3202" s="135"/>
      <c r="AX3202" s="135"/>
      <c r="AY3202" s="135"/>
      <c r="AZ3202" s="135"/>
      <c r="BA3202" s="135"/>
      <c r="BB3202" s="135"/>
      <c r="BC3202" s="135"/>
      <c r="BD3202" s="135"/>
      <c r="BE3202" s="135"/>
      <c r="BF3202" s="135"/>
      <c r="BG3202" s="135"/>
      <c r="BH3202" s="135"/>
      <c r="BI3202" s="2"/>
      <c r="BJ3202" s="136"/>
      <c r="BK3202" s="2"/>
      <c r="BL3202" s="136"/>
      <c r="BM3202" s="136"/>
      <c r="BN3202" s="2"/>
      <c r="BO3202" s="2"/>
      <c r="BP3202" s="136"/>
      <c r="BQ3202" s="137"/>
    </row>
    <row r="3203" spans="1:69" ht="12.75" customHeight="1" x14ac:dyDescent="0.2">
      <c r="A3203" s="2">
        <v>4692</v>
      </c>
      <c r="B3203" s="2"/>
      <c r="C3203" s="2"/>
      <c r="D3203" s="2"/>
      <c r="E3203" s="2"/>
      <c r="F3203" s="132">
        <v>0</v>
      </c>
      <c r="G3203" s="132"/>
      <c r="H3203" s="132">
        <f t="shared" si="360"/>
        <v>0</v>
      </c>
      <c r="I3203" s="132"/>
      <c r="J3203" s="132">
        <f t="shared" si="358"/>
        <v>0</v>
      </c>
      <c r="K3203" s="132">
        <f t="shared" si="361"/>
        <v>0</v>
      </c>
      <c r="L3203" s="132">
        <f t="shared" si="355"/>
        <v>0</v>
      </c>
      <c r="M3203" s="133"/>
      <c r="N3203" s="133">
        <f t="shared" si="359"/>
        <v>0</v>
      </c>
      <c r="O3203" s="134"/>
      <c r="P3203" s="133"/>
      <c r="Q3203" s="2"/>
      <c r="R3203" s="156">
        <f t="shared" si="356"/>
        <v>0</v>
      </c>
      <c r="S3203" s="156">
        <f t="shared" si="357"/>
        <v>0</v>
      </c>
      <c r="T3203" s="133"/>
      <c r="U3203" s="133"/>
      <c r="V3203" s="133"/>
      <c r="W3203" s="133"/>
      <c r="X3203" s="133"/>
      <c r="Y3203" s="133"/>
      <c r="Z3203" s="133"/>
      <c r="AA3203" s="133"/>
      <c r="AB3203" s="133"/>
      <c r="AC3203" s="133"/>
      <c r="AD3203" s="133"/>
      <c r="AE3203" s="133"/>
      <c r="AF3203" s="133"/>
      <c r="AG3203" s="133"/>
      <c r="AH3203" s="133"/>
      <c r="AI3203" s="133"/>
      <c r="AJ3203" s="133"/>
      <c r="AK3203" s="133"/>
      <c r="AL3203" s="133"/>
      <c r="AM3203" s="133"/>
      <c r="AN3203" s="133"/>
      <c r="AO3203" s="133"/>
      <c r="AP3203" s="133"/>
      <c r="AQ3203" s="133"/>
      <c r="AR3203" s="133"/>
      <c r="AS3203" s="153">
        <v>0</v>
      </c>
      <c r="AT3203" s="153">
        <v>0</v>
      </c>
      <c r="AU3203" s="153">
        <v>0</v>
      </c>
      <c r="AV3203" s="135"/>
      <c r="AW3203" s="135"/>
      <c r="AX3203" s="135"/>
      <c r="AY3203" s="135"/>
      <c r="AZ3203" s="135"/>
      <c r="BA3203" s="135"/>
      <c r="BB3203" s="135"/>
      <c r="BC3203" s="135"/>
      <c r="BD3203" s="135"/>
      <c r="BE3203" s="135"/>
      <c r="BF3203" s="135"/>
      <c r="BG3203" s="135"/>
      <c r="BH3203" s="135"/>
      <c r="BI3203" s="2"/>
      <c r="BJ3203" s="136"/>
      <c r="BK3203" s="2"/>
      <c r="BL3203" s="136"/>
      <c r="BM3203" s="136"/>
      <c r="BN3203" s="2"/>
      <c r="BO3203" s="2"/>
      <c r="BP3203" s="136"/>
      <c r="BQ3203" s="137"/>
    </row>
    <row r="3204" spans="1:69" ht="12.75" customHeight="1" x14ac:dyDescent="0.2">
      <c r="A3204" s="2">
        <v>4693</v>
      </c>
      <c r="B3204" s="2"/>
      <c r="C3204" s="2"/>
      <c r="D3204" s="2"/>
      <c r="E3204" s="2"/>
      <c r="F3204" s="132">
        <v>0</v>
      </c>
      <c r="G3204" s="132"/>
      <c r="H3204" s="132">
        <f t="shared" si="360"/>
        <v>0</v>
      </c>
      <c r="I3204" s="132"/>
      <c r="J3204" s="132">
        <f t="shared" si="358"/>
        <v>0</v>
      </c>
      <c r="K3204" s="132">
        <f t="shared" si="361"/>
        <v>0</v>
      </c>
      <c r="L3204" s="132">
        <f t="shared" si="355"/>
        <v>0</v>
      </c>
      <c r="M3204" s="133"/>
      <c r="N3204" s="133">
        <f t="shared" si="359"/>
        <v>0</v>
      </c>
      <c r="O3204" s="134"/>
      <c r="P3204" s="133"/>
      <c r="Q3204" s="2"/>
      <c r="R3204" s="156">
        <f t="shared" si="356"/>
        <v>0</v>
      </c>
      <c r="S3204" s="156">
        <f t="shared" si="357"/>
        <v>0</v>
      </c>
      <c r="T3204" s="133"/>
      <c r="U3204" s="133"/>
      <c r="V3204" s="133"/>
      <c r="W3204" s="133"/>
      <c r="X3204" s="133"/>
      <c r="Y3204" s="133"/>
      <c r="Z3204" s="133"/>
      <c r="AA3204" s="133"/>
      <c r="AB3204" s="133"/>
      <c r="AC3204" s="133"/>
      <c r="AD3204" s="133"/>
      <c r="AE3204" s="133"/>
      <c r="AF3204" s="133"/>
      <c r="AG3204" s="133"/>
      <c r="AH3204" s="133"/>
      <c r="AI3204" s="133"/>
      <c r="AJ3204" s="133"/>
      <c r="AK3204" s="133"/>
      <c r="AL3204" s="133"/>
      <c r="AM3204" s="133"/>
      <c r="AN3204" s="133"/>
      <c r="AO3204" s="133"/>
      <c r="AP3204" s="133"/>
      <c r="AQ3204" s="133"/>
      <c r="AR3204" s="133"/>
      <c r="AS3204" s="153">
        <v>0</v>
      </c>
      <c r="AT3204" s="153">
        <v>0</v>
      </c>
      <c r="AU3204" s="153">
        <v>0</v>
      </c>
      <c r="AV3204" s="135"/>
      <c r="AW3204" s="135"/>
      <c r="AX3204" s="135"/>
      <c r="AY3204" s="135"/>
      <c r="AZ3204" s="135"/>
      <c r="BA3204" s="135"/>
      <c r="BB3204" s="135"/>
      <c r="BC3204" s="135"/>
      <c r="BD3204" s="135"/>
      <c r="BE3204" s="135"/>
      <c r="BF3204" s="135"/>
      <c r="BG3204" s="135"/>
      <c r="BH3204" s="135"/>
      <c r="BI3204" s="2"/>
      <c r="BJ3204" s="136"/>
      <c r="BK3204" s="2"/>
      <c r="BL3204" s="136"/>
      <c r="BM3204" s="136"/>
      <c r="BN3204" s="2"/>
      <c r="BO3204" s="2"/>
      <c r="BP3204" s="136"/>
      <c r="BQ3204" s="137"/>
    </row>
    <row r="3205" spans="1:69" ht="12.75" customHeight="1" x14ac:dyDescent="0.2">
      <c r="A3205" s="2">
        <v>4694</v>
      </c>
      <c r="B3205" s="2"/>
      <c r="C3205" s="2"/>
      <c r="D3205" s="2"/>
      <c r="E3205" s="2"/>
      <c r="F3205" s="132">
        <v>0</v>
      </c>
      <c r="G3205" s="132"/>
      <c r="H3205" s="132">
        <f t="shared" si="360"/>
        <v>0</v>
      </c>
      <c r="I3205" s="132"/>
      <c r="J3205" s="132">
        <f t="shared" si="358"/>
        <v>0</v>
      </c>
      <c r="K3205" s="132">
        <f t="shared" si="361"/>
        <v>0</v>
      </c>
      <c r="L3205" s="132">
        <f t="shared" si="355"/>
        <v>0</v>
      </c>
      <c r="M3205" s="133"/>
      <c r="N3205" s="133">
        <f t="shared" si="359"/>
        <v>0</v>
      </c>
      <c r="O3205" s="134"/>
      <c r="P3205" s="133"/>
      <c r="Q3205" s="2"/>
      <c r="R3205" s="156">
        <f t="shared" si="356"/>
        <v>0</v>
      </c>
      <c r="S3205" s="156">
        <f t="shared" si="357"/>
        <v>0</v>
      </c>
      <c r="T3205" s="133"/>
      <c r="U3205" s="133"/>
      <c r="V3205" s="133"/>
      <c r="W3205" s="133"/>
      <c r="X3205" s="133"/>
      <c r="Y3205" s="133"/>
      <c r="Z3205" s="133"/>
      <c r="AA3205" s="133"/>
      <c r="AB3205" s="133"/>
      <c r="AC3205" s="133"/>
      <c r="AD3205" s="133"/>
      <c r="AE3205" s="133"/>
      <c r="AF3205" s="133"/>
      <c r="AG3205" s="133"/>
      <c r="AH3205" s="133"/>
      <c r="AI3205" s="133"/>
      <c r="AJ3205" s="133"/>
      <c r="AK3205" s="133"/>
      <c r="AL3205" s="133"/>
      <c r="AM3205" s="133"/>
      <c r="AN3205" s="133"/>
      <c r="AO3205" s="133"/>
      <c r="AP3205" s="133"/>
      <c r="AQ3205" s="133"/>
      <c r="AR3205" s="133"/>
      <c r="AS3205" s="153">
        <v>0</v>
      </c>
      <c r="AT3205" s="153">
        <v>0</v>
      </c>
      <c r="AU3205" s="153">
        <v>0</v>
      </c>
      <c r="AV3205" s="135"/>
      <c r="AW3205" s="135"/>
      <c r="AX3205" s="135"/>
      <c r="AY3205" s="135"/>
      <c r="AZ3205" s="135"/>
      <c r="BA3205" s="135"/>
      <c r="BB3205" s="135"/>
      <c r="BC3205" s="135"/>
      <c r="BD3205" s="135"/>
      <c r="BE3205" s="135"/>
      <c r="BF3205" s="135"/>
      <c r="BG3205" s="135"/>
      <c r="BH3205" s="135"/>
      <c r="BI3205" s="2"/>
      <c r="BJ3205" s="136"/>
      <c r="BK3205" s="2"/>
      <c r="BL3205" s="136"/>
      <c r="BM3205" s="136"/>
      <c r="BN3205" s="2"/>
      <c r="BO3205" s="2"/>
      <c r="BP3205" s="136"/>
      <c r="BQ3205" s="137"/>
    </row>
    <row r="3206" spans="1:69" ht="12.75" customHeight="1" x14ac:dyDescent="0.2">
      <c r="A3206" s="2">
        <v>4695</v>
      </c>
      <c r="B3206" s="2"/>
      <c r="C3206" s="2"/>
      <c r="D3206" s="2"/>
      <c r="E3206" s="2"/>
      <c r="F3206" s="132">
        <v>0</v>
      </c>
      <c r="G3206" s="132"/>
      <c r="H3206" s="132">
        <f t="shared" si="360"/>
        <v>0</v>
      </c>
      <c r="I3206" s="132"/>
      <c r="J3206" s="132">
        <f t="shared" si="358"/>
        <v>0</v>
      </c>
      <c r="K3206" s="132">
        <f t="shared" si="361"/>
        <v>0</v>
      </c>
      <c r="L3206" s="132">
        <f t="shared" si="355"/>
        <v>0</v>
      </c>
      <c r="M3206" s="133"/>
      <c r="N3206" s="133">
        <f t="shared" si="359"/>
        <v>0</v>
      </c>
      <c r="O3206" s="134"/>
      <c r="P3206" s="133"/>
      <c r="Q3206" s="2"/>
      <c r="R3206" s="156">
        <f t="shared" si="356"/>
        <v>0</v>
      </c>
      <c r="S3206" s="156">
        <f t="shared" si="357"/>
        <v>0</v>
      </c>
      <c r="T3206" s="133"/>
      <c r="U3206" s="133"/>
      <c r="V3206" s="133"/>
      <c r="W3206" s="133"/>
      <c r="X3206" s="133"/>
      <c r="Y3206" s="133"/>
      <c r="Z3206" s="133"/>
      <c r="AA3206" s="133"/>
      <c r="AB3206" s="133"/>
      <c r="AC3206" s="133"/>
      <c r="AD3206" s="133"/>
      <c r="AE3206" s="133"/>
      <c r="AF3206" s="133"/>
      <c r="AG3206" s="133"/>
      <c r="AH3206" s="133"/>
      <c r="AI3206" s="133"/>
      <c r="AJ3206" s="133"/>
      <c r="AK3206" s="133"/>
      <c r="AL3206" s="133"/>
      <c r="AM3206" s="133"/>
      <c r="AN3206" s="133"/>
      <c r="AO3206" s="133"/>
      <c r="AP3206" s="133"/>
      <c r="AQ3206" s="133"/>
      <c r="AR3206" s="133"/>
      <c r="AS3206" s="153">
        <v>0</v>
      </c>
      <c r="AT3206" s="153">
        <v>0</v>
      </c>
      <c r="AU3206" s="153">
        <v>0</v>
      </c>
      <c r="AV3206" s="135"/>
      <c r="AW3206" s="135"/>
      <c r="AX3206" s="135"/>
      <c r="AY3206" s="135"/>
      <c r="AZ3206" s="135"/>
      <c r="BA3206" s="135"/>
      <c r="BB3206" s="135"/>
      <c r="BC3206" s="135"/>
      <c r="BD3206" s="135"/>
      <c r="BE3206" s="135"/>
      <c r="BF3206" s="135"/>
      <c r="BG3206" s="135"/>
      <c r="BH3206" s="135"/>
      <c r="BI3206" s="2"/>
      <c r="BJ3206" s="136"/>
      <c r="BK3206" s="2"/>
      <c r="BL3206" s="136"/>
      <c r="BM3206" s="136"/>
      <c r="BN3206" s="2"/>
      <c r="BO3206" s="2"/>
      <c r="BP3206" s="136"/>
      <c r="BQ3206" s="137"/>
    </row>
    <row r="3207" spans="1:69" ht="12.75" customHeight="1" x14ac:dyDescent="0.2">
      <c r="A3207" s="2">
        <v>4696</v>
      </c>
      <c r="B3207" s="2"/>
      <c r="C3207" s="2"/>
      <c r="D3207" s="2"/>
      <c r="E3207" s="2"/>
      <c r="F3207" s="132">
        <v>0</v>
      </c>
      <c r="G3207" s="132"/>
      <c r="H3207" s="132">
        <f t="shared" si="360"/>
        <v>0</v>
      </c>
      <c r="I3207" s="132"/>
      <c r="J3207" s="132">
        <f t="shared" si="358"/>
        <v>0</v>
      </c>
      <c r="K3207" s="132">
        <f t="shared" si="361"/>
        <v>0</v>
      </c>
      <c r="L3207" s="132">
        <f t="shared" si="355"/>
        <v>0</v>
      </c>
      <c r="M3207" s="133"/>
      <c r="N3207" s="133">
        <f t="shared" si="359"/>
        <v>0</v>
      </c>
      <c r="O3207" s="134"/>
      <c r="P3207" s="133"/>
      <c r="Q3207" s="2"/>
      <c r="R3207" s="156">
        <f t="shared" si="356"/>
        <v>0</v>
      </c>
      <c r="S3207" s="156">
        <f t="shared" si="357"/>
        <v>0</v>
      </c>
      <c r="T3207" s="133"/>
      <c r="U3207" s="133"/>
      <c r="V3207" s="133"/>
      <c r="W3207" s="133"/>
      <c r="X3207" s="133"/>
      <c r="Y3207" s="133"/>
      <c r="Z3207" s="133"/>
      <c r="AA3207" s="133"/>
      <c r="AB3207" s="133"/>
      <c r="AC3207" s="133"/>
      <c r="AD3207" s="133"/>
      <c r="AE3207" s="133"/>
      <c r="AF3207" s="133"/>
      <c r="AG3207" s="133"/>
      <c r="AH3207" s="133"/>
      <c r="AI3207" s="133"/>
      <c r="AJ3207" s="133"/>
      <c r="AK3207" s="133"/>
      <c r="AL3207" s="133"/>
      <c r="AM3207" s="133"/>
      <c r="AN3207" s="133"/>
      <c r="AO3207" s="133"/>
      <c r="AP3207" s="133"/>
      <c r="AQ3207" s="133"/>
      <c r="AR3207" s="133"/>
      <c r="AS3207" s="153">
        <v>0</v>
      </c>
      <c r="AT3207" s="153">
        <v>0</v>
      </c>
      <c r="AU3207" s="153">
        <v>0</v>
      </c>
      <c r="AV3207" s="135"/>
      <c r="AW3207" s="135"/>
      <c r="AX3207" s="135"/>
      <c r="AY3207" s="135"/>
      <c r="AZ3207" s="135"/>
      <c r="BA3207" s="135"/>
      <c r="BB3207" s="135"/>
      <c r="BC3207" s="135"/>
      <c r="BD3207" s="135"/>
      <c r="BE3207" s="135"/>
      <c r="BF3207" s="135"/>
      <c r="BG3207" s="135"/>
      <c r="BH3207" s="135"/>
      <c r="BI3207" s="2"/>
      <c r="BJ3207" s="136"/>
      <c r="BK3207" s="2"/>
      <c r="BL3207" s="136"/>
      <c r="BM3207" s="136"/>
      <c r="BN3207" s="2"/>
      <c r="BO3207" s="2"/>
      <c r="BP3207" s="136"/>
      <c r="BQ3207" s="137"/>
    </row>
    <row r="3208" spans="1:69" ht="12.75" customHeight="1" x14ac:dyDescent="0.2">
      <c r="A3208" s="2">
        <v>4697</v>
      </c>
      <c r="B3208" s="2"/>
      <c r="C3208" s="2"/>
      <c r="D3208" s="2"/>
      <c r="E3208" s="2"/>
      <c r="F3208" s="132">
        <v>0</v>
      </c>
      <c r="G3208" s="132"/>
      <c r="H3208" s="132">
        <f t="shared" si="360"/>
        <v>0</v>
      </c>
      <c r="I3208" s="132"/>
      <c r="J3208" s="132">
        <f t="shared" si="358"/>
        <v>0</v>
      </c>
      <c r="K3208" s="132">
        <f t="shared" si="361"/>
        <v>0</v>
      </c>
      <c r="L3208" s="132">
        <f t="shared" si="355"/>
        <v>0</v>
      </c>
      <c r="M3208" s="133"/>
      <c r="N3208" s="133">
        <f t="shared" si="359"/>
        <v>0</v>
      </c>
      <c r="O3208" s="134"/>
      <c r="P3208" s="133"/>
      <c r="Q3208" s="2"/>
      <c r="R3208" s="156">
        <f t="shared" si="356"/>
        <v>0</v>
      </c>
      <c r="S3208" s="156">
        <f t="shared" si="357"/>
        <v>0</v>
      </c>
      <c r="T3208" s="133"/>
      <c r="U3208" s="133"/>
      <c r="V3208" s="133"/>
      <c r="W3208" s="133"/>
      <c r="X3208" s="133"/>
      <c r="Y3208" s="133"/>
      <c r="Z3208" s="133"/>
      <c r="AA3208" s="133"/>
      <c r="AB3208" s="133"/>
      <c r="AC3208" s="133"/>
      <c r="AD3208" s="133"/>
      <c r="AE3208" s="133"/>
      <c r="AF3208" s="133"/>
      <c r="AG3208" s="133"/>
      <c r="AH3208" s="133"/>
      <c r="AI3208" s="133"/>
      <c r="AJ3208" s="133"/>
      <c r="AK3208" s="133"/>
      <c r="AL3208" s="133"/>
      <c r="AM3208" s="133"/>
      <c r="AN3208" s="133"/>
      <c r="AO3208" s="133"/>
      <c r="AP3208" s="133"/>
      <c r="AQ3208" s="133"/>
      <c r="AR3208" s="133"/>
      <c r="AS3208" s="153">
        <v>0</v>
      </c>
      <c r="AT3208" s="153">
        <v>0</v>
      </c>
      <c r="AU3208" s="153">
        <v>0</v>
      </c>
      <c r="AV3208" s="135"/>
      <c r="AW3208" s="135"/>
      <c r="AX3208" s="135"/>
      <c r="AY3208" s="135"/>
      <c r="AZ3208" s="135"/>
      <c r="BA3208" s="135"/>
      <c r="BB3208" s="135"/>
      <c r="BC3208" s="135"/>
      <c r="BD3208" s="135"/>
      <c r="BE3208" s="135"/>
      <c r="BF3208" s="135"/>
      <c r="BG3208" s="135"/>
      <c r="BH3208" s="135"/>
      <c r="BI3208" s="2"/>
      <c r="BJ3208" s="136"/>
      <c r="BK3208" s="2"/>
      <c r="BL3208" s="136"/>
      <c r="BM3208" s="136"/>
      <c r="BN3208" s="2"/>
      <c r="BO3208" s="2"/>
      <c r="BP3208" s="136"/>
      <c r="BQ3208" s="137"/>
    </row>
    <row r="3209" spans="1:69" ht="12.75" customHeight="1" x14ac:dyDescent="0.2">
      <c r="A3209" s="2">
        <v>4698</v>
      </c>
      <c r="B3209" s="2"/>
      <c r="C3209" s="2"/>
      <c r="D3209" s="2"/>
      <c r="E3209" s="2"/>
      <c r="F3209" s="132">
        <v>0</v>
      </c>
      <c r="G3209" s="132"/>
      <c r="H3209" s="132">
        <f t="shared" si="360"/>
        <v>0</v>
      </c>
      <c r="I3209" s="132"/>
      <c r="J3209" s="132">
        <f t="shared" si="358"/>
        <v>0</v>
      </c>
      <c r="K3209" s="132">
        <f t="shared" si="361"/>
        <v>0</v>
      </c>
      <c r="L3209" s="132">
        <f t="shared" si="355"/>
        <v>0</v>
      </c>
      <c r="M3209" s="133"/>
      <c r="N3209" s="133">
        <f t="shared" si="359"/>
        <v>0</v>
      </c>
      <c r="O3209" s="134"/>
      <c r="P3209" s="133"/>
      <c r="Q3209" s="2"/>
      <c r="R3209" s="156">
        <f t="shared" si="356"/>
        <v>0</v>
      </c>
      <c r="S3209" s="156">
        <f t="shared" si="357"/>
        <v>0</v>
      </c>
      <c r="T3209" s="133"/>
      <c r="U3209" s="133"/>
      <c r="V3209" s="133"/>
      <c r="W3209" s="133"/>
      <c r="X3209" s="133"/>
      <c r="Y3209" s="133"/>
      <c r="Z3209" s="133"/>
      <c r="AA3209" s="133"/>
      <c r="AB3209" s="133"/>
      <c r="AC3209" s="133"/>
      <c r="AD3209" s="133"/>
      <c r="AE3209" s="133"/>
      <c r="AF3209" s="133"/>
      <c r="AG3209" s="133"/>
      <c r="AH3209" s="133"/>
      <c r="AI3209" s="133"/>
      <c r="AJ3209" s="133"/>
      <c r="AK3209" s="133"/>
      <c r="AL3209" s="133"/>
      <c r="AM3209" s="133"/>
      <c r="AN3209" s="133"/>
      <c r="AO3209" s="133"/>
      <c r="AP3209" s="133"/>
      <c r="AQ3209" s="133"/>
      <c r="AR3209" s="133"/>
      <c r="AS3209" s="153">
        <v>0</v>
      </c>
      <c r="AT3209" s="153">
        <v>0</v>
      </c>
      <c r="AU3209" s="153">
        <v>0</v>
      </c>
      <c r="AV3209" s="135"/>
      <c r="AW3209" s="135"/>
      <c r="AX3209" s="135"/>
      <c r="AY3209" s="135"/>
      <c r="AZ3209" s="135"/>
      <c r="BA3209" s="135"/>
      <c r="BB3209" s="135"/>
      <c r="BC3209" s="135"/>
      <c r="BD3209" s="135"/>
      <c r="BE3209" s="135"/>
      <c r="BF3209" s="135"/>
      <c r="BG3209" s="135"/>
      <c r="BH3209" s="135"/>
      <c r="BI3209" s="2"/>
      <c r="BJ3209" s="136"/>
      <c r="BK3209" s="2"/>
      <c r="BL3209" s="136"/>
      <c r="BM3209" s="136"/>
      <c r="BN3209" s="2"/>
      <c r="BO3209" s="2"/>
      <c r="BP3209" s="136"/>
      <c r="BQ3209" s="137"/>
    </row>
    <row r="3210" spans="1:69" ht="12.75" customHeight="1" x14ac:dyDescent="0.2">
      <c r="A3210" s="2">
        <v>4699</v>
      </c>
      <c r="B3210" s="2"/>
      <c r="C3210" s="2"/>
      <c r="D3210" s="2"/>
      <c r="E3210" s="2"/>
      <c r="F3210" s="132">
        <v>0</v>
      </c>
      <c r="G3210" s="132"/>
      <c r="H3210" s="132">
        <f t="shared" si="360"/>
        <v>0</v>
      </c>
      <c r="I3210" s="132"/>
      <c r="J3210" s="132">
        <f t="shared" si="358"/>
        <v>0</v>
      </c>
      <c r="K3210" s="132">
        <f t="shared" si="361"/>
        <v>0</v>
      </c>
      <c r="L3210" s="132">
        <f t="shared" si="355"/>
        <v>0</v>
      </c>
      <c r="M3210" s="133"/>
      <c r="N3210" s="133">
        <f t="shared" si="359"/>
        <v>0</v>
      </c>
      <c r="O3210" s="134"/>
      <c r="P3210" s="133"/>
      <c r="Q3210" s="2"/>
      <c r="R3210" s="156">
        <f t="shared" si="356"/>
        <v>0</v>
      </c>
      <c r="S3210" s="156">
        <f t="shared" si="357"/>
        <v>0</v>
      </c>
      <c r="T3210" s="133"/>
      <c r="U3210" s="133"/>
      <c r="V3210" s="133"/>
      <c r="W3210" s="133"/>
      <c r="X3210" s="133"/>
      <c r="Y3210" s="133"/>
      <c r="Z3210" s="133"/>
      <c r="AA3210" s="133"/>
      <c r="AB3210" s="133"/>
      <c r="AC3210" s="133"/>
      <c r="AD3210" s="133"/>
      <c r="AE3210" s="133"/>
      <c r="AF3210" s="133"/>
      <c r="AG3210" s="133"/>
      <c r="AH3210" s="133"/>
      <c r="AI3210" s="133"/>
      <c r="AJ3210" s="133"/>
      <c r="AK3210" s="133"/>
      <c r="AL3210" s="133"/>
      <c r="AM3210" s="133"/>
      <c r="AN3210" s="133"/>
      <c r="AO3210" s="133"/>
      <c r="AP3210" s="133"/>
      <c r="AQ3210" s="133"/>
      <c r="AR3210" s="133"/>
      <c r="AS3210" s="153">
        <v>0</v>
      </c>
      <c r="AT3210" s="153">
        <v>0</v>
      </c>
      <c r="AU3210" s="153">
        <v>0</v>
      </c>
      <c r="AV3210" s="135"/>
      <c r="AW3210" s="135"/>
      <c r="AX3210" s="135"/>
      <c r="AY3210" s="135"/>
      <c r="AZ3210" s="135"/>
      <c r="BA3210" s="135"/>
      <c r="BB3210" s="135"/>
      <c r="BC3210" s="135"/>
      <c r="BD3210" s="135"/>
      <c r="BE3210" s="135"/>
      <c r="BF3210" s="135"/>
      <c r="BG3210" s="135"/>
      <c r="BH3210" s="135"/>
      <c r="BI3210" s="2"/>
      <c r="BJ3210" s="136"/>
      <c r="BK3210" s="2"/>
      <c r="BL3210" s="136"/>
      <c r="BM3210" s="136"/>
      <c r="BN3210" s="2"/>
      <c r="BO3210" s="2"/>
      <c r="BP3210" s="136"/>
      <c r="BQ3210" s="137"/>
    </row>
    <row r="3211" spans="1:69" ht="12.75" customHeight="1" x14ac:dyDescent="0.2">
      <c r="A3211" s="2">
        <v>4700</v>
      </c>
      <c r="B3211" s="2"/>
      <c r="C3211" s="2"/>
      <c r="D3211" s="2"/>
      <c r="E3211" s="2"/>
      <c r="F3211" s="132">
        <v>0</v>
      </c>
      <c r="G3211" s="132"/>
      <c r="H3211" s="132">
        <f t="shared" si="360"/>
        <v>0</v>
      </c>
      <c r="I3211" s="132"/>
      <c r="J3211" s="132">
        <f t="shared" si="358"/>
        <v>0</v>
      </c>
      <c r="K3211" s="132">
        <f t="shared" si="361"/>
        <v>0</v>
      </c>
      <c r="L3211" s="132">
        <f t="shared" ref="L3211:L3274" si="362">H3211-J3211</f>
        <v>0</v>
      </c>
      <c r="M3211" s="133"/>
      <c r="N3211" s="133">
        <f t="shared" si="359"/>
        <v>0</v>
      </c>
      <c r="O3211" s="134"/>
      <c r="P3211" s="133"/>
      <c r="Q3211" s="2"/>
      <c r="R3211" s="156">
        <f t="shared" ref="R3211:R3274" si="363">T3211+V3211+X3211+Z3211+AB3211+AD3211+AF3211+AH3211+AJ3211+AL3211+AN3211+AP3211</f>
        <v>0</v>
      </c>
      <c r="S3211" s="156">
        <f t="shared" ref="S3211:S3274" si="364">U3211+W3211+Y3211+AA3211+AC3211+AE3211+AG3211+AI3211+AK3211+AM3211+AO3211+AQ3211</f>
        <v>0</v>
      </c>
      <c r="T3211" s="133"/>
      <c r="U3211" s="133"/>
      <c r="V3211" s="133"/>
      <c r="W3211" s="133"/>
      <c r="X3211" s="133"/>
      <c r="Y3211" s="133"/>
      <c r="Z3211" s="133"/>
      <c r="AA3211" s="133"/>
      <c r="AB3211" s="133"/>
      <c r="AC3211" s="133"/>
      <c r="AD3211" s="133"/>
      <c r="AE3211" s="133"/>
      <c r="AF3211" s="133"/>
      <c r="AG3211" s="133"/>
      <c r="AH3211" s="133"/>
      <c r="AI3211" s="133"/>
      <c r="AJ3211" s="133"/>
      <c r="AK3211" s="133"/>
      <c r="AL3211" s="133"/>
      <c r="AM3211" s="133"/>
      <c r="AN3211" s="133"/>
      <c r="AO3211" s="133"/>
      <c r="AP3211" s="133"/>
      <c r="AQ3211" s="133"/>
      <c r="AR3211" s="133"/>
      <c r="AS3211" s="153">
        <v>0</v>
      </c>
      <c r="AT3211" s="153">
        <v>0</v>
      </c>
      <c r="AU3211" s="153">
        <v>0</v>
      </c>
      <c r="AV3211" s="135"/>
      <c r="AW3211" s="135"/>
      <c r="AX3211" s="135"/>
      <c r="AY3211" s="135"/>
      <c r="AZ3211" s="135"/>
      <c r="BA3211" s="135"/>
      <c r="BB3211" s="135"/>
      <c r="BC3211" s="135"/>
      <c r="BD3211" s="135"/>
      <c r="BE3211" s="135"/>
      <c r="BF3211" s="135"/>
      <c r="BG3211" s="135"/>
      <c r="BH3211" s="135"/>
      <c r="BI3211" s="2"/>
      <c r="BJ3211" s="136"/>
      <c r="BK3211" s="2"/>
      <c r="BL3211" s="136"/>
      <c r="BM3211" s="136"/>
      <c r="BN3211" s="2"/>
      <c r="BO3211" s="2"/>
      <c r="BP3211" s="136"/>
      <c r="BQ3211" s="137"/>
    </row>
    <row r="3212" spans="1:69" ht="12.75" customHeight="1" x14ac:dyDescent="0.2">
      <c r="A3212" s="2">
        <v>4701</v>
      </c>
      <c r="B3212" s="2"/>
      <c r="C3212" s="2"/>
      <c r="D3212" s="2"/>
      <c r="E3212" s="2"/>
      <c r="F3212" s="132">
        <v>0</v>
      </c>
      <c r="G3212" s="132"/>
      <c r="H3212" s="132">
        <f t="shared" si="360"/>
        <v>0</v>
      </c>
      <c r="I3212" s="132"/>
      <c r="J3212" s="132">
        <f t="shared" si="358"/>
        <v>0</v>
      </c>
      <c r="K3212" s="132">
        <f t="shared" si="361"/>
        <v>0</v>
      </c>
      <c r="L3212" s="132">
        <f t="shared" si="362"/>
        <v>0</v>
      </c>
      <c r="M3212" s="133"/>
      <c r="N3212" s="133">
        <f t="shared" si="359"/>
        <v>0</v>
      </c>
      <c r="O3212" s="134"/>
      <c r="P3212" s="133"/>
      <c r="Q3212" s="2"/>
      <c r="R3212" s="156">
        <f t="shared" si="363"/>
        <v>0</v>
      </c>
      <c r="S3212" s="156">
        <f t="shared" si="364"/>
        <v>0</v>
      </c>
      <c r="T3212" s="133"/>
      <c r="U3212" s="133"/>
      <c r="V3212" s="133"/>
      <c r="W3212" s="133"/>
      <c r="X3212" s="133"/>
      <c r="Y3212" s="133"/>
      <c r="Z3212" s="133"/>
      <c r="AA3212" s="133"/>
      <c r="AB3212" s="133"/>
      <c r="AC3212" s="133"/>
      <c r="AD3212" s="133"/>
      <c r="AE3212" s="133"/>
      <c r="AF3212" s="133"/>
      <c r="AG3212" s="133"/>
      <c r="AH3212" s="133"/>
      <c r="AI3212" s="133"/>
      <c r="AJ3212" s="133"/>
      <c r="AK3212" s="133"/>
      <c r="AL3212" s="133"/>
      <c r="AM3212" s="133"/>
      <c r="AN3212" s="133"/>
      <c r="AO3212" s="133"/>
      <c r="AP3212" s="133"/>
      <c r="AQ3212" s="133"/>
      <c r="AR3212" s="133"/>
      <c r="AS3212" s="153">
        <v>0</v>
      </c>
      <c r="AT3212" s="153">
        <v>0</v>
      </c>
      <c r="AU3212" s="153">
        <v>0</v>
      </c>
      <c r="AV3212" s="135"/>
      <c r="AW3212" s="135"/>
      <c r="AX3212" s="135"/>
      <c r="AY3212" s="135"/>
      <c r="AZ3212" s="135"/>
      <c r="BA3212" s="135"/>
      <c r="BB3212" s="135"/>
      <c r="BC3212" s="135"/>
      <c r="BD3212" s="135"/>
      <c r="BE3212" s="135"/>
      <c r="BF3212" s="135"/>
      <c r="BG3212" s="135"/>
      <c r="BH3212" s="135"/>
      <c r="BI3212" s="2"/>
      <c r="BJ3212" s="136"/>
      <c r="BK3212" s="2"/>
      <c r="BL3212" s="136"/>
      <c r="BM3212" s="136"/>
      <c r="BN3212" s="2"/>
      <c r="BO3212" s="2"/>
      <c r="BP3212" s="136"/>
      <c r="BQ3212" s="137"/>
    </row>
    <row r="3213" spans="1:69" ht="12.75" customHeight="1" x14ac:dyDescent="0.2">
      <c r="A3213" s="2">
        <v>4702</v>
      </c>
      <c r="B3213" s="2"/>
      <c r="C3213" s="2"/>
      <c r="D3213" s="2"/>
      <c r="E3213" s="2"/>
      <c r="F3213" s="132">
        <v>0</v>
      </c>
      <c r="G3213" s="132"/>
      <c r="H3213" s="132">
        <f t="shared" si="360"/>
        <v>0</v>
      </c>
      <c r="I3213" s="132"/>
      <c r="J3213" s="132">
        <f t="shared" si="358"/>
        <v>0</v>
      </c>
      <c r="K3213" s="132">
        <f t="shared" si="361"/>
        <v>0</v>
      </c>
      <c r="L3213" s="132">
        <f t="shared" si="362"/>
        <v>0</v>
      </c>
      <c r="M3213" s="133"/>
      <c r="N3213" s="133">
        <f t="shared" si="359"/>
        <v>0</v>
      </c>
      <c r="O3213" s="134"/>
      <c r="P3213" s="133"/>
      <c r="Q3213" s="2"/>
      <c r="R3213" s="156">
        <f t="shared" si="363"/>
        <v>0</v>
      </c>
      <c r="S3213" s="156">
        <f t="shared" si="364"/>
        <v>0</v>
      </c>
      <c r="T3213" s="133"/>
      <c r="U3213" s="133"/>
      <c r="V3213" s="133"/>
      <c r="W3213" s="133"/>
      <c r="X3213" s="133"/>
      <c r="Y3213" s="133"/>
      <c r="Z3213" s="133"/>
      <c r="AA3213" s="133"/>
      <c r="AB3213" s="133"/>
      <c r="AC3213" s="133"/>
      <c r="AD3213" s="133"/>
      <c r="AE3213" s="133"/>
      <c r="AF3213" s="133"/>
      <c r="AG3213" s="133"/>
      <c r="AH3213" s="133"/>
      <c r="AI3213" s="133"/>
      <c r="AJ3213" s="133"/>
      <c r="AK3213" s="133"/>
      <c r="AL3213" s="133"/>
      <c r="AM3213" s="133"/>
      <c r="AN3213" s="133"/>
      <c r="AO3213" s="133"/>
      <c r="AP3213" s="133"/>
      <c r="AQ3213" s="133"/>
      <c r="AR3213" s="133"/>
      <c r="AS3213" s="153">
        <v>0</v>
      </c>
      <c r="AT3213" s="153">
        <v>0</v>
      </c>
      <c r="AU3213" s="153">
        <v>0</v>
      </c>
      <c r="AV3213" s="135"/>
      <c r="AW3213" s="135"/>
      <c r="AX3213" s="135"/>
      <c r="AY3213" s="135"/>
      <c r="AZ3213" s="135"/>
      <c r="BA3213" s="135"/>
      <c r="BB3213" s="135"/>
      <c r="BC3213" s="135"/>
      <c r="BD3213" s="135"/>
      <c r="BE3213" s="135"/>
      <c r="BF3213" s="135"/>
      <c r="BG3213" s="135"/>
      <c r="BH3213" s="135"/>
      <c r="BI3213" s="2"/>
      <c r="BJ3213" s="136"/>
      <c r="BK3213" s="2"/>
      <c r="BL3213" s="136"/>
      <c r="BM3213" s="136"/>
      <c r="BN3213" s="2"/>
      <c r="BO3213" s="2"/>
      <c r="BP3213" s="136"/>
      <c r="BQ3213" s="137"/>
    </row>
    <row r="3214" spans="1:69" ht="12.75" customHeight="1" x14ac:dyDescent="0.2">
      <c r="A3214" s="2">
        <v>4703</v>
      </c>
      <c r="B3214" s="2"/>
      <c r="C3214" s="2"/>
      <c r="D3214" s="2"/>
      <c r="E3214" s="2"/>
      <c r="F3214" s="132">
        <v>0</v>
      </c>
      <c r="G3214" s="132"/>
      <c r="H3214" s="132">
        <f t="shared" si="360"/>
        <v>0</v>
      </c>
      <c r="I3214" s="132"/>
      <c r="J3214" s="132">
        <f t="shared" si="358"/>
        <v>0</v>
      </c>
      <c r="K3214" s="132">
        <f t="shared" si="361"/>
        <v>0</v>
      </c>
      <c r="L3214" s="132">
        <f t="shared" si="362"/>
        <v>0</v>
      </c>
      <c r="M3214" s="133"/>
      <c r="N3214" s="133">
        <f t="shared" si="359"/>
        <v>0</v>
      </c>
      <c r="O3214" s="134"/>
      <c r="P3214" s="133"/>
      <c r="Q3214" s="2"/>
      <c r="R3214" s="156">
        <f t="shared" si="363"/>
        <v>0</v>
      </c>
      <c r="S3214" s="156">
        <f t="shared" si="364"/>
        <v>0</v>
      </c>
      <c r="T3214" s="133"/>
      <c r="U3214" s="133"/>
      <c r="V3214" s="133"/>
      <c r="W3214" s="133"/>
      <c r="X3214" s="133"/>
      <c r="Y3214" s="133"/>
      <c r="Z3214" s="133"/>
      <c r="AA3214" s="133"/>
      <c r="AB3214" s="133"/>
      <c r="AC3214" s="133"/>
      <c r="AD3214" s="133"/>
      <c r="AE3214" s="133"/>
      <c r="AF3214" s="133"/>
      <c r="AG3214" s="133"/>
      <c r="AH3214" s="133"/>
      <c r="AI3214" s="133"/>
      <c r="AJ3214" s="133"/>
      <c r="AK3214" s="133"/>
      <c r="AL3214" s="133"/>
      <c r="AM3214" s="133"/>
      <c r="AN3214" s="133"/>
      <c r="AO3214" s="133"/>
      <c r="AP3214" s="133"/>
      <c r="AQ3214" s="133"/>
      <c r="AR3214" s="133"/>
      <c r="AS3214" s="153">
        <v>0</v>
      </c>
      <c r="AT3214" s="153">
        <v>0</v>
      </c>
      <c r="AU3214" s="153">
        <v>0</v>
      </c>
      <c r="AV3214" s="135"/>
      <c r="AW3214" s="135"/>
      <c r="AX3214" s="135"/>
      <c r="AY3214" s="135"/>
      <c r="AZ3214" s="135"/>
      <c r="BA3214" s="135"/>
      <c r="BB3214" s="135"/>
      <c r="BC3214" s="135"/>
      <c r="BD3214" s="135"/>
      <c r="BE3214" s="135"/>
      <c r="BF3214" s="135"/>
      <c r="BG3214" s="135"/>
      <c r="BH3214" s="135"/>
      <c r="BI3214" s="2"/>
      <c r="BJ3214" s="136"/>
      <c r="BK3214" s="2"/>
      <c r="BL3214" s="136"/>
      <c r="BM3214" s="136"/>
      <c r="BN3214" s="2"/>
      <c r="BO3214" s="2"/>
      <c r="BP3214" s="136"/>
      <c r="BQ3214" s="137"/>
    </row>
    <row r="3215" spans="1:69" ht="12.75" customHeight="1" x14ac:dyDescent="0.2">
      <c r="A3215" s="2">
        <v>4704</v>
      </c>
      <c r="B3215" s="2"/>
      <c r="C3215" s="2"/>
      <c r="D3215" s="2"/>
      <c r="E3215" s="2"/>
      <c r="F3215" s="132">
        <v>0</v>
      </c>
      <c r="G3215" s="132"/>
      <c r="H3215" s="132">
        <f t="shared" si="360"/>
        <v>0</v>
      </c>
      <c r="I3215" s="132"/>
      <c r="J3215" s="132">
        <f t="shared" si="358"/>
        <v>0</v>
      </c>
      <c r="K3215" s="132">
        <f t="shared" si="361"/>
        <v>0</v>
      </c>
      <c r="L3215" s="132">
        <f t="shared" si="362"/>
        <v>0</v>
      </c>
      <c r="M3215" s="133"/>
      <c r="N3215" s="133">
        <f t="shared" si="359"/>
        <v>0</v>
      </c>
      <c r="O3215" s="134"/>
      <c r="P3215" s="133"/>
      <c r="Q3215" s="2"/>
      <c r="R3215" s="156">
        <f t="shared" si="363"/>
        <v>0</v>
      </c>
      <c r="S3215" s="156">
        <f t="shared" si="364"/>
        <v>0</v>
      </c>
      <c r="T3215" s="133"/>
      <c r="U3215" s="133"/>
      <c r="V3215" s="133"/>
      <c r="W3215" s="133"/>
      <c r="X3215" s="133"/>
      <c r="Y3215" s="133"/>
      <c r="Z3215" s="133"/>
      <c r="AA3215" s="133"/>
      <c r="AB3215" s="133"/>
      <c r="AC3215" s="133"/>
      <c r="AD3215" s="133"/>
      <c r="AE3215" s="133"/>
      <c r="AF3215" s="133"/>
      <c r="AG3215" s="133"/>
      <c r="AH3215" s="133"/>
      <c r="AI3215" s="133"/>
      <c r="AJ3215" s="133"/>
      <c r="AK3215" s="133"/>
      <c r="AL3215" s="133"/>
      <c r="AM3215" s="133"/>
      <c r="AN3215" s="133"/>
      <c r="AO3215" s="133"/>
      <c r="AP3215" s="133"/>
      <c r="AQ3215" s="133"/>
      <c r="AR3215" s="133"/>
      <c r="AS3215" s="153">
        <v>0</v>
      </c>
      <c r="AT3215" s="153">
        <v>0</v>
      </c>
      <c r="AU3215" s="153">
        <v>0</v>
      </c>
      <c r="AV3215" s="135"/>
      <c r="AW3215" s="135"/>
      <c r="AX3215" s="135"/>
      <c r="AY3215" s="135"/>
      <c r="AZ3215" s="135"/>
      <c r="BA3215" s="135"/>
      <c r="BB3215" s="135"/>
      <c r="BC3215" s="135"/>
      <c r="BD3215" s="135"/>
      <c r="BE3215" s="135"/>
      <c r="BF3215" s="135"/>
      <c r="BG3215" s="135"/>
      <c r="BH3215" s="135"/>
      <c r="BI3215" s="2"/>
      <c r="BJ3215" s="136"/>
      <c r="BK3215" s="2"/>
      <c r="BL3215" s="136"/>
      <c r="BM3215" s="136"/>
      <c r="BN3215" s="2"/>
      <c r="BO3215" s="2"/>
      <c r="BP3215" s="136"/>
      <c r="BQ3215" s="137"/>
    </row>
    <row r="3216" spans="1:69" ht="12.75" customHeight="1" x14ac:dyDescent="0.2">
      <c r="A3216" s="2">
        <v>4705</v>
      </c>
      <c r="B3216" s="2"/>
      <c r="C3216" s="2"/>
      <c r="D3216" s="2"/>
      <c r="E3216" s="2"/>
      <c r="F3216" s="132">
        <v>0</v>
      </c>
      <c r="G3216" s="132"/>
      <c r="H3216" s="132">
        <f t="shared" si="360"/>
        <v>0</v>
      </c>
      <c r="I3216" s="132"/>
      <c r="J3216" s="132">
        <f t="shared" si="358"/>
        <v>0</v>
      </c>
      <c r="K3216" s="132">
        <f t="shared" si="361"/>
        <v>0</v>
      </c>
      <c r="L3216" s="132">
        <f t="shared" si="362"/>
        <v>0</v>
      </c>
      <c r="M3216" s="133"/>
      <c r="N3216" s="133">
        <f t="shared" si="359"/>
        <v>0</v>
      </c>
      <c r="O3216" s="134"/>
      <c r="P3216" s="133"/>
      <c r="Q3216" s="2"/>
      <c r="R3216" s="156">
        <f t="shared" si="363"/>
        <v>0</v>
      </c>
      <c r="S3216" s="156">
        <f t="shared" si="364"/>
        <v>0</v>
      </c>
      <c r="T3216" s="133"/>
      <c r="U3216" s="133"/>
      <c r="V3216" s="133"/>
      <c r="W3216" s="133"/>
      <c r="X3216" s="133"/>
      <c r="Y3216" s="133"/>
      <c r="Z3216" s="133"/>
      <c r="AA3216" s="133"/>
      <c r="AB3216" s="133"/>
      <c r="AC3216" s="133"/>
      <c r="AD3216" s="133"/>
      <c r="AE3216" s="133"/>
      <c r="AF3216" s="133"/>
      <c r="AG3216" s="133"/>
      <c r="AH3216" s="133"/>
      <c r="AI3216" s="133"/>
      <c r="AJ3216" s="133"/>
      <c r="AK3216" s="133"/>
      <c r="AL3216" s="133"/>
      <c r="AM3216" s="133"/>
      <c r="AN3216" s="133"/>
      <c r="AO3216" s="133"/>
      <c r="AP3216" s="133"/>
      <c r="AQ3216" s="133"/>
      <c r="AR3216" s="133"/>
      <c r="AS3216" s="153">
        <v>0</v>
      </c>
      <c r="AT3216" s="153">
        <v>0</v>
      </c>
      <c r="AU3216" s="153">
        <v>0</v>
      </c>
      <c r="AV3216" s="135"/>
      <c r="AW3216" s="135"/>
      <c r="AX3216" s="135"/>
      <c r="AY3216" s="135"/>
      <c r="AZ3216" s="135"/>
      <c r="BA3216" s="135"/>
      <c r="BB3216" s="135"/>
      <c r="BC3216" s="135"/>
      <c r="BD3216" s="135"/>
      <c r="BE3216" s="135"/>
      <c r="BF3216" s="135"/>
      <c r="BG3216" s="135"/>
      <c r="BH3216" s="135"/>
      <c r="BI3216" s="2"/>
      <c r="BJ3216" s="136"/>
      <c r="BK3216" s="2"/>
      <c r="BL3216" s="136"/>
      <c r="BM3216" s="136"/>
      <c r="BN3216" s="2"/>
      <c r="BO3216" s="2"/>
      <c r="BP3216" s="136"/>
      <c r="BQ3216" s="137"/>
    </row>
    <row r="3217" spans="1:69" ht="12.75" customHeight="1" x14ac:dyDescent="0.2">
      <c r="A3217" s="2">
        <v>4706</v>
      </c>
      <c r="B3217" s="2"/>
      <c r="C3217" s="2"/>
      <c r="D3217" s="2"/>
      <c r="E3217" s="2"/>
      <c r="F3217" s="132">
        <v>0</v>
      </c>
      <c r="G3217" s="132"/>
      <c r="H3217" s="132">
        <f t="shared" si="360"/>
        <v>0</v>
      </c>
      <c r="I3217" s="132"/>
      <c r="J3217" s="132">
        <f t="shared" si="358"/>
        <v>0</v>
      </c>
      <c r="K3217" s="132">
        <f t="shared" si="361"/>
        <v>0</v>
      </c>
      <c r="L3217" s="132">
        <f t="shared" si="362"/>
        <v>0</v>
      </c>
      <c r="M3217" s="133"/>
      <c r="N3217" s="133">
        <f t="shared" si="359"/>
        <v>0</v>
      </c>
      <c r="O3217" s="134"/>
      <c r="P3217" s="133"/>
      <c r="Q3217" s="2"/>
      <c r="R3217" s="156">
        <f t="shared" si="363"/>
        <v>0</v>
      </c>
      <c r="S3217" s="156">
        <f t="shared" si="364"/>
        <v>0</v>
      </c>
      <c r="T3217" s="133"/>
      <c r="U3217" s="133"/>
      <c r="V3217" s="133"/>
      <c r="W3217" s="133"/>
      <c r="X3217" s="133"/>
      <c r="Y3217" s="133"/>
      <c r="Z3217" s="133"/>
      <c r="AA3217" s="133"/>
      <c r="AB3217" s="133"/>
      <c r="AC3217" s="133"/>
      <c r="AD3217" s="133"/>
      <c r="AE3217" s="133"/>
      <c r="AF3217" s="133"/>
      <c r="AG3217" s="133"/>
      <c r="AH3217" s="133"/>
      <c r="AI3217" s="133"/>
      <c r="AJ3217" s="133"/>
      <c r="AK3217" s="133"/>
      <c r="AL3217" s="133"/>
      <c r="AM3217" s="133"/>
      <c r="AN3217" s="133"/>
      <c r="AO3217" s="133"/>
      <c r="AP3217" s="133"/>
      <c r="AQ3217" s="133"/>
      <c r="AR3217" s="133"/>
      <c r="AS3217" s="153">
        <v>0</v>
      </c>
      <c r="AT3217" s="153">
        <v>0</v>
      </c>
      <c r="AU3217" s="153">
        <v>0</v>
      </c>
      <c r="AV3217" s="135"/>
      <c r="AW3217" s="135"/>
      <c r="AX3217" s="135"/>
      <c r="AY3217" s="135"/>
      <c r="AZ3217" s="135"/>
      <c r="BA3217" s="135"/>
      <c r="BB3217" s="135"/>
      <c r="BC3217" s="135"/>
      <c r="BD3217" s="135"/>
      <c r="BE3217" s="135"/>
      <c r="BF3217" s="135"/>
      <c r="BG3217" s="135"/>
      <c r="BH3217" s="135"/>
      <c r="BI3217" s="2"/>
      <c r="BJ3217" s="136"/>
      <c r="BK3217" s="2"/>
      <c r="BL3217" s="136"/>
      <c r="BM3217" s="136"/>
      <c r="BN3217" s="2"/>
      <c r="BO3217" s="2"/>
      <c r="BP3217" s="136"/>
      <c r="BQ3217" s="137"/>
    </row>
    <row r="3218" spans="1:69" ht="12.75" customHeight="1" x14ac:dyDescent="0.2">
      <c r="A3218" s="2">
        <v>4707</v>
      </c>
      <c r="B3218" s="2"/>
      <c r="C3218" s="2"/>
      <c r="D3218" s="2"/>
      <c r="E3218" s="2"/>
      <c r="F3218" s="132">
        <v>0</v>
      </c>
      <c r="G3218" s="132"/>
      <c r="H3218" s="132">
        <f t="shared" si="360"/>
        <v>0</v>
      </c>
      <c r="I3218" s="132"/>
      <c r="J3218" s="132">
        <f t="shared" si="358"/>
        <v>0</v>
      </c>
      <c r="K3218" s="132">
        <f t="shared" si="361"/>
        <v>0</v>
      </c>
      <c r="L3218" s="132">
        <f t="shared" si="362"/>
        <v>0</v>
      </c>
      <c r="M3218" s="133"/>
      <c r="N3218" s="133">
        <f t="shared" si="359"/>
        <v>0</v>
      </c>
      <c r="O3218" s="134"/>
      <c r="P3218" s="133"/>
      <c r="Q3218" s="2"/>
      <c r="R3218" s="156">
        <f t="shared" si="363"/>
        <v>0</v>
      </c>
      <c r="S3218" s="156">
        <f t="shared" si="364"/>
        <v>0</v>
      </c>
      <c r="T3218" s="133"/>
      <c r="U3218" s="133"/>
      <c r="V3218" s="133"/>
      <c r="W3218" s="133"/>
      <c r="X3218" s="133"/>
      <c r="Y3218" s="133"/>
      <c r="Z3218" s="133"/>
      <c r="AA3218" s="133"/>
      <c r="AB3218" s="133"/>
      <c r="AC3218" s="133"/>
      <c r="AD3218" s="133"/>
      <c r="AE3218" s="133"/>
      <c r="AF3218" s="133"/>
      <c r="AG3218" s="133"/>
      <c r="AH3218" s="133"/>
      <c r="AI3218" s="133"/>
      <c r="AJ3218" s="133"/>
      <c r="AK3218" s="133"/>
      <c r="AL3218" s="133"/>
      <c r="AM3218" s="133"/>
      <c r="AN3218" s="133"/>
      <c r="AO3218" s="133"/>
      <c r="AP3218" s="133"/>
      <c r="AQ3218" s="133"/>
      <c r="AR3218" s="133"/>
      <c r="AS3218" s="153">
        <v>0</v>
      </c>
      <c r="AT3218" s="153">
        <v>0</v>
      </c>
      <c r="AU3218" s="153">
        <v>0</v>
      </c>
      <c r="AV3218" s="135"/>
      <c r="AW3218" s="135"/>
      <c r="AX3218" s="135"/>
      <c r="AY3218" s="135"/>
      <c r="AZ3218" s="135"/>
      <c r="BA3218" s="135"/>
      <c r="BB3218" s="135"/>
      <c r="BC3218" s="135"/>
      <c r="BD3218" s="135"/>
      <c r="BE3218" s="135"/>
      <c r="BF3218" s="135"/>
      <c r="BG3218" s="135"/>
      <c r="BH3218" s="135"/>
      <c r="BI3218" s="2"/>
      <c r="BJ3218" s="136"/>
      <c r="BK3218" s="2"/>
      <c r="BL3218" s="136"/>
      <c r="BM3218" s="136"/>
      <c r="BN3218" s="2"/>
      <c r="BO3218" s="2"/>
      <c r="BP3218" s="136"/>
      <c r="BQ3218" s="137"/>
    </row>
    <row r="3219" spans="1:69" ht="12.75" customHeight="1" x14ac:dyDescent="0.2">
      <c r="A3219" s="2">
        <v>4708</v>
      </c>
      <c r="B3219" s="2"/>
      <c r="C3219" s="2"/>
      <c r="D3219" s="2"/>
      <c r="E3219" s="2"/>
      <c r="F3219" s="132">
        <v>0</v>
      </c>
      <c r="G3219" s="132"/>
      <c r="H3219" s="132">
        <f t="shared" si="360"/>
        <v>0</v>
      </c>
      <c r="I3219" s="132"/>
      <c r="J3219" s="132">
        <f t="shared" si="358"/>
        <v>0</v>
      </c>
      <c r="K3219" s="132">
        <f t="shared" si="361"/>
        <v>0</v>
      </c>
      <c r="L3219" s="132">
        <f t="shared" si="362"/>
        <v>0</v>
      </c>
      <c r="M3219" s="133"/>
      <c r="N3219" s="133">
        <f t="shared" si="359"/>
        <v>0</v>
      </c>
      <c r="O3219" s="134"/>
      <c r="P3219" s="133"/>
      <c r="Q3219" s="2"/>
      <c r="R3219" s="156">
        <f t="shared" si="363"/>
        <v>0</v>
      </c>
      <c r="S3219" s="156">
        <f t="shared" si="364"/>
        <v>0</v>
      </c>
      <c r="T3219" s="133"/>
      <c r="U3219" s="133"/>
      <c r="V3219" s="133"/>
      <c r="W3219" s="133"/>
      <c r="X3219" s="133"/>
      <c r="Y3219" s="133"/>
      <c r="Z3219" s="133"/>
      <c r="AA3219" s="133"/>
      <c r="AB3219" s="133"/>
      <c r="AC3219" s="133"/>
      <c r="AD3219" s="133"/>
      <c r="AE3219" s="133"/>
      <c r="AF3219" s="133"/>
      <c r="AG3219" s="133"/>
      <c r="AH3219" s="133"/>
      <c r="AI3219" s="133"/>
      <c r="AJ3219" s="133"/>
      <c r="AK3219" s="133"/>
      <c r="AL3219" s="133"/>
      <c r="AM3219" s="133"/>
      <c r="AN3219" s="133"/>
      <c r="AO3219" s="133"/>
      <c r="AP3219" s="133"/>
      <c r="AQ3219" s="133"/>
      <c r="AR3219" s="133"/>
      <c r="AS3219" s="153">
        <v>0</v>
      </c>
      <c r="AT3219" s="153">
        <v>0</v>
      </c>
      <c r="AU3219" s="153">
        <v>0</v>
      </c>
      <c r="AV3219" s="135"/>
      <c r="AW3219" s="135"/>
      <c r="AX3219" s="135"/>
      <c r="AY3219" s="135"/>
      <c r="AZ3219" s="135"/>
      <c r="BA3219" s="135"/>
      <c r="BB3219" s="135"/>
      <c r="BC3219" s="135"/>
      <c r="BD3219" s="135"/>
      <c r="BE3219" s="135"/>
      <c r="BF3219" s="135"/>
      <c r="BG3219" s="135"/>
      <c r="BH3219" s="135"/>
      <c r="BI3219" s="2"/>
      <c r="BJ3219" s="136"/>
      <c r="BK3219" s="2"/>
      <c r="BL3219" s="136"/>
      <c r="BM3219" s="136"/>
      <c r="BN3219" s="2"/>
      <c r="BO3219" s="2"/>
      <c r="BP3219" s="136"/>
      <c r="BQ3219" s="137"/>
    </row>
    <row r="3220" spans="1:69" ht="12.75" customHeight="1" x14ac:dyDescent="0.2">
      <c r="A3220" s="2">
        <v>4709</v>
      </c>
      <c r="B3220" s="2"/>
      <c r="C3220" s="2"/>
      <c r="D3220" s="2"/>
      <c r="E3220" s="2"/>
      <c r="F3220" s="132">
        <v>0</v>
      </c>
      <c r="G3220" s="132"/>
      <c r="H3220" s="132">
        <f t="shared" si="360"/>
        <v>0</v>
      </c>
      <c r="I3220" s="132"/>
      <c r="J3220" s="132">
        <f t="shared" si="358"/>
        <v>0</v>
      </c>
      <c r="K3220" s="132">
        <f t="shared" si="361"/>
        <v>0</v>
      </c>
      <c r="L3220" s="132">
        <f t="shared" si="362"/>
        <v>0</v>
      </c>
      <c r="M3220" s="133"/>
      <c r="N3220" s="133">
        <f t="shared" si="359"/>
        <v>0</v>
      </c>
      <c r="O3220" s="134"/>
      <c r="P3220" s="133"/>
      <c r="Q3220" s="2"/>
      <c r="R3220" s="156">
        <f t="shared" si="363"/>
        <v>0</v>
      </c>
      <c r="S3220" s="156">
        <f t="shared" si="364"/>
        <v>0</v>
      </c>
      <c r="T3220" s="133"/>
      <c r="U3220" s="133"/>
      <c r="V3220" s="133"/>
      <c r="W3220" s="133"/>
      <c r="X3220" s="133"/>
      <c r="Y3220" s="133"/>
      <c r="Z3220" s="133"/>
      <c r="AA3220" s="133"/>
      <c r="AB3220" s="133"/>
      <c r="AC3220" s="133"/>
      <c r="AD3220" s="133"/>
      <c r="AE3220" s="133"/>
      <c r="AF3220" s="133"/>
      <c r="AG3220" s="133"/>
      <c r="AH3220" s="133"/>
      <c r="AI3220" s="133"/>
      <c r="AJ3220" s="133"/>
      <c r="AK3220" s="133"/>
      <c r="AL3220" s="133"/>
      <c r="AM3220" s="133"/>
      <c r="AN3220" s="133"/>
      <c r="AO3220" s="133"/>
      <c r="AP3220" s="133"/>
      <c r="AQ3220" s="133"/>
      <c r="AR3220" s="133"/>
      <c r="AS3220" s="153">
        <v>0</v>
      </c>
      <c r="AT3220" s="153">
        <v>0</v>
      </c>
      <c r="AU3220" s="153">
        <v>0</v>
      </c>
      <c r="AV3220" s="135"/>
      <c r="AW3220" s="135"/>
      <c r="AX3220" s="135"/>
      <c r="AY3220" s="135"/>
      <c r="AZ3220" s="135"/>
      <c r="BA3220" s="135"/>
      <c r="BB3220" s="135"/>
      <c r="BC3220" s="135"/>
      <c r="BD3220" s="135"/>
      <c r="BE3220" s="135"/>
      <c r="BF3220" s="135"/>
      <c r="BG3220" s="135"/>
      <c r="BH3220" s="135"/>
      <c r="BI3220" s="2"/>
      <c r="BJ3220" s="136"/>
      <c r="BK3220" s="2"/>
      <c r="BL3220" s="136"/>
      <c r="BM3220" s="136"/>
      <c r="BN3220" s="2"/>
      <c r="BO3220" s="2"/>
      <c r="BP3220" s="136"/>
      <c r="BQ3220" s="137"/>
    </row>
    <row r="3221" spans="1:69" ht="12.75" customHeight="1" x14ac:dyDescent="0.2">
      <c r="A3221" s="2">
        <v>4710</v>
      </c>
      <c r="B3221" s="2"/>
      <c r="C3221" s="2"/>
      <c r="D3221" s="2"/>
      <c r="E3221" s="2"/>
      <c r="F3221" s="132">
        <v>0</v>
      </c>
      <c r="G3221" s="132"/>
      <c r="H3221" s="132">
        <f t="shared" si="360"/>
        <v>0</v>
      </c>
      <c r="I3221" s="132"/>
      <c r="J3221" s="132">
        <f t="shared" si="358"/>
        <v>0</v>
      </c>
      <c r="K3221" s="132">
        <f t="shared" si="361"/>
        <v>0</v>
      </c>
      <c r="L3221" s="132">
        <f t="shared" si="362"/>
        <v>0</v>
      </c>
      <c r="M3221" s="133"/>
      <c r="N3221" s="133">
        <f t="shared" si="359"/>
        <v>0</v>
      </c>
      <c r="O3221" s="134"/>
      <c r="P3221" s="133"/>
      <c r="Q3221" s="2"/>
      <c r="R3221" s="156">
        <f t="shared" si="363"/>
        <v>0</v>
      </c>
      <c r="S3221" s="156">
        <f t="shared" si="364"/>
        <v>0</v>
      </c>
      <c r="T3221" s="133"/>
      <c r="U3221" s="133"/>
      <c r="V3221" s="133"/>
      <c r="W3221" s="133"/>
      <c r="X3221" s="133"/>
      <c r="Y3221" s="133"/>
      <c r="Z3221" s="133"/>
      <c r="AA3221" s="133"/>
      <c r="AB3221" s="133"/>
      <c r="AC3221" s="133"/>
      <c r="AD3221" s="133"/>
      <c r="AE3221" s="133"/>
      <c r="AF3221" s="133"/>
      <c r="AG3221" s="133"/>
      <c r="AH3221" s="133"/>
      <c r="AI3221" s="133"/>
      <c r="AJ3221" s="133"/>
      <c r="AK3221" s="133"/>
      <c r="AL3221" s="133"/>
      <c r="AM3221" s="133"/>
      <c r="AN3221" s="133"/>
      <c r="AO3221" s="133"/>
      <c r="AP3221" s="133"/>
      <c r="AQ3221" s="133"/>
      <c r="AR3221" s="133"/>
      <c r="AS3221" s="153">
        <v>0</v>
      </c>
      <c r="AT3221" s="153">
        <v>0</v>
      </c>
      <c r="AU3221" s="153">
        <v>0</v>
      </c>
      <c r="AV3221" s="135"/>
      <c r="AW3221" s="135"/>
      <c r="AX3221" s="135"/>
      <c r="AY3221" s="135"/>
      <c r="AZ3221" s="135"/>
      <c r="BA3221" s="135"/>
      <c r="BB3221" s="135"/>
      <c r="BC3221" s="135"/>
      <c r="BD3221" s="135"/>
      <c r="BE3221" s="135"/>
      <c r="BF3221" s="135"/>
      <c r="BG3221" s="135"/>
      <c r="BH3221" s="135"/>
      <c r="BI3221" s="2"/>
      <c r="BJ3221" s="136"/>
      <c r="BK3221" s="2"/>
      <c r="BL3221" s="136"/>
      <c r="BM3221" s="136"/>
      <c r="BN3221" s="2"/>
      <c r="BO3221" s="2"/>
      <c r="BP3221" s="136"/>
      <c r="BQ3221" s="137"/>
    </row>
    <row r="3222" spans="1:69" ht="12.75" customHeight="1" x14ac:dyDescent="0.2">
      <c r="A3222" s="2">
        <v>4711</v>
      </c>
      <c r="B3222" s="2"/>
      <c r="C3222" s="2"/>
      <c r="D3222" s="2"/>
      <c r="E3222" s="2"/>
      <c r="F3222" s="132">
        <v>0</v>
      </c>
      <c r="G3222" s="132"/>
      <c r="H3222" s="132">
        <f t="shared" si="360"/>
        <v>0</v>
      </c>
      <c r="I3222" s="132"/>
      <c r="J3222" s="132">
        <f t="shared" si="358"/>
        <v>0</v>
      </c>
      <c r="K3222" s="132">
        <f t="shared" si="361"/>
        <v>0</v>
      </c>
      <c r="L3222" s="132">
        <f t="shared" si="362"/>
        <v>0</v>
      </c>
      <c r="M3222" s="133"/>
      <c r="N3222" s="133">
        <f t="shared" si="359"/>
        <v>0</v>
      </c>
      <c r="O3222" s="134"/>
      <c r="P3222" s="133"/>
      <c r="Q3222" s="2"/>
      <c r="R3222" s="156">
        <f t="shared" si="363"/>
        <v>0</v>
      </c>
      <c r="S3222" s="156">
        <f t="shared" si="364"/>
        <v>0</v>
      </c>
      <c r="T3222" s="133"/>
      <c r="U3222" s="133"/>
      <c r="V3222" s="133"/>
      <c r="W3222" s="133"/>
      <c r="X3222" s="133"/>
      <c r="Y3222" s="133"/>
      <c r="Z3222" s="133"/>
      <c r="AA3222" s="133"/>
      <c r="AB3222" s="133"/>
      <c r="AC3222" s="133"/>
      <c r="AD3222" s="133"/>
      <c r="AE3222" s="133"/>
      <c r="AF3222" s="133"/>
      <c r="AG3222" s="133"/>
      <c r="AH3222" s="133"/>
      <c r="AI3222" s="133"/>
      <c r="AJ3222" s="133"/>
      <c r="AK3222" s="133"/>
      <c r="AL3222" s="133"/>
      <c r="AM3222" s="133"/>
      <c r="AN3222" s="133"/>
      <c r="AO3222" s="133"/>
      <c r="AP3222" s="133"/>
      <c r="AQ3222" s="133"/>
      <c r="AR3222" s="133"/>
      <c r="AS3222" s="153">
        <v>0</v>
      </c>
      <c r="AT3222" s="153">
        <v>0</v>
      </c>
      <c r="AU3222" s="153">
        <v>0</v>
      </c>
      <c r="AV3222" s="135"/>
      <c r="AW3222" s="135"/>
      <c r="AX3222" s="135"/>
      <c r="AY3222" s="135"/>
      <c r="AZ3222" s="135"/>
      <c r="BA3222" s="135"/>
      <c r="BB3222" s="135"/>
      <c r="BC3222" s="135"/>
      <c r="BD3222" s="135"/>
      <c r="BE3222" s="135"/>
      <c r="BF3222" s="135"/>
      <c r="BG3222" s="135"/>
      <c r="BH3222" s="135"/>
      <c r="BI3222" s="2"/>
      <c r="BJ3222" s="136"/>
      <c r="BK3222" s="2"/>
      <c r="BL3222" s="136"/>
      <c r="BM3222" s="136"/>
      <c r="BN3222" s="2"/>
      <c r="BO3222" s="2"/>
      <c r="BP3222" s="136"/>
      <c r="BQ3222" s="137"/>
    </row>
    <row r="3223" spans="1:69" ht="12.75" customHeight="1" x14ac:dyDescent="0.2">
      <c r="A3223" s="2">
        <v>4712</v>
      </c>
      <c r="B3223" s="2"/>
      <c r="C3223" s="2"/>
      <c r="D3223" s="2"/>
      <c r="E3223" s="2"/>
      <c r="F3223" s="132">
        <v>0</v>
      </c>
      <c r="G3223" s="132"/>
      <c r="H3223" s="132">
        <f t="shared" si="360"/>
        <v>0</v>
      </c>
      <c r="I3223" s="132"/>
      <c r="J3223" s="132">
        <f t="shared" si="358"/>
        <v>0</v>
      </c>
      <c r="K3223" s="132">
        <f t="shared" si="361"/>
        <v>0</v>
      </c>
      <c r="L3223" s="132">
        <f t="shared" si="362"/>
        <v>0</v>
      </c>
      <c r="M3223" s="133"/>
      <c r="N3223" s="133">
        <f t="shared" si="359"/>
        <v>0</v>
      </c>
      <c r="O3223" s="134"/>
      <c r="P3223" s="133"/>
      <c r="Q3223" s="2"/>
      <c r="R3223" s="156">
        <f t="shared" si="363"/>
        <v>0</v>
      </c>
      <c r="S3223" s="156">
        <f t="shared" si="364"/>
        <v>0</v>
      </c>
      <c r="T3223" s="133"/>
      <c r="U3223" s="133"/>
      <c r="V3223" s="133"/>
      <c r="W3223" s="133"/>
      <c r="X3223" s="133"/>
      <c r="Y3223" s="133"/>
      <c r="Z3223" s="133"/>
      <c r="AA3223" s="133"/>
      <c r="AB3223" s="133"/>
      <c r="AC3223" s="133"/>
      <c r="AD3223" s="133"/>
      <c r="AE3223" s="133"/>
      <c r="AF3223" s="133"/>
      <c r="AG3223" s="133"/>
      <c r="AH3223" s="133"/>
      <c r="AI3223" s="133"/>
      <c r="AJ3223" s="133"/>
      <c r="AK3223" s="133"/>
      <c r="AL3223" s="133"/>
      <c r="AM3223" s="133"/>
      <c r="AN3223" s="133"/>
      <c r="AO3223" s="133"/>
      <c r="AP3223" s="133"/>
      <c r="AQ3223" s="133"/>
      <c r="AR3223" s="133"/>
      <c r="AS3223" s="153">
        <v>0</v>
      </c>
      <c r="AT3223" s="153">
        <v>0</v>
      </c>
      <c r="AU3223" s="153">
        <v>0</v>
      </c>
      <c r="AV3223" s="135"/>
      <c r="AW3223" s="135"/>
      <c r="AX3223" s="135"/>
      <c r="AY3223" s="135"/>
      <c r="AZ3223" s="135"/>
      <c r="BA3223" s="135"/>
      <c r="BB3223" s="135"/>
      <c r="BC3223" s="135"/>
      <c r="BD3223" s="135"/>
      <c r="BE3223" s="135"/>
      <c r="BF3223" s="135"/>
      <c r="BG3223" s="135"/>
      <c r="BH3223" s="135"/>
      <c r="BI3223" s="2"/>
      <c r="BJ3223" s="136"/>
      <c r="BK3223" s="2"/>
      <c r="BL3223" s="136"/>
      <c r="BM3223" s="136"/>
      <c r="BN3223" s="2"/>
      <c r="BO3223" s="2"/>
      <c r="BP3223" s="136"/>
      <c r="BQ3223" s="137"/>
    </row>
    <row r="3224" spans="1:69" ht="12.75" customHeight="1" x14ac:dyDescent="0.2">
      <c r="A3224" s="2">
        <v>4713</v>
      </c>
      <c r="B3224" s="2"/>
      <c r="C3224" s="2"/>
      <c r="D3224" s="2"/>
      <c r="E3224" s="2"/>
      <c r="F3224" s="132">
        <v>0</v>
      </c>
      <c r="G3224" s="132"/>
      <c r="H3224" s="132">
        <f t="shared" si="360"/>
        <v>0</v>
      </c>
      <c r="I3224" s="132"/>
      <c r="J3224" s="132">
        <f t="shared" si="358"/>
        <v>0</v>
      </c>
      <c r="K3224" s="132">
        <f t="shared" si="361"/>
        <v>0</v>
      </c>
      <c r="L3224" s="132">
        <f t="shared" si="362"/>
        <v>0</v>
      </c>
      <c r="M3224" s="133"/>
      <c r="N3224" s="133">
        <f t="shared" si="359"/>
        <v>0</v>
      </c>
      <c r="O3224" s="134"/>
      <c r="P3224" s="133"/>
      <c r="Q3224" s="2"/>
      <c r="R3224" s="156">
        <f t="shared" si="363"/>
        <v>0</v>
      </c>
      <c r="S3224" s="156">
        <f t="shared" si="364"/>
        <v>0</v>
      </c>
      <c r="T3224" s="133"/>
      <c r="U3224" s="133"/>
      <c r="V3224" s="133"/>
      <c r="W3224" s="133"/>
      <c r="X3224" s="133"/>
      <c r="Y3224" s="133"/>
      <c r="Z3224" s="133"/>
      <c r="AA3224" s="133"/>
      <c r="AB3224" s="133"/>
      <c r="AC3224" s="133"/>
      <c r="AD3224" s="133"/>
      <c r="AE3224" s="133"/>
      <c r="AF3224" s="133"/>
      <c r="AG3224" s="133"/>
      <c r="AH3224" s="133"/>
      <c r="AI3224" s="133"/>
      <c r="AJ3224" s="133"/>
      <c r="AK3224" s="133"/>
      <c r="AL3224" s="133"/>
      <c r="AM3224" s="133"/>
      <c r="AN3224" s="133"/>
      <c r="AO3224" s="133"/>
      <c r="AP3224" s="133"/>
      <c r="AQ3224" s="133"/>
      <c r="AR3224" s="133"/>
      <c r="AS3224" s="153">
        <v>0</v>
      </c>
      <c r="AT3224" s="153">
        <v>0</v>
      </c>
      <c r="AU3224" s="153">
        <v>0</v>
      </c>
      <c r="AV3224" s="135"/>
      <c r="AW3224" s="135"/>
      <c r="AX3224" s="135"/>
      <c r="AY3224" s="135"/>
      <c r="AZ3224" s="135"/>
      <c r="BA3224" s="135"/>
      <c r="BB3224" s="135"/>
      <c r="BC3224" s="135"/>
      <c r="BD3224" s="135"/>
      <c r="BE3224" s="135"/>
      <c r="BF3224" s="135"/>
      <c r="BG3224" s="135"/>
      <c r="BH3224" s="135"/>
      <c r="BI3224" s="2"/>
      <c r="BJ3224" s="136"/>
      <c r="BK3224" s="2"/>
      <c r="BL3224" s="136"/>
      <c r="BM3224" s="136"/>
      <c r="BN3224" s="2"/>
      <c r="BO3224" s="2"/>
      <c r="BP3224" s="136"/>
      <c r="BQ3224" s="137"/>
    </row>
    <row r="3225" spans="1:69" ht="12.75" customHeight="1" x14ac:dyDescent="0.2">
      <c r="A3225" s="2">
        <v>4714</v>
      </c>
      <c r="B3225" s="2"/>
      <c r="C3225" s="2"/>
      <c r="D3225" s="2"/>
      <c r="E3225" s="2"/>
      <c r="F3225" s="132">
        <v>0</v>
      </c>
      <c r="G3225" s="132"/>
      <c r="H3225" s="132">
        <f t="shared" si="360"/>
        <v>0</v>
      </c>
      <c r="I3225" s="132"/>
      <c r="J3225" s="132">
        <f t="shared" si="358"/>
        <v>0</v>
      </c>
      <c r="K3225" s="132">
        <f t="shared" si="361"/>
        <v>0</v>
      </c>
      <c r="L3225" s="132">
        <f t="shared" si="362"/>
        <v>0</v>
      </c>
      <c r="M3225" s="133"/>
      <c r="N3225" s="133">
        <f t="shared" si="359"/>
        <v>0</v>
      </c>
      <c r="O3225" s="134"/>
      <c r="P3225" s="133"/>
      <c r="Q3225" s="2"/>
      <c r="R3225" s="156">
        <f t="shared" si="363"/>
        <v>0</v>
      </c>
      <c r="S3225" s="156">
        <f t="shared" si="364"/>
        <v>0</v>
      </c>
      <c r="T3225" s="133"/>
      <c r="U3225" s="133"/>
      <c r="V3225" s="133"/>
      <c r="W3225" s="133"/>
      <c r="X3225" s="133"/>
      <c r="Y3225" s="133"/>
      <c r="Z3225" s="133"/>
      <c r="AA3225" s="133"/>
      <c r="AB3225" s="133"/>
      <c r="AC3225" s="133"/>
      <c r="AD3225" s="133"/>
      <c r="AE3225" s="133"/>
      <c r="AF3225" s="133"/>
      <c r="AG3225" s="133"/>
      <c r="AH3225" s="133"/>
      <c r="AI3225" s="133"/>
      <c r="AJ3225" s="133"/>
      <c r="AK3225" s="133"/>
      <c r="AL3225" s="133"/>
      <c r="AM3225" s="133"/>
      <c r="AN3225" s="133"/>
      <c r="AO3225" s="133"/>
      <c r="AP3225" s="133"/>
      <c r="AQ3225" s="133"/>
      <c r="AR3225" s="133"/>
      <c r="AS3225" s="153">
        <v>0</v>
      </c>
      <c r="AT3225" s="153">
        <v>0</v>
      </c>
      <c r="AU3225" s="153">
        <v>0</v>
      </c>
      <c r="AV3225" s="135"/>
      <c r="AW3225" s="135"/>
      <c r="AX3225" s="135"/>
      <c r="AY3225" s="135"/>
      <c r="AZ3225" s="135"/>
      <c r="BA3225" s="135"/>
      <c r="BB3225" s="135"/>
      <c r="BC3225" s="135"/>
      <c r="BD3225" s="135"/>
      <c r="BE3225" s="135"/>
      <c r="BF3225" s="135"/>
      <c r="BG3225" s="135"/>
      <c r="BH3225" s="135"/>
      <c r="BI3225" s="2"/>
      <c r="BJ3225" s="136"/>
      <c r="BK3225" s="2"/>
      <c r="BL3225" s="136"/>
      <c r="BM3225" s="136"/>
      <c r="BN3225" s="2"/>
      <c r="BO3225" s="2"/>
      <c r="BP3225" s="136"/>
      <c r="BQ3225" s="137"/>
    </row>
    <row r="3226" spans="1:69" ht="12.75" customHeight="1" x14ac:dyDescent="0.2">
      <c r="A3226" s="2">
        <v>4715</v>
      </c>
      <c r="B3226" s="2"/>
      <c r="C3226" s="2"/>
      <c r="D3226" s="2"/>
      <c r="E3226" s="2"/>
      <c r="F3226" s="132">
        <v>0</v>
      </c>
      <c r="G3226" s="132"/>
      <c r="H3226" s="132">
        <f t="shared" si="360"/>
        <v>0</v>
      </c>
      <c r="I3226" s="132"/>
      <c r="J3226" s="132">
        <f t="shared" si="358"/>
        <v>0</v>
      </c>
      <c r="K3226" s="132">
        <f t="shared" si="361"/>
        <v>0</v>
      </c>
      <c r="L3226" s="132">
        <f t="shared" si="362"/>
        <v>0</v>
      </c>
      <c r="M3226" s="133"/>
      <c r="N3226" s="133">
        <f t="shared" si="359"/>
        <v>0</v>
      </c>
      <c r="O3226" s="134"/>
      <c r="P3226" s="133"/>
      <c r="Q3226" s="2"/>
      <c r="R3226" s="156">
        <f t="shared" si="363"/>
        <v>0</v>
      </c>
      <c r="S3226" s="156">
        <f t="shared" si="364"/>
        <v>0</v>
      </c>
      <c r="T3226" s="133"/>
      <c r="U3226" s="133"/>
      <c r="V3226" s="133"/>
      <c r="W3226" s="133"/>
      <c r="X3226" s="133"/>
      <c r="Y3226" s="133"/>
      <c r="Z3226" s="133"/>
      <c r="AA3226" s="133"/>
      <c r="AB3226" s="133"/>
      <c r="AC3226" s="133"/>
      <c r="AD3226" s="133"/>
      <c r="AE3226" s="133"/>
      <c r="AF3226" s="133"/>
      <c r="AG3226" s="133"/>
      <c r="AH3226" s="133"/>
      <c r="AI3226" s="133"/>
      <c r="AJ3226" s="133"/>
      <c r="AK3226" s="133"/>
      <c r="AL3226" s="133"/>
      <c r="AM3226" s="133"/>
      <c r="AN3226" s="133"/>
      <c r="AO3226" s="133"/>
      <c r="AP3226" s="133"/>
      <c r="AQ3226" s="133"/>
      <c r="AR3226" s="133"/>
      <c r="AS3226" s="153">
        <v>0</v>
      </c>
      <c r="AT3226" s="153">
        <v>0</v>
      </c>
      <c r="AU3226" s="153">
        <v>0</v>
      </c>
      <c r="AV3226" s="135"/>
      <c r="AW3226" s="135"/>
      <c r="AX3226" s="135"/>
      <c r="AY3226" s="135"/>
      <c r="AZ3226" s="135"/>
      <c r="BA3226" s="135"/>
      <c r="BB3226" s="135"/>
      <c r="BC3226" s="135"/>
      <c r="BD3226" s="135"/>
      <c r="BE3226" s="135"/>
      <c r="BF3226" s="135"/>
      <c r="BG3226" s="135"/>
      <c r="BH3226" s="135"/>
      <c r="BI3226" s="2"/>
      <c r="BJ3226" s="136"/>
      <c r="BK3226" s="2"/>
      <c r="BL3226" s="136"/>
      <c r="BM3226" s="136"/>
      <c r="BN3226" s="2"/>
      <c r="BO3226" s="2"/>
      <c r="BP3226" s="136"/>
      <c r="BQ3226" s="137"/>
    </row>
    <row r="3227" spans="1:69" ht="12.75" customHeight="1" x14ac:dyDescent="0.2">
      <c r="A3227" s="2">
        <v>4716</v>
      </c>
      <c r="B3227" s="2"/>
      <c r="C3227" s="2"/>
      <c r="D3227" s="2"/>
      <c r="E3227" s="2"/>
      <c r="F3227" s="132">
        <v>0</v>
      </c>
      <c r="G3227" s="132"/>
      <c r="H3227" s="132">
        <f t="shared" si="360"/>
        <v>0</v>
      </c>
      <c r="I3227" s="132"/>
      <c r="J3227" s="132">
        <f t="shared" si="358"/>
        <v>0</v>
      </c>
      <c r="K3227" s="132">
        <f t="shared" si="361"/>
        <v>0</v>
      </c>
      <c r="L3227" s="132">
        <f t="shared" si="362"/>
        <v>0</v>
      </c>
      <c r="M3227" s="133"/>
      <c r="N3227" s="133">
        <f t="shared" si="359"/>
        <v>0</v>
      </c>
      <c r="O3227" s="134"/>
      <c r="P3227" s="133"/>
      <c r="Q3227" s="2"/>
      <c r="R3227" s="156">
        <f t="shared" si="363"/>
        <v>0</v>
      </c>
      <c r="S3227" s="156">
        <f t="shared" si="364"/>
        <v>0</v>
      </c>
      <c r="T3227" s="133"/>
      <c r="U3227" s="133"/>
      <c r="V3227" s="133"/>
      <c r="W3227" s="133"/>
      <c r="X3227" s="133"/>
      <c r="Y3227" s="133"/>
      <c r="Z3227" s="133"/>
      <c r="AA3227" s="133"/>
      <c r="AB3227" s="133"/>
      <c r="AC3227" s="133"/>
      <c r="AD3227" s="133"/>
      <c r="AE3227" s="133"/>
      <c r="AF3227" s="133"/>
      <c r="AG3227" s="133"/>
      <c r="AH3227" s="133"/>
      <c r="AI3227" s="133"/>
      <c r="AJ3227" s="133"/>
      <c r="AK3227" s="133"/>
      <c r="AL3227" s="133"/>
      <c r="AM3227" s="133"/>
      <c r="AN3227" s="133"/>
      <c r="AO3227" s="133"/>
      <c r="AP3227" s="133"/>
      <c r="AQ3227" s="133"/>
      <c r="AR3227" s="133"/>
      <c r="AS3227" s="153">
        <v>0</v>
      </c>
      <c r="AT3227" s="153">
        <v>0</v>
      </c>
      <c r="AU3227" s="153">
        <v>0</v>
      </c>
      <c r="AV3227" s="135"/>
      <c r="AW3227" s="135"/>
      <c r="AX3227" s="135"/>
      <c r="AY3227" s="135"/>
      <c r="AZ3227" s="135"/>
      <c r="BA3227" s="135"/>
      <c r="BB3227" s="135"/>
      <c r="BC3227" s="135"/>
      <c r="BD3227" s="135"/>
      <c r="BE3227" s="135"/>
      <c r="BF3227" s="135"/>
      <c r="BG3227" s="135"/>
      <c r="BH3227" s="135"/>
      <c r="BI3227" s="2"/>
      <c r="BJ3227" s="136"/>
      <c r="BK3227" s="2"/>
      <c r="BL3227" s="136"/>
      <c r="BM3227" s="136"/>
      <c r="BN3227" s="2"/>
      <c r="BO3227" s="2"/>
      <c r="BP3227" s="136"/>
      <c r="BQ3227" s="137"/>
    </row>
    <row r="3228" spans="1:69" ht="12.75" customHeight="1" x14ac:dyDescent="0.2">
      <c r="A3228" s="2">
        <v>4717</v>
      </c>
      <c r="B3228" s="2"/>
      <c r="C3228" s="2"/>
      <c r="D3228" s="2"/>
      <c r="E3228" s="2"/>
      <c r="F3228" s="132">
        <v>0</v>
      </c>
      <c r="G3228" s="132"/>
      <c r="H3228" s="132">
        <f t="shared" si="360"/>
        <v>0</v>
      </c>
      <c r="I3228" s="132"/>
      <c r="J3228" s="132">
        <f t="shared" si="358"/>
        <v>0</v>
      </c>
      <c r="K3228" s="132">
        <f t="shared" si="361"/>
        <v>0</v>
      </c>
      <c r="L3228" s="132">
        <f t="shared" si="362"/>
        <v>0</v>
      </c>
      <c r="M3228" s="133"/>
      <c r="N3228" s="133">
        <f t="shared" si="359"/>
        <v>0</v>
      </c>
      <c r="O3228" s="134"/>
      <c r="P3228" s="133"/>
      <c r="Q3228" s="2"/>
      <c r="R3228" s="156">
        <f t="shared" si="363"/>
        <v>0</v>
      </c>
      <c r="S3228" s="156">
        <f t="shared" si="364"/>
        <v>0</v>
      </c>
      <c r="T3228" s="133"/>
      <c r="U3228" s="133"/>
      <c r="V3228" s="133"/>
      <c r="W3228" s="133"/>
      <c r="X3228" s="133"/>
      <c r="Y3228" s="133"/>
      <c r="Z3228" s="133"/>
      <c r="AA3228" s="133"/>
      <c r="AB3228" s="133"/>
      <c r="AC3228" s="133"/>
      <c r="AD3228" s="133"/>
      <c r="AE3228" s="133"/>
      <c r="AF3228" s="133"/>
      <c r="AG3228" s="133"/>
      <c r="AH3228" s="133"/>
      <c r="AI3228" s="133"/>
      <c r="AJ3228" s="133"/>
      <c r="AK3228" s="133"/>
      <c r="AL3228" s="133"/>
      <c r="AM3228" s="133"/>
      <c r="AN3228" s="133"/>
      <c r="AO3228" s="133"/>
      <c r="AP3228" s="133"/>
      <c r="AQ3228" s="133"/>
      <c r="AR3228" s="133"/>
      <c r="AS3228" s="153">
        <v>0</v>
      </c>
      <c r="AT3228" s="153">
        <v>0</v>
      </c>
      <c r="AU3228" s="153">
        <v>0</v>
      </c>
      <c r="AV3228" s="135"/>
      <c r="AW3228" s="135"/>
      <c r="AX3228" s="135"/>
      <c r="AY3228" s="135"/>
      <c r="AZ3228" s="135"/>
      <c r="BA3228" s="135"/>
      <c r="BB3228" s="135"/>
      <c r="BC3228" s="135"/>
      <c r="BD3228" s="135"/>
      <c r="BE3228" s="135"/>
      <c r="BF3228" s="135"/>
      <c r="BG3228" s="135"/>
      <c r="BH3228" s="135"/>
      <c r="BI3228" s="2"/>
      <c r="BJ3228" s="136"/>
      <c r="BK3228" s="2"/>
      <c r="BL3228" s="136"/>
      <c r="BM3228" s="136"/>
      <c r="BN3228" s="2"/>
      <c r="BO3228" s="2"/>
      <c r="BP3228" s="136"/>
      <c r="BQ3228" s="137"/>
    </row>
    <row r="3229" spans="1:69" ht="12.75" customHeight="1" x14ac:dyDescent="0.2">
      <c r="A3229" s="2">
        <v>4718</v>
      </c>
      <c r="B3229" s="2"/>
      <c r="C3229" s="2"/>
      <c r="D3229" s="2"/>
      <c r="E3229" s="2"/>
      <c r="F3229" s="132">
        <v>0</v>
      </c>
      <c r="G3229" s="132"/>
      <c r="H3229" s="132">
        <f t="shared" si="360"/>
        <v>0</v>
      </c>
      <c r="I3229" s="132"/>
      <c r="J3229" s="132">
        <f t="shared" si="358"/>
        <v>0</v>
      </c>
      <c r="K3229" s="132">
        <f t="shared" si="361"/>
        <v>0</v>
      </c>
      <c r="L3229" s="132">
        <f t="shared" si="362"/>
        <v>0</v>
      </c>
      <c r="M3229" s="133"/>
      <c r="N3229" s="133">
        <f t="shared" si="359"/>
        <v>0</v>
      </c>
      <c r="O3229" s="134"/>
      <c r="P3229" s="133"/>
      <c r="Q3229" s="2"/>
      <c r="R3229" s="156">
        <f t="shared" si="363"/>
        <v>0</v>
      </c>
      <c r="S3229" s="156">
        <f t="shared" si="364"/>
        <v>0</v>
      </c>
      <c r="T3229" s="133"/>
      <c r="U3229" s="133"/>
      <c r="V3229" s="133"/>
      <c r="W3229" s="133"/>
      <c r="X3229" s="133"/>
      <c r="Y3229" s="133"/>
      <c r="Z3229" s="133"/>
      <c r="AA3229" s="133"/>
      <c r="AB3229" s="133"/>
      <c r="AC3229" s="133"/>
      <c r="AD3229" s="133"/>
      <c r="AE3229" s="133"/>
      <c r="AF3229" s="133"/>
      <c r="AG3229" s="133"/>
      <c r="AH3229" s="133"/>
      <c r="AI3229" s="133"/>
      <c r="AJ3229" s="133"/>
      <c r="AK3229" s="133"/>
      <c r="AL3229" s="133"/>
      <c r="AM3229" s="133"/>
      <c r="AN3229" s="133"/>
      <c r="AO3229" s="133"/>
      <c r="AP3229" s="133"/>
      <c r="AQ3229" s="133"/>
      <c r="AR3229" s="133"/>
      <c r="AS3229" s="153">
        <v>0</v>
      </c>
      <c r="AT3229" s="153">
        <v>0</v>
      </c>
      <c r="AU3229" s="153">
        <v>0</v>
      </c>
      <c r="AV3229" s="135"/>
      <c r="AW3229" s="135"/>
      <c r="AX3229" s="135"/>
      <c r="AY3229" s="135"/>
      <c r="AZ3229" s="135"/>
      <c r="BA3229" s="135"/>
      <c r="BB3229" s="135"/>
      <c r="BC3229" s="135"/>
      <c r="BD3229" s="135"/>
      <c r="BE3229" s="135"/>
      <c r="BF3229" s="135"/>
      <c r="BG3229" s="135"/>
      <c r="BH3229" s="135"/>
      <c r="BI3229" s="2"/>
      <c r="BJ3229" s="136"/>
      <c r="BK3229" s="2"/>
      <c r="BL3229" s="136"/>
      <c r="BM3229" s="136"/>
      <c r="BN3229" s="2"/>
      <c r="BO3229" s="2"/>
      <c r="BP3229" s="136"/>
      <c r="BQ3229" s="137"/>
    </row>
    <row r="3230" spans="1:69" ht="12.75" customHeight="1" x14ac:dyDescent="0.2">
      <c r="A3230" s="2">
        <v>4719</v>
      </c>
      <c r="B3230" s="2"/>
      <c r="C3230" s="2"/>
      <c r="D3230" s="2"/>
      <c r="E3230" s="2"/>
      <c r="F3230" s="132">
        <v>0</v>
      </c>
      <c r="G3230" s="132"/>
      <c r="H3230" s="132">
        <f t="shared" si="360"/>
        <v>0</v>
      </c>
      <c r="I3230" s="132"/>
      <c r="J3230" s="132">
        <f t="shared" si="358"/>
        <v>0</v>
      </c>
      <c r="K3230" s="132">
        <f t="shared" si="361"/>
        <v>0</v>
      </c>
      <c r="L3230" s="132">
        <f t="shared" si="362"/>
        <v>0</v>
      </c>
      <c r="M3230" s="133"/>
      <c r="N3230" s="133">
        <f t="shared" si="359"/>
        <v>0</v>
      </c>
      <c r="O3230" s="134"/>
      <c r="P3230" s="133"/>
      <c r="Q3230" s="2"/>
      <c r="R3230" s="156">
        <f t="shared" si="363"/>
        <v>0</v>
      </c>
      <c r="S3230" s="156">
        <f t="shared" si="364"/>
        <v>0</v>
      </c>
      <c r="T3230" s="133"/>
      <c r="U3230" s="133"/>
      <c r="V3230" s="133"/>
      <c r="W3230" s="133"/>
      <c r="X3230" s="133"/>
      <c r="Y3230" s="133"/>
      <c r="Z3230" s="133"/>
      <c r="AA3230" s="133"/>
      <c r="AB3230" s="133"/>
      <c r="AC3230" s="133"/>
      <c r="AD3230" s="133"/>
      <c r="AE3230" s="133"/>
      <c r="AF3230" s="133"/>
      <c r="AG3230" s="133"/>
      <c r="AH3230" s="133"/>
      <c r="AI3230" s="133"/>
      <c r="AJ3230" s="133"/>
      <c r="AK3230" s="133"/>
      <c r="AL3230" s="133"/>
      <c r="AM3230" s="133"/>
      <c r="AN3230" s="133"/>
      <c r="AO3230" s="133"/>
      <c r="AP3230" s="133"/>
      <c r="AQ3230" s="133"/>
      <c r="AR3230" s="133"/>
      <c r="AS3230" s="153">
        <v>0</v>
      </c>
      <c r="AT3230" s="153">
        <v>0</v>
      </c>
      <c r="AU3230" s="153">
        <v>0</v>
      </c>
      <c r="AV3230" s="135"/>
      <c r="AW3230" s="135"/>
      <c r="AX3230" s="135"/>
      <c r="AY3230" s="135"/>
      <c r="AZ3230" s="135"/>
      <c r="BA3230" s="135"/>
      <c r="BB3230" s="135"/>
      <c r="BC3230" s="135"/>
      <c r="BD3230" s="135"/>
      <c r="BE3230" s="135"/>
      <c r="BF3230" s="135"/>
      <c r="BG3230" s="135"/>
      <c r="BH3230" s="135"/>
      <c r="BI3230" s="2"/>
      <c r="BJ3230" s="136"/>
      <c r="BK3230" s="2"/>
      <c r="BL3230" s="136"/>
      <c r="BM3230" s="136"/>
      <c r="BN3230" s="2"/>
      <c r="BO3230" s="2"/>
      <c r="BP3230" s="136"/>
      <c r="BQ3230" s="137"/>
    </row>
    <row r="3231" spans="1:69" ht="12.75" customHeight="1" x14ac:dyDescent="0.2">
      <c r="A3231" s="2">
        <v>4720</v>
      </c>
      <c r="B3231" s="2"/>
      <c r="C3231" s="2"/>
      <c r="D3231" s="2"/>
      <c r="E3231" s="2"/>
      <c r="F3231" s="132">
        <v>0</v>
      </c>
      <c r="G3231" s="132"/>
      <c r="H3231" s="132">
        <f t="shared" si="360"/>
        <v>0</v>
      </c>
      <c r="I3231" s="132"/>
      <c r="J3231" s="132">
        <f t="shared" si="358"/>
        <v>0</v>
      </c>
      <c r="K3231" s="132">
        <f t="shared" si="361"/>
        <v>0</v>
      </c>
      <c r="L3231" s="132">
        <f t="shared" si="362"/>
        <v>0</v>
      </c>
      <c r="M3231" s="133"/>
      <c r="N3231" s="133">
        <f t="shared" si="359"/>
        <v>0</v>
      </c>
      <c r="O3231" s="134"/>
      <c r="P3231" s="133"/>
      <c r="Q3231" s="2"/>
      <c r="R3231" s="156">
        <f t="shared" si="363"/>
        <v>0</v>
      </c>
      <c r="S3231" s="156">
        <f t="shared" si="364"/>
        <v>0</v>
      </c>
      <c r="T3231" s="133"/>
      <c r="U3231" s="133"/>
      <c r="V3231" s="133"/>
      <c r="W3231" s="133"/>
      <c r="X3231" s="133"/>
      <c r="Y3231" s="133"/>
      <c r="Z3231" s="133"/>
      <c r="AA3231" s="133"/>
      <c r="AB3231" s="133"/>
      <c r="AC3231" s="133"/>
      <c r="AD3231" s="133"/>
      <c r="AE3231" s="133"/>
      <c r="AF3231" s="133"/>
      <c r="AG3231" s="133"/>
      <c r="AH3231" s="133"/>
      <c r="AI3231" s="133"/>
      <c r="AJ3231" s="133"/>
      <c r="AK3231" s="133"/>
      <c r="AL3231" s="133"/>
      <c r="AM3231" s="133"/>
      <c r="AN3231" s="133"/>
      <c r="AO3231" s="133"/>
      <c r="AP3231" s="133"/>
      <c r="AQ3231" s="133"/>
      <c r="AR3231" s="133"/>
      <c r="AS3231" s="153">
        <v>0</v>
      </c>
      <c r="AT3231" s="153">
        <v>0</v>
      </c>
      <c r="AU3231" s="153">
        <v>0</v>
      </c>
      <c r="AV3231" s="135"/>
      <c r="AW3231" s="135"/>
      <c r="AX3231" s="135"/>
      <c r="AY3231" s="135"/>
      <c r="AZ3231" s="135"/>
      <c r="BA3231" s="135"/>
      <c r="BB3231" s="135"/>
      <c r="BC3231" s="135"/>
      <c r="BD3231" s="135"/>
      <c r="BE3231" s="135"/>
      <c r="BF3231" s="135"/>
      <c r="BG3231" s="135"/>
      <c r="BH3231" s="135"/>
      <c r="BI3231" s="2"/>
      <c r="BJ3231" s="136"/>
      <c r="BK3231" s="2"/>
      <c r="BL3231" s="136"/>
      <c r="BM3231" s="136"/>
      <c r="BN3231" s="2"/>
      <c r="BO3231" s="2"/>
      <c r="BP3231" s="136"/>
      <c r="BQ3231" s="137"/>
    </row>
    <row r="3232" spans="1:69" ht="12.75" customHeight="1" x14ac:dyDescent="0.2">
      <c r="A3232" s="2">
        <v>4721</v>
      </c>
      <c r="B3232" s="2"/>
      <c r="C3232" s="2"/>
      <c r="D3232" s="2"/>
      <c r="E3232" s="2"/>
      <c r="F3232" s="132">
        <v>0</v>
      </c>
      <c r="G3232" s="132"/>
      <c r="H3232" s="132">
        <f t="shared" si="360"/>
        <v>0</v>
      </c>
      <c r="I3232" s="132"/>
      <c r="J3232" s="132">
        <f t="shared" si="358"/>
        <v>0</v>
      </c>
      <c r="K3232" s="132">
        <f t="shared" si="361"/>
        <v>0</v>
      </c>
      <c r="L3232" s="132">
        <f t="shared" si="362"/>
        <v>0</v>
      </c>
      <c r="M3232" s="133"/>
      <c r="N3232" s="133">
        <f t="shared" si="359"/>
        <v>0</v>
      </c>
      <c r="O3232" s="134"/>
      <c r="P3232" s="133"/>
      <c r="Q3232" s="2"/>
      <c r="R3232" s="156">
        <f t="shared" si="363"/>
        <v>0</v>
      </c>
      <c r="S3232" s="156">
        <f t="shared" si="364"/>
        <v>0</v>
      </c>
      <c r="T3232" s="133"/>
      <c r="U3232" s="133"/>
      <c r="V3232" s="133"/>
      <c r="W3232" s="133"/>
      <c r="X3232" s="133"/>
      <c r="Y3232" s="133"/>
      <c r="Z3232" s="133"/>
      <c r="AA3232" s="133"/>
      <c r="AB3232" s="133"/>
      <c r="AC3232" s="133"/>
      <c r="AD3232" s="133"/>
      <c r="AE3232" s="133"/>
      <c r="AF3232" s="133"/>
      <c r="AG3232" s="133"/>
      <c r="AH3232" s="133"/>
      <c r="AI3232" s="133"/>
      <c r="AJ3232" s="133"/>
      <c r="AK3232" s="133"/>
      <c r="AL3232" s="133"/>
      <c r="AM3232" s="133"/>
      <c r="AN3232" s="133"/>
      <c r="AO3232" s="133"/>
      <c r="AP3232" s="133"/>
      <c r="AQ3232" s="133"/>
      <c r="AR3232" s="133"/>
      <c r="AS3232" s="153">
        <v>0</v>
      </c>
      <c r="AT3232" s="153">
        <v>0</v>
      </c>
      <c r="AU3232" s="153">
        <v>0</v>
      </c>
      <c r="AV3232" s="135"/>
      <c r="AW3232" s="135"/>
      <c r="AX3232" s="135"/>
      <c r="AY3232" s="135"/>
      <c r="AZ3232" s="135"/>
      <c r="BA3232" s="135"/>
      <c r="BB3232" s="135"/>
      <c r="BC3232" s="135"/>
      <c r="BD3232" s="135"/>
      <c r="BE3232" s="135"/>
      <c r="BF3232" s="135"/>
      <c r="BG3232" s="135"/>
      <c r="BH3232" s="135"/>
      <c r="BI3232" s="2"/>
      <c r="BJ3232" s="136"/>
      <c r="BK3232" s="2"/>
      <c r="BL3232" s="136"/>
      <c r="BM3232" s="136"/>
      <c r="BN3232" s="2"/>
      <c r="BO3232" s="2"/>
      <c r="BP3232" s="136"/>
      <c r="BQ3232" s="137"/>
    </row>
    <row r="3233" spans="1:69" ht="12.75" customHeight="1" x14ac:dyDescent="0.2">
      <c r="A3233" s="2">
        <v>4722</v>
      </c>
      <c r="B3233" s="2"/>
      <c r="C3233" s="2"/>
      <c r="D3233" s="2"/>
      <c r="E3233" s="2"/>
      <c r="F3233" s="132">
        <v>0</v>
      </c>
      <c r="G3233" s="132"/>
      <c r="H3233" s="132">
        <f t="shared" si="360"/>
        <v>0</v>
      </c>
      <c r="I3233" s="132"/>
      <c r="J3233" s="132">
        <f t="shared" si="358"/>
        <v>0</v>
      </c>
      <c r="K3233" s="132">
        <f t="shared" si="361"/>
        <v>0</v>
      </c>
      <c r="L3233" s="132">
        <f t="shared" si="362"/>
        <v>0</v>
      </c>
      <c r="M3233" s="133"/>
      <c r="N3233" s="133">
        <f t="shared" si="359"/>
        <v>0</v>
      </c>
      <c r="O3233" s="134"/>
      <c r="P3233" s="133"/>
      <c r="Q3233" s="2"/>
      <c r="R3233" s="156">
        <f t="shared" si="363"/>
        <v>0</v>
      </c>
      <c r="S3233" s="156">
        <f t="shared" si="364"/>
        <v>0</v>
      </c>
      <c r="T3233" s="133"/>
      <c r="U3233" s="133"/>
      <c r="V3233" s="133"/>
      <c r="W3233" s="133"/>
      <c r="X3233" s="133"/>
      <c r="Y3233" s="133"/>
      <c r="Z3233" s="133"/>
      <c r="AA3233" s="133"/>
      <c r="AB3233" s="133"/>
      <c r="AC3233" s="133"/>
      <c r="AD3233" s="133"/>
      <c r="AE3233" s="133"/>
      <c r="AF3233" s="133"/>
      <c r="AG3233" s="133"/>
      <c r="AH3233" s="133"/>
      <c r="AI3233" s="133"/>
      <c r="AJ3233" s="133"/>
      <c r="AK3233" s="133"/>
      <c r="AL3233" s="133"/>
      <c r="AM3233" s="133"/>
      <c r="AN3233" s="133"/>
      <c r="AO3233" s="133"/>
      <c r="AP3233" s="133"/>
      <c r="AQ3233" s="133"/>
      <c r="AR3233" s="133"/>
      <c r="AS3233" s="153">
        <v>0</v>
      </c>
      <c r="AT3233" s="153">
        <v>0</v>
      </c>
      <c r="AU3233" s="153">
        <v>0</v>
      </c>
      <c r="AV3233" s="135"/>
      <c r="AW3233" s="135"/>
      <c r="AX3233" s="135"/>
      <c r="AY3233" s="135"/>
      <c r="AZ3233" s="135"/>
      <c r="BA3233" s="135"/>
      <c r="BB3233" s="135"/>
      <c r="BC3233" s="135"/>
      <c r="BD3233" s="135"/>
      <c r="BE3233" s="135"/>
      <c r="BF3233" s="135"/>
      <c r="BG3233" s="135"/>
      <c r="BH3233" s="135"/>
      <c r="BI3233" s="2"/>
      <c r="BJ3233" s="136"/>
      <c r="BK3233" s="2"/>
      <c r="BL3233" s="136"/>
      <c r="BM3233" s="136"/>
      <c r="BN3233" s="2"/>
      <c r="BO3233" s="2"/>
      <c r="BP3233" s="136"/>
      <c r="BQ3233" s="137"/>
    </row>
    <row r="3234" spans="1:69" ht="12.75" customHeight="1" x14ac:dyDescent="0.2">
      <c r="A3234" s="2">
        <v>4723</v>
      </c>
      <c r="B3234" s="2"/>
      <c r="C3234" s="2"/>
      <c r="D3234" s="2"/>
      <c r="E3234" s="2"/>
      <c r="F3234" s="132">
        <v>0</v>
      </c>
      <c r="G3234" s="132"/>
      <c r="H3234" s="132">
        <f t="shared" si="360"/>
        <v>0</v>
      </c>
      <c r="I3234" s="132"/>
      <c r="J3234" s="132">
        <f t="shared" si="358"/>
        <v>0</v>
      </c>
      <c r="K3234" s="132">
        <f t="shared" si="361"/>
        <v>0</v>
      </c>
      <c r="L3234" s="132">
        <f t="shared" si="362"/>
        <v>0</v>
      </c>
      <c r="M3234" s="133"/>
      <c r="N3234" s="133">
        <f t="shared" si="359"/>
        <v>0</v>
      </c>
      <c r="O3234" s="134"/>
      <c r="P3234" s="133"/>
      <c r="Q3234" s="2"/>
      <c r="R3234" s="156">
        <f t="shared" si="363"/>
        <v>0</v>
      </c>
      <c r="S3234" s="156">
        <f t="shared" si="364"/>
        <v>0</v>
      </c>
      <c r="T3234" s="133"/>
      <c r="U3234" s="133"/>
      <c r="V3234" s="133"/>
      <c r="W3234" s="133"/>
      <c r="X3234" s="133"/>
      <c r="Y3234" s="133"/>
      <c r="Z3234" s="133"/>
      <c r="AA3234" s="133"/>
      <c r="AB3234" s="133"/>
      <c r="AC3234" s="133"/>
      <c r="AD3234" s="133"/>
      <c r="AE3234" s="133"/>
      <c r="AF3234" s="133"/>
      <c r="AG3234" s="133"/>
      <c r="AH3234" s="133"/>
      <c r="AI3234" s="133"/>
      <c r="AJ3234" s="133"/>
      <c r="AK3234" s="133"/>
      <c r="AL3234" s="133"/>
      <c r="AM3234" s="133"/>
      <c r="AN3234" s="133"/>
      <c r="AO3234" s="133"/>
      <c r="AP3234" s="133"/>
      <c r="AQ3234" s="133"/>
      <c r="AR3234" s="133"/>
      <c r="AS3234" s="153">
        <v>0</v>
      </c>
      <c r="AT3234" s="153">
        <v>0</v>
      </c>
      <c r="AU3234" s="153">
        <v>0</v>
      </c>
      <c r="AV3234" s="135"/>
      <c r="AW3234" s="135"/>
      <c r="AX3234" s="135"/>
      <c r="AY3234" s="135"/>
      <c r="AZ3234" s="135"/>
      <c r="BA3234" s="135"/>
      <c r="BB3234" s="135"/>
      <c r="BC3234" s="135"/>
      <c r="BD3234" s="135"/>
      <c r="BE3234" s="135"/>
      <c r="BF3234" s="135"/>
      <c r="BG3234" s="135"/>
      <c r="BH3234" s="135"/>
      <c r="BI3234" s="2"/>
      <c r="BJ3234" s="136"/>
      <c r="BK3234" s="2"/>
      <c r="BL3234" s="136"/>
      <c r="BM3234" s="136"/>
      <c r="BN3234" s="2"/>
      <c r="BO3234" s="2"/>
      <c r="BP3234" s="136"/>
      <c r="BQ3234" s="137"/>
    </row>
    <row r="3235" spans="1:69" ht="12.75" customHeight="1" x14ac:dyDescent="0.2">
      <c r="A3235" s="2">
        <v>4724</v>
      </c>
      <c r="B3235" s="2"/>
      <c r="C3235" s="2"/>
      <c r="D3235" s="2"/>
      <c r="E3235" s="2"/>
      <c r="F3235" s="132">
        <v>0</v>
      </c>
      <c r="G3235" s="132"/>
      <c r="H3235" s="132">
        <f t="shared" si="360"/>
        <v>0</v>
      </c>
      <c r="I3235" s="132"/>
      <c r="J3235" s="132">
        <f t="shared" si="358"/>
        <v>0</v>
      </c>
      <c r="K3235" s="132">
        <f t="shared" si="361"/>
        <v>0</v>
      </c>
      <c r="L3235" s="132">
        <f t="shared" si="362"/>
        <v>0</v>
      </c>
      <c r="M3235" s="133"/>
      <c r="N3235" s="133">
        <f t="shared" si="359"/>
        <v>0</v>
      </c>
      <c r="O3235" s="134"/>
      <c r="P3235" s="133"/>
      <c r="Q3235" s="2"/>
      <c r="R3235" s="156">
        <f t="shared" si="363"/>
        <v>0</v>
      </c>
      <c r="S3235" s="156">
        <f t="shared" si="364"/>
        <v>0</v>
      </c>
      <c r="T3235" s="133"/>
      <c r="U3235" s="133"/>
      <c r="V3235" s="133"/>
      <c r="W3235" s="133"/>
      <c r="X3235" s="133"/>
      <c r="Y3235" s="133"/>
      <c r="Z3235" s="133"/>
      <c r="AA3235" s="133"/>
      <c r="AB3235" s="133"/>
      <c r="AC3235" s="133"/>
      <c r="AD3235" s="133"/>
      <c r="AE3235" s="133"/>
      <c r="AF3235" s="133"/>
      <c r="AG3235" s="133"/>
      <c r="AH3235" s="133"/>
      <c r="AI3235" s="133"/>
      <c r="AJ3235" s="133"/>
      <c r="AK3235" s="133"/>
      <c r="AL3235" s="133"/>
      <c r="AM3235" s="133"/>
      <c r="AN3235" s="133"/>
      <c r="AO3235" s="133"/>
      <c r="AP3235" s="133"/>
      <c r="AQ3235" s="133"/>
      <c r="AR3235" s="133"/>
      <c r="AS3235" s="153">
        <v>0</v>
      </c>
      <c r="AT3235" s="153">
        <v>0</v>
      </c>
      <c r="AU3235" s="153">
        <v>0</v>
      </c>
      <c r="AV3235" s="135"/>
      <c r="AW3235" s="135"/>
      <c r="AX3235" s="135"/>
      <c r="AY3235" s="135"/>
      <c r="AZ3235" s="135"/>
      <c r="BA3235" s="135"/>
      <c r="BB3235" s="135"/>
      <c r="BC3235" s="135"/>
      <c r="BD3235" s="135"/>
      <c r="BE3235" s="135"/>
      <c r="BF3235" s="135"/>
      <c r="BG3235" s="135"/>
      <c r="BH3235" s="135"/>
      <c r="BI3235" s="2"/>
      <c r="BJ3235" s="136"/>
      <c r="BK3235" s="2"/>
      <c r="BL3235" s="136"/>
      <c r="BM3235" s="136"/>
      <c r="BN3235" s="2"/>
      <c r="BO3235" s="2"/>
      <c r="BP3235" s="136"/>
      <c r="BQ3235" s="137"/>
    </row>
    <row r="3236" spans="1:69" ht="12.75" customHeight="1" x14ac:dyDescent="0.2">
      <c r="A3236" s="2">
        <v>4725</v>
      </c>
      <c r="B3236" s="2"/>
      <c r="C3236" s="2"/>
      <c r="D3236" s="2"/>
      <c r="E3236" s="2"/>
      <c r="F3236" s="132">
        <v>0</v>
      </c>
      <c r="G3236" s="132"/>
      <c r="H3236" s="132">
        <f t="shared" si="360"/>
        <v>0</v>
      </c>
      <c r="I3236" s="132"/>
      <c r="J3236" s="132">
        <f t="shared" ref="J3236:J3299" si="365">S3236</f>
        <v>0</v>
      </c>
      <c r="K3236" s="132">
        <f t="shared" si="361"/>
        <v>0</v>
      </c>
      <c r="L3236" s="132">
        <f t="shared" si="362"/>
        <v>0</v>
      </c>
      <c r="M3236" s="133"/>
      <c r="N3236" s="133">
        <f t="shared" si="359"/>
        <v>0</v>
      </c>
      <c r="O3236" s="134"/>
      <c r="P3236" s="133"/>
      <c r="Q3236" s="2"/>
      <c r="R3236" s="156">
        <f t="shared" si="363"/>
        <v>0</v>
      </c>
      <c r="S3236" s="156">
        <f t="shared" si="364"/>
        <v>0</v>
      </c>
      <c r="T3236" s="133"/>
      <c r="U3236" s="133"/>
      <c r="V3236" s="133"/>
      <c r="W3236" s="133"/>
      <c r="X3236" s="133"/>
      <c r="Y3236" s="133"/>
      <c r="Z3236" s="133"/>
      <c r="AA3236" s="133"/>
      <c r="AB3236" s="133"/>
      <c r="AC3236" s="133"/>
      <c r="AD3236" s="133"/>
      <c r="AE3236" s="133"/>
      <c r="AF3236" s="133"/>
      <c r="AG3236" s="133"/>
      <c r="AH3236" s="133"/>
      <c r="AI3236" s="133"/>
      <c r="AJ3236" s="133"/>
      <c r="AK3236" s="133"/>
      <c r="AL3236" s="133"/>
      <c r="AM3236" s="133"/>
      <c r="AN3236" s="133"/>
      <c r="AO3236" s="133"/>
      <c r="AP3236" s="133"/>
      <c r="AQ3236" s="133"/>
      <c r="AR3236" s="133"/>
      <c r="AS3236" s="153">
        <v>0</v>
      </c>
      <c r="AT3236" s="153">
        <v>0</v>
      </c>
      <c r="AU3236" s="153">
        <v>0</v>
      </c>
      <c r="AV3236" s="135"/>
      <c r="AW3236" s="135"/>
      <c r="AX3236" s="135"/>
      <c r="AY3236" s="135"/>
      <c r="AZ3236" s="135"/>
      <c r="BA3236" s="135"/>
      <c r="BB3236" s="135"/>
      <c r="BC3236" s="135"/>
      <c r="BD3236" s="135"/>
      <c r="BE3236" s="135"/>
      <c r="BF3236" s="135"/>
      <c r="BG3236" s="135"/>
      <c r="BH3236" s="135"/>
      <c r="BI3236" s="2"/>
      <c r="BJ3236" s="136"/>
      <c r="BK3236" s="2"/>
      <c r="BL3236" s="136"/>
      <c r="BM3236" s="136"/>
      <c r="BN3236" s="2"/>
      <c r="BO3236" s="2"/>
      <c r="BP3236" s="136"/>
      <c r="BQ3236" s="137"/>
    </row>
    <row r="3237" spans="1:69" ht="12.75" customHeight="1" x14ac:dyDescent="0.2">
      <c r="A3237" s="2">
        <v>4726</v>
      </c>
      <c r="B3237" s="2"/>
      <c r="C3237" s="2"/>
      <c r="D3237" s="2"/>
      <c r="E3237" s="2"/>
      <c r="F3237" s="132">
        <v>0</v>
      </c>
      <c r="G3237" s="132"/>
      <c r="H3237" s="132">
        <f t="shared" si="360"/>
        <v>0</v>
      </c>
      <c r="I3237" s="132"/>
      <c r="J3237" s="132">
        <f t="shared" si="365"/>
        <v>0</v>
      </c>
      <c r="K3237" s="132">
        <f t="shared" si="361"/>
        <v>0</v>
      </c>
      <c r="L3237" s="132">
        <f t="shared" si="362"/>
        <v>0</v>
      </c>
      <c r="M3237" s="133"/>
      <c r="N3237" s="133">
        <f t="shared" si="359"/>
        <v>0</v>
      </c>
      <c r="O3237" s="134"/>
      <c r="P3237" s="133"/>
      <c r="Q3237" s="2"/>
      <c r="R3237" s="156">
        <f t="shared" si="363"/>
        <v>0</v>
      </c>
      <c r="S3237" s="156">
        <f t="shared" si="364"/>
        <v>0</v>
      </c>
      <c r="T3237" s="133"/>
      <c r="U3237" s="133"/>
      <c r="V3237" s="133"/>
      <c r="W3237" s="133"/>
      <c r="X3237" s="133"/>
      <c r="Y3237" s="133"/>
      <c r="Z3237" s="133"/>
      <c r="AA3237" s="133"/>
      <c r="AB3237" s="133"/>
      <c r="AC3237" s="133"/>
      <c r="AD3237" s="133"/>
      <c r="AE3237" s="133"/>
      <c r="AF3237" s="133"/>
      <c r="AG3237" s="133"/>
      <c r="AH3237" s="133"/>
      <c r="AI3237" s="133"/>
      <c r="AJ3237" s="133"/>
      <c r="AK3237" s="133"/>
      <c r="AL3237" s="133"/>
      <c r="AM3237" s="133"/>
      <c r="AN3237" s="133"/>
      <c r="AO3237" s="133"/>
      <c r="AP3237" s="133"/>
      <c r="AQ3237" s="133"/>
      <c r="AR3237" s="133"/>
      <c r="AS3237" s="153">
        <v>0</v>
      </c>
      <c r="AT3237" s="153">
        <v>0</v>
      </c>
      <c r="AU3237" s="153">
        <v>0</v>
      </c>
      <c r="AV3237" s="135"/>
      <c r="AW3237" s="135"/>
      <c r="AX3237" s="135"/>
      <c r="AY3237" s="135"/>
      <c r="AZ3237" s="135"/>
      <c r="BA3237" s="135"/>
      <c r="BB3237" s="135"/>
      <c r="BC3237" s="135"/>
      <c r="BD3237" s="135"/>
      <c r="BE3237" s="135"/>
      <c r="BF3237" s="135"/>
      <c r="BG3237" s="135"/>
      <c r="BH3237" s="135"/>
      <c r="BI3237" s="2"/>
      <c r="BJ3237" s="136"/>
      <c r="BK3237" s="2"/>
      <c r="BL3237" s="136"/>
      <c r="BM3237" s="136"/>
      <c r="BN3237" s="2"/>
      <c r="BO3237" s="2"/>
      <c r="BP3237" s="136"/>
      <c r="BQ3237" s="137"/>
    </row>
    <row r="3238" spans="1:69" ht="12.75" customHeight="1" x14ac:dyDescent="0.2">
      <c r="A3238" s="2">
        <v>4727</v>
      </c>
      <c r="B3238" s="2"/>
      <c r="C3238" s="2"/>
      <c r="D3238" s="2"/>
      <c r="E3238" s="2"/>
      <c r="F3238" s="132">
        <v>0</v>
      </c>
      <c r="G3238" s="132"/>
      <c r="H3238" s="132">
        <f t="shared" si="360"/>
        <v>0</v>
      </c>
      <c r="I3238" s="132"/>
      <c r="J3238" s="132">
        <f t="shared" si="365"/>
        <v>0</v>
      </c>
      <c r="K3238" s="132">
        <f t="shared" si="361"/>
        <v>0</v>
      </c>
      <c r="L3238" s="132">
        <f t="shared" si="362"/>
        <v>0</v>
      </c>
      <c r="M3238" s="133"/>
      <c r="N3238" s="133">
        <f t="shared" si="359"/>
        <v>0</v>
      </c>
      <c r="O3238" s="134"/>
      <c r="P3238" s="133"/>
      <c r="Q3238" s="2"/>
      <c r="R3238" s="156">
        <f t="shared" si="363"/>
        <v>0</v>
      </c>
      <c r="S3238" s="156">
        <f t="shared" si="364"/>
        <v>0</v>
      </c>
      <c r="T3238" s="133"/>
      <c r="U3238" s="133"/>
      <c r="V3238" s="133"/>
      <c r="W3238" s="133"/>
      <c r="X3238" s="133"/>
      <c r="Y3238" s="133"/>
      <c r="Z3238" s="133"/>
      <c r="AA3238" s="133"/>
      <c r="AB3238" s="133"/>
      <c r="AC3238" s="133"/>
      <c r="AD3238" s="133"/>
      <c r="AE3238" s="133"/>
      <c r="AF3238" s="133"/>
      <c r="AG3238" s="133"/>
      <c r="AH3238" s="133"/>
      <c r="AI3238" s="133"/>
      <c r="AJ3238" s="133"/>
      <c r="AK3238" s="133"/>
      <c r="AL3238" s="133"/>
      <c r="AM3238" s="133"/>
      <c r="AN3238" s="133"/>
      <c r="AO3238" s="133"/>
      <c r="AP3238" s="133"/>
      <c r="AQ3238" s="133"/>
      <c r="AR3238" s="133"/>
      <c r="AS3238" s="153">
        <v>0</v>
      </c>
      <c r="AT3238" s="153">
        <v>0</v>
      </c>
      <c r="AU3238" s="153">
        <v>0</v>
      </c>
      <c r="AV3238" s="135"/>
      <c r="AW3238" s="135"/>
      <c r="AX3238" s="135"/>
      <c r="AY3238" s="135"/>
      <c r="AZ3238" s="135"/>
      <c r="BA3238" s="135"/>
      <c r="BB3238" s="135"/>
      <c r="BC3238" s="135"/>
      <c r="BD3238" s="135"/>
      <c r="BE3238" s="135"/>
      <c r="BF3238" s="135"/>
      <c r="BG3238" s="135"/>
      <c r="BH3238" s="135"/>
      <c r="BI3238" s="2"/>
      <c r="BJ3238" s="136"/>
      <c r="BK3238" s="2"/>
      <c r="BL3238" s="136"/>
      <c r="BM3238" s="136"/>
      <c r="BN3238" s="2"/>
      <c r="BO3238" s="2"/>
      <c r="BP3238" s="136"/>
      <c r="BQ3238" s="137"/>
    </row>
    <row r="3239" spans="1:69" ht="12.75" customHeight="1" x14ac:dyDescent="0.2">
      <c r="A3239" s="2">
        <v>4728</v>
      </c>
      <c r="B3239" s="2"/>
      <c r="C3239" s="2"/>
      <c r="D3239" s="2"/>
      <c r="E3239" s="2"/>
      <c r="F3239" s="132">
        <v>0</v>
      </c>
      <c r="G3239" s="132"/>
      <c r="H3239" s="132">
        <f t="shared" si="360"/>
        <v>0</v>
      </c>
      <c r="I3239" s="132"/>
      <c r="J3239" s="132">
        <f t="shared" si="365"/>
        <v>0</v>
      </c>
      <c r="K3239" s="132">
        <f t="shared" si="361"/>
        <v>0</v>
      </c>
      <c r="L3239" s="132">
        <f t="shared" si="362"/>
        <v>0</v>
      </c>
      <c r="M3239" s="133"/>
      <c r="N3239" s="133">
        <f t="shared" si="359"/>
        <v>0</v>
      </c>
      <c r="O3239" s="134"/>
      <c r="P3239" s="133"/>
      <c r="Q3239" s="2"/>
      <c r="R3239" s="156">
        <f t="shared" si="363"/>
        <v>0</v>
      </c>
      <c r="S3239" s="156">
        <f t="shared" si="364"/>
        <v>0</v>
      </c>
      <c r="T3239" s="133"/>
      <c r="U3239" s="133"/>
      <c r="V3239" s="133"/>
      <c r="W3239" s="133"/>
      <c r="X3239" s="133"/>
      <c r="Y3239" s="133"/>
      <c r="Z3239" s="133"/>
      <c r="AA3239" s="133"/>
      <c r="AB3239" s="133"/>
      <c r="AC3239" s="133"/>
      <c r="AD3239" s="133"/>
      <c r="AE3239" s="133"/>
      <c r="AF3239" s="133"/>
      <c r="AG3239" s="133"/>
      <c r="AH3239" s="133"/>
      <c r="AI3239" s="133"/>
      <c r="AJ3239" s="133"/>
      <c r="AK3239" s="133"/>
      <c r="AL3239" s="133"/>
      <c r="AM3239" s="133"/>
      <c r="AN3239" s="133"/>
      <c r="AO3239" s="133"/>
      <c r="AP3239" s="133"/>
      <c r="AQ3239" s="133"/>
      <c r="AR3239" s="133"/>
      <c r="AS3239" s="153">
        <v>0</v>
      </c>
      <c r="AT3239" s="153">
        <v>0</v>
      </c>
      <c r="AU3239" s="153">
        <v>0</v>
      </c>
      <c r="AV3239" s="135"/>
      <c r="AW3239" s="135"/>
      <c r="AX3239" s="135"/>
      <c r="AY3239" s="135"/>
      <c r="AZ3239" s="135"/>
      <c r="BA3239" s="135"/>
      <c r="BB3239" s="135"/>
      <c r="BC3239" s="135"/>
      <c r="BD3239" s="135"/>
      <c r="BE3239" s="135"/>
      <c r="BF3239" s="135"/>
      <c r="BG3239" s="135"/>
      <c r="BH3239" s="135"/>
      <c r="BI3239" s="2"/>
      <c r="BJ3239" s="136"/>
      <c r="BK3239" s="2"/>
      <c r="BL3239" s="136"/>
      <c r="BM3239" s="136"/>
      <c r="BN3239" s="2"/>
      <c r="BO3239" s="2"/>
      <c r="BP3239" s="136"/>
      <c r="BQ3239" s="137"/>
    </row>
    <row r="3240" spans="1:69" ht="12.75" customHeight="1" x14ac:dyDescent="0.2">
      <c r="A3240" s="2">
        <v>4729</v>
      </c>
      <c r="B3240" s="2"/>
      <c r="C3240" s="2"/>
      <c r="D3240" s="2"/>
      <c r="E3240" s="2"/>
      <c r="F3240" s="132">
        <v>0</v>
      </c>
      <c r="G3240" s="132"/>
      <c r="H3240" s="132">
        <f t="shared" si="360"/>
        <v>0</v>
      </c>
      <c r="I3240" s="132"/>
      <c r="J3240" s="132">
        <f t="shared" si="365"/>
        <v>0</v>
      </c>
      <c r="K3240" s="132">
        <f t="shared" si="361"/>
        <v>0</v>
      </c>
      <c r="L3240" s="132">
        <f t="shared" si="362"/>
        <v>0</v>
      </c>
      <c r="M3240" s="133"/>
      <c r="N3240" s="133">
        <f t="shared" si="359"/>
        <v>0</v>
      </c>
      <c r="O3240" s="134"/>
      <c r="P3240" s="133"/>
      <c r="Q3240" s="2"/>
      <c r="R3240" s="156">
        <f t="shared" si="363"/>
        <v>0</v>
      </c>
      <c r="S3240" s="156">
        <f t="shared" si="364"/>
        <v>0</v>
      </c>
      <c r="T3240" s="133"/>
      <c r="U3240" s="133"/>
      <c r="V3240" s="133"/>
      <c r="W3240" s="133"/>
      <c r="X3240" s="133"/>
      <c r="Y3240" s="133"/>
      <c r="Z3240" s="133"/>
      <c r="AA3240" s="133"/>
      <c r="AB3240" s="133"/>
      <c r="AC3240" s="133"/>
      <c r="AD3240" s="133"/>
      <c r="AE3240" s="133"/>
      <c r="AF3240" s="133"/>
      <c r="AG3240" s="133"/>
      <c r="AH3240" s="133"/>
      <c r="AI3240" s="133"/>
      <c r="AJ3240" s="133"/>
      <c r="AK3240" s="133"/>
      <c r="AL3240" s="133"/>
      <c r="AM3240" s="133"/>
      <c r="AN3240" s="133"/>
      <c r="AO3240" s="133"/>
      <c r="AP3240" s="133"/>
      <c r="AQ3240" s="133"/>
      <c r="AR3240" s="133"/>
      <c r="AS3240" s="153">
        <v>0</v>
      </c>
      <c r="AT3240" s="153">
        <v>0</v>
      </c>
      <c r="AU3240" s="153">
        <v>0</v>
      </c>
      <c r="AV3240" s="135"/>
      <c r="AW3240" s="135"/>
      <c r="AX3240" s="135"/>
      <c r="AY3240" s="135"/>
      <c r="AZ3240" s="135"/>
      <c r="BA3240" s="135"/>
      <c r="BB3240" s="135"/>
      <c r="BC3240" s="135"/>
      <c r="BD3240" s="135"/>
      <c r="BE3240" s="135"/>
      <c r="BF3240" s="135"/>
      <c r="BG3240" s="135"/>
      <c r="BH3240" s="135"/>
      <c r="BI3240" s="2"/>
      <c r="BJ3240" s="136"/>
      <c r="BK3240" s="2"/>
      <c r="BL3240" s="136"/>
      <c r="BM3240" s="136"/>
      <c r="BN3240" s="2"/>
      <c r="BO3240" s="2"/>
      <c r="BP3240" s="136"/>
      <c r="BQ3240" s="137"/>
    </row>
    <row r="3241" spans="1:69" ht="12.75" customHeight="1" x14ac:dyDescent="0.2">
      <c r="A3241" s="2">
        <v>4730</v>
      </c>
      <c r="B3241" s="2"/>
      <c r="C3241" s="2"/>
      <c r="D3241" s="2"/>
      <c r="E3241" s="2"/>
      <c r="F3241" s="132">
        <v>0</v>
      </c>
      <c r="G3241" s="132"/>
      <c r="H3241" s="132">
        <f t="shared" si="360"/>
        <v>0</v>
      </c>
      <c r="I3241" s="132"/>
      <c r="J3241" s="132">
        <f t="shared" si="365"/>
        <v>0</v>
      </c>
      <c r="K3241" s="132">
        <f t="shared" si="361"/>
        <v>0</v>
      </c>
      <c r="L3241" s="132">
        <f t="shared" si="362"/>
        <v>0</v>
      </c>
      <c r="M3241" s="133"/>
      <c r="N3241" s="133">
        <f t="shared" si="359"/>
        <v>0</v>
      </c>
      <c r="O3241" s="134"/>
      <c r="P3241" s="133"/>
      <c r="Q3241" s="2"/>
      <c r="R3241" s="156">
        <f t="shared" si="363"/>
        <v>0</v>
      </c>
      <c r="S3241" s="156">
        <f t="shared" si="364"/>
        <v>0</v>
      </c>
      <c r="T3241" s="133"/>
      <c r="U3241" s="133"/>
      <c r="V3241" s="133"/>
      <c r="W3241" s="133"/>
      <c r="X3241" s="133"/>
      <c r="Y3241" s="133"/>
      <c r="Z3241" s="133"/>
      <c r="AA3241" s="133"/>
      <c r="AB3241" s="133"/>
      <c r="AC3241" s="133"/>
      <c r="AD3241" s="133"/>
      <c r="AE3241" s="133"/>
      <c r="AF3241" s="133"/>
      <c r="AG3241" s="133"/>
      <c r="AH3241" s="133"/>
      <c r="AI3241" s="133"/>
      <c r="AJ3241" s="133"/>
      <c r="AK3241" s="133"/>
      <c r="AL3241" s="133"/>
      <c r="AM3241" s="133"/>
      <c r="AN3241" s="133"/>
      <c r="AO3241" s="133"/>
      <c r="AP3241" s="133"/>
      <c r="AQ3241" s="133"/>
      <c r="AR3241" s="133"/>
      <c r="AS3241" s="153">
        <v>0</v>
      </c>
      <c r="AT3241" s="153">
        <v>0</v>
      </c>
      <c r="AU3241" s="153">
        <v>0</v>
      </c>
      <c r="AV3241" s="135"/>
      <c r="AW3241" s="135"/>
      <c r="AX3241" s="135"/>
      <c r="AY3241" s="135"/>
      <c r="AZ3241" s="135"/>
      <c r="BA3241" s="135"/>
      <c r="BB3241" s="135"/>
      <c r="BC3241" s="135"/>
      <c r="BD3241" s="135"/>
      <c r="BE3241" s="135"/>
      <c r="BF3241" s="135"/>
      <c r="BG3241" s="135"/>
      <c r="BH3241" s="135"/>
      <c r="BI3241" s="2"/>
      <c r="BJ3241" s="136"/>
      <c r="BK3241" s="2"/>
      <c r="BL3241" s="136"/>
      <c r="BM3241" s="136"/>
      <c r="BN3241" s="2"/>
      <c r="BO3241" s="2"/>
      <c r="BP3241" s="136"/>
      <c r="BQ3241" s="137"/>
    </row>
    <row r="3242" spans="1:69" ht="12.75" customHeight="1" x14ac:dyDescent="0.2">
      <c r="A3242" s="2">
        <v>4731</v>
      </c>
      <c r="B3242" s="2"/>
      <c r="C3242" s="2"/>
      <c r="D3242" s="2"/>
      <c r="E3242" s="2"/>
      <c r="F3242" s="132">
        <v>0</v>
      </c>
      <c r="G3242" s="132"/>
      <c r="H3242" s="132">
        <f t="shared" si="360"/>
        <v>0</v>
      </c>
      <c r="I3242" s="132"/>
      <c r="J3242" s="132">
        <f t="shared" si="365"/>
        <v>0</v>
      </c>
      <c r="K3242" s="132">
        <f t="shared" si="361"/>
        <v>0</v>
      </c>
      <c r="L3242" s="132">
        <f t="shared" si="362"/>
        <v>0</v>
      </c>
      <c r="M3242" s="133"/>
      <c r="N3242" s="133">
        <f t="shared" ref="N3242:N3305" si="366">IF(OR(BK3242="принят",BK3242="Завершено",BK3242="ПриПро"),H3242-J3242,F3242-J3242)</f>
        <v>0</v>
      </c>
      <c r="O3242" s="134"/>
      <c r="P3242" s="133"/>
      <c r="Q3242" s="2"/>
      <c r="R3242" s="156">
        <f t="shared" si="363"/>
        <v>0</v>
      </c>
      <c r="S3242" s="156">
        <f t="shared" si="364"/>
        <v>0</v>
      </c>
      <c r="T3242" s="133"/>
      <c r="U3242" s="133"/>
      <c r="V3242" s="133"/>
      <c r="W3242" s="133"/>
      <c r="X3242" s="133"/>
      <c r="Y3242" s="133"/>
      <c r="Z3242" s="133"/>
      <c r="AA3242" s="133"/>
      <c r="AB3242" s="133"/>
      <c r="AC3242" s="133"/>
      <c r="AD3242" s="133"/>
      <c r="AE3242" s="133"/>
      <c r="AF3242" s="133"/>
      <c r="AG3242" s="133"/>
      <c r="AH3242" s="133"/>
      <c r="AI3242" s="133"/>
      <c r="AJ3242" s="133"/>
      <c r="AK3242" s="133"/>
      <c r="AL3242" s="133"/>
      <c r="AM3242" s="133"/>
      <c r="AN3242" s="133"/>
      <c r="AO3242" s="133"/>
      <c r="AP3242" s="133"/>
      <c r="AQ3242" s="133"/>
      <c r="AR3242" s="133"/>
      <c r="AS3242" s="153">
        <v>0</v>
      </c>
      <c r="AT3242" s="153">
        <v>0</v>
      </c>
      <c r="AU3242" s="153">
        <v>0</v>
      </c>
      <c r="AV3242" s="135"/>
      <c r="AW3242" s="135"/>
      <c r="AX3242" s="135"/>
      <c r="AY3242" s="135"/>
      <c r="AZ3242" s="135"/>
      <c r="BA3242" s="135"/>
      <c r="BB3242" s="135"/>
      <c r="BC3242" s="135"/>
      <c r="BD3242" s="135"/>
      <c r="BE3242" s="135"/>
      <c r="BF3242" s="135"/>
      <c r="BG3242" s="135"/>
      <c r="BH3242" s="135"/>
      <c r="BI3242" s="2"/>
      <c r="BJ3242" s="136"/>
      <c r="BK3242" s="2"/>
      <c r="BL3242" s="136"/>
      <c r="BM3242" s="136"/>
      <c r="BN3242" s="2"/>
      <c r="BO3242" s="2"/>
      <c r="BP3242" s="136"/>
      <c r="BQ3242" s="137"/>
    </row>
    <row r="3243" spans="1:69" ht="12.75" customHeight="1" x14ac:dyDescent="0.2">
      <c r="A3243" s="2">
        <v>4732</v>
      </c>
      <c r="B3243" s="2"/>
      <c r="C3243" s="2"/>
      <c r="D3243" s="2"/>
      <c r="E3243" s="2"/>
      <c r="F3243" s="132">
        <v>0</v>
      </c>
      <c r="G3243" s="132"/>
      <c r="H3243" s="132">
        <f t="shared" si="360"/>
        <v>0</v>
      </c>
      <c r="I3243" s="132"/>
      <c r="J3243" s="132">
        <f t="shared" si="365"/>
        <v>0</v>
      </c>
      <c r="K3243" s="132">
        <f t="shared" si="361"/>
        <v>0</v>
      </c>
      <c r="L3243" s="132">
        <f t="shared" si="362"/>
        <v>0</v>
      </c>
      <c r="M3243" s="133"/>
      <c r="N3243" s="133">
        <f t="shared" si="366"/>
        <v>0</v>
      </c>
      <c r="O3243" s="134"/>
      <c r="P3243" s="133"/>
      <c r="Q3243" s="2"/>
      <c r="R3243" s="156">
        <f t="shared" si="363"/>
        <v>0</v>
      </c>
      <c r="S3243" s="156">
        <f t="shared" si="364"/>
        <v>0</v>
      </c>
      <c r="T3243" s="133"/>
      <c r="U3243" s="133"/>
      <c r="V3243" s="133"/>
      <c r="W3243" s="133"/>
      <c r="X3243" s="133"/>
      <c r="Y3243" s="133"/>
      <c r="Z3243" s="133"/>
      <c r="AA3243" s="133"/>
      <c r="AB3243" s="133"/>
      <c r="AC3243" s="133"/>
      <c r="AD3243" s="133"/>
      <c r="AE3243" s="133"/>
      <c r="AF3243" s="133"/>
      <c r="AG3243" s="133"/>
      <c r="AH3243" s="133"/>
      <c r="AI3243" s="133"/>
      <c r="AJ3243" s="133"/>
      <c r="AK3243" s="133"/>
      <c r="AL3243" s="133"/>
      <c r="AM3243" s="133"/>
      <c r="AN3243" s="133"/>
      <c r="AO3243" s="133"/>
      <c r="AP3243" s="133"/>
      <c r="AQ3243" s="133"/>
      <c r="AR3243" s="133"/>
      <c r="AS3243" s="153">
        <v>0</v>
      </c>
      <c r="AT3243" s="153">
        <v>0</v>
      </c>
      <c r="AU3243" s="153">
        <v>0</v>
      </c>
      <c r="AV3243" s="135"/>
      <c r="AW3243" s="135"/>
      <c r="AX3243" s="135"/>
      <c r="AY3243" s="135"/>
      <c r="AZ3243" s="135"/>
      <c r="BA3243" s="135"/>
      <c r="BB3243" s="135"/>
      <c r="BC3243" s="135"/>
      <c r="BD3243" s="135"/>
      <c r="BE3243" s="135"/>
      <c r="BF3243" s="135"/>
      <c r="BG3243" s="135"/>
      <c r="BH3243" s="135"/>
      <c r="BI3243" s="2"/>
      <c r="BJ3243" s="136"/>
      <c r="BK3243" s="2"/>
      <c r="BL3243" s="136"/>
      <c r="BM3243" s="136"/>
      <c r="BN3243" s="2"/>
      <c r="BO3243" s="2"/>
      <c r="BP3243" s="136"/>
      <c r="BQ3243" s="137"/>
    </row>
    <row r="3244" spans="1:69" ht="12.75" customHeight="1" x14ac:dyDescent="0.2">
      <c r="A3244" s="2">
        <v>4733</v>
      </c>
      <c r="B3244" s="2"/>
      <c r="C3244" s="2"/>
      <c r="D3244" s="2"/>
      <c r="E3244" s="2"/>
      <c r="F3244" s="132">
        <v>0</v>
      </c>
      <c r="G3244" s="132"/>
      <c r="H3244" s="132">
        <f t="shared" si="360"/>
        <v>0</v>
      </c>
      <c r="I3244" s="132"/>
      <c r="J3244" s="132">
        <f t="shared" si="365"/>
        <v>0</v>
      </c>
      <c r="K3244" s="132">
        <f t="shared" si="361"/>
        <v>0</v>
      </c>
      <c r="L3244" s="132">
        <f t="shared" si="362"/>
        <v>0</v>
      </c>
      <c r="M3244" s="133"/>
      <c r="N3244" s="133">
        <f t="shared" si="366"/>
        <v>0</v>
      </c>
      <c r="O3244" s="134"/>
      <c r="P3244" s="133"/>
      <c r="Q3244" s="2"/>
      <c r="R3244" s="156">
        <f t="shared" si="363"/>
        <v>0</v>
      </c>
      <c r="S3244" s="156">
        <f t="shared" si="364"/>
        <v>0</v>
      </c>
      <c r="T3244" s="133"/>
      <c r="U3244" s="133"/>
      <c r="V3244" s="133"/>
      <c r="W3244" s="133"/>
      <c r="X3244" s="133"/>
      <c r="Y3244" s="133"/>
      <c r="Z3244" s="133"/>
      <c r="AA3244" s="133"/>
      <c r="AB3244" s="133"/>
      <c r="AC3244" s="133"/>
      <c r="AD3244" s="133"/>
      <c r="AE3244" s="133"/>
      <c r="AF3244" s="133"/>
      <c r="AG3244" s="133"/>
      <c r="AH3244" s="133"/>
      <c r="AI3244" s="133"/>
      <c r="AJ3244" s="133"/>
      <c r="AK3244" s="133"/>
      <c r="AL3244" s="133"/>
      <c r="AM3244" s="133"/>
      <c r="AN3244" s="133"/>
      <c r="AO3244" s="133"/>
      <c r="AP3244" s="133"/>
      <c r="AQ3244" s="133"/>
      <c r="AR3244" s="133"/>
      <c r="AS3244" s="153">
        <v>0</v>
      </c>
      <c r="AT3244" s="153">
        <v>0</v>
      </c>
      <c r="AU3244" s="153">
        <v>0</v>
      </c>
      <c r="AV3244" s="135"/>
      <c r="AW3244" s="135"/>
      <c r="AX3244" s="135"/>
      <c r="AY3244" s="135"/>
      <c r="AZ3244" s="135"/>
      <c r="BA3244" s="135"/>
      <c r="BB3244" s="135"/>
      <c r="BC3244" s="135"/>
      <c r="BD3244" s="135"/>
      <c r="BE3244" s="135"/>
      <c r="BF3244" s="135"/>
      <c r="BG3244" s="135"/>
      <c r="BH3244" s="135"/>
      <c r="BI3244" s="2"/>
      <c r="BJ3244" s="136"/>
      <c r="BK3244" s="2"/>
      <c r="BL3244" s="136"/>
      <c r="BM3244" s="136"/>
      <c r="BN3244" s="2"/>
      <c r="BO3244" s="2"/>
      <c r="BP3244" s="136"/>
      <c r="BQ3244" s="137"/>
    </row>
    <row r="3245" spans="1:69" ht="12.75" customHeight="1" x14ac:dyDescent="0.2">
      <c r="A3245" s="2">
        <v>4734</v>
      </c>
      <c r="B3245" s="2"/>
      <c r="C3245" s="2"/>
      <c r="D3245" s="2"/>
      <c r="E3245" s="2"/>
      <c r="F3245" s="132">
        <v>0</v>
      </c>
      <c r="G3245" s="132"/>
      <c r="H3245" s="132">
        <f t="shared" si="360"/>
        <v>0</v>
      </c>
      <c r="I3245" s="132"/>
      <c r="J3245" s="132">
        <f t="shared" si="365"/>
        <v>0</v>
      </c>
      <c r="K3245" s="132">
        <f t="shared" si="361"/>
        <v>0</v>
      </c>
      <c r="L3245" s="132">
        <f t="shared" si="362"/>
        <v>0</v>
      </c>
      <c r="M3245" s="133"/>
      <c r="N3245" s="133">
        <f t="shared" si="366"/>
        <v>0</v>
      </c>
      <c r="O3245" s="134"/>
      <c r="P3245" s="133"/>
      <c r="Q3245" s="2"/>
      <c r="R3245" s="156">
        <f t="shared" si="363"/>
        <v>0</v>
      </c>
      <c r="S3245" s="156">
        <f t="shared" si="364"/>
        <v>0</v>
      </c>
      <c r="T3245" s="133"/>
      <c r="U3245" s="133"/>
      <c r="V3245" s="133"/>
      <c r="W3245" s="133"/>
      <c r="X3245" s="133"/>
      <c r="Y3245" s="133"/>
      <c r="Z3245" s="133"/>
      <c r="AA3245" s="133"/>
      <c r="AB3245" s="133"/>
      <c r="AC3245" s="133"/>
      <c r="AD3245" s="133"/>
      <c r="AE3245" s="133"/>
      <c r="AF3245" s="133"/>
      <c r="AG3245" s="133"/>
      <c r="AH3245" s="133"/>
      <c r="AI3245" s="133"/>
      <c r="AJ3245" s="133"/>
      <c r="AK3245" s="133"/>
      <c r="AL3245" s="133"/>
      <c r="AM3245" s="133"/>
      <c r="AN3245" s="133"/>
      <c r="AO3245" s="133"/>
      <c r="AP3245" s="133"/>
      <c r="AQ3245" s="133"/>
      <c r="AR3245" s="133"/>
      <c r="AS3245" s="153">
        <v>0</v>
      </c>
      <c r="AT3245" s="153">
        <v>0</v>
      </c>
      <c r="AU3245" s="153">
        <v>0</v>
      </c>
      <c r="AV3245" s="135"/>
      <c r="AW3245" s="135"/>
      <c r="AX3245" s="135"/>
      <c r="AY3245" s="135"/>
      <c r="AZ3245" s="135"/>
      <c r="BA3245" s="135"/>
      <c r="BB3245" s="135"/>
      <c r="BC3245" s="135"/>
      <c r="BD3245" s="135"/>
      <c r="BE3245" s="135"/>
      <c r="BF3245" s="135"/>
      <c r="BG3245" s="135"/>
      <c r="BH3245" s="135"/>
      <c r="BI3245" s="2"/>
      <c r="BJ3245" s="136"/>
      <c r="BK3245" s="2"/>
      <c r="BL3245" s="136"/>
      <c r="BM3245" s="136"/>
      <c r="BN3245" s="2"/>
      <c r="BO3245" s="2"/>
      <c r="BP3245" s="136"/>
      <c r="BQ3245" s="137"/>
    </row>
    <row r="3246" spans="1:69" ht="12.75" customHeight="1" x14ac:dyDescent="0.2">
      <c r="A3246" s="2">
        <v>4735</v>
      </c>
      <c r="B3246" s="2"/>
      <c r="C3246" s="2"/>
      <c r="D3246" s="2"/>
      <c r="E3246" s="2"/>
      <c r="F3246" s="132">
        <v>0</v>
      </c>
      <c r="G3246" s="132"/>
      <c r="H3246" s="132">
        <f t="shared" ref="H3246:H3309" si="367">R3246</f>
        <v>0</v>
      </c>
      <c r="I3246" s="132"/>
      <c r="J3246" s="132">
        <f t="shared" si="365"/>
        <v>0</v>
      </c>
      <c r="K3246" s="132">
        <f t="shared" si="361"/>
        <v>0</v>
      </c>
      <c r="L3246" s="132">
        <f t="shared" si="362"/>
        <v>0</v>
      </c>
      <c r="M3246" s="133"/>
      <c r="N3246" s="133">
        <f t="shared" si="366"/>
        <v>0</v>
      </c>
      <c r="O3246" s="134"/>
      <c r="P3246" s="133"/>
      <c r="Q3246" s="2"/>
      <c r="R3246" s="156">
        <f t="shared" si="363"/>
        <v>0</v>
      </c>
      <c r="S3246" s="156">
        <f t="shared" si="364"/>
        <v>0</v>
      </c>
      <c r="T3246" s="133"/>
      <c r="U3246" s="133"/>
      <c r="V3246" s="133"/>
      <c r="W3246" s="133"/>
      <c r="X3246" s="133"/>
      <c r="Y3246" s="133"/>
      <c r="Z3246" s="133"/>
      <c r="AA3246" s="133"/>
      <c r="AB3246" s="133"/>
      <c r="AC3246" s="133"/>
      <c r="AD3246" s="133"/>
      <c r="AE3246" s="133"/>
      <c r="AF3246" s="133"/>
      <c r="AG3246" s="133"/>
      <c r="AH3246" s="133"/>
      <c r="AI3246" s="133"/>
      <c r="AJ3246" s="133"/>
      <c r="AK3246" s="133"/>
      <c r="AL3246" s="133"/>
      <c r="AM3246" s="133"/>
      <c r="AN3246" s="133"/>
      <c r="AO3246" s="133"/>
      <c r="AP3246" s="133"/>
      <c r="AQ3246" s="133"/>
      <c r="AR3246" s="133"/>
      <c r="AS3246" s="153">
        <v>0</v>
      </c>
      <c r="AT3246" s="153">
        <v>0</v>
      </c>
      <c r="AU3246" s="153">
        <v>0</v>
      </c>
      <c r="AV3246" s="135"/>
      <c r="AW3246" s="135"/>
      <c r="AX3246" s="135"/>
      <c r="AY3246" s="135"/>
      <c r="AZ3246" s="135"/>
      <c r="BA3246" s="135"/>
      <c r="BB3246" s="135"/>
      <c r="BC3246" s="135"/>
      <c r="BD3246" s="135"/>
      <c r="BE3246" s="135"/>
      <c r="BF3246" s="135"/>
      <c r="BG3246" s="135"/>
      <c r="BH3246" s="135"/>
      <c r="BI3246" s="2"/>
      <c r="BJ3246" s="136"/>
      <c r="BK3246" s="2"/>
      <c r="BL3246" s="136"/>
      <c r="BM3246" s="136"/>
      <c r="BN3246" s="2"/>
      <c r="BO3246" s="2"/>
      <c r="BP3246" s="136"/>
      <c r="BQ3246" s="137"/>
    </row>
    <row r="3247" spans="1:69" ht="12.75" customHeight="1" x14ac:dyDescent="0.2">
      <c r="A3247" s="2">
        <v>4736</v>
      </c>
      <c r="B3247" s="2"/>
      <c r="C3247" s="2"/>
      <c r="D3247" s="2"/>
      <c r="E3247" s="2"/>
      <c r="F3247" s="132">
        <v>0</v>
      </c>
      <c r="G3247" s="132"/>
      <c r="H3247" s="132">
        <f t="shared" si="367"/>
        <v>0</v>
      </c>
      <c r="I3247" s="132"/>
      <c r="J3247" s="132">
        <f t="shared" si="365"/>
        <v>0</v>
      </c>
      <c r="K3247" s="132">
        <f t="shared" si="361"/>
        <v>0</v>
      </c>
      <c r="L3247" s="132">
        <f t="shared" si="362"/>
        <v>0</v>
      </c>
      <c r="M3247" s="133"/>
      <c r="N3247" s="133">
        <f t="shared" si="366"/>
        <v>0</v>
      </c>
      <c r="O3247" s="134"/>
      <c r="P3247" s="133"/>
      <c r="Q3247" s="2"/>
      <c r="R3247" s="156">
        <f t="shared" si="363"/>
        <v>0</v>
      </c>
      <c r="S3247" s="156">
        <f t="shared" si="364"/>
        <v>0</v>
      </c>
      <c r="T3247" s="133"/>
      <c r="U3247" s="133"/>
      <c r="V3247" s="133"/>
      <c r="W3247" s="133"/>
      <c r="X3247" s="133"/>
      <c r="Y3247" s="133"/>
      <c r="Z3247" s="133"/>
      <c r="AA3247" s="133"/>
      <c r="AB3247" s="133"/>
      <c r="AC3247" s="133"/>
      <c r="AD3247" s="133"/>
      <c r="AE3247" s="133"/>
      <c r="AF3247" s="133"/>
      <c r="AG3247" s="133"/>
      <c r="AH3247" s="133"/>
      <c r="AI3247" s="133"/>
      <c r="AJ3247" s="133"/>
      <c r="AK3247" s="133"/>
      <c r="AL3247" s="133"/>
      <c r="AM3247" s="133"/>
      <c r="AN3247" s="133"/>
      <c r="AO3247" s="133"/>
      <c r="AP3247" s="133"/>
      <c r="AQ3247" s="133"/>
      <c r="AR3247" s="133"/>
      <c r="AS3247" s="153">
        <v>0</v>
      </c>
      <c r="AT3247" s="153">
        <v>0</v>
      </c>
      <c r="AU3247" s="153">
        <v>0</v>
      </c>
      <c r="AV3247" s="135"/>
      <c r="AW3247" s="135"/>
      <c r="AX3247" s="135"/>
      <c r="AY3247" s="135"/>
      <c r="AZ3247" s="135"/>
      <c r="BA3247" s="135"/>
      <c r="BB3247" s="135"/>
      <c r="BC3247" s="135"/>
      <c r="BD3247" s="135"/>
      <c r="BE3247" s="135"/>
      <c r="BF3247" s="135"/>
      <c r="BG3247" s="135"/>
      <c r="BH3247" s="135"/>
      <c r="BI3247" s="2"/>
      <c r="BJ3247" s="136"/>
      <c r="BK3247" s="2"/>
      <c r="BL3247" s="136"/>
      <c r="BM3247" s="136"/>
      <c r="BN3247" s="2"/>
      <c r="BO3247" s="2"/>
      <c r="BP3247" s="136"/>
      <c r="BQ3247" s="137"/>
    </row>
    <row r="3248" spans="1:69" ht="12.75" customHeight="1" x14ac:dyDescent="0.2">
      <c r="A3248" s="2">
        <v>4737</v>
      </c>
      <c r="B3248" s="2"/>
      <c r="C3248" s="2"/>
      <c r="D3248" s="2"/>
      <c r="E3248" s="2"/>
      <c r="F3248" s="132">
        <v>0</v>
      </c>
      <c r="G3248" s="132"/>
      <c r="H3248" s="132">
        <f t="shared" si="367"/>
        <v>0</v>
      </c>
      <c r="I3248" s="132"/>
      <c r="J3248" s="132">
        <f t="shared" si="365"/>
        <v>0</v>
      </c>
      <c r="K3248" s="132">
        <f t="shared" si="361"/>
        <v>0</v>
      </c>
      <c r="L3248" s="132">
        <f t="shared" si="362"/>
        <v>0</v>
      </c>
      <c r="M3248" s="133"/>
      <c r="N3248" s="133">
        <f t="shared" si="366"/>
        <v>0</v>
      </c>
      <c r="O3248" s="134"/>
      <c r="P3248" s="133"/>
      <c r="Q3248" s="2"/>
      <c r="R3248" s="156">
        <f t="shared" si="363"/>
        <v>0</v>
      </c>
      <c r="S3248" s="156">
        <f t="shared" si="364"/>
        <v>0</v>
      </c>
      <c r="T3248" s="133"/>
      <c r="U3248" s="133"/>
      <c r="V3248" s="133"/>
      <c r="W3248" s="133"/>
      <c r="X3248" s="133"/>
      <c r="Y3248" s="133"/>
      <c r="Z3248" s="133"/>
      <c r="AA3248" s="133"/>
      <c r="AB3248" s="133"/>
      <c r="AC3248" s="133"/>
      <c r="AD3248" s="133"/>
      <c r="AE3248" s="133"/>
      <c r="AF3248" s="133"/>
      <c r="AG3248" s="133"/>
      <c r="AH3248" s="133"/>
      <c r="AI3248" s="133"/>
      <c r="AJ3248" s="133"/>
      <c r="AK3248" s="133"/>
      <c r="AL3248" s="133"/>
      <c r="AM3248" s="133"/>
      <c r="AN3248" s="133"/>
      <c r="AO3248" s="133"/>
      <c r="AP3248" s="133"/>
      <c r="AQ3248" s="133"/>
      <c r="AR3248" s="133"/>
      <c r="AS3248" s="153">
        <v>0</v>
      </c>
      <c r="AT3248" s="153">
        <v>0</v>
      </c>
      <c r="AU3248" s="153">
        <v>0</v>
      </c>
      <c r="AV3248" s="135"/>
      <c r="AW3248" s="135"/>
      <c r="AX3248" s="135"/>
      <c r="AY3248" s="135"/>
      <c r="AZ3248" s="135"/>
      <c r="BA3248" s="135"/>
      <c r="BB3248" s="135"/>
      <c r="BC3248" s="135"/>
      <c r="BD3248" s="135"/>
      <c r="BE3248" s="135"/>
      <c r="BF3248" s="135"/>
      <c r="BG3248" s="135"/>
      <c r="BH3248" s="135"/>
      <c r="BI3248" s="2"/>
      <c r="BJ3248" s="136"/>
      <c r="BK3248" s="2"/>
      <c r="BL3248" s="136"/>
      <c r="BM3248" s="136"/>
      <c r="BN3248" s="2"/>
      <c r="BO3248" s="2"/>
      <c r="BP3248" s="136"/>
      <c r="BQ3248" s="137"/>
    </row>
    <row r="3249" spans="1:69" ht="12.75" customHeight="1" x14ac:dyDescent="0.2">
      <c r="A3249" s="2">
        <v>4738</v>
      </c>
      <c r="B3249" s="2"/>
      <c r="C3249" s="2"/>
      <c r="D3249" s="2"/>
      <c r="E3249" s="2"/>
      <c r="F3249" s="132">
        <v>0</v>
      </c>
      <c r="G3249" s="132"/>
      <c r="H3249" s="132">
        <f t="shared" si="367"/>
        <v>0</v>
      </c>
      <c r="I3249" s="132"/>
      <c r="J3249" s="132">
        <f t="shared" si="365"/>
        <v>0</v>
      </c>
      <c r="K3249" s="132">
        <f t="shared" si="361"/>
        <v>0</v>
      </c>
      <c r="L3249" s="132">
        <f t="shared" si="362"/>
        <v>0</v>
      </c>
      <c r="M3249" s="133"/>
      <c r="N3249" s="133">
        <f t="shared" si="366"/>
        <v>0</v>
      </c>
      <c r="O3249" s="134"/>
      <c r="P3249" s="133"/>
      <c r="Q3249" s="2"/>
      <c r="R3249" s="156">
        <f t="shared" si="363"/>
        <v>0</v>
      </c>
      <c r="S3249" s="156">
        <f t="shared" si="364"/>
        <v>0</v>
      </c>
      <c r="T3249" s="133"/>
      <c r="U3249" s="133"/>
      <c r="V3249" s="133"/>
      <c r="W3249" s="133"/>
      <c r="X3249" s="133"/>
      <c r="Y3249" s="133"/>
      <c r="Z3249" s="133"/>
      <c r="AA3249" s="133"/>
      <c r="AB3249" s="133"/>
      <c r="AC3249" s="133"/>
      <c r="AD3249" s="133"/>
      <c r="AE3249" s="133"/>
      <c r="AF3249" s="133"/>
      <c r="AG3249" s="133"/>
      <c r="AH3249" s="133"/>
      <c r="AI3249" s="133"/>
      <c r="AJ3249" s="133"/>
      <c r="AK3249" s="133"/>
      <c r="AL3249" s="133"/>
      <c r="AM3249" s="133"/>
      <c r="AN3249" s="133"/>
      <c r="AO3249" s="133"/>
      <c r="AP3249" s="133"/>
      <c r="AQ3249" s="133"/>
      <c r="AR3249" s="133"/>
      <c r="AS3249" s="153">
        <v>0</v>
      </c>
      <c r="AT3249" s="153">
        <v>0</v>
      </c>
      <c r="AU3249" s="153">
        <v>0</v>
      </c>
      <c r="AV3249" s="135"/>
      <c r="AW3249" s="135"/>
      <c r="AX3249" s="135"/>
      <c r="AY3249" s="135"/>
      <c r="AZ3249" s="135"/>
      <c r="BA3249" s="135"/>
      <c r="BB3249" s="135"/>
      <c r="BC3249" s="135"/>
      <c r="BD3249" s="135"/>
      <c r="BE3249" s="135"/>
      <c r="BF3249" s="135"/>
      <c r="BG3249" s="135"/>
      <c r="BH3249" s="135"/>
      <c r="BI3249" s="2"/>
      <c r="BJ3249" s="136"/>
      <c r="BK3249" s="2"/>
      <c r="BL3249" s="136"/>
      <c r="BM3249" s="136"/>
      <c r="BN3249" s="2"/>
      <c r="BO3249" s="2"/>
      <c r="BP3249" s="136"/>
      <c r="BQ3249" s="137"/>
    </row>
    <row r="3250" spans="1:69" ht="12.75" customHeight="1" x14ac:dyDescent="0.2">
      <c r="A3250" s="2">
        <v>4739</v>
      </c>
      <c r="B3250" s="2"/>
      <c r="C3250" s="2"/>
      <c r="D3250" s="2"/>
      <c r="E3250" s="2"/>
      <c r="F3250" s="132">
        <v>0</v>
      </c>
      <c r="G3250" s="132"/>
      <c r="H3250" s="132">
        <f t="shared" si="367"/>
        <v>0</v>
      </c>
      <c r="I3250" s="132"/>
      <c r="J3250" s="132">
        <f t="shared" si="365"/>
        <v>0</v>
      </c>
      <c r="K3250" s="132">
        <f t="shared" si="361"/>
        <v>0</v>
      </c>
      <c r="L3250" s="132">
        <f t="shared" si="362"/>
        <v>0</v>
      </c>
      <c r="M3250" s="133"/>
      <c r="N3250" s="133">
        <f t="shared" si="366"/>
        <v>0</v>
      </c>
      <c r="O3250" s="134"/>
      <c r="P3250" s="133"/>
      <c r="Q3250" s="2"/>
      <c r="R3250" s="156">
        <f t="shared" si="363"/>
        <v>0</v>
      </c>
      <c r="S3250" s="156">
        <f t="shared" si="364"/>
        <v>0</v>
      </c>
      <c r="T3250" s="133"/>
      <c r="U3250" s="133"/>
      <c r="V3250" s="133"/>
      <c r="W3250" s="133"/>
      <c r="X3250" s="133"/>
      <c r="Y3250" s="133"/>
      <c r="Z3250" s="133"/>
      <c r="AA3250" s="133"/>
      <c r="AB3250" s="133"/>
      <c r="AC3250" s="133"/>
      <c r="AD3250" s="133"/>
      <c r="AE3250" s="133"/>
      <c r="AF3250" s="133"/>
      <c r="AG3250" s="133"/>
      <c r="AH3250" s="133"/>
      <c r="AI3250" s="133"/>
      <c r="AJ3250" s="133"/>
      <c r="AK3250" s="133"/>
      <c r="AL3250" s="133"/>
      <c r="AM3250" s="133"/>
      <c r="AN3250" s="133"/>
      <c r="AO3250" s="133"/>
      <c r="AP3250" s="133"/>
      <c r="AQ3250" s="133"/>
      <c r="AR3250" s="133"/>
      <c r="AS3250" s="153">
        <v>0</v>
      </c>
      <c r="AT3250" s="153">
        <v>0</v>
      </c>
      <c r="AU3250" s="153">
        <v>0</v>
      </c>
      <c r="AV3250" s="135"/>
      <c r="AW3250" s="135"/>
      <c r="AX3250" s="135"/>
      <c r="AY3250" s="135"/>
      <c r="AZ3250" s="135"/>
      <c r="BA3250" s="135"/>
      <c r="BB3250" s="135"/>
      <c r="BC3250" s="135"/>
      <c r="BD3250" s="135"/>
      <c r="BE3250" s="135"/>
      <c r="BF3250" s="135"/>
      <c r="BG3250" s="135"/>
      <c r="BH3250" s="135"/>
      <c r="BI3250" s="2"/>
      <c r="BJ3250" s="136"/>
      <c r="BK3250" s="2"/>
      <c r="BL3250" s="136"/>
      <c r="BM3250" s="136"/>
      <c r="BN3250" s="2"/>
      <c r="BO3250" s="2"/>
      <c r="BP3250" s="136"/>
      <c r="BQ3250" s="137"/>
    </row>
    <row r="3251" spans="1:69" ht="12.75" customHeight="1" x14ac:dyDescent="0.2">
      <c r="A3251" s="2">
        <v>4740</v>
      </c>
      <c r="B3251" s="2"/>
      <c r="C3251" s="2"/>
      <c r="D3251" s="2"/>
      <c r="E3251" s="2"/>
      <c r="F3251" s="132">
        <v>0</v>
      </c>
      <c r="G3251" s="132"/>
      <c r="H3251" s="132">
        <f t="shared" si="367"/>
        <v>0</v>
      </c>
      <c r="I3251" s="132"/>
      <c r="J3251" s="132">
        <f t="shared" si="365"/>
        <v>0</v>
      </c>
      <c r="K3251" s="132">
        <f t="shared" si="361"/>
        <v>0</v>
      </c>
      <c r="L3251" s="132">
        <f t="shared" si="362"/>
        <v>0</v>
      </c>
      <c r="M3251" s="133"/>
      <c r="N3251" s="133">
        <f t="shared" si="366"/>
        <v>0</v>
      </c>
      <c r="O3251" s="134"/>
      <c r="P3251" s="133"/>
      <c r="Q3251" s="2"/>
      <c r="R3251" s="156">
        <f t="shared" si="363"/>
        <v>0</v>
      </c>
      <c r="S3251" s="156">
        <f t="shared" si="364"/>
        <v>0</v>
      </c>
      <c r="T3251" s="133"/>
      <c r="U3251" s="133"/>
      <c r="V3251" s="133"/>
      <c r="W3251" s="133"/>
      <c r="X3251" s="133"/>
      <c r="Y3251" s="133"/>
      <c r="Z3251" s="133"/>
      <c r="AA3251" s="133"/>
      <c r="AB3251" s="133"/>
      <c r="AC3251" s="133"/>
      <c r="AD3251" s="133"/>
      <c r="AE3251" s="133"/>
      <c r="AF3251" s="133"/>
      <c r="AG3251" s="133"/>
      <c r="AH3251" s="133"/>
      <c r="AI3251" s="133"/>
      <c r="AJ3251" s="133"/>
      <c r="AK3251" s="133"/>
      <c r="AL3251" s="133"/>
      <c r="AM3251" s="133"/>
      <c r="AN3251" s="133"/>
      <c r="AO3251" s="133"/>
      <c r="AP3251" s="133"/>
      <c r="AQ3251" s="133"/>
      <c r="AR3251" s="133"/>
      <c r="AS3251" s="153">
        <v>0</v>
      </c>
      <c r="AT3251" s="153">
        <v>0</v>
      </c>
      <c r="AU3251" s="153">
        <v>0</v>
      </c>
      <c r="AV3251" s="135"/>
      <c r="AW3251" s="135"/>
      <c r="AX3251" s="135"/>
      <c r="AY3251" s="135"/>
      <c r="AZ3251" s="135"/>
      <c r="BA3251" s="135"/>
      <c r="BB3251" s="135"/>
      <c r="BC3251" s="135"/>
      <c r="BD3251" s="135"/>
      <c r="BE3251" s="135"/>
      <c r="BF3251" s="135"/>
      <c r="BG3251" s="135"/>
      <c r="BH3251" s="135"/>
      <c r="BI3251" s="2"/>
      <c r="BJ3251" s="136"/>
      <c r="BK3251" s="2"/>
      <c r="BL3251" s="136"/>
      <c r="BM3251" s="136"/>
      <c r="BN3251" s="2"/>
      <c r="BO3251" s="2"/>
      <c r="BP3251" s="136"/>
      <c r="BQ3251" s="137"/>
    </row>
    <row r="3252" spans="1:69" ht="12.75" customHeight="1" x14ac:dyDescent="0.2">
      <c r="A3252" s="2">
        <v>4741</v>
      </c>
      <c r="B3252" s="2"/>
      <c r="C3252" s="2"/>
      <c r="D3252" s="2"/>
      <c r="E3252" s="2"/>
      <c r="F3252" s="132">
        <v>0</v>
      </c>
      <c r="G3252" s="132"/>
      <c r="H3252" s="132">
        <f t="shared" si="367"/>
        <v>0</v>
      </c>
      <c r="I3252" s="132"/>
      <c r="J3252" s="132">
        <f t="shared" si="365"/>
        <v>0</v>
      </c>
      <c r="K3252" s="132">
        <f t="shared" si="361"/>
        <v>0</v>
      </c>
      <c r="L3252" s="132">
        <f t="shared" si="362"/>
        <v>0</v>
      </c>
      <c r="M3252" s="133"/>
      <c r="N3252" s="133">
        <f t="shared" si="366"/>
        <v>0</v>
      </c>
      <c r="O3252" s="134"/>
      <c r="P3252" s="133"/>
      <c r="Q3252" s="2"/>
      <c r="R3252" s="156">
        <f t="shared" si="363"/>
        <v>0</v>
      </c>
      <c r="S3252" s="156">
        <f t="shared" si="364"/>
        <v>0</v>
      </c>
      <c r="T3252" s="133"/>
      <c r="U3252" s="133"/>
      <c r="V3252" s="133"/>
      <c r="W3252" s="133"/>
      <c r="X3252" s="133"/>
      <c r="Y3252" s="133"/>
      <c r="Z3252" s="133"/>
      <c r="AA3252" s="133"/>
      <c r="AB3252" s="133"/>
      <c r="AC3252" s="133"/>
      <c r="AD3252" s="133"/>
      <c r="AE3252" s="133"/>
      <c r="AF3252" s="133"/>
      <c r="AG3252" s="133"/>
      <c r="AH3252" s="133"/>
      <c r="AI3252" s="133"/>
      <c r="AJ3252" s="133"/>
      <c r="AK3252" s="133"/>
      <c r="AL3252" s="133"/>
      <c r="AM3252" s="133"/>
      <c r="AN3252" s="133"/>
      <c r="AO3252" s="133"/>
      <c r="AP3252" s="133"/>
      <c r="AQ3252" s="133"/>
      <c r="AR3252" s="133"/>
      <c r="AS3252" s="153">
        <v>0</v>
      </c>
      <c r="AT3252" s="153">
        <v>0</v>
      </c>
      <c r="AU3252" s="153">
        <v>0</v>
      </c>
      <c r="AV3252" s="135"/>
      <c r="AW3252" s="135"/>
      <c r="AX3252" s="135"/>
      <c r="AY3252" s="135"/>
      <c r="AZ3252" s="135"/>
      <c r="BA3252" s="135"/>
      <c r="BB3252" s="135"/>
      <c r="BC3252" s="135"/>
      <c r="BD3252" s="135"/>
      <c r="BE3252" s="135"/>
      <c r="BF3252" s="135"/>
      <c r="BG3252" s="135"/>
      <c r="BH3252" s="135"/>
      <c r="BI3252" s="2"/>
      <c r="BJ3252" s="136"/>
      <c r="BK3252" s="2"/>
      <c r="BL3252" s="136"/>
      <c r="BM3252" s="136"/>
      <c r="BN3252" s="2"/>
      <c r="BO3252" s="2"/>
      <c r="BP3252" s="136"/>
      <c r="BQ3252" s="137"/>
    </row>
    <row r="3253" spans="1:69" ht="12.75" customHeight="1" x14ac:dyDescent="0.2">
      <c r="A3253" s="2">
        <v>4742</v>
      </c>
      <c r="B3253" s="2"/>
      <c r="C3253" s="2"/>
      <c r="D3253" s="2"/>
      <c r="E3253" s="2"/>
      <c r="F3253" s="132">
        <v>0</v>
      </c>
      <c r="G3253" s="132"/>
      <c r="H3253" s="132">
        <f t="shared" si="367"/>
        <v>0</v>
      </c>
      <c r="I3253" s="132"/>
      <c r="J3253" s="132">
        <f t="shared" si="365"/>
        <v>0</v>
      </c>
      <c r="K3253" s="132">
        <f t="shared" si="361"/>
        <v>0</v>
      </c>
      <c r="L3253" s="132">
        <f t="shared" si="362"/>
        <v>0</v>
      </c>
      <c r="M3253" s="133"/>
      <c r="N3253" s="133">
        <f t="shared" si="366"/>
        <v>0</v>
      </c>
      <c r="O3253" s="134"/>
      <c r="P3253" s="133"/>
      <c r="Q3253" s="2"/>
      <c r="R3253" s="156">
        <f t="shared" si="363"/>
        <v>0</v>
      </c>
      <c r="S3253" s="156">
        <f t="shared" si="364"/>
        <v>0</v>
      </c>
      <c r="T3253" s="133"/>
      <c r="U3253" s="133"/>
      <c r="V3253" s="133"/>
      <c r="W3253" s="133"/>
      <c r="X3253" s="133"/>
      <c r="Y3253" s="133"/>
      <c r="Z3253" s="133"/>
      <c r="AA3253" s="133"/>
      <c r="AB3253" s="133"/>
      <c r="AC3253" s="133"/>
      <c r="AD3253" s="133"/>
      <c r="AE3253" s="133"/>
      <c r="AF3253" s="133"/>
      <c r="AG3253" s="133"/>
      <c r="AH3253" s="133"/>
      <c r="AI3253" s="133"/>
      <c r="AJ3253" s="133"/>
      <c r="AK3253" s="133"/>
      <c r="AL3253" s="133"/>
      <c r="AM3253" s="133"/>
      <c r="AN3253" s="133"/>
      <c r="AO3253" s="133"/>
      <c r="AP3253" s="133"/>
      <c r="AQ3253" s="133"/>
      <c r="AR3253" s="133"/>
      <c r="AS3253" s="153">
        <v>0</v>
      </c>
      <c r="AT3253" s="153">
        <v>0</v>
      </c>
      <c r="AU3253" s="153">
        <v>0</v>
      </c>
      <c r="AV3253" s="135"/>
      <c r="AW3253" s="135"/>
      <c r="AX3253" s="135"/>
      <c r="AY3253" s="135"/>
      <c r="AZ3253" s="135"/>
      <c r="BA3253" s="135"/>
      <c r="BB3253" s="135"/>
      <c r="BC3253" s="135"/>
      <c r="BD3253" s="135"/>
      <c r="BE3253" s="135"/>
      <c r="BF3253" s="135"/>
      <c r="BG3253" s="135"/>
      <c r="BH3253" s="135"/>
      <c r="BI3253" s="2"/>
      <c r="BJ3253" s="136"/>
      <c r="BK3253" s="2"/>
      <c r="BL3253" s="136"/>
      <c r="BM3253" s="136"/>
      <c r="BN3253" s="2"/>
      <c r="BO3253" s="2"/>
      <c r="BP3253" s="136"/>
      <c r="BQ3253" s="137"/>
    </row>
    <row r="3254" spans="1:69" ht="12.75" customHeight="1" x14ac:dyDescent="0.2">
      <c r="A3254" s="2">
        <v>4743</v>
      </c>
      <c r="B3254" s="2"/>
      <c r="C3254" s="2"/>
      <c r="D3254" s="2"/>
      <c r="E3254" s="2"/>
      <c r="F3254" s="132">
        <v>0</v>
      </c>
      <c r="G3254" s="132"/>
      <c r="H3254" s="132">
        <f t="shared" si="367"/>
        <v>0</v>
      </c>
      <c r="I3254" s="132"/>
      <c r="J3254" s="132">
        <f t="shared" si="365"/>
        <v>0</v>
      </c>
      <c r="K3254" s="132">
        <f t="shared" ref="K3254:K3317" si="368">F3254-J3254</f>
        <v>0</v>
      </c>
      <c r="L3254" s="132">
        <f t="shared" si="362"/>
        <v>0</v>
      </c>
      <c r="M3254" s="133"/>
      <c r="N3254" s="133">
        <f t="shared" si="366"/>
        <v>0</v>
      </c>
      <c r="O3254" s="134"/>
      <c r="P3254" s="133"/>
      <c r="Q3254" s="2"/>
      <c r="R3254" s="156">
        <f t="shared" si="363"/>
        <v>0</v>
      </c>
      <c r="S3254" s="156">
        <f t="shared" si="364"/>
        <v>0</v>
      </c>
      <c r="T3254" s="133"/>
      <c r="U3254" s="133"/>
      <c r="V3254" s="133"/>
      <c r="W3254" s="133"/>
      <c r="X3254" s="133"/>
      <c r="Y3254" s="133"/>
      <c r="Z3254" s="133"/>
      <c r="AA3254" s="133"/>
      <c r="AB3254" s="133"/>
      <c r="AC3254" s="133"/>
      <c r="AD3254" s="133"/>
      <c r="AE3254" s="133"/>
      <c r="AF3254" s="133"/>
      <c r="AG3254" s="133"/>
      <c r="AH3254" s="133"/>
      <c r="AI3254" s="133"/>
      <c r="AJ3254" s="133"/>
      <c r="AK3254" s="133"/>
      <c r="AL3254" s="133"/>
      <c r="AM3254" s="133"/>
      <c r="AN3254" s="133"/>
      <c r="AO3254" s="133"/>
      <c r="AP3254" s="133"/>
      <c r="AQ3254" s="133"/>
      <c r="AR3254" s="133"/>
      <c r="AS3254" s="153">
        <v>0</v>
      </c>
      <c r="AT3254" s="153">
        <v>0</v>
      </c>
      <c r="AU3254" s="153">
        <v>0</v>
      </c>
      <c r="AV3254" s="135"/>
      <c r="AW3254" s="135"/>
      <c r="AX3254" s="135"/>
      <c r="AY3254" s="135"/>
      <c r="AZ3254" s="135"/>
      <c r="BA3254" s="135"/>
      <c r="BB3254" s="135"/>
      <c r="BC3254" s="135"/>
      <c r="BD3254" s="135"/>
      <c r="BE3254" s="135"/>
      <c r="BF3254" s="135"/>
      <c r="BG3254" s="135"/>
      <c r="BH3254" s="135"/>
      <c r="BI3254" s="2"/>
      <c r="BJ3254" s="136"/>
      <c r="BK3254" s="2"/>
      <c r="BL3254" s="136"/>
      <c r="BM3254" s="136"/>
      <c r="BN3254" s="2"/>
      <c r="BO3254" s="2"/>
      <c r="BP3254" s="136"/>
      <c r="BQ3254" s="137"/>
    </row>
    <row r="3255" spans="1:69" ht="12.75" customHeight="1" x14ac:dyDescent="0.2">
      <c r="A3255" s="2">
        <v>4744</v>
      </c>
      <c r="B3255" s="2"/>
      <c r="C3255" s="2"/>
      <c r="D3255" s="2"/>
      <c r="E3255" s="2"/>
      <c r="F3255" s="132">
        <v>0</v>
      </c>
      <c r="G3255" s="132"/>
      <c r="H3255" s="132">
        <f t="shared" si="367"/>
        <v>0</v>
      </c>
      <c r="I3255" s="132"/>
      <c r="J3255" s="132">
        <f t="shared" si="365"/>
        <v>0</v>
      </c>
      <c r="K3255" s="132">
        <f t="shared" si="368"/>
        <v>0</v>
      </c>
      <c r="L3255" s="132">
        <f t="shared" si="362"/>
        <v>0</v>
      </c>
      <c r="M3255" s="133"/>
      <c r="N3255" s="133">
        <f t="shared" si="366"/>
        <v>0</v>
      </c>
      <c r="O3255" s="134"/>
      <c r="P3255" s="133"/>
      <c r="Q3255" s="2"/>
      <c r="R3255" s="156">
        <f t="shared" si="363"/>
        <v>0</v>
      </c>
      <c r="S3255" s="156">
        <f t="shared" si="364"/>
        <v>0</v>
      </c>
      <c r="T3255" s="133"/>
      <c r="U3255" s="133"/>
      <c r="V3255" s="133"/>
      <c r="W3255" s="133"/>
      <c r="X3255" s="133"/>
      <c r="Y3255" s="133"/>
      <c r="Z3255" s="133"/>
      <c r="AA3255" s="133"/>
      <c r="AB3255" s="133"/>
      <c r="AC3255" s="133"/>
      <c r="AD3255" s="133"/>
      <c r="AE3255" s="133"/>
      <c r="AF3255" s="133"/>
      <c r="AG3255" s="133"/>
      <c r="AH3255" s="133"/>
      <c r="AI3255" s="133"/>
      <c r="AJ3255" s="133"/>
      <c r="AK3255" s="133"/>
      <c r="AL3255" s="133"/>
      <c r="AM3255" s="133"/>
      <c r="AN3255" s="133"/>
      <c r="AO3255" s="133"/>
      <c r="AP3255" s="133"/>
      <c r="AQ3255" s="133"/>
      <c r="AR3255" s="133"/>
      <c r="AS3255" s="153">
        <v>0</v>
      </c>
      <c r="AT3255" s="153">
        <v>0</v>
      </c>
      <c r="AU3255" s="153">
        <v>0</v>
      </c>
      <c r="AV3255" s="135"/>
      <c r="AW3255" s="135"/>
      <c r="AX3255" s="135"/>
      <c r="AY3255" s="135"/>
      <c r="AZ3255" s="135"/>
      <c r="BA3255" s="135"/>
      <c r="BB3255" s="135"/>
      <c r="BC3255" s="135"/>
      <c r="BD3255" s="135"/>
      <c r="BE3255" s="135"/>
      <c r="BF3255" s="135"/>
      <c r="BG3255" s="135"/>
      <c r="BH3255" s="135"/>
      <c r="BI3255" s="2"/>
      <c r="BJ3255" s="136"/>
      <c r="BK3255" s="2"/>
      <c r="BL3255" s="136"/>
      <c r="BM3255" s="136"/>
      <c r="BN3255" s="2"/>
      <c r="BO3255" s="2"/>
      <c r="BP3255" s="136"/>
      <c r="BQ3255" s="137"/>
    </row>
    <row r="3256" spans="1:69" ht="12.75" customHeight="1" x14ac:dyDescent="0.2">
      <c r="A3256" s="2">
        <v>4745</v>
      </c>
      <c r="B3256" s="2"/>
      <c r="C3256" s="2"/>
      <c r="D3256" s="2"/>
      <c r="E3256" s="2"/>
      <c r="F3256" s="132">
        <v>0</v>
      </c>
      <c r="G3256" s="132"/>
      <c r="H3256" s="132">
        <f t="shared" si="367"/>
        <v>0</v>
      </c>
      <c r="I3256" s="132"/>
      <c r="J3256" s="132">
        <f t="shared" si="365"/>
        <v>0</v>
      </c>
      <c r="K3256" s="132">
        <f t="shared" si="368"/>
        <v>0</v>
      </c>
      <c r="L3256" s="132">
        <f t="shared" si="362"/>
        <v>0</v>
      </c>
      <c r="M3256" s="133"/>
      <c r="N3256" s="133">
        <f t="shared" si="366"/>
        <v>0</v>
      </c>
      <c r="O3256" s="134"/>
      <c r="P3256" s="133"/>
      <c r="Q3256" s="2"/>
      <c r="R3256" s="156">
        <f t="shared" si="363"/>
        <v>0</v>
      </c>
      <c r="S3256" s="156">
        <f t="shared" si="364"/>
        <v>0</v>
      </c>
      <c r="T3256" s="133"/>
      <c r="U3256" s="133"/>
      <c r="V3256" s="133"/>
      <c r="W3256" s="133"/>
      <c r="X3256" s="133"/>
      <c r="Y3256" s="133"/>
      <c r="Z3256" s="133"/>
      <c r="AA3256" s="133"/>
      <c r="AB3256" s="133"/>
      <c r="AC3256" s="133"/>
      <c r="AD3256" s="133"/>
      <c r="AE3256" s="133"/>
      <c r="AF3256" s="133"/>
      <c r="AG3256" s="133"/>
      <c r="AH3256" s="133"/>
      <c r="AI3256" s="133"/>
      <c r="AJ3256" s="133"/>
      <c r="AK3256" s="133"/>
      <c r="AL3256" s="133"/>
      <c r="AM3256" s="133"/>
      <c r="AN3256" s="133"/>
      <c r="AO3256" s="133"/>
      <c r="AP3256" s="133"/>
      <c r="AQ3256" s="133"/>
      <c r="AR3256" s="133"/>
      <c r="AS3256" s="153">
        <v>0</v>
      </c>
      <c r="AT3256" s="153">
        <v>0</v>
      </c>
      <c r="AU3256" s="153">
        <v>0</v>
      </c>
      <c r="AV3256" s="135"/>
      <c r="AW3256" s="135"/>
      <c r="AX3256" s="135"/>
      <c r="AY3256" s="135"/>
      <c r="AZ3256" s="135"/>
      <c r="BA3256" s="135"/>
      <c r="BB3256" s="135"/>
      <c r="BC3256" s="135"/>
      <c r="BD3256" s="135"/>
      <c r="BE3256" s="135"/>
      <c r="BF3256" s="135"/>
      <c r="BG3256" s="135"/>
      <c r="BH3256" s="135"/>
      <c r="BI3256" s="2"/>
      <c r="BJ3256" s="136"/>
      <c r="BK3256" s="2"/>
      <c r="BL3256" s="136"/>
      <c r="BM3256" s="136"/>
      <c r="BN3256" s="2"/>
      <c r="BO3256" s="2"/>
      <c r="BP3256" s="136"/>
      <c r="BQ3256" s="137"/>
    </row>
    <row r="3257" spans="1:69" ht="12.75" customHeight="1" x14ac:dyDescent="0.2">
      <c r="A3257" s="2">
        <v>4746</v>
      </c>
      <c r="B3257" s="2"/>
      <c r="C3257" s="2"/>
      <c r="D3257" s="2"/>
      <c r="E3257" s="2"/>
      <c r="F3257" s="132">
        <v>0</v>
      </c>
      <c r="G3257" s="132"/>
      <c r="H3257" s="132">
        <f t="shared" si="367"/>
        <v>0</v>
      </c>
      <c r="I3257" s="132"/>
      <c r="J3257" s="132">
        <f t="shared" si="365"/>
        <v>0</v>
      </c>
      <c r="K3257" s="132">
        <f t="shared" si="368"/>
        <v>0</v>
      </c>
      <c r="L3257" s="132">
        <f t="shared" si="362"/>
        <v>0</v>
      </c>
      <c r="M3257" s="133"/>
      <c r="N3257" s="133">
        <f t="shared" si="366"/>
        <v>0</v>
      </c>
      <c r="O3257" s="134"/>
      <c r="P3257" s="133"/>
      <c r="Q3257" s="2"/>
      <c r="R3257" s="156">
        <f t="shared" si="363"/>
        <v>0</v>
      </c>
      <c r="S3257" s="156">
        <f t="shared" si="364"/>
        <v>0</v>
      </c>
      <c r="T3257" s="133"/>
      <c r="U3257" s="133"/>
      <c r="V3257" s="133"/>
      <c r="W3257" s="133"/>
      <c r="X3257" s="133"/>
      <c r="Y3257" s="133"/>
      <c r="Z3257" s="133"/>
      <c r="AA3257" s="133"/>
      <c r="AB3257" s="133"/>
      <c r="AC3257" s="133"/>
      <c r="AD3257" s="133"/>
      <c r="AE3257" s="133"/>
      <c r="AF3257" s="133"/>
      <c r="AG3257" s="133"/>
      <c r="AH3257" s="133"/>
      <c r="AI3257" s="133"/>
      <c r="AJ3257" s="133"/>
      <c r="AK3257" s="133"/>
      <c r="AL3257" s="133"/>
      <c r="AM3257" s="133"/>
      <c r="AN3257" s="133"/>
      <c r="AO3257" s="133"/>
      <c r="AP3257" s="133"/>
      <c r="AQ3257" s="133"/>
      <c r="AR3257" s="133"/>
      <c r="AS3257" s="153">
        <v>0</v>
      </c>
      <c r="AT3257" s="153">
        <v>0</v>
      </c>
      <c r="AU3257" s="153">
        <v>0</v>
      </c>
      <c r="AV3257" s="135"/>
      <c r="AW3257" s="135"/>
      <c r="AX3257" s="135"/>
      <c r="AY3257" s="135"/>
      <c r="AZ3257" s="135"/>
      <c r="BA3257" s="135"/>
      <c r="BB3257" s="135"/>
      <c r="BC3257" s="135"/>
      <c r="BD3257" s="135"/>
      <c r="BE3257" s="135"/>
      <c r="BF3257" s="135"/>
      <c r="BG3257" s="135"/>
      <c r="BH3257" s="135"/>
      <c r="BI3257" s="2"/>
      <c r="BJ3257" s="136"/>
      <c r="BK3257" s="2"/>
      <c r="BL3257" s="136"/>
      <c r="BM3257" s="136"/>
      <c r="BN3257" s="2"/>
      <c r="BO3257" s="2"/>
      <c r="BP3257" s="136"/>
      <c r="BQ3257" s="137"/>
    </row>
    <row r="3258" spans="1:69" ht="12.75" customHeight="1" x14ac:dyDescent="0.2">
      <c r="A3258" s="2">
        <v>4747</v>
      </c>
      <c r="B3258" s="2"/>
      <c r="C3258" s="2"/>
      <c r="D3258" s="2"/>
      <c r="E3258" s="2"/>
      <c r="F3258" s="132">
        <v>0</v>
      </c>
      <c r="G3258" s="132"/>
      <c r="H3258" s="132">
        <f t="shared" si="367"/>
        <v>0</v>
      </c>
      <c r="I3258" s="132"/>
      <c r="J3258" s="132">
        <f t="shared" si="365"/>
        <v>0</v>
      </c>
      <c r="K3258" s="132">
        <f t="shared" si="368"/>
        <v>0</v>
      </c>
      <c r="L3258" s="132">
        <f t="shared" si="362"/>
        <v>0</v>
      </c>
      <c r="M3258" s="133"/>
      <c r="N3258" s="133">
        <f t="shared" si="366"/>
        <v>0</v>
      </c>
      <c r="O3258" s="134"/>
      <c r="P3258" s="133"/>
      <c r="Q3258" s="2"/>
      <c r="R3258" s="156">
        <f t="shared" si="363"/>
        <v>0</v>
      </c>
      <c r="S3258" s="156">
        <f t="shared" si="364"/>
        <v>0</v>
      </c>
      <c r="T3258" s="133"/>
      <c r="U3258" s="133"/>
      <c r="V3258" s="133"/>
      <c r="W3258" s="133"/>
      <c r="X3258" s="133"/>
      <c r="Y3258" s="133"/>
      <c r="Z3258" s="133"/>
      <c r="AA3258" s="133"/>
      <c r="AB3258" s="133"/>
      <c r="AC3258" s="133"/>
      <c r="AD3258" s="133"/>
      <c r="AE3258" s="133"/>
      <c r="AF3258" s="133"/>
      <c r="AG3258" s="133"/>
      <c r="AH3258" s="133"/>
      <c r="AI3258" s="133"/>
      <c r="AJ3258" s="133"/>
      <c r="AK3258" s="133"/>
      <c r="AL3258" s="133"/>
      <c r="AM3258" s="133"/>
      <c r="AN3258" s="133"/>
      <c r="AO3258" s="133"/>
      <c r="AP3258" s="133"/>
      <c r="AQ3258" s="133"/>
      <c r="AR3258" s="133"/>
      <c r="AS3258" s="153">
        <v>0</v>
      </c>
      <c r="AT3258" s="153">
        <v>0</v>
      </c>
      <c r="AU3258" s="153">
        <v>0</v>
      </c>
      <c r="AV3258" s="135"/>
      <c r="AW3258" s="135"/>
      <c r="AX3258" s="135"/>
      <c r="AY3258" s="135"/>
      <c r="AZ3258" s="135"/>
      <c r="BA3258" s="135"/>
      <c r="BB3258" s="135"/>
      <c r="BC3258" s="135"/>
      <c r="BD3258" s="135"/>
      <c r="BE3258" s="135"/>
      <c r="BF3258" s="135"/>
      <c r="BG3258" s="135"/>
      <c r="BH3258" s="135"/>
      <c r="BI3258" s="2"/>
      <c r="BJ3258" s="136"/>
      <c r="BK3258" s="2"/>
      <c r="BL3258" s="136"/>
      <c r="BM3258" s="136"/>
      <c r="BN3258" s="2"/>
      <c r="BO3258" s="2"/>
      <c r="BP3258" s="136"/>
      <c r="BQ3258" s="137"/>
    </row>
    <row r="3259" spans="1:69" ht="12.75" customHeight="1" x14ac:dyDescent="0.2">
      <c r="A3259" s="2">
        <v>4748</v>
      </c>
      <c r="B3259" s="2"/>
      <c r="C3259" s="2"/>
      <c r="D3259" s="2"/>
      <c r="E3259" s="2"/>
      <c r="F3259" s="132">
        <v>0</v>
      </c>
      <c r="G3259" s="132"/>
      <c r="H3259" s="132">
        <f t="shared" si="367"/>
        <v>0</v>
      </c>
      <c r="I3259" s="132"/>
      <c r="J3259" s="132">
        <f t="shared" si="365"/>
        <v>0</v>
      </c>
      <c r="K3259" s="132">
        <f t="shared" si="368"/>
        <v>0</v>
      </c>
      <c r="L3259" s="132">
        <f t="shared" si="362"/>
        <v>0</v>
      </c>
      <c r="M3259" s="133"/>
      <c r="N3259" s="133">
        <f t="shared" si="366"/>
        <v>0</v>
      </c>
      <c r="O3259" s="134"/>
      <c r="P3259" s="133"/>
      <c r="Q3259" s="2"/>
      <c r="R3259" s="156">
        <f t="shared" si="363"/>
        <v>0</v>
      </c>
      <c r="S3259" s="156">
        <f t="shared" si="364"/>
        <v>0</v>
      </c>
      <c r="T3259" s="133"/>
      <c r="U3259" s="133"/>
      <c r="V3259" s="133"/>
      <c r="W3259" s="133"/>
      <c r="X3259" s="133"/>
      <c r="Y3259" s="133"/>
      <c r="Z3259" s="133"/>
      <c r="AA3259" s="133"/>
      <c r="AB3259" s="133"/>
      <c r="AC3259" s="133"/>
      <c r="AD3259" s="133"/>
      <c r="AE3259" s="133"/>
      <c r="AF3259" s="133"/>
      <c r="AG3259" s="133"/>
      <c r="AH3259" s="133"/>
      <c r="AI3259" s="133"/>
      <c r="AJ3259" s="133"/>
      <c r="AK3259" s="133"/>
      <c r="AL3259" s="133"/>
      <c r="AM3259" s="133"/>
      <c r="AN3259" s="133"/>
      <c r="AO3259" s="133"/>
      <c r="AP3259" s="133"/>
      <c r="AQ3259" s="133"/>
      <c r="AR3259" s="133"/>
      <c r="AS3259" s="153">
        <v>0</v>
      </c>
      <c r="AT3259" s="153">
        <v>0</v>
      </c>
      <c r="AU3259" s="153">
        <v>0</v>
      </c>
      <c r="AV3259" s="135"/>
      <c r="AW3259" s="135"/>
      <c r="AX3259" s="135"/>
      <c r="AY3259" s="135"/>
      <c r="AZ3259" s="135"/>
      <c r="BA3259" s="135"/>
      <c r="BB3259" s="135"/>
      <c r="BC3259" s="135"/>
      <c r="BD3259" s="135"/>
      <c r="BE3259" s="135"/>
      <c r="BF3259" s="135"/>
      <c r="BG3259" s="135"/>
      <c r="BH3259" s="135"/>
      <c r="BI3259" s="2"/>
      <c r="BJ3259" s="136"/>
      <c r="BK3259" s="2"/>
      <c r="BL3259" s="136"/>
      <c r="BM3259" s="136"/>
      <c r="BN3259" s="2"/>
      <c r="BO3259" s="2"/>
      <c r="BP3259" s="136"/>
      <c r="BQ3259" s="137"/>
    </row>
    <row r="3260" spans="1:69" ht="12.75" customHeight="1" x14ac:dyDescent="0.2">
      <c r="A3260" s="2">
        <v>4749</v>
      </c>
      <c r="B3260" s="2"/>
      <c r="C3260" s="2"/>
      <c r="D3260" s="2"/>
      <c r="E3260" s="2"/>
      <c r="F3260" s="132">
        <v>0</v>
      </c>
      <c r="G3260" s="132"/>
      <c r="H3260" s="132">
        <f t="shared" si="367"/>
        <v>0</v>
      </c>
      <c r="I3260" s="132"/>
      <c r="J3260" s="132">
        <f t="shared" si="365"/>
        <v>0</v>
      </c>
      <c r="K3260" s="132">
        <f t="shared" si="368"/>
        <v>0</v>
      </c>
      <c r="L3260" s="132">
        <f t="shared" si="362"/>
        <v>0</v>
      </c>
      <c r="M3260" s="133"/>
      <c r="N3260" s="133">
        <f t="shared" si="366"/>
        <v>0</v>
      </c>
      <c r="O3260" s="134"/>
      <c r="P3260" s="133"/>
      <c r="Q3260" s="2"/>
      <c r="R3260" s="156">
        <f t="shared" si="363"/>
        <v>0</v>
      </c>
      <c r="S3260" s="156">
        <f t="shared" si="364"/>
        <v>0</v>
      </c>
      <c r="T3260" s="133"/>
      <c r="U3260" s="133"/>
      <c r="V3260" s="133"/>
      <c r="W3260" s="133"/>
      <c r="X3260" s="133"/>
      <c r="Y3260" s="133"/>
      <c r="Z3260" s="133"/>
      <c r="AA3260" s="133"/>
      <c r="AB3260" s="133"/>
      <c r="AC3260" s="133"/>
      <c r="AD3260" s="133"/>
      <c r="AE3260" s="133"/>
      <c r="AF3260" s="133"/>
      <c r="AG3260" s="133"/>
      <c r="AH3260" s="133"/>
      <c r="AI3260" s="133"/>
      <c r="AJ3260" s="133"/>
      <c r="AK3260" s="133"/>
      <c r="AL3260" s="133"/>
      <c r="AM3260" s="133"/>
      <c r="AN3260" s="133"/>
      <c r="AO3260" s="133"/>
      <c r="AP3260" s="133"/>
      <c r="AQ3260" s="133"/>
      <c r="AR3260" s="133"/>
      <c r="AS3260" s="153">
        <v>0</v>
      </c>
      <c r="AT3260" s="153">
        <v>0</v>
      </c>
      <c r="AU3260" s="153">
        <v>0</v>
      </c>
      <c r="AV3260" s="135"/>
      <c r="AW3260" s="135"/>
      <c r="AX3260" s="135"/>
      <c r="AY3260" s="135"/>
      <c r="AZ3260" s="135"/>
      <c r="BA3260" s="135"/>
      <c r="BB3260" s="135"/>
      <c r="BC3260" s="135"/>
      <c r="BD3260" s="135"/>
      <c r="BE3260" s="135"/>
      <c r="BF3260" s="135"/>
      <c r="BG3260" s="135"/>
      <c r="BH3260" s="135"/>
      <c r="BI3260" s="2"/>
      <c r="BJ3260" s="136"/>
      <c r="BK3260" s="2"/>
      <c r="BL3260" s="136"/>
      <c r="BM3260" s="136"/>
      <c r="BN3260" s="2"/>
      <c r="BO3260" s="2"/>
      <c r="BP3260" s="136"/>
      <c r="BQ3260" s="137"/>
    </row>
    <row r="3261" spans="1:69" ht="12.75" customHeight="1" x14ac:dyDescent="0.2">
      <c r="A3261" s="2">
        <v>4750</v>
      </c>
      <c r="B3261" s="2"/>
      <c r="C3261" s="2"/>
      <c r="D3261" s="2"/>
      <c r="E3261" s="2"/>
      <c r="F3261" s="132">
        <v>0</v>
      </c>
      <c r="G3261" s="132"/>
      <c r="H3261" s="132">
        <f t="shared" si="367"/>
        <v>0</v>
      </c>
      <c r="I3261" s="132"/>
      <c r="J3261" s="132">
        <f t="shared" si="365"/>
        <v>0</v>
      </c>
      <c r="K3261" s="132">
        <f t="shared" si="368"/>
        <v>0</v>
      </c>
      <c r="L3261" s="132">
        <f t="shared" si="362"/>
        <v>0</v>
      </c>
      <c r="M3261" s="133"/>
      <c r="N3261" s="133">
        <f t="shared" si="366"/>
        <v>0</v>
      </c>
      <c r="O3261" s="134"/>
      <c r="P3261" s="133"/>
      <c r="Q3261" s="2"/>
      <c r="R3261" s="156">
        <f t="shared" si="363"/>
        <v>0</v>
      </c>
      <c r="S3261" s="156">
        <f t="shared" si="364"/>
        <v>0</v>
      </c>
      <c r="T3261" s="133"/>
      <c r="U3261" s="133"/>
      <c r="V3261" s="133"/>
      <c r="W3261" s="133"/>
      <c r="X3261" s="133"/>
      <c r="Y3261" s="133"/>
      <c r="Z3261" s="133"/>
      <c r="AA3261" s="133"/>
      <c r="AB3261" s="133"/>
      <c r="AC3261" s="133"/>
      <c r="AD3261" s="133"/>
      <c r="AE3261" s="133"/>
      <c r="AF3261" s="133"/>
      <c r="AG3261" s="133"/>
      <c r="AH3261" s="133"/>
      <c r="AI3261" s="133"/>
      <c r="AJ3261" s="133"/>
      <c r="AK3261" s="133"/>
      <c r="AL3261" s="133"/>
      <c r="AM3261" s="133"/>
      <c r="AN3261" s="133"/>
      <c r="AO3261" s="133"/>
      <c r="AP3261" s="133"/>
      <c r="AQ3261" s="133"/>
      <c r="AR3261" s="133"/>
      <c r="AS3261" s="153">
        <v>0</v>
      </c>
      <c r="AT3261" s="153">
        <v>0</v>
      </c>
      <c r="AU3261" s="153">
        <v>0</v>
      </c>
      <c r="AV3261" s="135"/>
      <c r="AW3261" s="135"/>
      <c r="AX3261" s="135"/>
      <c r="AY3261" s="135"/>
      <c r="AZ3261" s="135"/>
      <c r="BA3261" s="135"/>
      <c r="BB3261" s="135"/>
      <c r="BC3261" s="135"/>
      <c r="BD3261" s="135"/>
      <c r="BE3261" s="135"/>
      <c r="BF3261" s="135"/>
      <c r="BG3261" s="135"/>
      <c r="BH3261" s="135"/>
      <c r="BI3261" s="2"/>
      <c r="BJ3261" s="136"/>
      <c r="BK3261" s="2"/>
      <c r="BL3261" s="136"/>
      <c r="BM3261" s="136"/>
      <c r="BN3261" s="2"/>
      <c r="BO3261" s="2"/>
      <c r="BP3261" s="136"/>
      <c r="BQ3261" s="137"/>
    </row>
    <row r="3262" spans="1:69" ht="12.75" customHeight="1" x14ac:dyDescent="0.2">
      <c r="A3262" s="2">
        <v>4751</v>
      </c>
      <c r="B3262" s="2"/>
      <c r="C3262" s="2"/>
      <c r="D3262" s="2"/>
      <c r="E3262" s="2"/>
      <c r="F3262" s="132">
        <v>0</v>
      </c>
      <c r="G3262" s="132"/>
      <c r="H3262" s="132">
        <f t="shared" si="367"/>
        <v>0</v>
      </c>
      <c r="I3262" s="132"/>
      <c r="J3262" s="132">
        <f t="shared" si="365"/>
        <v>0</v>
      </c>
      <c r="K3262" s="132">
        <f t="shared" si="368"/>
        <v>0</v>
      </c>
      <c r="L3262" s="132">
        <f t="shared" si="362"/>
        <v>0</v>
      </c>
      <c r="M3262" s="133"/>
      <c r="N3262" s="133">
        <f t="shared" si="366"/>
        <v>0</v>
      </c>
      <c r="O3262" s="134"/>
      <c r="P3262" s="133"/>
      <c r="Q3262" s="2"/>
      <c r="R3262" s="156">
        <f t="shared" si="363"/>
        <v>0</v>
      </c>
      <c r="S3262" s="156">
        <f t="shared" si="364"/>
        <v>0</v>
      </c>
      <c r="T3262" s="133"/>
      <c r="U3262" s="133"/>
      <c r="V3262" s="133"/>
      <c r="W3262" s="133"/>
      <c r="X3262" s="133"/>
      <c r="Y3262" s="133"/>
      <c r="Z3262" s="133"/>
      <c r="AA3262" s="133"/>
      <c r="AB3262" s="133"/>
      <c r="AC3262" s="133"/>
      <c r="AD3262" s="133"/>
      <c r="AE3262" s="133"/>
      <c r="AF3262" s="133"/>
      <c r="AG3262" s="133"/>
      <c r="AH3262" s="133"/>
      <c r="AI3262" s="133"/>
      <c r="AJ3262" s="133"/>
      <c r="AK3262" s="133"/>
      <c r="AL3262" s="133"/>
      <c r="AM3262" s="133"/>
      <c r="AN3262" s="133"/>
      <c r="AO3262" s="133"/>
      <c r="AP3262" s="133"/>
      <c r="AQ3262" s="133"/>
      <c r="AR3262" s="133"/>
      <c r="AS3262" s="153">
        <v>0</v>
      </c>
      <c r="AT3262" s="153">
        <v>0</v>
      </c>
      <c r="AU3262" s="153">
        <v>0</v>
      </c>
      <c r="AV3262" s="135"/>
      <c r="AW3262" s="135"/>
      <c r="AX3262" s="135"/>
      <c r="AY3262" s="135"/>
      <c r="AZ3262" s="135"/>
      <c r="BA3262" s="135"/>
      <c r="BB3262" s="135"/>
      <c r="BC3262" s="135"/>
      <c r="BD3262" s="135"/>
      <c r="BE3262" s="135"/>
      <c r="BF3262" s="135"/>
      <c r="BG3262" s="135"/>
      <c r="BH3262" s="135"/>
      <c r="BI3262" s="2"/>
      <c r="BJ3262" s="136"/>
      <c r="BK3262" s="2"/>
      <c r="BL3262" s="136"/>
      <c r="BM3262" s="136"/>
      <c r="BN3262" s="2"/>
      <c r="BO3262" s="2"/>
      <c r="BP3262" s="136"/>
      <c r="BQ3262" s="137"/>
    </row>
    <row r="3263" spans="1:69" ht="12.75" customHeight="1" x14ac:dyDescent="0.2">
      <c r="A3263" s="2">
        <v>4752</v>
      </c>
      <c r="B3263" s="2"/>
      <c r="C3263" s="2"/>
      <c r="D3263" s="2"/>
      <c r="E3263" s="2"/>
      <c r="F3263" s="132">
        <v>0</v>
      </c>
      <c r="G3263" s="132"/>
      <c r="H3263" s="132">
        <f t="shared" si="367"/>
        <v>0</v>
      </c>
      <c r="I3263" s="132"/>
      <c r="J3263" s="132">
        <f t="shared" si="365"/>
        <v>0</v>
      </c>
      <c r="K3263" s="132">
        <f t="shared" si="368"/>
        <v>0</v>
      </c>
      <c r="L3263" s="132">
        <f t="shared" si="362"/>
        <v>0</v>
      </c>
      <c r="M3263" s="133"/>
      <c r="N3263" s="133">
        <f t="shared" si="366"/>
        <v>0</v>
      </c>
      <c r="O3263" s="134"/>
      <c r="P3263" s="133"/>
      <c r="Q3263" s="2"/>
      <c r="R3263" s="156">
        <f t="shared" si="363"/>
        <v>0</v>
      </c>
      <c r="S3263" s="156">
        <f t="shared" si="364"/>
        <v>0</v>
      </c>
      <c r="T3263" s="133"/>
      <c r="U3263" s="133"/>
      <c r="V3263" s="133"/>
      <c r="W3263" s="133"/>
      <c r="X3263" s="133"/>
      <c r="Y3263" s="133"/>
      <c r="Z3263" s="133"/>
      <c r="AA3263" s="133"/>
      <c r="AB3263" s="133"/>
      <c r="AC3263" s="133"/>
      <c r="AD3263" s="133"/>
      <c r="AE3263" s="133"/>
      <c r="AF3263" s="133"/>
      <c r="AG3263" s="133"/>
      <c r="AH3263" s="133"/>
      <c r="AI3263" s="133"/>
      <c r="AJ3263" s="133"/>
      <c r="AK3263" s="133"/>
      <c r="AL3263" s="133"/>
      <c r="AM3263" s="133"/>
      <c r="AN3263" s="133"/>
      <c r="AO3263" s="133"/>
      <c r="AP3263" s="133"/>
      <c r="AQ3263" s="133"/>
      <c r="AR3263" s="133"/>
      <c r="AS3263" s="153">
        <v>0</v>
      </c>
      <c r="AT3263" s="153">
        <v>0</v>
      </c>
      <c r="AU3263" s="153">
        <v>0</v>
      </c>
      <c r="AV3263" s="135"/>
      <c r="AW3263" s="135"/>
      <c r="AX3263" s="135"/>
      <c r="AY3263" s="135"/>
      <c r="AZ3263" s="135"/>
      <c r="BA3263" s="135"/>
      <c r="BB3263" s="135"/>
      <c r="BC3263" s="135"/>
      <c r="BD3263" s="135"/>
      <c r="BE3263" s="135"/>
      <c r="BF3263" s="135"/>
      <c r="BG3263" s="135"/>
      <c r="BH3263" s="135"/>
      <c r="BI3263" s="2"/>
      <c r="BJ3263" s="136"/>
      <c r="BK3263" s="2"/>
      <c r="BL3263" s="136"/>
      <c r="BM3263" s="136"/>
      <c r="BN3263" s="2"/>
      <c r="BO3263" s="2"/>
      <c r="BP3263" s="136"/>
      <c r="BQ3263" s="137"/>
    </row>
    <row r="3264" spans="1:69" ht="12.75" customHeight="1" x14ac:dyDescent="0.2">
      <c r="A3264" s="2">
        <v>4753</v>
      </c>
      <c r="B3264" s="2"/>
      <c r="C3264" s="2"/>
      <c r="D3264" s="2"/>
      <c r="E3264" s="2"/>
      <c r="F3264" s="132">
        <v>0</v>
      </c>
      <c r="G3264" s="132"/>
      <c r="H3264" s="132">
        <f t="shared" si="367"/>
        <v>0</v>
      </c>
      <c r="I3264" s="132"/>
      <c r="J3264" s="132">
        <f t="shared" si="365"/>
        <v>0</v>
      </c>
      <c r="K3264" s="132">
        <f t="shared" si="368"/>
        <v>0</v>
      </c>
      <c r="L3264" s="132">
        <f t="shared" si="362"/>
        <v>0</v>
      </c>
      <c r="M3264" s="133"/>
      <c r="N3264" s="133">
        <f t="shared" si="366"/>
        <v>0</v>
      </c>
      <c r="O3264" s="134"/>
      <c r="P3264" s="133"/>
      <c r="Q3264" s="2"/>
      <c r="R3264" s="156">
        <f t="shared" si="363"/>
        <v>0</v>
      </c>
      <c r="S3264" s="156">
        <f t="shared" si="364"/>
        <v>0</v>
      </c>
      <c r="T3264" s="133"/>
      <c r="U3264" s="133"/>
      <c r="V3264" s="133"/>
      <c r="W3264" s="133"/>
      <c r="X3264" s="133"/>
      <c r="Y3264" s="133"/>
      <c r="Z3264" s="133"/>
      <c r="AA3264" s="133"/>
      <c r="AB3264" s="133"/>
      <c r="AC3264" s="133"/>
      <c r="AD3264" s="133"/>
      <c r="AE3264" s="133"/>
      <c r="AF3264" s="133"/>
      <c r="AG3264" s="133"/>
      <c r="AH3264" s="133"/>
      <c r="AI3264" s="133"/>
      <c r="AJ3264" s="133"/>
      <c r="AK3264" s="133"/>
      <c r="AL3264" s="133"/>
      <c r="AM3264" s="133"/>
      <c r="AN3264" s="133"/>
      <c r="AO3264" s="133"/>
      <c r="AP3264" s="133"/>
      <c r="AQ3264" s="133"/>
      <c r="AR3264" s="133"/>
      <c r="AS3264" s="153">
        <v>0</v>
      </c>
      <c r="AT3264" s="153">
        <v>0</v>
      </c>
      <c r="AU3264" s="153">
        <v>0</v>
      </c>
      <c r="AV3264" s="135"/>
      <c r="AW3264" s="135"/>
      <c r="AX3264" s="135"/>
      <c r="AY3264" s="135"/>
      <c r="AZ3264" s="135"/>
      <c r="BA3264" s="135"/>
      <c r="BB3264" s="135"/>
      <c r="BC3264" s="135"/>
      <c r="BD3264" s="135"/>
      <c r="BE3264" s="135"/>
      <c r="BF3264" s="135"/>
      <c r="BG3264" s="135"/>
      <c r="BH3264" s="135"/>
      <c r="BI3264" s="2"/>
      <c r="BJ3264" s="136"/>
      <c r="BK3264" s="2"/>
      <c r="BL3264" s="136"/>
      <c r="BM3264" s="136"/>
      <c r="BN3264" s="2"/>
      <c r="BO3264" s="2"/>
      <c r="BP3264" s="136"/>
      <c r="BQ3264" s="137"/>
    </row>
    <row r="3265" spans="1:69" ht="12.75" customHeight="1" x14ac:dyDescent="0.2">
      <c r="A3265" s="2">
        <v>4754</v>
      </c>
      <c r="B3265" s="2"/>
      <c r="C3265" s="2"/>
      <c r="D3265" s="2"/>
      <c r="E3265" s="2"/>
      <c r="F3265" s="132">
        <v>0</v>
      </c>
      <c r="G3265" s="132"/>
      <c r="H3265" s="132">
        <f t="shared" si="367"/>
        <v>0</v>
      </c>
      <c r="I3265" s="132"/>
      <c r="J3265" s="132">
        <f t="shared" si="365"/>
        <v>0</v>
      </c>
      <c r="K3265" s="132">
        <f t="shared" si="368"/>
        <v>0</v>
      </c>
      <c r="L3265" s="132">
        <f t="shared" si="362"/>
        <v>0</v>
      </c>
      <c r="M3265" s="133"/>
      <c r="N3265" s="133">
        <f t="shared" si="366"/>
        <v>0</v>
      </c>
      <c r="O3265" s="134"/>
      <c r="P3265" s="133"/>
      <c r="Q3265" s="2"/>
      <c r="R3265" s="156">
        <f t="shared" si="363"/>
        <v>0</v>
      </c>
      <c r="S3265" s="156">
        <f t="shared" si="364"/>
        <v>0</v>
      </c>
      <c r="T3265" s="133"/>
      <c r="U3265" s="133"/>
      <c r="V3265" s="133"/>
      <c r="W3265" s="133"/>
      <c r="X3265" s="133"/>
      <c r="Y3265" s="133"/>
      <c r="Z3265" s="133"/>
      <c r="AA3265" s="133"/>
      <c r="AB3265" s="133"/>
      <c r="AC3265" s="133"/>
      <c r="AD3265" s="133"/>
      <c r="AE3265" s="133"/>
      <c r="AF3265" s="133"/>
      <c r="AG3265" s="133"/>
      <c r="AH3265" s="133"/>
      <c r="AI3265" s="133"/>
      <c r="AJ3265" s="133"/>
      <c r="AK3265" s="133"/>
      <c r="AL3265" s="133"/>
      <c r="AM3265" s="133"/>
      <c r="AN3265" s="133"/>
      <c r="AO3265" s="133"/>
      <c r="AP3265" s="133"/>
      <c r="AQ3265" s="133"/>
      <c r="AR3265" s="133"/>
      <c r="AS3265" s="153">
        <v>0</v>
      </c>
      <c r="AT3265" s="153">
        <v>0</v>
      </c>
      <c r="AU3265" s="153">
        <v>0</v>
      </c>
      <c r="AV3265" s="135"/>
      <c r="AW3265" s="135"/>
      <c r="AX3265" s="135"/>
      <c r="AY3265" s="135"/>
      <c r="AZ3265" s="135"/>
      <c r="BA3265" s="135"/>
      <c r="BB3265" s="135"/>
      <c r="BC3265" s="135"/>
      <c r="BD3265" s="135"/>
      <c r="BE3265" s="135"/>
      <c r="BF3265" s="135"/>
      <c r="BG3265" s="135"/>
      <c r="BH3265" s="135"/>
      <c r="BI3265" s="2"/>
      <c r="BJ3265" s="136"/>
      <c r="BK3265" s="2"/>
      <c r="BL3265" s="136"/>
      <c r="BM3265" s="136"/>
      <c r="BN3265" s="2"/>
      <c r="BO3265" s="2"/>
      <c r="BP3265" s="136"/>
      <c r="BQ3265" s="137"/>
    </row>
    <row r="3266" spans="1:69" ht="12.75" customHeight="1" x14ac:dyDescent="0.2">
      <c r="A3266" s="2">
        <v>4755</v>
      </c>
      <c r="B3266" s="2"/>
      <c r="C3266" s="2"/>
      <c r="D3266" s="2"/>
      <c r="E3266" s="2"/>
      <c r="F3266" s="132">
        <v>0</v>
      </c>
      <c r="G3266" s="132"/>
      <c r="H3266" s="132">
        <f t="shared" si="367"/>
        <v>0</v>
      </c>
      <c r="I3266" s="132"/>
      <c r="J3266" s="132">
        <f t="shared" si="365"/>
        <v>0</v>
      </c>
      <c r="K3266" s="132">
        <f t="shared" si="368"/>
        <v>0</v>
      </c>
      <c r="L3266" s="132">
        <f t="shared" si="362"/>
        <v>0</v>
      </c>
      <c r="M3266" s="133"/>
      <c r="N3266" s="133">
        <f t="shared" si="366"/>
        <v>0</v>
      </c>
      <c r="O3266" s="134"/>
      <c r="P3266" s="133"/>
      <c r="Q3266" s="2"/>
      <c r="R3266" s="156">
        <f t="shared" si="363"/>
        <v>0</v>
      </c>
      <c r="S3266" s="156">
        <f t="shared" si="364"/>
        <v>0</v>
      </c>
      <c r="T3266" s="133"/>
      <c r="U3266" s="133"/>
      <c r="V3266" s="133"/>
      <c r="W3266" s="133"/>
      <c r="X3266" s="133"/>
      <c r="Y3266" s="133"/>
      <c r="Z3266" s="133"/>
      <c r="AA3266" s="133"/>
      <c r="AB3266" s="133"/>
      <c r="AC3266" s="133"/>
      <c r="AD3266" s="133"/>
      <c r="AE3266" s="133"/>
      <c r="AF3266" s="133"/>
      <c r="AG3266" s="133"/>
      <c r="AH3266" s="133"/>
      <c r="AI3266" s="133"/>
      <c r="AJ3266" s="133"/>
      <c r="AK3266" s="133"/>
      <c r="AL3266" s="133"/>
      <c r="AM3266" s="133"/>
      <c r="AN3266" s="133"/>
      <c r="AO3266" s="133"/>
      <c r="AP3266" s="133"/>
      <c r="AQ3266" s="133"/>
      <c r="AR3266" s="133"/>
      <c r="AS3266" s="153">
        <v>0</v>
      </c>
      <c r="AT3266" s="153">
        <v>0</v>
      </c>
      <c r="AU3266" s="153">
        <v>0</v>
      </c>
      <c r="AV3266" s="135"/>
      <c r="AW3266" s="135"/>
      <c r="AX3266" s="135"/>
      <c r="AY3266" s="135"/>
      <c r="AZ3266" s="135"/>
      <c r="BA3266" s="135"/>
      <c r="BB3266" s="135"/>
      <c r="BC3266" s="135"/>
      <c r="BD3266" s="135"/>
      <c r="BE3266" s="135"/>
      <c r="BF3266" s="135"/>
      <c r="BG3266" s="135"/>
      <c r="BH3266" s="135"/>
      <c r="BI3266" s="2"/>
      <c r="BJ3266" s="136"/>
      <c r="BK3266" s="2"/>
      <c r="BL3266" s="136"/>
      <c r="BM3266" s="136"/>
      <c r="BN3266" s="2"/>
      <c r="BO3266" s="2"/>
      <c r="BP3266" s="136"/>
      <c r="BQ3266" s="137"/>
    </row>
    <row r="3267" spans="1:69" ht="12.75" customHeight="1" x14ac:dyDescent="0.2">
      <c r="A3267" s="2">
        <v>4756</v>
      </c>
      <c r="B3267" s="2"/>
      <c r="C3267" s="2"/>
      <c r="D3267" s="2"/>
      <c r="E3267" s="2"/>
      <c r="F3267" s="132">
        <v>0</v>
      </c>
      <c r="G3267" s="132"/>
      <c r="H3267" s="132">
        <f t="shared" si="367"/>
        <v>0</v>
      </c>
      <c r="I3267" s="132"/>
      <c r="J3267" s="132">
        <f t="shared" si="365"/>
        <v>0</v>
      </c>
      <c r="K3267" s="132">
        <f t="shared" si="368"/>
        <v>0</v>
      </c>
      <c r="L3267" s="132">
        <f t="shared" si="362"/>
        <v>0</v>
      </c>
      <c r="M3267" s="133"/>
      <c r="N3267" s="133">
        <f t="shared" si="366"/>
        <v>0</v>
      </c>
      <c r="O3267" s="134"/>
      <c r="P3267" s="133"/>
      <c r="Q3267" s="2"/>
      <c r="R3267" s="156">
        <f t="shared" si="363"/>
        <v>0</v>
      </c>
      <c r="S3267" s="156">
        <f t="shared" si="364"/>
        <v>0</v>
      </c>
      <c r="T3267" s="133"/>
      <c r="U3267" s="133"/>
      <c r="V3267" s="133"/>
      <c r="W3267" s="133"/>
      <c r="X3267" s="133"/>
      <c r="Y3267" s="133"/>
      <c r="Z3267" s="133"/>
      <c r="AA3267" s="133"/>
      <c r="AB3267" s="133"/>
      <c r="AC3267" s="133"/>
      <c r="AD3267" s="133"/>
      <c r="AE3267" s="133"/>
      <c r="AF3267" s="133"/>
      <c r="AG3267" s="133"/>
      <c r="AH3267" s="133"/>
      <c r="AI3267" s="133"/>
      <c r="AJ3267" s="133"/>
      <c r="AK3267" s="133"/>
      <c r="AL3267" s="133"/>
      <c r="AM3267" s="133"/>
      <c r="AN3267" s="133"/>
      <c r="AO3267" s="133"/>
      <c r="AP3267" s="133"/>
      <c r="AQ3267" s="133"/>
      <c r="AR3267" s="133"/>
      <c r="AS3267" s="153">
        <v>0</v>
      </c>
      <c r="AT3267" s="153">
        <v>0</v>
      </c>
      <c r="AU3267" s="153">
        <v>0</v>
      </c>
      <c r="AV3267" s="135"/>
      <c r="AW3267" s="135"/>
      <c r="AX3267" s="135"/>
      <c r="AY3267" s="135"/>
      <c r="AZ3267" s="135"/>
      <c r="BA3267" s="135"/>
      <c r="BB3267" s="135"/>
      <c r="BC3267" s="135"/>
      <c r="BD3267" s="135"/>
      <c r="BE3267" s="135"/>
      <c r="BF3267" s="135"/>
      <c r="BG3267" s="135"/>
      <c r="BH3267" s="135"/>
      <c r="BI3267" s="2"/>
      <c r="BJ3267" s="136"/>
      <c r="BK3267" s="2"/>
      <c r="BL3267" s="136"/>
      <c r="BM3267" s="136"/>
      <c r="BN3267" s="2"/>
      <c r="BO3267" s="2"/>
      <c r="BP3267" s="136"/>
      <c r="BQ3267" s="137"/>
    </row>
    <row r="3268" spans="1:69" ht="12.75" customHeight="1" x14ac:dyDescent="0.2">
      <c r="A3268" s="2">
        <v>4757</v>
      </c>
      <c r="B3268" s="2"/>
      <c r="C3268" s="2"/>
      <c r="D3268" s="2"/>
      <c r="E3268" s="2"/>
      <c r="F3268" s="132">
        <v>0</v>
      </c>
      <c r="G3268" s="132"/>
      <c r="H3268" s="132">
        <f t="shared" si="367"/>
        <v>0</v>
      </c>
      <c r="I3268" s="132"/>
      <c r="J3268" s="132">
        <f t="shared" si="365"/>
        <v>0</v>
      </c>
      <c r="K3268" s="132">
        <f t="shared" si="368"/>
        <v>0</v>
      </c>
      <c r="L3268" s="132">
        <f t="shared" si="362"/>
        <v>0</v>
      </c>
      <c r="M3268" s="133"/>
      <c r="N3268" s="133">
        <f t="shared" si="366"/>
        <v>0</v>
      </c>
      <c r="O3268" s="134"/>
      <c r="P3268" s="133"/>
      <c r="Q3268" s="2"/>
      <c r="R3268" s="156">
        <f t="shared" si="363"/>
        <v>0</v>
      </c>
      <c r="S3268" s="156">
        <f t="shared" si="364"/>
        <v>0</v>
      </c>
      <c r="T3268" s="133"/>
      <c r="U3268" s="133"/>
      <c r="V3268" s="133"/>
      <c r="W3268" s="133"/>
      <c r="X3268" s="133"/>
      <c r="Y3268" s="133"/>
      <c r="Z3268" s="133"/>
      <c r="AA3268" s="133"/>
      <c r="AB3268" s="133"/>
      <c r="AC3268" s="133"/>
      <c r="AD3268" s="133"/>
      <c r="AE3268" s="133"/>
      <c r="AF3268" s="133"/>
      <c r="AG3268" s="133"/>
      <c r="AH3268" s="133"/>
      <c r="AI3268" s="133"/>
      <c r="AJ3268" s="133"/>
      <c r="AK3268" s="133"/>
      <c r="AL3268" s="133"/>
      <c r="AM3268" s="133"/>
      <c r="AN3268" s="133"/>
      <c r="AO3268" s="133"/>
      <c r="AP3268" s="133"/>
      <c r="AQ3268" s="133"/>
      <c r="AR3268" s="133"/>
      <c r="AS3268" s="153">
        <v>0</v>
      </c>
      <c r="AT3268" s="153">
        <v>0</v>
      </c>
      <c r="AU3268" s="153">
        <v>0</v>
      </c>
      <c r="AV3268" s="135"/>
      <c r="AW3268" s="135"/>
      <c r="AX3268" s="135"/>
      <c r="AY3268" s="135"/>
      <c r="AZ3268" s="135"/>
      <c r="BA3268" s="135"/>
      <c r="BB3268" s="135"/>
      <c r="BC3268" s="135"/>
      <c r="BD3268" s="135"/>
      <c r="BE3268" s="135"/>
      <c r="BF3268" s="135"/>
      <c r="BG3268" s="135"/>
      <c r="BH3268" s="135"/>
      <c r="BI3268" s="2"/>
      <c r="BJ3268" s="136"/>
      <c r="BK3268" s="2"/>
      <c r="BL3268" s="136"/>
      <c r="BM3268" s="136"/>
      <c r="BN3268" s="2"/>
      <c r="BO3268" s="2"/>
      <c r="BP3268" s="136"/>
      <c r="BQ3268" s="137"/>
    </row>
    <row r="3269" spans="1:69" ht="12.75" customHeight="1" x14ac:dyDescent="0.2">
      <c r="A3269" s="2">
        <v>4758</v>
      </c>
      <c r="B3269" s="2"/>
      <c r="C3269" s="2"/>
      <c r="D3269" s="2"/>
      <c r="E3269" s="2"/>
      <c r="F3269" s="132">
        <v>0</v>
      </c>
      <c r="G3269" s="132"/>
      <c r="H3269" s="132">
        <f t="shared" si="367"/>
        <v>0</v>
      </c>
      <c r="I3269" s="132"/>
      <c r="J3269" s="132">
        <f t="shared" si="365"/>
        <v>0</v>
      </c>
      <c r="K3269" s="132">
        <f t="shared" si="368"/>
        <v>0</v>
      </c>
      <c r="L3269" s="132">
        <f t="shared" si="362"/>
        <v>0</v>
      </c>
      <c r="M3269" s="133"/>
      <c r="N3269" s="133">
        <f t="shared" si="366"/>
        <v>0</v>
      </c>
      <c r="O3269" s="134"/>
      <c r="P3269" s="133"/>
      <c r="Q3269" s="2"/>
      <c r="R3269" s="156">
        <f t="shared" si="363"/>
        <v>0</v>
      </c>
      <c r="S3269" s="156">
        <f t="shared" si="364"/>
        <v>0</v>
      </c>
      <c r="T3269" s="133"/>
      <c r="U3269" s="133"/>
      <c r="V3269" s="133"/>
      <c r="W3269" s="133"/>
      <c r="X3269" s="133"/>
      <c r="Y3269" s="133"/>
      <c r="Z3269" s="133"/>
      <c r="AA3269" s="133"/>
      <c r="AB3269" s="133"/>
      <c r="AC3269" s="133"/>
      <c r="AD3269" s="133"/>
      <c r="AE3269" s="133"/>
      <c r="AF3269" s="133"/>
      <c r="AG3269" s="133"/>
      <c r="AH3269" s="133"/>
      <c r="AI3269" s="133"/>
      <c r="AJ3269" s="133"/>
      <c r="AK3269" s="133"/>
      <c r="AL3269" s="133"/>
      <c r="AM3269" s="133"/>
      <c r="AN3269" s="133"/>
      <c r="AO3269" s="133"/>
      <c r="AP3269" s="133"/>
      <c r="AQ3269" s="133"/>
      <c r="AR3269" s="133"/>
      <c r="AS3269" s="153">
        <v>0</v>
      </c>
      <c r="AT3269" s="153">
        <v>0</v>
      </c>
      <c r="AU3269" s="153">
        <v>0</v>
      </c>
      <c r="AV3269" s="135"/>
      <c r="AW3269" s="135"/>
      <c r="AX3269" s="135"/>
      <c r="AY3269" s="135"/>
      <c r="AZ3269" s="135"/>
      <c r="BA3269" s="135"/>
      <c r="BB3269" s="135"/>
      <c r="BC3269" s="135"/>
      <c r="BD3269" s="135"/>
      <c r="BE3269" s="135"/>
      <c r="BF3269" s="135"/>
      <c r="BG3269" s="135"/>
      <c r="BH3269" s="135"/>
      <c r="BI3269" s="2"/>
      <c r="BJ3269" s="136"/>
      <c r="BK3269" s="2"/>
      <c r="BL3269" s="136"/>
      <c r="BM3269" s="136"/>
      <c r="BN3269" s="2"/>
      <c r="BO3269" s="2"/>
      <c r="BP3269" s="136"/>
      <c r="BQ3269" s="137"/>
    </row>
    <row r="3270" spans="1:69" ht="12.75" customHeight="1" x14ac:dyDescent="0.2">
      <c r="A3270" s="2">
        <v>4759</v>
      </c>
      <c r="B3270" s="2"/>
      <c r="C3270" s="2"/>
      <c r="D3270" s="2"/>
      <c r="E3270" s="2"/>
      <c r="F3270" s="132">
        <v>0</v>
      </c>
      <c r="G3270" s="132"/>
      <c r="H3270" s="132">
        <f t="shared" si="367"/>
        <v>0</v>
      </c>
      <c r="I3270" s="132"/>
      <c r="J3270" s="132">
        <f t="shared" si="365"/>
        <v>0</v>
      </c>
      <c r="K3270" s="132">
        <f t="shared" si="368"/>
        <v>0</v>
      </c>
      <c r="L3270" s="132">
        <f t="shared" si="362"/>
        <v>0</v>
      </c>
      <c r="M3270" s="133"/>
      <c r="N3270" s="133">
        <f t="shared" si="366"/>
        <v>0</v>
      </c>
      <c r="O3270" s="134"/>
      <c r="P3270" s="133"/>
      <c r="Q3270" s="2"/>
      <c r="R3270" s="156">
        <f t="shared" si="363"/>
        <v>0</v>
      </c>
      <c r="S3270" s="156">
        <f t="shared" si="364"/>
        <v>0</v>
      </c>
      <c r="T3270" s="133"/>
      <c r="U3270" s="133"/>
      <c r="V3270" s="133"/>
      <c r="W3270" s="133"/>
      <c r="X3270" s="133"/>
      <c r="Y3270" s="133"/>
      <c r="Z3270" s="133"/>
      <c r="AA3270" s="133"/>
      <c r="AB3270" s="133"/>
      <c r="AC3270" s="133"/>
      <c r="AD3270" s="133"/>
      <c r="AE3270" s="133"/>
      <c r="AF3270" s="133"/>
      <c r="AG3270" s="133"/>
      <c r="AH3270" s="133"/>
      <c r="AI3270" s="133"/>
      <c r="AJ3270" s="133"/>
      <c r="AK3270" s="133"/>
      <c r="AL3270" s="133"/>
      <c r="AM3270" s="133"/>
      <c r="AN3270" s="133"/>
      <c r="AO3270" s="133"/>
      <c r="AP3270" s="133"/>
      <c r="AQ3270" s="133"/>
      <c r="AR3270" s="133"/>
      <c r="AS3270" s="153">
        <v>0</v>
      </c>
      <c r="AT3270" s="153">
        <v>0</v>
      </c>
      <c r="AU3270" s="153">
        <v>0</v>
      </c>
      <c r="AV3270" s="135"/>
      <c r="AW3270" s="135"/>
      <c r="AX3270" s="135"/>
      <c r="AY3270" s="135"/>
      <c r="AZ3270" s="135"/>
      <c r="BA3270" s="135"/>
      <c r="BB3270" s="135"/>
      <c r="BC3270" s="135"/>
      <c r="BD3270" s="135"/>
      <c r="BE3270" s="135"/>
      <c r="BF3270" s="135"/>
      <c r="BG3270" s="135"/>
      <c r="BH3270" s="135"/>
      <c r="BI3270" s="2"/>
      <c r="BJ3270" s="136"/>
      <c r="BK3270" s="2"/>
      <c r="BL3270" s="136"/>
      <c r="BM3270" s="136"/>
      <c r="BN3270" s="2"/>
      <c r="BO3270" s="2"/>
      <c r="BP3270" s="136"/>
      <c r="BQ3270" s="137"/>
    </row>
    <row r="3271" spans="1:69" ht="12.75" customHeight="1" x14ac:dyDescent="0.2">
      <c r="A3271" s="2">
        <v>4760</v>
      </c>
      <c r="B3271" s="2"/>
      <c r="C3271" s="2"/>
      <c r="D3271" s="2"/>
      <c r="E3271" s="2"/>
      <c r="F3271" s="132">
        <v>0</v>
      </c>
      <c r="G3271" s="132"/>
      <c r="H3271" s="132">
        <f t="shared" si="367"/>
        <v>0</v>
      </c>
      <c r="I3271" s="132"/>
      <c r="J3271" s="132">
        <f t="shared" si="365"/>
        <v>0</v>
      </c>
      <c r="K3271" s="132">
        <f t="shared" si="368"/>
        <v>0</v>
      </c>
      <c r="L3271" s="132">
        <f t="shared" si="362"/>
        <v>0</v>
      </c>
      <c r="M3271" s="133"/>
      <c r="N3271" s="133">
        <f t="shared" si="366"/>
        <v>0</v>
      </c>
      <c r="O3271" s="134"/>
      <c r="P3271" s="133"/>
      <c r="Q3271" s="2"/>
      <c r="R3271" s="156">
        <f t="shared" si="363"/>
        <v>0</v>
      </c>
      <c r="S3271" s="156">
        <f t="shared" si="364"/>
        <v>0</v>
      </c>
      <c r="T3271" s="133"/>
      <c r="U3271" s="133"/>
      <c r="V3271" s="133"/>
      <c r="W3271" s="133"/>
      <c r="X3271" s="133"/>
      <c r="Y3271" s="133"/>
      <c r="Z3271" s="133"/>
      <c r="AA3271" s="133"/>
      <c r="AB3271" s="133"/>
      <c r="AC3271" s="133"/>
      <c r="AD3271" s="133"/>
      <c r="AE3271" s="133"/>
      <c r="AF3271" s="133"/>
      <c r="AG3271" s="133"/>
      <c r="AH3271" s="133"/>
      <c r="AI3271" s="133"/>
      <c r="AJ3271" s="133"/>
      <c r="AK3271" s="133"/>
      <c r="AL3271" s="133"/>
      <c r="AM3271" s="133"/>
      <c r="AN3271" s="133"/>
      <c r="AO3271" s="133"/>
      <c r="AP3271" s="133"/>
      <c r="AQ3271" s="133"/>
      <c r="AR3271" s="133"/>
      <c r="AS3271" s="153">
        <v>0</v>
      </c>
      <c r="AT3271" s="153">
        <v>0</v>
      </c>
      <c r="AU3271" s="153">
        <v>0</v>
      </c>
      <c r="AV3271" s="135"/>
      <c r="AW3271" s="135"/>
      <c r="AX3271" s="135"/>
      <c r="AY3271" s="135"/>
      <c r="AZ3271" s="135"/>
      <c r="BA3271" s="135"/>
      <c r="BB3271" s="135"/>
      <c r="BC3271" s="135"/>
      <c r="BD3271" s="135"/>
      <c r="BE3271" s="135"/>
      <c r="BF3271" s="135"/>
      <c r="BG3271" s="135"/>
      <c r="BH3271" s="135"/>
      <c r="BI3271" s="2"/>
      <c r="BJ3271" s="136"/>
      <c r="BK3271" s="2"/>
      <c r="BL3271" s="136"/>
      <c r="BM3271" s="136"/>
      <c r="BN3271" s="2"/>
      <c r="BO3271" s="2"/>
      <c r="BP3271" s="136"/>
      <c r="BQ3271" s="137"/>
    </row>
    <row r="3272" spans="1:69" ht="12.75" customHeight="1" x14ac:dyDescent="0.2">
      <c r="A3272" s="2">
        <v>4761</v>
      </c>
      <c r="B3272" s="2"/>
      <c r="C3272" s="2"/>
      <c r="D3272" s="2"/>
      <c r="E3272" s="2"/>
      <c r="F3272" s="132">
        <v>0</v>
      </c>
      <c r="G3272" s="132"/>
      <c r="H3272" s="132">
        <f t="shared" si="367"/>
        <v>0</v>
      </c>
      <c r="I3272" s="132"/>
      <c r="J3272" s="132">
        <f t="shared" si="365"/>
        <v>0</v>
      </c>
      <c r="K3272" s="132">
        <f t="shared" si="368"/>
        <v>0</v>
      </c>
      <c r="L3272" s="132">
        <f t="shared" si="362"/>
        <v>0</v>
      </c>
      <c r="M3272" s="133"/>
      <c r="N3272" s="133">
        <f t="shared" si="366"/>
        <v>0</v>
      </c>
      <c r="O3272" s="134"/>
      <c r="P3272" s="133"/>
      <c r="Q3272" s="2"/>
      <c r="R3272" s="156">
        <f t="shared" si="363"/>
        <v>0</v>
      </c>
      <c r="S3272" s="156">
        <f t="shared" si="364"/>
        <v>0</v>
      </c>
      <c r="T3272" s="133"/>
      <c r="U3272" s="133"/>
      <c r="V3272" s="133"/>
      <c r="W3272" s="133"/>
      <c r="X3272" s="133"/>
      <c r="Y3272" s="133"/>
      <c r="Z3272" s="133"/>
      <c r="AA3272" s="133"/>
      <c r="AB3272" s="133"/>
      <c r="AC3272" s="133"/>
      <c r="AD3272" s="133"/>
      <c r="AE3272" s="133"/>
      <c r="AF3272" s="133"/>
      <c r="AG3272" s="133"/>
      <c r="AH3272" s="133"/>
      <c r="AI3272" s="133"/>
      <c r="AJ3272" s="133"/>
      <c r="AK3272" s="133"/>
      <c r="AL3272" s="133"/>
      <c r="AM3272" s="133"/>
      <c r="AN3272" s="133"/>
      <c r="AO3272" s="133"/>
      <c r="AP3272" s="133"/>
      <c r="AQ3272" s="133"/>
      <c r="AR3272" s="133"/>
      <c r="AS3272" s="153">
        <v>0</v>
      </c>
      <c r="AT3272" s="153">
        <v>0</v>
      </c>
      <c r="AU3272" s="153">
        <v>0</v>
      </c>
      <c r="AV3272" s="135"/>
      <c r="AW3272" s="135"/>
      <c r="AX3272" s="135"/>
      <c r="AY3272" s="135"/>
      <c r="AZ3272" s="135"/>
      <c r="BA3272" s="135"/>
      <c r="BB3272" s="135"/>
      <c r="BC3272" s="135"/>
      <c r="BD3272" s="135"/>
      <c r="BE3272" s="135"/>
      <c r="BF3272" s="135"/>
      <c r="BG3272" s="135"/>
      <c r="BH3272" s="135"/>
      <c r="BI3272" s="2"/>
      <c r="BJ3272" s="136"/>
      <c r="BK3272" s="2"/>
      <c r="BL3272" s="136"/>
      <c r="BM3272" s="136"/>
      <c r="BN3272" s="2"/>
      <c r="BO3272" s="2"/>
      <c r="BP3272" s="136"/>
      <c r="BQ3272" s="137"/>
    </row>
    <row r="3273" spans="1:69" ht="12.75" customHeight="1" x14ac:dyDescent="0.2">
      <c r="A3273" s="2">
        <v>4762</v>
      </c>
      <c r="B3273" s="2"/>
      <c r="C3273" s="2"/>
      <c r="D3273" s="2"/>
      <c r="E3273" s="2"/>
      <c r="F3273" s="132">
        <v>0</v>
      </c>
      <c r="G3273" s="132"/>
      <c r="H3273" s="132">
        <f t="shared" si="367"/>
        <v>0</v>
      </c>
      <c r="I3273" s="132"/>
      <c r="J3273" s="132">
        <f t="shared" si="365"/>
        <v>0</v>
      </c>
      <c r="K3273" s="132">
        <f t="shared" si="368"/>
        <v>0</v>
      </c>
      <c r="L3273" s="132">
        <f t="shared" si="362"/>
        <v>0</v>
      </c>
      <c r="M3273" s="133"/>
      <c r="N3273" s="133">
        <f t="shared" si="366"/>
        <v>0</v>
      </c>
      <c r="O3273" s="134"/>
      <c r="P3273" s="133"/>
      <c r="Q3273" s="2"/>
      <c r="R3273" s="156">
        <f t="shared" si="363"/>
        <v>0</v>
      </c>
      <c r="S3273" s="156">
        <f t="shared" si="364"/>
        <v>0</v>
      </c>
      <c r="T3273" s="133"/>
      <c r="U3273" s="133"/>
      <c r="V3273" s="133"/>
      <c r="W3273" s="133"/>
      <c r="X3273" s="133"/>
      <c r="Y3273" s="133"/>
      <c r="Z3273" s="133"/>
      <c r="AA3273" s="133"/>
      <c r="AB3273" s="133"/>
      <c r="AC3273" s="133"/>
      <c r="AD3273" s="133"/>
      <c r="AE3273" s="133"/>
      <c r="AF3273" s="133"/>
      <c r="AG3273" s="133"/>
      <c r="AH3273" s="133"/>
      <c r="AI3273" s="133"/>
      <c r="AJ3273" s="133"/>
      <c r="AK3273" s="133"/>
      <c r="AL3273" s="133"/>
      <c r="AM3273" s="133"/>
      <c r="AN3273" s="133"/>
      <c r="AO3273" s="133"/>
      <c r="AP3273" s="133"/>
      <c r="AQ3273" s="133"/>
      <c r="AR3273" s="133"/>
      <c r="AS3273" s="153">
        <v>0</v>
      </c>
      <c r="AT3273" s="153">
        <v>0</v>
      </c>
      <c r="AU3273" s="153">
        <v>0</v>
      </c>
      <c r="AV3273" s="135"/>
      <c r="AW3273" s="135"/>
      <c r="AX3273" s="135"/>
      <c r="AY3273" s="135"/>
      <c r="AZ3273" s="135"/>
      <c r="BA3273" s="135"/>
      <c r="BB3273" s="135"/>
      <c r="BC3273" s="135"/>
      <c r="BD3273" s="135"/>
      <c r="BE3273" s="135"/>
      <c r="BF3273" s="135"/>
      <c r="BG3273" s="135"/>
      <c r="BH3273" s="135"/>
      <c r="BI3273" s="2"/>
      <c r="BJ3273" s="136"/>
      <c r="BK3273" s="2"/>
      <c r="BL3273" s="136"/>
      <c r="BM3273" s="136"/>
      <c r="BN3273" s="2"/>
      <c r="BO3273" s="2"/>
      <c r="BP3273" s="136"/>
      <c r="BQ3273" s="137"/>
    </row>
    <row r="3274" spans="1:69" ht="12.75" customHeight="1" x14ac:dyDescent="0.2">
      <c r="A3274" s="2">
        <v>4763</v>
      </c>
      <c r="B3274" s="2"/>
      <c r="C3274" s="2"/>
      <c r="D3274" s="2"/>
      <c r="E3274" s="2"/>
      <c r="F3274" s="132">
        <v>0</v>
      </c>
      <c r="G3274" s="132"/>
      <c r="H3274" s="132">
        <f t="shared" si="367"/>
        <v>0</v>
      </c>
      <c r="I3274" s="132"/>
      <c r="J3274" s="132">
        <f t="shared" si="365"/>
        <v>0</v>
      </c>
      <c r="K3274" s="132">
        <f t="shared" si="368"/>
        <v>0</v>
      </c>
      <c r="L3274" s="132">
        <f t="shared" si="362"/>
        <v>0</v>
      </c>
      <c r="M3274" s="133"/>
      <c r="N3274" s="133">
        <f t="shared" si="366"/>
        <v>0</v>
      </c>
      <c r="O3274" s="134"/>
      <c r="P3274" s="133"/>
      <c r="Q3274" s="2"/>
      <c r="R3274" s="156">
        <f t="shared" si="363"/>
        <v>0</v>
      </c>
      <c r="S3274" s="156">
        <f t="shared" si="364"/>
        <v>0</v>
      </c>
      <c r="T3274" s="133"/>
      <c r="U3274" s="133"/>
      <c r="V3274" s="133"/>
      <c r="W3274" s="133"/>
      <c r="X3274" s="133"/>
      <c r="Y3274" s="133"/>
      <c r="Z3274" s="133"/>
      <c r="AA3274" s="133"/>
      <c r="AB3274" s="133"/>
      <c r="AC3274" s="133"/>
      <c r="AD3274" s="133"/>
      <c r="AE3274" s="133"/>
      <c r="AF3274" s="133"/>
      <c r="AG3274" s="133"/>
      <c r="AH3274" s="133"/>
      <c r="AI3274" s="133"/>
      <c r="AJ3274" s="133"/>
      <c r="AK3274" s="133"/>
      <c r="AL3274" s="133"/>
      <c r="AM3274" s="133"/>
      <c r="AN3274" s="133"/>
      <c r="AO3274" s="133"/>
      <c r="AP3274" s="133"/>
      <c r="AQ3274" s="133"/>
      <c r="AR3274" s="133"/>
      <c r="AS3274" s="153">
        <v>0</v>
      </c>
      <c r="AT3274" s="153">
        <v>0</v>
      </c>
      <c r="AU3274" s="153">
        <v>0</v>
      </c>
      <c r="AV3274" s="135"/>
      <c r="AW3274" s="135"/>
      <c r="AX3274" s="135"/>
      <c r="AY3274" s="135"/>
      <c r="AZ3274" s="135"/>
      <c r="BA3274" s="135"/>
      <c r="BB3274" s="135"/>
      <c r="BC3274" s="135"/>
      <c r="BD3274" s="135"/>
      <c r="BE3274" s="135"/>
      <c r="BF3274" s="135"/>
      <c r="BG3274" s="135"/>
      <c r="BH3274" s="135"/>
      <c r="BI3274" s="2"/>
      <c r="BJ3274" s="136"/>
      <c r="BK3274" s="2"/>
      <c r="BL3274" s="136"/>
      <c r="BM3274" s="136"/>
      <c r="BN3274" s="2"/>
      <c r="BO3274" s="2"/>
      <c r="BP3274" s="136"/>
      <c r="BQ3274" s="137"/>
    </row>
    <row r="3275" spans="1:69" ht="12.75" customHeight="1" x14ac:dyDescent="0.2">
      <c r="A3275" s="2">
        <v>4764</v>
      </c>
      <c r="B3275" s="2"/>
      <c r="C3275" s="2"/>
      <c r="D3275" s="2"/>
      <c r="E3275" s="2"/>
      <c r="F3275" s="132">
        <v>0</v>
      </c>
      <c r="G3275" s="132"/>
      <c r="H3275" s="132">
        <f t="shared" si="367"/>
        <v>0</v>
      </c>
      <c r="I3275" s="132"/>
      <c r="J3275" s="132">
        <f t="shared" si="365"/>
        <v>0</v>
      </c>
      <c r="K3275" s="132">
        <f t="shared" si="368"/>
        <v>0</v>
      </c>
      <c r="L3275" s="132">
        <f t="shared" ref="L3275:L3338" si="369">H3275-J3275</f>
        <v>0</v>
      </c>
      <c r="M3275" s="133"/>
      <c r="N3275" s="133">
        <f t="shared" si="366"/>
        <v>0</v>
      </c>
      <c r="O3275" s="134"/>
      <c r="P3275" s="133"/>
      <c r="Q3275" s="2"/>
      <c r="R3275" s="156">
        <f t="shared" ref="R3275:R3338" si="370">T3275+V3275+X3275+Z3275+AB3275+AD3275+AF3275+AH3275+AJ3275+AL3275+AN3275+AP3275</f>
        <v>0</v>
      </c>
      <c r="S3275" s="156">
        <f t="shared" ref="S3275:S3338" si="371">U3275+W3275+Y3275+AA3275+AC3275+AE3275+AG3275+AI3275+AK3275+AM3275+AO3275+AQ3275</f>
        <v>0</v>
      </c>
      <c r="T3275" s="133"/>
      <c r="U3275" s="133"/>
      <c r="V3275" s="133"/>
      <c r="W3275" s="133"/>
      <c r="X3275" s="133"/>
      <c r="Y3275" s="133"/>
      <c r="Z3275" s="133"/>
      <c r="AA3275" s="133"/>
      <c r="AB3275" s="133"/>
      <c r="AC3275" s="133"/>
      <c r="AD3275" s="133"/>
      <c r="AE3275" s="133"/>
      <c r="AF3275" s="133"/>
      <c r="AG3275" s="133"/>
      <c r="AH3275" s="133"/>
      <c r="AI3275" s="133"/>
      <c r="AJ3275" s="133"/>
      <c r="AK3275" s="133"/>
      <c r="AL3275" s="133"/>
      <c r="AM3275" s="133"/>
      <c r="AN3275" s="133"/>
      <c r="AO3275" s="133"/>
      <c r="AP3275" s="133"/>
      <c r="AQ3275" s="133"/>
      <c r="AR3275" s="133"/>
      <c r="AS3275" s="153">
        <v>0</v>
      </c>
      <c r="AT3275" s="153">
        <v>0</v>
      </c>
      <c r="AU3275" s="153">
        <v>0</v>
      </c>
      <c r="AV3275" s="135"/>
      <c r="AW3275" s="135"/>
      <c r="AX3275" s="135"/>
      <c r="AY3275" s="135"/>
      <c r="AZ3275" s="135"/>
      <c r="BA3275" s="135"/>
      <c r="BB3275" s="135"/>
      <c r="BC3275" s="135"/>
      <c r="BD3275" s="135"/>
      <c r="BE3275" s="135"/>
      <c r="BF3275" s="135"/>
      <c r="BG3275" s="135"/>
      <c r="BH3275" s="135"/>
      <c r="BI3275" s="2"/>
      <c r="BJ3275" s="136"/>
      <c r="BK3275" s="2"/>
      <c r="BL3275" s="136"/>
      <c r="BM3275" s="136"/>
      <c r="BN3275" s="2"/>
      <c r="BO3275" s="2"/>
      <c r="BP3275" s="136"/>
      <c r="BQ3275" s="137"/>
    </row>
    <row r="3276" spans="1:69" ht="12.75" customHeight="1" x14ac:dyDescent="0.2">
      <c r="A3276" s="2">
        <v>4765</v>
      </c>
      <c r="B3276" s="2"/>
      <c r="C3276" s="2"/>
      <c r="D3276" s="2"/>
      <c r="E3276" s="2"/>
      <c r="F3276" s="132">
        <v>0</v>
      </c>
      <c r="G3276" s="132"/>
      <c r="H3276" s="132">
        <f t="shared" si="367"/>
        <v>0</v>
      </c>
      <c r="I3276" s="132"/>
      <c r="J3276" s="132">
        <f t="shared" si="365"/>
        <v>0</v>
      </c>
      <c r="K3276" s="132">
        <f t="shared" si="368"/>
        <v>0</v>
      </c>
      <c r="L3276" s="132">
        <f t="shared" si="369"/>
        <v>0</v>
      </c>
      <c r="M3276" s="133"/>
      <c r="N3276" s="133">
        <f t="shared" si="366"/>
        <v>0</v>
      </c>
      <c r="O3276" s="134"/>
      <c r="P3276" s="133"/>
      <c r="Q3276" s="2"/>
      <c r="R3276" s="156">
        <f t="shared" si="370"/>
        <v>0</v>
      </c>
      <c r="S3276" s="156">
        <f t="shared" si="371"/>
        <v>0</v>
      </c>
      <c r="T3276" s="133"/>
      <c r="U3276" s="133"/>
      <c r="V3276" s="133"/>
      <c r="W3276" s="133"/>
      <c r="X3276" s="133"/>
      <c r="Y3276" s="133"/>
      <c r="Z3276" s="133"/>
      <c r="AA3276" s="133"/>
      <c r="AB3276" s="133"/>
      <c r="AC3276" s="133"/>
      <c r="AD3276" s="133"/>
      <c r="AE3276" s="133"/>
      <c r="AF3276" s="133"/>
      <c r="AG3276" s="133"/>
      <c r="AH3276" s="133"/>
      <c r="AI3276" s="133"/>
      <c r="AJ3276" s="133"/>
      <c r="AK3276" s="133"/>
      <c r="AL3276" s="133"/>
      <c r="AM3276" s="133"/>
      <c r="AN3276" s="133"/>
      <c r="AO3276" s="133"/>
      <c r="AP3276" s="133"/>
      <c r="AQ3276" s="133"/>
      <c r="AR3276" s="133"/>
      <c r="AS3276" s="153">
        <v>0</v>
      </c>
      <c r="AT3276" s="153">
        <v>0</v>
      </c>
      <c r="AU3276" s="153">
        <v>0</v>
      </c>
      <c r="AV3276" s="135"/>
      <c r="AW3276" s="135"/>
      <c r="AX3276" s="135"/>
      <c r="AY3276" s="135"/>
      <c r="AZ3276" s="135"/>
      <c r="BA3276" s="135"/>
      <c r="BB3276" s="135"/>
      <c r="BC3276" s="135"/>
      <c r="BD3276" s="135"/>
      <c r="BE3276" s="135"/>
      <c r="BF3276" s="135"/>
      <c r="BG3276" s="135"/>
      <c r="BH3276" s="135"/>
      <c r="BI3276" s="2"/>
      <c r="BJ3276" s="136"/>
      <c r="BK3276" s="2"/>
      <c r="BL3276" s="136"/>
      <c r="BM3276" s="136"/>
      <c r="BN3276" s="2"/>
      <c r="BO3276" s="2"/>
      <c r="BP3276" s="136"/>
      <c r="BQ3276" s="137"/>
    </row>
    <row r="3277" spans="1:69" ht="12.75" customHeight="1" x14ac:dyDescent="0.2">
      <c r="A3277" s="2">
        <v>4766</v>
      </c>
      <c r="B3277" s="2"/>
      <c r="C3277" s="2"/>
      <c r="D3277" s="2"/>
      <c r="E3277" s="2"/>
      <c r="F3277" s="132">
        <v>0</v>
      </c>
      <c r="G3277" s="132"/>
      <c r="H3277" s="132">
        <f t="shared" si="367"/>
        <v>0</v>
      </c>
      <c r="I3277" s="132"/>
      <c r="J3277" s="132">
        <f t="shared" si="365"/>
        <v>0</v>
      </c>
      <c r="K3277" s="132">
        <f t="shared" si="368"/>
        <v>0</v>
      </c>
      <c r="L3277" s="132">
        <f t="shared" si="369"/>
        <v>0</v>
      </c>
      <c r="M3277" s="133"/>
      <c r="N3277" s="133">
        <f t="shared" si="366"/>
        <v>0</v>
      </c>
      <c r="O3277" s="134"/>
      <c r="P3277" s="133"/>
      <c r="Q3277" s="2"/>
      <c r="R3277" s="156">
        <f t="shared" si="370"/>
        <v>0</v>
      </c>
      <c r="S3277" s="156">
        <f t="shared" si="371"/>
        <v>0</v>
      </c>
      <c r="T3277" s="133"/>
      <c r="U3277" s="133"/>
      <c r="V3277" s="133"/>
      <c r="W3277" s="133"/>
      <c r="X3277" s="133"/>
      <c r="Y3277" s="133"/>
      <c r="Z3277" s="133"/>
      <c r="AA3277" s="133"/>
      <c r="AB3277" s="133"/>
      <c r="AC3277" s="133"/>
      <c r="AD3277" s="133"/>
      <c r="AE3277" s="133"/>
      <c r="AF3277" s="133"/>
      <c r="AG3277" s="133"/>
      <c r="AH3277" s="133"/>
      <c r="AI3277" s="133"/>
      <c r="AJ3277" s="133"/>
      <c r="AK3277" s="133"/>
      <c r="AL3277" s="133"/>
      <c r="AM3277" s="133"/>
      <c r="AN3277" s="133"/>
      <c r="AO3277" s="133"/>
      <c r="AP3277" s="133"/>
      <c r="AQ3277" s="133"/>
      <c r="AR3277" s="133"/>
      <c r="AS3277" s="153">
        <v>0</v>
      </c>
      <c r="AT3277" s="153">
        <v>0</v>
      </c>
      <c r="AU3277" s="153">
        <v>0</v>
      </c>
      <c r="AV3277" s="135"/>
      <c r="AW3277" s="135"/>
      <c r="AX3277" s="135"/>
      <c r="AY3277" s="135"/>
      <c r="AZ3277" s="135"/>
      <c r="BA3277" s="135"/>
      <c r="BB3277" s="135"/>
      <c r="BC3277" s="135"/>
      <c r="BD3277" s="135"/>
      <c r="BE3277" s="135"/>
      <c r="BF3277" s="135"/>
      <c r="BG3277" s="135"/>
      <c r="BH3277" s="135"/>
      <c r="BI3277" s="2"/>
      <c r="BJ3277" s="136"/>
      <c r="BK3277" s="2"/>
      <c r="BL3277" s="136"/>
      <c r="BM3277" s="136"/>
      <c r="BN3277" s="2"/>
      <c r="BO3277" s="2"/>
      <c r="BP3277" s="136"/>
      <c r="BQ3277" s="137"/>
    </row>
    <row r="3278" spans="1:69" ht="12.75" customHeight="1" x14ac:dyDescent="0.2">
      <c r="A3278" s="2">
        <v>4767</v>
      </c>
      <c r="B3278" s="2"/>
      <c r="C3278" s="2"/>
      <c r="D3278" s="2"/>
      <c r="E3278" s="2"/>
      <c r="F3278" s="132">
        <v>0</v>
      </c>
      <c r="G3278" s="132"/>
      <c r="H3278" s="132">
        <f t="shared" si="367"/>
        <v>0</v>
      </c>
      <c r="I3278" s="132"/>
      <c r="J3278" s="132">
        <f t="shared" si="365"/>
        <v>0</v>
      </c>
      <c r="K3278" s="132">
        <f t="shared" si="368"/>
        <v>0</v>
      </c>
      <c r="L3278" s="132">
        <f t="shared" si="369"/>
        <v>0</v>
      </c>
      <c r="M3278" s="133"/>
      <c r="N3278" s="133">
        <f t="shared" si="366"/>
        <v>0</v>
      </c>
      <c r="O3278" s="134"/>
      <c r="P3278" s="133"/>
      <c r="Q3278" s="2"/>
      <c r="R3278" s="156">
        <f t="shared" si="370"/>
        <v>0</v>
      </c>
      <c r="S3278" s="156">
        <f t="shared" si="371"/>
        <v>0</v>
      </c>
      <c r="T3278" s="133"/>
      <c r="U3278" s="133"/>
      <c r="V3278" s="133"/>
      <c r="W3278" s="133"/>
      <c r="X3278" s="133"/>
      <c r="Y3278" s="133"/>
      <c r="Z3278" s="133"/>
      <c r="AA3278" s="133"/>
      <c r="AB3278" s="133"/>
      <c r="AC3278" s="133"/>
      <c r="AD3278" s="133"/>
      <c r="AE3278" s="133"/>
      <c r="AF3278" s="133"/>
      <c r="AG3278" s="133"/>
      <c r="AH3278" s="133"/>
      <c r="AI3278" s="133"/>
      <c r="AJ3278" s="133"/>
      <c r="AK3278" s="133"/>
      <c r="AL3278" s="133"/>
      <c r="AM3278" s="133"/>
      <c r="AN3278" s="133"/>
      <c r="AO3278" s="133"/>
      <c r="AP3278" s="133"/>
      <c r="AQ3278" s="133"/>
      <c r="AR3278" s="133"/>
      <c r="AS3278" s="153">
        <v>0</v>
      </c>
      <c r="AT3278" s="153">
        <v>0</v>
      </c>
      <c r="AU3278" s="153">
        <v>0</v>
      </c>
      <c r="AV3278" s="135"/>
      <c r="AW3278" s="135"/>
      <c r="AX3278" s="135"/>
      <c r="AY3278" s="135"/>
      <c r="AZ3278" s="135"/>
      <c r="BA3278" s="135"/>
      <c r="BB3278" s="135"/>
      <c r="BC3278" s="135"/>
      <c r="BD3278" s="135"/>
      <c r="BE3278" s="135"/>
      <c r="BF3278" s="135"/>
      <c r="BG3278" s="135"/>
      <c r="BH3278" s="135"/>
      <c r="BI3278" s="2"/>
      <c r="BJ3278" s="136"/>
      <c r="BK3278" s="2"/>
      <c r="BL3278" s="136"/>
      <c r="BM3278" s="136"/>
      <c r="BN3278" s="2"/>
      <c r="BO3278" s="2"/>
      <c r="BP3278" s="136"/>
      <c r="BQ3278" s="137"/>
    </row>
    <row r="3279" spans="1:69" ht="12.75" customHeight="1" x14ac:dyDescent="0.2">
      <c r="A3279" s="2">
        <v>4768</v>
      </c>
      <c r="B3279" s="2"/>
      <c r="C3279" s="2"/>
      <c r="D3279" s="2"/>
      <c r="E3279" s="2"/>
      <c r="F3279" s="132">
        <v>0</v>
      </c>
      <c r="G3279" s="132"/>
      <c r="H3279" s="132">
        <f t="shared" si="367"/>
        <v>0</v>
      </c>
      <c r="I3279" s="132"/>
      <c r="J3279" s="132">
        <f t="shared" si="365"/>
        <v>0</v>
      </c>
      <c r="K3279" s="132">
        <f t="shared" si="368"/>
        <v>0</v>
      </c>
      <c r="L3279" s="132">
        <f t="shared" si="369"/>
        <v>0</v>
      </c>
      <c r="M3279" s="133"/>
      <c r="N3279" s="133">
        <f t="shared" si="366"/>
        <v>0</v>
      </c>
      <c r="O3279" s="134"/>
      <c r="P3279" s="133"/>
      <c r="Q3279" s="2"/>
      <c r="R3279" s="156">
        <f t="shared" si="370"/>
        <v>0</v>
      </c>
      <c r="S3279" s="156">
        <f t="shared" si="371"/>
        <v>0</v>
      </c>
      <c r="T3279" s="133"/>
      <c r="U3279" s="133"/>
      <c r="V3279" s="133"/>
      <c r="W3279" s="133"/>
      <c r="X3279" s="133"/>
      <c r="Y3279" s="133"/>
      <c r="Z3279" s="133"/>
      <c r="AA3279" s="133"/>
      <c r="AB3279" s="133"/>
      <c r="AC3279" s="133"/>
      <c r="AD3279" s="133"/>
      <c r="AE3279" s="133"/>
      <c r="AF3279" s="133"/>
      <c r="AG3279" s="133"/>
      <c r="AH3279" s="133"/>
      <c r="AI3279" s="133"/>
      <c r="AJ3279" s="133"/>
      <c r="AK3279" s="133"/>
      <c r="AL3279" s="133"/>
      <c r="AM3279" s="133"/>
      <c r="AN3279" s="133"/>
      <c r="AO3279" s="133"/>
      <c r="AP3279" s="133"/>
      <c r="AQ3279" s="133"/>
      <c r="AR3279" s="133"/>
      <c r="AS3279" s="153">
        <v>0</v>
      </c>
      <c r="AT3279" s="153">
        <v>0</v>
      </c>
      <c r="AU3279" s="153">
        <v>0</v>
      </c>
      <c r="AV3279" s="135"/>
      <c r="AW3279" s="135"/>
      <c r="AX3279" s="135"/>
      <c r="AY3279" s="135"/>
      <c r="AZ3279" s="135"/>
      <c r="BA3279" s="135"/>
      <c r="BB3279" s="135"/>
      <c r="BC3279" s="135"/>
      <c r="BD3279" s="135"/>
      <c r="BE3279" s="135"/>
      <c r="BF3279" s="135"/>
      <c r="BG3279" s="135"/>
      <c r="BH3279" s="135"/>
      <c r="BI3279" s="2"/>
      <c r="BJ3279" s="136"/>
      <c r="BK3279" s="2"/>
      <c r="BL3279" s="136"/>
      <c r="BM3279" s="136"/>
      <c r="BN3279" s="2"/>
      <c r="BO3279" s="2"/>
      <c r="BP3279" s="136"/>
      <c r="BQ3279" s="137"/>
    </row>
    <row r="3280" spans="1:69" ht="12.75" customHeight="1" x14ac:dyDescent="0.2">
      <c r="A3280" s="2">
        <v>4769</v>
      </c>
      <c r="B3280" s="2"/>
      <c r="C3280" s="2"/>
      <c r="D3280" s="2"/>
      <c r="E3280" s="2"/>
      <c r="F3280" s="132">
        <v>0</v>
      </c>
      <c r="G3280" s="132"/>
      <c r="H3280" s="132">
        <f t="shared" si="367"/>
        <v>0</v>
      </c>
      <c r="I3280" s="132"/>
      <c r="J3280" s="132">
        <f t="shared" si="365"/>
        <v>0</v>
      </c>
      <c r="K3280" s="132">
        <f t="shared" si="368"/>
        <v>0</v>
      </c>
      <c r="L3280" s="132">
        <f t="shared" si="369"/>
        <v>0</v>
      </c>
      <c r="M3280" s="133"/>
      <c r="N3280" s="133">
        <f t="shared" si="366"/>
        <v>0</v>
      </c>
      <c r="O3280" s="134"/>
      <c r="P3280" s="133"/>
      <c r="Q3280" s="2"/>
      <c r="R3280" s="156">
        <f t="shared" si="370"/>
        <v>0</v>
      </c>
      <c r="S3280" s="156">
        <f t="shared" si="371"/>
        <v>0</v>
      </c>
      <c r="T3280" s="133"/>
      <c r="U3280" s="133"/>
      <c r="V3280" s="133"/>
      <c r="W3280" s="133"/>
      <c r="X3280" s="133"/>
      <c r="Y3280" s="133"/>
      <c r="Z3280" s="133"/>
      <c r="AA3280" s="133"/>
      <c r="AB3280" s="133"/>
      <c r="AC3280" s="133"/>
      <c r="AD3280" s="133"/>
      <c r="AE3280" s="133"/>
      <c r="AF3280" s="133"/>
      <c r="AG3280" s="133"/>
      <c r="AH3280" s="133"/>
      <c r="AI3280" s="133"/>
      <c r="AJ3280" s="133"/>
      <c r="AK3280" s="133"/>
      <c r="AL3280" s="133"/>
      <c r="AM3280" s="133"/>
      <c r="AN3280" s="133"/>
      <c r="AO3280" s="133"/>
      <c r="AP3280" s="133"/>
      <c r="AQ3280" s="133"/>
      <c r="AR3280" s="133"/>
      <c r="AS3280" s="153">
        <v>0</v>
      </c>
      <c r="AT3280" s="153">
        <v>0</v>
      </c>
      <c r="AU3280" s="153">
        <v>0</v>
      </c>
      <c r="AV3280" s="135"/>
      <c r="AW3280" s="135"/>
      <c r="AX3280" s="135"/>
      <c r="AY3280" s="135"/>
      <c r="AZ3280" s="135"/>
      <c r="BA3280" s="135"/>
      <c r="BB3280" s="135"/>
      <c r="BC3280" s="135"/>
      <c r="BD3280" s="135"/>
      <c r="BE3280" s="135"/>
      <c r="BF3280" s="135"/>
      <c r="BG3280" s="135"/>
      <c r="BH3280" s="135"/>
      <c r="BI3280" s="2"/>
      <c r="BJ3280" s="136"/>
      <c r="BK3280" s="2"/>
      <c r="BL3280" s="136"/>
      <c r="BM3280" s="136"/>
      <c r="BN3280" s="2"/>
      <c r="BO3280" s="2"/>
      <c r="BP3280" s="136"/>
      <c r="BQ3280" s="137"/>
    </row>
    <row r="3281" spans="1:69" ht="12.75" customHeight="1" x14ac:dyDescent="0.2">
      <c r="A3281" s="2">
        <v>4770</v>
      </c>
      <c r="B3281" s="2"/>
      <c r="C3281" s="2"/>
      <c r="D3281" s="2"/>
      <c r="E3281" s="2"/>
      <c r="F3281" s="132">
        <v>0</v>
      </c>
      <c r="G3281" s="132"/>
      <c r="H3281" s="132">
        <f t="shared" si="367"/>
        <v>0</v>
      </c>
      <c r="I3281" s="132"/>
      <c r="J3281" s="132">
        <f t="shared" si="365"/>
        <v>0</v>
      </c>
      <c r="K3281" s="132">
        <f t="shared" si="368"/>
        <v>0</v>
      </c>
      <c r="L3281" s="132">
        <f t="shared" si="369"/>
        <v>0</v>
      </c>
      <c r="M3281" s="133"/>
      <c r="N3281" s="133">
        <f t="shared" si="366"/>
        <v>0</v>
      </c>
      <c r="O3281" s="134"/>
      <c r="P3281" s="133"/>
      <c r="Q3281" s="2"/>
      <c r="R3281" s="156">
        <f t="shared" si="370"/>
        <v>0</v>
      </c>
      <c r="S3281" s="156">
        <f t="shared" si="371"/>
        <v>0</v>
      </c>
      <c r="T3281" s="133"/>
      <c r="U3281" s="133"/>
      <c r="V3281" s="133"/>
      <c r="W3281" s="133"/>
      <c r="X3281" s="133"/>
      <c r="Y3281" s="133"/>
      <c r="Z3281" s="133"/>
      <c r="AA3281" s="133"/>
      <c r="AB3281" s="133"/>
      <c r="AC3281" s="133"/>
      <c r="AD3281" s="133"/>
      <c r="AE3281" s="133"/>
      <c r="AF3281" s="133"/>
      <c r="AG3281" s="133"/>
      <c r="AH3281" s="133"/>
      <c r="AI3281" s="133"/>
      <c r="AJ3281" s="133"/>
      <c r="AK3281" s="133"/>
      <c r="AL3281" s="133"/>
      <c r="AM3281" s="133"/>
      <c r="AN3281" s="133"/>
      <c r="AO3281" s="133"/>
      <c r="AP3281" s="133"/>
      <c r="AQ3281" s="133"/>
      <c r="AR3281" s="133"/>
      <c r="AS3281" s="153">
        <v>0</v>
      </c>
      <c r="AT3281" s="153">
        <v>0</v>
      </c>
      <c r="AU3281" s="153">
        <v>0</v>
      </c>
      <c r="AV3281" s="135"/>
      <c r="AW3281" s="135"/>
      <c r="AX3281" s="135"/>
      <c r="AY3281" s="135"/>
      <c r="AZ3281" s="135"/>
      <c r="BA3281" s="135"/>
      <c r="BB3281" s="135"/>
      <c r="BC3281" s="135"/>
      <c r="BD3281" s="135"/>
      <c r="BE3281" s="135"/>
      <c r="BF3281" s="135"/>
      <c r="BG3281" s="135"/>
      <c r="BH3281" s="135"/>
      <c r="BI3281" s="2"/>
      <c r="BJ3281" s="136"/>
      <c r="BK3281" s="2"/>
      <c r="BL3281" s="136"/>
      <c r="BM3281" s="136"/>
      <c r="BN3281" s="2"/>
      <c r="BO3281" s="2"/>
      <c r="BP3281" s="136"/>
      <c r="BQ3281" s="137"/>
    </row>
    <row r="3282" spans="1:69" ht="12.75" customHeight="1" x14ac:dyDescent="0.2">
      <c r="A3282" s="2">
        <v>4771</v>
      </c>
      <c r="B3282" s="2"/>
      <c r="C3282" s="2"/>
      <c r="D3282" s="2"/>
      <c r="E3282" s="2"/>
      <c r="F3282" s="132">
        <v>0</v>
      </c>
      <c r="G3282" s="132"/>
      <c r="H3282" s="132">
        <f t="shared" si="367"/>
        <v>0</v>
      </c>
      <c r="I3282" s="132"/>
      <c r="J3282" s="132">
        <f t="shared" si="365"/>
        <v>0</v>
      </c>
      <c r="K3282" s="132">
        <f t="shared" si="368"/>
        <v>0</v>
      </c>
      <c r="L3282" s="132">
        <f t="shared" si="369"/>
        <v>0</v>
      </c>
      <c r="M3282" s="133"/>
      <c r="N3282" s="133">
        <f t="shared" si="366"/>
        <v>0</v>
      </c>
      <c r="O3282" s="134"/>
      <c r="P3282" s="133"/>
      <c r="Q3282" s="2"/>
      <c r="R3282" s="156">
        <f t="shared" si="370"/>
        <v>0</v>
      </c>
      <c r="S3282" s="156">
        <f t="shared" si="371"/>
        <v>0</v>
      </c>
      <c r="T3282" s="133"/>
      <c r="U3282" s="133"/>
      <c r="V3282" s="133"/>
      <c r="W3282" s="133"/>
      <c r="X3282" s="133"/>
      <c r="Y3282" s="133"/>
      <c r="Z3282" s="133"/>
      <c r="AA3282" s="133"/>
      <c r="AB3282" s="133"/>
      <c r="AC3282" s="133"/>
      <c r="AD3282" s="133"/>
      <c r="AE3282" s="133"/>
      <c r="AF3282" s="133"/>
      <c r="AG3282" s="133"/>
      <c r="AH3282" s="133"/>
      <c r="AI3282" s="133"/>
      <c r="AJ3282" s="133"/>
      <c r="AK3282" s="133"/>
      <c r="AL3282" s="133"/>
      <c r="AM3282" s="133"/>
      <c r="AN3282" s="133"/>
      <c r="AO3282" s="133"/>
      <c r="AP3282" s="133"/>
      <c r="AQ3282" s="133"/>
      <c r="AR3282" s="133"/>
      <c r="AS3282" s="153">
        <v>0</v>
      </c>
      <c r="AT3282" s="153">
        <v>0</v>
      </c>
      <c r="AU3282" s="153">
        <v>0</v>
      </c>
      <c r="AV3282" s="135"/>
      <c r="AW3282" s="135"/>
      <c r="AX3282" s="135"/>
      <c r="AY3282" s="135"/>
      <c r="AZ3282" s="135"/>
      <c r="BA3282" s="135"/>
      <c r="BB3282" s="135"/>
      <c r="BC3282" s="135"/>
      <c r="BD3282" s="135"/>
      <c r="BE3282" s="135"/>
      <c r="BF3282" s="135"/>
      <c r="BG3282" s="135"/>
      <c r="BH3282" s="135"/>
      <c r="BI3282" s="2"/>
      <c r="BJ3282" s="136"/>
      <c r="BK3282" s="2"/>
      <c r="BL3282" s="136"/>
      <c r="BM3282" s="136"/>
      <c r="BN3282" s="2"/>
      <c r="BO3282" s="2"/>
      <c r="BP3282" s="136"/>
      <c r="BQ3282" s="137"/>
    </row>
    <row r="3283" spans="1:69" ht="12.75" customHeight="1" x14ac:dyDescent="0.2">
      <c r="A3283" s="2">
        <v>4772</v>
      </c>
      <c r="B3283" s="2"/>
      <c r="C3283" s="2"/>
      <c r="D3283" s="2"/>
      <c r="E3283" s="2"/>
      <c r="F3283" s="132">
        <v>0</v>
      </c>
      <c r="G3283" s="132"/>
      <c r="H3283" s="132">
        <f t="shared" si="367"/>
        <v>0</v>
      </c>
      <c r="I3283" s="132"/>
      <c r="J3283" s="132">
        <f t="shared" si="365"/>
        <v>0</v>
      </c>
      <c r="K3283" s="132">
        <f t="shared" si="368"/>
        <v>0</v>
      </c>
      <c r="L3283" s="132">
        <f t="shared" si="369"/>
        <v>0</v>
      </c>
      <c r="M3283" s="133"/>
      <c r="N3283" s="133">
        <f t="shared" si="366"/>
        <v>0</v>
      </c>
      <c r="O3283" s="134"/>
      <c r="P3283" s="133"/>
      <c r="Q3283" s="2"/>
      <c r="R3283" s="156">
        <f t="shared" si="370"/>
        <v>0</v>
      </c>
      <c r="S3283" s="156">
        <f t="shared" si="371"/>
        <v>0</v>
      </c>
      <c r="T3283" s="133"/>
      <c r="U3283" s="133"/>
      <c r="V3283" s="133"/>
      <c r="W3283" s="133"/>
      <c r="X3283" s="133"/>
      <c r="Y3283" s="133"/>
      <c r="Z3283" s="133"/>
      <c r="AA3283" s="133"/>
      <c r="AB3283" s="133"/>
      <c r="AC3283" s="133"/>
      <c r="AD3283" s="133"/>
      <c r="AE3283" s="133"/>
      <c r="AF3283" s="133"/>
      <c r="AG3283" s="133"/>
      <c r="AH3283" s="133"/>
      <c r="AI3283" s="133"/>
      <c r="AJ3283" s="133"/>
      <c r="AK3283" s="133"/>
      <c r="AL3283" s="133"/>
      <c r="AM3283" s="133"/>
      <c r="AN3283" s="133"/>
      <c r="AO3283" s="133"/>
      <c r="AP3283" s="133"/>
      <c r="AQ3283" s="133"/>
      <c r="AR3283" s="133"/>
      <c r="AS3283" s="153">
        <v>0</v>
      </c>
      <c r="AT3283" s="153">
        <v>0</v>
      </c>
      <c r="AU3283" s="153">
        <v>0</v>
      </c>
      <c r="AV3283" s="135"/>
      <c r="AW3283" s="135"/>
      <c r="AX3283" s="135"/>
      <c r="AY3283" s="135"/>
      <c r="AZ3283" s="135"/>
      <c r="BA3283" s="135"/>
      <c r="BB3283" s="135"/>
      <c r="BC3283" s="135"/>
      <c r="BD3283" s="135"/>
      <c r="BE3283" s="135"/>
      <c r="BF3283" s="135"/>
      <c r="BG3283" s="135"/>
      <c r="BH3283" s="135"/>
      <c r="BI3283" s="2"/>
      <c r="BJ3283" s="136"/>
      <c r="BK3283" s="2"/>
      <c r="BL3283" s="136"/>
      <c r="BM3283" s="136"/>
      <c r="BN3283" s="2"/>
      <c r="BO3283" s="2"/>
      <c r="BP3283" s="136"/>
      <c r="BQ3283" s="137"/>
    </row>
    <row r="3284" spans="1:69" ht="12.75" customHeight="1" x14ac:dyDescent="0.2">
      <c r="A3284" s="2">
        <v>4773</v>
      </c>
      <c r="B3284" s="2"/>
      <c r="C3284" s="2"/>
      <c r="D3284" s="2"/>
      <c r="E3284" s="2"/>
      <c r="F3284" s="132">
        <v>0</v>
      </c>
      <c r="G3284" s="132"/>
      <c r="H3284" s="132">
        <f t="shared" si="367"/>
        <v>0</v>
      </c>
      <c r="I3284" s="132"/>
      <c r="J3284" s="132">
        <f t="shared" si="365"/>
        <v>0</v>
      </c>
      <c r="K3284" s="132">
        <f t="shared" si="368"/>
        <v>0</v>
      </c>
      <c r="L3284" s="132">
        <f t="shared" si="369"/>
        <v>0</v>
      </c>
      <c r="M3284" s="133"/>
      <c r="N3284" s="133">
        <f t="shared" si="366"/>
        <v>0</v>
      </c>
      <c r="O3284" s="134"/>
      <c r="P3284" s="133"/>
      <c r="Q3284" s="2"/>
      <c r="R3284" s="156">
        <f t="shared" si="370"/>
        <v>0</v>
      </c>
      <c r="S3284" s="156">
        <f t="shared" si="371"/>
        <v>0</v>
      </c>
      <c r="T3284" s="133"/>
      <c r="U3284" s="133"/>
      <c r="V3284" s="133"/>
      <c r="W3284" s="133"/>
      <c r="X3284" s="133"/>
      <c r="Y3284" s="133"/>
      <c r="Z3284" s="133"/>
      <c r="AA3284" s="133"/>
      <c r="AB3284" s="133"/>
      <c r="AC3284" s="133"/>
      <c r="AD3284" s="133"/>
      <c r="AE3284" s="133"/>
      <c r="AF3284" s="133"/>
      <c r="AG3284" s="133"/>
      <c r="AH3284" s="133"/>
      <c r="AI3284" s="133"/>
      <c r="AJ3284" s="133"/>
      <c r="AK3284" s="133"/>
      <c r="AL3284" s="133"/>
      <c r="AM3284" s="133"/>
      <c r="AN3284" s="133"/>
      <c r="AO3284" s="133"/>
      <c r="AP3284" s="133"/>
      <c r="AQ3284" s="133"/>
      <c r="AR3284" s="133"/>
      <c r="AS3284" s="153">
        <v>0</v>
      </c>
      <c r="AT3284" s="153">
        <v>0</v>
      </c>
      <c r="AU3284" s="153">
        <v>0</v>
      </c>
      <c r="AV3284" s="135"/>
      <c r="AW3284" s="135"/>
      <c r="AX3284" s="135"/>
      <c r="AY3284" s="135"/>
      <c r="AZ3284" s="135"/>
      <c r="BA3284" s="135"/>
      <c r="BB3284" s="135"/>
      <c r="BC3284" s="135"/>
      <c r="BD3284" s="135"/>
      <c r="BE3284" s="135"/>
      <c r="BF3284" s="135"/>
      <c r="BG3284" s="135"/>
      <c r="BH3284" s="135"/>
      <c r="BI3284" s="2"/>
      <c r="BJ3284" s="136"/>
      <c r="BK3284" s="2"/>
      <c r="BL3284" s="136"/>
      <c r="BM3284" s="136"/>
      <c r="BN3284" s="2"/>
      <c r="BO3284" s="2"/>
      <c r="BP3284" s="136"/>
      <c r="BQ3284" s="137"/>
    </row>
    <row r="3285" spans="1:69" ht="12.75" customHeight="1" x14ac:dyDescent="0.2">
      <c r="A3285" s="2">
        <v>4774</v>
      </c>
      <c r="B3285" s="2"/>
      <c r="C3285" s="2"/>
      <c r="D3285" s="2"/>
      <c r="E3285" s="2"/>
      <c r="F3285" s="132">
        <v>0</v>
      </c>
      <c r="G3285" s="132"/>
      <c r="H3285" s="132">
        <f t="shared" si="367"/>
        <v>0</v>
      </c>
      <c r="I3285" s="132"/>
      <c r="J3285" s="132">
        <f t="shared" si="365"/>
        <v>0</v>
      </c>
      <c r="K3285" s="132">
        <f t="shared" si="368"/>
        <v>0</v>
      </c>
      <c r="L3285" s="132">
        <f t="shared" si="369"/>
        <v>0</v>
      </c>
      <c r="M3285" s="133"/>
      <c r="N3285" s="133">
        <f t="shared" si="366"/>
        <v>0</v>
      </c>
      <c r="O3285" s="134"/>
      <c r="P3285" s="133"/>
      <c r="Q3285" s="2"/>
      <c r="R3285" s="156">
        <f t="shared" si="370"/>
        <v>0</v>
      </c>
      <c r="S3285" s="156">
        <f t="shared" si="371"/>
        <v>0</v>
      </c>
      <c r="T3285" s="133"/>
      <c r="U3285" s="133"/>
      <c r="V3285" s="133"/>
      <c r="W3285" s="133"/>
      <c r="X3285" s="133"/>
      <c r="Y3285" s="133"/>
      <c r="Z3285" s="133"/>
      <c r="AA3285" s="133"/>
      <c r="AB3285" s="133"/>
      <c r="AC3285" s="133"/>
      <c r="AD3285" s="133"/>
      <c r="AE3285" s="133"/>
      <c r="AF3285" s="133"/>
      <c r="AG3285" s="133"/>
      <c r="AH3285" s="133"/>
      <c r="AI3285" s="133"/>
      <c r="AJ3285" s="133"/>
      <c r="AK3285" s="133"/>
      <c r="AL3285" s="133"/>
      <c r="AM3285" s="133"/>
      <c r="AN3285" s="133"/>
      <c r="AO3285" s="133"/>
      <c r="AP3285" s="133"/>
      <c r="AQ3285" s="133"/>
      <c r="AR3285" s="133"/>
      <c r="AS3285" s="153">
        <v>0</v>
      </c>
      <c r="AT3285" s="153">
        <v>0</v>
      </c>
      <c r="AU3285" s="153">
        <v>0</v>
      </c>
      <c r="AV3285" s="135"/>
      <c r="AW3285" s="135"/>
      <c r="AX3285" s="135"/>
      <c r="AY3285" s="135"/>
      <c r="AZ3285" s="135"/>
      <c r="BA3285" s="135"/>
      <c r="BB3285" s="135"/>
      <c r="BC3285" s="135"/>
      <c r="BD3285" s="135"/>
      <c r="BE3285" s="135"/>
      <c r="BF3285" s="135"/>
      <c r="BG3285" s="135"/>
      <c r="BH3285" s="135"/>
      <c r="BI3285" s="2"/>
      <c r="BJ3285" s="136"/>
      <c r="BK3285" s="2"/>
      <c r="BL3285" s="136"/>
      <c r="BM3285" s="136"/>
      <c r="BN3285" s="2"/>
      <c r="BO3285" s="2"/>
      <c r="BP3285" s="136"/>
      <c r="BQ3285" s="137"/>
    </row>
    <row r="3286" spans="1:69" ht="12.75" customHeight="1" x14ac:dyDescent="0.2">
      <c r="A3286" s="2">
        <v>4775</v>
      </c>
      <c r="B3286" s="2"/>
      <c r="C3286" s="2"/>
      <c r="D3286" s="2"/>
      <c r="E3286" s="2"/>
      <c r="F3286" s="132">
        <v>0</v>
      </c>
      <c r="G3286" s="132"/>
      <c r="H3286" s="132">
        <f t="shared" si="367"/>
        <v>0</v>
      </c>
      <c r="I3286" s="132"/>
      <c r="J3286" s="132">
        <f t="shared" si="365"/>
        <v>0</v>
      </c>
      <c r="K3286" s="132">
        <f t="shared" si="368"/>
        <v>0</v>
      </c>
      <c r="L3286" s="132">
        <f t="shared" si="369"/>
        <v>0</v>
      </c>
      <c r="M3286" s="133"/>
      <c r="N3286" s="133">
        <f t="shared" si="366"/>
        <v>0</v>
      </c>
      <c r="O3286" s="134"/>
      <c r="P3286" s="133"/>
      <c r="Q3286" s="2"/>
      <c r="R3286" s="156">
        <f t="shared" si="370"/>
        <v>0</v>
      </c>
      <c r="S3286" s="156">
        <f t="shared" si="371"/>
        <v>0</v>
      </c>
      <c r="T3286" s="133"/>
      <c r="U3286" s="133"/>
      <c r="V3286" s="133"/>
      <c r="W3286" s="133"/>
      <c r="X3286" s="133"/>
      <c r="Y3286" s="133"/>
      <c r="Z3286" s="133"/>
      <c r="AA3286" s="133"/>
      <c r="AB3286" s="133"/>
      <c r="AC3286" s="133"/>
      <c r="AD3286" s="133"/>
      <c r="AE3286" s="133"/>
      <c r="AF3286" s="133"/>
      <c r="AG3286" s="133"/>
      <c r="AH3286" s="133"/>
      <c r="AI3286" s="133"/>
      <c r="AJ3286" s="133"/>
      <c r="AK3286" s="133"/>
      <c r="AL3286" s="133"/>
      <c r="AM3286" s="133"/>
      <c r="AN3286" s="133"/>
      <c r="AO3286" s="133"/>
      <c r="AP3286" s="133"/>
      <c r="AQ3286" s="133"/>
      <c r="AR3286" s="133"/>
      <c r="AS3286" s="153">
        <v>0</v>
      </c>
      <c r="AT3286" s="153">
        <v>0</v>
      </c>
      <c r="AU3286" s="153">
        <v>0</v>
      </c>
      <c r="AV3286" s="135"/>
      <c r="AW3286" s="135"/>
      <c r="AX3286" s="135"/>
      <c r="AY3286" s="135"/>
      <c r="AZ3286" s="135"/>
      <c r="BA3286" s="135"/>
      <c r="BB3286" s="135"/>
      <c r="BC3286" s="135"/>
      <c r="BD3286" s="135"/>
      <c r="BE3286" s="135"/>
      <c r="BF3286" s="135"/>
      <c r="BG3286" s="135"/>
      <c r="BH3286" s="135"/>
      <c r="BI3286" s="2"/>
      <c r="BJ3286" s="136"/>
      <c r="BK3286" s="2"/>
      <c r="BL3286" s="136"/>
      <c r="BM3286" s="136"/>
      <c r="BN3286" s="2"/>
      <c r="BO3286" s="2"/>
      <c r="BP3286" s="136"/>
      <c r="BQ3286" s="137"/>
    </row>
    <row r="3287" spans="1:69" ht="12.75" customHeight="1" x14ac:dyDescent="0.2">
      <c r="A3287" s="2">
        <v>4776</v>
      </c>
      <c r="B3287" s="2"/>
      <c r="C3287" s="2"/>
      <c r="D3287" s="2"/>
      <c r="E3287" s="2"/>
      <c r="F3287" s="132">
        <v>0</v>
      </c>
      <c r="G3287" s="132"/>
      <c r="H3287" s="132">
        <f t="shared" si="367"/>
        <v>0</v>
      </c>
      <c r="I3287" s="132"/>
      <c r="J3287" s="132">
        <f t="shared" si="365"/>
        <v>0</v>
      </c>
      <c r="K3287" s="132">
        <f t="shared" si="368"/>
        <v>0</v>
      </c>
      <c r="L3287" s="132">
        <f t="shared" si="369"/>
        <v>0</v>
      </c>
      <c r="M3287" s="133"/>
      <c r="N3287" s="133">
        <f t="shared" si="366"/>
        <v>0</v>
      </c>
      <c r="O3287" s="134"/>
      <c r="P3287" s="133"/>
      <c r="Q3287" s="2"/>
      <c r="R3287" s="156">
        <f t="shared" si="370"/>
        <v>0</v>
      </c>
      <c r="S3287" s="156">
        <f t="shared" si="371"/>
        <v>0</v>
      </c>
      <c r="T3287" s="133"/>
      <c r="U3287" s="133"/>
      <c r="V3287" s="133"/>
      <c r="W3287" s="133"/>
      <c r="X3287" s="133"/>
      <c r="Y3287" s="133"/>
      <c r="Z3287" s="133"/>
      <c r="AA3287" s="133"/>
      <c r="AB3287" s="133"/>
      <c r="AC3287" s="133"/>
      <c r="AD3287" s="133"/>
      <c r="AE3287" s="133"/>
      <c r="AF3287" s="133"/>
      <c r="AG3287" s="133"/>
      <c r="AH3287" s="133"/>
      <c r="AI3287" s="133"/>
      <c r="AJ3287" s="133"/>
      <c r="AK3287" s="133"/>
      <c r="AL3287" s="133"/>
      <c r="AM3287" s="133"/>
      <c r="AN3287" s="133"/>
      <c r="AO3287" s="133"/>
      <c r="AP3287" s="133"/>
      <c r="AQ3287" s="133"/>
      <c r="AR3287" s="133"/>
      <c r="AS3287" s="153">
        <v>0</v>
      </c>
      <c r="AT3287" s="153">
        <v>0</v>
      </c>
      <c r="AU3287" s="153">
        <v>0</v>
      </c>
      <c r="AV3287" s="135"/>
      <c r="AW3287" s="135"/>
      <c r="AX3287" s="135"/>
      <c r="AY3287" s="135"/>
      <c r="AZ3287" s="135"/>
      <c r="BA3287" s="135"/>
      <c r="BB3287" s="135"/>
      <c r="BC3287" s="135"/>
      <c r="BD3287" s="135"/>
      <c r="BE3287" s="135"/>
      <c r="BF3287" s="135"/>
      <c r="BG3287" s="135"/>
      <c r="BH3287" s="135"/>
      <c r="BI3287" s="2"/>
      <c r="BJ3287" s="136"/>
      <c r="BK3287" s="2"/>
      <c r="BL3287" s="136"/>
      <c r="BM3287" s="136"/>
      <c r="BN3287" s="2"/>
      <c r="BO3287" s="2"/>
      <c r="BP3287" s="136"/>
      <c r="BQ3287" s="137"/>
    </row>
    <row r="3288" spans="1:69" ht="12.75" customHeight="1" x14ac:dyDescent="0.2">
      <c r="A3288" s="2">
        <v>4777</v>
      </c>
      <c r="B3288" s="2"/>
      <c r="C3288" s="2"/>
      <c r="D3288" s="2"/>
      <c r="E3288" s="2"/>
      <c r="F3288" s="132">
        <v>0</v>
      </c>
      <c r="G3288" s="132"/>
      <c r="H3288" s="132">
        <f t="shared" si="367"/>
        <v>0</v>
      </c>
      <c r="I3288" s="132"/>
      <c r="J3288" s="132">
        <f t="shared" si="365"/>
        <v>0</v>
      </c>
      <c r="K3288" s="132">
        <f t="shared" si="368"/>
        <v>0</v>
      </c>
      <c r="L3288" s="132">
        <f t="shared" si="369"/>
        <v>0</v>
      </c>
      <c r="M3288" s="133"/>
      <c r="N3288" s="133">
        <f t="shared" si="366"/>
        <v>0</v>
      </c>
      <c r="O3288" s="134"/>
      <c r="P3288" s="133"/>
      <c r="Q3288" s="2"/>
      <c r="R3288" s="156">
        <f t="shared" si="370"/>
        <v>0</v>
      </c>
      <c r="S3288" s="156">
        <f t="shared" si="371"/>
        <v>0</v>
      </c>
      <c r="T3288" s="133"/>
      <c r="U3288" s="133"/>
      <c r="V3288" s="133"/>
      <c r="W3288" s="133"/>
      <c r="X3288" s="133"/>
      <c r="Y3288" s="133"/>
      <c r="Z3288" s="133"/>
      <c r="AA3288" s="133"/>
      <c r="AB3288" s="133"/>
      <c r="AC3288" s="133"/>
      <c r="AD3288" s="133"/>
      <c r="AE3288" s="133"/>
      <c r="AF3288" s="133"/>
      <c r="AG3288" s="133"/>
      <c r="AH3288" s="133"/>
      <c r="AI3288" s="133"/>
      <c r="AJ3288" s="133"/>
      <c r="AK3288" s="133"/>
      <c r="AL3288" s="133"/>
      <c r="AM3288" s="133"/>
      <c r="AN3288" s="133"/>
      <c r="AO3288" s="133"/>
      <c r="AP3288" s="133"/>
      <c r="AQ3288" s="133"/>
      <c r="AR3288" s="133"/>
      <c r="AS3288" s="153">
        <v>0</v>
      </c>
      <c r="AT3288" s="153">
        <v>0</v>
      </c>
      <c r="AU3288" s="153">
        <v>0</v>
      </c>
      <c r="AV3288" s="135"/>
      <c r="AW3288" s="135"/>
      <c r="AX3288" s="135"/>
      <c r="AY3288" s="135"/>
      <c r="AZ3288" s="135"/>
      <c r="BA3288" s="135"/>
      <c r="BB3288" s="135"/>
      <c r="BC3288" s="135"/>
      <c r="BD3288" s="135"/>
      <c r="BE3288" s="135"/>
      <c r="BF3288" s="135"/>
      <c r="BG3288" s="135"/>
      <c r="BH3288" s="135"/>
      <c r="BI3288" s="2"/>
      <c r="BJ3288" s="136"/>
      <c r="BK3288" s="2"/>
      <c r="BL3288" s="136"/>
      <c r="BM3288" s="136"/>
      <c r="BN3288" s="2"/>
      <c r="BO3288" s="2"/>
      <c r="BP3288" s="136"/>
      <c r="BQ3288" s="137"/>
    </row>
    <row r="3289" spans="1:69" ht="12.75" customHeight="1" x14ac:dyDescent="0.2">
      <c r="A3289" s="2">
        <v>4778</v>
      </c>
      <c r="B3289" s="2"/>
      <c r="C3289" s="2"/>
      <c r="D3289" s="2"/>
      <c r="E3289" s="2"/>
      <c r="F3289" s="132">
        <v>0</v>
      </c>
      <c r="G3289" s="132"/>
      <c r="H3289" s="132">
        <f t="shared" si="367"/>
        <v>0</v>
      </c>
      <c r="I3289" s="132"/>
      <c r="J3289" s="132">
        <f t="shared" si="365"/>
        <v>0</v>
      </c>
      <c r="K3289" s="132">
        <f t="shared" si="368"/>
        <v>0</v>
      </c>
      <c r="L3289" s="132">
        <f t="shared" si="369"/>
        <v>0</v>
      </c>
      <c r="M3289" s="133"/>
      <c r="N3289" s="133">
        <f t="shared" si="366"/>
        <v>0</v>
      </c>
      <c r="O3289" s="134"/>
      <c r="P3289" s="133"/>
      <c r="Q3289" s="2"/>
      <c r="R3289" s="156">
        <f t="shared" si="370"/>
        <v>0</v>
      </c>
      <c r="S3289" s="156">
        <f t="shared" si="371"/>
        <v>0</v>
      </c>
      <c r="T3289" s="133"/>
      <c r="U3289" s="133"/>
      <c r="V3289" s="133"/>
      <c r="W3289" s="133"/>
      <c r="X3289" s="133"/>
      <c r="Y3289" s="133"/>
      <c r="Z3289" s="133"/>
      <c r="AA3289" s="133"/>
      <c r="AB3289" s="133"/>
      <c r="AC3289" s="133"/>
      <c r="AD3289" s="133"/>
      <c r="AE3289" s="133"/>
      <c r="AF3289" s="133"/>
      <c r="AG3289" s="133"/>
      <c r="AH3289" s="133"/>
      <c r="AI3289" s="133"/>
      <c r="AJ3289" s="133"/>
      <c r="AK3289" s="133"/>
      <c r="AL3289" s="133"/>
      <c r="AM3289" s="133"/>
      <c r="AN3289" s="133"/>
      <c r="AO3289" s="133"/>
      <c r="AP3289" s="133"/>
      <c r="AQ3289" s="133"/>
      <c r="AR3289" s="133"/>
      <c r="AS3289" s="153">
        <v>0</v>
      </c>
      <c r="AT3289" s="153">
        <v>0</v>
      </c>
      <c r="AU3289" s="153">
        <v>0</v>
      </c>
      <c r="AV3289" s="135"/>
      <c r="AW3289" s="135"/>
      <c r="AX3289" s="135"/>
      <c r="AY3289" s="135"/>
      <c r="AZ3289" s="135"/>
      <c r="BA3289" s="135"/>
      <c r="BB3289" s="135"/>
      <c r="BC3289" s="135"/>
      <c r="BD3289" s="135"/>
      <c r="BE3289" s="135"/>
      <c r="BF3289" s="135"/>
      <c r="BG3289" s="135"/>
      <c r="BH3289" s="135"/>
      <c r="BI3289" s="2"/>
      <c r="BJ3289" s="136"/>
      <c r="BK3289" s="2"/>
      <c r="BL3289" s="136"/>
      <c r="BM3289" s="136"/>
      <c r="BN3289" s="2"/>
      <c r="BO3289" s="2"/>
      <c r="BP3289" s="136"/>
      <c r="BQ3289" s="137"/>
    </row>
    <row r="3290" spans="1:69" ht="12.75" customHeight="1" x14ac:dyDescent="0.2">
      <c r="A3290" s="2">
        <v>4779</v>
      </c>
      <c r="B3290" s="2"/>
      <c r="C3290" s="2"/>
      <c r="D3290" s="2"/>
      <c r="E3290" s="2"/>
      <c r="F3290" s="132">
        <v>0</v>
      </c>
      <c r="G3290" s="132"/>
      <c r="H3290" s="132">
        <f t="shared" si="367"/>
        <v>0</v>
      </c>
      <c r="I3290" s="132"/>
      <c r="J3290" s="132">
        <f t="shared" si="365"/>
        <v>0</v>
      </c>
      <c r="K3290" s="132">
        <f t="shared" si="368"/>
        <v>0</v>
      </c>
      <c r="L3290" s="132">
        <f t="shared" si="369"/>
        <v>0</v>
      </c>
      <c r="M3290" s="133"/>
      <c r="N3290" s="133">
        <f t="shared" si="366"/>
        <v>0</v>
      </c>
      <c r="O3290" s="134"/>
      <c r="P3290" s="133"/>
      <c r="Q3290" s="2"/>
      <c r="R3290" s="156">
        <f t="shared" si="370"/>
        <v>0</v>
      </c>
      <c r="S3290" s="156">
        <f t="shared" si="371"/>
        <v>0</v>
      </c>
      <c r="T3290" s="133"/>
      <c r="U3290" s="133"/>
      <c r="V3290" s="133"/>
      <c r="W3290" s="133"/>
      <c r="X3290" s="133"/>
      <c r="Y3290" s="133"/>
      <c r="Z3290" s="133"/>
      <c r="AA3290" s="133"/>
      <c r="AB3290" s="133"/>
      <c r="AC3290" s="133"/>
      <c r="AD3290" s="133"/>
      <c r="AE3290" s="133"/>
      <c r="AF3290" s="133"/>
      <c r="AG3290" s="133"/>
      <c r="AH3290" s="133"/>
      <c r="AI3290" s="133"/>
      <c r="AJ3290" s="133"/>
      <c r="AK3290" s="133"/>
      <c r="AL3290" s="133"/>
      <c r="AM3290" s="133"/>
      <c r="AN3290" s="133"/>
      <c r="AO3290" s="133"/>
      <c r="AP3290" s="133"/>
      <c r="AQ3290" s="133"/>
      <c r="AR3290" s="133"/>
      <c r="AS3290" s="153">
        <v>0</v>
      </c>
      <c r="AT3290" s="153">
        <v>0</v>
      </c>
      <c r="AU3290" s="153">
        <v>0</v>
      </c>
      <c r="AV3290" s="135"/>
      <c r="AW3290" s="135"/>
      <c r="AX3290" s="135"/>
      <c r="AY3290" s="135"/>
      <c r="AZ3290" s="135"/>
      <c r="BA3290" s="135"/>
      <c r="BB3290" s="135"/>
      <c r="BC3290" s="135"/>
      <c r="BD3290" s="135"/>
      <c r="BE3290" s="135"/>
      <c r="BF3290" s="135"/>
      <c r="BG3290" s="135"/>
      <c r="BH3290" s="135"/>
      <c r="BI3290" s="2"/>
      <c r="BJ3290" s="136"/>
      <c r="BK3290" s="2"/>
      <c r="BL3290" s="136"/>
      <c r="BM3290" s="136"/>
      <c r="BN3290" s="2"/>
      <c r="BO3290" s="2"/>
      <c r="BP3290" s="136"/>
      <c r="BQ3290" s="137"/>
    </row>
    <row r="3291" spans="1:69" ht="12.75" customHeight="1" x14ac:dyDescent="0.2">
      <c r="A3291" s="2">
        <v>4780</v>
      </c>
      <c r="B3291" s="2"/>
      <c r="C3291" s="2"/>
      <c r="D3291" s="2"/>
      <c r="E3291" s="2"/>
      <c r="F3291" s="132">
        <v>0</v>
      </c>
      <c r="G3291" s="132"/>
      <c r="H3291" s="132">
        <f t="shared" si="367"/>
        <v>0</v>
      </c>
      <c r="I3291" s="132"/>
      <c r="J3291" s="132">
        <f t="shared" si="365"/>
        <v>0</v>
      </c>
      <c r="K3291" s="132">
        <f t="shared" si="368"/>
        <v>0</v>
      </c>
      <c r="L3291" s="132">
        <f t="shared" si="369"/>
        <v>0</v>
      </c>
      <c r="M3291" s="133"/>
      <c r="N3291" s="133">
        <f t="shared" si="366"/>
        <v>0</v>
      </c>
      <c r="O3291" s="134"/>
      <c r="P3291" s="133"/>
      <c r="Q3291" s="2"/>
      <c r="R3291" s="156">
        <f t="shared" si="370"/>
        <v>0</v>
      </c>
      <c r="S3291" s="156">
        <f t="shared" si="371"/>
        <v>0</v>
      </c>
      <c r="T3291" s="133"/>
      <c r="U3291" s="133"/>
      <c r="V3291" s="133"/>
      <c r="W3291" s="133"/>
      <c r="X3291" s="133"/>
      <c r="Y3291" s="133"/>
      <c r="Z3291" s="133"/>
      <c r="AA3291" s="133"/>
      <c r="AB3291" s="133"/>
      <c r="AC3291" s="133"/>
      <c r="AD3291" s="133"/>
      <c r="AE3291" s="133"/>
      <c r="AF3291" s="133"/>
      <c r="AG3291" s="133"/>
      <c r="AH3291" s="133"/>
      <c r="AI3291" s="133"/>
      <c r="AJ3291" s="133"/>
      <c r="AK3291" s="133"/>
      <c r="AL3291" s="133"/>
      <c r="AM3291" s="133"/>
      <c r="AN3291" s="133"/>
      <c r="AO3291" s="133"/>
      <c r="AP3291" s="133"/>
      <c r="AQ3291" s="133"/>
      <c r="AR3291" s="133"/>
      <c r="AS3291" s="153">
        <v>0</v>
      </c>
      <c r="AT3291" s="153">
        <v>0</v>
      </c>
      <c r="AU3291" s="153">
        <v>0</v>
      </c>
      <c r="AV3291" s="135"/>
      <c r="AW3291" s="135"/>
      <c r="AX3291" s="135"/>
      <c r="AY3291" s="135"/>
      <c r="AZ3291" s="135"/>
      <c r="BA3291" s="135"/>
      <c r="BB3291" s="135"/>
      <c r="BC3291" s="135"/>
      <c r="BD3291" s="135"/>
      <c r="BE3291" s="135"/>
      <c r="BF3291" s="135"/>
      <c r="BG3291" s="135"/>
      <c r="BH3291" s="135"/>
      <c r="BI3291" s="2"/>
      <c r="BJ3291" s="136"/>
      <c r="BK3291" s="2"/>
      <c r="BL3291" s="136"/>
      <c r="BM3291" s="136"/>
      <c r="BN3291" s="2"/>
      <c r="BO3291" s="2"/>
      <c r="BP3291" s="136"/>
      <c r="BQ3291" s="137"/>
    </row>
    <row r="3292" spans="1:69" ht="12.75" customHeight="1" x14ac:dyDescent="0.2">
      <c r="A3292" s="2">
        <v>4781</v>
      </c>
      <c r="B3292" s="2"/>
      <c r="C3292" s="2"/>
      <c r="D3292" s="2"/>
      <c r="E3292" s="2"/>
      <c r="F3292" s="132">
        <v>0</v>
      </c>
      <c r="G3292" s="132"/>
      <c r="H3292" s="132">
        <f t="shared" si="367"/>
        <v>0</v>
      </c>
      <c r="I3292" s="132"/>
      <c r="J3292" s="132">
        <f t="shared" si="365"/>
        <v>0</v>
      </c>
      <c r="K3292" s="132">
        <f t="shared" si="368"/>
        <v>0</v>
      </c>
      <c r="L3292" s="132">
        <f t="shared" si="369"/>
        <v>0</v>
      </c>
      <c r="M3292" s="133"/>
      <c r="N3292" s="133">
        <f t="shared" si="366"/>
        <v>0</v>
      </c>
      <c r="O3292" s="134"/>
      <c r="P3292" s="133"/>
      <c r="Q3292" s="2"/>
      <c r="R3292" s="156">
        <f t="shared" si="370"/>
        <v>0</v>
      </c>
      <c r="S3292" s="156">
        <f t="shared" si="371"/>
        <v>0</v>
      </c>
      <c r="T3292" s="133"/>
      <c r="U3292" s="133"/>
      <c r="V3292" s="133"/>
      <c r="W3292" s="133"/>
      <c r="X3292" s="133"/>
      <c r="Y3292" s="133"/>
      <c r="Z3292" s="133"/>
      <c r="AA3292" s="133"/>
      <c r="AB3292" s="133"/>
      <c r="AC3292" s="133"/>
      <c r="AD3292" s="133"/>
      <c r="AE3292" s="133"/>
      <c r="AF3292" s="133"/>
      <c r="AG3292" s="133"/>
      <c r="AH3292" s="133"/>
      <c r="AI3292" s="133"/>
      <c r="AJ3292" s="133"/>
      <c r="AK3292" s="133"/>
      <c r="AL3292" s="133"/>
      <c r="AM3292" s="133"/>
      <c r="AN3292" s="133"/>
      <c r="AO3292" s="133"/>
      <c r="AP3292" s="133"/>
      <c r="AQ3292" s="133"/>
      <c r="AR3292" s="133"/>
      <c r="AS3292" s="153">
        <v>0</v>
      </c>
      <c r="AT3292" s="153">
        <v>0</v>
      </c>
      <c r="AU3292" s="153">
        <v>0</v>
      </c>
      <c r="AV3292" s="135"/>
      <c r="AW3292" s="135"/>
      <c r="AX3292" s="135"/>
      <c r="AY3292" s="135"/>
      <c r="AZ3292" s="135"/>
      <c r="BA3292" s="135"/>
      <c r="BB3292" s="135"/>
      <c r="BC3292" s="135"/>
      <c r="BD3292" s="135"/>
      <c r="BE3292" s="135"/>
      <c r="BF3292" s="135"/>
      <c r="BG3292" s="135"/>
      <c r="BH3292" s="135"/>
      <c r="BI3292" s="2"/>
      <c r="BJ3292" s="136"/>
      <c r="BK3292" s="2"/>
      <c r="BL3292" s="136"/>
      <c r="BM3292" s="136"/>
      <c r="BN3292" s="2"/>
      <c r="BO3292" s="2"/>
      <c r="BP3292" s="136"/>
      <c r="BQ3292" s="137"/>
    </row>
    <row r="3293" spans="1:69" ht="12.75" customHeight="1" x14ac:dyDescent="0.2">
      <c r="A3293" s="2">
        <v>4782</v>
      </c>
      <c r="B3293" s="2"/>
      <c r="C3293" s="2"/>
      <c r="D3293" s="2"/>
      <c r="E3293" s="2"/>
      <c r="F3293" s="132">
        <v>0</v>
      </c>
      <c r="G3293" s="132"/>
      <c r="H3293" s="132">
        <f t="shared" si="367"/>
        <v>0</v>
      </c>
      <c r="I3293" s="132"/>
      <c r="J3293" s="132">
        <f t="shared" si="365"/>
        <v>0</v>
      </c>
      <c r="K3293" s="132">
        <f t="shared" si="368"/>
        <v>0</v>
      </c>
      <c r="L3293" s="132">
        <f t="shared" si="369"/>
        <v>0</v>
      </c>
      <c r="M3293" s="133"/>
      <c r="N3293" s="133">
        <f t="shared" si="366"/>
        <v>0</v>
      </c>
      <c r="O3293" s="134"/>
      <c r="P3293" s="133"/>
      <c r="Q3293" s="2"/>
      <c r="R3293" s="156">
        <f t="shared" si="370"/>
        <v>0</v>
      </c>
      <c r="S3293" s="156">
        <f t="shared" si="371"/>
        <v>0</v>
      </c>
      <c r="T3293" s="133"/>
      <c r="U3293" s="133"/>
      <c r="V3293" s="133"/>
      <c r="W3293" s="133"/>
      <c r="X3293" s="133"/>
      <c r="Y3293" s="133"/>
      <c r="Z3293" s="133"/>
      <c r="AA3293" s="133"/>
      <c r="AB3293" s="133"/>
      <c r="AC3293" s="133"/>
      <c r="AD3293" s="133"/>
      <c r="AE3293" s="133"/>
      <c r="AF3293" s="133"/>
      <c r="AG3293" s="133"/>
      <c r="AH3293" s="133"/>
      <c r="AI3293" s="133"/>
      <c r="AJ3293" s="133"/>
      <c r="AK3293" s="133"/>
      <c r="AL3293" s="133"/>
      <c r="AM3293" s="133"/>
      <c r="AN3293" s="133"/>
      <c r="AO3293" s="133"/>
      <c r="AP3293" s="133"/>
      <c r="AQ3293" s="133"/>
      <c r="AR3293" s="133"/>
      <c r="AS3293" s="153">
        <v>0</v>
      </c>
      <c r="AT3293" s="153">
        <v>0</v>
      </c>
      <c r="AU3293" s="153">
        <v>0</v>
      </c>
      <c r="AV3293" s="135"/>
      <c r="AW3293" s="135"/>
      <c r="AX3293" s="135"/>
      <c r="AY3293" s="135"/>
      <c r="AZ3293" s="135"/>
      <c r="BA3293" s="135"/>
      <c r="BB3293" s="135"/>
      <c r="BC3293" s="135"/>
      <c r="BD3293" s="135"/>
      <c r="BE3293" s="135"/>
      <c r="BF3293" s="135"/>
      <c r="BG3293" s="135"/>
      <c r="BH3293" s="135"/>
      <c r="BI3293" s="2"/>
      <c r="BJ3293" s="136"/>
      <c r="BK3293" s="2"/>
      <c r="BL3293" s="136"/>
      <c r="BM3293" s="136"/>
      <c r="BN3293" s="2"/>
      <c r="BO3293" s="2"/>
      <c r="BP3293" s="136"/>
      <c r="BQ3293" s="137"/>
    </row>
    <row r="3294" spans="1:69" ht="12.75" customHeight="1" x14ac:dyDescent="0.2">
      <c r="A3294" s="2">
        <v>4783</v>
      </c>
      <c r="B3294" s="2"/>
      <c r="C3294" s="2"/>
      <c r="D3294" s="2"/>
      <c r="E3294" s="2"/>
      <c r="F3294" s="132">
        <v>0</v>
      </c>
      <c r="G3294" s="132"/>
      <c r="H3294" s="132">
        <f t="shared" si="367"/>
        <v>0</v>
      </c>
      <c r="I3294" s="132"/>
      <c r="J3294" s="132">
        <f t="shared" si="365"/>
        <v>0</v>
      </c>
      <c r="K3294" s="132">
        <f t="shared" si="368"/>
        <v>0</v>
      </c>
      <c r="L3294" s="132">
        <f t="shared" si="369"/>
        <v>0</v>
      </c>
      <c r="M3294" s="133"/>
      <c r="N3294" s="133">
        <f t="shared" si="366"/>
        <v>0</v>
      </c>
      <c r="O3294" s="134"/>
      <c r="P3294" s="133"/>
      <c r="Q3294" s="2"/>
      <c r="R3294" s="156">
        <f t="shared" si="370"/>
        <v>0</v>
      </c>
      <c r="S3294" s="156">
        <f t="shared" si="371"/>
        <v>0</v>
      </c>
      <c r="T3294" s="133"/>
      <c r="U3294" s="133"/>
      <c r="V3294" s="133"/>
      <c r="W3294" s="133"/>
      <c r="X3294" s="133"/>
      <c r="Y3294" s="133"/>
      <c r="Z3294" s="133"/>
      <c r="AA3294" s="133"/>
      <c r="AB3294" s="133"/>
      <c r="AC3294" s="133"/>
      <c r="AD3294" s="133"/>
      <c r="AE3294" s="133"/>
      <c r="AF3294" s="133"/>
      <c r="AG3294" s="133"/>
      <c r="AH3294" s="133"/>
      <c r="AI3294" s="133"/>
      <c r="AJ3294" s="133"/>
      <c r="AK3294" s="133"/>
      <c r="AL3294" s="133"/>
      <c r="AM3294" s="133"/>
      <c r="AN3294" s="133"/>
      <c r="AO3294" s="133"/>
      <c r="AP3294" s="133"/>
      <c r="AQ3294" s="133"/>
      <c r="AR3294" s="133"/>
      <c r="AS3294" s="153">
        <v>0</v>
      </c>
      <c r="AT3294" s="153">
        <v>0</v>
      </c>
      <c r="AU3294" s="153">
        <v>0</v>
      </c>
      <c r="AV3294" s="135"/>
      <c r="AW3294" s="135"/>
      <c r="AX3294" s="135"/>
      <c r="AY3294" s="135"/>
      <c r="AZ3294" s="135"/>
      <c r="BA3294" s="135"/>
      <c r="BB3294" s="135"/>
      <c r="BC3294" s="135"/>
      <c r="BD3294" s="135"/>
      <c r="BE3294" s="135"/>
      <c r="BF3294" s="135"/>
      <c r="BG3294" s="135"/>
      <c r="BH3294" s="135"/>
      <c r="BI3294" s="2"/>
      <c r="BJ3294" s="136"/>
      <c r="BK3294" s="2"/>
      <c r="BL3294" s="136"/>
      <c r="BM3294" s="136"/>
      <c r="BN3294" s="2"/>
      <c r="BO3294" s="2"/>
      <c r="BP3294" s="136"/>
      <c r="BQ3294" s="137"/>
    </row>
    <row r="3295" spans="1:69" ht="12.75" customHeight="1" x14ac:dyDescent="0.2">
      <c r="A3295" s="2">
        <v>4784</v>
      </c>
      <c r="B3295" s="2"/>
      <c r="C3295" s="2"/>
      <c r="D3295" s="2"/>
      <c r="E3295" s="2"/>
      <c r="F3295" s="132">
        <v>0</v>
      </c>
      <c r="G3295" s="132"/>
      <c r="H3295" s="132">
        <f t="shared" si="367"/>
        <v>0</v>
      </c>
      <c r="I3295" s="132"/>
      <c r="J3295" s="132">
        <f t="shared" si="365"/>
        <v>0</v>
      </c>
      <c r="K3295" s="132">
        <f t="shared" si="368"/>
        <v>0</v>
      </c>
      <c r="L3295" s="132">
        <f t="shared" si="369"/>
        <v>0</v>
      </c>
      <c r="M3295" s="133"/>
      <c r="N3295" s="133">
        <f t="shared" si="366"/>
        <v>0</v>
      </c>
      <c r="O3295" s="134"/>
      <c r="P3295" s="133"/>
      <c r="Q3295" s="2"/>
      <c r="R3295" s="156">
        <f t="shared" si="370"/>
        <v>0</v>
      </c>
      <c r="S3295" s="156">
        <f t="shared" si="371"/>
        <v>0</v>
      </c>
      <c r="T3295" s="133"/>
      <c r="U3295" s="133"/>
      <c r="V3295" s="133"/>
      <c r="W3295" s="133"/>
      <c r="X3295" s="133"/>
      <c r="Y3295" s="133"/>
      <c r="Z3295" s="133"/>
      <c r="AA3295" s="133"/>
      <c r="AB3295" s="133"/>
      <c r="AC3295" s="133"/>
      <c r="AD3295" s="133"/>
      <c r="AE3295" s="133"/>
      <c r="AF3295" s="133"/>
      <c r="AG3295" s="133"/>
      <c r="AH3295" s="133"/>
      <c r="AI3295" s="133"/>
      <c r="AJ3295" s="133"/>
      <c r="AK3295" s="133"/>
      <c r="AL3295" s="133"/>
      <c r="AM3295" s="133"/>
      <c r="AN3295" s="133"/>
      <c r="AO3295" s="133"/>
      <c r="AP3295" s="133"/>
      <c r="AQ3295" s="133"/>
      <c r="AR3295" s="133"/>
      <c r="AS3295" s="153">
        <v>0</v>
      </c>
      <c r="AT3295" s="153">
        <v>0</v>
      </c>
      <c r="AU3295" s="153">
        <v>0</v>
      </c>
      <c r="AV3295" s="135"/>
      <c r="AW3295" s="135"/>
      <c r="AX3295" s="135"/>
      <c r="AY3295" s="135"/>
      <c r="AZ3295" s="135"/>
      <c r="BA3295" s="135"/>
      <c r="BB3295" s="135"/>
      <c r="BC3295" s="135"/>
      <c r="BD3295" s="135"/>
      <c r="BE3295" s="135"/>
      <c r="BF3295" s="135"/>
      <c r="BG3295" s="135"/>
      <c r="BH3295" s="135"/>
      <c r="BI3295" s="2"/>
      <c r="BJ3295" s="136"/>
      <c r="BK3295" s="2"/>
      <c r="BL3295" s="136"/>
      <c r="BM3295" s="136"/>
      <c r="BN3295" s="2"/>
      <c r="BO3295" s="2"/>
      <c r="BP3295" s="136"/>
      <c r="BQ3295" s="137"/>
    </row>
    <row r="3296" spans="1:69" ht="12.75" customHeight="1" x14ac:dyDescent="0.2">
      <c r="A3296" s="2">
        <v>4785</v>
      </c>
      <c r="B3296" s="2"/>
      <c r="C3296" s="2"/>
      <c r="D3296" s="2"/>
      <c r="E3296" s="2"/>
      <c r="F3296" s="132">
        <v>0</v>
      </c>
      <c r="G3296" s="132"/>
      <c r="H3296" s="132">
        <f t="shared" si="367"/>
        <v>0</v>
      </c>
      <c r="I3296" s="132"/>
      <c r="J3296" s="132">
        <f t="shared" si="365"/>
        <v>0</v>
      </c>
      <c r="K3296" s="132">
        <f t="shared" si="368"/>
        <v>0</v>
      </c>
      <c r="L3296" s="132">
        <f t="shared" si="369"/>
        <v>0</v>
      </c>
      <c r="M3296" s="133"/>
      <c r="N3296" s="133">
        <f t="shared" si="366"/>
        <v>0</v>
      </c>
      <c r="O3296" s="134"/>
      <c r="P3296" s="133"/>
      <c r="Q3296" s="2"/>
      <c r="R3296" s="156">
        <f t="shared" si="370"/>
        <v>0</v>
      </c>
      <c r="S3296" s="156">
        <f t="shared" si="371"/>
        <v>0</v>
      </c>
      <c r="T3296" s="133"/>
      <c r="U3296" s="133"/>
      <c r="V3296" s="133"/>
      <c r="W3296" s="133"/>
      <c r="X3296" s="133"/>
      <c r="Y3296" s="133"/>
      <c r="Z3296" s="133"/>
      <c r="AA3296" s="133"/>
      <c r="AB3296" s="133"/>
      <c r="AC3296" s="133"/>
      <c r="AD3296" s="133"/>
      <c r="AE3296" s="133"/>
      <c r="AF3296" s="133"/>
      <c r="AG3296" s="133"/>
      <c r="AH3296" s="133"/>
      <c r="AI3296" s="133"/>
      <c r="AJ3296" s="133"/>
      <c r="AK3296" s="133"/>
      <c r="AL3296" s="133"/>
      <c r="AM3296" s="133"/>
      <c r="AN3296" s="133"/>
      <c r="AO3296" s="133"/>
      <c r="AP3296" s="133"/>
      <c r="AQ3296" s="133"/>
      <c r="AR3296" s="133"/>
      <c r="AS3296" s="153">
        <v>0</v>
      </c>
      <c r="AT3296" s="153">
        <v>0</v>
      </c>
      <c r="AU3296" s="153">
        <v>0</v>
      </c>
      <c r="AV3296" s="135"/>
      <c r="AW3296" s="135"/>
      <c r="AX3296" s="135"/>
      <c r="AY3296" s="135"/>
      <c r="AZ3296" s="135"/>
      <c r="BA3296" s="135"/>
      <c r="BB3296" s="135"/>
      <c r="BC3296" s="135"/>
      <c r="BD3296" s="135"/>
      <c r="BE3296" s="135"/>
      <c r="BF3296" s="135"/>
      <c r="BG3296" s="135"/>
      <c r="BH3296" s="135"/>
      <c r="BI3296" s="2"/>
      <c r="BJ3296" s="136"/>
      <c r="BK3296" s="2"/>
      <c r="BL3296" s="136"/>
      <c r="BM3296" s="136"/>
      <c r="BN3296" s="2"/>
      <c r="BO3296" s="2"/>
      <c r="BP3296" s="136"/>
      <c r="BQ3296" s="137"/>
    </row>
    <row r="3297" spans="1:69" ht="12.75" customHeight="1" x14ac:dyDescent="0.2">
      <c r="A3297" s="2">
        <v>4786</v>
      </c>
      <c r="B3297" s="2"/>
      <c r="C3297" s="2"/>
      <c r="D3297" s="2"/>
      <c r="E3297" s="2"/>
      <c r="F3297" s="132">
        <v>0</v>
      </c>
      <c r="G3297" s="132"/>
      <c r="H3297" s="132">
        <f t="shared" si="367"/>
        <v>0</v>
      </c>
      <c r="I3297" s="132"/>
      <c r="J3297" s="132">
        <f t="shared" si="365"/>
        <v>0</v>
      </c>
      <c r="K3297" s="132">
        <f t="shared" si="368"/>
        <v>0</v>
      </c>
      <c r="L3297" s="132">
        <f t="shared" si="369"/>
        <v>0</v>
      </c>
      <c r="M3297" s="133"/>
      <c r="N3297" s="133">
        <f t="shared" si="366"/>
        <v>0</v>
      </c>
      <c r="O3297" s="134"/>
      <c r="P3297" s="133"/>
      <c r="Q3297" s="2"/>
      <c r="R3297" s="156">
        <f t="shared" si="370"/>
        <v>0</v>
      </c>
      <c r="S3297" s="156">
        <f t="shared" si="371"/>
        <v>0</v>
      </c>
      <c r="T3297" s="133"/>
      <c r="U3297" s="133"/>
      <c r="V3297" s="133"/>
      <c r="W3297" s="133"/>
      <c r="X3297" s="133"/>
      <c r="Y3297" s="133"/>
      <c r="Z3297" s="133"/>
      <c r="AA3297" s="133"/>
      <c r="AB3297" s="133"/>
      <c r="AC3297" s="133"/>
      <c r="AD3297" s="133"/>
      <c r="AE3297" s="133"/>
      <c r="AF3297" s="133"/>
      <c r="AG3297" s="133"/>
      <c r="AH3297" s="133"/>
      <c r="AI3297" s="133"/>
      <c r="AJ3297" s="133"/>
      <c r="AK3297" s="133"/>
      <c r="AL3297" s="133"/>
      <c r="AM3297" s="133"/>
      <c r="AN3297" s="133"/>
      <c r="AO3297" s="133"/>
      <c r="AP3297" s="133"/>
      <c r="AQ3297" s="133"/>
      <c r="AR3297" s="133"/>
      <c r="AS3297" s="153">
        <v>0</v>
      </c>
      <c r="AT3297" s="153">
        <v>0</v>
      </c>
      <c r="AU3297" s="153">
        <v>0</v>
      </c>
      <c r="AV3297" s="135"/>
      <c r="AW3297" s="135"/>
      <c r="AX3297" s="135"/>
      <c r="AY3297" s="135"/>
      <c r="AZ3297" s="135"/>
      <c r="BA3297" s="135"/>
      <c r="BB3297" s="135"/>
      <c r="BC3297" s="135"/>
      <c r="BD3297" s="135"/>
      <c r="BE3297" s="135"/>
      <c r="BF3297" s="135"/>
      <c r="BG3297" s="135"/>
      <c r="BH3297" s="135"/>
      <c r="BI3297" s="2"/>
      <c r="BJ3297" s="136"/>
      <c r="BK3297" s="2"/>
      <c r="BL3297" s="136"/>
      <c r="BM3297" s="136"/>
      <c r="BN3297" s="2"/>
      <c r="BO3297" s="2"/>
      <c r="BP3297" s="136"/>
      <c r="BQ3297" s="137"/>
    </row>
    <row r="3298" spans="1:69" ht="12.75" customHeight="1" x14ac:dyDescent="0.2">
      <c r="A3298" s="2">
        <v>4787</v>
      </c>
      <c r="B3298" s="2"/>
      <c r="C3298" s="2"/>
      <c r="D3298" s="2"/>
      <c r="E3298" s="2"/>
      <c r="F3298" s="132">
        <v>0</v>
      </c>
      <c r="G3298" s="132"/>
      <c r="H3298" s="132">
        <f t="shared" si="367"/>
        <v>0</v>
      </c>
      <c r="I3298" s="132"/>
      <c r="J3298" s="132">
        <f t="shared" si="365"/>
        <v>0</v>
      </c>
      <c r="K3298" s="132">
        <f t="shared" si="368"/>
        <v>0</v>
      </c>
      <c r="L3298" s="132">
        <f t="shared" si="369"/>
        <v>0</v>
      </c>
      <c r="M3298" s="133"/>
      <c r="N3298" s="133">
        <f t="shared" si="366"/>
        <v>0</v>
      </c>
      <c r="O3298" s="134"/>
      <c r="P3298" s="133"/>
      <c r="Q3298" s="2"/>
      <c r="R3298" s="156">
        <f t="shared" si="370"/>
        <v>0</v>
      </c>
      <c r="S3298" s="156">
        <f t="shared" si="371"/>
        <v>0</v>
      </c>
      <c r="T3298" s="133"/>
      <c r="U3298" s="133"/>
      <c r="V3298" s="133"/>
      <c r="W3298" s="133"/>
      <c r="X3298" s="133"/>
      <c r="Y3298" s="133"/>
      <c r="Z3298" s="133"/>
      <c r="AA3298" s="133"/>
      <c r="AB3298" s="133"/>
      <c r="AC3298" s="133"/>
      <c r="AD3298" s="133"/>
      <c r="AE3298" s="133"/>
      <c r="AF3298" s="133"/>
      <c r="AG3298" s="133"/>
      <c r="AH3298" s="133"/>
      <c r="AI3298" s="133"/>
      <c r="AJ3298" s="133"/>
      <c r="AK3298" s="133"/>
      <c r="AL3298" s="133"/>
      <c r="AM3298" s="133"/>
      <c r="AN3298" s="133"/>
      <c r="AO3298" s="133"/>
      <c r="AP3298" s="133"/>
      <c r="AQ3298" s="133"/>
      <c r="AR3298" s="133"/>
      <c r="AS3298" s="153">
        <v>0</v>
      </c>
      <c r="AT3298" s="153">
        <v>0</v>
      </c>
      <c r="AU3298" s="153">
        <v>0</v>
      </c>
      <c r="AV3298" s="135"/>
      <c r="AW3298" s="135"/>
      <c r="AX3298" s="135"/>
      <c r="AY3298" s="135"/>
      <c r="AZ3298" s="135"/>
      <c r="BA3298" s="135"/>
      <c r="BB3298" s="135"/>
      <c r="BC3298" s="135"/>
      <c r="BD3298" s="135"/>
      <c r="BE3298" s="135"/>
      <c r="BF3298" s="135"/>
      <c r="BG3298" s="135"/>
      <c r="BH3298" s="135"/>
      <c r="BI3298" s="2"/>
      <c r="BJ3298" s="136"/>
      <c r="BK3298" s="2"/>
      <c r="BL3298" s="136"/>
      <c r="BM3298" s="136"/>
      <c r="BN3298" s="2"/>
      <c r="BO3298" s="2"/>
      <c r="BP3298" s="136"/>
      <c r="BQ3298" s="137"/>
    </row>
    <row r="3299" spans="1:69" ht="12.75" customHeight="1" x14ac:dyDescent="0.2">
      <c r="A3299" s="2">
        <v>4788</v>
      </c>
      <c r="B3299" s="2"/>
      <c r="C3299" s="2"/>
      <c r="D3299" s="2"/>
      <c r="E3299" s="2"/>
      <c r="F3299" s="132">
        <v>0</v>
      </c>
      <c r="G3299" s="132"/>
      <c r="H3299" s="132">
        <f t="shared" si="367"/>
        <v>0</v>
      </c>
      <c r="I3299" s="132"/>
      <c r="J3299" s="132">
        <f t="shared" si="365"/>
        <v>0</v>
      </c>
      <c r="K3299" s="132">
        <f t="shared" si="368"/>
        <v>0</v>
      </c>
      <c r="L3299" s="132">
        <f t="shared" si="369"/>
        <v>0</v>
      </c>
      <c r="M3299" s="133"/>
      <c r="N3299" s="133">
        <f t="shared" si="366"/>
        <v>0</v>
      </c>
      <c r="O3299" s="134"/>
      <c r="P3299" s="133"/>
      <c r="Q3299" s="2"/>
      <c r="R3299" s="156">
        <f t="shared" si="370"/>
        <v>0</v>
      </c>
      <c r="S3299" s="156">
        <f t="shared" si="371"/>
        <v>0</v>
      </c>
      <c r="T3299" s="133"/>
      <c r="U3299" s="133"/>
      <c r="V3299" s="133"/>
      <c r="W3299" s="133"/>
      <c r="X3299" s="133"/>
      <c r="Y3299" s="133"/>
      <c r="Z3299" s="133"/>
      <c r="AA3299" s="133"/>
      <c r="AB3299" s="133"/>
      <c r="AC3299" s="133"/>
      <c r="AD3299" s="133"/>
      <c r="AE3299" s="133"/>
      <c r="AF3299" s="133"/>
      <c r="AG3299" s="133"/>
      <c r="AH3299" s="133"/>
      <c r="AI3299" s="133"/>
      <c r="AJ3299" s="133"/>
      <c r="AK3299" s="133"/>
      <c r="AL3299" s="133"/>
      <c r="AM3299" s="133"/>
      <c r="AN3299" s="133"/>
      <c r="AO3299" s="133"/>
      <c r="AP3299" s="133"/>
      <c r="AQ3299" s="133"/>
      <c r="AR3299" s="133"/>
      <c r="AS3299" s="153">
        <v>0</v>
      </c>
      <c r="AT3299" s="153">
        <v>0</v>
      </c>
      <c r="AU3299" s="153">
        <v>0</v>
      </c>
      <c r="AV3299" s="135"/>
      <c r="AW3299" s="135"/>
      <c r="AX3299" s="135"/>
      <c r="AY3299" s="135"/>
      <c r="AZ3299" s="135"/>
      <c r="BA3299" s="135"/>
      <c r="BB3299" s="135"/>
      <c r="BC3299" s="135"/>
      <c r="BD3299" s="135"/>
      <c r="BE3299" s="135"/>
      <c r="BF3299" s="135"/>
      <c r="BG3299" s="135"/>
      <c r="BH3299" s="135"/>
      <c r="BI3299" s="2"/>
      <c r="BJ3299" s="136"/>
      <c r="BK3299" s="2"/>
      <c r="BL3299" s="136"/>
      <c r="BM3299" s="136"/>
      <c r="BN3299" s="2"/>
      <c r="BO3299" s="2"/>
      <c r="BP3299" s="136"/>
      <c r="BQ3299" s="137"/>
    </row>
    <row r="3300" spans="1:69" ht="12.75" customHeight="1" x14ac:dyDescent="0.2">
      <c r="A3300" s="2">
        <v>4789</v>
      </c>
      <c r="B3300" s="2"/>
      <c r="C3300" s="2"/>
      <c r="D3300" s="2"/>
      <c r="E3300" s="2"/>
      <c r="F3300" s="132">
        <v>0</v>
      </c>
      <c r="G3300" s="132"/>
      <c r="H3300" s="132">
        <f t="shared" si="367"/>
        <v>0</v>
      </c>
      <c r="I3300" s="132"/>
      <c r="J3300" s="132">
        <f t="shared" ref="J3300:J3363" si="372">S3300</f>
        <v>0</v>
      </c>
      <c r="K3300" s="132">
        <f t="shared" si="368"/>
        <v>0</v>
      </c>
      <c r="L3300" s="132">
        <f t="shared" si="369"/>
        <v>0</v>
      </c>
      <c r="M3300" s="133"/>
      <c r="N3300" s="133">
        <f t="shared" si="366"/>
        <v>0</v>
      </c>
      <c r="O3300" s="134"/>
      <c r="P3300" s="133"/>
      <c r="Q3300" s="2"/>
      <c r="R3300" s="156">
        <f t="shared" si="370"/>
        <v>0</v>
      </c>
      <c r="S3300" s="156">
        <f t="shared" si="371"/>
        <v>0</v>
      </c>
      <c r="T3300" s="133"/>
      <c r="U3300" s="133"/>
      <c r="V3300" s="133"/>
      <c r="W3300" s="133"/>
      <c r="X3300" s="133"/>
      <c r="Y3300" s="133"/>
      <c r="Z3300" s="133"/>
      <c r="AA3300" s="133"/>
      <c r="AB3300" s="133"/>
      <c r="AC3300" s="133"/>
      <c r="AD3300" s="133"/>
      <c r="AE3300" s="133"/>
      <c r="AF3300" s="133"/>
      <c r="AG3300" s="133"/>
      <c r="AH3300" s="133"/>
      <c r="AI3300" s="133"/>
      <c r="AJ3300" s="133"/>
      <c r="AK3300" s="133"/>
      <c r="AL3300" s="133"/>
      <c r="AM3300" s="133"/>
      <c r="AN3300" s="133"/>
      <c r="AO3300" s="133"/>
      <c r="AP3300" s="133"/>
      <c r="AQ3300" s="133"/>
      <c r="AR3300" s="133"/>
      <c r="AS3300" s="153">
        <v>0</v>
      </c>
      <c r="AT3300" s="153">
        <v>0</v>
      </c>
      <c r="AU3300" s="153">
        <v>0</v>
      </c>
      <c r="AV3300" s="135"/>
      <c r="AW3300" s="135"/>
      <c r="AX3300" s="135"/>
      <c r="AY3300" s="135"/>
      <c r="AZ3300" s="135"/>
      <c r="BA3300" s="135"/>
      <c r="BB3300" s="135"/>
      <c r="BC3300" s="135"/>
      <c r="BD3300" s="135"/>
      <c r="BE3300" s="135"/>
      <c r="BF3300" s="135"/>
      <c r="BG3300" s="135"/>
      <c r="BH3300" s="135"/>
      <c r="BI3300" s="2"/>
      <c r="BJ3300" s="136"/>
      <c r="BK3300" s="2"/>
      <c r="BL3300" s="136"/>
      <c r="BM3300" s="136"/>
      <c r="BN3300" s="2"/>
      <c r="BO3300" s="2"/>
      <c r="BP3300" s="136"/>
      <c r="BQ3300" s="137"/>
    </row>
    <row r="3301" spans="1:69" ht="12.75" customHeight="1" x14ac:dyDescent="0.2">
      <c r="A3301" s="2">
        <v>4790</v>
      </c>
      <c r="B3301" s="2"/>
      <c r="C3301" s="2"/>
      <c r="D3301" s="2"/>
      <c r="E3301" s="2"/>
      <c r="F3301" s="132">
        <v>0</v>
      </c>
      <c r="G3301" s="132"/>
      <c r="H3301" s="132">
        <f t="shared" si="367"/>
        <v>0</v>
      </c>
      <c r="I3301" s="132"/>
      <c r="J3301" s="132">
        <f t="shared" si="372"/>
        <v>0</v>
      </c>
      <c r="K3301" s="132">
        <f t="shared" si="368"/>
        <v>0</v>
      </c>
      <c r="L3301" s="132">
        <f t="shared" si="369"/>
        <v>0</v>
      </c>
      <c r="M3301" s="133"/>
      <c r="N3301" s="133">
        <f t="shared" si="366"/>
        <v>0</v>
      </c>
      <c r="O3301" s="134"/>
      <c r="P3301" s="133"/>
      <c r="Q3301" s="2"/>
      <c r="R3301" s="156">
        <f t="shared" si="370"/>
        <v>0</v>
      </c>
      <c r="S3301" s="156">
        <f t="shared" si="371"/>
        <v>0</v>
      </c>
      <c r="T3301" s="133"/>
      <c r="U3301" s="133"/>
      <c r="V3301" s="133"/>
      <c r="W3301" s="133"/>
      <c r="X3301" s="133"/>
      <c r="Y3301" s="133"/>
      <c r="Z3301" s="133"/>
      <c r="AA3301" s="133"/>
      <c r="AB3301" s="133"/>
      <c r="AC3301" s="133"/>
      <c r="AD3301" s="133"/>
      <c r="AE3301" s="133"/>
      <c r="AF3301" s="133"/>
      <c r="AG3301" s="133"/>
      <c r="AH3301" s="133"/>
      <c r="AI3301" s="133"/>
      <c r="AJ3301" s="133"/>
      <c r="AK3301" s="133"/>
      <c r="AL3301" s="133"/>
      <c r="AM3301" s="133"/>
      <c r="AN3301" s="133"/>
      <c r="AO3301" s="133"/>
      <c r="AP3301" s="133"/>
      <c r="AQ3301" s="133"/>
      <c r="AR3301" s="133"/>
      <c r="AS3301" s="153">
        <v>0</v>
      </c>
      <c r="AT3301" s="153">
        <v>0</v>
      </c>
      <c r="AU3301" s="153">
        <v>0</v>
      </c>
      <c r="AV3301" s="135"/>
      <c r="AW3301" s="135"/>
      <c r="AX3301" s="135"/>
      <c r="AY3301" s="135"/>
      <c r="AZ3301" s="135"/>
      <c r="BA3301" s="135"/>
      <c r="BB3301" s="135"/>
      <c r="BC3301" s="135"/>
      <c r="BD3301" s="135"/>
      <c r="BE3301" s="135"/>
      <c r="BF3301" s="135"/>
      <c r="BG3301" s="135"/>
      <c r="BH3301" s="135"/>
      <c r="BI3301" s="2"/>
      <c r="BJ3301" s="136"/>
      <c r="BK3301" s="2"/>
      <c r="BL3301" s="136"/>
      <c r="BM3301" s="136"/>
      <c r="BN3301" s="2"/>
      <c r="BO3301" s="2"/>
      <c r="BP3301" s="136"/>
      <c r="BQ3301" s="137"/>
    </row>
    <row r="3302" spans="1:69" ht="12.75" customHeight="1" x14ac:dyDescent="0.2">
      <c r="A3302" s="2">
        <v>4791</v>
      </c>
      <c r="B3302" s="2"/>
      <c r="C3302" s="2"/>
      <c r="D3302" s="2"/>
      <c r="E3302" s="2"/>
      <c r="F3302" s="132">
        <v>0</v>
      </c>
      <c r="G3302" s="132"/>
      <c r="H3302" s="132">
        <f t="shared" si="367"/>
        <v>0</v>
      </c>
      <c r="I3302" s="132"/>
      <c r="J3302" s="132">
        <f t="shared" si="372"/>
        <v>0</v>
      </c>
      <c r="K3302" s="132">
        <f t="shared" si="368"/>
        <v>0</v>
      </c>
      <c r="L3302" s="132">
        <f t="shared" si="369"/>
        <v>0</v>
      </c>
      <c r="M3302" s="133"/>
      <c r="N3302" s="133">
        <f t="shared" si="366"/>
        <v>0</v>
      </c>
      <c r="O3302" s="134"/>
      <c r="P3302" s="133"/>
      <c r="Q3302" s="2"/>
      <c r="R3302" s="156">
        <f t="shared" si="370"/>
        <v>0</v>
      </c>
      <c r="S3302" s="156">
        <f t="shared" si="371"/>
        <v>0</v>
      </c>
      <c r="T3302" s="133"/>
      <c r="U3302" s="133"/>
      <c r="V3302" s="133"/>
      <c r="W3302" s="133"/>
      <c r="X3302" s="133"/>
      <c r="Y3302" s="133"/>
      <c r="Z3302" s="133"/>
      <c r="AA3302" s="133"/>
      <c r="AB3302" s="133"/>
      <c r="AC3302" s="133"/>
      <c r="AD3302" s="133"/>
      <c r="AE3302" s="133"/>
      <c r="AF3302" s="133"/>
      <c r="AG3302" s="133"/>
      <c r="AH3302" s="133"/>
      <c r="AI3302" s="133"/>
      <c r="AJ3302" s="133"/>
      <c r="AK3302" s="133"/>
      <c r="AL3302" s="133"/>
      <c r="AM3302" s="133"/>
      <c r="AN3302" s="133"/>
      <c r="AO3302" s="133"/>
      <c r="AP3302" s="133"/>
      <c r="AQ3302" s="133"/>
      <c r="AR3302" s="133"/>
      <c r="AS3302" s="153">
        <v>0</v>
      </c>
      <c r="AT3302" s="153">
        <v>0</v>
      </c>
      <c r="AU3302" s="153">
        <v>0</v>
      </c>
      <c r="AV3302" s="135"/>
      <c r="AW3302" s="135"/>
      <c r="AX3302" s="135"/>
      <c r="AY3302" s="135"/>
      <c r="AZ3302" s="135"/>
      <c r="BA3302" s="135"/>
      <c r="BB3302" s="135"/>
      <c r="BC3302" s="135"/>
      <c r="BD3302" s="135"/>
      <c r="BE3302" s="135"/>
      <c r="BF3302" s="135"/>
      <c r="BG3302" s="135"/>
      <c r="BH3302" s="135"/>
      <c r="BI3302" s="2"/>
      <c r="BJ3302" s="136"/>
      <c r="BK3302" s="2"/>
      <c r="BL3302" s="136"/>
      <c r="BM3302" s="136"/>
      <c r="BN3302" s="2"/>
      <c r="BO3302" s="2"/>
      <c r="BP3302" s="136"/>
      <c r="BQ3302" s="137"/>
    </row>
    <row r="3303" spans="1:69" ht="12.75" customHeight="1" x14ac:dyDescent="0.2">
      <c r="A3303" s="2">
        <v>4792</v>
      </c>
      <c r="B3303" s="2"/>
      <c r="C3303" s="2"/>
      <c r="D3303" s="2"/>
      <c r="E3303" s="2"/>
      <c r="F3303" s="132">
        <v>0</v>
      </c>
      <c r="G3303" s="132"/>
      <c r="H3303" s="132">
        <f t="shared" si="367"/>
        <v>0</v>
      </c>
      <c r="I3303" s="132"/>
      <c r="J3303" s="132">
        <f t="shared" si="372"/>
        <v>0</v>
      </c>
      <c r="K3303" s="132">
        <f t="shared" si="368"/>
        <v>0</v>
      </c>
      <c r="L3303" s="132">
        <f t="shared" si="369"/>
        <v>0</v>
      </c>
      <c r="M3303" s="133"/>
      <c r="N3303" s="133">
        <f t="shared" si="366"/>
        <v>0</v>
      </c>
      <c r="O3303" s="134"/>
      <c r="P3303" s="133"/>
      <c r="Q3303" s="2"/>
      <c r="R3303" s="156">
        <f t="shared" si="370"/>
        <v>0</v>
      </c>
      <c r="S3303" s="156">
        <f t="shared" si="371"/>
        <v>0</v>
      </c>
      <c r="T3303" s="133"/>
      <c r="U3303" s="133"/>
      <c r="V3303" s="133"/>
      <c r="W3303" s="133"/>
      <c r="X3303" s="133"/>
      <c r="Y3303" s="133"/>
      <c r="Z3303" s="133"/>
      <c r="AA3303" s="133"/>
      <c r="AB3303" s="133"/>
      <c r="AC3303" s="133"/>
      <c r="AD3303" s="133"/>
      <c r="AE3303" s="133"/>
      <c r="AF3303" s="133"/>
      <c r="AG3303" s="133"/>
      <c r="AH3303" s="133"/>
      <c r="AI3303" s="133"/>
      <c r="AJ3303" s="133"/>
      <c r="AK3303" s="133"/>
      <c r="AL3303" s="133"/>
      <c r="AM3303" s="133"/>
      <c r="AN3303" s="133"/>
      <c r="AO3303" s="133"/>
      <c r="AP3303" s="133"/>
      <c r="AQ3303" s="133"/>
      <c r="AR3303" s="133"/>
      <c r="AS3303" s="153">
        <v>0</v>
      </c>
      <c r="AT3303" s="153">
        <v>0</v>
      </c>
      <c r="AU3303" s="153">
        <v>0</v>
      </c>
      <c r="AV3303" s="135"/>
      <c r="AW3303" s="135"/>
      <c r="AX3303" s="135"/>
      <c r="AY3303" s="135"/>
      <c r="AZ3303" s="135"/>
      <c r="BA3303" s="135"/>
      <c r="BB3303" s="135"/>
      <c r="BC3303" s="135"/>
      <c r="BD3303" s="135"/>
      <c r="BE3303" s="135"/>
      <c r="BF3303" s="135"/>
      <c r="BG3303" s="135"/>
      <c r="BH3303" s="135"/>
      <c r="BI3303" s="2"/>
      <c r="BJ3303" s="136"/>
      <c r="BK3303" s="2"/>
      <c r="BL3303" s="136"/>
      <c r="BM3303" s="136"/>
      <c r="BN3303" s="2"/>
      <c r="BO3303" s="2"/>
      <c r="BP3303" s="136"/>
      <c r="BQ3303" s="137"/>
    </row>
    <row r="3304" spans="1:69" ht="12.75" customHeight="1" x14ac:dyDescent="0.2">
      <c r="A3304" s="2">
        <v>4793</v>
      </c>
      <c r="B3304" s="2"/>
      <c r="C3304" s="2"/>
      <c r="D3304" s="2"/>
      <c r="E3304" s="2"/>
      <c r="F3304" s="132">
        <v>0</v>
      </c>
      <c r="G3304" s="132"/>
      <c r="H3304" s="132">
        <f t="shared" si="367"/>
        <v>0</v>
      </c>
      <c r="I3304" s="132"/>
      <c r="J3304" s="132">
        <f t="shared" si="372"/>
        <v>0</v>
      </c>
      <c r="K3304" s="132">
        <f t="shared" si="368"/>
        <v>0</v>
      </c>
      <c r="L3304" s="132">
        <f t="shared" si="369"/>
        <v>0</v>
      </c>
      <c r="M3304" s="133"/>
      <c r="N3304" s="133">
        <f t="shared" si="366"/>
        <v>0</v>
      </c>
      <c r="O3304" s="134"/>
      <c r="P3304" s="133"/>
      <c r="Q3304" s="2"/>
      <c r="R3304" s="156">
        <f t="shared" si="370"/>
        <v>0</v>
      </c>
      <c r="S3304" s="156">
        <f t="shared" si="371"/>
        <v>0</v>
      </c>
      <c r="T3304" s="133"/>
      <c r="U3304" s="133"/>
      <c r="V3304" s="133"/>
      <c r="W3304" s="133"/>
      <c r="X3304" s="133"/>
      <c r="Y3304" s="133"/>
      <c r="Z3304" s="133"/>
      <c r="AA3304" s="133"/>
      <c r="AB3304" s="133"/>
      <c r="AC3304" s="133"/>
      <c r="AD3304" s="133"/>
      <c r="AE3304" s="133"/>
      <c r="AF3304" s="133"/>
      <c r="AG3304" s="133"/>
      <c r="AH3304" s="133"/>
      <c r="AI3304" s="133"/>
      <c r="AJ3304" s="133"/>
      <c r="AK3304" s="133"/>
      <c r="AL3304" s="133"/>
      <c r="AM3304" s="133"/>
      <c r="AN3304" s="133"/>
      <c r="AO3304" s="133"/>
      <c r="AP3304" s="133"/>
      <c r="AQ3304" s="133"/>
      <c r="AR3304" s="133"/>
      <c r="AS3304" s="153">
        <v>0</v>
      </c>
      <c r="AT3304" s="153">
        <v>0</v>
      </c>
      <c r="AU3304" s="153">
        <v>0</v>
      </c>
      <c r="AV3304" s="135"/>
      <c r="AW3304" s="135"/>
      <c r="AX3304" s="135"/>
      <c r="AY3304" s="135"/>
      <c r="AZ3304" s="135"/>
      <c r="BA3304" s="135"/>
      <c r="BB3304" s="135"/>
      <c r="BC3304" s="135"/>
      <c r="BD3304" s="135"/>
      <c r="BE3304" s="135"/>
      <c r="BF3304" s="135"/>
      <c r="BG3304" s="135"/>
      <c r="BH3304" s="135"/>
      <c r="BI3304" s="2"/>
      <c r="BJ3304" s="136"/>
      <c r="BK3304" s="2"/>
      <c r="BL3304" s="136"/>
      <c r="BM3304" s="136"/>
      <c r="BN3304" s="2"/>
      <c r="BO3304" s="2"/>
      <c r="BP3304" s="136"/>
      <c r="BQ3304" s="137"/>
    </row>
    <row r="3305" spans="1:69" ht="12.75" customHeight="1" x14ac:dyDescent="0.2">
      <c r="A3305" s="2">
        <v>4794</v>
      </c>
      <c r="B3305" s="2"/>
      <c r="C3305" s="2"/>
      <c r="D3305" s="2"/>
      <c r="E3305" s="2"/>
      <c r="F3305" s="132">
        <v>0</v>
      </c>
      <c r="G3305" s="132"/>
      <c r="H3305" s="132">
        <f t="shared" si="367"/>
        <v>0</v>
      </c>
      <c r="I3305" s="132"/>
      <c r="J3305" s="132">
        <f t="shared" si="372"/>
        <v>0</v>
      </c>
      <c r="K3305" s="132">
        <f t="shared" si="368"/>
        <v>0</v>
      </c>
      <c r="L3305" s="132">
        <f t="shared" si="369"/>
        <v>0</v>
      </c>
      <c r="M3305" s="133"/>
      <c r="N3305" s="133">
        <f t="shared" si="366"/>
        <v>0</v>
      </c>
      <c r="O3305" s="134"/>
      <c r="P3305" s="133"/>
      <c r="Q3305" s="2"/>
      <c r="R3305" s="156">
        <f t="shared" si="370"/>
        <v>0</v>
      </c>
      <c r="S3305" s="156">
        <f t="shared" si="371"/>
        <v>0</v>
      </c>
      <c r="T3305" s="133"/>
      <c r="U3305" s="133"/>
      <c r="V3305" s="133"/>
      <c r="W3305" s="133"/>
      <c r="X3305" s="133"/>
      <c r="Y3305" s="133"/>
      <c r="Z3305" s="133"/>
      <c r="AA3305" s="133"/>
      <c r="AB3305" s="133"/>
      <c r="AC3305" s="133"/>
      <c r="AD3305" s="133"/>
      <c r="AE3305" s="133"/>
      <c r="AF3305" s="133"/>
      <c r="AG3305" s="133"/>
      <c r="AH3305" s="133"/>
      <c r="AI3305" s="133"/>
      <c r="AJ3305" s="133"/>
      <c r="AK3305" s="133"/>
      <c r="AL3305" s="133"/>
      <c r="AM3305" s="133"/>
      <c r="AN3305" s="133"/>
      <c r="AO3305" s="133"/>
      <c r="AP3305" s="133"/>
      <c r="AQ3305" s="133"/>
      <c r="AR3305" s="133"/>
      <c r="AS3305" s="153">
        <v>0</v>
      </c>
      <c r="AT3305" s="153">
        <v>0</v>
      </c>
      <c r="AU3305" s="153">
        <v>0</v>
      </c>
      <c r="AV3305" s="135"/>
      <c r="AW3305" s="135"/>
      <c r="AX3305" s="135"/>
      <c r="AY3305" s="135"/>
      <c r="AZ3305" s="135"/>
      <c r="BA3305" s="135"/>
      <c r="BB3305" s="135"/>
      <c r="BC3305" s="135"/>
      <c r="BD3305" s="135"/>
      <c r="BE3305" s="135"/>
      <c r="BF3305" s="135"/>
      <c r="BG3305" s="135"/>
      <c r="BH3305" s="135"/>
      <c r="BI3305" s="2"/>
      <c r="BJ3305" s="136"/>
      <c r="BK3305" s="2"/>
      <c r="BL3305" s="136"/>
      <c r="BM3305" s="136"/>
      <c r="BN3305" s="2"/>
      <c r="BO3305" s="2"/>
      <c r="BP3305" s="136"/>
      <c r="BQ3305" s="137"/>
    </row>
    <row r="3306" spans="1:69" ht="12.75" customHeight="1" x14ac:dyDescent="0.2">
      <c r="A3306" s="2">
        <v>4795</v>
      </c>
      <c r="B3306" s="2"/>
      <c r="C3306" s="2"/>
      <c r="D3306" s="2"/>
      <c r="E3306" s="2"/>
      <c r="F3306" s="132">
        <v>0</v>
      </c>
      <c r="G3306" s="132"/>
      <c r="H3306" s="132">
        <f t="shared" si="367"/>
        <v>0</v>
      </c>
      <c r="I3306" s="132"/>
      <c r="J3306" s="132">
        <f t="shared" si="372"/>
        <v>0</v>
      </c>
      <c r="K3306" s="132">
        <f t="shared" si="368"/>
        <v>0</v>
      </c>
      <c r="L3306" s="132">
        <f t="shared" si="369"/>
        <v>0</v>
      </c>
      <c r="M3306" s="133"/>
      <c r="N3306" s="133">
        <f t="shared" ref="N3306:N3369" si="373">IF(OR(BK3306="принят",BK3306="Завершено",BK3306="ПриПро"),H3306-J3306,F3306-J3306)</f>
        <v>0</v>
      </c>
      <c r="O3306" s="134"/>
      <c r="P3306" s="133"/>
      <c r="Q3306" s="2"/>
      <c r="R3306" s="156">
        <f t="shared" si="370"/>
        <v>0</v>
      </c>
      <c r="S3306" s="156">
        <f t="shared" si="371"/>
        <v>0</v>
      </c>
      <c r="T3306" s="133"/>
      <c r="U3306" s="133"/>
      <c r="V3306" s="133"/>
      <c r="W3306" s="133"/>
      <c r="X3306" s="133"/>
      <c r="Y3306" s="133"/>
      <c r="Z3306" s="133"/>
      <c r="AA3306" s="133"/>
      <c r="AB3306" s="133"/>
      <c r="AC3306" s="133"/>
      <c r="AD3306" s="133"/>
      <c r="AE3306" s="133"/>
      <c r="AF3306" s="133"/>
      <c r="AG3306" s="133"/>
      <c r="AH3306" s="133"/>
      <c r="AI3306" s="133"/>
      <c r="AJ3306" s="133"/>
      <c r="AK3306" s="133"/>
      <c r="AL3306" s="133"/>
      <c r="AM3306" s="133"/>
      <c r="AN3306" s="133"/>
      <c r="AO3306" s="133"/>
      <c r="AP3306" s="133"/>
      <c r="AQ3306" s="133"/>
      <c r="AR3306" s="133"/>
      <c r="AS3306" s="153">
        <v>0</v>
      </c>
      <c r="AT3306" s="153">
        <v>0</v>
      </c>
      <c r="AU3306" s="153">
        <v>0</v>
      </c>
      <c r="AV3306" s="135"/>
      <c r="AW3306" s="135"/>
      <c r="AX3306" s="135"/>
      <c r="AY3306" s="135"/>
      <c r="AZ3306" s="135"/>
      <c r="BA3306" s="135"/>
      <c r="BB3306" s="135"/>
      <c r="BC3306" s="135"/>
      <c r="BD3306" s="135"/>
      <c r="BE3306" s="135"/>
      <c r="BF3306" s="135"/>
      <c r="BG3306" s="135"/>
      <c r="BH3306" s="135"/>
      <c r="BI3306" s="2"/>
      <c r="BJ3306" s="136"/>
      <c r="BK3306" s="2"/>
      <c r="BL3306" s="136"/>
      <c r="BM3306" s="136"/>
      <c r="BN3306" s="2"/>
      <c r="BO3306" s="2"/>
      <c r="BP3306" s="136"/>
      <c r="BQ3306" s="137"/>
    </row>
    <row r="3307" spans="1:69" ht="12.75" customHeight="1" x14ac:dyDescent="0.2">
      <c r="A3307" s="2">
        <v>4796</v>
      </c>
      <c r="B3307" s="2"/>
      <c r="C3307" s="2"/>
      <c r="D3307" s="2"/>
      <c r="E3307" s="2"/>
      <c r="F3307" s="132">
        <v>0</v>
      </c>
      <c r="G3307" s="132"/>
      <c r="H3307" s="132">
        <f t="shared" si="367"/>
        <v>0</v>
      </c>
      <c r="I3307" s="132"/>
      <c r="J3307" s="132">
        <f t="shared" si="372"/>
        <v>0</v>
      </c>
      <c r="K3307" s="132">
        <f t="shared" si="368"/>
        <v>0</v>
      </c>
      <c r="L3307" s="132">
        <f t="shared" si="369"/>
        <v>0</v>
      </c>
      <c r="M3307" s="133"/>
      <c r="N3307" s="133">
        <f t="shared" si="373"/>
        <v>0</v>
      </c>
      <c r="O3307" s="134"/>
      <c r="P3307" s="133"/>
      <c r="Q3307" s="2"/>
      <c r="R3307" s="156">
        <f t="shared" si="370"/>
        <v>0</v>
      </c>
      <c r="S3307" s="156">
        <f t="shared" si="371"/>
        <v>0</v>
      </c>
      <c r="T3307" s="133"/>
      <c r="U3307" s="133"/>
      <c r="V3307" s="133"/>
      <c r="W3307" s="133"/>
      <c r="X3307" s="133"/>
      <c r="Y3307" s="133"/>
      <c r="Z3307" s="133"/>
      <c r="AA3307" s="133"/>
      <c r="AB3307" s="133"/>
      <c r="AC3307" s="133"/>
      <c r="AD3307" s="133"/>
      <c r="AE3307" s="133"/>
      <c r="AF3307" s="133"/>
      <c r="AG3307" s="133"/>
      <c r="AH3307" s="133"/>
      <c r="AI3307" s="133"/>
      <c r="AJ3307" s="133"/>
      <c r="AK3307" s="133"/>
      <c r="AL3307" s="133"/>
      <c r="AM3307" s="133"/>
      <c r="AN3307" s="133"/>
      <c r="AO3307" s="133"/>
      <c r="AP3307" s="133"/>
      <c r="AQ3307" s="133"/>
      <c r="AR3307" s="133"/>
      <c r="AS3307" s="153">
        <v>0</v>
      </c>
      <c r="AT3307" s="153">
        <v>0</v>
      </c>
      <c r="AU3307" s="153">
        <v>0</v>
      </c>
      <c r="AV3307" s="135"/>
      <c r="AW3307" s="135"/>
      <c r="AX3307" s="135"/>
      <c r="AY3307" s="135"/>
      <c r="AZ3307" s="135"/>
      <c r="BA3307" s="135"/>
      <c r="BB3307" s="135"/>
      <c r="BC3307" s="135"/>
      <c r="BD3307" s="135"/>
      <c r="BE3307" s="135"/>
      <c r="BF3307" s="135"/>
      <c r="BG3307" s="135"/>
      <c r="BH3307" s="135"/>
      <c r="BI3307" s="2"/>
      <c r="BJ3307" s="136"/>
      <c r="BK3307" s="2"/>
      <c r="BL3307" s="136"/>
      <c r="BM3307" s="136"/>
      <c r="BN3307" s="2"/>
      <c r="BO3307" s="2"/>
      <c r="BP3307" s="136"/>
      <c r="BQ3307" s="137"/>
    </row>
    <row r="3308" spans="1:69" ht="12.75" customHeight="1" x14ac:dyDescent="0.2">
      <c r="A3308" s="2">
        <v>4797</v>
      </c>
      <c r="B3308" s="2"/>
      <c r="C3308" s="2"/>
      <c r="D3308" s="2"/>
      <c r="E3308" s="2"/>
      <c r="F3308" s="132">
        <v>0</v>
      </c>
      <c r="G3308" s="132"/>
      <c r="H3308" s="132">
        <f t="shared" si="367"/>
        <v>0</v>
      </c>
      <c r="I3308" s="132"/>
      <c r="J3308" s="132">
        <f t="shared" si="372"/>
        <v>0</v>
      </c>
      <c r="K3308" s="132">
        <f t="shared" si="368"/>
        <v>0</v>
      </c>
      <c r="L3308" s="132">
        <f t="shared" si="369"/>
        <v>0</v>
      </c>
      <c r="M3308" s="133"/>
      <c r="N3308" s="133">
        <f t="shared" si="373"/>
        <v>0</v>
      </c>
      <c r="O3308" s="134"/>
      <c r="P3308" s="133"/>
      <c r="Q3308" s="2"/>
      <c r="R3308" s="156">
        <f t="shared" si="370"/>
        <v>0</v>
      </c>
      <c r="S3308" s="156">
        <f t="shared" si="371"/>
        <v>0</v>
      </c>
      <c r="T3308" s="133"/>
      <c r="U3308" s="133"/>
      <c r="V3308" s="133"/>
      <c r="W3308" s="133"/>
      <c r="X3308" s="133"/>
      <c r="Y3308" s="133"/>
      <c r="Z3308" s="133"/>
      <c r="AA3308" s="133"/>
      <c r="AB3308" s="133"/>
      <c r="AC3308" s="133"/>
      <c r="AD3308" s="133"/>
      <c r="AE3308" s="133"/>
      <c r="AF3308" s="133"/>
      <c r="AG3308" s="133"/>
      <c r="AH3308" s="133"/>
      <c r="AI3308" s="133"/>
      <c r="AJ3308" s="133"/>
      <c r="AK3308" s="133"/>
      <c r="AL3308" s="133"/>
      <c r="AM3308" s="133"/>
      <c r="AN3308" s="133"/>
      <c r="AO3308" s="133"/>
      <c r="AP3308" s="133"/>
      <c r="AQ3308" s="133"/>
      <c r="AR3308" s="133"/>
      <c r="AS3308" s="153">
        <v>0</v>
      </c>
      <c r="AT3308" s="153">
        <v>0</v>
      </c>
      <c r="AU3308" s="153">
        <v>0</v>
      </c>
      <c r="AV3308" s="135"/>
      <c r="AW3308" s="135"/>
      <c r="AX3308" s="135"/>
      <c r="AY3308" s="135"/>
      <c r="AZ3308" s="135"/>
      <c r="BA3308" s="135"/>
      <c r="BB3308" s="135"/>
      <c r="BC3308" s="135"/>
      <c r="BD3308" s="135"/>
      <c r="BE3308" s="135"/>
      <c r="BF3308" s="135"/>
      <c r="BG3308" s="135"/>
      <c r="BH3308" s="135"/>
      <c r="BI3308" s="2"/>
      <c r="BJ3308" s="136"/>
      <c r="BK3308" s="2"/>
      <c r="BL3308" s="136"/>
      <c r="BM3308" s="136"/>
      <c r="BN3308" s="2"/>
      <c r="BO3308" s="2"/>
      <c r="BP3308" s="136"/>
      <c r="BQ3308" s="137"/>
    </row>
    <row r="3309" spans="1:69" ht="12.75" customHeight="1" x14ac:dyDescent="0.2">
      <c r="A3309" s="2">
        <v>4798</v>
      </c>
      <c r="B3309" s="2"/>
      <c r="C3309" s="2"/>
      <c r="D3309" s="2"/>
      <c r="E3309" s="2"/>
      <c r="F3309" s="132">
        <v>0</v>
      </c>
      <c r="G3309" s="132"/>
      <c r="H3309" s="132">
        <f t="shared" si="367"/>
        <v>0</v>
      </c>
      <c r="I3309" s="132"/>
      <c r="J3309" s="132">
        <f t="shared" si="372"/>
        <v>0</v>
      </c>
      <c r="K3309" s="132">
        <f t="shared" si="368"/>
        <v>0</v>
      </c>
      <c r="L3309" s="132">
        <f t="shared" si="369"/>
        <v>0</v>
      </c>
      <c r="M3309" s="133"/>
      <c r="N3309" s="133">
        <f t="shared" si="373"/>
        <v>0</v>
      </c>
      <c r="O3309" s="134"/>
      <c r="P3309" s="133"/>
      <c r="Q3309" s="2"/>
      <c r="R3309" s="156">
        <f t="shared" si="370"/>
        <v>0</v>
      </c>
      <c r="S3309" s="156">
        <f t="shared" si="371"/>
        <v>0</v>
      </c>
      <c r="T3309" s="133"/>
      <c r="U3309" s="133"/>
      <c r="V3309" s="133"/>
      <c r="W3309" s="133"/>
      <c r="X3309" s="133"/>
      <c r="Y3309" s="133"/>
      <c r="Z3309" s="133"/>
      <c r="AA3309" s="133"/>
      <c r="AB3309" s="133"/>
      <c r="AC3309" s="133"/>
      <c r="AD3309" s="133"/>
      <c r="AE3309" s="133"/>
      <c r="AF3309" s="133"/>
      <c r="AG3309" s="133"/>
      <c r="AH3309" s="133"/>
      <c r="AI3309" s="133"/>
      <c r="AJ3309" s="133"/>
      <c r="AK3309" s="133"/>
      <c r="AL3309" s="133"/>
      <c r="AM3309" s="133"/>
      <c r="AN3309" s="133"/>
      <c r="AO3309" s="133"/>
      <c r="AP3309" s="133"/>
      <c r="AQ3309" s="133"/>
      <c r="AR3309" s="133"/>
      <c r="AS3309" s="153">
        <v>0</v>
      </c>
      <c r="AT3309" s="153">
        <v>0</v>
      </c>
      <c r="AU3309" s="153">
        <v>0</v>
      </c>
      <c r="AV3309" s="135"/>
      <c r="AW3309" s="135"/>
      <c r="AX3309" s="135"/>
      <c r="AY3309" s="135"/>
      <c r="AZ3309" s="135"/>
      <c r="BA3309" s="135"/>
      <c r="BB3309" s="135"/>
      <c r="BC3309" s="135"/>
      <c r="BD3309" s="135"/>
      <c r="BE3309" s="135"/>
      <c r="BF3309" s="135"/>
      <c r="BG3309" s="135"/>
      <c r="BH3309" s="135"/>
      <c r="BI3309" s="2"/>
      <c r="BJ3309" s="136"/>
      <c r="BK3309" s="2"/>
      <c r="BL3309" s="136"/>
      <c r="BM3309" s="136"/>
      <c r="BN3309" s="2"/>
      <c r="BO3309" s="2"/>
      <c r="BP3309" s="136"/>
      <c r="BQ3309" s="137"/>
    </row>
    <row r="3310" spans="1:69" ht="12.75" customHeight="1" x14ac:dyDescent="0.2">
      <c r="A3310" s="2">
        <v>4799</v>
      </c>
      <c r="B3310" s="2"/>
      <c r="C3310" s="2"/>
      <c r="D3310" s="2"/>
      <c r="E3310" s="2"/>
      <c r="F3310" s="132">
        <v>0</v>
      </c>
      <c r="G3310" s="132"/>
      <c r="H3310" s="132">
        <f t="shared" ref="H3310:H3373" si="374">R3310</f>
        <v>0</v>
      </c>
      <c r="I3310" s="132"/>
      <c r="J3310" s="132">
        <f t="shared" si="372"/>
        <v>0</v>
      </c>
      <c r="K3310" s="132">
        <f t="shared" si="368"/>
        <v>0</v>
      </c>
      <c r="L3310" s="132">
        <f t="shared" si="369"/>
        <v>0</v>
      </c>
      <c r="M3310" s="133"/>
      <c r="N3310" s="133">
        <f t="shared" si="373"/>
        <v>0</v>
      </c>
      <c r="O3310" s="134"/>
      <c r="P3310" s="133"/>
      <c r="Q3310" s="2"/>
      <c r="R3310" s="156">
        <f t="shared" si="370"/>
        <v>0</v>
      </c>
      <c r="S3310" s="156">
        <f t="shared" si="371"/>
        <v>0</v>
      </c>
      <c r="T3310" s="133"/>
      <c r="U3310" s="133"/>
      <c r="V3310" s="133"/>
      <c r="W3310" s="133"/>
      <c r="X3310" s="133"/>
      <c r="Y3310" s="133"/>
      <c r="Z3310" s="133"/>
      <c r="AA3310" s="133"/>
      <c r="AB3310" s="133"/>
      <c r="AC3310" s="133"/>
      <c r="AD3310" s="133"/>
      <c r="AE3310" s="133"/>
      <c r="AF3310" s="133"/>
      <c r="AG3310" s="133"/>
      <c r="AH3310" s="133"/>
      <c r="AI3310" s="133"/>
      <c r="AJ3310" s="133"/>
      <c r="AK3310" s="133"/>
      <c r="AL3310" s="133"/>
      <c r="AM3310" s="133"/>
      <c r="AN3310" s="133"/>
      <c r="AO3310" s="133"/>
      <c r="AP3310" s="133"/>
      <c r="AQ3310" s="133"/>
      <c r="AR3310" s="133"/>
      <c r="AS3310" s="153">
        <v>0</v>
      </c>
      <c r="AT3310" s="153">
        <v>0</v>
      </c>
      <c r="AU3310" s="153">
        <v>0</v>
      </c>
      <c r="AV3310" s="135"/>
      <c r="AW3310" s="135"/>
      <c r="AX3310" s="135"/>
      <c r="AY3310" s="135"/>
      <c r="AZ3310" s="135"/>
      <c r="BA3310" s="135"/>
      <c r="BB3310" s="135"/>
      <c r="BC3310" s="135"/>
      <c r="BD3310" s="135"/>
      <c r="BE3310" s="135"/>
      <c r="BF3310" s="135"/>
      <c r="BG3310" s="135"/>
      <c r="BH3310" s="135"/>
      <c r="BI3310" s="2"/>
      <c r="BJ3310" s="136"/>
      <c r="BK3310" s="2"/>
      <c r="BL3310" s="136"/>
      <c r="BM3310" s="136"/>
      <c r="BN3310" s="2"/>
      <c r="BO3310" s="2"/>
      <c r="BP3310" s="136"/>
      <c r="BQ3310" s="137"/>
    </row>
    <row r="3311" spans="1:69" ht="12.75" customHeight="1" x14ac:dyDescent="0.2">
      <c r="A3311" s="2">
        <v>4800</v>
      </c>
      <c r="B3311" s="2"/>
      <c r="C3311" s="2"/>
      <c r="D3311" s="2"/>
      <c r="E3311" s="2"/>
      <c r="F3311" s="132">
        <v>0</v>
      </c>
      <c r="G3311" s="132"/>
      <c r="H3311" s="132">
        <f t="shared" si="374"/>
        <v>0</v>
      </c>
      <c r="I3311" s="132"/>
      <c r="J3311" s="132">
        <f t="shared" si="372"/>
        <v>0</v>
      </c>
      <c r="K3311" s="132">
        <f t="shared" si="368"/>
        <v>0</v>
      </c>
      <c r="L3311" s="132">
        <f t="shared" si="369"/>
        <v>0</v>
      </c>
      <c r="M3311" s="133"/>
      <c r="N3311" s="133">
        <f t="shared" si="373"/>
        <v>0</v>
      </c>
      <c r="O3311" s="134"/>
      <c r="P3311" s="133"/>
      <c r="Q3311" s="2"/>
      <c r="R3311" s="156">
        <f t="shared" si="370"/>
        <v>0</v>
      </c>
      <c r="S3311" s="156">
        <f t="shared" si="371"/>
        <v>0</v>
      </c>
      <c r="T3311" s="133"/>
      <c r="U3311" s="133"/>
      <c r="V3311" s="133"/>
      <c r="W3311" s="133"/>
      <c r="X3311" s="133"/>
      <c r="Y3311" s="133"/>
      <c r="Z3311" s="133"/>
      <c r="AA3311" s="133"/>
      <c r="AB3311" s="133"/>
      <c r="AC3311" s="133"/>
      <c r="AD3311" s="133"/>
      <c r="AE3311" s="133"/>
      <c r="AF3311" s="133"/>
      <c r="AG3311" s="133"/>
      <c r="AH3311" s="133"/>
      <c r="AI3311" s="133"/>
      <c r="AJ3311" s="133"/>
      <c r="AK3311" s="133"/>
      <c r="AL3311" s="133"/>
      <c r="AM3311" s="133"/>
      <c r="AN3311" s="133"/>
      <c r="AO3311" s="133"/>
      <c r="AP3311" s="133"/>
      <c r="AQ3311" s="133"/>
      <c r="AR3311" s="133"/>
      <c r="AS3311" s="153">
        <v>0</v>
      </c>
      <c r="AT3311" s="153">
        <v>0</v>
      </c>
      <c r="AU3311" s="153">
        <v>0</v>
      </c>
      <c r="AV3311" s="135"/>
      <c r="AW3311" s="135"/>
      <c r="AX3311" s="135"/>
      <c r="AY3311" s="135"/>
      <c r="AZ3311" s="135"/>
      <c r="BA3311" s="135"/>
      <c r="BB3311" s="135"/>
      <c r="BC3311" s="135"/>
      <c r="BD3311" s="135"/>
      <c r="BE3311" s="135"/>
      <c r="BF3311" s="135"/>
      <c r="BG3311" s="135"/>
      <c r="BH3311" s="135"/>
      <c r="BI3311" s="2"/>
      <c r="BJ3311" s="136"/>
      <c r="BK3311" s="2"/>
      <c r="BL3311" s="136"/>
      <c r="BM3311" s="136"/>
      <c r="BN3311" s="2"/>
      <c r="BO3311" s="2"/>
      <c r="BP3311" s="136"/>
      <c r="BQ3311" s="137"/>
    </row>
    <row r="3312" spans="1:69" ht="12.75" customHeight="1" x14ac:dyDescent="0.2">
      <c r="A3312" s="2">
        <v>4801</v>
      </c>
      <c r="B3312" s="2"/>
      <c r="C3312" s="2"/>
      <c r="D3312" s="2"/>
      <c r="E3312" s="2"/>
      <c r="F3312" s="132">
        <v>0</v>
      </c>
      <c r="G3312" s="132"/>
      <c r="H3312" s="132">
        <f t="shared" si="374"/>
        <v>0</v>
      </c>
      <c r="I3312" s="132"/>
      <c r="J3312" s="132">
        <f t="shared" si="372"/>
        <v>0</v>
      </c>
      <c r="K3312" s="132">
        <f t="shared" si="368"/>
        <v>0</v>
      </c>
      <c r="L3312" s="132">
        <f t="shared" si="369"/>
        <v>0</v>
      </c>
      <c r="M3312" s="133"/>
      <c r="N3312" s="133">
        <f t="shared" si="373"/>
        <v>0</v>
      </c>
      <c r="O3312" s="134"/>
      <c r="P3312" s="133"/>
      <c r="Q3312" s="2"/>
      <c r="R3312" s="156">
        <f t="shared" si="370"/>
        <v>0</v>
      </c>
      <c r="S3312" s="156">
        <f t="shared" si="371"/>
        <v>0</v>
      </c>
      <c r="T3312" s="133"/>
      <c r="U3312" s="133"/>
      <c r="V3312" s="133"/>
      <c r="W3312" s="133"/>
      <c r="X3312" s="133"/>
      <c r="Y3312" s="133"/>
      <c r="Z3312" s="133"/>
      <c r="AA3312" s="133"/>
      <c r="AB3312" s="133"/>
      <c r="AC3312" s="133"/>
      <c r="AD3312" s="133"/>
      <c r="AE3312" s="133"/>
      <c r="AF3312" s="133"/>
      <c r="AG3312" s="133"/>
      <c r="AH3312" s="133"/>
      <c r="AI3312" s="133"/>
      <c r="AJ3312" s="133"/>
      <c r="AK3312" s="133"/>
      <c r="AL3312" s="133"/>
      <c r="AM3312" s="133"/>
      <c r="AN3312" s="133"/>
      <c r="AO3312" s="133"/>
      <c r="AP3312" s="133"/>
      <c r="AQ3312" s="133"/>
      <c r="AR3312" s="133"/>
      <c r="AS3312" s="153">
        <v>0</v>
      </c>
      <c r="AT3312" s="153">
        <v>0</v>
      </c>
      <c r="AU3312" s="153">
        <v>0</v>
      </c>
      <c r="AV3312" s="135"/>
      <c r="AW3312" s="135"/>
      <c r="AX3312" s="135"/>
      <c r="AY3312" s="135"/>
      <c r="AZ3312" s="135"/>
      <c r="BA3312" s="135"/>
      <c r="BB3312" s="135"/>
      <c r="BC3312" s="135"/>
      <c r="BD3312" s="135"/>
      <c r="BE3312" s="135"/>
      <c r="BF3312" s="135"/>
      <c r="BG3312" s="135"/>
      <c r="BH3312" s="135"/>
      <c r="BI3312" s="2"/>
      <c r="BJ3312" s="136"/>
      <c r="BK3312" s="2"/>
      <c r="BL3312" s="136"/>
      <c r="BM3312" s="136"/>
      <c r="BN3312" s="2"/>
      <c r="BO3312" s="2"/>
      <c r="BP3312" s="136"/>
      <c r="BQ3312" s="137"/>
    </row>
    <row r="3313" spans="1:69" ht="12.75" customHeight="1" x14ac:dyDescent="0.2">
      <c r="A3313" s="2">
        <v>4802</v>
      </c>
      <c r="B3313" s="2"/>
      <c r="C3313" s="2"/>
      <c r="D3313" s="2"/>
      <c r="E3313" s="2"/>
      <c r="F3313" s="132">
        <v>0</v>
      </c>
      <c r="G3313" s="132"/>
      <c r="H3313" s="132">
        <f t="shared" si="374"/>
        <v>0</v>
      </c>
      <c r="I3313" s="132"/>
      <c r="J3313" s="132">
        <f t="shared" si="372"/>
        <v>0</v>
      </c>
      <c r="K3313" s="132">
        <f t="shared" si="368"/>
        <v>0</v>
      </c>
      <c r="L3313" s="132">
        <f t="shared" si="369"/>
        <v>0</v>
      </c>
      <c r="M3313" s="133"/>
      <c r="N3313" s="133">
        <f t="shared" si="373"/>
        <v>0</v>
      </c>
      <c r="O3313" s="134"/>
      <c r="P3313" s="133"/>
      <c r="Q3313" s="2"/>
      <c r="R3313" s="156">
        <f t="shared" si="370"/>
        <v>0</v>
      </c>
      <c r="S3313" s="156">
        <f t="shared" si="371"/>
        <v>0</v>
      </c>
      <c r="T3313" s="133"/>
      <c r="U3313" s="133"/>
      <c r="V3313" s="133"/>
      <c r="W3313" s="133"/>
      <c r="X3313" s="133"/>
      <c r="Y3313" s="133"/>
      <c r="Z3313" s="133"/>
      <c r="AA3313" s="133"/>
      <c r="AB3313" s="133"/>
      <c r="AC3313" s="133"/>
      <c r="AD3313" s="133"/>
      <c r="AE3313" s="133"/>
      <c r="AF3313" s="133"/>
      <c r="AG3313" s="133"/>
      <c r="AH3313" s="133"/>
      <c r="AI3313" s="133"/>
      <c r="AJ3313" s="133"/>
      <c r="AK3313" s="133"/>
      <c r="AL3313" s="133"/>
      <c r="AM3313" s="133"/>
      <c r="AN3313" s="133"/>
      <c r="AO3313" s="133"/>
      <c r="AP3313" s="133"/>
      <c r="AQ3313" s="133"/>
      <c r="AR3313" s="133"/>
      <c r="AS3313" s="153">
        <v>0</v>
      </c>
      <c r="AT3313" s="153">
        <v>0</v>
      </c>
      <c r="AU3313" s="153">
        <v>0</v>
      </c>
      <c r="AV3313" s="135"/>
      <c r="AW3313" s="135"/>
      <c r="AX3313" s="135"/>
      <c r="AY3313" s="135"/>
      <c r="AZ3313" s="135"/>
      <c r="BA3313" s="135"/>
      <c r="BB3313" s="135"/>
      <c r="BC3313" s="135"/>
      <c r="BD3313" s="135"/>
      <c r="BE3313" s="135"/>
      <c r="BF3313" s="135"/>
      <c r="BG3313" s="135"/>
      <c r="BH3313" s="135"/>
      <c r="BI3313" s="2"/>
      <c r="BJ3313" s="136"/>
      <c r="BK3313" s="2"/>
      <c r="BL3313" s="136"/>
      <c r="BM3313" s="136"/>
      <c r="BN3313" s="2"/>
      <c r="BO3313" s="2"/>
      <c r="BP3313" s="136"/>
      <c r="BQ3313" s="137"/>
    </row>
    <row r="3314" spans="1:69" ht="12.75" customHeight="1" x14ac:dyDescent="0.2">
      <c r="A3314" s="2">
        <v>4803</v>
      </c>
      <c r="B3314" s="2"/>
      <c r="C3314" s="2"/>
      <c r="D3314" s="2"/>
      <c r="E3314" s="2"/>
      <c r="F3314" s="132">
        <v>0</v>
      </c>
      <c r="G3314" s="132"/>
      <c r="H3314" s="132">
        <f t="shared" si="374"/>
        <v>0</v>
      </c>
      <c r="I3314" s="132"/>
      <c r="J3314" s="132">
        <f t="shared" si="372"/>
        <v>0</v>
      </c>
      <c r="K3314" s="132">
        <f t="shared" si="368"/>
        <v>0</v>
      </c>
      <c r="L3314" s="132">
        <f t="shared" si="369"/>
        <v>0</v>
      </c>
      <c r="M3314" s="133"/>
      <c r="N3314" s="133">
        <f t="shared" si="373"/>
        <v>0</v>
      </c>
      <c r="O3314" s="134"/>
      <c r="P3314" s="133"/>
      <c r="Q3314" s="2"/>
      <c r="R3314" s="156">
        <f t="shared" si="370"/>
        <v>0</v>
      </c>
      <c r="S3314" s="156">
        <f t="shared" si="371"/>
        <v>0</v>
      </c>
      <c r="T3314" s="133"/>
      <c r="U3314" s="133"/>
      <c r="V3314" s="133"/>
      <c r="W3314" s="133"/>
      <c r="X3314" s="133"/>
      <c r="Y3314" s="133"/>
      <c r="Z3314" s="133"/>
      <c r="AA3314" s="133"/>
      <c r="AB3314" s="133"/>
      <c r="AC3314" s="133"/>
      <c r="AD3314" s="133"/>
      <c r="AE3314" s="133"/>
      <c r="AF3314" s="133"/>
      <c r="AG3314" s="133"/>
      <c r="AH3314" s="133"/>
      <c r="AI3314" s="133"/>
      <c r="AJ3314" s="133"/>
      <c r="AK3314" s="133"/>
      <c r="AL3314" s="133"/>
      <c r="AM3314" s="133"/>
      <c r="AN3314" s="133"/>
      <c r="AO3314" s="133"/>
      <c r="AP3314" s="133"/>
      <c r="AQ3314" s="133"/>
      <c r="AR3314" s="133"/>
      <c r="AS3314" s="153">
        <v>0</v>
      </c>
      <c r="AT3314" s="153">
        <v>0</v>
      </c>
      <c r="AU3314" s="153">
        <v>0</v>
      </c>
      <c r="AV3314" s="135"/>
      <c r="AW3314" s="135"/>
      <c r="AX3314" s="135"/>
      <c r="AY3314" s="135"/>
      <c r="AZ3314" s="135"/>
      <c r="BA3314" s="135"/>
      <c r="BB3314" s="135"/>
      <c r="BC3314" s="135"/>
      <c r="BD3314" s="135"/>
      <c r="BE3314" s="135"/>
      <c r="BF3314" s="135"/>
      <c r="BG3314" s="135"/>
      <c r="BH3314" s="135"/>
      <c r="BI3314" s="2"/>
      <c r="BJ3314" s="136"/>
      <c r="BK3314" s="2"/>
      <c r="BL3314" s="136"/>
      <c r="BM3314" s="136"/>
      <c r="BN3314" s="2"/>
      <c r="BO3314" s="2"/>
      <c r="BP3314" s="136"/>
      <c r="BQ3314" s="137"/>
    </row>
    <row r="3315" spans="1:69" ht="12.75" customHeight="1" x14ac:dyDescent="0.2">
      <c r="A3315" s="2">
        <v>4804</v>
      </c>
      <c r="B3315" s="2"/>
      <c r="C3315" s="2"/>
      <c r="D3315" s="2"/>
      <c r="E3315" s="2"/>
      <c r="F3315" s="132">
        <v>0</v>
      </c>
      <c r="G3315" s="132"/>
      <c r="H3315" s="132">
        <f t="shared" si="374"/>
        <v>0</v>
      </c>
      <c r="I3315" s="132"/>
      <c r="J3315" s="132">
        <f t="shared" si="372"/>
        <v>0</v>
      </c>
      <c r="K3315" s="132">
        <f t="shared" si="368"/>
        <v>0</v>
      </c>
      <c r="L3315" s="132">
        <f t="shared" si="369"/>
        <v>0</v>
      </c>
      <c r="M3315" s="133"/>
      <c r="N3315" s="133">
        <f t="shared" si="373"/>
        <v>0</v>
      </c>
      <c r="O3315" s="134"/>
      <c r="P3315" s="133"/>
      <c r="Q3315" s="2"/>
      <c r="R3315" s="156">
        <f t="shared" si="370"/>
        <v>0</v>
      </c>
      <c r="S3315" s="156">
        <f t="shared" si="371"/>
        <v>0</v>
      </c>
      <c r="T3315" s="133"/>
      <c r="U3315" s="133"/>
      <c r="V3315" s="133"/>
      <c r="W3315" s="133"/>
      <c r="X3315" s="133"/>
      <c r="Y3315" s="133"/>
      <c r="Z3315" s="133"/>
      <c r="AA3315" s="133"/>
      <c r="AB3315" s="133"/>
      <c r="AC3315" s="133"/>
      <c r="AD3315" s="133"/>
      <c r="AE3315" s="133"/>
      <c r="AF3315" s="133"/>
      <c r="AG3315" s="133"/>
      <c r="AH3315" s="133"/>
      <c r="AI3315" s="133"/>
      <c r="AJ3315" s="133"/>
      <c r="AK3315" s="133"/>
      <c r="AL3315" s="133"/>
      <c r="AM3315" s="133"/>
      <c r="AN3315" s="133"/>
      <c r="AO3315" s="133"/>
      <c r="AP3315" s="133"/>
      <c r="AQ3315" s="133"/>
      <c r="AR3315" s="133"/>
      <c r="AS3315" s="153">
        <v>0</v>
      </c>
      <c r="AT3315" s="153">
        <v>0</v>
      </c>
      <c r="AU3315" s="153">
        <v>0</v>
      </c>
      <c r="AV3315" s="135"/>
      <c r="AW3315" s="135"/>
      <c r="AX3315" s="135"/>
      <c r="AY3315" s="135"/>
      <c r="AZ3315" s="135"/>
      <c r="BA3315" s="135"/>
      <c r="BB3315" s="135"/>
      <c r="BC3315" s="135"/>
      <c r="BD3315" s="135"/>
      <c r="BE3315" s="135"/>
      <c r="BF3315" s="135"/>
      <c r="BG3315" s="135"/>
      <c r="BH3315" s="135"/>
      <c r="BI3315" s="2"/>
      <c r="BJ3315" s="136"/>
      <c r="BK3315" s="2"/>
      <c r="BL3315" s="136"/>
      <c r="BM3315" s="136"/>
      <c r="BN3315" s="2"/>
      <c r="BO3315" s="2"/>
      <c r="BP3315" s="136"/>
      <c r="BQ3315" s="137"/>
    </row>
    <row r="3316" spans="1:69" ht="12.75" customHeight="1" x14ac:dyDescent="0.2">
      <c r="A3316" s="2">
        <v>4805</v>
      </c>
      <c r="B3316" s="2"/>
      <c r="C3316" s="2"/>
      <c r="D3316" s="2"/>
      <c r="E3316" s="2"/>
      <c r="F3316" s="132">
        <v>0</v>
      </c>
      <c r="G3316" s="132"/>
      <c r="H3316" s="132">
        <f t="shared" si="374"/>
        <v>0</v>
      </c>
      <c r="I3316" s="132"/>
      <c r="J3316" s="132">
        <f t="shared" si="372"/>
        <v>0</v>
      </c>
      <c r="K3316" s="132">
        <f t="shared" si="368"/>
        <v>0</v>
      </c>
      <c r="L3316" s="132">
        <f t="shared" si="369"/>
        <v>0</v>
      </c>
      <c r="M3316" s="133"/>
      <c r="N3316" s="133">
        <f t="shared" si="373"/>
        <v>0</v>
      </c>
      <c r="O3316" s="134"/>
      <c r="P3316" s="133"/>
      <c r="Q3316" s="2"/>
      <c r="R3316" s="156">
        <f t="shared" si="370"/>
        <v>0</v>
      </c>
      <c r="S3316" s="156">
        <f t="shared" si="371"/>
        <v>0</v>
      </c>
      <c r="T3316" s="133"/>
      <c r="U3316" s="133"/>
      <c r="V3316" s="133"/>
      <c r="W3316" s="133"/>
      <c r="X3316" s="133"/>
      <c r="Y3316" s="133"/>
      <c r="Z3316" s="133"/>
      <c r="AA3316" s="133"/>
      <c r="AB3316" s="133"/>
      <c r="AC3316" s="133"/>
      <c r="AD3316" s="133"/>
      <c r="AE3316" s="133"/>
      <c r="AF3316" s="133"/>
      <c r="AG3316" s="133"/>
      <c r="AH3316" s="133"/>
      <c r="AI3316" s="133"/>
      <c r="AJ3316" s="133"/>
      <c r="AK3316" s="133"/>
      <c r="AL3316" s="133"/>
      <c r="AM3316" s="133"/>
      <c r="AN3316" s="133"/>
      <c r="AO3316" s="133"/>
      <c r="AP3316" s="133"/>
      <c r="AQ3316" s="133"/>
      <c r="AR3316" s="133"/>
      <c r="AS3316" s="153">
        <v>0</v>
      </c>
      <c r="AT3316" s="153">
        <v>0</v>
      </c>
      <c r="AU3316" s="153">
        <v>0</v>
      </c>
      <c r="AV3316" s="135"/>
      <c r="AW3316" s="135"/>
      <c r="AX3316" s="135"/>
      <c r="AY3316" s="135"/>
      <c r="AZ3316" s="135"/>
      <c r="BA3316" s="135"/>
      <c r="BB3316" s="135"/>
      <c r="BC3316" s="135"/>
      <c r="BD3316" s="135"/>
      <c r="BE3316" s="135"/>
      <c r="BF3316" s="135"/>
      <c r="BG3316" s="135"/>
      <c r="BH3316" s="135"/>
      <c r="BI3316" s="2"/>
      <c r="BJ3316" s="136"/>
      <c r="BK3316" s="2"/>
      <c r="BL3316" s="136"/>
      <c r="BM3316" s="136"/>
      <c r="BN3316" s="2"/>
      <c r="BO3316" s="2"/>
      <c r="BP3316" s="136"/>
      <c r="BQ3316" s="137"/>
    </row>
    <row r="3317" spans="1:69" ht="12.75" customHeight="1" x14ac:dyDescent="0.2">
      <c r="A3317" s="2">
        <v>4806</v>
      </c>
      <c r="B3317" s="2"/>
      <c r="C3317" s="2"/>
      <c r="D3317" s="2"/>
      <c r="E3317" s="2"/>
      <c r="F3317" s="132">
        <v>0</v>
      </c>
      <c r="G3317" s="132"/>
      <c r="H3317" s="132">
        <f t="shared" si="374"/>
        <v>0</v>
      </c>
      <c r="I3317" s="132"/>
      <c r="J3317" s="132">
        <f t="shared" si="372"/>
        <v>0</v>
      </c>
      <c r="K3317" s="132">
        <f t="shared" si="368"/>
        <v>0</v>
      </c>
      <c r="L3317" s="132">
        <f t="shared" si="369"/>
        <v>0</v>
      </c>
      <c r="M3317" s="133"/>
      <c r="N3317" s="133">
        <f t="shared" si="373"/>
        <v>0</v>
      </c>
      <c r="O3317" s="134"/>
      <c r="P3317" s="133"/>
      <c r="Q3317" s="2"/>
      <c r="R3317" s="156">
        <f t="shared" si="370"/>
        <v>0</v>
      </c>
      <c r="S3317" s="156">
        <f t="shared" si="371"/>
        <v>0</v>
      </c>
      <c r="T3317" s="133"/>
      <c r="U3317" s="133"/>
      <c r="V3317" s="133"/>
      <c r="W3317" s="133"/>
      <c r="X3317" s="133"/>
      <c r="Y3317" s="133"/>
      <c r="Z3317" s="133"/>
      <c r="AA3317" s="133"/>
      <c r="AB3317" s="133"/>
      <c r="AC3317" s="133"/>
      <c r="AD3317" s="133"/>
      <c r="AE3317" s="133"/>
      <c r="AF3317" s="133"/>
      <c r="AG3317" s="133"/>
      <c r="AH3317" s="133"/>
      <c r="AI3317" s="133"/>
      <c r="AJ3317" s="133"/>
      <c r="AK3317" s="133"/>
      <c r="AL3317" s="133"/>
      <c r="AM3317" s="133"/>
      <c r="AN3317" s="133"/>
      <c r="AO3317" s="133"/>
      <c r="AP3317" s="133"/>
      <c r="AQ3317" s="133"/>
      <c r="AR3317" s="133"/>
      <c r="AS3317" s="153">
        <v>0</v>
      </c>
      <c r="AT3317" s="153">
        <v>0</v>
      </c>
      <c r="AU3317" s="153">
        <v>0</v>
      </c>
      <c r="AV3317" s="135"/>
      <c r="AW3317" s="135"/>
      <c r="AX3317" s="135"/>
      <c r="AY3317" s="135"/>
      <c r="AZ3317" s="135"/>
      <c r="BA3317" s="135"/>
      <c r="BB3317" s="135"/>
      <c r="BC3317" s="135"/>
      <c r="BD3317" s="135"/>
      <c r="BE3317" s="135"/>
      <c r="BF3317" s="135"/>
      <c r="BG3317" s="135"/>
      <c r="BH3317" s="135"/>
      <c r="BI3317" s="2"/>
      <c r="BJ3317" s="136"/>
      <c r="BK3317" s="2"/>
      <c r="BL3317" s="136"/>
      <c r="BM3317" s="136"/>
      <c r="BN3317" s="2"/>
      <c r="BO3317" s="2"/>
      <c r="BP3317" s="136"/>
      <c r="BQ3317" s="137"/>
    </row>
    <row r="3318" spans="1:69" ht="12.75" customHeight="1" x14ac:dyDescent="0.2">
      <c r="A3318" s="2">
        <v>4807</v>
      </c>
      <c r="B3318" s="2"/>
      <c r="C3318" s="2"/>
      <c r="D3318" s="2"/>
      <c r="E3318" s="2"/>
      <c r="F3318" s="132">
        <v>0</v>
      </c>
      <c r="G3318" s="132"/>
      <c r="H3318" s="132">
        <f t="shared" si="374"/>
        <v>0</v>
      </c>
      <c r="I3318" s="132"/>
      <c r="J3318" s="132">
        <f t="shared" si="372"/>
        <v>0</v>
      </c>
      <c r="K3318" s="132">
        <f t="shared" ref="K3318:K3381" si="375">F3318-J3318</f>
        <v>0</v>
      </c>
      <c r="L3318" s="132">
        <f t="shared" si="369"/>
        <v>0</v>
      </c>
      <c r="M3318" s="133"/>
      <c r="N3318" s="133">
        <f t="shared" si="373"/>
        <v>0</v>
      </c>
      <c r="O3318" s="134"/>
      <c r="P3318" s="133"/>
      <c r="Q3318" s="2"/>
      <c r="R3318" s="156">
        <f t="shared" si="370"/>
        <v>0</v>
      </c>
      <c r="S3318" s="156">
        <f t="shared" si="371"/>
        <v>0</v>
      </c>
      <c r="T3318" s="133"/>
      <c r="U3318" s="133"/>
      <c r="V3318" s="133"/>
      <c r="W3318" s="133"/>
      <c r="X3318" s="133"/>
      <c r="Y3318" s="133"/>
      <c r="Z3318" s="133"/>
      <c r="AA3318" s="133"/>
      <c r="AB3318" s="133"/>
      <c r="AC3318" s="133"/>
      <c r="AD3318" s="133"/>
      <c r="AE3318" s="133"/>
      <c r="AF3318" s="133"/>
      <c r="AG3318" s="133"/>
      <c r="AH3318" s="133"/>
      <c r="AI3318" s="133"/>
      <c r="AJ3318" s="133"/>
      <c r="AK3318" s="133"/>
      <c r="AL3318" s="133"/>
      <c r="AM3318" s="133"/>
      <c r="AN3318" s="133"/>
      <c r="AO3318" s="133"/>
      <c r="AP3318" s="133"/>
      <c r="AQ3318" s="133"/>
      <c r="AR3318" s="133"/>
      <c r="AS3318" s="153">
        <v>0</v>
      </c>
      <c r="AT3318" s="153">
        <v>0</v>
      </c>
      <c r="AU3318" s="153">
        <v>0</v>
      </c>
      <c r="AV3318" s="135"/>
      <c r="AW3318" s="135"/>
      <c r="AX3318" s="135"/>
      <c r="AY3318" s="135"/>
      <c r="AZ3318" s="135"/>
      <c r="BA3318" s="135"/>
      <c r="BB3318" s="135"/>
      <c r="BC3318" s="135"/>
      <c r="BD3318" s="135"/>
      <c r="BE3318" s="135"/>
      <c r="BF3318" s="135"/>
      <c r="BG3318" s="135"/>
      <c r="BH3318" s="135"/>
      <c r="BI3318" s="2"/>
      <c r="BJ3318" s="136"/>
      <c r="BK3318" s="2"/>
      <c r="BL3318" s="136"/>
      <c r="BM3318" s="136"/>
      <c r="BN3318" s="2"/>
      <c r="BO3318" s="2"/>
      <c r="BP3318" s="136"/>
      <c r="BQ3318" s="137"/>
    </row>
    <row r="3319" spans="1:69" ht="12.75" customHeight="1" x14ac:dyDescent="0.2">
      <c r="A3319" s="2">
        <v>4808</v>
      </c>
      <c r="B3319" s="2"/>
      <c r="C3319" s="2"/>
      <c r="D3319" s="2"/>
      <c r="E3319" s="2"/>
      <c r="F3319" s="132">
        <v>0</v>
      </c>
      <c r="G3319" s="132"/>
      <c r="H3319" s="132">
        <f t="shared" si="374"/>
        <v>0</v>
      </c>
      <c r="I3319" s="132"/>
      <c r="J3319" s="132">
        <f t="shared" si="372"/>
        <v>0</v>
      </c>
      <c r="K3319" s="132">
        <f t="shared" si="375"/>
        <v>0</v>
      </c>
      <c r="L3319" s="132">
        <f t="shared" si="369"/>
        <v>0</v>
      </c>
      <c r="M3319" s="133"/>
      <c r="N3319" s="133">
        <f t="shared" si="373"/>
        <v>0</v>
      </c>
      <c r="O3319" s="134"/>
      <c r="P3319" s="133"/>
      <c r="Q3319" s="2"/>
      <c r="R3319" s="156">
        <f t="shared" si="370"/>
        <v>0</v>
      </c>
      <c r="S3319" s="156">
        <f t="shared" si="371"/>
        <v>0</v>
      </c>
      <c r="T3319" s="133"/>
      <c r="U3319" s="133"/>
      <c r="V3319" s="133"/>
      <c r="W3319" s="133"/>
      <c r="X3319" s="133"/>
      <c r="Y3319" s="133"/>
      <c r="Z3319" s="133"/>
      <c r="AA3319" s="133"/>
      <c r="AB3319" s="133"/>
      <c r="AC3319" s="133"/>
      <c r="AD3319" s="133"/>
      <c r="AE3319" s="133"/>
      <c r="AF3319" s="133"/>
      <c r="AG3319" s="133"/>
      <c r="AH3319" s="133"/>
      <c r="AI3319" s="133"/>
      <c r="AJ3319" s="133"/>
      <c r="AK3319" s="133"/>
      <c r="AL3319" s="133"/>
      <c r="AM3319" s="133"/>
      <c r="AN3319" s="133"/>
      <c r="AO3319" s="133"/>
      <c r="AP3319" s="133"/>
      <c r="AQ3319" s="133"/>
      <c r="AR3319" s="133"/>
      <c r="AS3319" s="153">
        <v>0</v>
      </c>
      <c r="AT3319" s="153">
        <v>0</v>
      </c>
      <c r="AU3319" s="153">
        <v>0</v>
      </c>
      <c r="AV3319" s="135"/>
      <c r="AW3319" s="135"/>
      <c r="AX3319" s="135"/>
      <c r="AY3319" s="135"/>
      <c r="AZ3319" s="135"/>
      <c r="BA3319" s="135"/>
      <c r="BB3319" s="135"/>
      <c r="BC3319" s="135"/>
      <c r="BD3319" s="135"/>
      <c r="BE3319" s="135"/>
      <c r="BF3319" s="135"/>
      <c r="BG3319" s="135"/>
      <c r="BH3319" s="135"/>
      <c r="BI3319" s="2"/>
      <c r="BJ3319" s="136"/>
      <c r="BK3319" s="2"/>
      <c r="BL3319" s="136"/>
      <c r="BM3319" s="136"/>
      <c r="BN3319" s="2"/>
      <c r="BO3319" s="2"/>
      <c r="BP3319" s="136"/>
      <c r="BQ3319" s="137"/>
    </row>
    <row r="3320" spans="1:69" ht="12.75" customHeight="1" x14ac:dyDescent="0.2">
      <c r="A3320" s="2">
        <v>4809</v>
      </c>
      <c r="B3320" s="2"/>
      <c r="C3320" s="2"/>
      <c r="D3320" s="2"/>
      <c r="E3320" s="2"/>
      <c r="F3320" s="132">
        <v>0</v>
      </c>
      <c r="G3320" s="132"/>
      <c r="H3320" s="132">
        <f t="shared" si="374"/>
        <v>0</v>
      </c>
      <c r="I3320" s="132"/>
      <c r="J3320" s="132">
        <f t="shared" si="372"/>
        <v>0</v>
      </c>
      <c r="K3320" s="132">
        <f t="shared" si="375"/>
        <v>0</v>
      </c>
      <c r="L3320" s="132">
        <f t="shared" si="369"/>
        <v>0</v>
      </c>
      <c r="M3320" s="133"/>
      <c r="N3320" s="133">
        <f t="shared" si="373"/>
        <v>0</v>
      </c>
      <c r="O3320" s="134"/>
      <c r="P3320" s="133"/>
      <c r="Q3320" s="2"/>
      <c r="R3320" s="156">
        <f t="shared" si="370"/>
        <v>0</v>
      </c>
      <c r="S3320" s="156">
        <f t="shared" si="371"/>
        <v>0</v>
      </c>
      <c r="T3320" s="133"/>
      <c r="U3320" s="133"/>
      <c r="V3320" s="133"/>
      <c r="W3320" s="133"/>
      <c r="X3320" s="133"/>
      <c r="Y3320" s="133"/>
      <c r="Z3320" s="133"/>
      <c r="AA3320" s="133"/>
      <c r="AB3320" s="133"/>
      <c r="AC3320" s="133"/>
      <c r="AD3320" s="133"/>
      <c r="AE3320" s="133"/>
      <c r="AF3320" s="133"/>
      <c r="AG3320" s="133"/>
      <c r="AH3320" s="133"/>
      <c r="AI3320" s="133"/>
      <c r="AJ3320" s="133"/>
      <c r="AK3320" s="133"/>
      <c r="AL3320" s="133"/>
      <c r="AM3320" s="133"/>
      <c r="AN3320" s="133"/>
      <c r="AO3320" s="133"/>
      <c r="AP3320" s="133"/>
      <c r="AQ3320" s="133"/>
      <c r="AR3320" s="133"/>
      <c r="AS3320" s="153">
        <v>0</v>
      </c>
      <c r="AT3320" s="153">
        <v>0</v>
      </c>
      <c r="AU3320" s="153">
        <v>0</v>
      </c>
      <c r="AV3320" s="135"/>
      <c r="AW3320" s="135"/>
      <c r="AX3320" s="135"/>
      <c r="AY3320" s="135"/>
      <c r="AZ3320" s="135"/>
      <c r="BA3320" s="135"/>
      <c r="BB3320" s="135"/>
      <c r="BC3320" s="135"/>
      <c r="BD3320" s="135"/>
      <c r="BE3320" s="135"/>
      <c r="BF3320" s="135"/>
      <c r="BG3320" s="135"/>
      <c r="BH3320" s="135"/>
      <c r="BI3320" s="2"/>
      <c r="BJ3320" s="136"/>
      <c r="BK3320" s="2"/>
      <c r="BL3320" s="136"/>
      <c r="BM3320" s="136"/>
      <c r="BN3320" s="2"/>
      <c r="BO3320" s="2"/>
      <c r="BP3320" s="136"/>
      <c r="BQ3320" s="137"/>
    </row>
    <row r="3321" spans="1:69" ht="12.75" customHeight="1" x14ac:dyDescent="0.2">
      <c r="A3321" s="2">
        <v>4810</v>
      </c>
      <c r="B3321" s="2"/>
      <c r="C3321" s="2"/>
      <c r="D3321" s="2"/>
      <c r="E3321" s="2"/>
      <c r="F3321" s="132">
        <v>0</v>
      </c>
      <c r="G3321" s="132"/>
      <c r="H3321" s="132">
        <f t="shared" si="374"/>
        <v>0</v>
      </c>
      <c r="I3321" s="132"/>
      <c r="J3321" s="132">
        <f t="shared" si="372"/>
        <v>0</v>
      </c>
      <c r="K3321" s="132">
        <f t="shared" si="375"/>
        <v>0</v>
      </c>
      <c r="L3321" s="132">
        <f t="shared" si="369"/>
        <v>0</v>
      </c>
      <c r="M3321" s="133"/>
      <c r="N3321" s="133">
        <f t="shared" si="373"/>
        <v>0</v>
      </c>
      <c r="O3321" s="134"/>
      <c r="P3321" s="133"/>
      <c r="Q3321" s="2"/>
      <c r="R3321" s="156">
        <f t="shared" si="370"/>
        <v>0</v>
      </c>
      <c r="S3321" s="156">
        <f t="shared" si="371"/>
        <v>0</v>
      </c>
      <c r="T3321" s="133"/>
      <c r="U3321" s="133"/>
      <c r="V3321" s="133"/>
      <c r="W3321" s="133"/>
      <c r="X3321" s="133"/>
      <c r="Y3321" s="133"/>
      <c r="Z3321" s="133"/>
      <c r="AA3321" s="133"/>
      <c r="AB3321" s="133"/>
      <c r="AC3321" s="133"/>
      <c r="AD3321" s="133"/>
      <c r="AE3321" s="133"/>
      <c r="AF3321" s="133"/>
      <c r="AG3321" s="133"/>
      <c r="AH3321" s="133"/>
      <c r="AI3321" s="133"/>
      <c r="AJ3321" s="133"/>
      <c r="AK3321" s="133"/>
      <c r="AL3321" s="133"/>
      <c r="AM3321" s="133"/>
      <c r="AN3321" s="133"/>
      <c r="AO3321" s="133"/>
      <c r="AP3321" s="133"/>
      <c r="AQ3321" s="133"/>
      <c r="AR3321" s="133"/>
      <c r="AS3321" s="153">
        <v>0</v>
      </c>
      <c r="AT3321" s="153">
        <v>0</v>
      </c>
      <c r="AU3321" s="153">
        <v>0</v>
      </c>
      <c r="AV3321" s="135"/>
      <c r="AW3321" s="135"/>
      <c r="AX3321" s="135"/>
      <c r="AY3321" s="135"/>
      <c r="AZ3321" s="135"/>
      <c r="BA3321" s="135"/>
      <c r="BB3321" s="135"/>
      <c r="BC3321" s="135"/>
      <c r="BD3321" s="135"/>
      <c r="BE3321" s="135"/>
      <c r="BF3321" s="135"/>
      <c r="BG3321" s="135"/>
      <c r="BH3321" s="135"/>
      <c r="BI3321" s="2"/>
      <c r="BJ3321" s="136"/>
      <c r="BK3321" s="2"/>
      <c r="BL3321" s="136"/>
      <c r="BM3321" s="136"/>
      <c r="BN3321" s="2"/>
      <c r="BO3321" s="2"/>
      <c r="BP3321" s="136"/>
      <c r="BQ3321" s="137"/>
    </row>
    <row r="3322" spans="1:69" ht="12.75" customHeight="1" x14ac:dyDescent="0.2">
      <c r="A3322" s="2">
        <v>4811</v>
      </c>
      <c r="B3322" s="2"/>
      <c r="C3322" s="2"/>
      <c r="D3322" s="2"/>
      <c r="E3322" s="2"/>
      <c r="F3322" s="132">
        <v>0</v>
      </c>
      <c r="G3322" s="132"/>
      <c r="H3322" s="132">
        <f t="shared" si="374"/>
        <v>0</v>
      </c>
      <c r="I3322" s="132"/>
      <c r="J3322" s="132">
        <f t="shared" si="372"/>
        <v>0</v>
      </c>
      <c r="K3322" s="132">
        <f t="shared" si="375"/>
        <v>0</v>
      </c>
      <c r="L3322" s="132">
        <f t="shared" si="369"/>
        <v>0</v>
      </c>
      <c r="M3322" s="133"/>
      <c r="N3322" s="133">
        <f t="shared" si="373"/>
        <v>0</v>
      </c>
      <c r="O3322" s="134"/>
      <c r="P3322" s="133"/>
      <c r="Q3322" s="2"/>
      <c r="R3322" s="156">
        <f t="shared" si="370"/>
        <v>0</v>
      </c>
      <c r="S3322" s="156">
        <f t="shared" si="371"/>
        <v>0</v>
      </c>
      <c r="T3322" s="133"/>
      <c r="U3322" s="133"/>
      <c r="V3322" s="133"/>
      <c r="W3322" s="133"/>
      <c r="X3322" s="133"/>
      <c r="Y3322" s="133"/>
      <c r="Z3322" s="133"/>
      <c r="AA3322" s="133"/>
      <c r="AB3322" s="133"/>
      <c r="AC3322" s="133"/>
      <c r="AD3322" s="133"/>
      <c r="AE3322" s="133"/>
      <c r="AF3322" s="133"/>
      <c r="AG3322" s="133"/>
      <c r="AH3322" s="133"/>
      <c r="AI3322" s="133"/>
      <c r="AJ3322" s="133"/>
      <c r="AK3322" s="133"/>
      <c r="AL3322" s="133"/>
      <c r="AM3322" s="133"/>
      <c r="AN3322" s="133"/>
      <c r="AO3322" s="133"/>
      <c r="AP3322" s="133"/>
      <c r="AQ3322" s="133"/>
      <c r="AR3322" s="133"/>
      <c r="AS3322" s="153">
        <v>0</v>
      </c>
      <c r="AT3322" s="153">
        <v>0</v>
      </c>
      <c r="AU3322" s="153">
        <v>0</v>
      </c>
      <c r="AV3322" s="135"/>
      <c r="AW3322" s="135"/>
      <c r="AX3322" s="135"/>
      <c r="AY3322" s="135"/>
      <c r="AZ3322" s="135"/>
      <c r="BA3322" s="135"/>
      <c r="BB3322" s="135"/>
      <c r="BC3322" s="135"/>
      <c r="BD3322" s="135"/>
      <c r="BE3322" s="135"/>
      <c r="BF3322" s="135"/>
      <c r="BG3322" s="135"/>
      <c r="BH3322" s="135"/>
      <c r="BI3322" s="2"/>
      <c r="BJ3322" s="136"/>
      <c r="BK3322" s="2"/>
      <c r="BL3322" s="136"/>
      <c r="BM3322" s="136"/>
      <c r="BN3322" s="2"/>
      <c r="BO3322" s="2"/>
      <c r="BP3322" s="136"/>
      <c r="BQ3322" s="137"/>
    </row>
    <row r="3323" spans="1:69" ht="12.75" customHeight="1" x14ac:dyDescent="0.2">
      <c r="A3323" s="2">
        <v>4812</v>
      </c>
      <c r="B3323" s="2"/>
      <c r="C3323" s="2"/>
      <c r="D3323" s="2"/>
      <c r="E3323" s="2"/>
      <c r="F3323" s="132">
        <v>0</v>
      </c>
      <c r="G3323" s="132"/>
      <c r="H3323" s="132">
        <f t="shared" si="374"/>
        <v>0</v>
      </c>
      <c r="I3323" s="132"/>
      <c r="J3323" s="132">
        <f t="shared" si="372"/>
        <v>0</v>
      </c>
      <c r="K3323" s="132">
        <f t="shared" si="375"/>
        <v>0</v>
      </c>
      <c r="L3323" s="132">
        <f t="shared" si="369"/>
        <v>0</v>
      </c>
      <c r="M3323" s="133"/>
      <c r="N3323" s="133">
        <f t="shared" si="373"/>
        <v>0</v>
      </c>
      <c r="O3323" s="134"/>
      <c r="P3323" s="133"/>
      <c r="Q3323" s="2"/>
      <c r="R3323" s="156">
        <f t="shared" si="370"/>
        <v>0</v>
      </c>
      <c r="S3323" s="156">
        <f t="shared" si="371"/>
        <v>0</v>
      </c>
      <c r="T3323" s="133"/>
      <c r="U3323" s="133"/>
      <c r="V3323" s="133"/>
      <c r="W3323" s="133"/>
      <c r="X3323" s="133"/>
      <c r="Y3323" s="133"/>
      <c r="Z3323" s="133"/>
      <c r="AA3323" s="133"/>
      <c r="AB3323" s="133"/>
      <c r="AC3323" s="133"/>
      <c r="AD3323" s="133"/>
      <c r="AE3323" s="133"/>
      <c r="AF3323" s="133"/>
      <c r="AG3323" s="133"/>
      <c r="AH3323" s="133"/>
      <c r="AI3323" s="133"/>
      <c r="AJ3323" s="133"/>
      <c r="AK3323" s="133"/>
      <c r="AL3323" s="133"/>
      <c r="AM3323" s="133"/>
      <c r="AN3323" s="133"/>
      <c r="AO3323" s="133"/>
      <c r="AP3323" s="133"/>
      <c r="AQ3323" s="133"/>
      <c r="AR3323" s="133"/>
      <c r="AS3323" s="153">
        <v>0</v>
      </c>
      <c r="AT3323" s="153">
        <v>0</v>
      </c>
      <c r="AU3323" s="153">
        <v>0</v>
      </c>
      <c r="AV3323" s="135"/>
      <c r="AW3323" s="135"/>
      <c r="AX3323" s="135"/>
      <c r="AY3323" s="135"/>
      <c r="AZ3323" s="135"/>
      <c r="BA3323" s="135"/>
      <c r="BB3323" s="135"/>
      <c r="BC3323" s="135"/>
      <c r="BD3323" s="135"/>
      <c r="BE3323" s="135"/>
      <c r="BF3323" s="135"/>
      <c r="BG3323" s="135"/>
      <c r="BH3323" s="135"/>
      <c r="BI3323" s="2"/>
      <c r="BJ3323" s="136"/>
      <c r="BK3323" s="2"/>
      <c r="BL3323" s="136"/>
      <c r="BM3323" s="136"/>
      <c r="BN3323" s="2"/>
      <c r="BO3323" s="2"/>
      <c r="BP3323" s="136"/>
      <c r="BQ3323" s="137"/>
    </row>
    <row r="3324" spans="1:69" ht="12.75" customHeight="1" x14ac:dyDescent="0.2">
      <c r="A3324" s="2">
        <v>4813</v>
      </c>
      <c r="B3324" s="2"/>
      <c r="C3324" s="2"/>
      <c r="D3324" s="2"/>
      <c r="E3324" s="2"/>
      <c r="F3324" s="132">
        <v>0</v>
      </c>
      <c r="G3324" s="132"/>
      <c r="H3324" s="132">
        <f t="shared" si="374"/>
        <v>0</v>
      </c>
      <c r="I3324" s="132"/>
      <c r="J3324" s="132">
        <f t="shared" si="372"/>
        <v>0</v>
      </c>
      <c r="K3324" s="132">
        <f t="shared" si="375"/>
        <v>0</v>
      </c>
      <c r="L3324" s="132">
        <f t="shared" si="369"/>
        <v>0</v>
      </c>
      <c r="M3324" s="133"/>
      <c r="N3324" s="133">
        <f t="shared" si="373"/>
        <v>0</v>
      </c>
      <c r="O3324" s="134"/>
      <c r="P3324" s="133"/>
      <c r="Q3324" s="2"/>
      <c r="R3324" s="156">
        <f t="shared" si="370"/>
        <v>0</v>
      </c>
      <c r="S3324" s="156">
        <f t="shared" si="371"/>
        <v>0</v>
      </c>
      <c r="T3324" s="133"/>
      <c r="U3324" s="133"/>
      <c r="V3324" s="133"/>
      <c r="W3324" s="133"/>
      <c r="X3324" s="133"/>
      <c r="Y3324" s="133"/>
      <c r="Z3324" s="133"/>
      <c r="AA3324" s="133"/>
      <c r="AB3324" s="133"/>
      <c r="AC3324" s="133"/>
      <c r="AD3324" s="133"/>
      <c r="AE3324" s="133"/>
      <c r="AF3324" s="133"/>
      <c r="AG3324" s="133"/>
      <c r="AH3324" s="133"/>
      <c r="AI3324" s="133"/>
      <c r="AJ3324" s="133"/>
      <c r="AK3324" s="133"/>
      <c r="AL3324" s="133"/>
      <c r="AM3324" s="133"/>
      <c r="AN3324" s="133"/>
      <c r="AO3324" s="133"/>
      <c r="AP3324" s="133"/>
      <c r="AQ3324" s="133"/>
      <c r="AR3324" s="133"/>
      <c r="AS3324" s="153">
        <v>0</v>
      </c>
      <c r="AT3324" s="153">
        <v>0</v>
      </c>
      <c r="AU3324" s="153">
        <v>0</v>
      </c>
      <c r="AV3324" s="135"/>
      <c r="AW3324" s="135"/>
      <c r="AX3324" s="135"/>
      <c r="AY3324" s="135"/>
      <c r="AZ3324" s="135"/>
      <c r="BA3324" s="135"/>
      <c r="BB3324" s="135"/>
      <c r="BC3324" s="135"/>
      <c r="BD3324" s="135"/>
      <c r="BE3324" s="135"/>
      <c r="BF3324" s="135"/>
      <c r="BG3324" s="135"/>
      <c r="BH3324" s="135"/>
      <c r="BI3324" s="2"/>
      <c r="BJ3324" s="136"/>
      <c r="BK3324" s="2"/>
      <c r="BL3324" s="136"/>
      <c r="BM3324" s="136"/>
      <c r="BN3324" s="2"/>
      <c r="BO3324" s="2"/>
      <c r="BP3324" s="136"/>
      <c r="BQ3324" s="137"/>
    </row>
    <row r="3325" spans="1:69" ht="12.75" customHeight="1" x14ac:dyDescent="0.2">
      <c r="A3325" s="2">
        <v>4814</v>
      </c>
      <c r="B3325" s="2"/>
      <c r="C3325" s="2"/>
      <c r="D3325" s="2"/>
      <c r="E3325" s="2"/>
      <c r="F3325" s="132">
        <v>0</v>
      </c>
      <c r="G3325" s="132"/>
      <c r="H3325" s="132">
        <f t="shared" si="374"/>
        <v>0</v>
      </c>
      <c r="I3325" s="132"/>
      <c r="J3325" s="132">
        <f t="shared" si="372"/>
        <v>0</v>
      </c>
      <c r="K3325" s="132">
        <f t="shared" si="375"/>
        <v>0</v>
      </c>
      <c r="L3325" s="132">
        <f t="shared" si="369"/>
        <v>0</v>
      </c>
      <c r="M3325" s="133"/>
      <c r="N3325" s="133">
        <f t="shared" si="373"/>
        <v>0</v>
      </c>
      <c r="O3325" s="134"/>
      <c r="P3325" s="133"/>
      <c r="Q3325" s="2"/>
      <c r="R3325" s="156">
        <f t="shared" si="370"/>
        <v>0</v>
      </c>
      <c r="S3325" s="156">
        <f t="shared" si="371"/>
        <v>0</v>
      </c>
      <c r="T3325" s="133"/>
      <c r="U3325" s="133"/>
      <c r="V3325" s="133"/>
      <c r="W3325" s="133"/>
      <c r="X3325" s="133"/>
      <c r="Y3325" s="133"/>
      <c r="Z3325" s="133"/>
      <c r="AA3325" s="133"/>
      <c r="AB3325" s="133"/>
      <c r="AC3325" s="133"/>
      <c r="AD3325" s="133"/>
      <c r="AE3325" s="133"/>
      <c r="AF3325" s="133"/>
      <c r="AG3325" s="133"/>
      <c r="AH3325" s="133"/>
      <c r="AI3325" s="133"/>
      <c r="AJ3325" s="133"/>
      <c r="AK3325" s="133"/>
      <c r="AL3325" s="133"/>
      <c r="AM3325" s="133"/>
      <c r="AN3325" s="133"/>
      <c r="AO3325" s="133"/>
      <c r="AP3325" s="133"/>
      <c r="AQ3325" s="133"/>
      <c r="AR3325" s="133"/>
      <c r="AS3325" s="153">
        <v>0</v>
      </c>
      <c r="AT3325" s="153">
        <v>0</v>
      </c>
      <c r="AU3325" s="153">
        <v>0</v>
      </c>
      <c r="AV3325" s="135"/>
      <c r="AW3325" s="135"/>
      <c r="AX3325" s="135"/>
      <c r="AY3325" s="135"/>
      <c r="AZ3325" s="135"/>
      <c r="BA3325" s="135"/>
      <c r="BB3325" s="135"/>
      <c r="BC3325" s="135"/>
      <c r="BD3325" s="135"/>
      <c r="BE3325" s="135"/>
      <c r="BF3325" s="135"/>
      <c r="BG3325" s="135"/>
      <c r="BH3325" s="135"/>
      <c r="BI3325" s="2"/>
      <c r="BJ3325" s="136"/>
      <c r="BK3325" s="2"/>
      <c r="BL3325" s="136"/>
      <c r="BM3325" s="136"/>
      <c r="BN3325" s="2"/>
      <c r="BO3325" s="2"/>
      <c r="BP3325" s="136"/>
      <c r="BQ3325" s="137"/>
    </row>
    <row r="3326" spans="1:69" ht="12.75" customHeight="1" x14ac:dyDescent="0.2">
      <c r="A3326" s="2">
        <v>4815</v>
      </c>
      <c r="B3326" s="2"/>
      <c r="C3326" s="2"/>
      <c r="D3326" s="2"/>
      <c r="E3326" s="2"/>
      <c r="F3326" s="132">
        <v>0</v>
      </c>
      <c r="G3326" s="132"/>
      <c r="H3326" s="132">
        <f t="shared" si="374"/>
        <v>0</v>
      </c>
      <c r="I3326" s="132"/>
      <c r="J3326" s="132">
        <f t="shared" si="372"/>
        <v>0</v>
      </c>
      <c r="K3326" s="132">
        <f t="shared" si="375"/>
        <v>0</v>
      </c>
      <c r="L3326" s="132">
        <f t="shared" si="369"/>
        <v>0</v>
      </c>
      <c r="M3326" s="133"/>
      <c r="N3326" s="133">
        <f t="shared" si="373"/>
        <v>0</v>
      </c>
      <c r="O3326" s="134"/>
      <c r="P3326" s="133"/>
      <c r="Q3326" s="2"/>
      <c r="R3326" s="156">
        <f t="shared" si="370"/>
        <v>0</v>
      </c>
      <c r="S3326" s="156">
        <f t="shared" si="371"/>
        <v>0</v>
      </c>
      <c r="T3326" s="133"/>
      <c r="U3326" s="133"/>
      <c r="V3326" s="133"/>
      <c r="W3326" s="133"/>
      <c r="X3326" s="133"/>
      <c r="Y3326" s="133"/>
      <c r="Z3326" s="133"/>
      <c r="AA3326" s="133"/>
      <c r="AB3326" s="133"/>
      <c r="AC3326" s="133"/>
      <c r="AD3326" s="133"/>
      <c r="AE3326" s="133"/>
      <c r="AF3326" s="133"/>
      <c r="AG3326" s="133"/>
      <c r="AH3326" s="133"/>
      <c r="AI3326" s="133"/>
      <c r="AJ3326" s="133"/>
      <c r="AK3326" s="133"/>
      <c r="AL3326" s="133"/>
      <c r="AM3326" s="133"/>
      <c r="AN3326" s="133"/>
      <c r="AO3326" s="133"/>
      <c r="AP3326" s="133"/>
      <c r="AQ3326" s="133"/>
      <c r="AR3326" s="133"/>
      <c r="AS3326" s="153">
        <v>0</v>
      </c>
      <c r="AT3326" s="153">
        <v>0</v>
      </c>
      <c r="AU3326" s="153">
        <v>0</v>
      </c>
      <c r="AV3326" s="135"/>
      <c r="AW3326" s="135"/>
      <c r="AX3326" s="135"/>
      <c r="AY3326" s="135"/>
      <c r="AZ3326" s="135"/>
      <c r="BA3326" s="135"/>
      <c r="BB3326" s="135"/>
      <c r="BC3326" s="135"/>
      <c r="BD3326" s="135"/>
      <c r="BE3326" s="135"/>
      <c r="BF3326" s="135"/>
      <c r="BG3326" s="135"/>
      <c r="BH3326" s="135"/>
      <c r="BI3326" s="2"/>
      <c r="BJ3326" s="136"/>
      <c r="BK3326" s="2"/>
      <c r="BL3326" s="136"/>
      <c r="BM3326" s="136"/>
      <c r="BN3326" s="2"/>
      <c r="BO3326" s="2"/>
      <c r="BP3326" s="136"/>
      <c r="BQ3326" s="137"/>
    </row>
    <row r="3327" spans="1:69" ht="12.75" customHeight="1" x14ac:dyDescent="0.2">
      <c r="A3327" s="2">
        <v>4816</v>
      </c>
      <c r="B3327" s="2"/>
      <c r="C3327" s="2"/>
      <c r="D3327" s="2"/>
      <c r="E3327" s="2"/>
      <c r="F3327" s="132">
        <v>0</v>
      </c>
      <c r="G3327" s="132"/>
      <c r="H3327" s="132">
        <f t="shared" si="374"/>
        <v>0</v>
      </c>
      <c r="I3327" s="132"/>
      <c r="J3327" s="132">
        <f t="shared" si="372"/>
        <v>0</v>
      </c>
      <c r="K3327" s="132">
        <f t="shared" si="375"/>
        <v>0</v>
      </c>
      <c r="L3327" s="132">
        <f t="shared" si="369"/>
        <v>0</v>
      </c>
      <c r="M3327" s="133"/>
      <c r="N3327" s="133">
        <f t="shared" si="373"/>
        <v>0</v>
      </c>
      <c r="O3327" s="134"/>
      <c r="P3327" s="133"/>
      <c r="Q3327" s="2"/>
      <c r="R3327" s="156">
        <f t="shared" si="370"/>
        <v>0</v>
      </c>
      <c r="S3327" s="156">
        <f t="shared" si="371"/>
        <v>0</v>
      </c>
      <c r="T3327" s="133"/>
      <c r="U3327" s="133"/>
      <c r="V3327" s="133"/>
      <c r="W3327" s="133"/>
      <c r="X3327" s="133"/>
      <c r="Y3327" s="133"/>
      <c r="Z3327" s="133"/>
      <c r="AA3327" s="133"/>
      <c r="AB3327" s="133"/>
      <c r="AC3327" s="133"/>
      <c r="AD3327" s="133"/>
      <c r="AE3327" s="133"/>
      <c r="AF3327" s="133"/>
      <c r="AG3327" s="133"/>
      <c r="AH3327" s="133"/>
      <c r="AI3327" s="133"/>
      <c r="AJ3327" s="133"/>
      <c r="AK3327" s="133"/>
      <c r="AL3327" s="133"/>
      <c r="AM3327" s="133"/>
      <c r="AN3327" s="133"/>
      <c r="AO3327" s="133"/>
      <c r="AP3327" s="133"/>
      <c r="AQ3327" s="133"/>
      <c r="AR3327" s="133"/>
      <c r="AS3327" s="153">
        <v>0</v>
      </c>
      <c r="AT3327" s="153">
        <v>0</v>
      </c>
      <c r="AU3327" s="153">
        <v>0</v>
      </c>
      <c r="AV3327" s="135"/>
      <c r="AW3327" s="135"/>
      <c r="AX3327" s="135"/>
      <c r="AY3327" s="135"/>
      <c r="AZ3327" s="135"/>
      <c r="BA3327" s="135"/>
      <c r="BB3327" s="135"/>
      <c r="BC3327" s="135"/>
      <c r="BD3327" s="135"/>
      <c r="BE3327" s="135"/>
      <c r="BF3327" s="135"/>
      <c r="BG3327" s="135"/>
      <c r="BH3327" s="135"/>
      <c r="BI3327" s="2"/>
      <c r="BJ3327" s="136"/>
      <c r="BK3327" s="2"/>
      <c r="BL3327" s="136"/>
      <c r="BM3327" s="136"/>
      <c r="BN3327" s="2"/>
      <c r="BO3327" s="2"/>
      <c r="BP3327" s="136"/>
      <c r="BQ3327" s="137"/>
    </row>
    <row r="3328" spans="1:69" ht="12.75" customHeight="1" x14ac:dyDescent="0.2">
      <c r="A3328" s="2">
        <v>4817</v>
      </c>
      <c r="B3328" s="2"/>
      <c r="C3328" s="2"/>
      <c r="D3328" s="2"/>
      <c r="E3328" s="2"/>
      <c r="F3328" s="132">
        <v>0</v>
      </c>
      <c r="G3328" s="132"/>
      <c r="H3328" s="132">
        <f t="shared" si="374"/>
        <v>0</v>
      </c>
      <c r="I3328" s="132"/>
      <c r="J3328" s="132">
        <f t="shared" si="372"/>
        <v>0</v>
      </c>
      <c r="K3328" s="132">
        <f t="shared" si="375"/>
        <v>0</v>
      </c>
      <c r="L3328" s="132">
        <f t="shared" si="369"/>
        <v>0</v>
      </c>
      <c r="M3328" s="133"/>
      <c r="N3328" s="133">
        <f t="shared" si="373"/>
        <v>0</v>
      </c>
      <c r="O3328" s="134"/>
      <c r="P3328" s="133"/>
      <c r="Q3328" s="2"/>
      <c r="R3328" s="156">
        <f t="shared" si="370"/>
        <v>0</v>
      </c>
      <c r="S3328" s="156">
        <f t="shared" si="371"/>
        <v>0</v>
      </c>
      <c r="T3328" s="133"/>
      <c r="U3328" s="133"/>
      <c r="V3328" s="133"/>
      <c r="W3328" s="133"/>
      <c r="X3328" s="133"/>
      <c r="Y3328" s="133"/>
      <c r="Z3328" s="133"/>
      <c r="AA3328" s="133"/>
      <c r="AB3328" s="133"/>
      <c r="AC3328" s="133"/>
      <c r="AD3328" s="133"/>
      <c r="AE3328" s="133"/>
      <c r="AF3328" s="133"/>
      <c r="AG3328" s="133"/>
      <c r="AH3328" s="133"/>
      <c r="AI3328" s="133"/>
      <c r="AJ3328" s="133"/>
      <c r="AK3328" s="133"/>
      <c r="AL3328" s="133"/>
      <c r="AM3328" s="133"/>
      <c r="AN3328" s="133"/>
      <c r="AO3328" s="133"/>
      <c r="AP3328" s="133"/>
      <c r="AQ3328" s="133"/>
      <c r="AR3328" s="133"/>
      <c r="AS3328" s="153">
        <v>0</v>
      </c>
      <c r="AT3328" s="153">
        <v>0</v>
      </c>
      <c r="AU3328" s="153">
        <v>0</v>
      </c>
      <c r="AV3328" s="135"/>
      <c r="AW3328" s="135"/>
      <c r="AX3328" s="135"/>
      <c r="AY3328" s="135"/>
      <c r="AZ3328" s="135"/>
      <c r="BA3328" s="135"/>
      <c r="BB3328" s="135"/>
      <c r="BC3328" s="135"/>
      <c r="BD3328" s="135"/>
      <c r="BE3328" s="135"/>
      <c r="BF3328" s="135"/>
      <c r="BG3328" s="135"/>
      <c r="BH3328" s="135"/>
      <c r="BI3328" s="2"/>
      <c r="BJ3328" s="136"/>
      <c r="BK3328" s="2"/>
      <c r="BL3328" s="136"/>
      <c r="BM3328" s="136"/>
      <c r="BN3328" s="2"/>
      <c r="BO3328" s="2"/>
      <c r="BP3328" s="136"/>
      <c r="BQ3328" s="137"/>
    </row>
    <row r="3329" spans="1:69" ht="12.75" customHeight="1" x14ac:dyDescent="0.2">
      <c r="A3329" s="2">
        <v>4818</v>
      </c>
      <c r="B3329" s="2"/>
      <c r="C3329" s="2"/>
      <c r="D3329" s="2"/>
      <c r="E3329" s="2"/>
      <c r="F3329" s="132">
        <v>0</v>
      </c>
      <c r="G3329" s="132"/>
      <c r="H3329" s="132">
        <f t="shared" si="374"/>
        <v>0</v>
      </c>
      <c r="I3329" s="132"/>
      <c r="J3329" s="132">
        <f t="shared" si="372"/>
        <v>0</v>
      </c>
      <c r="K3329" s="132">
        <f t="shared" si="375"/>
        <v>0</v>
      </c>
      <c r="L3329" s="132">
        <f t="shared" si="369"/>
        <v>0</v>
      </c>
      <c r="M3329" s="133"/>
      <c r="N3329" s="133">
        <f t="shared" si="373"/>
        <v>0</v>
      </c>
      <c r="O3329" s="134"/>
      <c r="P3329" s="133"/>
      <c r="Q3329" s="2"/>
      <c r="R3329" s="156">
        <f t="shared" si="370"/>
        <v>0</v>
      </c>
      <c r="S3329" s="156">
        <f t="shared" si="371"/>
        <v>0</v>
      </c>
      <c r="T3329" s="133"/>
      <c r="U3329" s="133"/>
      <c r="V3329" s="133"/>
      <c r="W3329" s="133"/>
      <c r="X3329" s="133"/>
      <c r="Y3329" s="133"/>
      <c r="Z3329" s="133"/>
      <c r="AA3329" s="133"/>
      <c r="AB3329" s="133"/>
      <c r="AC3329" s="133"/>
      <c r="AD3329" s="133"/>
      <c r="AE3329" s="133"/>
      <c r="AF3329" s="133"/>
      <c r="AG3329" s="133"/>
      <c r="AH3329" s="133"/>
      <c r="AI3329" s="133"/>
      <c r="AJ3329" s="133"/>
      <c r="AK3329" s="133"/>
      <c r="AL3329" s="133"/>
      <c r="AM3329" s="133"/>
      <c r="AN3329" s="133"/>
      <c r="AO3329" s="133"/>
      <c r="AP3329" s="133"/>
      <c r="AQ3329" s="133"/>
      <c r="AR3329" s="133"/>
      <c r="AS3329" s="153">
        <v>0</v>
      </c>
      <c r="AT3329" s="153">
        <v>0</v>
      </c>
      <c r="AU3329" s="153">
        <v>0</v>
      </c>
      <c r="AV3329" s="135"/>
      <c r="AW3329" s="135"/>
      <c r="AX3329" s="135"/>
      <c r="AY3329" s="135"/>
      <c r="AZ3329" s="135"/>
      <c r="BA3329" s="135"/>
      <c r="BB3329" s="135"/>
      <c r="BC3329" s="135"/>
      <c r="BD3329" s="135"/>
      <c r="BE3329" s="135"/>
      <c r="BF3329" s="135"/>
      <c r="BG3329" s="135"/>
      <c r="BH3329" s="135"/>
      <c r="BI3329" s="2"/>
      <c r="BJ3329" s="136"/>
      <c r="BK3329" s="2"/>
      <c r="BL3329" s="136"/>
      <c r="BM3329" s="136"/>
      <c r="BN3329" s="2"/>
      <c r="BO3329" s="2"/>
      <c r="BP3329" s="136"/>
      <c r="BQ3329" s="137"/>
    </row>
    <row r="3330" spans="1:69" ht="12.75" customHeight="1" x14ac:dyDescent="0.2">
      <c r="A3330" s="2">
        <v>4819</v>
      </c>
      <c r="B3330" s="2"/>
      <c r="C3330" s="2"/>
      <c r="D3330" s="2"/>
      <c r="E3330" s="2"/>
      <c r="F3330" s="132">
        <v>0</v>
      </c>
      <c r="G3330" s="132"/>
      <c r="H3330" s="132">
        <f t="shared" si="374"/>
        <v>0</v>
      </c>
      <c r="I3330" s="132"/>
      <c r="J3330" s="132">
        <f t="shared" si="372"/>
        <v>0</v>
      </c>
      <c r="K3330" s="132">
        <f t="shared" si="375"/>
        <v>0</v>
      </c>
      <c r="L3330" s="132">
        <f t="shared" si="369"/>
        <v>0</v>
      </c>
      <c r="M3330" s="133"/>
      <c r="N3330" s="133">
        <f t="shared" si="373"/>
        <v>0</v>
      </c>
      <c r="O3330" s="134"/>
      <c r="P3330" s="133"/>
      <c r="Q3330" s="2"/>
      <c r="R3330" s="156">
        <f t="shared" si="370"/>
        <v>0</v>
      </c>
      <c r="S3330" s="156">
        <f t="shared" si="371"/>
        <v>0</v>
      </c>
      <c r="T3330" s="133"/>
      <c r="U3330" s="133"/>
      <c r="V3330" s="133"/>
      <c r="W3330" s="133"/>
      <c r="X3330" s="133"/>
      <c r="Y3330" s="133"/>
      <c r="Z3330" s="133"/>
      <c r="AA3330" s="133"/>
      <c r="AB3330" s="133"/>
      <c r="AC3330" s="133"/>
      <c r="AD3330" s="133"/>
      <c r="AE3330" s="133"/>
      <c r="AF3330" s="133"/>
      <c r="AG3330" s="133"/>
      <c r="AH3330" s="133"/>
      <c r="AI3330" s="133"/>
      <c r="AJ3330" s="133"/>
      <c r="AK3330" s="133"/>
      <c r="AL3330" s="133"/>
      <c r="AM3330" s="133"/>
      <c r="AN3330" s="133"/>
      <c r="AO3330" s="133"/>
      <c r="AP3330" s="133"/>
      <c r="AQ3330" s="133"/>
      <c r="AR3330" s="133"/>
      <c r="AS3330" s="153">
        <v>0</v>
      </c>
      <c r="AT3330" s="153">
        <v>0</v>
      </c>
      <c r="AU3330" s="153">
        <v>0</v>
      </c>
      <c r="AV3330" s="135"/>
      <c r="AW3330" s="135"/>
      <c r="AX3330" s="135"/>
      <c r="AY3330" s="135"/>
      <c r="AZ3330" s="135"/>
      <c r="BA3330" s="135"/>
      <c r="BB3330" s="135"/>
      <c r="BC3330" s="135"/>
      <c r="BD3330" s="135"/>
      <c r="BE3330" s="135"/>
      <c r="BF3330" s="135"/>
      <c r="BG3330" s="135"/>
      <c r="BH3330" s="135"/>
      <c r="BI3330" s="2"/>
      <c r="BJ3330" s="136"/>
      <c r="BK3330" s="2"/>
      <c r="BL3330" s="136"/>
      <c r="BM3330" s="136"/>
      <c r="BN3330" s="2"/>
      <c r="BO3330" s="2"/>
      <c r="BP3330" s="136"/>
      <c r="BQ3330" s="137"/>
    </row>
    <row r="3331" spans="1:69" ht="12.75" customHeight="1" x14ac:dyDescent="0.2">
      <c r="A3331" s="2">
        <v>4820</v>
      </c>
      <c r="B3331" s="2"/>
      <c r="C3331" s="2"/>
      <c r="D3331" s="2"/>
      <c r="E3331" s="2"/>
      <c r="F3331" s="132">
        <v>0</v>
      </c>
      <c r="G3331" s="132"/>
      <c r="H3331" s="132">
        <f t="shared" si="374"/>
        <v>0</v>
      </c>
      <c r="I3331" s="132"/>
      <c r="J3331" s="132">
        <f t="shared" si="372"/>
        <v>0</v>
      </c>
      <c r="K3331" s="132">
        <f t="shared" si="375"/>
        <v>0</v>
      </c>
      <c r="L3331" s="132">
        <f t="shared" si="369"/>
        <v>0</v>
      </c>
      <c r="M3331" s="133"/>
      <c r="N3331" s="133">
        <f t="shared" si="373"/>
        <v>0</v>
      </c>
      <c r="O3331" s="134"/>
      <c r="P3331" s="133"/>
      <c r="Q3331" s="2"/>
      <c r="R3331" s="156">
        <f t="shared" si="370"/>
        <v>0</v>
      </c>
      <c r="S3331" s="156">
        <f t="shared" si="371"/>
        <v>0</v>
      </c>
      <c r="T3331" s="133"/>
      <c r="U3331" s="133"/>
      <c r="V3331" s="133"/>
      <c r="W3331" s="133"/>
      <c r="X3331" s="133"/>
      <c r="Y3331" s="133"/>
      <c r="Z3331" s="133"/>
      <c r="AA3331" s="133"/>
      <c r="AB3331" s="133"/>
      <c r="AC3331" s="133"/>
      <c r="AD3331" s="133"/>
      <c r="AE3331" s="133"/>
      <c r="AF3331" s="133"/>
      <c r="AG3331" s="133"/>
      <c r="AH3331" s="133"/>
      <c r="AI3331" s="133"/>
      <c r="AJ3331" s="133"/>
      <c r="AK3331" s="133"/>
      <c r="AL3331" s="133"/>
      <c r="AM3331" s="133"/>
      <c r="AN3331" s="133"/>
      <c r="AO3331" s="133"/>
      <c r="AP3331" s="133"/>
      <c r="AQ3331" s="133"/>
      <c r="AR3331" s="133"/>
      <c r="AS3331" s="153">
        <v>0</v>
      </c>
      <c r="AT3331" s="153">
        <v>0</v>
      </c>
      <c r="AU3331" s="153">
        <v>0</v>
      </c>
      <c r="AV3331" s="135"/>
      <c r="AW3331" s="135"/>
      <c r="AX3331" s="135"/>
      <c r="AY3331" s="135"/>
      <c r="AZ3331" s="135"/>
      <c r="BA3331" s="135"/>
      <c r="BB3331" s="135"/>
      <c r="BC3331" s="135"/>
      <c r="BD3331" s="135"/>
      <c r="BE3331" s="135"/>
      <c r="BF3331" s="135"/>
      <c r="BG3331" s="135"/>
      <c r="BH3331" s="135"/>
      <c r="BI3331" s="2"/>
      <c r="BJ3331" s="136"/>
      <c r="BK3331" s="2"/>
      <c r="BL3331" s="136"/>
      <c r="BM3331" s="136"/>
      <c r="BN3331" s="2"/>
      <c r="BO3331" s="2"/>
      <c r="BP3331" s="136"/>
      <c r="BQ3331" s="137"/>
    </row>
    <row r="3332" spans="1:69" ht="12.75" customHeight="1" x14ac:dyDescent="0.2">
      <c r="A3332" s="2">
        <v>4821</v>
      </c>
      <c r="B3332" s="2"/>
      <c r="C3332" s="2"/>
      <c r="D3332" s="2"/>
      <c r="E3332" s="2"/>
      <c r="F3332" s="132">
        <v>0</v>
      </c>
      <c r="G3332" s="132"/>
      <c r="H3332" s="132">
        <f t="shared" si="374"/>
        <v>0</v>
      </c>
      <c r="I3332" s="132"/>
      <c r="J3332" s="132">
        <f t="shared" si="372"/>
        <v>0</v>
      </c>
      <c r="K3332" s="132">
        <f t="shared" si="375"/>
        <v>0</v>
      </c>
      <c r="L3332" s="132">
        <f t="shared" si="369"/>
        <v>0</v>
      </c>
      <c r="M3332" s="133"/>
      <c r="N3332" s="133">
        <f t="shared" si="373"/>
        <v>0</v>
      </c>
      <c r="O3332" s="134"/>
      <c r="P3332" s="133"/>
      <c r="Q3332" s="2"/>
      <c r="R3332" s="156">
        <f t="shared" si="370"/>
        <v>0</v>
      </c>
      <c r="S3332" s="156">
        <f t="shared" si="371"/>
        <v>0</v>
      </c>
      <c r="T3332" s="133"/>
      <c r="U3332" s="133"/>
      <c r="V3332" s="133"/>
      <c r="W3332" s="133"/>
      <c r="X3332" s="133"/>
      <c r="Y3332" s="133"/>
      <c r="Z3332" s="133"/>
      <c r="AA3332" s="133"/>
      <c r="AB3332" s="133"/>
      <c r="AC3332" s="133"/>
      <c r="AD3332" s="133"/>
      <c r="AE3332" s="133"/>
      <c r="AF3332" s="133"/>
      <c r="AG3332" s="133"/>
      <c r="AH3332" s="133"/>
      <c r="AI3332" s="133"/>
      <c r="AJ3332" s="133"/>
      <c r="AK3332" s="133"/>
      <c r="AL3332" s="133"/>
      <c r="AM3332" s="133"/>
      <c r="AN3332" s="133"/>
      <c r="AO3332" s="133"/>
      <c r="AP3332" s="133"/>
      <c r="AQ3332" s="133"/>
      <c r="AR3332" s="133"/>
      <c r="AS3332" s="153">
        <v>0</v>
      </c>
      <c r="AT3332" s="153">
        <v>0</v>
      </c>
      <c r="AU3332" s="153">
        <v>0</v>
      </c>
      <c r="AV3332" s="135"/>
      <c r="AW3332" s="135"/>
      <c r="AX3332" s="135"/>
      <c r="AY3332" s="135"/>
      <c r="AZ3332" s="135"/>
      <c r="BA3332" s="135"/>
      <c r="BB3332" s="135"/>
      <c r="BC3332" s="135"/>
      <c r="BD3332" s="135"/>
      <c r="BE3332" s="135"/>
      <c r="BF3332" s="135"/>
      <c r="BG3332" s="135"/>
      <c r="BH3332" s="135"/>
      <c r="BI3332" s="2"/>
      <c r="BJ3332" s="136"/>
      <c r="BK3332" s="2"/>
      <c r="BL3332" s="136"/>
      <c r="BM3332" s="136"/>
      <c r="BN3332" s="2"/>
      <c r="BO3332" s="2"/>
      <c r="BP3332" s="136"/>
      <c r="BQ3332" s="137"/>
    </row>
    <row r="3333" spans="1:69" ht="12.75" customHeight="1" x14ac:dyDescent="0.2">
      <c r="A3333" s="2">
        <v>4822</v>
      </c>
      <c r="B3333" s="2"/>
      <c r="C3333" s="2"/>
      <c r="D3333" s="2"/>
      <c r="E3333" s="2"/>
      <c r="F3333" s="132">
        <v>0</v>
      </c>
      <c r="G3333" s="132"/>
      <c r="H3333" s="132">
        <f t="shared" si="374"/>
        <v>0</v>
      </c>
      <c r="I3333" s="132"/>
      <c r="J3333" s="132">
        <f t="shared" si="372"/>
        <v>0</v>
      </c>
      <c r="K3333" s="132">
        <f t="shared" si="375"/>
        <v>0</v>
      </c>
      <c r="L3333" s="132">
        <f t="shared" si="369"/>
        <v>0</v>
      </c>
      <c r="M3333" s="133"/>
      <c r="N3333" s="133">
        <f t="shared" si="373"/>
        <v>0</v>
      </c>
      <c r="O3333" s="134"/>
      <c r="P3333" s="133"/>
      <c r="Q3333" s="2"/>
      <c r="R3333" s="156">
        <f t="shared" si="370"/>
        <v>0</v>
      </c>
      <c r="S3333" s="156">
        <f t="shared" si="371"/>
        <v>0</v>
      </c>
      <c r="T3333" s="133"/>
      <c r="U3333" s="133"/>
      <c r="V3333" s="133"/>
      <c r="W3333" s="133"/>
      <c r="X3333" s="133"/>
      <c r="Y3333" s="133"/>
      <c r="Z3333" s="133"/>
      <c r="AA3333" s="133"/>
      <c r="AB3333" s="133"/>
      <c r="AC3333" s="133"/>
      <c r="AD3333" s="133"/>
      <c r="AE3333" s="133"/>
      <c r="AF3333" s="133"/>
      <c r="AG3333" s="133"/>
      <c r="AH3333" s="133"/>
      <c r="AI3333" s="133"/>
      <c r="AJ3333" s="133"/>
      <c r="AK3333" s="133"/>
      <c r="AL3333" s="133"/>
      <c r="AM3333" s="133"/>
      <c r="AN3333" s="133"/>
      <c r="AO3333" s="133"/>
      <c r="AP3333" s="133"/>
      <c r="AQ3333" s="133"/>
      <c r="AR3333" s="133"/>
      <c r="AS3333" s="153">
        <v>0</v>
      </c>
      <c r="AT3333" s="153">
        <v>0</v>
      </c>
      <c r="AU3333" s="153">
        <v>0</v>
      </c>
      <c r="AV3333" s="135"/>
      <c r="AW3333" s="135"/>
      <c r="AX3333" s="135"/>
      <c r="AY3333" s="135"/>
      <c r="AZ3333" s="135"/>
      <c r="BA3333" s="135"/>
      <c r="BB3333" s="135"/>
      <c r="BC3333" s="135"/>
      <c r="BD3333" s="135"/>
      <c r="BE3333" s="135"/>
      <c r="BF3333" s="135"/>
      <c r="BG3333" s="135"/>
      <c r="BH3333" s="135"/>
      <c r="BI3333" s="2"/>
      <c r="BJ3333" s="136"/>
      <c r="BK3333" s="2"/>
      <c r="BL3333" s="136"/>
      <c r="BM3333" s="136"/>
      <c r="BN3333" s="2"/>
      <c r="BO3333" s="2"/>
      <c r="BP3333" s="136"/>
      <c r="BQ3333" s="137"/>
    </row>
    <row r="3334" spans="1:69" ht="12.75" customHeight="1" x14ac:dyDescent="0.2">
      <c r="A3334" s="2">
        <v>4823</v>
      </c>
      <c r="B3334" s="2"/>
      <c r="C3334" s="2"/>
      <c r="D3334" s="2"/>
      <c r="E3334" s="2"/>
      <c r="F3334" s="132">
        <v>0</v>
      </c>
      <c r="G3334" s="132"/>
      <c r="H3334" s="132">
        <f t="shared" si="374"/>
        <v>0</v>
      </c>
      <c r="I3334" s="132"/>
      <c r="J3334" s="132">
        <f t="shared" si="372"/>
        <v>0</v>
      </c>
      <c r="K3334" s="132">
        <f t="shared" si="375"/>
        <v>0</v>
      </c>
      <c r="L3334" s="132">
        <f t="shared" si="369"/>
        <v>0</v>
      </c>
      <c r="M3334" s="133"/>
      <c r="N3334" s="133">
        <f t="shared" si="373"/>
        <v>0</v>
      </c>
      <c r="O3334" s="134"/>
      <c r="P3334" s="133"/>
      <c r="Q3334" s="2"/>
      <c r="R3334" s="156">
        <f t="shared" si="370"/>
        <v>0</v>
      </c>
      <c r="S3334" s="156">
        <f t="shared" si="371"/>
        <v>0</v>
      </c>
      <c r="T3334" s="133"/>
      <c r="U3334" s="133"/>
      <c r="V3334" s="133"/>
      <c r="W3334" s="133"/>
      <c r="X3334" s="133"/>
      <c r="Y3334" s="133"/>
      <c r="Z3334" s="133"/>
      <c r="AA3334" s="133"/>
      <c r="AB3334" s="133"/>
      <c r="AC3334" s="133"/>
      <c r="AD3334" s="133"/>
      <c r="AE3334" s="133"/>
      <c r="AF3334" s="133"/>
      <c r="AG3334" s="133"/>
      <c r="AH3334" s="133"/>
      <c r="AI3334" s="133"/>
      <c r="AJ3334" s="133"/>
      <c r="AK3334" s="133"/>
      <c r="AL3334" s="133"/>
      <c r="AM3334" s="133"/>
      <c r="AN3334" s="133"/>
      <c r="AO3334" s="133"/>
      <c r="AP3334" s="133"/>
      <c r="AQ3334" s="133"/>
      <c r="AR3334" s="133"/>
      <c r="AS3334" s="153">
        <v>0</v>
      </c>
      <c r="AT3334" s="153">
        <v>0</v>
      </c>
      <c r="AU3334" s="153">
        <v>0</v>
      </c>
      <c r="AV3334" s="135"/>
      <c r="AW3334" s="135"/>
      <c r="AX3334" s="135"/>
      <c r="AY3334" s="135"/>
      <c r="AZ3334" s="135"/>
      <c r="BA3334" s="135"/>
      <c r="BB3334" s="135"/>
      <c r="BC3334" s="135"/>
      <c r="BD3334" s="135"/>
      <c r="BE3334" s="135"/>
      <c r="BF3334" s="135"/>
      <c r="BG3334" s="135"/>
      <c r="BH3334" s="135"/>
      <c r="BI3334" s="2"/>
      <c r="BJ3334" s="136"/>
      <c r="BK3334" s="2"/>
      <c r="BL3334" s="136"/>
      <c r="BM3334" s="136"/>
      <c r="BN3334" s="2"/>
      <c r="BO3334" s="2"/>
      <c r="BP3334" s="136"/>
      <c r="BQ3334" s="137"/>
    </row>
    <row r="3335" spans="1:69" ht="12.75" customHeight="1" x14ac:dyDescent="0.2">
      <c r="A3335" s="2">
        <v>4824</v>
      </c>
      <c r="B3335" s="2"/>
      <c r="C3335" s="2"/>
      <c r="D3335" s="2"/>
      <c r="E3335" s="2"/>
      <c r="F3335" s="132">
        <v>0</v>
      </c>
      <c r="G3335" s="132"/>
      <c r="H3335" s="132">
        <f t="shared" si="374"/>
        <v>0</v>
      </c>
      <c r="I3335" s="132"/>
      <c r="J3335" s="132">
        <f t="shared" si="372"/>
        <v>0</v>
      </c>
      <c r="K3335" s="132">
        <f t="shared" si="375"/>
        <v>0</v>
      </c>
      <c r="L3335" s="132">
        <f t="shared" si="369"/>
        <v>0</v>
      </c>
      <c r="M3335" s="133"/>
      <c r="N3335" s="133">
        <f t="shared" si="373"/>
        <v>0</v>
      </c>
      <c r="O3335" s="134"/>
      <c r="P3335" s="133"/>
      <c r="Q3335" s="2"/>
      <c r="R3335" s="156">
        <f t="shared" si="370"/>
        <v>0</v>
      </c>
      <c r="S3335" s="156">
        <f t="shared" si="371"/>
        <v>0</v>
      </c>
      <c r="T3335" s="133"/>
      <c r="U3335" s="133"/>
      <c r="V3335" s="133"/>
      <c r="W3335" s="133"/>
      <c r="X3335" s="133"/>
      <c r="Y3335" s="133"/>
      <c r="Z3335" s="133"/>
      <c r="AA3335" s="133"/>
      <c r="AB3335" s="133"/>
      <c r="AC3335" s="133"/>
      <c r="AD3335" s="133"/>
      <c r="AE3335" s="133"/>
      <c r="AF3335" s="133"/>
      <c r="AG3335" s="133"/>
      <c r="AH3335" s="133"/>
      <c r="AI3335" s="133"/>
      <c r="AJ3335" s="133"/>
      <c r="AK3335" s="133"/>
      <c r="AL3335" s="133"/>
      <c r="AM3335" s="133"/>
      <c r="AN3335" s="133"/>
      <c r="AO3335" s="133"/>
      <c r="AP3335" s="133"/>
      <c r="AQ3335" s="133"/>
      <c r="AR3335" s="133"/>
      <c r="AS3335" s="153">
        <v>0</v>
      </c>
      <c r="AT3335" s="153">
        <v>0</v>
      </c>
      <c r="AU3335" s="153">
        <v>0</v>
      </c>
      <c r="AV3335" s="135"/>
      <c r="AW3335" s="135"/>
      <c r="AX3335" s="135"/>
      <c r="AY3335" s="135"/>
      <c r="AZ3335" s="135"/>
      <c r="BA3335" s="135"/>
      <c r="BB3335" s="135"/>
      <c r="BC3335" s="135"/>
      <c r="BD3335" s="135"/>
      <c r="BE3335" s="135"/>
      <c r="BF3335" s="135"/>
      <c r="BG3335" s="135"/>
      <c r="BH3335" s="135"/>
      <c r="BI3335" s="2"/>
      <c r="BJ3335" s="136"/>
      <c r="BK3335" s="2"/>
      <c r="BL3335" s="136"/>
      <c r="BM3335" s="136"/>
      <c r="BN3335" s="2"/>
      <c r="BO3335" s="2"/>
      <c r="BP3335" s="136"/>
      <c r="BQ3335" s="137"/>
    </row>
    <row r="3336" spans="1:69" ht="12.75" customHeight="1" x14ac:dyDescent="0.2">
      <c r="A3336" s="2">
        <v>4825</v>
      </c>
      <c r="B3336" s="2"/>
      <c r="C3336" s="2"/>
      <c r="D3336" s="2"/>
      <c r="E3336" s="2"/>
      <c r="F3336" s="132">
        <v>0</v>
      </c>
      <c r="G3336" s="132"/>
      <c r="H3336" s="132">
        <f t="shared" si="374"/>
        <v>0</v>
      </c>
      <c r="I3336" s="132"/>
      <c r="J3336" s="132">
        <f t="shared" si="372"/>
        <v>0</v>
      </c>
      <c r="K3336" s="132">
        <f t="shared" si="375"/>
        <v>0</v>
      </c>
      <c r="L3336" s="132">
        <f t="shared" si="369"/>
        <v>0</v>
      </c>
      <c r="M3336" s="133"/>
      <c r="N3336" s="133">
        <f t="shared" si="373"/>
        <v>0</v>
      </c>
      <c r="O3336" s="134"/>
      <c r="P3336" s="133"/>
      <c r="Q3336" s="2"/>
      <c r="R3336" s="156">
        <f t="shared" si="370"/>
        <v>0</v>
      </c>
      <c r="S3336" s="156">
        <f t="shared" si="371"/>
        <v>0</v>
      </c>
      <c r="T3336" s="133"/>
      <c r="U3336" s="133"/>
      <c r="V3336" s="133"/>
      <c r="W3336" s="133"/>
      <c r="X3336" s="133"/>
      <c r="Y3336" s="133"/>
      <c r="Z3336" s="133"/>
      <c r="AA3336" s="133"/>
      <c r="AB3336" s="133"/>
      <c r="AC3336" s="133"/>
      <c r="AD3336" s="133"/>
      <c r="AE3336" s="133"/>
      <c r="AF3336" s="133"/>
      <c r="AG3336" s="133"/>
      <c r="AH3336" s="133"/>
      <c r="AI3336" s="133"/>
      <c r="AJ3336" s="133"/>
      <c r="AK3336" s="133"/>
      <c r="AL3336" s="133"/>
      <c r="AM3336" s="133"/>
      <c r="AN3336" s="133"/>
      <c r="AO3336" s="133"/>
      <c r="AP3336" s="133"/>
      <c r="AQ3336" s="133"/>
      <c r="AR3336" s="133"/>
      <c r="AS3336" s="153">
        <v>0</v>
      </c>
      <c r="AT3336" s="153">
        <v>0</v>
      </c>
      <c r="AU3336" s="153">
        <v>0</v>
      </c>
      <c r="AV3336" s="135"/>
      <c r="AW3336" s="135"/>
      <c r="AX3336" s="135"/>
      <c r="AY3336" s="135"/>
      <c r="AZ3336" s="135"/>
      <c r="BA3336" s="135"/>
      <c r="BB3336" s="135"/>
      <c r="BC3336" s="135"/>
      <c r="BD3336" s="135"/>
      <c r="BE3336" s="135"/>
      <c r="BF3336" s="135"/>
      <c r="BG3336" s="135"/>
      <c r="BH3336" s="135"/>
      <c r="BI3336" s="2"/>
      <c r="BJ3336" s="136"/>
      <c r="BK3336" s="2"/>
      <c r="BL3336" s="136"/>
      <c r="BM3336" s="136"/>
      <c r="BN3336" s="2"/>
      <c r="BO3336" s="2"/>
      <c r="BP3336" s="136"/>
      <c r="BQ3336" s="137"/>
    </row>
    <row r="3337" spans="1:69" ht="12.75" customHeight="1" x14ac:dyDescent="0.2">
      <c r="A3337" s="2">
        <v>4826</v>
      </c>
      <c r="B3337" s="2"/>
      <c r="C3337" s="2"/>
      <c r="D3337" s="2"/>
      <c r="E3337" s="2"/>
      <c r="F3337" s="132">
        <v>0</v>
      </c>
      <c r="G3337" s="132"/>
      <c r="H3337" s="132">
        <f t="shared" si="374"/>
        <v>0</v>
      </c>
      <c r="I3337" s="132"/>
      <c r="J3337" s="132">
        <f t="shared" si="372"/>
        <v>0</v>
      </c>
      <c r="K3337" s="132">
        <f t="shared" si="375"/>
        <v>0</v>
      </c>
      <c r="L3337" s="132">
        <f t="shared" si="369"/>
        <v>0</v>
      </c>
      <c r="M3337" s="133"/>
      <c r="N3337" s="133">
        <f t="shared" si="373"/>
        <v>0</v>
      </c>
      <c r="O3337" s="134"/>
      <c r="P3337" s="133"/>
      <c r="Q3337" s="2"/>
      <c r="R3337" s="156">
        <f t="shared" si="370"/>
        <v>0</v>
      </c>
      <c r="S3337" s="156">
        <f t="shared" si="371"/>
        <v>0</v>
      </c>
      <c r="T3337" s="133"/>
      <c r="U3337" s="133"/>
      <c r="V3337" s="133"/>
      <c r="W3337" s="133"/>
      <c r="X3337" s="133"/>
      <c r="Y3337" s="133"/>
      <c r="Z3337" s="133"/>
      <c r="AA3337" s="133"/>
      <c r="AB3337" s="133"/>
      <c r="AC3337" s="133"/>
      <c r="AD3337" s="133"/>
      <c r="AE3337" s="133"/>
      <c r="AF3337" s="133"/>
      <c r="AG3337" s="133"/>
      <c r="AH3337" s="133"/>
      <c r="AI3337" s="133"/>
      <c r="AJ3337" s="133"/>
      <c r="AK3337" s="133"/>
      <c r="AL3337" s="133"/>
      <c r="AM3337" s="133"/>
      <c r="AN3337" s="133"/>
      <c r="AO3337" s="133"/>
      <c r="AP3337" s="133"/>
      <c r="AQ3337" s="133"/>
      <c r="AR3337" s="133"/>
      <c r="AS3337" s="153">
        <v>0</v>
      </c>
      <c r="AT3337" s="153">
        <v>0</v>
      </c>
      <c r="AU3337" s="153">
        <v>0</v>
      </c>
      <c r="AV3337" s="135"/>
      <c r="AW3337" s="135"/>
      <c r="AX3337" s="135"/>
      <c r="AY3337" s="135"/>
      <c r="AZ3337" s="135"/>
      <c r="BA3337" s="135"/>
      <c r="BB3337" s="135"/>
      <c r="BC3337" s="135"/>
      <c r="BD3337" s="135"/>
      <c r="BE3337" s="135"/>
      <c r="BF3337" s="135"/>
      <c r="BG3337" s="135"/>
      <c r="BH3337" s="135"/>
      <c r="BI3337" s="2"/>
      <c r="BJ3337" s="136"/>
      <c r="BK3337" s="2"/>
      <c r="BL3337" s="136"/>
      <c r="BM3337" s="136"/>
      <c r="BN3337" s="2"/>
      <c r="BO3337" s="2"/>
      <c r="BP3337" s="136"/>
      <c r="BQ3337" s="137"/>
    </row>
    <row r="3338" spans="1:69" ht="12.75" customHeight="1" x14ac:dyDescent="0.2">
      <c r="A3338" s="2">
        <v>4827</v>
      </c>
      <c r="B3338" s="2"/>
      <c r="C3338" s="2"/>
      <c r="D3338" s="2"/>
      <c r="E3338" s="2"/>
      <c r="F3338" s="132">
        <v>0</v>
      </c>
      <c r="G3338" s="132"/>
      <c r="H3338" s="132">
        <f t="shared" si="374"/>
        <v>0</v>
      </c>
      <c r="I3338" s="132"/>
      <c r="J3338" s="132">
        <f t="shared" si="372"/>
        <v>0</v>
      </c>
      <c r="K3338" s="132">
        <f t="shared" si="375"/>
        <v>0</v>
      </c>
      <c r="L3338" s="132">
        <f t="shared" si="369"/>
        <v>0</v>
      </c>
      <c r="M3338" s="133"/>
      <c r="N3338" s="133">
        <f t="shared" si="373"/>
        <v>0</v>
      </c>
      <c r="O3338" s="134"/>
      <c r="P3338" s="133"/>
      <c r="Q3338" s="2"/>
      <c r="R3338" s="156">
        <f t="shared" si="370"/>
        <v>0</v>
      </c>
      <c r="S3338" s="156">
        <f t="shared" si="371"/>
        <v>0</v>
      </c>
      <c r="T3338" s="133"/>
      <c r="U3338" s="133"/>
      <c r="V3338" s="133"/>
      <c r="W3338" s="133"/>
      <c r="X3338" s="133"/>
      <c r="Y3338" s="133"/>
      <c r="Z3338" s="133"/>
      <c r="AA3338" s="133"/>
      <c r="AB3338" s="133"/>
      <c r="AC3338" s="133"/>
      <c r="AD3338" s="133"/>
      <c r="AE3338" s="133"/>
      <c r="AF3338" s="133"/>
      <c r="AG3338" s="133"/>
      <c r="AH3338" s="133"/>
      <c r="AI3338" s="133"/>
      <c r="AJ3338" s="133"/>
      <c r="AK3338" s="133"/>
      <c r="AL3338" s="133"/>
      <c r="AM3338" s="133"/>
      <c r="AN3338" s="133"/>
      <c r="AO3338" s="133"/>
      <c r="AP3338" s="133"/>
      <c r="AQ3338" s="133"/>
      <c r="AR3338" s="133"/>
      <c r="AS3338" s="153">
        <v>0</v>
      </c>
      <c r="AT3338" s="153">
        <v>0</v>
      </c>
      <c r="AU3338" s="153">
        <v>0</v>
      </c>
      <c r="AV3338" s="135"/>
      <c r="AW3338" s="135"/>
      <c r="AX3338" s="135"/>
      <c r="AY3338" s="135"/>
      <c r="AZ3338" s="135"/>
      <c r="BA3338" s="135"/>
      <c r="BB3338" s="135"/>
      <c r="BC3338" s="135"/>
      <c r="BD3338" s="135"/>
      <c r="BE3338" s="135"/>
      <c r="BF3338" s="135"/>
      <c r="BG3338" s="135"/>
      <c r="BH3338" s="135"/>
      <c r="BI3338" s="2"/>
      <c r="BJ3338" s="136"/>
      <c r="BK3338" s="2"/>
      <c r="BL3338" s="136"/>
      <c r="BM3338" s="136"/>
      <c r="BN3338" s="2"/>
      <c r="BO3338" s="2"/>
      <c r="BP3338" s="136"/>
      <c r="BQ3338" s="137"/>
    </row>
    <row r="3339" spans="1:69" ht="12.75" customHeight="1" x14ac:dyDescent="0.2">
      <c r="A3339" s="2">
        <v>4828</v>
      </c>
      <c r="B3339" s="2"/>
      <c r="C3339" s="2"/>
      <c r="D3339" s="2"/>
      <c r="E3339" s="2"/>
      <c r="F3339" s="132">
        <v>0</v>
      </c>
      <c r="G3339" s="132"/>
      <c r="H3339" s="132">
        <f t="shared" si="374"/>
        <v>0</v>
      </c>
      <c r="I3339" s="132"/>
      <c r="J3339" s="132">
        <f t="shared" si="372"/>
        <v>0</v>
      </c>
      <c r="K3339" s="132">
        <f t="shared" si="375"/>
        <v>0</v>
      </c>
      <c r="L3339" s="132">
        <f t="shared" ref="L3339:L3402" si="376">H3339-J3339</f>
        <v>0</v>
      </c>
      <c r="M3339" s="133"/>
      <c r="N3339" s="133">
        <f t="shared" si="373"/>
        <v>0</v>
      </c>
      <c r="O3339" s="134"/>
      <c r="P3339" s="133"/>
      <c r="Q3339" s="2"/>
      <c r="R3339" s="156">
        <f t="shared" ref="R3339:R3402" si="377">T3339+V3339+X3339+Z3339+AB3339+AD3339+AF3339+AH3339+AJ3339+AL3339+AN3339+AP3339</f>
        <v>0</v>
      </c>
      <c r="S3339" s="156">
        <f t="shared" ref="S3339:S3402" si="378">U3339+W3339+Y3339+AA3339+AC3339+AE3339+AG3339+AI3339+AK3339+AM3339+AO3339+AQ3339</f>
        <v>0</v>
      </c>
      <c r="T3339" s="133"/>
      <c r="U3339" s="133"/>
      <c r="V3339" s="133"/>
      <c r="W3339" s="133"/>
      <c r="X3339" s="133"/>
      <c r="Y3339" s="133"/>
      <c r="Z3339" s="133"/>
      <c r="AA3339" s="133"/>
      <c r="AB3339" s="133"/>
      <c r="AC3339" s="133"/>
      <c r="AD3339" s="133"/>
      <c r="AE3339" s="133"/>
      <c r="AF3339" s="133"/>
      <c r="AG3339" s="133"/>
      <c r="AH3339" s="133"/>
      <c r="AI3339" s="133"/>
      <c r="AJ3339" s="133"/>
      <c r="AK3339" s="133"/>
      <c r="AL3339" s="133"/>
      <c r="AM3339" s="133"/>
      <c r="AN3339" s="133"/>
      <c r="AO3339" s="133"/>
      <c r="AP3339" s="133"/>
      <c r="AQ3339" s="133"/>
      <c r="AR3339" s="133"/>
      <c r="AS3339" s="153">
        <v>0</v>
      </c>
      <c r="AT3339" s="153">
        <v>0</v>
      </c>
      <c r="AU3339" s="153">
        <v>0</v>
      </c>
      <c r="AV3339" s="135"/>
      <c r="AW3339" s="135"/>
      <c r="AX3339" s="135"/>
      <c r="AY3339" s="135"/>
      <c r="AZ3339" s="135"/>
      <c r="BA3339" s="135"/>
      <c r="BB3339" s="135"/>
      <c r="BC3339" s="135"/>
      <c r="BD3339" s="135"/>
      <c r="BE3339" s="135"/>
      <c r="BF3339" s="135"/>
      <c r="BG3339" s="135"/>
      <c r="BH3339" s="135"/>
      <c r="BI3339" s="2"/>
      <c r="BJ3339" s="136"/>
      <c r="BK3339" s="2"/>
      <c r="BL3339" s="136"/>
      <c r="BM3339" s="136"/>
      <c r="BN3339" s="2"/>
      <c r="BO3339" s="2"/>
      <c r="BP3339" s="136"/>
      <c r="BQ3339" s="137"/>
    </row>
    <row r="3340" spans="1:69" ht="12.75" customHeight="1" x14ac:dyDescent="0.2">
      <c r="A3340" s="2">
        <v>4829</v>
      </c>
      <c r="B3340" s="2"/>
      <c r="C3340" s="2"/>
      <c r="D3340" s="2"/>
      <c r="E3340" s="2"/>
      <c r="F3340" s="132">
        <v>0</v>
      </c>
      <c r="G3340" s="132"/>
      <c r="H3340" s="132">
        <f t="shared" si="374"/>
        <v>0</v>
      </c>
      <c r="I3340" s="132"/>
      <c r="J3340" s="132">
        <f t="shared" si="372"/>
        <v>0</v>
      </c>
      <c r="K3340" s="132">
        <f t="shared" si="375"/>
        <v>0</v>
      </c>
      <c r="L3340" s="132">
        <f t="shared" si="376"/>
        <v>0</v>
      </c>
      <c r="M3340" s="133"/>
      <c r="N3340" s="133">
        <f t="shared" si="373"/>
        <v>0</v>
      </c>
      <c r="O3340" s="134"/>
      <c r="P3340" s="133"/>
      <c r="Q3340" s="2"/>
      <c r="R3340" s="156">
        <f t="shared" si="377"/>
        <v>0</v>
      </c>
      <c r="S3340" s="156">
        <f t="shared" si="378"/>
        <v>0</v>
      </c>
      <c r="T3340" s="133"/>
      <c r="U3340" s="133"/>
      <c r="V3340" s="133"/>
      <c r="W3340" s="133"/>
      <c r="X3340" s="133"/>
      <c r="Y3340" s="133"/>
      <c r="Z3340" s="133"/>
      <c r="AA3340" s="133"/>
      <c r="AB3340" s="133"/>
      <c r="AC3340" s="133"/>
      <c r="AD3340" s="133"/>
      <c r="AE3340" s="133"/>
      <c r="AF3340" s="133"/>
      <c r="AG3340" s="133"/>
      <c r="AH3340" s="133"/>
      <c r="AI3340" s="133"/>
      <c r="AJ3340" s="133"/>
      <c r="AK3340" s="133"/>
      <c r="AL3340" s="133"/>
      <c r="AM3340" s="133"/>
      <c r="AN3340" s="133"/>
      <c r="AO3340" s="133"/>
      <c r="AP3340" s="133"/>
      <c r="AQ3340" s="133"/>
      <c r="AR3340" s="133"/>
      <c r="AS3340" s="153">
        <v>0</v>
      </c>
      <c r="AT3340" s="153">
        <v>0</v>
      </c>
      <c r="AU3340" s="153">
        <v>0</v>
      </c>
      <c r="AV3340" s="135"/>
      <c r="AW3340" s="135"/>
      <c r="AX3340" s="135"/>
      <c r="AY3340" s="135"/>
      <c r="AZ3340" s="135"/>
      <c r="BA3340" s="135"/>
      <c r="BB3340" s="135"/>
      <c r="BC3340" s="135"/>
      <c r="BD3340" s="135"/>
      <c r="BE3340" s="135"/>
      <c r="BF3340" s="135"/>
      <c r="BG3340" s="135"/>
      <c r="BH3340" s="135"/>
      <c r="BI3340" s="2"/>
      <c r="BJ3340" s="136"/>
      <c r="BK3340" s="2"/>
      <c r="BL3340" s="136"/>
      <c r="BM3340" s="136"/>
      <c r="BN3340" s="2"/>
      <c r="BO3340" s="2"/>
      <c r="BP3340" s="136"/>
      <c r="BQ3340" s="137"/>
    </row>
    <row r="3341" spans="1:69" ht="12.75" customHeight="1" x14ac:dyDescent="0.2">
      <c r="A3341" s="2">
        <v>4830</v>
      </c>
      <c r="B3341" s="2"/>
      <c r="C3341" s="2"/>
      <c r="D3341" s="2"/>
      <c r="E3341" s="2"/>
      <c r="F3341" s="132">
        <v>0</v>
      </c>
      <c r="G3341" s="132"/>
      <c r="H3341" s="132">
        <f t="shared" si="374"/>
        <v>0</v>
      </c>
      <c r="I3341" s="132"/>
      <c r="J3341" s="132">
        <f t="shared" si="372"/>
        <v>0</v>
      </c>
      <c r="K3341" s="132">
        <f t="shared" si="375"/>
        <v>0</v>
      </c>
      <c r="L3341" s="132">
        <f t="shared" si="376"/>
        <v>0</v>
      </c>
      <c r="M3341" s="133"/>
      <c r="N3341" s="133">
        <f t="shared" si="373"/>
        <v>0</v>
      </c>
      <c r="O3341" s="134"/>
      <c r="P3341" s="133"/>
      <c r="Q3341" s="2"/>
      <c r="R3341" s="156">
        <f t="shared" si="377"/>
        <v>0</v>
      </c>
      <c r="S3341" s="156">
        <f t="shared" si="378"/>
        <v>0</v>
      </c>
      <c r="T3341" s="133"/>
      <c r="U3341" s="133"/>
      <c r="V3341" s="133"/>
      <c r="W3341" s="133"/>
      <c r="X3341" s="133"/>
      <c r="Y3341" s="133"/>
      <c r="Z3341" s="133"/>
      <c r="AA3341" s="133"/>
      <c r="AB3341" s="133"/>
      <c r="AC3341" s="133"/>
      <c r="AD3341" s="133"/>
      <c r="AE3341" s="133"/>
      <c r="AF3341" s="133"/>
      <c r="AG3341" s="133"/>
      <c r="AH3341" s="133"/>
      <c r="AI3341" s="133"/>
      <c r="AJ3341" s="133"/>
      <c r="AK3341" s="133"/>
      <c r="AL3341" s="133"/>
      <c r="AM3341" s="133"/>
      <c r="AN3341" s="133"/>
      <c r="AO3341" s="133"/>
      <c r="AP3341" s="133"/>
      <c r="AQ3341" s="133"/>
      <c r="AR3341" s="133"/>
      <c r="AS3341" s="153">
        <v>0</v>
      </c>
      <c r="AT3341" s="153">
        <v>0</v>
      </c>
      <c r="AU3341" s="153">
        <v>0</v>
      </c>
      <c r="AV3341" s="135"/>
      <c r="AW3341" s="135"/>
      <c r="AX3341" s="135"/>
      <c r="AY3341" s="135"/>
      <c r="AZ3341" s="135"/>
      <c r="BA3341" s="135"/>
      <c r="BB3341" s="135"/>
      <c r="BC3341" s="135"/>
      <c r="BD3341" s="135"/>
      <c r="BE3341" s="135"/>
      <c r="BF3341" s="135"/>
      <c r="BG3341" s="135"/>
      <c r="BH3341" s="135"/>
      <c r="BI3341" s="2"/>
      <c r="BJ3341" s="136"/>
      <c r="BK3341" s="2"/>
      <c r="BL3341" s="136"/>
      <c r="BM3341" s="136"/>
      <c r="BN3341" s="2"/>
      <c r="BO3341" s="2"/>
      <c r="BP3341" s="136"/>
      <c r="BQ3341" s="137"/>
    </row>
    <row r="3342" spans="1:69" ht="12.75" customHeight="1" x14ac:dyDescent="0.2">
      <c r="A3342" s="2">
        <v>4831</v>
      </c>
      <c r="B3342" s="2"/>
      <c r="C3342" s="2"/>
      <c r="D3342" s="2"/>
      <c r="E3342" s="2"/>
      <c r="F3342" s="132">
        <v>0</v>
      </c>
      <c r="G3342" s="132"/>
      <c r="H3342" s="132">
        <f t="shared" si="374"/>
        <v>0</v>
      </c>
      <c r="I3342" s="132"/>
      <c r="J3342" s="132">
        <f t="shared" si="372"/>
        <v>0</v>
      </c>
      <c r="K3342" s="132">
        <f t="shared" si="375"/>
        <v>0</v>
      </c>
      <c r="L3342" s="132">
        <f t="shared" si="376"/>
        <v>0</v>
      </c>
      <c r="M3342" s="133"/>
      <c r="N3342" s="133">
        <f t="shared" si="373"/>
        <v>0</v>
      </c>
      <c r="O3342" s="134"/>
      <c r="P3342" s="133"/>
      <c r="Q3342" s="2"/>
      <c r="R3342" s="156">
        <f t="shared" si="377"/>
        <v>0</v>
      </c>
      <c r="S3342" s="156">
        <f t="shared" si="378"/>
        <v>0</v>
      </c>
      <c r="T3342" s="133"/>
      <c r="U3342" s="133"/>
      <c r="V3342" s="133"/>
      <c r="W3342" s="133"/>
      <c r="X3342" s="133"/>
      <c r="Y3342" s="133"/>
      <c r="Z3342" s="133"/>
      <c r="AA3342" s="133"/>
      <c r="AB3342" s="133"/>
      <c r="AC3342" s="133"/>
      <c r="AD3342" s="133"/>
      <c r="AE3342" s="133"/>
      <c r="AF3342" s="133"/>
      <c r="AG3342" s="133"/>
      <c r="AH3342" s="133"/>
      <c r="AI3342" s="133"/>
      <c r="AJ3342" s="133"/>
      <c r="AK3342" s="133"/>
      <c r="AL3342" s="133"/>
      <c r="AM3342" s="133"/>
      <c r="AN3342" s="133"/>
      <c r="AO3342" s="133"/>
      <c r="AP3342" s="133"/>
      <c r="AQ3342" s="133"/>
      <c r="AR3342" s="133"/>
      <c r="AS3342" s="153">
        <v>0</v>
      </c>
      <c r="AT3342" s="153">
        <v>0</v>
      </c>
      <c r="AU3342" s="153">
        <v>0</v>
      </c>
      <c r="AV3342" s="135"/>
      <c r="AW3342" s="135"/>
      <c r="AX3342" s="135"/>
      <c r="AY3342" s="135"/>
      <c r="AZ3342" s="135"/>
      <c r="BA3342" s="135"/>
      <c r="BB3342" s="135"/>
      <c r="BC3342" s="135"/>
      <c r="BD3342" s="135"/>
      <c r="BE3342" s="135"/>
      <c r="BF3342" s="135"/>
      <c r="BG3342" s="135"/>
      <c r="BH3342" s="135"/>
      <c r="BI3342" s="2"/>
      <c r="BJ3342" s="136"/>
      <c r="BK3342" s="2"/>
      <c r="BL3342" s="136"/>
      <c r="BM3342" s="136"/>
      <c r="BN3342" s="2"/>
      <c r="BO3342" s="2"/>
      <c r="BP3342" s="136"/>
      <c r="BQ3342" s="137"/>
    </row>
    <row r="3343" spans="1:69" ht="12.75" customHeight="1" x14ac:dyDescent="0.2">
      <c r="A3343" s="2">
        <v>4832</v>
      </c>
      <c r="B3343" s="2"/>
      <c r="C3343" s="2"/>
      <c r="D3343" s="2"/>
      <c r="E3343" s="2"/>
      <c r="F3343" s="132">
        <v>0</v>
      </c>
      <c r="G3343" s="132"/>
      <c r="H3343" s="132">
        <f t="shared" si="374"/>
        <v>0</v>
      </c>
      <c r="I3343" s="132"/>
      <c r="J3343" s="132">
        <f t="shared" si="372"/>
        <v>0</v>
      </c>
      <c r="K3343" s="132">
        <f t="shared" si="375"/>
        <v>0</v>
      </c>
      <c r="L3343" s="132">
        <f t="shared" si="376"/>
        <v>0</v>
      </c>
      <c r="M3343" s="133"/>
      <c r="N3343" s="133">
        <f t="shared" si="373"/>
        <v>0</v>
      </c>
      <c r="O3343" s="134"/>
      <c r="P3343" s="133"/>
      <c r="Q3343" s="2"/>
      <c r="R3343" s="156">
        <f t="shared" si="377"/>
        <v>0</v>
      </c>
      <c r="S3343" s="156">
        <f t="shared" si="378"/>
        <v>0</v>
      </c>
      <c r="T3343" s="133"/>
      <c r="U3343" s="133"/>
      <c r="V3343" s="133"/>
      <c r="W3343" s="133"/>
      <c r="X3343" s="133"/>
      <c r="Y3343" s="133"/>
      <c r="Z3343" s="133"/>
      <c r="AA3343" s="133"/>
      <c r="AB3343" s="133"/>
      <c r="AC3343" s="133"/>
      <c r="AD3343" s="133"/>
      <c r="AE3343" s="133"/>
      <c r="AF3343" s="133"/>
      <c r="AG3343" s="133"/>
      <c r="AH3343" s="133"/>
      <c r="AI3343" s="133"/>
      <c r="AJ3343" s="133"/>
      <c r="AK3343" s="133"/>
      <c r="AL3343" s="133"/>
      <c r="AM3343" s="133"/>
      <c r="AN3343" s="133"/>
      <c r="AO3343" s="133"/>
      <c r="AP3343" s="133"/>
      <c r="AQ3343" s="133"/>
      <c r="AR3343" s="133"/>
      <c r="AS3343" s="153">
        <v>0</v>
      </c>
      <c r="AT3343" s="153">
        <v>0</v>
      </c>
      <c r="AU3343" s="153">
        <v>0</v>
      </c>
      <c r="AV3343" s="135"/>
      <c r="AW3343" s="135"/>
      <c r="AX3343" s="135"/>
      <c r="AY3343" s="135"/>
      <c r="AZ3343" s="135"/>
      <c r="BA3343" s="135"/>
      <c r="BB3343" s="135"/>
      <c r="BC3343" s="135"/>
      <c r="BD3343" s="135"/>
      <c r="BE3343" s="135"/>
      <c r="BF3343" s="135"/>
      <c r="BG3343" s="135"/>
      <c r="BH3343" s="135"/>
      <c r="BI3343" s="2"/>
      <c r="BJ3343" s="136"/>
      <c r="BK3343" s="2"/>
      <c r="BL3343" s="136"/>
      <c r="BM3343" s="136"/>
      <c r="BN3343" s="2"/>
      <c r="BO3343" s="2"/>
      <c r="BP3343" s="136"/>
      <c r="BQ3343" s="137"/>
    </row>
    <row r="3344" spans="1:69" ht="12.75" customHeight="1" x14ac:dyDescent="0.2">
      <c r="A3344" s="2">
        <v>4833</v>
      </c>
      <c r="B3344" s="2"/>
      <c r="C3344" s="2"/>
      <c r="D3344" s="2"/>
      <c r="E3344" s="2"/>
      <c r="F3344" s="132">
        <v>0</v>
      </c>
      <c r="G3344" s="132"/>
      <c r="H3344" s="132">
        <f t="shared" si="374"/>
        <v>0</v>
      </c>
      <c r="I3344" s="132"/>
      <c r="J3344" s="132">
        <f t="shared" si="372"/>
        <v>0</v>
      </c>
      <c r="K3344" s="132">
        <f t="shared" si="375"/>
        <v>0</v>
      </c>
      <c r="L3344" s="132">
        <f t="shared" si="376"/>
        <v>0</v>
      </c>
      <c r="M3344" s="133"/>
      <c r="N3344" s="133">
        <f t="shared" si="373"/>
        <v>0</v>
      </c>
      <c r="O3344" s="134"/>
      <c r="P3344" s="133"/>
      <c r="Q3344" s="2"/>
      <c r="R3344" s="156">
        <f t="shared" si="377"/>
        <v>0</v>
      </c>
      <c r="S3344" s="156">
        <f t="shared" si="378"/>
        <v>0</v>
      </c>
      <c r="T3344" s="133"/>
      <c r="U3344" s="133"/>
      <c r="V3344" s="133"/>
      <c r="W3344" s="133"/>
      <c r="X3344" s="133"/>
      <c r="Y3344" s="133"/>
      <c r="Z3344" s="133"/>
      <c r="AA3344" s="133"/>
      <c r="AB3344" s="133"/>
      <c r="AC3344" s="133"/>
      <c r="AD3344" s="133"/>
      <c r="AE3344" s="133"/>
      <c r="AF3344" s="133"/>
      <c r="AG3344" s="133"/>
      <c r="AH3344" s="133"/>
      <c r="AI3344" s="133"/>
      <c r="AJ3344" s="133"/>
      <c r="AK3344" s="133"/>
      <c r="AL3344" s="133"/>
      <c r="AM3344" s="133"/>
      <c r="AN3344" s="133"/>
      <c r="AO3344" s="133"/>
      <c r="AP3344" s="133"/>
      <c r="AQ3344" s="133"/>
      <c r="AR3344" s="133"/>
      <c r="AS3344" s="153">
        <v>0</v>
      </c>
      <c r="AT3344" s="153">
        <v>0</v>
      </c>
      <c r="AU3344" s="153">
        <v>0</v>
      </c>
      <c r="AV3344" s="135"/>
      <c r="AW3344" s="135"/>
      <c r="AX3344" s="135"/>
      <c r="AY3344" s="135"/>
      <c r="AZ3344" s="135"/>
      <c r="BA3344" s="135"/>
      <c r="BB3344" s="135"/>
      <c r="BC3344" s="135"/>
      <c r="BD3344" s="135"/>
      <c r="BE3344" s="135"/>
      <c r="BF3344" s="135"/>
      <c r="BG3344" s="135"/>
      <c r="BH3344" s="135"/>
      <c r="BI3344" s="2"/>
      <c r="BJ3344" s="136"/>
      <c r="BK3344" s="2"/>
      <c r="BL3344" s="136"/>
      <c r="BM3344" s="136"/>
      <c r="BN3344" s="2"/>
      <c r="BO3344" s="2"/>
      <c r="BP3344" s="136"/>
      <c r="BQ3344" s="137"/>
    </row>
    <row r="3345" spans="1:69" ht="12.75" customHeight="1" x14ac:dyDescent="0.2">
      <c r="A3345" s="2">
        <v>4834</v>
      </c>
      <c r="B3345" s="2"/>
      <c r="C3345" s="2"/>
      <c r="D3345" s="2"/>
      <c r="E3345" s="2"/>
      <c r="F3345" s="132">
        <v>0</v>
      </c>
      <c r="G3345" s="132"/>
      <c r="H3345" s="132">
        <f t="shared" si="374"/>
        <v>0</v>
      </c>
      <c r="I3345" s="132"/>
      <c r="J3345" s="132">
        <f t="shared" si="372"/>
        <v>0</v>
      </c>
      <c r="K3345" s="132">
        <f t="shared" si="375"/>
        <v>0</v>
      </c>
      <c r="L3345" s="132">
        <f t="shared" si="376"/>
        <v>0</v>
      </c>
      <c r="M3345" s="133"/>
      <c r="N3345" s="133">
        <f t="shared" si="373"/>
        <v>0</v>
      </c>
      <c r="O3345" s="134"/>
      <c r="P3345" s="133"/>
      <c r="Q3345" s="2"/>
      <c r="R3345" s="156">
        <f t="shared" si="377"/>
        <v>0</v>
      </c>
      <c r="S3345" s="156">
        <f t="shared" si="378"/>
        <v>0</v>
      </c>
      <c r="T3345" s="133"/>
      <c r="U3345" s="133"/>
      <c r="V3345" s="133"/>
      <c r="W3345" s="133"/>
      <c r="X3345" s="133"/>
      <c r="Y3345" s="133"/>
      <c r="Z3345" s="133"/>
      <c r="AA3345" s="133"/>
      <c r="AB3345" s="133"/>
      <c r="AC3345" s="133"/>
      <c r="AD3345" s="133"/>
      <c r="AE3345" s="133"/>
      <c r="AF3345" s="133"/>
      <c r="AG3345" s="133"/>
      <c r="AH3345" s="133"/>
      <c r="AI3345" s="133"/>
      <c r="AJ3345" s="133"/>
      <c r="AK3345" s="133"/>
      <c r="AL3345" s="133"/>
      <c r="AM3345" s="133"/>
      <c r="AN3345" s="133"/>
      <c r="AO3345" s="133"/>
      <c r="AP3345" s="133"/>
      <c r="AQ3345" s="133"/>
      <c r="AR3345" s="133"/>
      <c r="AS3345" s="153">
        <v>0</v>
      </c>
      <c r="AT3345" s="153">
        <v>0</v>
      </c>
      <c r="AU3345" s="153">
        <v>0</v>
      </c>
      <c r="AV3345" s="135"/>
      <c r="AW3345" s="135"/>
      <c r="AX3345" s="135"/>
      <c r="AY3345" s="135"/>
      <c r="AZ3345" s="135"/>
      <c r="BA3345" s="135"/>
      <c r="BB3345" s="135"/>
      <c r="BC3345" s="135"/>
      <c r="BD3345" s="135"/>
      <c r="BE3345" s="135"/>
      <c r="BF3345" s="135"/>
      <c r="BG3345" s="135"/>
      <c r="BH3345" s="135"/>
      <c r="BI3345" s="2"/>
      <c r="BJ3345" s="136"/>
      <c r="BK3345" s="2"/>
      <c r="BL3345" s="136"/>
      <c r="BM3345" s="136"/>
      <c r="BN3345" s="2"/>
      <c r="BO3345" s="2"/>
      <c r="BP3345" s="136"/>
      <c r="BQ3345" s="137"/>
    </row>
    <row r="3346" spans="1:69" ht="12.75" customHeight="1" x14ac:dyDescent="0.2">
      <c r="A3346" s="2">
        <v>4835</v>
      </c>
      <c r="B3346" s="2"/>
      <c r="C3346" s="2"/>
      <c r="D3346" s="2"/>
      <c r="E3346" s="2"/>
      <c r="F3346" s="132">
        <v>0</v>
      </c>
      <c r="G3346" s="132"/>
      <c r="H3346" s="132">
        <f t="shared" si="374"/>
        <v>0</v>
      </c>
      <c r="I3346" s="132"/>
      <c r="J3346" s="132">
        <f t="shared" si="372"/>
        <v>0</v>
      </c>
      <c r="K3346" s="132">
        <f t="shared" si="375"/>
        <v>0</v>
      </c>
      <c r="L3346" s="132">
        <f t="shared" si="376"/>
        <v>0</v>
      </c>
      <c r="M3346" s="133"/>
      <c r="N3346" s="133">
        <f t="shared" si="373"/>
        <v>0</v>
      </c>
      <c r="O3346" s="134"/>
      <c r="P3346" s="133"/>
      <c r="Q3346" s="2"/>
      <c r="R3346" s="156">
        <f t="shared" si="377"/>
        <v>0</v>
      </c>
      <c r="S3346" s="156">
        <f t="shared" si="378"/>
        <v>0</v>
      </c>
      <c r="T3346" s="133"/>
      <c r="U3346" s="133"/>
      <c r="V3346" s="133"/>
      <c r="W3346" s="133"/>
      <c r="X3346" s="133"/>
      <c r="Y3346" s="133"/>
      <c r="Z3346" s="133"/>
      <c r="AA3346" s="133"/>
      <c r="AB3346" s="133"/>
      <c r="AC3346" s="133"/>
      <c r="AD3346" s="133"/>
      <c r="AE3346" s="133"/>
      <c r="AF3346" s="133"/>
      <c r="AG3346" s="133"/>
      <c r="AH3346" s="133"/>
      <c r="AI3346" s="133"/>
      <c r="AJ3346" s="133"/>
      <c r="AK3346" s="133"/>
      <c r="AL3346" s="133"/>
      <c r="AM3346" s="133"/>
      <c r="AN3346" s="133"/>
      <c r="AO3346" s="133"/>
      <c r="AP3346" s="133"/>
      <c r="AQ3346" s="133"/>
      <c r="AR3346" s="133"/>
      <c r="AS3346" s="153">
        <v>0</v>
      </c>
      <c r="AT3346" s="153">
        <v>0</v>
      </c>
      <c r="AU3346" s="153">
        <v>0</v>
      </c>
      <c r="AV3346" s="135"/>
      <c r="AW3346" s="135"/>
      <c r="AX3346" s="135"/>
      <c r="AY3346" s="135"/>
      <c r="AZ3346" s="135"/>
      <c r="BA3346" s="135"/>
      <c r="BB3346" s="135"/>
      <c r="BC3346" s="135"/>
      <c r="BD3346" s="135"/>
      <c r="BE3346" s="135"/>
      <c r="BF3346" s="135"/>
      <c r="BG3346" s="135"/>
      <c r="BH3346" s="135"/>
      <c r="BI3346" s="2"/>
      <c r="BJ3346" s="136"/>
      <c r="BK3346" s="2"/>
      <c r="BL3346" s="136"/>
      <c r="BM3346" s="136"/>
      <c r="BN3346" s="2"/>
      <c r="BO3346" s="2"/>
      <c r="BP3346" s="136"/>
      <c r="BQ3346" s="137"/>
    </row>
    <row r="3347" spans="1:69" ht="12.75" customHeight="1" x14ac:dyDescent="0.2">
      <c r="A3347" s="2">
        <v>4836</v>
      </c>
      <c r="B3347" s="2"/>
      <c r="C3347" s="2"/>
      <c r="D3347" s="2"/>
      <c r="E3347" s="2"/>
      <c r="F3347" s="132">
        <v>0</v>
      </c>
      <c r="G3347" s="132"/>
      <c r="H3347" s="132">
        <f t="shared" si="374"/>
        <v>0</v>
      </c>
      <c r="I3347" s="132"/>
      <c r="J3347" s="132">
        <f t="shared" si="372"/>
        <v>0</v>
      </c>
      <c r="K3347" s="132">
        <f t="shared" si="375"/>
        <v>0</v>
      </c>
      <c r="L3347" s="132">
        <f t="shared" si="376"/>
        <v>0</v>
      </c>
      <c r="M3347" s="133"/>
      <c r="N3347" s="133">
        <f t="shared" si="373"/>
        <v>0</v>
      </c>
      <c r="O3347" s="134"/>
      <c r="P3347" s="133"/>
      <c r="Q3347" s="2"/>
      <c r="R3347" s="156">
        <f t="shared" si="377"/>
        <v>0</v>
      </c>
      <c r="S3347" s="156">
        <f t="shared" si="378"/>
        <v>0</v>
      </c>
      <c r="T3347" s="133"/>
      <c r="U3347" s="133"/>
      <c r="V3347" s="133"/>
      <c r="W3347" s="133"/>
      <c r="X3347" s="133"/>
      <c r="Y3347" s="133"/>
      <c r="Z3347" s="133"/>
      <c r="AA3347" s="133"/>
      <c r="AB3347" s="133"/>
      <c r="AC3347" s="133"/>
      <c r="AD3347" s="133"/>
      <c r="AE3347" s="133"/>
      <c r="AF3347" s="133"/>
      <c r="AG3347" s="133"/>
      <c r="AH3347" s="133"/>
      <c r="AI3347" s="133"/>
      <c r="AJ3347" s="133"/>
      <c r="AK3347" s="133"/>
      <c r="AL3347" s="133"/>
      <c r="AM3347" s="133"/>
      <c r="AN3347" s="133"/>
      <c r="AO3347" s="133"/>
      <c r="AP3347" s="133"/>
      <c r="AQ3347" s="133"/>
      <c r="AR3347" s="133"/>
      <c r="AS3347" s="153">
        <v>0</v>
      </c>
      <c r="AT3347" s="153">
        <v>0</v>
      </c>
      <c r="AU3347" s="153">
        <v>0</v>
      </c>
      <c r="AV3347" s="135"/>
      <c r="AW3347" s="135"/>
      <c r="AX3347" s="135"/>
      <c r="AY3347" s="135"/>
      <c r="AZ3347" s="135"/>
      <c r="BA3347" s="135"/>
      <c r="BB3347" s="135"/>
      <c r="BC3347" s="135"/>
      <c r="BD3347" s="135"/>
      <c r="BE3347" s="135"/>
      <c r="BF3347" s="135"/>
      <c r="BG3347" s="135"/>
      <c r="BH3347" s="135"/>
      <c r="BI3347" s="2"/>
      <c r="BJ3347" s="136"/>
      <c r="BK3347" s="2"/>
      <c r="BL3347" s="136"/>
      <c r="BM3347" s="136"/>
      <c r="BN3347" s="2"/>
      <c r="BO3347" s="2"/>
      <c r="BP3347" s="136"/>
      <c r="BQ3347" s="137"/>
    </row>
    <row r="3348" spans="1:69" ht="12.75" customHeight="1" x14ac:dyDescent="0.2">
      <c r="A3348" s="2">
        <v>4837</v>
      </c>
      <c r="B3348" s="2"/>
      <c r="C3348" s="2"/>
      <c r="D3348" s="2"/>
      <c r="E3348" s="2"/>
      <c r="F3348" s="132">
        <v>0</v>
      </c>
      <c r="G3348" s="132"/>
      <c r="H3348" s="132">
        <f t="shared" si="374"/>
        <v>0</v>
      </c>
      <c r="I3348" s="132"/>
      <c r="J3348" s="132">
        <f t="shared" si="372"/>
        <v>0</v>
      </c>
      <c r="K3348" s="132">
        <f t="shared" si="375"/>
        <v>0</v>
      </c>
      <c r="L3348" s="132">
        <f t="shared" si="376"/>
        <v>0</v>
      </c>
      <c r="M3348" s="133"/>
      <c r="N3348" s="133">
        <f t="shared" si="373"/>
        <v>0</v>
      </c>
      <c r="O3348" s="134"/>
      <c r="P3348" s="133"/>
      <c r="Q3348" s="2"/>
      <c r="R3348" s="156">
        <f t="shared" si="377"/>
        <v>0</v>
      </c>
      <c r="S3348" s="156">
        <f t="shared" si="378"/>
        <v>0</v>
      </c>
      <c r="T3348" s="133"/>
      <c r="U3348" s="133"/>
      <c r="V3348" s="133"/>
      <c r="W3348" s="133"/>
      <c r="X3348" s="133"/>
      <c r="Y3348" s="133"/>
      <c r="Z3348" s="133"/>
      <c r="AA3348" s="133"/>
      <c r="AB3348" s="133"/>
      <c r="AC3348" s="133"/>
      <c r="AD3348" s="133"/>
      <c r="AE3348" s="133"/>
      <c r="AF3348" s="133"/>
      <c r="AG3348" s="133"/>
      <c r="AH3348" s="133"/>
      <c r="AI3348" s="133"/>
      <c r="AJ3348" s="133"/>
      <c r="AK3348" s="133"/>
      <c r="AL3348" s="133"/>
      <c r="AM3348" s="133"/>
      <c r="AN3348" s="133"/>
      <c r="AO3348" s="133"/>
      <c r="AP3348" s="133"/>
      <c r="AQ3348" s="133"/>
      <c r="AR3348" s="133"/>
      <c r="AS3348" s="153">
        <v>0</v>
      </c>
      <c r="AT3348" s="153">
        <v>0</v>
      </c>
      <c r="AU3348" s="153">
        <v>0</v>
      </c>
      <c r="AV3348" s="135"/>
      <c r="AW3348" s="135"/>
      <c r="AX3348" s="135"/>
      <c r="AY3348" s="135"/>
      <c r="AZ3348" s="135"/>
      <c r="BA3348" s="135"/>
      <c r="BB3348" s="135"/>
      <c r="BC3348" s="135"/>
      <c r="BD3348" s="135"/>
      <c r="BE3348" s="135"/>
      <c r="BF3348" s="135"/>
      <c r="BG3348" s="135"/>
      <c r="BH3348" s="135"/>
      <c r="BI3348" s="2"/>
      <c r="BJ3348" s="136"/>
      <c r="BK3348" s="2"/>
      <c r="BL3348" s="136"/>
      <c r="BM3348" s="136"/>
      <c r="BN3348" s="2"/>
      <c r="BO3348" s="2"/>
      <c r="BP3348" s="136"/>
      <c r="BQ3348" s="137"/>
    </row>
    <row r="3349" spans="1:69" ht="12.75" customHeight="1" x14ac:dyDescent="0.2">
      <c r="A3349" s="2">
        <v>4838</v>
      </c>
      <c r="B3349" s="2"/>
      <c r="C3349" s="2"/>
      <c r="D3349" s="2"/>
      <c r="E3349" s="2"/>
      <c r="F3349" s="132">
        <v>0</v>
      </c>
      <c r="G3349" s="132"/>
      <c r="H3349" s="132">
        <f t="shared" si="374"/>
        <v>0</v>
      </c>
      <c r="I3349" s="132"/>
      <c r="J3349" s="132">
        <f t="shared" si="372"/>
        <v>0</v>
      </c>
      <c r="K3349" s="132">
        <f t="shared" si="375"/>
        <v>0</v>
      </c>
      <c r="L3349" s="132">
        <f t="shared" si="376"/>
        <v>0</v>
      </c>
      <c r="M3349" s="133"/>
      <c r="N3349" s="133">
        <f t="shared" si="373"/>
        <v>0</v>
      </c>
      <c r="O3349" s="134"/>
      <c r="P3349" s="133"/>
      <c r="Q3349" s="2"/>
      <c r="R3349" s="156">
        <f t="shared" si="377"/>
        <v>0</v>
      </c>
      <c r="S3349" s="156">
        <f t="shared" si="378"/>
        <v>0</v>
      </c>
      <c r="T3349" s="133"/>
      <c r="U3349" s="133"/>
      <c r="V3349" s="133"/>
      <c r="W3349" s="133"/>
      <c r="X3349" s="133"/>
      <c r="Y3349" s="133"/>
      <c r="Z3349" s="133"/>
      <c r="AA3349" s="133"/>
      <c r="AB3349" s="133"/>
      <c r="AC3349" s="133"/>
      <c r="AD3349" s="133"/>
      <c r="AE3349" s="133"/>
      <c r="AF3349" s="133"/>
      <c r="AG3349" s="133"/>
      <c r="AH3349" s="133"/>
      <c r="AI3349" s="133"/>
      <c r="AJ3349" s="133"/>
      <c r="AK3349" s="133"/>
      <c r="AL3349" s="133"/>
      <c r="AM3349" s="133"/>
      <c r="AN3349" s="133"/>
      <c r="AO3349" s="133"/>
      <c r="AP3349" s="133"/>
      <c r="AQ3349" s="133"/>
      <c r="AR3349" s="133"/>
      <c r="AS3349" s="153">
        <v>0</v>
      </c>
      <c r="AT3349" s="153">
        <v>0</v>
      </c>
      <c r="AU3349" s="153">
        <v>0</v>
      </c>
      <c r="AV3349" s="135"/>
      <c r="AW3349" s="135"/>
      <c r="AX3349" s="135"/>
      <c r="AY3349" s="135"/>
      <c r="AZ3349" s="135"/>
      <c r="BA3349" s="135"/>
      <c r="BB3349" s="135"/>
      <c r="BC3349" s="135"/>
      <c r="BD3349" s="135"/>
      <c r="BE3349" s="135"/>
      <c r="BF3349" s="135"/>
      <c r="BG3349" s="135"/>
      <c r="BH3349" s="135"/>
      <c r="BI3349" s="2"/>
      <c r="BJ3349" s="136"/>
      <c r="BK3349" s="2"/>
      <c r="BL3349" s="136"/>
      <c r="BM3349" s="136"/>
      <c r="BN3349" s="2"/>
      <c r="BO3349" s="2"/>
      <c r="BP3349" s="136"/>
      <c r="BQ3349" s="137"/>
    </row>
    <row r="3350" spans="1:69" ht="12.75" customHeight="1" x14ac:dyDescent="0.2">
      <c r="A3350" s="2">
        <v>4839</v>
      </c>
      <c r="B3350" s="2"/>
      <c r="C3350" s="2"/>
      <c r="D3350" s="2"/>
      <c r="E3350" s="2"/>
      <c r="F3350" s="132">
        <v>0</v>
      </c>
      <c r="G3350" s="132"/>
      <c r="H3350" s="132">
        <f t="shared" si="374"/>
        <v>0</v>
      </c>
      <c r="I3350" s="132"/>
      <c r="J3350" s="132">
        <f t="shared" si="372"/>
        <v>0</v>
      </c>
      <c r="K3350" s="132">
        <f t="shared" si="375"/>
        <v>0</v>
      </c>
      <c r="L3350" s="132">
        <f t="shared" si="376"/>
        <v>0</v>
      </c>
      <c r="M3350" s="133"/>
      <c r="N3350" s="133">
        <f t="shared" si="373"/>
        <v>0</v>
      </c>
      <c r="O3350" s="134"/>
      <c r="P3350" s="133"/>
      <c r="Q3350" s="2"/>
      <c r="R3350" s="156">
        <f t="shared" si="377"/>
        <v>0</v>
      </c>
      <c r="S3350" s="156">
        <f t="shared" si="378"/>
        <v>0</v>
      </c>
      <c r="T3350" s="133"/>
      <c r="U3350" s="133"/>
      <c r="V3350" s="133"/>
      <c r="W3350" s="133"/>
      <c r="X3350" s="133"/>
      <c r="Y3350" s="133"/>
      <c r="Z3350" s="133"/>
      <c r="AA3350" s="133"/>
      <c r="AB3350" s="133"/>
      <c r="AC3350" s="133"/>
      <c r="AD3350" s="133"/>
      <c r="AE3350" s="133"/>
      <c r="AF3350" s="133"/>
      <c r="AG3350" s="133"/>
      <c r="AH3350" s="133"/>
      <c r="AI3350" s="133"/>
      <c r="AJ3350" s="133"/>
      <c r="AK3350" s="133"/>
      <c r="AL3350" s="133"/>
      <c r="AM3350" s="133"/>
      <c r="AN3350" s="133"/>
      <c r="AO3350" s="133"/>
      <c r="AP3350" s="133"/>
      <c r="AQ3350" s="133"/>
      <c r="AR3350" s="133"/>
      <c r="AS3350" s="153">
        <v>0</v>
      </c>
      <c r="AT3350" s="153">
        <v>0</v>
      </c>
      <c r="AU3350" s="153">
        <v>0</v>
      </c>
      <c r="AV3350" s="135"/>
      <c r="AW3350" s="135"/>
      <c r="AX3350" s="135"/>
      <c r="AY3350" s="135"/>
      <c r="AZ3350" s="135"/>
      <c r="BA3350" s="135"/>
      <c r="BB3350" s="135"/>
      <c r="BC3350" s="135"/>
      <c r="BD3350" s="135"/>
      <c r="BE3350" s="135"/>
      <c r="BF3350" s="135"/>
      <c r="BG3350" s="135"/>
      <c r="BH3350" s="135"/>
      <c r="BI3350" s="2"/>
      <c r="BJ3350" s="136"/>
      <c r="BK3350" s="2"/>
      <c r="BL3350" s="136"/>
      <c r="BM3350" s="136"/>
      <c r="BN3350" s="2"/>
      <c r="BO3350" s="2"/>
      <c r="BP3350" s="136"/>
      <c r="BQ3350" s="137"/>
    </row>
    <row r="3351" spans="1:69" ht="12.75" customHeight="1" x14ac:dyDescent="0.2">
      <c r="A3351" s="2">
        <v>4840</v>
      </c>
      <c r="B3351" s="2"/>
      <c r="C3351" s="2"/>
      <c r="D3351" s="2"/>
      <c r="E3351" s="2"/>
      <c r="F3351" s="132">
        <v>0</v>
      </c>
      <c r="G3351" s="132"/>
      <c r="H3351" s="132">
        <f t="shared" si="374"/>
        <v>0</v>
      </c>
      <c r="I3351" s="132"/>
      <c r="J3351" s="132">
        <f t="shared" si="372"/>
        <v>0</v>
      </c>
      <c r="K3351" s="132">
        <f t="shared" si="375"/>
        <v>0</v>
      </c>
      <c r="L3351" s="132">
        <f t="shared" si="376"/>
        <v>0</v>
      </c>
      <c r="M3351" s="133"/>
      <c r="N3351" s="133">
        <f t="shared" si="373"/>
        <v>0</v>
      </c>
      <c r="O3351" s="134"/>
      <c r="P3351" s="133"/>
      <c r="Q3351" s="2"/>
      <c r="R3351" s="156">
        <f t="shared" si="377"/>
        <v>0</v>
      </c>
      <c r="S3351" s="156">
        <f t="shared" si="378"/>
        <v>0</v>
      </c>
      <c r="T3351" s="133"/>
      <c r="U3351" s="133"/>
      <c r="V3351" s="133"/>
      <c r="W3351" s="133"/>
      <c r="X3351" s="133"/>
      <c r="Y3351" s="133"/>
      <c r="Z3351" s="133"/>
      <c r="AA3351" s="133"/>
      <c r="AB3351" s="133"/>
      <c r="AC3351" s="133"/>
      <c r="AD3351" s="133"/>
      <c r="AE3351" s="133"/>
      <c r="AF3351" s="133"/>
      <c r="AG3351" s="133"/>
      <c r="AH3351" s="133"/>
      <c r="AI3351" s="133"/>
      <c r="AJ3351" s="133"/>
      <c r="AK3351" s="133"/>
      <c r="AL3351" s="133"/>
      <c r="AM3351" s="133"/>
      <c r="AN3351" s="133"/>
      <c r="AO3351" s="133"/>
      <c r="AP3351" s="133"/>
      <c r="AQ3351" s="133"/>
      <c r="AR3351" s="133"/>
      <c r="AS3351" s="153">
        <v>0</v>
      </c>
      <c r="AT3351" s="153">
        <v>0</v>
      </c>
      <c r="AU3351" s="153">
        <v>0</v>
      </c>
      <c r="AV3351" s="135"/>
      <c r="AW3351" s="135"/>
      <c r="AX3351" s="135"/>
      <c r="AY3351" s="135"/>
      <c r="AZ3351" s="135"/>
      <c r="BA3351" s="135"/>
      <c r="BB3351" s="135"/>
      <c r="BC3351" s="135"/>
      <c r="BD3351" s="135"/>
      <c r="BE3351" s="135"/>
      <c r="BF3351" s="135"/>
      <c r="BG3351" s="135"/>
      <c r="BH3351" s="135"/>
      <c r="BI3351" s="2"/>
      <c r="BJ3351" s="136"/>
      <c r="BK3351" s="2"/>
      <c r="BL3351" s="136"/>
      <c r="BM3351" s="136"/>
      <c r="BN3351" s="2"/>
      <c r="BO3351" s="2"/>
      <c r="BP3351" s="136"/>
      <c r="BQ3351" s="137"/>
    </row>
    <row r="3352" spans="1:69" ht="12.75" customHeight="1" x14ac:dyDescent="0.2">
      <c r="A3352" s="2">
        <v>4841</v>
      </c>
      <c r="B3352" s="2"/>
      <c r="C3352" s="2"/>
      <c r="D3352" s="2"/>
      <c r="E3352" s="2"/>
      <c r="F3352" s="132">
        <v>0</v>
      </c>
      <c r="G3352" s="132"/>
      <c r="H3352" s="132">
        <f t="shared" si="374"/>
        <v>0</v>
      </c>
      <c r="I3352" s="132"/>
      <c r="J3352" s="132">
        <f t="shared" si="372"/>
        <v>0</v>
      </c>
      <c r="K3352" s="132">
        <f t="shared" si="375"/>
        <v>0</v>
      </c>
      <c r="L3352" s="132">
        <f t="shared" si="376"/>
        <v>0</v>
      </c>
      <c r="M3352" s="133"/>
      <c r="N3352" s="133">
        <f t="shared" si="373"/>
        <v>0</v>
      </c>
      <c r="O3352" s="134"/>
      <c r="P3352" s="133"/>
      <c r="Q3352" s="2"/>
      <c r="R3352" s="156">
        <f t="shared" si="377"/>
        <v>0</v>
      </c>
      <c r="S3352" s="156">
        <f t="shared" si="378"/>
        <v>0</v>
      </c>
      <c r="T3352" s="133"/>
      <c r="U3352" s="133"/>
      <c r="V3352" s="133"/>
      <c r="W3352" s="133"/>
      <c r="X3352" s="133"/>
      <c r="Y3352" s="133"/>
      <c r="Z3352" s="133"/>
      <c r="AA3352" s="133"/>
      <c r="AB3352" s="133"/>
      <c r="AC3352" s="133"/>
      <c r="AD3352" s="133"/>
      <c r="AE3352" s="133"/>
      <c r="AF3352" s="133"/>
      <c r="AG3352" s="133"/>
      <c r="AH3352" s="133"/>
      <c r="AI3352" s="133"/>
      <c r="AJ3352" s="133"/>
      <c r="AK3352" s="133"/>
      <c r="AL3352" s="133"/>
      <c r="AM3352" s="133"/>
      <c r="AN3352" s="133"/>
      <c r="AO3352" s="133"/>
      <c r="AP3352" s="133"/>
      <c r="AQ3352" s="133"/>
      <c r="AR3352" s="133"/>
      <c r="AS3352" s="153">
        <v>0</v>
      </c>
      <c r="AT3352" s="153">
        <v>0</v>
      </c>
      <c r="AU3352" s="153">
        <v>0</v>
      </c>
      <c r="AV3352" s="135"/>
      <c r="AW3352" s="135"/>
      <c r="AX3352" s="135"/>
      <c r="AY3352" s="135"/>
      <c r="AZ3352" s="135"/>
      <c r="BA3352" s="135"/>
      <c r="BB3352" s="135"/>
      <c r="BC3352" s="135"/>
      <c r="BD3352" s="135"/>
      <c r="BE3352" s="135"/>
      <c r="BF3352" s="135"/>
      <c r="BG3352" s="135"/>
      <c r="BH3352" s="135"/>
      <c r="BI3352" s="2"/>
      <c r="BJ3352" s="136"/>
      <c r="BK3352" s="2"/>
      <c r="BL3352" s="136"/>
      <c r="BM3352" s="136"/>
      <c r="BN3352" s="2"/>
      <c r="BO3352" s="2"/>
      <c r="BP3352" s="136"/>
      <c r="BQ3352" s="137"/>
    </row>
    <row r="3353" spans="1:69" ht="12.75" customHeight="1" x14ac:dyDescent="0.2">
      <c r="A3353" s="2">
        <v>4842</v>
      </c>
      <c r="B3353" s="2"/>
      <c r="C3353" s="2"/>
      <c r="D3353" s="2"/>
      <c r="E3353" s="2"/>
      <c r="F3353" s="132">
        <v>0</v>
      </c>
      <c r="G3353" s="132"/>
      <c r="H3353" s="132">
        <f t="shared" si="374"/>
        <v>0</v>
      </c>
      <c r="I3353" s="132"/>
      <c r="J3353" s="132">
        <f t="shared" si="372"/>
        <v>0</v>
      </c>
      <c r="K3353" s="132">
        <f t="shared" si="375"/>
        <v>0</v>
      </c>
      <c r="L3353" s="132">
        <f t="shared" si="376"/>
        <v>0</v>
      </c>
      <c r="M3353" s="133"/>
      <c r="N3353" s="133">
        <f t="shared" si="373"/>
        <v>0</v>
      </c>
      <c r="O3353" s="134"/>
      <c r="P3353" s="133"/>
      <c r="Q3353" s="2"/>
      <c r="R3353" s="156">
        <f t="shared" si="377"/>
        <v>0</v>
      </c>
      <c r="S3353" s="156">
        <f t="shared" si="378"/>
        <v>0</v>
      </c>
      <c r="T3353" s="133"/>
      <c r="U3353" s="133"/>
      <c r="V3353" s="133"/>
      <c r="W3353" s="133"/>
      <c r="X3353" s="133"/>
      <c r="Y3353" s="133"/>
      <c r="Z3353" s="133"/>
      <c r="AA3353" s="133"/>
      <c r="AB3353" s="133"/>
      <c r="AC3353" s="133"/>
      <c r="AD3353" s="133"/>
      <c r="AE3353" s="133"/>
      <c r="AF3353" s="133"/>
      <c r="AG3353" s="133"/>
      <c r="AH3353" s="133"/>
      <c r="AI3353" s="133"/>
      <c r="AJ3353" s="133"/>
      <c r="AK3353" s="133"/>
      <c r="AL3353" s="133"/>
      <c r="AM3353" s="133"/>
      <c r="AN3353" s="133"/>
      <c r="AO3353" s="133"/>
      <c r="AP3353" s="133"/>
      <c r="AQ3353" s="133"/>
      <c r="AR3353" s="133"/>
      <c r="AS3353" s="153">
        <v>0</v>
      </c>
      <c r="AT3353" s="153">
        <v>0</v>
      </c>
      <c r="AU3353" s="153">
        <v>0</v>
      </c>
      <c r="AV3353" s="135"/>
      <c r="AW3353" s="135"/>
      <c r="AX3353" s="135"/>
      <c r="AY3353" s="135"/>
      <c r="AZ3353" s="135"/>
      <c r="BA3353" s="135"/>
      <c r="BB3353" s="135"/>
      <c r="BC3353" s="135"/>
      <c r="BD3353" s="135"/>
      <c r="BE3353" s="135"/>
      <c r="BF3353" s="135"/>
      <c r="BG3353" s="135"/>
      <c r="BH3353" s="135"/>
      <c r="BI3353" s="2"/>
      <c r="BJ3353" s="136"/>
      <c r="BK3353" s="2"/>
      <c r="BL3353" s="136"/>
      <c r="BM3353" s="136"/>
      <c r="BN3353" s="2"/>
      <c r="BO3353" s="2"/>
      <c r="BP3353" s="136"/>
      <c r="BQ3353" s="137"/>
    </row>
    <row r="3354" spans="1:69" ht="12.75" customHeight="1" x14ac:dyDescent="0.2">
      <c r="A3354" s="2">
        <v>4843</v>
      </c>
      <c r="B3354" s="2"/>
      <c r="C3354" s="2"/>
      <c r="D3354" s="2"/>
      <c r="E3354" s="2"/>
      <c r="F3354" s="132">
        <v>0</v>
      </c>
      <c r="G3354" s="132"/>
      <c r="H3354" s="132">
        <f t="shared" si="374"/>
        <v>0</v>
      </c>
      <c r="I3354" s="132"/>
      <c r="J3354" s="132">
        <f t="shared" si="372"/>
        <v>0</v>
      </c>
      <c r="K3354" s="132">
        <f t="shared" si="375"/>
        <v>0</v>
      </c>
      <c r="L3354" s="132">
        <f t="shared" si="376"/>
        <v>0</v>
      </c>
      <c r="M3354" s="133"/>
      <c r="N3354" s="133">
        <f t="shared" si="373"/>
        <v>0</v>
      </c>
      <c r="O3354" s="134"/>
      <c r="P3354" s="133"/>
      <c r="Q3354" s="2"/>
      <c r="R3354" s="156">
        <f t="shared" si="377"/>
        <v>0</v>
      </c>
      <c r="S3354" s="156">
        <f t="shared" si="378"/>
        <v>0</v>
      </c>
      <c r="T3354" s="133"/>
      <c r="U3354" s="133"/>
      <c r="V3354" s="133"/>
      <c r="W3354" s="133"/>
      <c r="X3354" s="133"/>
      <c r="Y3354" s="133"/>
      <c r="Z3354" s="133"/>
      <c r="AA3354" s="133"/>
      <c r="AB3354" s="133"/>
      <c r="AC3354" s="133"/>
      <c r="AD3354" s="133"/>
      <c r="AE3354" s="133"/>
      <c r="AF3354" s="133"/>
      <c r="AG3354" s="133"/>
      <c r="AH3354" s="133"/>
      <c r="AI3354" s="133"/>
      <c r="AJ3354" s="133"/>
      <c r="AK3354" s="133"/>
      <c r="AL3354" s="133"/>
      <c r="AM3354" s="133"/>
      <c r="AN3354" s="133"/>
      <c r="AO3354" s="133"/>
      <c r="AP3354" s="133"/>
      <c r="AQ3354" s="133"/>
      <c r="AR3354" s="133"/>
      <c r="AS3354" s="153">
        <v>0</v>
      </c>
      <c r="AT3354" s="153">
        <v>0</v>
      </c>
      <c r="AU3354" s="153">
        <v>0</v>
      </c>
      <c r="AV3354" s="135"/>
      <c r="AW3354" s="135"/>
      <c r="AX3354" s="135"/>
      <c r="AY3354" s="135"/>
      <c r="AZ3354" s="135"/>
      <c r="BA3354" s="135"/>
      <c r="BB3354" s="135"/>
      <c r="BC3354" s="135"/>
      <c r="BD3354" s="135"/>
      <c r="BE3354" s="135"/>
      <c r="BF3354" s="135"/>
      <c r="BG3354" s="135"/>
      <c r="BH3354" s="135"/>
      <c r="BI3354" s="2"/>
      <c r="BJ3354" s="136"/>
      <c r="BK3354" s="2"/>
      <c r="BL3354" s="136"/>
      <c r="BM3354" s="136"/>
      <c r="BN3354" s="2"/>
      <c r="BO3354" s="2"/>
      <c r="BP3354" s="136"/>
      <c r="BQ3354" s="137"/>
    </row>
    <row r="3355" spans="1:69" ht="12.75" customHeight="1" x14ac:dyDescent="0.2">
      <c r="A3355" s="2">
        <v>4844</v>
      </c>
      <c r="B3355" s="2"/>
      <c r="C3355" s="2"/>
      <c r="D3355" s="2"/>
      <c r="E3355" s="2"/>
      <c r="F3355" s="132">
        <v>0</v>
      </c>
      <c r="G3355" s="132"/>
      <c r="H3355" s="132">
        <f t="shared" si="374"/>
        <v>0</v>
      </c>
      <c r="I3355" s="132"/>
      <c r="J3355" s="132">
        <f t="shared" si="372"/>
        <v>0</v>
      </c>
      <c r="K3355" s="132">
        <f t="shared" si="375"/>
        <v>0</v>
      </c>
      <c r="L3355" s="132">
        <f t="shared" si="376"/>
        <v>0</v>
      </c>
      <c r="M3355" s="133"/>
      <c r="N3355" s="133">
        <f t="shared" si="373"/>
        <v>0</v>
      </c>
      <c r="O3355" s="134"/>
      <c r="P3355" s="133"/>
      <c r="Q3355" s="2"/>
      <c r="R3355" s="156">
        <f t="shared" si="377"/>
        <v>0</v>
      </c>
      <c r="S3355" s="156">
        <f t="shared" si="378"/>
        <v>0</v>
      </c>
      <c r="T3355" s="133"/>
      <c r="U3355" s="133"/>
      <c r="V3355" s="133"/>
      <c r="W3355" s="133"/>
      <c r="X3355" s="133"/>
      <c r="Y3355" s="133"/>
      <c r="Z3355" s="133"/>
      <c r="AA3355" s="133"/>
      <c r="AB3355" s="133"/>
      <c r="AC3355" s="133"/>
      <c r="AD3355" s="133"/>
      <c r="AE3355" s="133"/>
      <c r="AF3355" s="133"/>
      <c r="AG3355" s="133"/>
      <c r="AH3355" s="133"/>
      <c r="AI3355" s="133"/>
      <c r="AJ3355" s="133"/>
      <c r="AK3355" s="133"/>
      <c r="AL3355" s="133"/>
      <c r="AM3355" s="133"/>
      <c r="AN3355" s="133"/>
      <c r="AO3355" s="133"/>
      <c r="AP3355" s="133"/>
      <c r="AQ3355" s="133"/>
      <c r="AR3355" s="133"/>
      <c r="AS3355" s="153">
        <v>0</v>
      </c>
      <c r="AT3355" s="153">
        <v>0</v>
      </c>
      <c r="AU3355" s="153">
        <v>0</v>
      </c>
      <c r="AV3355" s="135"/>
      <c r="AW3355" s="135"/>
      <c r="AX3355" s="135"/>
      <c r="AY3355" s="135"/>
      <c r="AZ3355" s="135"/>
      <c r="BA3355" s="135"/>
      <c r="BB3355" s="135"/>
      <c r="BC3355" s="135"/>
      <c r="BD3355" s="135"/>
      <c r="BE3355" s="135"/>
      <c r="BF3355" s="135"/>
      <c r="BG3355" s="135"/>
      <c r="BH3355" s="135"/>
      <c r="BI3355" s="2"/>
      <c r="BJ3355" s="136"/>
      <c r="BK3355" s="2"/>
      <c r="BL3355" s="136"/>
      <c r="BM3355" s="136"/>
      <c r="BN3355" s="2"/>
      <c r="BO3355" s="2"/>
      <c r="BP3355" s="136"/>
      <c r="BQ3355" s="137"/>
    </row>
    <row r="3356" spans="1:69" ht="12.75" customHeight="1" x14ac:dyDescent="0.2">
      <c r="A3356" s="2">
        <v>4845</v>
      </c>
      <c r="B3356" s="2"/>
      <c r="C3356" s="2"/>
      <c r="D3356" s="2"/>
      <c r="E3356" s="2"/>
      <c r="F3356" s="132">
        <v>0</v>
      </c>
      <c r="G3356" s="132"/>
      <c r="H3356" s="132">
        <f t="shared" si="374"/>
        <v>0</v>
      </c>
      <c r="I3356" s="132"/>
      <c r="J3356" s="132">
        <f t="shared" si="372"/>
        <v>0</v>
      </c>
      <c r="K3356" s="132">
        <f t="shared" si="375"/>
        <v>0</v>
      </c>
      <c r="L3356" s="132">
        <f t="shared" si="376"/>
        <v>0</v>
      </c>
      <c r="M3356" s="133"/>
      <c r="N3356" s="133">
        <f t="shared" si="373"/>
        <v>0</v>
      </c>
      <c r="O3356" s="134"/>
      <c r="P3356" s="133"/>
      <c r="Q3356" s="2"/>
      <c r="R3356" s="156">
        <f t="shared" si="377"/>
        <v>0</v>
      </c>
      <c r="S3356" s="156">
        <f t="shared" si="378"/>
        <v>0</v>
      </c>
      <c r="T3356" s="133"/>
      <c r="U3356" s="133"/>
      <c r="V3356" s="133"/>
      <c r="W3356" s="133"/>
      <c r="X3356" s="133"/>
      <c r="Y3356" s="133"/>
      <c r="Z3356" s="133"/>
      <c r="AA3356" s="133"/>
      <c r="AB3356" s="133"/>
      <c r="AC3356" s="133"/>
      <c r="AD3356" s="133"/>
      <c r="AE3356" s="133"/>
      <c r="AF3356" s="133"/>
      <c r="AG3356" s="133"/>
      <c r="AH3356" s="133"/>
      <c r="AI3356" s="133"/>
      <c r="AJ3356" s="133"/>
      <c r="AK3356" s="133"/>
      <c r="AL3356" s="133"/>
      <c r="AM3356" s="133"/>
      <c r="AN3356" s="133"/>
      <c r="AO3356" s="133"/>
      <c r="AP3356" s="133"/>
      <c r="AQ3356" s="133"/>
      <c r="AR3356" s="133"/>
      <c r="AS3356" s="153">
        <v>0</v>
      </c>
      <c r="AT3356" s="153">
        <v>0</v>
      </c>
      <c r="AU3356" s="153">
        <v>0</v>
      </c>
      <c r="AV3356" s="135"/>
      <c r="AW3356" s="135"/>
      <c r="AX3356" s="135"/>
      <c r="AY3356" s="135"/>
      <c r="AZ3356" s="135"/>
      <c r="BA3356" s="135"/>
      <c r="BB3356" s="135"/>
      <c r="BC3356" s="135"/>
      <c r="BD3356" s="135"/>
      <c r="BE3356" s="135"/>
      <c r="BF3356" s="135"/>
      <c r="BG3356" s="135"/>
      <c r="BH3356" s="135"/>
      <c r="BI3356" s="2"/>
      <c r="BJ3356" s="136"/>
      <c r="BK3356" s="2"/>
      <c r="BL3356" s="136"/>
      <c r="BM3356" s="136"/>
      <c r="BN3356" s="2"/>
      <c r="BO3356" s="2"/>
      <c r="BP3356" s="136"/>
      <c r="BQ3356" s="137"/>
    </row>
    <row r="3357" spans="1:69" ht="12.75" customHeight="1" x14ac:dyDescent="0.2">
      <c r="A3357" s="2">
        <v>4846</v>
      </c>
      <c r="B3357" s="2"/>
      <c r="C3357" s="2"/>
      <c r="D3357" s="2"/>
      <c r="E3357" s="2"/>
      <c r="F3357" s="132">
        <v>0</v>
      </c>
      <c r="G3357" s="132"/>
      <c r="H3357" s="132">
        <f t="shared" si="374"/>
        <v>0</v>
      </c>
      <c r="I3357" s="132"/>
      <c r="J3357" s="132">
        <f t="shared" si="372"/>
        <v>0</v>
      </c>
      <c r="K3357" s="132">
        <f t="shared" si="375"/>
        <v>0</v>
      </c>
      <c r="L3357" s="132">
        <f t="shared" si="376"/>
        <v>0</v>
      </c>
      <c r="M3357" s="133"/>
      <c r="N3357" s="133">
        <f t="shared" si="373"/>
        <v>0</v>
      </c>
      <c r="O3357" s="134"/>
      <c r="P3357" s="133"/>
      <c r="Q3357" s="2"/>
      <c r="R3357" s="156">
        <f t="shared" si="377"/>
        <v>0</v>
      </c>
      <c r="S3357" s="156">
        <f t="shared" si="378"/>
        <v>0</v>
      </c>
      <c r="T3357" s="133"/>
      <c r="U3357" s="133"/>
      <c r="V3357" s="133"/>
      <c r="W3357" s="133"/>
      <c r="X3357" s="133"/>
      <c r="Y3357" s="133"/>
      <c r="Z3357" s="133"/>
      <c r="AA3357" s="133"/>
      <c r="AB3357" s="133"/>
      <c r="AC3357" s="133"/>
      <c r="AD3357" s="133"/>
      <c r="AE3357" s="133"/>
      <c r="AF3357" s="133"/>
      <c r="AG3357" s="133"/>
      <c r="AH3357" s="133"/>
      <c r="AI3357" s="133"/>
      <c r="AJ3357" s="133"/>
      <c r="AK3357" s="133"/>
      <c r="AL3357" s="133"/>
      <c r="AM3357" s="133"/>
      <c r="AN3357" s="133"/>
      <c r="AO3357" s="133"/>
      <c r="AP3357" s="133"/>
      <c r="AQ3357" s="133"/>
      <c r="AR3357" s="133"/>
      <c r="AS3357" s="153">
        <v>0</v>
      </c>
      <c r="AT3357" s="153">
        <v>0</v>
      </c>
      <c r="AU3357" s="153">
        <v>0</v>
      </c>
      <c r="AV3357" s="135"/>
      <c r="AW3357" s="135"/>
      <c r="AX3357" s="135"/>
      <c r="AY3357" s="135"/>
      <c r="AZ3357" s="135"/>
      <c r="BA3357" s="135"/>
      <c r="BB3357" s="135"/>
      <c r="BC3357" s="135"/>
      <c r="BD3357" s="135"/>
      <c r="BE3357" s="135"/>
      <c r="BF3357" s="135"/>
      <c r="BG3357" s="135"/>
      <c r="BH3357" s="135"/>
      <c r="BI3357" s="2"/>
      <c r="BJ3357" s="136"/>
      <c r="BK3357" s="2"/>
      <c r="BL3357" s="136"/>
      <c r="BM3357" s="136"/>
      <c r="BN3357" s="2"/>
      <c r="BO3357" s="2"/>
      <c r="BP3357" s="136"/>
      <c r="BQ3357" s="137"/>
    </row>
    <row r="3358" spans="1:69" ht="12.75" customHeight="1" x14ac:dyDescent="0.2">
      <c r="A3358" s="2">
        <v>4847</v>
      </c>
      <c r="B3358" s="2"/>
      <c r="C3358" s="2"/>
      <c r="D3358" s="2"/>
      <c r="E3358" s="2"/>
      <c r="F3358" s="132">
        <v>0</v>
      </c>
      <c r="G3358" s="132"/>
      <c r="H3358" s="132">
        <f t="shared" si="374"/>
        <v>0</v>
      </c>
      <c r="I3358" s="132"/>
      <c r="J3358" s="132">
        <f t="shared" si="372"/>
        <v>0</v>
      </c>
      <c r="K3358" s="132">
        <f t="shared" si="375"/>
        <v>0</v>
      </c>
      <c r="L3358" s="132">
        <f t="shared" si="376"/>
        <v>0</v>
      </c>
      <c r="M3358" s="133"/>
      <c r="N3358" s="133">
        <f t="shared" si="373"/>
        <v>0</v>
      </c>
      <c r="O3358" s="134"/>
      <c r="P3358" s="133"/>
      <c r="Q3358" s="2"/>
      <c r="R3358" s="156">
        <f t="shared" si="377"/>
        <v>0</v>
      </c>
      <c r="S3358" s="156">
        <f t="shared" si="378"/>
        <v>0</v>
      </c>
      <c r="T3358" s="133"/>
      <c r="U3358" s="133"/>
      <c r="V3358" s="133"/>
      <c r="W3358" s="133"/>
      <c r="X3358" s="133"/>
      <c r="Y3358" s="133"/>
      <c r="Z3358" s="133"/>
      <c r="AA3358" s="133"/>
      <c r="AB3358" s="133"/>
      <c r="AC3358" s="133"/>
      <c r="AD3358" s="133"/>
      <c r="AE3358" s="133"/>
      <c r="AF3358" s="133"/>
      <c r="AG3358" s="133"/>
      <c r="AH3358" s="133"/>
      <c r="AI3358" s="133"/>
      <c r="AJ3358" s="133"/>
      <c r="AK3358" s="133"/>
      <c r="AL3358" s="133"/>
      <c r="AM3358" s="133"/>
      <c r="AN3358" s="133"/>
      <c r="AO3358" s="133"/>
      <c r="AP3358" s="133"/>
      <c r="AQ3358" s="133"/>
      <c r="AR3358" s="133"/>
      <c r="AS3358" s="153">
        <v>0</v>
      </c>
      <c r="AT3358" s="153">
        <v>0</v>
      </c>
      <c r="AU3358" s="153">
        <v>0</v>
      </c>
      <c r="AV3358" s="135"/>
      <c r="AW3358" s="135"/>
      <c r="AX3358" s="135"/>
      <c r="AY3358" s="135"/>
      <c r="AZ3358" s="135"/>
      <c r="BA3358" s="135"/>
      <c r="BB3358" s="135"/>
      <c r="BC3358" s="135"/>
      <c r="BD3358" s="135"/>
      <c r="BE3358" s="135"/>
      <c r="BF3358" s="135"/>
      <c r="BG3358" s="135"/>
      <c r="BH3358" s="135"/>
      <c r="BI3358" s="2"/>
      <c r="BJ3358" s="136"/>
      <c r="BK3358" s="2"/>
      <c r="BL3358" s="136"/>
      <c r="BM3358" s="136"/>
      <c r="BN3358" s="2"/>
      <c r="BO3358" s="2"/>
      <c r="BP3358" s="136"/>
      <c r="BQ3358" s="137"/>
    </row>
    <row r="3359" spans="1:69" ht="12.75" customHeight="1" x14ac:dyDescent="0.2">
      <c r="A3359" s="2">
        <v>4848</v>
      </c>
      <c r="B3359" s="2"/>
      <c r="C3359" s="2"/>
      <c r="D3359" s="2"/>
      <c r="E3359" s="2"/>
      <c r="F3359" s="132">
        <v>0</v>
      </c>
      <c r="G3359" s="132"/>
      <c r="H3359" s="132">
        <f t="shared" si="374"/>
        <v>0</v>
      </c>
      <c r="I3359" s="132"/>
      <c r="J3359" s="132">
        <f t="shared" si="372"/>
        <v>0</v>
      </c>
      <c r="K3359" s="132">
        <f t="shared" si="375"/>
        <v>0</v>
      </c>
      <c r="L3359" s="132">
        <f t="shared" si="376"/>
        <v>0</v>
      </c>
      <c r="M3359" s="133"/>
      <c r="N3359" s="133">
        <f t="shared" si="373"/>
        <v>0</v>
      </c>
      <c r="O3359" s="134"/>
      <c r="P3359" s="133"/>
      <c r="Q3359" s="2"/>
      <c r="R3359" s="156">
        <f t="shared" si="377"/>
        <v>0</v>
      </c>
      <c r="S3359" s="156">
        <f t="shared" si="378"/>
        <v>0</v>
      </c>
      <c r="T3359" s="133"/>
      <c r="U3359" s="133"/>
      <c r="V3359" s="133"/>
      <c r="W3359" s="133"/>
      <c r="X3359" s="133"/>
      <c r="Y3359" s="133"/>
      <c r="Z3359" s="133"/>
      <c r="AA3359" s="133"/>
      <c r="AB3359" s="133"/>
      <c r="AC3359" s="133"/>
      <c r="AD3359" s="133"/>
      <c r="AE3359" s="133"/>
      <c r="AF3359" s="133"/>
      <c r="AG3359" s="133"/>
      <c r="AH3359" s="133"/>
      <c r="AI3359" s="133"/>
      <c r="AJ3359" s="133"/>
      <c r="AK3359" s="133"/>
      <c r="AL3359" s="133"/>
      <c r="AM3359" s="133"/>
      <c r="AN3359" s="133"/>
      <c r="AO3359" s="133"/>
      <c r="AP3359" s="133"/>
      <c r="AQ3359" s="133"/>
      <c r="AR3359" s="133"/>
      <c r="AS3359" s="153">
        <v>0</v>
      </c>
      <c r="AT3359" s="153">
        <v>0</v>
      </c>
      <c r="AU3359" s="153">
        <v>0</v>
      </c>
      <c r="AV3359" s="135"/>
      <c r="AW3359" s="135"/>
      <c r="AX3359" s="135"/>
      <c r="AY3359" s="135"/>
      <c r="AZ3359" s="135"/>
      <c r="BA3359" s="135"/>
      <c r="BB3359" s="135"/>
      <c r="BC3359" s="135"/>
      <c r="BD3359" s="135"/>
      <c r="BE3359" s="135"/>
      <c r="BF3359" s="135"/>
      <c r="BG3359" s="135"/>
      <c r="BH3359" s="135"/>
      <c r="BI3359" s="2"/>
      <c r="BJ3359" s="136"/>
      <c r="BK3359" s="2"/>
      <c r="BL3359" s="136"/>
      <c r="BM3359" s="136"/>
      <c r="BN3359" s="2"/>
      <c r="BO3359" s="2"/>
      <c r="BP3359" s="136"/>
      <c r="BQ3359" s="137"/>
    </row>
    <row r="3360" spans="1:69" ht="12.75" customHeight="1" x14ac:dyDescent="0.2">
      <c r="A3360" s="2">
        <v>4849</v>
      </c>
      <c r="B3360" s="2"/>
      <c r="C3360" s="2"/>
      <c r="D3360" s="2"/>
      <c r="E3360" s="2"/>
      <c r="F3360" s="132">
        <v>0</v>
      </c>
      <c r="G3360" s="132"/>
      <c r="H3360" s="132">
        <f t="shared" si="374"/>
        <v>0</v>
      </c>
      <c r="I3360" s="132"/>
      <c r="J3360" s="132">
        <f t="shared" si="372"/>
        <v>0</v>
      </c>
      <c r="K3360" s="132">
        <f t="shared" si="375"/>
        <v>0</v>
      </c>
      <c r="L3360" s="132">
        <f t="shared" si="376"/>
        <v>0</v>
      </c>
      <c r="M3360" s="133"/>
      <c r="N3360" s="133">
        <f t="shared" si="373"/>
        <v>0</v>
      </c>
      <c r="O3360" s="134"/>
      <c r="P3360" s="133"/>
      <c r="Q3360" s="2"/>
      <c r="R3360" s="156">
        <f t="shared" si="377"/>
        <v>0</v>
      </c>
      <c r="S3360" s="156">
        <f t="shared" si="378"/>
        <v>0</v>
      </c>
      <c r="T3360" s="133"/>
      <c r="U3360" s="133"/>
      <c r="V3360" s="133"/>
      <c r="W3360" s="133"/>
      <c r="X3360" s="133"/>
      <c r="Y3360" s="133"/>
      <c r="Z3360" s="133"/>
      <c r="AA3360" s="133"/>
      <c r="AB3360" s="133"/>
      <c r="AC3360" s="133"/>
      <c r="AD3360" s="133"/>
      <c r="AE3360" s="133"/>
      <c r="AF3360" s="133"/>
      <c r="AG3360" s="133"/>
      <c r="AH3360" s="133"/>
      <c r="AI3360" s="133"/>
      <c r="AJ3360" s="133"/>
      <c r="AK3360" s="133"/>
      <c r="AL3360" s="133"/>
      <c r="AM3360" s="133"/>
      <c r="AN3360" s="133"/>
      <c r="AO3360" s="133"/>
      <c r="AP3360" s="133"/>
      <c r="AQ3360" s="133"/>
      <c r="AR3360" s="133"/>
      <c r="AS3360" s="153">
        <v>0</v>
      </c>
      <c r="AT3360" s="153">
        <v>0</v>
      </c>
      <c r="AU3360" s="153">
        <v>0</v>
      </c>
      <c r="AV3360" s="135"/>
      <c r="AW3360" s="135"/>
      <c r="AX3360" s="135"/>
      <c r="AY3360" s="135"/>
      <c r="AZ3360" s="135"/>
      <c r="BA3360" s="135"/>
      <c r="BB3360" s="135"/>
      <c r="BC3360" s="135"/>
      <c r="BD3360" s="135"/>
      <c r="BE3360" s="135"/>
      <c r="BF3360" s="135"/>
      <c r="BG3360" s="135"/>
      <c r="BH3360" s="135"/>
      <c r="BI3360" s="2"/>
      <c r="BJ3360" s="136"/>
      <c r="BK3360" s="2"/>
      <c r="BL3360" s="136"/>
      <c r="BM3360" s="136"/>
      <c r="BN3360" s="2"/>
      <c r="BO3360" s="2"/>
      <c r="BP3360" s="136"/>
      <c r="BQ3360" s="137"/>
    </row>
    <row r="3361" spans="1:69" ht="12.75" customHeight="1" x14ac:dyDescent="0.2">
      <c r="A3361" s="2">
        <v>4850</v>
      </c>
      <c r="B3361" s="2"/>
      <c r="C3361" s="2"/>
      <c r="D3361" s="2"/>
      <c r="E3361" s="2"/>
      <c r="F3361" s="132">
        <v>0</v>
      </c>
      <c r="G3361" s="132"/>
      <c r="H3361" s="132">
        <f t="shared" si="374"/>
        <v>0</v>
      </c>
      <c r="I3361" s="132"/>
      <c r="J3361" s="132">
        <f t="shared" si="372"/>
        <v>0</v>
      </c>
      <c r="K3361" s="132">
        <f t="shared" si="375"/>
        <v>0</v>
      </c>
      <c r="L3361" s="132">
        <f t="shared" si="376"/>
        <v>0</v>
      </c>
      <c r="M3361" s="133"/>
      <c r="N3361" s="133">
        <f t="shared" si="373"/>
        <v>0</v>
      </c>
      <c r="O3361" s="134"/>
      <c r="P3361" s="133"/>
      <c r="Q3361" s="2"/>
      <c r="R3361" s="156">
        <f t="shared" si="377"/>
        <v>0</v>
      </c>
      <c r="S3361" s="156">
        <f t="shared" si="378"/>
        <v>0</v>
      </c>
      <c r="T3361" s="133"/>
      <c r="U3361" s="133"/>
      <c r="V3361" s="133"/>
      <c r="W3361" s="133"/>
      <c r="X3361" s="133"/>
      <c r="Y3361" s="133"/>
      <c r="Z3361" s="133"/>
      <c r="AA3361" s="133"/>
      <c r="AB3361" s="133"/>
      <c r="AC3361" s="133"/>
      <c r="AD3361" s="133"/>
      <c r="AE3361" s="133"/>
      <c r="AF3361" s="133"/>
      <c r="AG3361" s="133"/>
      <c r="AH3361" s="133"/>
      <c r="AI3361" s="133"/>
      <c r="AJ3361" s="133"/>
      <c r="AK3361" s="133"/>
      <c r="AL3361" s="133"/>
      <c r="AM3361" s="133"/>
      <c r="AN3361" s="133"/>
      <c r="AO3361" s="133"/>
      <c r="AP3361" s="133"/>
      <c r="AQ3361" s="133"/>
      <c r="AR3361" s="133"/>
      <c r="AS3361" s="153">
        <v>0</v>
      </c>
      <c r="AT3361" s="153">
        <v>0</v>
      </c>
      <c r="AU3361" s="153">
        <v>0</v>
      </c>
      <c r="AV3361" s="135"/>
      <c r="AW3361" s="135"/>
      <c r="AX3361" s="135"/>
      <c r="AY3361" s="135"/>
      <c r="AZ3361" s="135"/>
      <c r="BA3361" s="135"/>
      <c r="BB3361" s="135"/>
      <c r="BC3361" s="135"/>
      <c r="BD3361" s="135"/>
      <c r="BE3361" s="135"/>
      <c r="BF3361" s="135"/>
      <c r="BG3361" s="135"/>
      <c r="BH3361" s="135"/>
      <c r="BI3361" s="2"/>
      <c r="BJ3361" s="136"/>
      <c r="BK3361" s="2"/>
      <c r="BL3361" s="136"/>
      <c r="BM3361" s="136"/>
      <c r="BN3361" s="2"/>
      <c r="BO3361" s="2"/>
      <c r="BP3361" s="136"/>
      <c r="BQ3361" s="137"/>
    </row>
    <row r="3362" spans="1:69" ht="12.75" customHeight="1" x14ac:dyDescent="0.2">
      <c r="A3362" s="2">
        <v>4851</v>
      </c>
      <c r="B3362" s="2"/>
      <c r="C3362" s="2"/>
      <c r="D3362" s="2"/>
      <c r="E3362" s="2"/>
      <c r="F3362" s="132">
        <v>0</v>
      </c>
      <c r="G3362" s="132"/>
      <c r="H3362" s="132">
        <f t="shared" si="374"/>
        <v>0</v>
      </c>
      <c r="I3362" s="132"/>
      <c r="J3362" s="132">
        <f t="shared" si="372"/>
        <v>0</v>
      </c>
      <c r="K3362" s="132">
        <f t="shared" si="375"/>
        <v>0</v>
      </c>
      <c r="L3362" s="132">
        <f t="shared" si="376"/>
        <v>0</v>
      </c>
      <c r="M3362" s="133"/>
      <c r="N3362" s="133">
        <f t="shared" si="373"/>
        <v>0</v>
      </c>
      <c r="O3362" s="134"/>
      <c r="P3362" s="133"/>
      <c r="Q3362" s="2"/>
      <c r="R3362" s="156">
        <f t="shared" si="377"/>
        <v>0</v>
      </c>
      <c r="S3362" s="156">
        <f t="shared" si="378"/>
        <v>0</v>
      </c>
      <c r="T3362" s="133"/>
      <c r="U3362" s="133"/>
      <c r="V3362" s="133"/>
      <c r="W3362" s="133"/>
      <c r="X3362" s="133"/>
      <c r="Y3362" s="133"/>
      <c r="Z3362" s="133"/>
      <c r="AA3362" s="133"/>
      <c r="AB3362" s="133"/>
      <c r="AC3362" s="133"/>
      <c r="AD3362" s="133"/>
      <c r="AE3362" s="133"/>
      <c r="AF3362" s="133"/>
      <c r="AG3362" s="133"/>
      <c r="AH3362" s="133"/>
      <c r="AI3362" s="133"/>
      <c r="AJ3362" s="133"/>
      <c r="AK3362" s="133"/>
      <c r="AL3362" s="133"/>
      <c r="AM3362" s="133"/>
      <c r="AN3362" s="133"/>
      <c r="AO3362" s="133"/>
      <c r="AP3362" s="133"/>
      <c r="AQ3362" s="133"/>
      <c r="AR3362" s="133"/>
      <c r="AS3362" s="153">
        <v>0</v>
      </c>
      <c r="AT3362" s="153">
        <v>0</v>
      </c>
      <c r="AU3362" s="153">
        <v>0</v>
      </c>
      <c r="AV3362" s="135"/>
      <c r="AW3362" s="135"/>
      <c r="AX3362" s="135"/>
      <c r="AY3362" s="135"/>
      <c r="AZ3362" s="135"/>
      <c r="BA3362" s="135"/>
      <c r="BB3362" s="135"/>
      <c r="BC3362" s="135"/>
      <c r="BD3362" s="135"/>
      <c r="BE3362" s="135"/>
      <c r="BF3362" s="135"/>
      <c r="BG3362" s="135"/>
      <c r="BH3362" s="135"/>
      <c r="BI3362" s="2"/>
      <c r="BJ3362" s="136"/>
      <c r="BK3362" s="2"/>
      <c r="BL3362" s="136"/>
      <c r="BM3362" s="136"/>
      <c r="BN3362" s="2"/>
      <c r="BO3362" s="2"/>
      <c r="BP3362" s="136"/>
      <c r="BQ3362" s="137"/>
    </row>
    <row r="3363" spans="1:69" ht="12.75" customHeight="1" x14ac:dyDescent="0.2">
      <c r="A3363" s="2">
        <v>4852</v>
      </c>
      <c r="B3363" s="2"/>
      <c r="C3363" s="2"/>
      <c r="D3363" s="2"/>
      <c r="E3363" s="2"/>
      <c r="F3363" s="132">
        <v>0</v>
      </c>
      <c r="G3363" s="132"/>
      <c r="H3363" s="132">
        <f t="shared" si="374"/>
        <v>0</v>
      </c>
      <c r="I3363" s="132"/>
      <c r="J3363" s="132">
        <f t="shared" si="372"/>
        <v>0</v>
      </c>
      <c r="K3363" s="132">
        <f t="shared" si="375"/>
        <v>0</v>
      </c>
      <c r="L3363" s="132">
        <f t="shared" si="376"/>
        <v>0</v>
      </c>
      <c r="M3363" s="133"/>
      <c r="N3363" s="133">
        <f t="shared" si="373"/>
        <v>0</v>
      </c>
      <c r="O3363" s="134"/>
      <c r="P3363" s="133"/>
      <c r="Q3363" s="2"/>
      <c r="R3363" s="156">
        <f t="shared" si="377"/>
        <v>0</v>
      </c>
      <c r="S3363" s="156">
        <f t="shared" si="378"/>
        <v>0</v>
      </c>
      <c r="T3363" s="133"/>
      <c r="U3363" s="133"/>
      <c r="V3363" s="133"/>
      <c r="W3363" s="133"/>
      <c r="X3363" s="133"/>
      <c r="Y3363" s="133"/>
      <c r="Z3363" s="133"/>
      <c r="AA3363" s="133"/>
      <c r="AB3363" s="133"/>
      <c r="AC3363" s="133"/>
      <c r="AD3363" s="133"/>
      <c r="AE3363" s="133"/>
      <c r="AF3363" s="133"/>
      <c r="AG3363" s="133"/>
      <c r="AH3363" s="133"/>
      <c r="AI3363" s="133"/>
      <c r="AJ3363" s="133"/>
      <c r="AK3363" s="133"/>
      <c r="AL3363" s="133"/>
      <c r="AM3363" s="133"/>
      <c r="AN3363" s="133"/>
      <c r="AO3363" s="133"/>
      <c r="AP3363" s="133"/>
      <c r="AQ3363" s="133"/>
      <c r="AR3363" s="133"/>
      <c r="AS3363" s="153">
        <v>0</v>
      </c>
      <c r="AT3363" s="153">
        <v>0</v>
      </c>
      <c r="AU3363" s="153">
        <v>0</v>
      </c>
      <c r="AV3363" s="135"/>
      <c r="AW3363" s="135"/>
      <c r="AX3363" s="135"/>
      <c r="AY3363" s="135"/>
      <c r="AZ3363" s="135"/>
      <c r="BA3363" s="135"/>
      <c r="BB3363" s="135"/>
      <c r="BC3363" s="135"/>
      <c r="BD3363" s="135"/>
      <c r="BE3363" s="135"/>
      <c r="BF3363" s="135"/>
      <c r="BG3363" s="135"/>
      <c r="BH3363" s="135"/>
      <c r="BI3363" s="2"/>
      <c r="BJ3363" s="136"/>
      <c r="BK3363" s="2"/>
      <c r="BL3363" s="136"/>
      <c r="BM3363" s="136"/>
      <c r="BN3363" s="2"/>
      <c r="BO3363" s="2"/>
      <c r="BP3363" s="136"/>
      <c r="BQ3363" s="137"/>
    </row>
    <row r="3364" spans="1:69" ht="12.75" customHeight="1" x14ac:dyDescent="0.2">
      <c r="A3364" s="2">
        <v>4853</v>
      </c>
      <c r="B3364" s="2"/>
      <c r="C3364" s="2"/>
      <c r="D3364" s="2"/>
      <c r="E3364" s="2"/>
      <c r="F3364" s="132">
        <v>0</v>
      </c>
      <c r="G3364" s="132"/>
      <c r="H3364" s="132">
        <f t="shared" si="374"/>
        <v>0</v>
      </c>
      <c r="I3364" s="132"/>
      <c r="J3364" s="132">
        <f t="shared" ref="J3364:J3427" si="379">S3364</f>
        <v>0</v>
      </c>
      <c r="K3364" s="132">
        <f t="shared" si="375"/>
        <v>0</v>
      </c>
      <c r="L3364" s="132">
        <f t="shared" si="376"/>
        <v>0</v>
      </c>
      <c r="M3364" s="133"/>
      <c r="N3364" s="133">
        <f t="shared" si="373"/>
        <v>0</v>
      </c>
      <c r="O3364" s="134"/>
      <c r="P3364" s="133"/>
      <c r="Q3364" s="2"/>
      <c r="R3364" s="156">
        <f t="shared" si="377"/>
        <v>0</v>
      </c>
      <c r="S3364" s="156">
        <f t="shared" si="378"/>
        <v>0</v>
      </c>
      <c r="T3364" s="133"/>
      <c r="U3364" s="133"/>
      <c r="V3364" s="133"/>
      <c r="W3364" s="133"/>
      <c r="X3364" s="133"/>
      <c r="Y3364" s="133"/>
      <c r="Z3364" s="133"/>
      <c r="AA3364" s="133"/>
      <c r="AB3364" s="133"/>
      <c r="AC3364" s="133"/>
      <c r="AD3364" s="133"/>
      <c r="AE3364" s="133"/>
      <c r="AF3364" s="133"/>
      <c r="AG3364" s="133"/>
      <c r="AH3364" s="133"/>
      <c r="AI3364" s="133"/>
      <c r="AJ3364" s="133"/>
      <c r="AK3364" s="133"/>
      <c r="AL3364" s="133"/>
      <c r="AM3364" s="133"/>
      <c r="AN3364" s="133"/>
      <c r="AO3364" s="133"/>
      <c r="AP3364" s="133"/>
      <c r="AQ3364" s="133"/>
      <c r="AR3364" s="133"/>
      <c r="AS3364" s="153">
        <v>0</v>
      </c>
      <c r="AT3364" s="153">
        <v>0</v>
      </c>
      <c r="AU3364" s="153">
        <v>0</v>
      </c>
      <c r="AV3364" s="135"/>
      <c r="AW3364" s="135"/>
      <c r="AX3364" s="135"/>
      <c r="AY3364" s="135"/>
      <c r="AZ3364" s="135"/>
      <c r="BA3364" s="135"/>
      <c r="BB3364" s="135"/>
      <c r="BC3364" s="135"/>
      <c r="BD3364" s="135"/>
      <c r="BE3364" s="135"/>
      <c r="BF3364" s="135"/>
      <c r="BG3364" s="135"/>
      <c r="BH3364" s="135"/>
      <c r="BI3364" s="2"/>
      <c r="BJ3364" s="136"/>
      <c r="BK3364" s="2"/>
      <c r="BL3364" s="136"/>
      <c r="BM3364" s="136"/>
      <c r="BN3364" s="2"/>
      <c r="BO3364" s="2"/>
      <c r="BP3364" s="136"/>
      <c r="BQ3364" s="137"/>
    </row>
    <row r="3365" spans="1:69" ht="12.75" customHeight="1" x14ac:dyDescent="0.2">
      <c r="A3365" s="2">
        <v>4854</v>
      </c>
      <c r="B3365" s="2"/>
      <c r="C3365" s="2"/>
      <c r="D3365" s="2"/>
      <c r="E3365" s="2"/>
      <c r="F3365" s="132">
        <v>0</v>
      </c>
      <c r="G3365" s="132"/>
      <c r="H3365" s="132">
        <f t="shared" si="374"/>
        <v>0</v>
      </c>
      <c r="I3365" s="132"/>
      <c r="J3365" s="132">
        <f t="shared" si="379"/>
        <v>0</v>
      </c>
      <c r="K3365" s="132">
        <f t="shared" si="375"/>
        <v>0</v>
      </c>
      <c r="L3365" s="132">
        <f t="shared" si="376"/>
        <v>0</v>
      </c>
      <c r="M3365" s="133"/>
      <c r="N3365" s="133">
        <f t="shared" si="373"/>
        <v>0</v>
      </c>
      <c r="O3365" s="134"/>
      <c r="P3365" s="133"/>
      <c r="Q3365" s="2"/>
      <c r="R3365" s="156">
        <f t="shared" si="377"/>
        <v>0</v>
      </c>
      <c r="S3365" s="156">
        <f t="shared" si="378"/>
        <v>0</v>
      </c>
      <c r="T3365" s="133"/>
      <c r="U3365" s="133"/>
      <c r="V3365" s="133"/>
      <c r="W3365" s="133"/>
      <c r="X3365" s="133"/>
      <c r="Y3365" s="133"/>
      <c r="Z3365" s="133"/>
      <c r="AA3365" s="133"/>
      <c r="AB3365" s="133"/>
      <c r="AC3365" s="133"/>
      <c r="AD3365" s="133"/>
      <c r="AE3365" s="133"/>
      <c r="AF3365" s="133"/>
      <c r="AG3365" s="133"/>
      <c r="AH3365" s="133"/>
      <c r="AI3365" s="133"/>
      <c r="AJ3365" s="133"/>
      <c r="AK3365" s="133"/>
      <c r="AL3365" s="133"/>
      <c r="AM3365" s="133"/>
      <c r="AN3365" s="133"/>
      <c r="AO3365" s="133"/>
      <c r="AP3365" s="133"/>
      <c r="AQ3365" s="133"/>
      <c r="AR3365" s="133"/>
      <c r="AS3365" s="153">
        <v>0</v>
      </c>
      <c r="AT3365" s="153">
        <v>0</v>
      </c>
      <c r="AU3365" s="153">
        <v>0</v>
      </c>
      <c r="AV3365" s="135"/>
      <c r="AW3365" s="135"/>
      <c r="AX3365" s="135"/>
      <c r="AY3365" s="135"/>
      <c r="AZ3365" s="135"/>
      <c r="BA3365" s="135"/>
      <c r="BB3365" s="135"/>
      <c r="BC3365" s="135"/>
      <c r="BD3365" s="135"/>
      <c r="BE3365" s="135"/>
      <c r="BF3365" s="135"/>
      <c r="BG3365" s="135"/>
      <c r="BH3365" s="135"/>
      <c r="BI3365" s="2"/>
      <c r="BJ3365" s="136"/>
      <c r="BK3365" s="2"/>
      <c r="BL3365" s="136"/>
      <c r="BM3365" s="136"/>
      <c r="BN3365" s="2"/>
      <c r="BO3365" s="2"/>
      <c r="BP3365" s="136"/>
      <c r="BQ3365" s="137"/>
    </row>
    <row r="3366" spans="1:69" ht="12.75" customHeight="1" x14ac:dyDescent="0.2">
      <c r="A3366" s="2">
        <v>4855</v>
      </c>
      <c r="B3366" s="2"/>
      <c r="C3366" s="2"/>
      <c r="D3366" s="2"/>
      <c r="E3366" s="2"/>
      <c r="F3366" s="132">
        <v>0</v>
      </c>
      <c r="G3366" s="132"/>
      <c r="H3366" s="132">
        <f t="shared" si="374"/>
        <v>0</v>
      </c>
      <c r="I3366" s="132"/>
      <c r="J3366" s="132">
        <f t="shared" si="379"/>
        <v>0</v>
      </c>
      <c r="K3366" s="132">
        <f t="shared" si="375"/>
        <v>0</v>
      </c>
      <c r="L3366" s="132">
        <f t="shared" si="376"/>
        <v>0</v>
      </c>
      <c r="M3366" s="133"/>
      <c r="N3366" s="133">
        <f t="shared" si="373"/>
        <v>0</v>
      </c>
      <c r="O3366" s="134"/>
      <c r="P3366" s="133"/>
      <c r="Q3366" s="2"/>
      <c r="R3366" s="156">
        <f t="shared" si="377"/>
        <v>0</v>
      </c>
      <c r="S3366" s="156">
        <f t="shared" si="378"/>
        <v>0</v>
      </c>
      <c r="T3366" s="133"/>
      <c r="U3366" s="133"/>
      <c r="V3366" s="133"/>
      <c r="W3366" s="133"/>
      <c r="X3366" s="133"/>
      <c r="Y3366" s="133"/>
      <c r="Z3366" s="133"/>
      <c r="AA3366" s="133"/>
      <c r="AB3366" s="133"/>
      <c r="AC3366" s="133"/>
      <c r="AD3366" s="133"/>
      <c r="AE3366" s="133"/>
      <c r="AF3366" s="133"/>
      <c r="AG3366" s="133"/>
      <c r="AH3366" s="133"/>
      <c r="AI3366" s="133"/>
      <c r="AJ3366" s="133"/>
      <c r="AK3366" s="133"/>
      <c r="AL3366" s="133"/>
      <c r="AM3366" s="133"/>
      <c r="AN3366" s="133"/>
      <c r="AO3366" s="133"/>
      <c r="AP3366" s="133"/>
      <c r="AQ3366" s="133"/>
      <c r="AR3366" s="133"/>
      <c r="AS3366" s="153">
        <v>0</v>
      </c>
      <c r="AT3366" s="153">
        <v>0</v>
      </c>
      <c r="AU3366" s="153">
        <v>0</v>
      </c>
      <c r="AV3366" s="135"/>
      <c r="AW3366" s="135"/>
      <c r="AX3366" s="135"/>
      <c r="AY3366" s="135"/>
      <c r="AZ3366" s="135"/>
      <c r="BA3366" s="135"/>
      <c r="BB3366" s="135"/>
      <c r="BC3366" s="135"/>
      <c r="BD3366" s="135"/>
      <c r="BE3366" s="135"/>
      <c r="BF3366" s="135"/>
      <c r="BG3366" s="135"/>
      <c r="BH3366" s="135"/>
      <c r="BI3366" s="2"/>
      <c r="BJ3366" s="136"/>
      <c r="BK3366" s="2"/>
      <c r="BL3366" s="136"/>
      <c r="BM3366" s="136"/>
      <c r="BN3366" s="2"/>
      <c r="BO3366" s="2"/>
      <c r="BP3366" s="136"/>
      <c r="BQ3366" s="137"/>
    </row>
    <row r="3367" spans="1:69" ht="12.75" customHeight="1" x14ac:dyDescent="0.2">
      <c r="A3367" s="2">
        <v>4856</v>
      </c>
      <c r="B3367" s="2"/>
      <c r="C3367" s="2"/>
      <c r="D3367" s="2"/>
      <c r="E3367" s="2"/>
      <c r="F3367" s="132">
        <v>0</v>
      </c>
      <c r="G3367" s="132"/>
      <c r="H3367" s="132">
        <f t="shared" si="374"/>
        <v>0</v>
      </c>
      <c r="I3367" s="132"/>
      <c r="J3367" s="132">
        <f t="shared" si="379"/>
        <v>0</v>
      </c>
      <c r="K3367" s="132">
        <f t="shared" si="375"/>
        <v>0</v>
      </c>
      <c r="L3367" s="132">
        <f t="shared" si="376"/>
        <v>0</v>
      </c>
      <c r="M3367" s="133"/>
      <c r="N3367" s="133">
        <f t="shared" si="373"/>
        <v>0</v>
      </c>
      <c r="O3367" s="134"/>
      <c r="P3367" s="133"/>
      <c r="Q3367" s="2"/>
      <c r="R3367" s="156">
        <f t="shared" si="377"/>
        <v>0</v>
      </c>
      <c r="S3367" s="156">
        <f t="shared" si="378"/>
        <v>0</v>
      </c>
      <c r="T3367" s="133"/>
      <c r="U3367" s="133"/>
      <c r="V3367" s="133"/>
      <c r="W3367" s="133"/>
      <c r="X3367" s="133"/>
      <c r="Y3367" s="133"/>
      <c r="Z3367" s="133"/>
      <c r="AA3367" s="133"/>
      <c r="AB3367" s="133"/>
      <c r="AC3367" s="133"/>
      <c r="AD3367" s="133"/>
      <c r="AE3367" s="133"/>
      <c r="AF3367" s="133"/>
      <c r="AG3367" s="133"/>
      <c r="AH3367" s="133"/>
      <c r="AI3367" s="133"/>
      <c r="AJ3367" s="133"/>
      <c r="AK3367" s="133"/>
      <c r="AL3367" s="133"/>
      <c r="AM3367" s="133"/>
      <c r="AN3367" s="133"/>
      <c r="AO3367" s="133"/>
      <c r="AP3367" s="133"/>
      <c r="AQ3367" s="133"/>
      <c r="AR3367" s="133"/>
      <c r="AS3367" s="153">
        <v>0</v>
      </c>
      <c r="AT3367" s="153">
        <v>0</v>
      </c>
      <c r="AU3367" s="153">
        <v>0</v>
      </c>
      <c r="AV3367" s="135"/>
      <c r="AW3367" s="135"/>
      <c r="AX3367" s="135"/>
      <c r="AY3367" s="135"/>
      <c r="AZ3367" s="135"/>
      <c r="BA3367" s="135"/>
      <c r="BB3367" s="135"/>
      <c r="BC3367" s="135"/>
      <c r="BD3367" s="135"/>
      <c r="BE3367" s="135"/>
      <c r="BF3367" s="135"/>
      <c r="BG3367" s="135"/>
      <c r="BH3367" s="135"/>
      <c r="BI3367" s="2"/>
      <c r="BJ3367" s="136"/>
      <c r="BK3367" s="2"/>
      <c r="BL3367" s="136"/>
      <c r="BM3367" s="136"/>
      <c r="BN3367" s="2"/>
      <c r="BO3367" s="2"/>
      <c r="BP3367" s="136"/>
      <c r="BQ3367" s="137"/>
    </row>
    <row r="3368" spans="1:69" ht="12.75" customHeight="1" x14ac:dyDescent="0.2">
      <c r="A3368" s="2">
        <v>4857</v>
      </c>
      <c r="B3368" s="2"/>
      <c r="C3368" s="2"/>
      <c r="D3368" s="2"/>
      <c r="E3368" s="2"/>
      <c r="F3368" s="132">
        <v>0</v>
      </c>
      <c r="G3368" s="132"/>
      <c r="H3368" s="132">
        <f t="shared" si="374"/>
        <v>0</v>
      </c>
      <c r="I3368" s="132"/>
      <c r="J3368" s="132">
        <f t="shared" si="379"/>
        <v>0</v>
      </c>
      <c r="K3368" s="132">
        <f t="shared" si="375"/>
        <v>0</v>
      </c>
      <c r="L3368" s="132">
        <f t="shared" si="376"/>
        <v>0</v>
      </c>
      <c r="M3368" s="133"/>
      <c r="N3368" s="133">
        <f t="shared" si="373"/>
        <v>0</v>
      </c>
      <c r="O3368" s="134"/>
      <c r="P3368" s="133"/>
      <c r="Q3368" s="2"/>
      <c r="R3368" s="156">
        <f t="shared" si="377"/>
        <v>0</v>
      </c>
      <c r="S3368" s="156">
        <f t="shared" si="378"/>
        <v>0</v>
      </c>
      <c r="T3368" s="133"/>
      <c r="U3368" s="133"/>
      <c r="V3368" s="133"/>
      <c r="W3368" s="133"/>
      <c r="X3368" s="133"/>
      <c r="Y3368" s="133"/>
      <c r="Z3368" s="133"/>
      <c r="AA3368" s="133"/>
      <c r="AB3368" s="133"/>
      <c r="AC3368" s="133"/>
      <c r="AD3368" s="133"/>
      <c r="AE3368" s="133"/>
      <c r="AF3368" s="133"/>
      <c r="AG3368" s="133"/>
      <c r="AH3368" s="133"/>
      <c r="AI3368" s="133"/>
      <c r="AJ3368" s="133"/>
      <c r="AK3368" s="133"/>
      <c r="AL3368" s="133"/>
      <c r="AM3368" s="133"/>
      <c r="AN3368" s="133"/>
      <c r="AO3368" s="133"/>
      <c r="AP3368" s="133"/>
      <c r="AQ3368" s="133"/>
      <c r="AR3368" s="133"/>
      <c r="AS3368" s="153">
        <v>0</v>
      </c>
      <c r="AT3368" s="153">
        <v>0</v>
      </c>
      <c r="AU3368" s="153">
        <v>0</v>
      </c>
      <c r="AV3368" s="135"/>
      <c r="AW3368" s="135"/>
      <c r="AX3368" s="135"/>
      <c r="AY3368" s="135"/>
      <c r="AZ3368" s="135"/>
      <c r="BA3368" s="135"/>
      <c r="BB3368" s="135"/>
      <c r="BC3368" s="135"/>
      <c r="BD3368" s="135"/>
      <c r="BE3368" s="135"/>
      <c r="BF3368" s="135"/>
      <c r="BG3368" s="135"/>
      <c r="BH3368" s="135"/>
      <c r="BI3368" s="2"/>
      <c r="BJ3368" s="136"/>
      <c r="BK3368" s="2"/>
      <c r="BL3368" s="136"/>
      <c r="BM3368" s="136"/>
      <c r="BN3368" s="2"/>
      <c r="BO3368" s="2"/>
      <c r="BP3368" s="136"/>
      <c r="BQ3368" s="137"/>
    </row>
    <row r="3369" spans="1:69" ht="12.75" customHeight="1" x14ac:dyDescent="0.2">
      <c r="A3369" s="2">
        <v>4858</v>
      </c>
      <c r="B3369" s="2"/>
      <c r="C3369" s="2"/>
      <c r="D3369" s="2"/>
      <c r="E3369" s="2"/>
      <c r="F3369" s="132">
        <v>0</v>
      </c>
      <c r="G3369" s="132"/>
      <c r="H3369" s="132">
        <f t="shared" si="374"/>
        <v>0</v>
      </c>
      <c r="I3369" s="132"/>
      <c r="J3369" s="132">
        <f t="shared" si="379"/>
        <v>0</v>
      </c>
      <c r="K3369" s="132">
        <f t="shared" si="375"/>
        <v>0</v>
      </c>
      <c r="L3369" s="132">
        <f t="shared" si="376"/>
        <v>0</v>
      </c>
      <c r="M3369" s="133"/>
      <c r="N3369" s="133">
        <f t="shared" si="373"/>
        <v>0</v>
      </c>
      <c r="O3369" s="134"/>
      <c r="P3369" s="133"/>
      <c r="Q3369" s="2"/>
      <c r="R3369" s="156">
        <f t="shared" si="377"/>
        <v>0</v>
      </c>
      <c r="S3369" s="156">
        <f t="shared" si="378"/>
        <v>0</v>
      </c>
      <c r="T3369" s="133"/>
      <c r="U3369" s="133"/>
      <c r="V3369" s="133"/>
      <c r="W3369" s="133"/>
      <c r="X3369" s="133"/>
      <c r="Y3369" s="133"/>
      <c r="Z3369" s="133"/>
      <c r="AA3369" s="133"/>
      <c r="AB3369" s="133"/>
      <c r="AC3369" s="133"/>
      <c r="AD3369" s="133"/>
      <c r="AE3369" s="133"/>
      <c r="AF3369" s="133"/>
      <c r="AG3369" s="133"/>
      <c r="AH3369" s="133"/>
      <c r="AI3369" s="133"/>
      <c r="AJ3369" s="133"/>
      <c r="AK3369" s="133"/>
      <c r="AL3369" s="133"/>
      <c r="AM3369" s="133"/>
      <c r="AN3369" s="133"/>
      <c r="AO3369" s="133"/>
      <c r="AP3369" s="133"/>
      <c r="AQ3369" s="133"/>
      <c r="AR3369" s="133"/>
      <c r="AS3369" s="153">
        <v>0</v>
      </c>
      <c r="AT3369" s="153">
        <v>0</v>
      </c>
      <c r="AU3369" s="153">
        <v>0</v>
      </c>
      <c r="AV3369" s="135"/>
      <c r="AW3369" s="135"/>
      <c r="AX3369" s="135"/>
      <c r="AY3369" s="135"/>
      <c r="AZ3369" s="135"/>
      <c r="BA3369" s="135"/>
      <c r="BB3369" s="135"/>
      <c r="BC3369" s="135"/>
      <c r="BD3369" s="135"/>
      <c r="BE3369" s="135"/>
      <c r="BF3369" s="135"/>
      <c r="BG3369" s="135"/>
      <c r="BH3369" s="135"/>
      <c r="BI3369" s="2"/>
      <c r="BJ3369" s="136"/>
      <c r="BK3369" s="2"/>
      <c r="BL3369" s="136"/>
      <c r="BM3369" s="136"/>
      <c r="BN3369" s="2"/>
      <c r="BO3369" s="2"/>
      <c r="BP3369" s="136"/>
      <c r="BQ3369" s="137"/>
    </row>
    <row r="3370" spans="1:69" ht="12.75" customHeight="1" x14ac:dyDescent="0.2">
      <c r="A3370" s="2">
        <v>4859</v>
      </c>
      <c r="B3370" s="2"/>
      <c r="C3370" s="2"/>
      <c r="D3370" s="2"/>
      <c r="E3370" s="2"/>
      <c r="F3370" s="132">
        <v>0</v>
      </c>
      <c r="G3370" s="132"/>
      <c r="H3370" s="132">
        <f t="shared" si="374"/>
        <v>0</v>
      </c>
      <c r="I3370" s="132"/>
      <c r="J3370" s="132">
        <f t="shared" si="379"/>
        <v>0</v>
      </c>
      <c r="K3370" s="132">
        <f t="shared" si="375"/>
        <v>0</v>
      </c>
      <c r="L3370" s="132">
        <f t="shared" si="376"/>
        <v>0</v>
      </c>
      <c r="M3370" s="133"/>
      <c r="N3370" s="133">
        <f t="shared" ref="N3370:N3433" si="380">IF(OR(BK3370="принят",BK3370="Завершено",BK3370="ПриПро"),H3370-J3370,F3370-J3370)</f>
        <v>0</v>
      </c>
      <c r="O3370" s="134"/>
      <c r="P3370" s="133"/>
      <c r="Q3370" s="2"/>
      <c r="R3370" s="156">
        <f t="shared" si="377"/>
        <v>0</v>
      </c>
      <c r="S3370" s="156">
        <f t="shared" si="378"/>
        <v>0</v>
      </c>
      <c r="T3370" s="133"/>
      <c r="U3370" s="133"/>
      <c r="V3370" s="133"/>
      <c r="W3370" s="133"/>
      <c r="X3370" s="133"/>
      <c r="Y3370" s="133"/>
      <c r="Z3370" s="133"/>
      <c r="AA3370" s="133"/>
      <c r="AB3370" s="133"/>
      <c r="AC3370" s="133"/>
      <c r="AD3370" s="133"/>
      <c r="AE3370" s="133"/>
      <c r="AF3370" s="133"/>
      <c r="AG3370" s="133"/>
      <c r="AH3370" s="133"/>
      <c r="AI3370" s="133"/>
      <c r="AJ3370" s="133"/>
      <c r="AK3370" s="133"/>
      <c r="AL3370" s="133"/>
      <c r="AM3370" s="133"/>
      <c r="AN3370" s="133"/>
      <c r="AO3370" s="133"/>
      <c r="AP3370" s="133"/>
      <c r="AQ3370" s="133"/>
      <c r="AR3370" s="133"/>
      <c r="AS3370" s="153">
        <v>0</v>
      </c>
      <c r="AT3370" s="153">
        <v>0</v>
      </c>
      <c r="AU3370" s="153">
        <v>0</v>
      </c>
      <c r="AV3370" s="135"/>
      <c r="AW3370" s="135"/>
      <c r="AX3370" s="135"/>
      <c r="AY3370" s="135"/>
      <c r="AZ3370" s="135"/>
      <c r="BA3370" s="135"/>
      <c r="BB3370" s="135"/>
      <c r="BC3370" s="135"/>
      <c r="BD3370" s="135"/>
      <c r="BE3370" s="135"/>
      <c r="BF3370" s="135"/>
      <c r="BG3370" s="135"/>
      <c r="BH3370" s="135"/>
      <c r="BI3370" s="2"/>
      <c r="BJ3370" s="136"/>
      <c r="BK3370" s="2"/>
      <c r="BL3370" s="136"/>
      <c r="BM3370" s="136"/>
      <c r="BN3370" s="2"/>
      <c r="BO3370" s="2"/>
      <c r="BP3370" s="136"/>
      <c r="BQ3370" s="137"/>
    </row>
    <row r="3371" spans="1:69" ht="12.75" customHeight="1" x14ac:dyDescent="0.2">
      <c r="A3371" s="2">
        <v>4860</v>
      </c>
      <c r="B3371" s="2"/>
      <c r="C3371" s="2"/>
      <c r="D3371" s="2"/>
      <c r="E3371" s="2"/>
      <c r="F3371" s="132">
        <v>0</v>
      </c>
      <c r="G3371" s="132"/>
      <c r="H3371" s="132">
        <f t="shared" si="374"/>
        <v>0</v>
      </c>
      <c r="I3371" s="132"/>
      <c r="J3371" s="132">
        <f t="shared" si="379"/>
        <v>0</v>
      </c>
      <c r="K3371" s="132">
        <f t="shared" si="375"/>
        <v>0</v>
      </c>
      <c r="L3371" s="132">
        <f t="shared" si="376"/>
        <v>0</v>
      </c>
      <c r="M3371" s="133"/>
      <c r="N3371" s="133">
        <f t="shared" si="380"/>
        <v>0</v>
      </c>
      <c r="O3371" s="134"/>
      <c r="P3371" s="133"/>
      <c r="Q3371" s="2"/>
      <c r="R3371" s="156">
        <f t="shared" si="377"/>
        <v>0</v>
      </c>
      <c r="S3371" s="156">
        <f t="shared" si="378"/>
        <v>0</v>
      </c>
      <c r="T3371" s="133"/>
      <c r="U3371" s="133"/>
      <c r="V3371" s="133"/>
      <c r="W3371" s="133"/>
      <c r="X3371" s="133"/>
      <c r="Y3371" s="133"/>
      <c r="Z3371" s="133"/>
      <c r="AA3371" s="133"/>
      <c r="AB3371" s="133"/>
      <c r="AC3371" s="133"/>
      <c r="AD3371" s="133"/>
      <c r="AE3371" s="133"/>
      <c r="AF3371" s="133"/>
      <c r="AG3371" s="133"/>
      <c r="AH3371" s="133"/>
      <c r="AI3371" s="133"/>
      <c r="AJ3371" s="133"/>
      <c r="AK3371" s="133"/>
      <c r="AL3371" s="133"/>
      <c r="AM3371" s="133"/>
      <c r="AN3371" s="133"/>
      <c r="AO3371" s="133"/>
      <c r="AP3371" s="133"/>
      <c r="AQ3371" s="133"/>
      <c r="AR3371" s="133"/>
      <c r="AS3371" s="153">
        <v>0</v>
      </c>
      <c r="AT3371" s="153">
        <v>0</v>
      </c>
      <c r="AU3371" s="153">
        <v>0</v>
      </c>
      <c r="AV3371" s="135"/>
      <c r="AW3371" s="135"/>
      <c r="AX3371" s="135"/>
      <c r="AY3371" s="135"/>
      <c r="AZ3371" s="135"/>
      <c r="BA3371" s="135"/>
      <c r="BB3371" s="135"/>
      <c r="BC3371" s="135"/>
      <c r="BD3371" s="135"/>
      <c r="BE3371" s="135"/>
      <c r="BF3371" s="135"/>
      <c r="BG3371" s="135"/>
      <c r="BH3371" s="135"/>
      <c r="BI3371" s="2"/>
      <c r="BJ3371" s="136"/>
      <c r="BK3371" s="2"/>
      <c r="BL3371" s="136"/>
      <c r="BM3371" s="136"/>
      <c r="BN3371" s="2"/>
      <c r="BO3371" s="2"/>
      <c r="BP3371" s="136"/>
      <c r="BQ3371" s="137"/>
    </row>
    <row r="3372" spans="1:69" ht="12.75" customHeight="1" x14ac:dyDescent="0.2">
      <c r="A3372" s="2">
        <v>4861</v>
      </c>
      <c r="B3372" s="2"/>
      <c r="C3372" s="2"/>
      <c r="D3372" s="2"/>
      <c r="E3372" s="2"/>
      <c r="F3372" s="132">
        <v>0</v>
      </c>
      <c r="G3372" s="132"/>
      <c r="H3372" s="132">
        <f t="shared" si="374"/>
        <v>0</v>
      </c>
      <c r="I3372" s="132"/>
      <c r="J3372" s="132">
        <f t="shared" si="379"/>
        <v>0</v>
      </c>
      <c r="K3372" s="132">
        <f t="shared" si="375"/>
        <v>0</v>
      </c>
      <c r="L3372" s="132">
        <f t="shared" si="376"/>
        <v>0</v>
      </c>
      <c r="M3372" s="133"/>
      <c r="N3372" s="133">
        <f t="shared" si="380"/>
        <v>0</v>
      </c>
      <c r="O3372" s="134"/>
      <c r="P3372" s="133"/>
      <c r="Q3372" s="2"/>
      <c r="R3372" s="156">
        <f t="shared" si="377"/>
        <v>0</v>
      </c>
      <c r="S3372" s="156">
        <f t="shared" si="378"/>
        <v>0</v>
      </c>
      <c r="T3372" s="133"/>
      <c r="U3372" s="133"/>
      <c r="V3372" s="133"/>
      <c r="W3372" s="133"/>
      <c r="X3372" s="133"/>
      <c r="Y3372" s="133"/>
      <c r="Z3372" s="133"/>
      <c r="AA3372" s="133"/>
      <c r="AB3372" s="133"/>
      <c r="AC3372" s="133"/>
      <c r="AD3372" s="133"/>
      <c r="AE3372" s="133"/>
      <c r="AF3372" s="133"/>
      <c r="AG3372" s="133"/>
      <c r="AH3372" s="133"/>
      <c r="AI3372" s="133"/>
      <c r="AJ3372" s="133"/>
      <c r="AK3372" s="133"/>
      <c r="AL3372" s="133"/>
      <c r="AM3372" s="133"/>
      <c r="AN3372" s="133"/>
      <c r="AO3372" s="133"/>
      <c r="AP3372" s="133"/>
      <c r="AQ3372" s="133"/>
      <c r="AR3372" s="133"/>
      <c r="AS3372" s="153">
        <v>0</v>
      </c>
      <c r="AT3372" s="153">
        <v>0</v>
      </c>
      <c r="AU3372" s="153">
        <v>0</v>
      </c>
      <c r="AV3372" s="135"/>
      <c r="AW3372" s="135"/>
      <c r="AX3372" s="135"/>
      <c r="AY3372" s="135"/>
      <c r="AZ3372" s="135"/>
      <c r="BA3372" s="135"/>
      <c r="BB3372" s="135"/>
      <c r="BC3372" s="135"/>
      <c r="BD3372" s="135"/>
      <c r="BE3372" s="135"/>
      <c r="BF3372" s="135"/>
      <c r="BG3372" s="135"/>
      <c r="BH3372" s="135"/>
      <c r="BI3372" s="2"/>
      <c r="BJ3372" s="136"/>
      <c r="BK3372" s="2"/>
      <c r="BL3372" s="136"/>
      <c r="BM3372" s="136"/>
      <c r="BN3372" s="2"/>
      <c r="BO3372" s="2"/>
      <c r="BP3372" s="136"/>
      <c r="BQ3372" s="137"/>
    </row>
    <row r="3373" spans="1:69" ht="12.75" customHeight="1" x14ac:dyDescent="0.2">
      <c r="A3373" s="2">
        <v>4862</v>
      </c>
      <c r="B3373" s="2"/>
      <c r="C3373" s="2"/>
      <c r="D3373" s="2"/>
      <c r="E3373" s="2"/>
      <c r="F3373" s="132">
        <v>0</v>
      </c>
      <c r="G3373" s="132"/>
      <c r="H3373" s="132">
        <f t="shared" si="374"/>
        <v>0</v>
      </c>
      <c r="I3373" s="132"/>
      <c r="J3373" s="132">
        <f t="shared" si="379"/>
        <v>0</v>
      </c>
      <c r="K3373" s="132">
        <f t="shared" si="375"/>
        <v>0</v>
      </c>
      <c r="L3373" s="132">
        <f t="shared" si="376"/>
        <v>0</v>
      </c>
      <c r="M3373" s="133"/>
      <c r="N3373" s="133">
        <f t="shared" si="380"/>
        <v>0</v>
      </c>
      <c r="O3373" s="134"/>
      <c r="P3373" s="133"/>
      <c r="Q3373" s="2"/>
      <c r="R3373" s="156">
        <f t="shared" si="377"/>
        <v>0</v>
      </c>
      <c r="S3373" s="156">
        <f t="shared" si="378"/>
        <v>0</v>
      </c>
      <c r="T3373" s="133"/>
      <c r="U3373" s="133"/>
      <c r="V3373" s="133"/>
      <c r="W3373" s="133"/>
      <c r="X3373" s="133"/>
      <c r="Y3373" s="133"/>
      <c r="Z3373" s="133"/>
      <c r="AA3373" s="133"/>
      <c r="AB3373" s="133"/>
      <c r="AC3373" s="133"/>
      <c r="AD3373" s="133"/>
      <c r="AE3373" s="133"/>
      <c r="AF3373" s="133"/>
      <c r="AG3373" s="133"/>
      <c r="AH3373" s="133"/>
      <c r="AI3373" s="133"/>
      <c r="AJ3373" s="133"/>
      <c r="AK3373" s="133"/>
      <c r="AL3373" s="133"/>
      <c r="AM3373" s="133"/>
      <c r="AN3373" s="133"/>
      <c r="AO3373" s="133"/>
      <c r="AP3373" s="133"/>
      <c r="AQ3373" s="133"/>
      <c r="AR3373" s="133"/>
      <c r="AS3373" s="153">
        <v>0</v>
      </c>
      <c r="AT3373" s="153">
        <v>0</v>
      </c>
      <c r="AU3373" s="153">
        <v>0</v>
      </c>
      <c r="AV3373" s="135"/>
      <c r="AW3373" s="135"/>
      <c r="AX3373" s="135"/>
      <c r="AY3373" s="135"/>
      <c r="AZ3373" s="135"/>
      <c r="BA3373" s="135"/>
      <c r="BB3373" s="135"/>
      <c r="BC3373" s="135"/>
      <c r="BD3373" s="135"/>
      <c r="BE3373" s="135"/>
      <c r="BF3373" s="135"/>
      <c r="BG3373" s="135"/>
      <c r="BH3373" s="135"/>
      <c r="BI3373" s="2"/>
      <c r="BJ3373" s="136"/>
      <c r="BK3373" s="2"/>
      <c r="BL3373" s="136"/>
      <c r="BM3373" s="136"/>
      <c r="BN3373" s="2"/>
      <c r="BO3373" s="2"/>
      <c r="BP3373" s="136"/>
      <c r="BQ3373" s="137"/>
    </row>
    <row r="3374" spans="1:69" ht="12.75" customHeight="1" x14ac:dyDescent="0.2">
      <c r="A3374" s="2">
        <v>4863</v>
      </c>
      <c r="B3374" s="2"/>
      <c r="C3374" s="2"/>
      <c r="D3374" s="2"/>
      <c r="E3374" s="2"/>
      <c r="F3374" s="132">
        <v>0</v>
      </c>
      <c r="G3374" s="132"/>
      <c r="H3374" s="132">
        <f t="shared" ref="H3374:H3437" si="381">R3374</f>
        <v>0</v>
      </c>
      <c r="I3374" s="132"/>
      <c r="J3374" s="132">
        <f t="shared" si="379"/>
        <v>0</v>
      </c>
      <c r="K3374" s="132">
        <f t="shared" si="375"/>
        <v>0</v>
      </c>
      <c r="L3374" s="132">
        <f t="shared" si="376"/>
        <v>0</v>
      </c>
      <c r="M3374" s="133"/>
      <c r="N3374" s="133">
        <f t="shared" si="380"/>
        <v>0</v>
      </c>
      <c r="O3374" s="134"/>
      <c r="P3374" s="133"/>
      <c r="Q3374" s="2"/>
      <c r="R3374" s="156">
        <f t="shared" si="377"/>
        <v>0</v>
      </c>
      <c r="S3374" s="156">
        <f t="shared" si="378"/>
        <v>0</v>
      </c>
      <c r="T3374" s="133"/>
      <c r="U3374" s="133"/>
      <c r="V3374" s="133"/>
      <c r="W3374" s="133"/>
      <c r="X3374" s="133"/>
      <c r="Y3374" s="133"/>
      <c r="Z3374" s="133"/>
      <c r="AA3374" s="133"/>
      <c r="AB3374" s="133"/>
      <c r="AC3374" s="133"/>
      <c r="AD3374" s="133"/>
      <c r="AE3374" s="133"/>
      <c r="AF3374" s="133"/>
      <c r="AG3374" s="133"/>
      <c r="AH3374" s="133"/>
      <c r="AI3374" s="133"/>
      <c r="AJ3374" s="133"/>
      <c r="AK3374" s="133"/>
      <c r="AL3374" s="133"/>
      <c r="AM3374" s="133"/>
      <c r="AN3374" s="133"/>
      <c r="AO3374" s="133"/>
      <c r="AP3374" s="133"/>
      <c r="AQ3374" s="133"/>
      <c r="AR3374" s="133"/>
      <c r="AS3374" s="153">
        <v>0</v>
      </c>
      <c r="AT3374" s="153">
        <v>0</v>
      </c>
      <c r="AU3374" s="153">
        <v>0</v>
      </c>
      <c r="AV3374" s="135"/>
      <c r="AW3374" s="135"/>
      <c r="AX3374" s="135"/>
      <c r="AY3374" s="135"/>
      <c r="AZ3374" s="135"/>
      <c r="BA3374" s="135"/>
      <c r="BB3374" s="135"/>
      <c r="BC3374" s="135"/>
      <c r="BD3374" s="135"/>
      <c r="BE3374" s="135"/>
      <c r="BF3374" s="135"/>
      <c r="BG3374" s="135"/>
      <c r="BH3374" s="135"/>
      <c r="BI3374" s="2"/>
      <c r="BJ3374" s="136"/>
      <c r="BK3374" s="2"/>
      <c r="BL3374" s="136"/>
      <c r="BM3374" s="136"/>
      <c r="BN3374" s="2"/>
      <c r="BO3374" s="2"/>
      <c r="BP3374" s="136"/>
      <c r="BQ3374" s="137"/>
    </row>
    <row r="3375" spans="1:69" ht="12.75" customHeight="1" x14ac:dyDescent="0.2">
      <c r="A3375" s="2">
        <v>4864</v>
      </c>
      <c r="B3375" s="2"/>
      <c r="C3375" s="2"/>
      <c r="D3375" s="2"/>
      <c r="E3375" s="2"/>
      <c r="F3375" s="132">
        <v>0</v>
      </c>
      <c r="G3375" s="132"/>
      <c r="H3375" s="132">
        <f t="shared" si="381"/>
        <v>0</v>
      </c>
      <c r="I3375" s="132"/>
      <c r="J3375" s="132">
        <f t="shared" si="379"/>
        <v>0</v>
      </c>
      <c r="K3375" s="132">
        <f t="shared" si="375"/>
        <v>0</v>
      </c>
      <c r="L3375" s="132">
        <f t="shared" si="376"/>
        <v>0</v>
      </c>
      <c r="M3375" s="133"/>
      <c r="N3375" s="133">
        <f t="shared" si="380"/>
        <v>0</v>
      </c>
      <c r="O3375" s="134"/>
      <c r="P3375" s="133"/>
      <c r="Q3375" s="2"/>
      <c r="R3375" s="156">
        <f t="shared" si="377"/>
        <v>0</v>
      </c>
      <c r="S3375" s="156">
        <f t="shared" si="378"/>
        <v>0</v>
      </c>
      <c r="T3375" s="133"/>
      <c r="U3375" s="133"/>
      <c r="V3375" s="133"/>
      <c r="W3375" s="133"/>
      <c r="X3375" s="133"/>
      <c r="Y3375" s="133"/>
      <c r="Z3375" s="133"/>
      <c r="AA3375" s="133"/>
      <c r="AB3375" s="133"/>
      <c r="AC3375" s="133"/>
      <c r="AD3375" s="133"/>
      <c r="AE3375" s="133"/>
      <c r="AF3375" s="133"/>
      <c r="AG3375" s="133"/>
      <c r="AH3375" s="133"/>
      <c r="AI3375" s="133"/>
      <c r="AJ3375" s="133"/>
      <c r="AK3375" s="133"/>
      <c r="AL3375" s="133"/>
      <c r="AM3375" s="133"/>
      <c r="AN3375" s="133"/>
      <c r="AO3375" s="133"/>
      <c r="AP3375" s="133"/>
      <c r="AQ3375" s="133"/>
      <c r="AR3375" s="133"/>
      <c r="AS3375" s="153">
        <v>0</v>
      </c>
      <c r="AT3375" s="153">
        <v>0</v>
      </c>
      <c r="AU3375" s="153">
        <v>0</v>
      </c>
      <c r="AV3375" s="135"/>
      <c r="AW3375" s="135"/>
      <c r="AX3375" s="135"/>
      <c r="AY3375" s="135"/>
      <c r="AZ3375" s="135"/>
      <c r="BA3375" s="135"/>
      <c r="BB3375" s="135"/>
      <c r="BC3375" s="135"/>
      <c r="BD3375" s="135"/>
      <c r="BE3375" s="135"/>
      <c r="BF3375" s="135"/>
      <c r="BG3375" s="135"/>
      <c r="BH3375" s="135"/>
      <c r="BI3375" s="2"/>
      <c r="BJ3375" s="136"/>
      <c r="BK3375" s="2"/>
      <c r="BL3375" s="136"/>
      <c r="BM3375" s="136"/>
      <c r="BN3375" s="2"/>
      <c r="BO3375" s="2"/>
      <c r="BP3375" s="136"/>
      <c r="BQ3375" s="137"/>
    </row>
    <row r="3376" spans="1:69" ht="12.75" customHeight="1" x14ac:dyDescent="0.2">
      <c r="A3376" s="2">
        <v>4865</v>
      </c>
      <c r="B3376" s="2"/>
      <c r="C3376" s="2"/>
      <c r="D3376" s="2"/>
      <c r="E3376" s="2"/>
      <c r="F3376" s="132">
        <v>0</v>
      </c>
      <c r="G3376" s="132"/>
      <c r="H3376" s="132">
        <f t="shared" si="381"/>
        <v>0</v>
      </c>
      <c r="I3376" s="132"/>
      <c r="J3376" s="132">
        <f t="shared" si="379"/>
        <v>0</v>
      </c>
      <c r="K3376" s="132">
        <f t="shared" si="375"/>
        <v>0</v>
      </c>
      <c r="L3376" s="132">
        <f t="shared" si="376"/>
        <v>0</v>
      </c>
      <c r="M3376" s="133"/>
      <c r="N3376" s="133">
        <f t="shared" si="380"/>
        <v>0</v>
      </c>
      <c r="O3376" s="134"/>
      <c r="P3376" s="133"/>
      <c r="Q3376" s="2"/>
      <c r="R3376" s="156">
        <f t="shared" si="377"/>
        <v>0</v>
      </c>
      <c r="S3376" s="156">
        <f t="shared" si="378"/>
        <v>0</v>
      </c>
      <c r="T3376" s="133"/>
      <c r="U3376" s="133"/>
      <c r="V3376" s="133"/>
      <c r="W3376" s="133"/>
      <c r="X3376" s="133"/>
      <c r="Y3376" s="133"/>
      <c r="Z3376" s="133"/>
      <c r="AA3376" s="133"/>
      <c r="AB3376" s="133"/>
      <c r="AC3376" s="133"/>
      <c r="AD3376" s="133"/>
      <c r="AE3376" s="133"/>
      <c r="AF3376" s="133"/>
      <c r="AG3376" s="133"/>
      <c r="AH3376" s="133"/>
      <c r="AI3376" s="133"/>
      <c r="AJ3376" s="133"/>
      <c r="AK3376" s="133"/>
      <c r="AL3376" s="133"/>
      <c r="AM3376" s="133"/>
      <c r="AN3376" s="133"/>
      <c r="AO3376" s="133"/>
      <c r="AP3376" s="133"/>
      <c r="AQ3376" s="133"/>
      <c r="AR3376" s="133"/>
      <c r="AS3376" s="153">
        <v>0</v>
      </c>
      <c r="AT3376" s="153">
        <v>0</v>
      </c>
      <c r="AU3376" s="153">
        <v>0</v>
      </c>
      <c r="AV3376" s="135"/>
      <c r="AW3376" s="135"/>
      <c r="AX3376" s="135"/>
      <c r="AY3376" s="135"/>
      <c r="AZ3376" s="135"/>
      <c r="BA3376" s="135"/>
      <c r="BB3376" s="135"/>
      <c r="BC3376" s="135"/>
      <c r="BD3376" s="135"/>
      <c r="BE3376" s="135"/>
      <c r="BF3376" s="135"/>
      <c r="BG3376" s="135"/>
      <c r="BH3376" s="135"/>
      <c r="BI3376" s="2"/>
      <c r="BJ3376" s="136"/>
      <c r="BK3376" s="2"/>
      <c r="BL3376" s="136"/>
      <c r="BM3376" s="136"/>
      <c r="BN3376" s="2"/>
      <c r="BO3376" s="2"/>
      <c r="BP3376" s="136"/>
      <c r="BQ3376" s="137"/>
    </row>
    <row r="3377" spans="1:69" ht="12.75" customHeight="1" x14ac:dyDescent="0.2">
      <c r="A3377" s="2">
        <v>4866</v>
      </c>
      <c r="B3377" s="2"/>
      <c r="C3377" s="2"/>
      <c r="D3377" s="2"/>
      <c r="E3377" s="2"/>
      <c r="F3377" s="132">
        <v>0</v>
      </c>
      <c r="G3377" s="132"/>
      <c r="H3377" s="132">
        <f t="shared" si="381"/>
        <v>0</v>
      </c>
      <c r="I3377" s="132"/>
      <c r="J3377" s="132">
        <f t="shared" si="379"/>
        <v>0</v>
      </c>
      <c r="K3377" s="132">
        <f t="shared" si="375"/>
        <v>0</v>
      </c>
      <c r="L3377" s="132">
        <f t="shared" si="376"/>
        <v>0</v>
      </c>
      <c r="M3377" s="133"/>
      <c r="N3377" s="133">
        <f t="shared" si="380"/>
        <v>0</v>
      </c>
      <c r="O3377" s="134"/>
      <c r="P3377" s="133"/>
      <c r="Q3377" s="2"/>
      <c r="R3377" s="156">
        <f t="shared" si="377"/>
        <v>0</v>
      </c>
      <c r="S3377" s="156">
        <f t="shared" si="378"/>
        <v>0</v>
      </c>
      <c r="T3377" s="133"/>
      <c r="U3377" s="133"/>
      <c r="V3377" s="133"/>
      <c r="W3377" s="133"/>
      <c r="X3377" s="133"/>
      <c r="Y3377" s="133"/>
      <c r="Z3377" s="133"/>
      <c r="AA3377" s="133"/>
      <c r="AB3377" s="133"/>
      <c r="AC3377" s="133"/>
      <c r="AD3377" s="133"/>
      <c r="AE3377" s="133"/>
      <c r="AF3377" s="133"/>
      <c r="AG3377" s="133"/>
      <c r="AH3377" s="133"/>
      <c r="AI3377" s="133"/>
      <c r="AJ3377" s="133"/>
      <c r="AK3377" s="133"/>
      <c r="AL3377" s="133"/>
      <c r="AM3377" s="133"/>
      <c r="AN3377" s="133"/>
      <c r="AO3377" s="133"/>
      <c r="AP3377" s="133"/>
      <c r="AQ3377" s="133"/>
      <c r="AR3377" s="133"/>
      <c r="AS3377" s="153">
        <v>0</v>
      </c>
      <c r="AT3377" s="153">
        <v>0</v>
      </c>
      <c r="AU3377" s="153">
        <v>0</v>
      </c>
      <c r="AV3377" s="135"/>
      <c r="AW3377" s="135"/>
      <c r="AX3377" s="135"/>
      <c r="AY3377" s="135"/>
      <c r="AZ3377" s="135"/>
      <c r="BA3377" s="135"/>
      <c r="BB3377" s="135"/>
      <c r="BC3377" s="135"/>
      <c r="BD3377" s="135"/>
      <c r="BE3377" s="135"/>
      <c r="BF3377" s="135"/>
      <c r="BG3377" s="135"/>
      <c r="BH3377" s="135"/>
      <c r="BI3377" s="2"/>
      <c r="BJ3377" s="136"/>
      <c r="BK3377" s="2"/>
      <c r="BL3377" s="136"/>
      <c r="BM3377" s="136"/>
      <c r="BN3377" s="2"/>
      <c r="BO3377" s="2"/>
      <c r="BP3377" s="136"/>
      <c r="BQ3377" s="137"/>
    </row>
    <row r="3378" spans="1:69" ht="12.75" customHeight="1" x14ac:dyDescent="0.2">
      <c r="A3378" s="2">
        <v>4867</v>
      </c>
      <c r="B3378" s="2"/>
      <c r="C3378" s="2"/>
      <c r="D3378" s="2"/>
      <c r="E3378" s="2"/>
      <c r="F3378" s="132">
        <v>0</v>
      </c>
      <c r="G3378" s="132"/>
      <c r="H3378" s="132">
        <f t="shared" si="381"/>
        <v>0</v>
      </c>
      <c r="I3378" s="132"/>
      <c r="J3378" s="132">
        <f t="shared" si="379"/>
        <v>0</v>
      </c>
      <c r="K3378" s="132">
        <f t="shared" si="375"/>
        <v>0</v>
      </c>
      <c r="L3378" s="132">
        <f t="shared" si="376"/>
        <v>0</v>
      </c>
      <c r="M3378" s="133"/>
      <c r="N3378" s="133">
        <f t="shared" si="380"/>
        <v>0</v>
      </c>
      <c r="O3378" s="134"/>
      <c r="P3378" s="133"/>
      <c r="Q3378" s="2"/>
      <c r="R3378" s="156">
        <f t="shared" si="377"/>
        <v>0</v>
      </c>
      <c r="S3378" s="156">
        <f t="shared" si="378"/>
        <v>0</v>
      </c>
      <c r="T3378" s="133"/>
      <c r="U3378" s="133"/>
      <c r="V3378" s="133"/>
      <c r="W3378" s="133"/>
      <c r="X3378" s="133"/>
      <c r="Y3378" s="133"/>
      <c r="Z3378" s="133"/>
      <c r="AA3378" s="133"/>
      <c r="AB3378" s="133"/>
      <c r="AC3378" s="133"/>
      <c r="AD3378" s="133"/>
      <c r="AE3378" s="133"/>
      <c r="AF3378" s="133"/>
      <c r="AG3378" s="133"/>
      <c r="AH3378" s="133"/>
      <c r="AI3378" s="133"/>
      <c r="AJ3378" s="133"/>
      <c r="AK3378" s="133"/>
      <c r="AL3378" s="133"/>
      <c r="AM3378" s="133"/>
      <c r="AN3378" s="133"/>
      <c r="AO3378" s="133"/>
      <c r="AP3378" s="133"/>
      <c r="AQ3378" s="133"/>
      <c r="AR3378" s="133"/>
      <c r="AS3378" s="153">
        <v>0</v>
      </c>
      <c r="AT3378" s="153">
        <v>0</v>
      </c>
      <c r="AU3378" s="153">
        <v>0</v>
      </c>
      <c r="AV3378" s="135"/>
      <c r="AW3378" s="135"/>
      <c r="AX3378" s="135"/>
      <c r="AY3378" s="135"/>
      <c r="AZ3378" s="135"/>
      <c r="BA3378" s="135"/>
      <c r="BB3378" s="135"/>
      <c r="BC3378" s="135"/>
      <c r="BD3378" s="135"/>
      <c r="BE3378" s="135"/>
      <c r="BF3378" s="135"/>
      <c r="BG3378" s="135"/>
      <c r="BH3378" s="135"/>
      <c r="BI3378" s="2"/>
      <c r="BJ3378" s="136"/>
      <c r="BK3378" s="2"/>
      <c r="BL3378" s="136"/>
      <c r="BM3378" s="136"/>
      <c r="BN3378" s="2"/>
      <c r="BO3378" s="2"/>
      <c r="BP3378" s="136"/>
      <c r="BQ3378" s="137"/>
    </row>
    <row r="3379" spans="1:69" ht="12.75" customHeight="1" x14ac:dyDescent="0.2">
      <c r="A3379" s="2">
        <v>4868</v>
      </c>
      <c r="B3379" s="2"/>
      <c r="C3379" s="2"/>
      <c r="D3379" s="2"/>
      <c r="E3379" s="2"/>
      <c r="F3379" s="132">
        <v>0</v>
      </c>
      <c r="G3379" s="132"/>
      <c r="H3379" s="132">
        <f t="shared" si="381"/>
        <v>0</v>
      </c>
      <c r="I3379" s="132"/>
      <c r="J3379" s="132">
        <f t="shared" si="379"/>
        <v>0</v>
      </c>
      <c r="K3379" s="132">
        <f t="shared" si="375"/>
        <v>0</v>
      </c>
      <c r="L3379" s="132">
        <f t="shared" si="376"/>
        <v>0</v>
      </c>
      <c r="M3379" s="133"/>
      <c r="N3379" s="133">
        <f t="shared" si="380"/>
        <v>0</v>
      </c>
      <c r="O3379" s="134"/>
      <c r="P3379" s="133"/>
      <c r="Q3379" s="2"/>
      <c r="R3379" s="156">
        <f t="shared" si="377"/>
        <v>0</v>
      </c>
      <c r="S3379" s="156">
        <f t="shared" si="378"/>
        <v>0</v>
      </c>
      <c r="T3379" s="133"/>
      <c r="U3379" s="133"/>
      <c r="V3379" s="133"/>
      <c r="W3379" s="133"/>
      <c r="X3379" s="133"/>
      <c r="Y3379" s="133"/>
      <c r="Z3379" s="133"/>
      <c r="AA3379" s="133"/>
      <c r="AB3379" s="133"/>
      <c r="AC3379" s="133"/>
      <c r="AD3379" s="133"/>
      <c r="AE3379" s="133"/>
      <c r="AF3379" s="133"/>
      <c r="AG3379" s="133"/>
      <c r="AH3379" s="133"/>
      <c r="AI3379" s="133"/>
      <c r="AJ3379" s="133"/>
      <c r="AK3379" s="133"/>
      <c r="AL3379" s="133"/>
      <c r="AM3379" s="133"/>
      <c r="AN3379" s="133"/>
      <c r="AO3379" s="133"/>
      <c r="AP3379" s="133"/>
      <c r="AQ3379" s="133"/>
      <c r="AR3379" s="133"/>
      <c r="AS3379" s="153">
        <v>0</v>
      </c>
      <c r="AT3379" s="153">
        <v>0</v>
      </c>
      <c r="AU3379" s="153">
        <v>0</v>
      </c>
      <c r="AV3379" s="135"/>
      <c r="AW3379" s="135"/>
      <c r="AX3379" s="135"/>
      <c r="AY3379" s="135"/>
      <c r="AZ3379" s="135"/>
      <c r="BA3379" s="135"/>
      <c r="BB3379" s="135"/>
      <c r="BC3379" s="135"/>
      <c r="BD3379" s="135"/>
      <c r="BE3379" s="135"/>
      <c r="BF3379" s="135"/>
      <c r="BG3379" s="135"/>
      <c r="BH3379" s="135"/>
      <c r="BI3379" s="2"/>
      <c r="BJ3379" s="136"/>
      <c r="BK3379" s="2"/>
      <c r="BL3379" s="136"/>
      <c r="BM3379" s="136"/>
      <c r="BN3379" s="2"/>
      <c r="BO3379" s="2"/>
      <c r="BP3379" s="136"/>
      <c r="BQ3379" s="137"/>
    </row>
    <row r="3380" spans="1:69" ht="12.75" customHeight="1" x14ac:dyDescent="0.2">
      <c r="A3380" s="2">
        <v>4869</v>
      </c>
      <c r="B3380" s="2"/>
      <c r="C3380" s="2"/>
      <c r="D3380" s="2"/>
      <c r="E3380" s="2"/>
      <c r="F3380" s="132">
        <v>0</v>
      </c>
      <c r="G3380" s="132"/>
      <c r="H3380" s="132">
        <f t="shared" si="381"/>
        <v>0</v>
      </c>
      <c r="I3380" s="132"/>
      <c r="J3380" s="132">
        <f t="shared" si="379"/>
        <v>0</v>
      </c>
      <c r="K3380" s="132">
        <f t="shared" si="375"/>
        <v>0</v>
      </c>
      <c r="L3380" s="132">
        <f t="shared" si="376"/>
        <v>0</v>
      </c>
      <c r="M3380" s="133"/>
      <c r="N3380" s="133">
        <f t="shared" si="380"/>
        <v>0</v>
      </c>
      <c r="O3380" s="134"/>
      <c r="P3380" s="133"/>
      <c r="Q3380" s="2"/>
      <c r="R3380" s="156">
        <f t="shared" si="377"/>
        <v>0</v>
      </c>
      <c r="S3380" s="156">
        <f t="shared" si="378"/>
        <v>0</v>
      </c>
      <c r="T3380" s="133"/>
      <c r="U3380" s="133"/>
      <c r="V3380" s="133"/>
      <c r="W3380" s="133"/>
      <c r="X3380" s="133"/>
      <c r="Y3380" s="133"/>
      <c r="Z3380" s="133"/>
      <c r="AA3380" s="133"/>
      <c r="AB3380" s="133"/>
      <c r="AC3380" s="133"/>
      <c r="AD3380" s="133"/>
      <c r="AE3380" s="133"/>
      <c r="AF3380" s="133"/>
      <c r="AG3380" s="133"/>
      <c r="AH3380" s="133"/>
      <c r="AI3380" s="133"/>
      <c r="AJ3380" s="133"/>
      <c r="AK3380" s="133"/>
      <c r="AL3380" s="133"/>
      <c r="AM3380" s="133"/>
      <c r="AN3380" s="133"/>
      <c r="AO3380" s="133"/>
      <c r="AP3380" s="133"/>
      <c r="AQ3380" s="133"/>
      <c r="AR3380" s="133"/>
      <c r="AS3380" s="153">
        <v>0</v>
      </c>
      <c r="AT3380" s="153">
        <v>0</v>
      </c>
      <c r="AU3380" s="153">
        <v>0</v>
      </c>
      <c r="AV3380" s="135"/>
      <c r="AW3380" s="135"/>
      <c r="AX3380" s="135"/>
      <c r="AY3380" s="135"/>
      <c r="AZ3380" s="135"/>
      <c r="BA3380" s="135"/>
      <c r="BB3380" s="135"/>
      <c r="BC3380" s="135"/>
      <c r="BD3380" s="135"/>
      <c r="BE3380" s="135"/>
      <c r="BF3380" s="135"/>
      <c r="BG3380" s="135"/>
      <c r="BH3380" s="135"/>
      <c r="BI3380" s="2"/>
      <c r="BJ3380" s="136"/>
      <c r="BK3380" s="2"/>
      <c r="BL3380" s="136"/>
      <c r="BM3380" s="136"/>
      <c r="BN3380" s="2"/>
      <c r="BO3380" s="2"/>
      <c r="BP3380" s="136"/>
      <c r="BQ3380" s="137"/>
    </row>
    <row r="3381" spans="1:69" ht="12.75" customHeight="1" x14ac:dyDescent="0.2">
      <c r="A3381" s="2">
        <v>4870</v>
      </c>
      <c r="B3381" s="2"/>
      <c r="C3381" s="2"/>
      <c r="D3381" s="2"/>
      <c r="E3381" s="2"/>
      <c r="F3381" s="132">
        <v>0</v>
      </c>
      <c r="G3381" s="132"/>
      <c r="H3381" s="132">
        <f t="shared" si="381"/>
        <v>0</v>
      </c>
      <c r="I3381" s="132"/>
      <c r="J3381" s="132">
        <f t="shared" si="379"/>
        <v>0</v>
      </c>
      <c r="K3381" s="132">
        <f t="shared" si="375"/>
        <v>0</v>
      </c>
      <c r="L3381" s="132">
        <f t="shared" si="376"/>
        <v>0</v>
      </c>
      <c r="M3381" s="133"/>
      <c r="N3381" s="133">
        <f t="shared" si="380"/>
        <v>0</v>
      </c>
      <c r="O3381" s="134"/>
      <c r="P3381" s="133"/>
      <c r="Q3381" s="2"/>
      <c r="R3381" s="156">
        <f t="shared" si="377"/>
        <v>0</v>
      </c>
      <c r="S3381" s="156">
        <f t="shared" si="378"/>
        <v>0</v>
      </c>
      <c r="T3381" s="133"/>
      <c r="U3381" s="133"/>
      <c r="V3381" s="133"/>
      <c r="W3381" s="133"/>
      <c r="X3381" s="133"/>
      <c r="Y3381" s="133"/>
      <c r="Z3381" s="133"/>
      <c r="AA3381" s="133"/>
      <c r="AB3381" s="133"/>
      <c r="AC3381" s="133"/>
      <c r="AD3381" s="133"/>
      <c r="AE3381" s="133"/>
      <c r="AF3381" s="133"/>
      <c r="AG3381" s="133"/>
      <c r="AH3381" s="133"/>
      <c r="AI3381" s="133"/>
      <c r="AJ3381" s="133"/>
      <c r="AK3381" s="133"/>
      <c r="AL3381" s="133"/>
      <c r="AM3381" s="133"/>
      <c r="AN3381" s="133"/>
      <c r="AO3381" s="133"/>
      <c r="AP3381" s="133"/>
      <c r="AQ3381" s="133"/>
      <c r="AR3381" s="133"/>
      <c r="AS3381" s="153">
        <v>0</v>
      </c>
      <c r="AT3381" s="153">
        <v>0</v>
      </c>
      <c r="AU3381" s="153">
        <v>0</v>
      </c>
      <c r="AV3381" s="135"/>
      <c r="AW3381" s="135"/>
      <c r="AX3381" s="135"/>
      <c r="AY3381" s="135"/>
      <c r="AZ3381" s="135"/>
      <c r="BA3381" s="135"/>
      <c r="BB3381" s="135"/>
      <c r="BC3381" s="135"/>
      <c r="BD3381" s="135"/>
      <c r="BE3381" s="135"/>
      <c r="BF3381" s="135"/>
      <c r="BG3381" s="135"/>
      <c r="BH3381" s="135"/>
      <c r="BI3381" s="2"/>
      <c r="BJ3381" s="136"/>
      <c r="BK3381" s="2"/>
      <c r="BL3381" s="136"/>
      <c r="BM3381" s="136"/>
      <c r="BN3381" s="2"/>
      <c r="BO3381" s="2"/>
      <c r="BP3381" s="136"/>
      <c r="BQ3381" s="137"/>
    </row>
    <row r="3382" spans="1:69" ht="12.75" customHeight="1" x14ac:dyDescent="0.2">
      <c r="A3382" s="2">
        <v>4871</v>
      </c>
      <c r="B3382" s="2"/>
      <c r="C3382" s="2"/>
      <c r="D3382" s="2"/>
      <c r="E3382" s="2"/>
      <c r="F3382" s="132">
        <v>0</v>
      </c>
      <c r="G3382" s="132"/>
      <c r="H3382" s="132">
        <f t="shared" si="381"/>
        <v>0</v>
      </c>
      <c r="I3382" s="132"/>
      <c r="J3382" s="132">
        <f t="shared" si="379"/>
        <v>0</v>
      </c>
      <c r="K3382" s="132">
        <f t="shared" ref="K3382:K3445" si="382">F3382-J3382</f>
        <v>0</v>
      </c>
      <c r="L3382" s="132">
        <f t="shared" si="376"/>
        <v>0</v>
      </c>
      <c r="M3382" s="133"/>
      <c r="N3382" s="133">
        <f t="shared" si="380"/>
        <v>0</v>
      </c>
      <c r="O3382" s="134"/>
      <c r="P3382" s="133"/>
      <c r="Q3382" s="2"/>
      <c r="R3382" s="156">
        <f t="shared" si="377"/>
        <v>0</v>
      </c>
      <c r="S3382" s="156">
        <f t="shared" si="378"/>
        <v>0</v>
      </c>
      <c r="T3382" s="133"/>
      <c r="U3382" s="133"/>
      <c r="V3382" s="133"/>
      <c r="W3382" s="133"/>
      <c r="X3382" s="133"/>
      <c r="Y3382" s="133"/>
      <c r="Z3382" s="133"/>
      <c r="AA3382" s="133"/>
      <c r="AB3382" s="133"/>
      <c r="AC3382" s="133"/>
      <c r="AD3382" s="133"/>
      <c r="AE3382" s="133"/>
      <c r="AF3382" s="133"/>
      <c r="AG3382" s="133"/>
      <c r="AH3382" s="133"/>
      <c r="AI3382" s="133"/>
      <c r="AJ3382" s="133"/>
      <c r="AK3382" s="133"/>
      <c r="AL3382" s="133"/>
      <c r="AM3382" s="133"/>
      <c r="AN3382" s="133"/>
      <c r="AO3382" s="133"/>
      <c r="AP3382" s="133"/>
      <c r="AQ3382" s="133"/>
      <c r="AR3382" s="133"/>
      <c r="AS3382" s="153">
        <v>0</v>
      </c>
      <c r="AT3382" s="153">
        <v>0</v>
      </c>
      <c r="AU3382" s="153">
        <v>0</v>
      </c>
      <c r="AV3382" s="135"/>
      <c r="AW3382" s="135"/>
      <c r="AX3382" s="135"/>
      <c r="AY3382" s="135"/>
      <c r="AZ3382" s="135"/>
      <c r="BA3382" s="135"/>
      <c r="BB3382" s="135"/>
      <c r="BC3382" s="135"/>
      <c r="BD3382" s="135"/>
      <c r="BE3382" s="135"/>
      <c r="BF3382" s="135"/>
      <c r="BG3382" s="135"/>
      <c r="BH3382" s="135"/>
      <c r="BI3382" s="2"/>
      <c r="BJ3382" s="136"/>
      <c r="BK3382" s="2"/>
      <c r="BL3382" s="136"/>
      <c r="BM3382" s="136"/>
      <c r="BN3382" s="2"/>
      <c r="BO3382" s="2"/>
      <c r="BP3382" s="136"/>
      <c r="BQ3382" s="137"/>
    </row>
    <row r="3383" spans="1:69" ht="12.75" customHeight="1" x14ac:dyDescent="0.2">
      <c r="A3383" s="2">
        <v>4872</v>
      </c>
      <c r="B3383" s="2"/>
      <c r="C3383" s="2"/>
      <c r="D3383" s="2"/>
      <c r="E3383" s="2"/>
      <c r="F3383" s="132">
        <v>0</v>
      </c>
      <c r="G3383" s="132"/>
      <c r="H3383" s="132">
        <f t="shared" si="381"/>
        <v>0</v>
      </c>
      <c r="I3383" s="132"/>
      <c r="J3383" s="132">
        <f t="shared" si="379"/>
        <v>0</v>
      </c>
      <c r="K3383" s="132">
        <f t="shared" si="382"/>
        <v>0</v>
      </c>
      <c r="L3383" s="132">
        <f t="shared" si="376"/>
        <v>0</v>
      </c>
      <c r="M3383" s="133"/>
      <c r="N3383" s="133">
        <f t="shared" si="380"/>
        <v>0</v>
      </c>
      <c r="O3383" s="134"/>
      <c r="P3383" s="133"/>
      <c r="Q3383" s="2"/>
      <c r="R3383" s="156">
        <f t="shared" si="377"/>
        <v>0</v>
      </c>
      <c r="S3383" s="156">
        <f t="shared" si="378"/>
        <v>0</v>
      </c>
      <c r="T3383" s="133"/>
      <c r="U3383" s="133"/>
      <c r="V3383" s="133"/>
      <c r="W3383" s="133"/>
      <c r="X3383" s="133"/>
      <c r="Y3383" s="133"/>
      <c r="Z3383" s="133"/>
      <c r="AA3383" s="133"/>
      <c r="AB3383" s="133"/>
      <c r="AC3383" s="133"/>
      <c r="AD3383" s="133"/>
      <c r="AE3383" s="133"/>
      <c r="AF3383" s="133"/>
      <c r="AG3383" s="133"/>
      <c r="AH3383" s="133"/>
      <c r="AI3383" s="133"/>
      <c r="AJ3383" s="133"/>
      <c r="AK3383" s="133"/>
      <c r="AL3383" s="133"/>
      <c r="AM3383" s="133"/>
      <c r="AN3383" s="133"/>
      <c r="AO3383" s="133"/>
      <c r="AP3383" s="133"/>
      <c r="AQ3383" s="133"/>
      <c r="AR3383" s="133"/>
      <c r="AS3383" s="153">
        <v>0</v>
      </c>
      <c r="AT3383" s="153">
        <v>0</v>
      </c>
      <c r="AU3383" s="153">
        <v>0</v>
      </c>
      <c r="AV3383" s="135"/>
      <c r="AW3383" s="135"/>
      <c r="AX3383" s="135"/>
      <c r="AY3383" s="135"/>
      <c r="AZ3383" s="135"/>
      <c r="BA3383" s="135"/>
      <c r="BB3383" s="135"/>
      <c r="BC3383" s="135"/>
      <c r="BD3383" s="135"/>
      <c r="BE3383" s="135"/>
      <c r="BF3383" s="135"/>
      <c r="BG3383" s="135"/>
      <c r="BH3383" s="135"/>
      <c r="BI3383" s="2"/>
      <c r="BJ3383" s="136"/>
      <c r="BK3383" s="2"/>
      <c r="BL3383" s="136"/>
      <c r="BM3383" s="136"/>
      <c r="BN3383" s="2"/>
      <c r="BO3383" s="2"/>
      <c r="BP3383" s="136"/>
      <c r="BQ3383" s="137"/>
    </row>
    <row r="3384" spans="1:69" ht="12.75" customHeight="1" x14ac:dyDescent="0.2">
      <c r="A3384" s="2">
        <v>4873</v>
      </c>
      <c r="B3384" s="2"/>
      <c r="C3384" s="2"/>
      <c r="D3384" s="2"/>
      <c r="E3384" s="2"/>
      <c r="F3384" s="132">
        <v>0</v>
      </c>
      <c r="G3384" s="132"/>
      <c r="H3384" s="132">
        <f t="shared" si="381"/>
        <v>0</v>
      </c>
      <c r="I3384" s="132"/>
      <c r="J3384" s="132">
        <f t="shared" si="379"/>
        <v>0</v>
      </c>
      <c r="K3384" s="132">
        <f t="shared" si="382"/>
        <v>0</v>
      </c>
      <c r="L3384" s="132">
        <f t="shared" si="376"/>
        <v>0</v>
      </c>
      <c r="M3384" s="133"/>
      <c r="N3384" s="133">
        <f t="shared" si="380"/>
        <v>0</v>
      </c>
      <c r="O3384" s="134"/>
      <c r="P3384" s="133"/>
      <c r="Q3384" s="2"/>
      <c r="R3384" s="156">
        <f t="shared" si="377"/>
        <v>0</v>
      </c>
      <c r="S3384" s="156">
        <f t="shared" si="378"/>
        <v>0</v>
      </c>
      <c r="T3384" s="133"/>
      <c r="U3384" s="133"/>
      <c r="V3384" s="133"/>
      <c r="W3384" s="133"/>
      <c r="X3384" s="133"/>
      <c r="Y3384" s="133"/>
      <c r="Z3384" s="133"/>
      <c r="AA3384" s="133"/>
      <c r="AB3384" s="133"/>
      <c r="AC3384" s="133"/>
      <c r="AD3384" s="133"/>
      <c r="AE3384" s="133"/>
      <c r="AF3384" s="133"/>
      <c r="AG3384" s="133"/>
      <c r="AH3384" s="133"/>
      <c r="AI3384" s="133"/>
      <c r="AJ3384" s="133"/>
      <c r="AK3384" s="133"/>
      <c r="AL3384" s="133"/>
      <c r="AM3384" s="133"/>
      <c r="AN3384" s="133"/>
      <c r="AO3384" s="133"/>
      <c r="AP3384" s="133"/>
      <c r="AQ3384" s="133"/>
      <c r="AR3384" s="133"/>
      <c r="AS3384" s="153">
        <v>0</v>
      </c>
      <c r="AT3384" s="153">
        <v>0</v>
      </c>
      <c r="AU3384" s="153">
        <v>0</v>
      </c>
      <c r="AV3384" s="135"/>
      <c r="AW3384" s="135"/>
      <c r="AX3384" s="135"/>
      <c r="AY3384" s="135"/>
      <c r="AZ3384" s="135"/>
      <c r="BA3384" s="135"/>
      <c r="BB3384" s="135"/>
      <c r="BC3384" s="135"/>
      <c r="BD3384" s="135"/>
      <c r="BE3384" s="135"/>
      <c r="BF3384" s="135"/>
      <c r="BG3384" s="135"/>
      <c r="BH3384" s="135"/>
      <c r="BI3384" s="2"/>
      <c r="BJ3384" s="136"/>
      <c r="BK3384" s="2"/>
      <c r="BL3384" s="136"/>
      <c r="BM3384" s="136"/>
      <c r="BN3384" s="2"/>
      <c r="BO3384" s="2"/>
      <c r="BP3384" s="136"/>
      <c r="BQ3384" s="137"/>
    </row>
    <row r="3385" spans="1:69" ht="12.75" customHeight="1" x14ac:dyDescent="0.2">
      <c r="A3385" s="2">
        <v>4874</v>
      </c>
      <c r="B3385" s="2"/>
      <c r="C3385" s="2"/>
      <c r="D3385" s="2"/>
      <c r="E3385" s="2"/>
      <c r="F3385" s="132">
        <v>0</v>
      </c>
      <c r="G3385" s="132"/>
      <c r="H3385" s="132">
        <f t="shared" si="381"/>
        <v>0</v>
      </c>
      <c r="I3385" s="132"/>
      <c r="J3385" s="132">
        <f t="shared" si="379"/>
        <v>0</v>
      </c>
      <c r="K3385" s="132">
        <f t="shared" si="382"/>
        <v>0</v>
      </c>
      <c r="L3385" s="132">
        <f t="shared" si="376"/>
        <v>0</v>
      </c>
      <c r="M3385" s="133"/>
      <c r="N3385" s="133">
        <f t="shared" si="380"/>
        <v>0</v>
      </c>
      <c r="O3385" s="134"/>
      <c r="P3385" s="133"/>
      <c r="Q3385" s="2"/>
      <c r="R3385" s="156">
        <f t="shared" si="377"/>
        <v>0</v>
      </c>
      <c r="S3385" s="156">
        <f t="shared" si="378"/>
        <v>0</v>
      </c>
      <c r="T3385" s="133"/>
      <c r="U3385" s="133"/>
      <c r="V3385" s="133"/>
      <c r="W3385" s="133"/>
      <c r="X3385" s="133"/>
      <c r="Y3385" s="133"/>
      <c r="Z3385" s="133"/>
      <c r="AA3385" s="133"/>
      <c r="AB3385" s="133"/>
      <c r="AC3385" s="133"/>
      <c r="AD3385" s="133"/>
      <c r="AE3385" s="133"/>
      <c r="AF3385" s="133"/>
      <c r="AG3385" s="133"/>
      <c r="AH3385" s="133"/>
      <c r="AI3385" s="133"/>
      <c r="AJ3385" s="133"/>
      <c r="AK3385" s="133"/>
      <c r="AL3385" s="133"/>
      <c r="AM3385" s="133"/>
      <c r="AN3385" s="133"/>
      <c r="AO3385" s="133"/>
      <c r="AP3385" s="133"/>
      <c r="AQ3385" s="133"/>
      <c r="AR3385" s="133"/>
      <c r="AS3385" s="153">
        <v>0</v>
      </c>
      <c r="AT3385" s="153">
        <v>0</v>
      </c>
      <c r="AU3385" s="153">
        <v>0</v>
      </c>
      <c r="AV3385" s="135"/>
      <c r="AW3385" s="135"/>
      <c r="AX3385" s="135"/>
      <c r="AY3385" s="135"/>
      <c r="AZ3385" s="135"/>
      <c r="BA3385" s="135"/>
      <c r="BB3385" s="135"/>
      <c r="BC3385" s="135"/>
      <c r="BD3385" s="135"/>
      <c r="BE3385" s="135"/>
      <c r="BF3385" s="135"/>
      <c r="BG3385" s="135"/>
      <c r="BH3385" s="135"/>
      <c r="BI3385" s="2"/>
      <c r="BJ3385" s="136"/>
      <c r="BK3385" s="2"/>
      <c r="BL3385" s="136"/>
      <c r="BM3385" s="136"/>
      <c r="BN3385" s="2"/>
      <c r="BO3385" s="2"/>
      <c r="BP3385" s="136"/>
      <c r="BQ3385" s="137"/>
    </row>
    <row r="3386" spans="1:69" ht="12.75" customHeight="1" x14ac:dyDescent="0.2">
      <c r="A3386" s="2">
        <v>4875</v>
      </c>
      <c r="B3386" s="2"/>
      <c r="C3386" s="2"/>
      <c r="D3386" s="2"/>
      <c r="E3386" s="2"/>
      <c r="F3386" s="132">
        <v>0</v>
      </c>
      <c r="G3386" s="132"/>
      <c r="H3386" s="132">
        <f t="shared" si="381"/>
        <v>0</v>
      </c>
      <c r="I3386" s="132"/>
      <c r="J3386" s="132">
        <f t="shared" si="379"/>
        <v>0</v>
      </c>
      <c r="K3386" s="132">
        <f t="shared" si="382"/>
        <v>0</v>
      </c>
      <c r="L3386" s="132">
        <f t="shared" si="376"/>
        <v>0</v>
      </c>
      <c r="M3386" s="133"/>
      <c r="N3386" s="133">
        <f t="shared" si="380"/>
        <v>0</v>
      </c>
      <c r="O3386" s="134"/>
      <c r="P3386" s="133"/>
      <c r="Q3386" s="2"/>
      <c r="R3386" s="156">
        <f t="shared" si="377"/>
        <v>0</v>
      </c>
      <c r="S3386" s="156">
        <f t="shared" si="378"/>
        <v>0</v>
      </c>
      <c r="T3386" s="133"/>
      <c r="U3386" s="133"/>
      <c r="V3386" s="133"/>
      <c r="W3386" s="133"/>
      <c r="X3386" s="133"/>
      <c r="Y3386" s="133"/>
      <c r="Z3386" s="133"/>
      <c r="AA3386" s="133"/>
      <c r="AB3386" s="133"/>
      <c r="AC3386" s="133"/>
      <c r="AD3386" s="133"/>
      <c r="AE3386" s="133"/>
      <c r="AF3386" s="133"/>
      <c r="AG3386" s="133"/>
      <c r="AH3386" s="133"/>
      <c r="AI3386" s="133"/>
      <c r="AJ3386" s="133"/>
      <c r="AK3386" s="133"/>
      <c r="AL3386" s="133"/>
      <c r="AM3386" s="133"/>
      <c r="AN3386" s="133"/>
      <c r="AO3386" s="133"/>
      <c r="AP3386" s="133"/>
      <c r="AQ3386" s="133"/>
      <c r="AR3386" s="133"/>
      <c r="AS3386" s="153">
        <v>0</v>
      </c>
      <c r="AT3386" s="153">
        <v>0</v>
      </c>
      <c r="AU3386" s="153">
        <v>0</v>
      </c>
      <c r="AV3386" s="135"/>
      <c r="AW3386" s="135"/>
      <c r="AX3386" s="135"/>
      <c r="AY3386" s="135"/>
      <c r="AZ3386" s="135"/>
      <c r="BA3386" s="135"/>
      <c r="BB3386" s="135"/>
      <c r="BC3386" s="135"/>
      <c r="BD3386" s="135"/>
      <c r="BE3386" s="135"/>
      <c r="BF3386" s="135"/>
      <c r="BG3386" s="135"/>
      <c r="BH3386" s="135"/>
      <c r="BI3386" s="2"/>
      <c r="BJ3386" s="136"/>
      <c r="BK3386" s="2"/>
      <c r="BL3386" s="136"/>
      <c r="BM3386" s="136"/>
      <c r="BN3386" s="2"/>
      <c r="BO3386" s="2"/>
      <c r="BP3386" s="136"/>
      <c r="BQ3386" s="137"/>
    </row>
    <row r="3387" spans="1:69" ht="12.75" customHeight="1" x14ac:dyDescent="0.2">
      <c r="A3387" s="2">
        <v>4876</v>
      </c>
      <c r="B3387" s="2"/>
      <c r="C3387" s="2"/>
      <c r="D3387" s="2"/>
      <c r="E3387" s="2"/>
      <c r="F3387" s="132">
        <v>0</v>
      </c>
      <c r="G3387" s="132"/>
      <c r="H3387" s="132">
        <f t="shared" si="381"/>
        <v>0</v>
      </c>
      <c r="I3387" s="132"/>
      <c r="J3387" s="132">
        <f t="shared" si="379"/>
        <v>0</v>
      </c>
      <c r="K3387" s="132">
        <f t="shared" si="382"/>
        <v>0</v>
      </c>
      <c r="L3387" s="132">
        <f t="shared" si="376"/>
        <v>0</v>
      </c>
      <c r="M3387" s="133"/>
      <c r="N3387" s="133">
        <f t="shared" si="380"/>
        <v>0</v>
      </c>
      <c r="O3387" s="134"/>
      <c r="P3387" s="133"/>
      <c r="Q3387" s="2"/>
      <c r="R3387" s="156">
        <f t="shared" si="377"/>
        <v>0</v>
      </c>
      <c r="S3387" s="156">
        <f t="shared" si="378"/>
        <v>0</v>
      </c>
      <c r="T3387" s="133"/>
      <c r="U3387" s="133"/>
      <c r="V3387" s="133"/>
      <c r="W3387" s="133"/>
      <c r="X3387" s="133"/>
      <c r="Y3387" s="133"/>
      <c r="Z3387" s="133"/>
      <c r="AA3387" s="133"/>
      <c r="AB3387" s="133"/>
      <c r="AC3387" s="133"/>
      <c r="AD3387" s="133"/>
      <c r="AE3387" s="133"/>
      <c r="AF3387" s="133"/>
      <c r="AG3387" s="133"/>
      <c r="AH3387" s="133"/>
      <c r="AI3387" s="133"/>
      <c r="AJ3387" s="133"/>
      <c r="AK3387" s="133"/>
      <c r="AL3387" s="133"/>
      <c r="AM3387" s="133"/>
      <c r="AN3387" s="133"/>
      <c r="AO3387" s="133"/>
      <c r="AP3387" s="133"/>
      <c r="AQ3387" s="133"/>
      <c r="AR3387" s="133"/>
      <c r="AS3387" s="153">
        <v>0</v>
      </c>
      <c r="AT3387" s="153">
        <v>0</v>
      </c>
      <c r="AU3387" s="153">
        <v>0</v>
      </c>
      <c r="AV3387" s="135"/>
      <c r="AW3387" s="135"/>
      <c r="AX3387" s="135"/>
      <c r="AY3387" s="135"/>
      <c r="AZ3387" s="135"/>
      <c r="BA3387" s="135"/>
      <c r="BB3387" s="135"/>
      <c r="BC3387" s="135"/>
      <c r="BD3387" s="135"/>
      <c r="BE3387" s="135"/>
      <c r="BF3387" s="135"/>
      <c r="BG3387" s="135"/>
      <c r="BH3387" s="135"/>
      <c r="BI3387" s="2"/>
      <c r="BJ3387" s="136"/>
      <c r="BK3387" s="2"/>
      <c r="BL3387" s="136"/>
      <c r="BM3387" s="136"/>
      <c r="BN3387" s="2"/>
      <c r="BO3387" s="2"/>
      <c r="BP3387" s="136"/>
      <c r="BQ3387" s="137"/>
    </row>
    <row r="3388" spans="1:69" ht="12.75" customHeight="1" x14ac:dyDescent="0.2">
      <c r="A3388" s="2">
        <v>4877</v>
      </c>
      <c r="B3388" s="2"/>
      <c r="C3388" s="2"/>
      <c r="D3388" s="2"/>
      <c r="E3388" s="2"/>
      <c r="F3388" s="132">
        <v>0</v>
      </c>
      <c r="G3388" s="132"/>
      <c r="H3388" s="132">
        <f t="shared" si="381"/>
        <v>0</v>
      </c>
      <c r="I3388" s="132"/>
      <c r="J3388" s="132">
        <f t="shared" si="379"/>
        <v>0</v>
      </c>
      <c r="K3388" s="132">
        <f t="shared" si="382"/>
        <v>0</v>
      </c>
      <c r="L3388" s="132">
        <f t="shared" si="376"/>
        <v>0</v>
      </c>
      <c r="M3388" s="133"/>
      <c r="N3388" s="133">
        <f t="shared" si="380"/>
        <v>0</v>
      </c>
      <c r="O3388" s="134"/>
      <c r="P3388" s="133"/>
      <c r="Q3388" s="2"/>
      <c r="R3388" s="156">
        <f t="shared" si="377"/>
        <v>0</v>
      </c>
      <c r="S3388" s="156">
        <f t="shared" si="378"/>
        <v>0</v>
      </c>
      <c r="T3388" s="133"/>
      <c r="U3388" s="133"/>
      <c r="V3388" s="133"/>
      <c r="W3388" s="133"/>
      <c r="X3388" s="133"/>
      <c r="Y3388" s="133"/>
      <c r="Z3388" s="133"/>
      <c r="AA3388" s="133"/>
      <c r="AB3388" s="133"/>
      <c r="AC3388" s="133"/>
      <c r="AD3388" s="133"/>
      <c r="AE3388" s="133"/>
      <c r="AF3388" s="133"/>
      <c r="AG3388" s="133"/>
      <c r="AH3388" s="133"/>
      <c r="AI3388" s="133"/>
      <c r="AJ3388" s="133"/>
      <c r="AK3388" s="133"/>
      <c r="AL3388" s="133"/>
      <c r="AM3388" s="133"/>
      <c r="AN3388" s="133"/>
      <c r="AO3388" s="133"/>
      <c r="AP3388" s="133"/>
      <c r="AQ3388" s="133"/>
      <c r="AR3388" s="133"/>
      <c r="AS3388" s="153">
        <v>0</v>
      </c>
      <c r="AT3388" s="153">
        <v>0</v>
      </c>
      <c r="AU3388" s="153">
        <v>0</v>
      </c>
      <c r="AV3388" s="135"/>
      <c r="AW3388" s="135"/>
      <c r="AX3388" s="135"/>
      <c r="AY3388" s="135"/>
      <c r="AZ3388" s="135"/>
      <c r="BA3388" s="135"/>
      <c r="BB3388" s="135"/>
      <c r="BC3388" s="135"/>
      <c r="BD3388" s="135"/>
      <c r="BE3388" s="135"/>
      <c r="BF3388" s="135"/>
      <c r="BG3388" s="135"/>
      <c r="BH3388" s="135"/>
      <c r="BI3388" s="2"/>
      <c r="BJ3388" s="136"/>
      <c r="BK3388" s="2"/>
      <c r="BL3388" s="136"/>
      <c r="BM3388" s="136"/>
      <c r="BN3388" s="2"/>
      <c r="BO3388" s="2"/>
      <c r="BP3388" s="136"/>
      <c r="BQ3388" s="137"/>
    </row>
    <row r="3389" spans="1:69" ht="12.75" customHeight="1" x14ac:dyDescent="0.2">
      <c r="A3389" s="2">
        <v>4878</v>
      </c>
      <c r="B3389" s="2"/>
      <c r="C3389" s="2"/>
      <c r="D3389" s="2"/>
      <c r="E3389" s="2"/>
      <c r="F3389" s="132">
        <v>0</v>
      </c>
      <c r="G3389" s="132"/>
      <c r="H3389" s="132">
        <f t="shared" si="381"/>
        <v>0</v>
      </c>
      <c r="I3389" s="132"/>
      <c r="J3389" s="132">
        <f t="shared" si="379"/>
        <v>0</v>
      </c>
      <c r="K3389" s="132">
        <f t="shared" si="382"/>
        <v>0</v>
      </c>
      <c r="L3389" s="132">
        <f t="shared" si="376"/>
        <v>0</v>
      </c>
      <c r="M3389" s="133"/>
      <c r="N3389" s="133">
        <f t="shared" si="380"/>
        <v>0</v>
      </c>
      <c r="O3389" s="134"/>
      <c r="P3389" s="133"/>
      <c r="Q3389" s="2"/>
      <c r="R3389" s="156">
        <f t="shared" si="377"/>
        <v>0</v>
      </c>
      <c r="S3389" s="156">
        <f t="shared" si="378"/>
        <v>0</v>
      </c>
      <c r="T3389" s="133"/>
      <c r="U3389" s="133"/>
      <c r="V3389" s="133"/>
      <c r="W3389" s="133"/>
      <c r="X3389" s="133"/>
      <c r="Y3389" s="133"/>
      <c r="Z3389" s="133"/>
      <c r="AA3389" s="133"/>
      <c r="AB3389" s="133"/>
      <c r="AC3389" s="133"/>
      <c r="AD3389" s="133"/>
      <c r="AE3389" s="133"/>
      <c r="AF3389" s="133"/>
      <c r="AG3389" s="133"/>
      <c r="AH3389" s="133"/>
      <c r="AI3389" s="133"/>
      <c r="AJ3389" s="133"/>
      <c r="AK3389" s="133"/>
      <c r="AL3389" s="133"/>
      <c r="AM3389" s="133"/>
      <c r="AN3389" s="133"/>
      <c r="AO3389" s="133"/>
      <c r="AP3389" s="133"/>
      <c r="AQ3389" s="133"/>
      <c r="AR3389" s="133"/>
      <c r="AS3389" s="153">
        <v>0</v>
      </c>
      <c r="AT3389" s="153">
        <v>0</v>
      </c>
      <c r="AU3389" s="153">
        <v>0</v>
      </c>
      <c r="AV3389" s="135"/>
      <c r="AW3389" s="135"/>
      <c r="AX3389" s="135"/>
      <c r="AY3389" s="135"/>
      <c r="AZ3389" s="135"/>
      <c r="BA3389" s="135"/>
      <c r="BB3389" s="135"/>
      <c r="BC3389" s="135"/>
      <c r="BD3389" s="135"/>
      <c r="BE3389" s="135"/>
      <c r="BF3389" s="135"/>
      <c r="BG3389" s="135"/>
      <c r="BH3389" s="135"/>
      <c r="BI3389" s="2"/>
      <c r="BJ3389" s="136"/>
      <c r="BK3389" s="2"/>
      <c r="BL3389" s="136"/>
      <c r="BM3389" s="136"/>
      <c r="BN3389" s="2"/>
      <c r="BO3389" s="2"/>
      <c r="BP3389" s="136"/>
      <c r="BQ3389" s="137"/>
    </row>
    <row r="3390" spans="1:69" ht="12.75" customHeight="1" x14ac:dyDescent="0.2">
      <c r="A3390" s="2">
        <v>4879</v>
      </c>
      <c r="B3390" s="2"/>
      <c r="C3390" s="2"/>
      <c r="D3390" s="2"/>
      <c r="E3390" s="2"/>
      <c r="F3390" s="132">
        <v>0</v>
      </c>
      <c r="G3390" s="132"/>
      <c r="H3390" s="132">
        <f t="shared" si="381"/>
        <v>0</v>
      </c>
      <c r="I3390" s="132"/>
      <c r="J3390" s="132">
        <f t="shared" si="379"/>
        <v>0</v>
      </c>
      <c r="K3390" s="132">
        <f t="shared" si="382"/>
        <v>0</v>
      </c>
      <c r="L3390" s="132">
        <f t="shared" si="376"/>
        <v>0</v>
      </c>
      <c r="M3390" s="133"/>
      <c r="N3390" s="133">
        <f t="shared" si="380"/>
        <v>0</v>
      </c>
      <c r="O3390" s="134"/>
      <c r="P3390" s="133"/>
      <c r="Q3390" s="2"/>
      <c r="R3390" s="156">
        <f t="shared" si="377"/>
        <v>0</v>
      </c>
      <c r="S3390" s="156">
        <f t="shared" si="378"/>
        <v>0</v>
      </c>
      <c r="T3390" s="133"/>
      <c r="U3390" s="133"/>
      <c r="V3390" s="133"/>
      <c r="W3390" s="133"/>
      <c r="X3390" s="133"/>
      <c r="Y3390" s="133"/>
      <c r="Z3390" s="133"/>
      <c r="AA3390" s="133"/>
      <c r="AB3390" s="133"/>
      <c r="AC3390" s="133"/>
      <c r="AD3390" s="133"/>
      <c r="AE3390" s="133"/>
      <c r="AF3390" s="133"/>
      <c r="AG3390" s="133"/>
      <c r="AH3390" s="133"/>
      <c r="AI3390" s="133"/>
      <c r="AJ3390" s="133"/>
      <c r="AK3390" s="133"/>
      <c r="AL3390" s="133"/>
      <c r="AM3390" s="133"/>
      <c r="AN3390" s="133"/>
      <c r="AO3390" s="133"/>
      <c r="AP3390" s="133"/>
      <c r="AQ3390" s="133"/>
      <c r="AR3390" s="133"/>
      <c r="AS3390" s="153">
        <v>0</v>
      </c>
      <c r="AT3390" s="153">
        <v>0</v>
      </c>
      <c r="AU3390" s="153">
        <v>0</v>
      </c>
      <c r="AV3390" s="135"/>
      <c r="AW3390" s="135"/>
      <c r="AX3390" s="135"/>
      <c r="AY3390" s="135"/>
      <c r="AZ3390" s="135"/>
      <c r="BA3390" s="135"/>
      <c r="BB3390" s="135"/>
      <c r="BC3390" s="135"/>
      <c r="BD3390" s="135"/>
      <c r="BE3390" s="135"/>
      <c r="BF3390" s="135"/>
      <c r="BG3390" s="135"/>
      <c r="BH3390" s="135"/>
      <c r="BI3390" s="2"/>
      <c r="BJ3390" s="136"/>
      <c r="BK3390" s="2"/>
      <c r="BL3390" s="136"/>
      <c r="BM3390" s="136"/>
      <c r="BN3390" s="2"/>
      <c r="BO3390" s="2"/>
      <c r="BP3390" s="136"/>
      <c r="BQ3390" s="137"/>
    </row>
    <row r="3391" spans="1:69" ht="12.75" customHeight="1" x14ac:dyDescent="0.2">
      <c r="A3391" s="2">
        <v>4880</v>
      </c>
      <c r="B3391" s="2"/>
      <c r="C3391" s="2"/>
      <c r="D3391" s="2"/>
      <c r="E3391" s="2"/>
      <c r="F3391" s="132">
        <v>0</v>
      </c>
      <c r="G3391" s="132"/>
      <c r="H3391" s="132">
        <f t="shared" si="381"/>
        <v>0</v>
      </c>
      <c r="I3391" s="132"/>
      <c r="J3391" s="132">
        <f t="shared" si="379"/>
        <v>0</v>
      </c>
      <c r="K3391" s="132">
        <f t="shared" si="382"/>
        <v>0</v>
      </c>
      <c r="L3391" s="132">
        <f t="shared" si="376"/>
        <v>0</v>
      </c>
      <c r="M3391" s="133"/>
      <c r="N3391" s="133">
        <f t="shared" si="380"/>
        <v>0</v>
      </c>
      <c r="O3391" s="134"/>
      <c r="P3391" s="133"/>
      <c r="Q3391" s="2"/>
      <c r="R3391" s="156">
        <f t="shared" si="377"/>
        <v>0</v>
      </c>
      <c r="S3391" s="156">
        <f t="shared" si="378"/>
        <v>0</v>
      </c>
      <c r="T3391" s="133"/>
      <c r="U3391" s="133"/>
      <c r="V3391" s="133"/>
      <c r="W3391" s="133"/>
      <c r="X3391" s="133"/>
      <c r="Y3391" s="133"/>
      <c r="Z3391" s="133"/>
      <c r="AA3391" s="133"/>
      <c r="AB3391" s="133"/>
      <c r="AC3391" s="133"/>
      <c r="AD3391" s="133"/>
      <c r="AE3391" s="133"/>
      <c r="AF3391" s="133"/>
      <c r="AG3391" s="133"/>
      <c r="AH3391" s="133"/>
      <c r="AI3391" s="133"/>
      <c r="AJ3391" s="133"/>
      <c r="AK3391" s="133"/>
      <c r="AL3391" s="133"/>
      <c r="AM3391" s="133"/>
      <c r="AN3391" s="133"/>
      <c r="AO3391" s="133"/>
      <c r="AP3391" s="133"/>
      <c r="AQ3391" s="133"/>
      <c r="AR3391" s="133"/>
      <c r="AS3391" s="153">
        <v>0</v>
      </c>
      <c r="AT3391" s="153">
        <v>0</v>
      </c>
      <c r="AU3391" s="153">
        <v>0</v>
      </c>
      <c r="AV3391" s="135"/>
      <c r="AW3391" s="135"/>
      <c r="AX3391" s="135"/>
      <c r="AY3391" s="135"/>
      <c r="AZ3391" s="135"/>
      <c r="BA3391" s="135"/>
      <c r="BB3391" s="135"/>
      <c r="BC3391" s="135"/>
      <c r="BD3391" s="135"/>
      <c r="BE3391" s="135"/>
      <c r="BF3391" s="135"/>
      <c r="BG3391" s="135"/>
      <c r="BH3391" s="135"/>
      <c r="BI3391" s="2"/>
      <c r="BJ3391" s="136"/>
      <c r="BK3391" s="2"/>
      <c r="BL3391" s="136"/>
      <c r="BM3391" s="136"/>
      <c r="BN3391" s="2"/>
      <c r="BO3391" s="2"/>
      <c r="BP3391" s="136"/>
      <c r="BQ3391" s="137"/>
    </row>
    <row r="3392" spans="1:69" ht="12.75" customHeight="1" x14ac:dyDescent="0.2">
      <c r="A3392" s="2">
        <v>4881</v>
      </c>
      <c r="B3392" s="2"/>
      <c r="C3392" s="2"/>
      <c r="D3392" s="2"/>
      <c r="E3392" s="2"/>
      <c r="F3392" s="132">
        <v>0</v>
      </c>
      <c r="G3392" s="132"/>
      <c r="H3392" s="132">
        <f t="shared" si="381"/>
        <v>0</v>
      </c>
      <c r="I3392" s="132"/>
      <c r="J3392" s="132">
        <f t="shared" si="379"/>
        <v>0</v>
      </c>
      <c r="K3392" s="132">
        <f t="shared" si="382"/>
        <v>0</v>
      </c>
      <c r="L3392" s="132">
        <f t="shared" si="376"/>
        <v>0</v>
      </c>
      <c r="M3392" s="133"/>
      <c r="N3392" s="133">
        <f t="shared" si="380"/>
        <v>0</v>
      </c>
      <c r="O3392" s="134"/>
      <c r="P3392" s="133"/>
      <c r="Q3392" s="2"/>
      <c r="R3392" s="156">
        <f t="shared" si="377"/>
        <v>0</v>
      </c>
      <c r="S3392" s="156">
        <f t="shared" si="378"/>
        <v>0</v>
      </c>
      <c r="T3392" s="133"/>
      <c r="U3392" s="133"/>
      <c r="V3392" s="133"/>
      <c r="W3392" s="133"/>
      <c r="X3392" s="133"/>
      <c r="Y3392" s="133"/>
      <c r="Z3392" s="133"/>
      <c r="AA3392" s="133"/>
      <c r="AB3392" s="133"/>
      <c r="AC3392" s="133"/>
      <c r="AD3392" s="133"/>
      <c r="AE3392" s="133"/>
      <c r="AF3392" s="133"/>
      <c r="AG3392" s="133"/>
      <c r="AH3392" s="133"/>
      <c r="AI3392" s="133"/>
      <c r="AJ3392" s="133"/>
      <c r="AK3392" s="133"/>
      <c r="AL3392" s="133"/>
      <c r="AM3392" s="133"/>
      <c r="AN3392" s="133"/>
      <c r="AO3392" s="133"/>
      <c r="AP3392" s="133"/>
      <c r="AQ3392" s="133"/>
      <c r="AR3392" s="133"/>
      <c r="AS3392" s="153">
        <v>0</v>
      </c>
      <c r="AT3392" s="153">
        <v>0</v>
      </c>
      <c r="AU3392" s="153">
        <v>0</v>
      </c>
      <c r="AV3392" s="135"/>
      <c r="AW3392" s="135"/>
      <c r="AX3392" s="135"/>
      <c r="AY3392" s="135"/>
      <c r="AZ3392" s="135"/>
      <c r="BA3392" s="135"/>
      <c r="BB3392" s="135"/>
      <c r="BC3392" s="135"/>
      <c r="BD3392" s="135"/>
      <c r="BE3392" s="135"/>
      <c r="BF3392" s="135"/>
      <c r="BG3392" s="135"/>
      <c r="BH3392" s="135"/>
      <c r="BI3392" s="2"/>
      <c r="BJ3392" s="136"/>
      <c r="BK3392" s="2"/>
      <c r="BL3392" s="136"/>
      <c r="BM3392" s="136"/>
      <c r="BN3392" s="2"/>
      <c r="BO3392" s="2"/>
      <c r="BP3392" s="136"/>
      <c r="BQ3392" s="137"/>
    </row>
    <row r="3393" spans="1:69" ht="12.75" customHeight="1" x14ac:dyDescent="0.2">
      <c r="A3393" s="2">
        <v>4882</v>
      </c>
      <c r="B3393" s="2"/>
      <c r="C3393" s="2"/>
      <c r="D3393" s="2"/>
      <c r="E3393" s="2"/>
      <c r="F3393" s="132">
        <v>0</v>
      </c>
      <c r="G3393" s="132"/>
      <c r="H3393" s="132">
        <f t="shared" si="381"/>
        <v>0</v>
      </c>
      <c r="I3393" s="132"/>
      <c r="J3393" s="132">
        <f t="shared" si="379"/>
        <v>0</v>
      </c>
      <c r="K3393" s="132">
        <f t="shared" si="382"/>
        <v>0</v>
      </c>
      <c r="L3393" s="132">
        <f t="shared" si="376"/>
        <v>0</v>
      </c>
      <c r="M3393" s="133"/>
      <c r="N3393" s="133">
        <f t="shared" si="380"/>
        <v>0</v>
      </c>
      <c r="O3393" s="134"/>
      <c r="P3393" s="133"/>
      <c r="Q3393" s="2"/>
      <c r="R3393" s="156">
        <f t="shared" si="377"/>
        <v>0</v>
      </c>
      <c r="S3393" s="156">
        <f t="shared" si="378"/>
        <v>0</v>
      </c>
      <c r="T3393" s="133"/>
      <c r="U3393" s="133"/>
      <c r="V3393" s="133"/>
      <c r="W3393" s="133"/>
      <c r="X3393" s="133"/>
      <c r="Y3393" s="133"/>
      <c r="Z3393" s="133"/>
      <c r="AA3393" s="133"/>
      <c r="AB3393" s="133"/>
      <c r="AC3393" s="133"/>
      <c r="AD3393" s="133"/>
      <c r="AE3393" s="133"/>
      <c r="AF3393" s="133"/>
      <c r="AG3393" s="133"/>
      <c r="AH3393" s="133"/>
      <c r="AI3393" s="133"/>
      <c r="AJ3393" s="133"/>
      <c r="AK3393" s="133"/>
      <c r="AL3393" s="133"/>
      <c r="AM3393" s="133"/>
      <c r="AN3393" s="133"/>
      <c r="AO3393" s="133"/>
      <c r="AP3393" s="133"/>
      <c r="AQ3393" s="133"/>
      <c r="AR3393" s="133"/>
      <c r="AS3393" s="153">
        <v>0</v>
      </c>
      <c r="AT3393" s="153">
        <v>0</v>
      </c>
      <c r="AU3393" s="153">
        <v>0</v>
      </c>
      <c r="AV3393" s="135"/>
      <c r="AW3393" s="135"/>
      <c r="AX3393" s="135"/>
      <c r="AY3393" s="135"/>
      <c r="AZ3393" s="135"/>
      <c r="BA3393" s="135"/>
      <c r="BB3393" s="135"/>
      <c r="BC3393" s="135"/>
      <c r="BD3393" s="135"/>
      <c r="BE3393" s="135"/>
      <c r="BF3393" s="135"/>
      <c r="BG3393" s="135"/>
      <c r="BH3393" s="135"/>
      <c r="BI3393" s="2"/>
      <c r="BJ3393" s="136"/>
      <c r="BK3393" s="2"/>
      <c r="BL3393" s="136"/>
      <c r="BM3393" s="136"/>
      <c r="BN3393" s="2"/>
      <c r="BO3393" s="2"/>
      <c r="BP3393" s="136"/>
      <c r="BQ3393" s="137"/>
    </row>
    <row r="3394" spans="1:69" ht="12.75" customHeight="1" x14ac:dyDescent="0.2">
      <c r="A3394" s="2">
        <v>4883</v>
      </c>
      <c r="B3394" s="2"/>
      <c r="C3394" s="2"/>
      <c r="D3394" s="2"/>
      <c r="E3394" s="2"/>
      <c r="F3394" s="132">
        <v>0</v>
      </c>
      <c r="G3394" s="132"/>
      <c r="H3394" s="132">
        <f t="shared" si="381"/>
        <v>0</v>
      </c>
      <c r="I3394" s="132"/>
      <c r="J3394" s="132">
        <f t="shared" si="379"/>
        <v>0</v>
      </c>
      <c r="K3394" s="132">
        <f t="shared" si="382"/>
        <v>0</v>
      </c>
      <c r="L3394" s="132">
        <f t="shared" si="376"/>
        <v>0</v>
      </c>
      <c r="M3394" s="133"/>
      <c r="N3394" s="133">
        <f t="shared" si="380"/>
        <v>0</v>
      </c>
      <c r="O3394" s="134"/>
      <c r="P3394" s="133"/>
      <c r="Q3394" s="2"/>
      <c r="R3394" s="156">
        <f t="shared" si="377"/>
        <v>0</v>
      </c>
      <c r="S3394" s="156">
        <f t="shared" si="378"/>
        <v>0</v>
      </c>
      <c r="T3394" s="133"/>
      <c r="U3394" s="133"/>
      <c r="V3394" s="133"/>
      <c r="W3394" s="133"/>
      <c r="X3394" s="133"/>
      <c r="Y3394" s="133"/>
      <c r="Z3394" s="133"/>
      <c r="AA3394" s="133"/>
      <c r="AB3394" s="133"/>
      <c r="AC3394" s="133"/>
      <c r="AD3394" s="133"/>
      <c r="AE3394" s="133"/>
      <c r="AF3394" s="133"/>
      <c r="AG3394" s="133"/>
      <c r="AH3394" s="133"/>
      <c r="AI3394" s="133"/>
      <c r="AJ3394" s="133"/>
      <c r="AK3394" s="133"/>
      <c r="AL3394" s="133"/>
      <c r="AM3394" s="133"/>
      <c r="AN3394" s="133"/>
      <c r="AO3394" s="133"/>
      <c r="AP3394" s="133"/>
      <c r="AQ3394" s="133"/>
      <c r="AR3394" s="133"/>
      <c r="AS3394" s="153">
        <v>0</v>
      </c>
      <c r="AT3394" s="153">
        <v>0</v>
      </c>
      <c r="AU3394" s="153">
        <v>0</v>
      </c>
      <c r="AV3394" s="135"/>
      <c r="AW3394" s="135"/>
      <c r="AX3394" s="135"/>
      <c r="AY3394" s="135"/>
      <c r="AZ3394" s="135"/>
      <c r="BA3394" s="135"/>
      <c r="BB3394" s="135"/>
      <c r="BC3394" s="135"/>
      <c r="BD3394" s="135"/>
      <c r="BE3394" s="135"/>
      <c r="BF3394" s="135"/>
      <c r="BG3394" s="135"/>
      <c r="BH3394" s="135"/>
      <c r="BI3394" s="2"/>
      <c r="BJ3394" s="136"/>
      <c r="BK3394" s="2"/>
      <c r="BL3394" s="136"/>
      <c r="BM3394" s="136"/>
      <c r="BN3394" s="2"/>
      <c r="BO3394" s="2"/>
      <c r="BP3394" s="136"/>
      <c r="BQ3394" s="137"/>
    </row>
    <row r="3395" spans="1:69" ht="12.75" customHeight="1" x14ac:dyDescent="0.2">
      <c r="A3395" s="2">
        <v>4884</v>
      </c>
      <c r="B3395" s="2"/>
      <c r="C3395" s="2"/>
      <c r="D3395" s="2"/>
      <c r="E3395" s="2"/>
      <c r="F3395" s="132">
        <v>0</v>
      </c>
      <c r="G3395" s="132"/>
      <c r="H3395" s="132">
        <f t="shared" si="381"/>
        <v>0</v>
      </c>
      <c r="I3395" s="132"/>
      <c r="J3395" s="132">
        <f t="shared" si="379"/>
        <v>0</v>
      </c>
      <c r="K3395" s="132">
        <f t="shared" si="382"/>
        <v>0</v>
      </c>
      <c r="L3395" s="132">
        <f t="shared" si="376"/>
        <v>0</v>
      </c>
      <c r="M3395" s="133"/>
      <c r="N3395" s="133">
        <f t="shared" si="380"/>
        <v>0</v>
      </c>
      <c r="O3395" s="134"/>
      <c r="P3395" s="133"/>
      <c r="Q3395" s="2"/>
      <c r="R3395" s="156">
        <f t="shared" si="377"/>
        <v>0</v>
      </c>
      <c r="S3395" s="156">
        <f t="shared" si="378"/>
        <v>0</v>
      </c>
      <c r="T3395" s="133"/>
      <c r="U3395" s="133"/>
      <c r="V3395" s="133"/>
      <c r="W3395" s="133"/>
      <c r="X3395" s="133"/>
      <c r="Y3395" s="133"/>
      <c r="Z3395" s="133"/>
      <c r="AA3395" s="133"/>
      <c r="AB3395" s="133"/>
      <c r="AC3395" s="133"/>
      <c r="AD3395" s="133"/>
      <c r="AE3395" s="133"/>
      <c r="AF3395" s="133"/>
      <c r="AG3395" s="133"/>
      <c r="AH3395" s="133"/>
      <c r="AI3395" s="133"/>
      <c r="AJ3395" s="133"/>
      <c r="AK3395" s="133"/>
      <c r="AL3395" s="133"/>
      <c r="AM3395" s="133"/>
      <c r="AN3395" s="133"/>
      <c r="AO3395" s="133"/>
      <c r="AP3395" s="133"/>
      <c r="AQ3395" s="133"/>
      <c r="AR3395" s="133"/>
      <c r="AS3395" s="153">
        <v>0</v>
      </c>
      <c r="AT3395" s="153">
        <v>0</v>
      </c>
      <c r="AU3395" s="153">
        <v>0</v>
      </c>
      <c r="AV3395" s="135"/>
      <c r="AW3395" s="135"/>
      <c r="AX3395" s="135"/>
      <c r="AY3395" s="135"/>
      <c r="AZ3395" s="135"/>
      <c r="BA3395" s="135"/>
      <c r="BB3395" s="135"/>
      <c r="BC3395" s="135"/>
      <c r="BD3395" s="135"/>
      <c r="BE3395" s="135"/>
      <c r="BF3395" s="135"/>
      <c r="BG3395" s="135"/>
      <c r="BH3395" s="135"/>
      <c r="BI3395" s="2"/>
      <c r="BJ3395" s="136"/>
      <c r="BK3395" s="2"/>
      <c r="BL3395" s="136"/>
      <c r="BM3395" s="136"/>
      <c r="BN3395" s="2"/>
      <c r="BO3395" s="2"/>
      <c r="BP3395" s="136"/>
      <c r="BQ3395" s="137"/>
    </row>
    <row r="3396" spans="1:69" ht="12.75" customHeight="1" x14ac:dyDescent="0.2">
      <c r="A3396" s="2">
        <v>4885</v>
      </c>
      <c r="B3396" s="2"/>
      <c r="C3396" s="2"/>
      <c r="D3396" s="2"/>
      <c r="E3396" s="2"/>
      <c r="F3396" s="132">
        <v>0</v>
      </c>
      <c r="G3396" s="132"/>
      <c r="H3396" s="132">
        <f t="shared" si="381"/>
        <v>0</v>
      </c>
      <c r="I3396" s="132"/>
      <c r="J3396" s="132">
        <f t="shared" si="379"/>
        <v>0</v>
      </c>
      <c r="K3396" s="132">
        <f t="shared" si="382"/>
        <v>0</v>
      </c>
      <c r="L3396" s="132">
        <f t="shared" si="376"/>
        <v>0</v>
      </c>
      <c r="M3396" s="133"/>
      <c r="N3396" s="133">
        <f t="shared" si="380"/>
        <v>0</v>
      </c>
      <c r="O3396" s="134"/>
      <c r="P3396" s="133"/>
      <c r="Q3396" s="2"/>
      <c r="R3396" s="156">
        <f t="shared" si="377"/>
        <v>0</v>
      </c>
      <c r="S3396" s="156">
        <f t="shared" si="378"/>
        <v>0</v>
      </c>
      <c r="T3396" s="133"/>
      <c r="U3396" s="133"/>
      <c r="V3396" s="133"/>
      <c r="W3396" s="133"/>
      <c r="X3396" s="133"/>
      <c r="Y3396" s="133"/>
      <c r="Z3396" s="133"/>
      <c r="AA3396" s="133"/>
      <c r="AB3396" s="133"/>
      <c r="AC3396" s="133"/>
      <c r="AD3396" s="133"/>
      <c r="AE3396" s="133"/>
      <c r="AF3396" s="133"/>
      <c r="AG3396" s="133"/>
      <c r="AH3396" s="133"/>
      <c r="AI3396" s="133"/>
      <c r="AJ3396" s="133"/>
      <c r="AK3396" s="133"/>
      <c r="AL3396" s="133"/>
      <c r="AM3396" s="133"/>
      <c r="AN3396" s="133"/>
      <c r="AO3396" s="133"/>
      <c r="AP3396" s="133"/>
      <c r="AQ3396" s="133"/>
      <c r="AR3396" s="133"/>
      <c r="AS3396" s="153">
        <v>0</v>
      </c>
      <c r="AT3396" s="153">
        <v>0</v>
      </c>
      <c r="AU3396" s="153">
        <v>0</v>
      </c>
      <c r="AV3396" s="135"/>
      <c r="AW3396" s="135"/>
      <c r="AX3396" s="135"/>
      <c r="AY3396" s="135"/>
      <c r="AZ3396" s="135"/>
      <c r="BA3396" s="135"/>
      <c r="BB3396" s="135"/>
      <c r="BC3396" s="135"/>
      <c r="BD3396" s="135"/>
      <c r="BE3396" s="135"/>
      <c r="BF3396" s="135"/>
      <c r="BG3396" s="135"/>
      <c r="BH3396" s="135"/>
      <c r="BI3396" s="2"/>
      <c r="BJ3396" s="136"/>
      <c r="BK3396" s="2"/>
      <c r="BL3396" s="136"/>
      <c r="BM3396" s="136"/>
      <c r="BN3396" s="2"/>
      <c r="BO3396" s="2"/>
      <c r="BP3396" s="136"/>
      <c r="BQ3396" s="137"/>
    </row>
    <row r="3397" spans="1:69" ht="12.75" customHeight="1" x14ac:dyDescent="0.2">
      <c r="A3397" s="2">
        <v>4886</v>
      </c>
      <c r="B3397" s="2"/>
      <c r="C3397" s="2"/>
      <c r="D3397" s="2"/>
      <c r="E3397" s="2"/>
      <c r="F3397" s="132">
        <v>0</v>
      </c>
      <c r="G3397" s="132"/>
      <c r="H3397" s="132">
        <f t="shared" si="381"/>
        <v>0</v>
      </c>
      <c r="I3397" s="132"/>
      <c r="J3397" s="132">
        <f t="shared" si="379"/>
        <v>0</v>
      </c>
      <c r="K3397" s="132">
        <f t="shared" si="382"/>
        <v>0</v>
      </c>
      <c r="L3397" s="132">
        <f t="shared" si="376"/>
        <v>0</v>
      </c>
      <c r="M3397" s="133"/>
      <c r="N3397" s="133">
        <f t="shared" si="380"/>
        <v>0</v>
      </c>
      <c r="O3397" s="134"/>
      <c r="P3397" s="133"/>
      <c r="Q3397" s="2"/>
      <c r="R3397" s="156">
        <f t="shared" si="377"/>
        <v>0</v>
      </c>
      <c r="S3397" s="156">
        <f t="shared" si="378"/>
        <v>0</v>
      </c>
      <c r="T3397" s="133"/>
      <c r="U3397" s="133"/>
      <c r="V3397" s="133"/>
      <c r="W3397" s="133"/>
      <c r="X3397" s="133"/>
      <c r="Y3397" s="133"/>
      <c r="Z3397" s="133"/>
      <c r="AA3397" s="133"/>
      <c r="AB3397" s="133"/>
      <c r="AC3397" s="133"/>
      <c r="AD3397" s="133"/>
      <c r="AE3397" s="133"/>
      <c r="AF3397" s="133"/>
      <c r="AG3397" s="133"/>
      <c r="AH3397" s="133"/>
      <c r="AI3397" s="133"/>
      <c r="AJ3397" s="133"/>
      <c r="AK3397" s="133"/>
      <c r="AL3397" s="133"/>
      <c r="AM3397" s="133"/>
      <c r="AN3397" s="133"/>
      <c r="AO3397" s="133"/>
      <c r="AP3397" s="133"/>
      <c r="AQ3397" s="133"/>
      <c r="AR3397" s="133"/>
      <c r="AS3397" s="153">
        <v>0</v>
      </c>
      <c r="AT3397" s="153">
        <v>0</v>
      </c>
      <c r="AU3397" s="153">
        <v>0</v>
      </c>
      <c r="AV3397" s="135"/>
      <c r="AW3397" s="135"/>
      <c r="AX3397" s="135"/>
      <c r="AY3397" s="135"/>
      <c r="AZ3397" s="135"/>
      <c r="BA3397" s="135"/>
      <c r="BB3397" s="135"/>
      <c r="BC3397" s="135"/>
      <c r="BD3397" s="135"/>
      <c r="BE3397" s="135"/>
      <c r="BF3397" s="135"/>
      <c r="BG3397" s="135"/>
      <c r="BH3397" s="135"/>
      <c r="BI3397" s="2"/>
      <c r="BJ3397" s="136"/>
      <c r="BK3397" s="2"/>
      <c r="BL3397" s="136"/>
      <c r="BM3397" s="136"/>
      <c r="BN3397" s="2"/>
      <c r="BO3397" s="2"/>
      <c r="BP3397" s="136"/>
      <c r="BQ3397" s="137"/>
    </row>
    <row r="3398" spans="1:69" ht="12.75" customHeight="1" x14ac:dyDescent="0.2">
      <c r="A3398" s="2">
        <v>4887</v>
      </c>
      <c r="B3398" s="2"/>
      <c r="C3398" s="2"/>
      <c r="D3398" s="2"/>
      <c r="E3398" s="2"/>
      <c r="F3398" s="132">
        <v>0</v>
      </c>
      <c r="G3398" s="132"/>
      <c r="H3398" s="132">
        <f t="shared" si="381"/>
        <v>0</v>
      </c>
      <c r="I3398" s="132"/>
      <c r="J3398" s="132">
        <f t="shared" si="379"/>
        <v>0</v>
      </c>
      <c r="K3398" s="132">
        <f t="shared" si="382"/>
        <v>0</v>
      </c>
      <c r="L3398" s="132">
        <f t="shared" si="376"/>
        <v>0</v>
      </c>
      <c r="M3398" s="133"/>
      <c r="N3398" s="133">
        <f t="shared" si="380"/>
        <v>0</v>
      </c>
      <c r="O3398" s="134"/>
      <c r="P3398" s="133"/>
      <c r="Q3398" s="2"/>
      <c r="R3398" s="156">
        <f t="shared" si="377"/>
        <v>0</v>
      </c>
      <c r="S3398" s="156">
        <f t="shared" si="378"/>
        <v>0</v>
      </c>
      <c r="T3398" s="133"/>
      <c r="U3398" s="133"/>
      <c r="V3398" s="133"/>
      <c r="W3398" s="133"/>
      <c r="X3398" s="133"/>
      <c r="Y3398" s="133"/>
      <c r="Z3398" s="133"/>
      <c r="AA3398" s="133"/>
      <c r="AB3398" s="133"/>
      <c r="AC3398" s="133"/>
      <c r="AD3398" s="133"/>
      <c r="AE3398" s="133"/>
      <c r="AF3398" s="133"/>
      <c r="AG3398" s="133"/>
      <c r="AH3398" s="133"/>
      <c r="AI3398" s="133"/>
      <c r="AJ3398" s="133"/>
      <c r="AK3398" s="133"/>
      <c r="AL3398" s="133"/>
      <c r="AM3398" s="133"/>
      <c r="AN3398" s="133"/>
      <c r="AO3398" s="133"/>
      <c r="AP3398" s="133"/>
      <c r="AQ3398" s="133"/>
      <c r="AR3398" s="133"/>
      <c r="AS3398" s="153">
        <v>0</v>
      </c>
      <c r="AT3398" s="153">
        <v>0</v>
      </c>
      <c r="AU3398" s="153">
        <v>0</v>
      </c>
      <c r="AV3398" s="135"/>
      <c r="AW3398" s="135"/>
      <c r="AX3398" s="135"/>
      <c r="AY3398" s="135"/>
      <c r="AZ3398" s="135"/>
      <c r="BA3398" s="135"/>
      <c r="BB3398" s="135"/>
      <c r="BC3398" s="135"/>
      <c r="BD3398" s="135"/>
      <c r="BE3398" s="135"/>
      <c r="BF3398" s="135"/>
      <c r="BG3398" s="135"/>
      <c r="BH3398" s="135"/>
      <c r="BI3398" s="2"/>
      <c r="BJ3398" s="136"/>
      <c r="BK3398" s="2"/>
      <c r="BL3398" s="136"/>
      <c r="BM3398" s="136"/>
      <c r="BN3398" s="2"/>
      <c r="BO3398" s="2"/>
      <c r="BP3398" s="136"/>
      <c r="BQ3398" s="137"/>
    </row>
    <row r="3399" spans="1:69" ht="12.75" customHeight="1" x14ac:dyDescent="0.2">
      <c r="A3399" s="2">
        <v>4888</v>
      </c>
      <c r="B3399" s="2"/>
      <c r="C3399" s="2"/>
      <c r="D3399" s="2"/>
      <c r="E3399" s="2"/>
      <c r="F3399" s="132">
        <v>0</v>
      </c>
      <c r="G3399" s="132"/>
      <c r="H3399" s="132">
        <f t="shared" si="381"/>
        <v>0</v>
      </c>
      <c r="I3399" s="132"/>
      <c r="J3399" s="132">
        <f t="shared" si="379"/>
        <v>0</v>
      </c>
      <c r="K3399" s="132">
        <f t="shared" si="382"/>
        <v>0</v>
      </c>
      <c r="L3399" s="132">
        <f t="shared" si="376"/>
        <v>0</v>
      </c>
      <c r="M3399" s="133"/>
      <c r="N3399" s="133">
        <f t="shared" si="380"/>
        <v>0</v>
      </c>
      <c r="O3399" s="134"/>
      <c r="P3399" s="133"/>
      <c r="Q3399" s="2"/>
      <c r="R3399" s="156">
        <f t="shared" si="377"/>
        <v>0</v>
      </c>
      <c r="S3399" s="156">
        <f t="shared" si="378"/>
        <v>0</v>
      </c>
      <c r="T3399" s="133"/>
      <c r="U3399" s="133"/>
      <c r="V3399" s="133"/>
      <c r="W3399" s="133"/>
      <c r="X3399" s="133"/>
      <c r="Y3399" s="133"/>
      <c r="Z3399" s="133"/>
      <c r="AA3399" s="133"/>
      <c r="AB3399" s="133"/>
      <c r="AC3399" s="133"/>
      <c r="AD3399" s="133"/>
      <c r="AE3399" s="133"/>
      <c r="AF3399" s="133"/>
      <c r="AG3399" s="133"/>
      <c r="AH3399" s="133"/>
      <c r="AI3399" s="133"/>
      <c r="AJ3399" s="133"/>
      <c r="AK3399" s="133"/>
      <c r="AL3399" s="133"/>
      <c r="AM3399" s="133"/>
      <c r="AN3399" s="133"/>
      <c r="AO3399" s="133"/>
      <c r="AP3399" s="133"/>
      <c r="AQ3399" s="133"/>
      <c r="AR3399" s="133"/>
      <c r="AS3399" s="153">
        <v>0</v>
      </c>
      <c r="AT3399" s="153">
        <v>0</v>
      </c>
      <c r="AU3399" s="153">
        <v>0</v>
      </c>
      <c r="AV3399" s="135"/>
      <c r="AW3399" s="135"/>
      <c r="AX3399" s="135"/>
      <c r="AY3399" s="135"/>
      <c r="AZ3399" s="135"/>
      <c r="BA3399" s="135"/>
      <c r="BB3399" s="135"/>
      <c r="BC3399" s="135"/>
      <c r="BD3399" s="135"/>
      <c r="BE3399" s="135"/>
      <c r="BF3399" s="135"/>
      <c r="BG3399" s="135"/>
      <c r="BH3399" s="135"/>
      <c r="BI3399" s="2"/>
      <c r="BJ3399" s="136"/>
      <c r="BK3399" s="2"/>
      <c r="BL3399" s="136"/>
      <c r="BM3399" s="136"/>
      <c r="BN3399" s="2"/>
      <c r="BO3399" s="2"/>
      <c r="BP3399" s="136"/>
      <c r="BQ3399" s="137"/>
    </row>
    <row r="3400" spans="1:69" ht="12.75" customHeight="1" x14ac:dyDescent="0.2">
      <c r="A3400" s="2">
        <v>4889</v>
      </c>
      <c r="B3400" s="2"/>
      <c r="C3400" s="2"/>
      <c r="D3400" s="2"/>
      <c r="E3400" s="2"/>
      <c r="F3400" s="132">
        <v>0</v>
      </c>
      <c r="G3400" s="132"/>
      <c r="H3400" s="132">
        <f t="shared" si="381"/>
        <v>0</v>
      </c>
      <c r="I3400" s="132"/>
      <c r="J3400" s="132">
        <f t="shared" si="379"/>
        <v>0</v>
      </c>
      <c r="K3400" s="132">
        <f t="shared" si="382"/>
        <v>0</v>
      </c>
      <c r="L3400" s="132">
        <f t="shared" si="376"/>
        <v>0</v>
      </c>
      <c r="M3400" s="133"/>
      <c r="N3400" s="133">
        <f t="shared" si="380"/>
        <v>0</v>
      </c>
      <c r="O3400" s="134"/>
      <c r="P3400" s="133"/>
      <c r="Q3400" s="2"/>
      <c r="R3400" s="156">
        <f t="shared" si="377"/>
        <v>0</v>
      </c>
      <c r="S3400" s="156">
        <f t="shared" si="378"/>
        <v>0</v>
      </c>
      <c r="T3400" s="133"/>
      <c r="U3400" s="133"/>
      <c r="V3400" s="133"/>
      <c r="W3400" s="133"/>
      <c r="X3400" s="133"/>
      <c r="Y3400" s="133"/>
      <c r="Z3400" s="133"/>
      <c r="AA3400" s="133"/>
      <c r="AB3400" s="133"/>
      <c r="AC3400" s="133"/>
      <c r="AD3400" s="133"/>
      <c r="AE3400" s="133"/>
      <c r="AF3400" s="133"/>
      <c r="AG3400" s="133"/>
      <c r="AH3400" s="133"/>
      <c r="AI3400" s="133"/>
      <c r="AJ3400" s="133"/>
      <c r="AK3400" s="133"/>
      <c r="AL3400" s="133"/>
      <c r="AM3400" s="133"/>
      <c r="AN3400" s="133"/>
      <c r="AO3400" s="133"/>
      <c r="AP3400" s="133"/>
      <c r="AQ3400" s="133"/>
      <c r="AR3400" s="133"/>
      <c r="AS3400" s="153">
        <v>0</v>
      </c>
      <c r="AT3400" s="153">
        <v>0</v>
      </c>
      <c r="AU3400" s="153">
        <v>0</v>
      </c>
      <c r="AV3400" s="135"/>
      <c r="AW3400" s="135"/>
      <c r="AX3400" s="135"/>
      <c r="AY3400" s="135"/>
      <c r="AZ3400" s="135"/>
      <c r="BA3400" s="135"/>
      <c r="BB3400" s="135"/>
      <c r="BC3400" s="135"/>
      <c r="BD3400" s="135"/>
      <c r="BE3400" s="135"/>
      <c r="BF3400" s="135"/>
      <c r="BG3400" s="135"/>
      <c r="BH3400" s="135"/>
      <c r="BI3400" s="2"/>
      <c r="BJ3400" s="136"/>
      <c r="BK3400" s="2"/>
      <c r="BL3400" s="136"/>
      <c r="BM3400" s="136"/>
      <c r="BN3400" s="2"/>
      <c r="BO3400" s="2"/>
      <c r="BP3400" s="136"/>
      <c r="BQ3400" s="137"/>
    </row>
    <row r="3401" spans="1:69" ht="12.75" customHeight="1" x14ac:dyDescent="0.2">
      <c r="A3401" s="2">
        <v>4890</v>
      </c>
      <c r="B3401" s="2"/>
      <c r="C3401" s="2"/>
      <c r="D3401" s="2"/>
      <c r="E3401" s="2"/>
      <c r="F3401" s="132">
        <v>0</v>
      </c>
      <c r="G3401" s="132"/>
      <c r="H3401" s="132">
        <f t="shared" si="381"/>
        <v>0</v>
      </c>
      <c r="I3401" s="132"/>
      <c r="J3401" s="132">
        <f t="shared" si="379"/>
        <v>0</v>
      </c>
      <c r="K3401" s="132">
        <f t="shared" si="382"/>
        <v>0</v>
      </c>
      <c r="L3401" s="132">
        <f t="shared" si="376"/>
        <v>0</v>
      </c>
      <c r="M3401" s="133"/>
      <c r="N3401" s="133">
        <f t="shared" si="380"/>
        <v>0</v>
      </c>
      <c r="O3401" s="134"/>
      <c r="P3401" s="133"/>
      <c r="Q3401" s="2"/>
      <c r="R3401" s="156">
        <f t="shared" si="377"/>
        <v>0</v>
      </c>
      <c r="S3401" s="156">
        <f t="shared" si="378"/>
        <v>0</v>
      </c>
      <c r="T3401" s="133"/>
      <c r="U3401" s="133"/>
      <c r="V3401" s="133"/>
      <c r="W3401" s="133"/>
      <c r="X3401" s="133"/>
      <c r="Y3401" s="133"/>
      <c r="Z3401" s="133"/>
      <c r="AA3401" s="133"/>
      <c r="AB3401" s="133"/>
      <c r="AC3401" s="133"/>
      <c r="AD3401" s="133"/>
      <c r="AE3401" s="133"/>
      <c r="AF3401" s="133"/>
      <c r="AG3401" s="133"/>
      <c r="AH3401" s="133"/>
      <c r="AI3401" s="133"/>
      <c r="AJ3401" s="133"/>
      <c r="AK3401" s="133"/>
      <c r="AL3401" s="133"/>
      <c r="AM3401" s="133"/>
      <c r="AN3401" s="133"/>
      <c r="AO3401" s="133"/>
      <c r="AP3401" s="133"/>
      <c r="AQ3401" s="133"/>
      <c r="AR3401" s="133"/>
      <c r="AS3401" s="153">
        <v>0</v>
      </c>
      <c r="AT3401" s="153">
        <v>0</v>
      </c>
      <c r="AU3401" s="153">
        <v>0</v>
      </c>
      <c r="AV3401" s="135"/>
      <c r="AW3401" s="135"/>
      <c r="AX3401" s="135"/>
      <c r="AY3401" s="135"/>
      <c r="AZ3401" s="135"/>
      <c r="BA3401" s="135"/>
      <c r="BB3401" s="135"/>
      <c r="BC3401" s="135"/>
      <c r="BD3401" s="135"/>
      <c r="BE3401" s="135"/>
      <c r="BF3401" s="135"/>
      <c r="BG3401" s="135"/>
      <c r="BH3401" s="135"/>
      <c r="BI3401" s="2"/>
      <c r="BJ3401" s="136"/>
      <c r="BK3401" s="2"/>
      <c r="BL3401" s="136"/>
      <c r="BM3401" s="136"/>
      <c r="BN3401" s="2"/>
      <c r="BO3401" s="2"/>
      <c r="BP3401" s="136"/>
      <c r="BQ3401" s="137"/>
    </row>
    <row r="3402" spans="1:69" ht="12.75" customHeight="1" x14ac:dyDescent="0.2">
      <c r="A3402" s="2">
        <v>4891</v>
      </c>
      <c r="B3402" s="2"/>
      <c r="C3402" s="2"/>
      <c r="D3402" s="2"/>
      <c r="E3402" s="2"/>
      <c r="F3402" s="132">
        <v>0</v>
      </c>
      <c r="G3402" s="132"/>
      <c r="H3402" s="132">
        <f t="shared" si="381"/>
        <v>0</v>
      </c>
      <c r="I3402" s="132"/>
      <c r="J3402" s="132">
        <f t="shared" si="379"/>
        <v>0</v>
      </c>
      <c r="K3402" s="132">
        <f t="shared" si="382"/>
        <v>0</v>
      </c>
      <c r="L3402" s="132">
        <f t="shared" si="376"/>
        <v>0</v>
      </c>
      <c r="M3402" s="133"/>
      <c r="N3402" s="133">
        <f t="shared" si="380"/>
        <v>0</v>
      </c>
      <c r="O3402" s="134"/>
      <c r="P3402" s="133"/>
      <c r="Q3402" s="2"/>
      <c r="R3402" s="156">
        <f t="shared" si="377"/>
        <v>0</v>
      </c>
      <c r="S3402" s="156">
        <f t="shared" si="378"/>
        <v>0</v>
      </c>
      <c r="T3402" s="133"/>
      <c r="U3402" s="133"/>
      <c r="V3402" s="133"/>
      <c r="W3402" s="133"/>
      <c r="X3402" s="133"/>
      <c r="Y3402" s="133"/>
      <c r="Z3402" s="133"/>
      <c r="AA3402" s="133"/>
      <c r="AB3402" s="133"/>
      <c r="AC3402" s="133"/>
      <c r="AD3402" s="133"/>
      <c r="AE3402" s="133"/>
      <c r="AF3402" s="133"/>
      <c r="AG3402" s="133"/>
      <c r="AH3402" s="133"/>
      <c r="AI3402" s="133"/>
      <c r="AJ3402" s="133"/>
      <c r="AK3402" s="133"/>
      <c r="AL3402" s="133"/>
      <c r="AM3402" s="133"/>
      <c r="AN3402" s="133"/>
      <c r="AO3402" s="133"/>
      <c r="AP3402" s="133"/>
      <c r="AQ3402" s="133"/>
      <c r="AR3402" s="133"/>
      <c r="AS3402" s="153">
        <v>0</v>
      </c>
      <c r="AT3402" s="153">
        <v>0</v>
      </c>
      <c r="AU3402" s="153">
        <v>0</v>
      </c>
      <c r="AV3402" s="135"/>
      <c r="AW3402" s="135"/>
      <c r="AX3402" s="135"/>
      <c r="AY3402" s="135"/>
      <c r="AZ3402" s="135"/>
      <c r="BA3402" s="135"/>
      <c r="BB3402" s="135"/>
      <c r="BC3402" s="135"/>
      <c r="BD3402" s="135"/>
      <c r="BE3402" s="135"/>
      <c r="BF3402" s="135"/>
      <c r="BG3402" s="135"/>
      <c r="BH3402" s="135"/>
      <c r="BI3402" s="2"/>
      <c r="BJ3402" s="136"/>
      <c r="BK3402" s="2"/>
      <c r="BL3402" s="136"/>
      <c r="BM3402" s="136"/>
      <c r="BN3402" s="2"/>
      <c r="BO3402" s="2"/>
      <c r="BP3402" s="136"/>
      <c r="BQ3402" s="137"/>
    </row>
    <row r="3403" spans="1:69" ht="12.75" customHeight="1" x14ac:dyDescent="0.2">
      <c r="A3403" s="2">
        <v>4892</v>
      </c>
      <c r="B3403" s="2"/>
      <c r="C3403" s="2"/>
      <c r="D3403" s="2"/>
      <c r="E3403" s="2"/>
      <c r="F3403" s="132">
        <v>0</v>
      </c>
      <c r="G3403" s="132"/>
      <c r="H3403" s="132">
        <f t="shared" si="381"/>
        <v>0</v>
      </c>
      <c r="I3403" s="132"/>
      <c r="J3403" s="132">
        <f t="shared" si="379"/>
        <v>0</v>
      </c>
      <c r="K3403" s="132">
        <f t="shared" si="382"/>
        <v>0</v>
      </c>
      <c r="L3403" s="132">
        <f t="shared" ref="L3403:L3466" si="383">H3403-J3403</f>
        <v>0</v>
      </c>
      <c r="M3403" s="133"/>
      <c r="N3403" s="133">
        <f t="shared" si="380"/>
        <v>0</v>
      </c>
      <c r="O3403" s="134"/>
      <c r="P3403" s="133"/>
      <c r="Q3403" s="2"/>
      <c r="R3403" s="156">
        <f t="shared" ref="R3403:R3466" si="384">T3403+V3403+X3403+Z3403+AB3403+AD3403+AF3403+AH3403+AJ3403+AL3403+AN3403+AP3403</f>
        <v>0</v>
      </c>
      <c r="S3403" s="156">
        <f t="shared" ref="S3403:S3466" si="385">U3403+W3403+Y3403+AA3403+AC3403+AE3403+AG3403+AI3403+AK3403+AM3403+AO3403+AQ3403</f>
        <v>0</v>
      </c>
      <c r="T3403" s="133"/>
      <c r="U3403" s="133"/>
      <c r="V3403" s="133"/>
      <c r="W3403" s="133"/>
      <c r="X3403" s="133"/>
      <c r="Y3403" s="133"/>
      <c r="Z3403" s="133"/>
      <c r="AA3403" s="133"/>
      <c r="AB3403" s="133"/>
      <c r="AC3403" s="133"/>
      <c r="AD3403" s="133"/>
      <c r="AE3403" s="133"/>
      <c r="AF3403" s="133"/>
      <c r="AG3403" s="133"/>
      <c r="AH3403" s="133"/>
      <c r="AI3403" s="133"/>
      <c r="AJ3403" s="133"/>
      <c r="AK3403" s="133"/>
      <c r="AL3403" s="133"/>
      <c r="AM3403" s="133"/>
      <c r="AN3403" s="133"/>
      <c r="AO3403" s="133"/>
      <c r="AP3403" s="133"/>
      <c r="AQ3403" s="133"/>
      <c r="AR3403" s="133"/>
      <c r="AS3403" s="153">
        <v>0</v>
      </c>
      <c r="AT3403" s="153">
        <v>0</v>
      </c>
      <c r="AU3403" s="153">
        <v>0</v>
      </c>
      <c r="AV3403" s="135"/>
      <c r="AW3403" s="135"/>
      <c r="AX3403" s="135"/>
      <c r="AY3403" s="135"/>
      <c r="AZ3403" s="135"/>
      <c r="BA3403" s="135"/>
      <c r="BB3403" s="135"/>
      <c r="BC3403" s="135"/>
      <c r="BD3403" s="135"/>
      <c r="BE3403" s="135"/>
      <c r="BF3403" s="135"/>
      <c r="BG3403" s="135"/>
      <c r="BH3403" s="135"/>
      <c r="BI3403" s="2"/>
      <c r="BJ3403" s="136"/>
      <c r="BK3403" s="2"/>
      <c r="BL3403" s="136"/>
      <c r="BM3403" s="136"/>
      <c r="BN3403" s="2"/>
      <c r="BO3403" s="2"/>
      <c r="BP3403" s="136"/>
      <c r="BQ3403" s="137"/>
    </row>
    <row r="3404" spans="1:69" ht="12.75" customHeight="1" x14ac:dyDescent="0.2">
      <c r="A3404" s="2">
        <v>4893</v>
      </c>
      <c r="B3404" s="2"/>
      <c r="C3404" s="2"/>
      <c r="D3404" s="2"/>
      <c r="E3404" s="2"/>
      <c r="F3404" s="132">
        <v>0</v>
      </c>
      <c r="G3404" s="132"/>
      <c r="H3404" s="132">
        <f t="shared" si="381"/>
        <v>0</v>
      </c>
      <c r="I3404" s="132"/>
      <c r="J3404" s="132">
        <f t="shared" si="379"/>
        <v>0</v>
      </c>
      <c r="K3404" s="132">
        <f t="shared" si="382"/>
        <v>0</v>
      </c>
      <c r="L3404" s="132">
        <f t="shared" si="383"/>
        <v>0</v>
      </c>
      <c r="M3404" s="133"/>
      <c r="N3404" s="133">
        <f t="shared" si="380"/>
        <v>0</v>
      </c>
      <c r="O3404" s="134"/>
      <c r="P3404" s="133"/>
      <c r="Q3404" s="2"/>
      <c r="R3404" s="156">
        <f t="shared" si="384"/>
        <v>0</v>
      </c>
      <c r="S3404" s="156">
        <f t="shared" si="385"/>
        <v>0</v>
      </c>
      <c r="T3404" s="133"/>
      <c r="U3404" s="133"/>
      <c r="V3404" s="133"/>
      <c r="W3404" s="133"/>
      <c r="X3404" s="133"/>
      <c r="Y3404" s="133"/>
      <c r="Z3404" s="133"/>
      <c r="AA3404" s="133"/>
      <c r="AB3404" s="133"/>
      <c r="AC3404" s="133"/>
      <c r="AD3404" s="133"/>
      <c r="AE3404" s="133"/>
      <c r="AF3404" s="133"/>
      <c r="AG3404" s="133"/>
      <c r="AH3404" s="133"/>
      <c r="AI3404" s="133"/>
      <c r="AJ3404" s="133"/>
      <c r="AK3404" s="133"/>
      <c r="AL3404" s="133"/>
      <c r="AM3404" s="133"/>
      <c r="AN3404" s="133"/>
      <c r="AO3404" s="133"/>
      <c r="AP3404" s="133"/>
      <c r="AQ3404" s="133"/>
      <c r="AR3404" s="133"/>
      <c r="AS3404" s="153">
        <v>0</v>
      </c>
      <c r="AT3404" s="153">
        <v>0</v>
      </c>
      <c r="AU3404" s="153">
        <v>0</v>
      </c>
      <c r="AV3404" s="135"/>
      <c r="AW3404" s="135"/>
      <c r="AX3404" s="135"/>
      <c r="AY3404" s="135"/>
      <c r="AZ3404" s="135"/>
      <c r="BA3404" s="135"/>
      <c r="BB3404" s="135"/>
      <c r="BC3404" s="135"/>
      <c r="BD3404" s="135"/>
      <c r="BE3404" s="135"/>
      <c r="BF3404" s="135"/>
      <c r="BG3404" s="135"/>
      <c r="BH3404" s="135"/>
      <c r="BI3404" s="2"/>
      <c r="BJ3404" s="136"/>
      <c r="BK3404" s="2"/>
      <c r="BL3404" s="136"/>
      <c r="BM3404" s="136"/>
      <c r="BN3404" s="2"/>
      <c r="BO3404" s="2"/>
      <c r="BP3404" s="136"/>
      <c r="BQ3404" s="137"/>
    </row>
    <row r="3405" spans="1:69" ht="12.75" customHeight="1" x14ac:dyDescent="0.2">
      <c r="A3405" s="2">
        <v>4894</v>
      </c>
      <c r="B3405" s="2"/>
      <c r="C3405" s="2"/>
      <c r="D3405" s="2"/>
      <c r="E3405" s="2"/>
      <c r="F3405" s="132">
        <v>0</v>
      </c>
      <c r="G3405" s="132"/>
      <c r="H3405" s="132">
        <f t="shared" si="381"/>
        <v>0</v>
      </c>
      <c r="I3405" s="132"/>
      <c r="J3405" s="132">
        <f t="shared" si="379"/>
        <v>0</v>
      </c>
      <c r="K3405" s="132">
        <f t="shared" si="382"/>
        <v>0</v>
      </c>
      <c r="L3405" s="132">
        <f t="shared" si="383"/>
        <v>0</v>
      </c>
      <c r="M3405" s="133"/>
      <c r="N3405" s="133">
        <f t="shared" si="380"/>
        <v>0</v>
      </c>
      <c r="O3405" s="134"/>
      <c r="P3405" s="133"/>
      <c r="Q3405" s="2"/>
      <c r="R3405" s="156">
        <f t="shared" si="384"/>
        <v>0</v>
      </c>
      <c r="S3405" s="156">
        <f t="shared" si="385"/>
        <v>0</v>
      </c>
      <c r="T3405" s="133"/>
      <c r="U3405" s="133"/>
      <c r="V3405" s="133"/>
      <c r="W3405" s="133"/>
      <c r="X3405" s="133"/>
      <c r="Y3405" s="133"/>
      <c r="Z3405" s="133"/>
      <c r="AA3405" s="133"/>
      <c r="AB3405" s="133"/>
      <c r="AC3405" s="133"/>
      <c r="AD3405" s="133"/>
      <c r="AE3405" s="133"/>
      <c r="AF3405" s="133"/>
      <c r="AG3405" s="133"/>
      <c r="AH3405" s="133"/>
      <c r="AI3405" s="133"/>
      <c r="AJ3405" s="133"/>
      <c r="AK3405" s="133"/>
      <c r="AL3405" s="133"/>
      <c r="AM3405" s="133"/>
      <c r="AN3405" s="133"/>
      <c r="AO3405" s="133"/>
      <c r="AP3405" s="133"/>
      <c r="AQ3405" s="133"/>
      <c r="AR3405" s="133"/>
      <c r="AS3405" s="153">
        <v>0</v>
      </c>
      <c r="AT3405" s="153">
        <v>0</v>
      </c>
      <c r="AU3405" s="153">
        <v>0</v>
      </c>
      <c r="AV3405" s="135"/>
      <c r="AW3405" s="135"/>
      <c r="AX3405" s="135"/>
      <c r="AY3405" s="135"/>
      <c r="AZ3405" s="135"/>
      <c r="BA3405" s="135"/>
      <c r="BB3405" s="135"/>
      <c r="BC3405" s="135"/>
      <c r="BD3405" s="135"/>
      <c r="BE3405" s="135"/>
      <c r="BF3405" s="135"/>
      <c r="BG3405" s="135"/>
      <c r="BH3405" s="135"/>
      <c r="BI3405" s="2"/>
      <c r="BJ3405" s="136"/>
      <c r="BK3405" s="2"/>
      <c r="BL3405" s="136"/>
      <c r="BM3405" s="136"/>
      <c r="BN3405" s="2"/>
      <c r="BO3405" s="2"/>
      <c r="BP3405" s="136"/>
      <c r="BQ3405" s="137"/>
    </row>
    <row r="3406" spans="1:69" ht="12.75" customHeight="1" x14ac:dyDescent="0.2">
      <c r="A3406" s="2">
        <v>4895</v>
      </c>
      <c r="B3406" s="2"/>
      <c r="C3406" s="2"/>
      <c r="D3406" s="2"/>
      <c r="E3406" s="2"/>
      <c r="F3406" s="132">
        <v>0</v>
      </c>
      <c r="G3406" s="132"/>
      <c r="H3406" s="132">
        <f t="shared" si="381"/>
        <v>0</v>
      </c>
      <c r="I3406" s="132"/>
      <c r="J3406" s="132">
        <f t="shared" si="379"/>
        <v>0</v>
      </c>
      <c r="K3406" s="132">
        <f t="shared" si="382"/>
        <v>0</v>
      </c>
      <c r="L3406" s="132">
        <f t="shared" si="383"/>
        <v>0</v>
      </c>
      <c r="M3406" s="133"/>
      <c r="N3406" s="133">
        <f t="shared" si="380"/>
        <v>0</v>
      </c>
      <c r="O3406" s="134"/>
      <c r="P3406" s="133"/>
      <c r="Q3406" s="2"/>
      <c r="R3406" s="156">
        <f t="shared" si="384"/>
        <v>0</v>
      </c>
      <c r="S3406" s="156">
        <f t="shared" si="385"/>
        <v>0</v>
      </c>
      <c r="T3406" s="133"/>
      <c r="U3406" s="133"/>
      <c r="V3406" s="133"/>
      <c r="W3406" s="133"/>
      <c r="X3406" s="133"/>
      <c r="Y3406" s="133"/>
      <c r="Z3406" s="133"/>
      <c r="AA3406" s="133"/>
      <c r="AB3406" s="133"/>
      <c r="AC3406" s="133"/>
      <c r="AD3406" s="133"/>
      <c r="AE3406" s="133"/>
      <c r="AF3406" s="133"/>
      <c r="AG3406" s="133"/>
      <c r="AH3406" s="133"/>
      <c r="AI3406" s="133"/>
      <c r="AJ3406" s="133"/>
      <c r="AK3406" s="133"/>
      <c r="AL3406" s="133"/>
      <c r="AM3406" s="133"/>
      <c r="AN3406" s="133"/>
      <c r="AO3406" s="133"/>
      <c r="AP3406" s="133"/>
      <c r="AQ3406" s="133"/>
      <c r="AR3406" s="133"/>
      <c r="AS3406" s="153">
        <v>0</v>
      </c>
      <c r="AT3406" s="153">
        <v>0</v>
      </c>
      <c r="AU3406" s="153">
        <v>0</v>
      </c>
      <c r="AV3406" s="135"/>
      <c r="AW3406" s="135"/>
      <c r="AX3406" s="135"/>
      <c r="AY3406" s="135"/>
      <c r="AZ3406" s="135"/>
      <c r="BA3406" s="135"/>
      <c r="BB3406" s="135"/>
      <c r="BC3406" s="135"/>
      <c r="BD3406" s="135"/>
      <c r="BE3406" s="135"/>
      <c r="BF3406" s="135"/>
      <c r="BG3406" s="135"/>
      <c r="BH3406" s="135"/>
      <c r="BI3406" s="2"/>
      <c r="BJ3406" s="136"/>
      <c r="BK3406" s="2"/>
      <c r="BL3406" s="136"/>
      <c r="BM3406" s="136"/>
      <c r="BN3406" s="2"/>
      <c r="BO3406" s="2"/>
      <c r="BP3406" s="136"/>
      <c r="BQ3406" s="137"/>
    </row>
    <row r="3407" spans="1:69" ht="12.75" customHeight="1" x14ac:dyDescent="0.2">
      <c r="A3407" s="2">
        <v>4896</v>
      </c>
      <c r="B3407" s="2"/>
      <c r="C3407" s="2"/>
      <c r="D3407" s="2"/>
      <c r="E3407" s="2"/>
      <c r="F3407" s="132">
        <v>0</v>
      </c>
      <c r="G3407" s="132"/>
      <c r="H3407" s="132">
        <f t="shared" si="381"/>
        <v>0</v>
      </c>
      <c r="I3407" s="132"/>
      <c r="J3407" s="132">
        <f t="shared" si="379"/>
        <v>0</v>
      </c>
      <c r="K3407" s="132">
        <f t="shared" si="382"/>
        <v>0</v>
      </c>
      <c r="L3407" s="132">
        <f t="shared" si="383"/>
        <v>0</v>
      </c>
      <c r="M3407" s="133"/>
      <c r="N3407" s="133">
        <f t="shared" si="380"/>
        <v>0</v>
      </c>
      <c r="O3407" s="134"/>
      <c r="P3407" s="133"/>
      <c r="Q3407" s="2"/>
      <c r="R3407" s="156">
        <f t="shared" si="384"/>
        <v>0</v>
      </c>
      <c r="S3407" s="156">
        <f t="shared" si="385"/>
        <v>0</v>
      </c>
      <c r="T3407" s="133"/>
      <c r="U3407" s="133"/>
      <c r="V3407" s="133"/>
      <c r="W3407" s="133"/>
      <c r="X3407" s="133"/>
      <c r="Y3407" s="133"/>
      <c r="Z3407" s="133"/>
      <c r="AA3407" s="133"/>
      <c r="AB3407" s="133"/>
      <c r="AC3407" s="133"/>
      <c r="AD3407" s="133"/>
      <c r="AE3407" s="133"/>
      <c r="AF3407" s="133"/>
      <c r="AG3407" s="133"/>
      <c r="AH3407" s="133"/>
      <c r="AI3407" s="133"/>
      <c r="AJ3407" s="133"/>
      <c r="AK3407" s="133"/>
      <c r="AL3407" s="133"/>
      <c r="AM3407" s="133"/>
      <c r="AN3407" s="133"/>
      <c r="AO3407" s="133"/>
      <c r="AP3407" s="133"/>
      <c r="AQ3407" s="133"/>
      <c r="AR3407" s="133"/>
      <c r="AS3407" s="153">
        <v>0</v>
      </c>
      <c r="AT3407" s="153">
        <v>0</v>
      </c>
      <c r="AU3407" s="153">
        <v>0</v>
      </c>
      <c r="AV3407" s="135"/>
      <c r="AW3407" s="135"/>
      <c r="AX3407" s="135"/>
      <c r="AY3407" s="135"/>
      <c r="AZ3407" s="135"/>
      <c r="BA3407" s="135"/>
      <c r="BB3407" s="135"/>
      <c r="BC3407" s="135"/>
      <c r="BD3407" s="135"/>
      <c r="BE3407" s="135"/>
      <c r="BF3407" s="135"/>
      <c r="BG3407" s="135"/>
      <c r="BH3407" s="135"/>
      <c r="BI3407" s="2"/>
      <c r="BJ3407" s="136"/>
      <c r="BK3407" s="2"/>
      <c r="BL3407" s="136"/>
      <c r="BM3407" s="136"/>
      <c r="BN3407" s="2"/>
      <c r="BO3407" s="2"/>
      <c r="BP3407" s="136"/>
      <c r="BQ3407" s="137"/>
    </row>
    <row r="3408" spans="1:69" ht="12.75" customHeight="1" x14ac:dyDescent="0.2">
      <c r="A3408" s="2">
        <v>4897</v>
      </c>
      <c r="B3408" s="2"/>
      <c r="C3408" s="2"/>
      <c r="D3408" s="2"/>
      <c r="E3408" s="2"/>
      <c r="F3408" s="132">
        <v>0</v>
      </c>
      <c r="G3408" s="132"/>
      <c r="H3408" s="132">
        <f t="shared" si="381"/>
        <v>0</v>
      </c>
      <c r="I3408" s="132"/>
      <c r="J3408" s="132">
        <f t="shared" si="379"/>
        <v>0</v>
      </c>
      <c r="K3408" s="132">
        <f t="shared" si="382"/>
        <v>0</v>
      </c>
      <c r="L3408" s="132">
        <f t="shared" si="383"/>
        <v>0</v>
      </c>
      <c r="M3408" s="133"/>
      <c r="N3408" s="133">
        <f t="shared" si="380"/>
        <v>0</v>
      </c>
      <c r="O3408" s="134"/>
      <c r="P3408" s="133"/>
      <c r="Q3408" s="2"/>
      <c r="R3408" s="156">
        <f t="shared" si="384"/>
        <v>0</v>
      </c>
      <c r="S3408" s="156">
        <f t="shared" si="385"/>
        <v>0</v>
      </c>
      <c r="T3408" s="133"/>
      <c r="U3408" s="133"/>
      <c r="V3408" s="133"/>
      <c r="W3408" s="133"/>
      <c r="X3408" s="133"/>
      <c r="Y3408" s="133"/>
      <c r="Z3408" s="133"/>
      <c r="AA3408" s="133"/>
      <c r="AB3408" s="133"/>
      <c r="AC3408" s="133"/>
      <c r="AD3408" s="133"/>
      <c r="AE3408" s="133"/>
      <c r="AF3408" s="133"/>
      <c r="AG3408" s="133"/>
      <c r="AH3408" s="133"/>
      <c r="AI3408" s="133"/>
      <c r="AJ3408" s="133"/>
      <c r="AK3408" s="133"/>
      <c r="AL3408" s="133"/>
      <c r="AM3408" s="133"/>
      <c r="AN3408" s="133"/>
      <c r="AO3408" s="133"/>
      <c r="AP3408" s="133"/>
      <c r="AQ3408" s="133"/>
      <c r="AR3408" s="133"/>
      <c r="AS3408" s="153">
        <v>0</v>
      </c>
      <c r="AT3408" s="153">
        <v>0</v>
      </c>
      <c r="AU3408" s="153">
        <v>0</v>
      </c>
      <c r="AV3408" s="135"/>
      <c r="AW3408" s="135"/>
      <c r="AX3408" s="135"/>
      <c r="AY3408" s="135"/>
      <c r="AZ3408" s="135"/>
      <c r="BA3408" s="135"/>
      <c r="BB3408" s="135"/>
      <c r="BC3408" s="135"/>
      <c r="BD3408" s="135"/>
      <c r="BE3408" s="135"/>
      <c r="BF3408" s="135"/>
      <c r="BG3408" s="135"/>
      <c r="BH3408" s="135"/>
      <c r="BI3408" s="2"/>
      <c r="BJ3408" s="136"/>
      <c r="BK3408" s="2"/>
      <c r="BL3408" s="136"/>
      <c r="BM3408" s="136"/>
      <c r="BN3408" s="2"/>
      <c r="BO3408" s="2"/>
      <c r="BP3408" s="136"/>
      <c r="BQ3408" s="137"/>
    </row>
    <row r="3409" spans="1:69" ht="12.75" customHeight="1" x14ac:dyDescent="0.2">
      <c r="A3409" s="2">
        <v>4898</v>
      </c>
      <c r="B3409" s="2"/>
      <c r="C3409" s="2"/>
      <c r="D3409" s="2"/>
      <c r="E3409" s="2"/>
      <c r="F3409" s="132">
        <v>0</v>
      </c>
      <c r="G3409" s="132"/>
      <c r="H3409" s="132">
        <f t="shared" si="381"/>
        <v>0</v>
      </c>
      <c r="I3409" s="132"/>
      <c r="J3409" s="132">
        <f t="shared" si="379"/>
        <v>0</v>
      </c>
      <c r="K3409" s="132">
        <f t="shared" si="382"/>
        <v>0</v>
      </c>
      <c r="L3409" s="132">
        <f t="shared" si="383"/>
        <v>0</v>
      </c>
      <c r="M3409" s="133"/>
      <c r="N3409" s="133">
        <f t="shared" si="380"/>
        <v>0</v>
      </c>
      <c r="O3409" s="134"/>
      <c r="P3409" s="133"/>
      <c r="Q3409" s="2"/>
      <c r="R3409" s="156">
        <f t="shared" si="384"/>
        <v>0</v>
      </c>
      <c r="S3409" s="156">
        <f t="shared" si="385"/>
        <v>0</v>
      </c>
      <c r="T3409" s="133"/>
      <c r="U3409" s="133"/>
      <c r="V3409" s="133"/>
      <c r="W3409" s="133"/>
      <c r="X3409" s="133"/>
      <c r="Y3409" s="133"/>
      <c r="Z3409" s="133"/>
      <c r="AA3409" s="133"/>
      <c r="AB3409" s="133"/>
      <c r="AC3409" s="133"/>
      <c r="AD3409" s="133"/>
      <c r="AE3409" s="133"/>
      <c r="AF3409" s="133"/>
      <c r="AG3409" s="133"/>
      <c r="AH3409" s="133"/>
      <c r="AI3409" s="133"/>
      <c r="AJ3409" s="133"/>
      <c r="AK3409" s="133"/>
      <c r="AL3409" s="133"/>
      <c r="AM3409" s="133"/>
      <c r="AN3409" s="133"/>
      <c r="AO3409" s="133"/>
      <c r="AP3409" s="133"/>
      <c r="AQ3409" s="133"/>
      <c r="AR3409" s="133"/>
      <c r="AS3409" s="153">
        <v>0</v>
      </c>
      <c r="AT3409" s="153">
        <v>0</v>
      </c>
      <c r="AU3409" s="153">
        <v>0</v>
      </c>
      <c r="AV3409" s="135"/>
      <c r="AW3409" s="135"/>
      <c r="AX3409" s="135"/>
      <c r="AY3409" s="135"/>
      <c r="AZ3409" s="135"/>
      <c r="BA3409" s="135"/>
      <c r="BB3409" s="135"/>
      <c r="BC3409" s="135"/>
      <c r="BD3409" s="135"/>
      <c r="BE3409" s="135"/>
      <c r="BF3409" s="135"/>
      <c r="BG3409" s="135"/>
      <c r="BH3409" s="135"/>
      <c r="BI3409" s="2"/>
      <c r="BJ3409" s="136"/>
      <c r="BK3409" s="2"/>
      <c r="BL3409" s="136"/>
      <c r="BM3409" s="136"/>
      <c r="BN3409" s="2"/>
      <c r="BO3409" s="2"/>
      <c r="BP3409" s="136"/>
      <c r="BQ3409" s="137"/>
    </row>
    <row r="3410" spans="1:69" ht="12.75" customHeight="1" x14ac:dyDescent="0.2">
      <c r="A3410" s="2">
        <v>4899</v>
      </c>
      <c r="B3410" s="2"/>
      <c r="C3410" s="2"/>
      <c r="D3410" s="2"/>
      <c r="E3410" s="2"/>
      <c r="F3410" s="132">
        <v>0</v>
      </c>
      <c r="G3410" s="132"/>
      <c r="H3410" s="132">
        <f t="shared" si="381"/>
        <v>0</v>
      </c>
      <c r="I3410" s="132"/>
      <c r="J3410" s="132">
        <f t="shared" si="379"/>
        <v>0</v>
      </c>
      <c r="K3410" s="132">
        <f t="shared" si="382"/>
        <v>0</v>
      </c>
      <c r="L3410" s="132">
        <f t="shared" si="383"/>
        <v>0</v>
      </c>
      <c r="M3410" s="133"/>
      <c r="N3410" s="133">
        <f t="shared" si="380"/>
        <v>0</v>
      </c>
      <c r="O3410" s="134"/>
      <c r="P3410" s="133"/>
      <c r="Q3410" s="2"/>
      <c r="R3410" s="156">
        <f t="shared" si="384"/>
        <v>0</v>
      </c>
      <c r="S3410" s="156">
        <f t="shared" si="385"/>
        <v>0</v>
      </c>
      <c r="T3410" s="133"/>
      <c r="U3410" s="133"/>
      <c r="V3410" s="133"/>
      <c r="W3410" s="133"/>
      <c r="X3410" s="133"/>
      <c r="Y3410" s="133"/>
      <c r="Z3410" s="133"/>
      <c r="AA3410" s="133"/>
      <c r="AB3410" s="133"/>
      <c r="AC3410" s="133"/>
      <c r="AD3410" s="133"/>
      <c r="AE3410" s="133"/>
      <c r="AF3410" s="133"/>
      <c r="AG3410" s="133"/>
      <c r="AH3410" s="133"/>
      <c r="AI3410" s="133"/>
      <c r="AJ3410" s="133"/>
      <c r="AK3410" s="133"/>
      <c r="AL3410" s="133"/>
      <c r="AM3410" s="133"/>
      <c r="AN3410" s="133"/>
      <c r="AO3410" s="133"/>
      <c r="AP3410" s="133"/>
      <c r="AQ3410" s="133"/>
      <c r="AR3410" s="133"/>
      <c r="AS3410" s="153">
        <v>0</v>
      </c>
      <c r="AT3410" s="153">
        <v>0</v>
      </c>
      <c r="AU3410" s="153">
        <v>0</v>
      </c>
      <c r="AV3410" s="135"/>
      <c r="AW3410" s="135"/>
      <c r="AX3410" s="135"/>
      <c r="AY3410" s="135"/>
      <c r="AZ3410" s="135"/>
      <c r="BA3410" s="135"/>
      <c r="BB3410" s="135"/>
      <c r="BC3410" s="135"/>
      <c r="BD3410" s="135"/>
      <c r="BE3410" s="135"/>
      <c r="BF3410" s="135"/>
      <c r="BG3410" s="135"/>
      <c r="BH3410" s="135"/>
      <c r="BI3410" s="2"/>
      <c r="BJ3410" s="136"/>
      <c r="BK3410" s="2"/>
      <c r="BL3410" s="136"/>
      <c r="BM3410" s="136"/>
      <c r="BN3410" s="2"/>
      <c r="BO3410" s="2"/>
      <c r="BP3410" s="136"/>
      <c r="BQ3410" s="137"/>
    </row>
    <row r="3411" spans="1:69" ht="12.75" customHeight="1" x14ac:dyDescent="0.2">
      <c r="A3411" s="2">
        <v>4900</v>
      </c>
      <c r="B3411" s="2"/>
      <c r="C3411" s="2"/>
      <c r="D3411" s="2"/>
      <c r="E3411" s="2"/>
      <c r="F3411" s="132">
        <v>0</v>
      </c>
      <c r="G3411" s="132"/>
      <c r="H3411" s="132">
        <f t="shared" si="381"/>
        <v>0</v>
      </c>
      <c r="I3411" s="132"/>
      <c r="J3411" s="132">
        <f t="shared" si="379"/>
        <v>0</v>
      </c>
      <c r="K3411" s="132">
        <f t="shared" si="382"/>
        <v>0</v>
      </c>
      <c r="L3411" s="132">
        <f t="shared" si="383"/>
        <v>0</v>
      </c>
      <c r="M3411" s="133"/>
      <c r="N3411" s="133">
        <f t="shared" si="380"/>
        <v>0</v>
      </c>
      <c r="O3411" s="134"/>
      <c r="P3411" s="133"/>
      <c r="Q3411" s="2"/>
      <c r="R3411" s="156">
        <f t="shared" si="384"/>
        <v>0</v>
      </c>
      <c r="S3411" s="156">
        <f t="shared" si="385"/>
        <v>0</v>
      </c>
      <c r="T3411" s="133"/>
      <c r="U3411" s="133"/>
      <c r="V3411" s="133"/>
      <c r="W3411" s="133"/>
      <c r="X3411" s="133"/>
      <c r="Y3411" s="133"/>
      <c r="Z3411" s="133"/>
      <c r="AA3411" s="133"/>
      <c r="AB3411" s="133"/>
      <c r="AC3411" s="133"/>
      <c r="AD3411" s="133"/>
      <c r="AE3411" s="133"/>
      <c r="AF3411" s="133"/>
      <c r="AG3411" s="133"/>
      <c r="AH3411" s="133"/>
      <c r="AI3411" s="133"/>
      <c r="AJ3411" s="133"/>
      <c r="AK3411" s="133"/>
      <c r="AL3411" s="133"/>
      <c r="AM3411" s="133"/>
      <c r="AN3411" s="133"/>
      <c r="AO3411" s="133"/>
      <c r="AP3411" s="133"/>
      <c r="AQ3411" s="133"/>
      <c r="AR3411" s="133"/>
      <c r="AS3411" s="153">
        <v>0</v>
      </c>
      <c r="AT3411" s="153">
        <v>0</v>
      </c>
      <c r="AU3411" s="153">
        <v>0</v>
      </c>
      <c r="AV3411" s="135"/>
      <c r="AW3411" s="135"/>
      <c r="AX3411" s="135"/>
      <c r="AY3411" s="135"/>
      <c r="AZ3411" s="135"/>
      <c r="BA3411" s="135"/>
      <c r="BB3411" s="135"/>
      <c r="BC3411" s="135"/>
      <c r="BD3411" s="135"/>
      <c r="BE3411" s="135"/>
      <c r="BF3411" s="135"/>
      <c r="BG3411" s="135"/>
      <c r="BH3411" s="135"/>
      <c r="BI3411" s="2"/>
      <c r="BJ3411" s="136"/>
      <c r="BK3411" s="2"/>
      <c r="BL3411" s="136"/>
      <c r="BM3411" s="136"/>
      <c r="BN3411" s="2"/>
      <c r="BO3411" s="2"/>
      <c r="BP3411" s="136"/>
      <c r="BQ3411" s="137"/>
    </row>
    <row r="3412" spans="1:69" ht="12.75" customHeight="1" x14ac:dyDescent="0.2">
      <c r="A3412" s="2">
        <v>4901</v>
      </c>
      <c r="B3412" s="2"/>
      <c r="C3412" s="2"/>
      <c r="D3412" s="2"/>
      <c r="E3412" s="2"/>
      <c r="F3412" s="132">
        <v>0</v>
      </c>
      <c r="G3412" s="132"/>
      <c r="H3412" s="132">
        <f t="shared" si="381"/>
        <v>0</v>
      </c>
      <c r="I3412" s="132"/>
      <c r="J3412" s="132">
        <f t="shared" si="379"/>
        <v>0</v>
      </c>
      <c r="K3412" s="132">
        <f t="shared" si="382"/>
        <v>0</v>
      </c>
      <c r="L3412" s="132">
        <f t="shared" si="383"/>
        <v>0</v>
      </c>
      <c r="M3412" s="133"/>
      <c r="N3412" s="133">
        <f t="shared" si="380"/>
        <v>0</v>
      </c>
      <c r="O3412" s="134"/>
      <c r="P3412" s="133"/>
      <c r="Q3412" s="2"/>
      <c r="R3412" s="156">
        <f t="shared" si="384"/>
        <v>0</v>
      </c>
      <c r="S3412" s="156">
        <f t="shared" si="385"/>
        <v>0</v>
      </c>
      <c r="T3412" s="133"/>
      <c r="U3412" s="133"/>
      <c r="V3412" s="133"/>
      <c r="W3412" s="133"/>
      <c r="X3412" s="133"/>
      <c r="Y3412" s="133"/>
      <c r="Z3412" s="133"/>
      <c r="AA3412" s="133"/>
      <c r="AB3412" s="133"/>
      <c r="AC3412" s="133"/>
      <c r="AD3412" s="133"/>
      <c r="AE3412" s="133"/>
      <c r="AF3412" s="133"/>
      <c r="AG3412" s="133"/>
      <c r="AH3412" s="133"/>
      <c r="AI3412" s="133"/>
      <c r="AJ3412" s="133"/>
      <c r="AK3412" s="133"/>
      <c r="AL3412" s="133"/>
      <c r="AM3412" s="133"/>
      <c r="AN3412" s="133"/>
      <c r="AO3412" s="133"/>
      <c r="AP3412" s="133"/>
      <c r="AQ3412" s="133"/>
      <c r="AR3412" s="133"/>
      <c r="AS3412" s="153">
        <v>0</v>
      </c>
      <c r="AT3412" s="153">
        <v>0</v>
      </c>
      <c r="AU3412" s="153">
        <v>0</v>
      </c>
      <c r="AV3412" s="135"/>
      <c r="AW3412" s="135"/>
      <c r="AX3412" s="135"/>
      <c r="AY3412" s="135"/>
      <c r="AZ3412" s="135"/>
      <c r="BA3412" s="135"/>
      <c r="BB3412" s="135"/>
      <c r="BC3412" s="135"/>
      <c r="BD3412" s="135"/>
      <c r="BE3412" s="135"/>
      <c r="BF3412" s="135"/>
      <c r="BG3412" s="135"/>
      <c r="BH3412" s="135"/>
      <c r="BI3412" s="2"/>
      <c r="BJ3412" s="136"/>
      <c r="BK3412" s="2"/>
      <c r="BL3412" s="136"/>
      <c r="BM3412" s="136"/>
      <c r="BN3412" s="2"/>
      <c r="BO3412" s="2"/>
      <c r="BP3412" s="136"/>
      <c r="BQ3412" s="137"/>
    </row>
    <row r="3413" spans="1:69" ht="12.75" customHeight="1" x14ac:dyDescent="0.2">
      <c r="A3413" s="2">
        <v>4902</v>
      </c>
      <c r="B3413" s="2"/>
      <c r="C3413" s="2"/>
      <c r="D3413" s="2"/>
      <c r="E3413" s="2"/>
      <c r="F3413" s="132">
        <v>0</v>
      </c>
      <c r="G3413" s="132"/>
      <c r="H3413" s="132">
        <f t="shared" si="381"/>
        <v>0</v>
      </c>
      <c r="I3413" s="132"/>
      <c r="J3413" s="132">
        <f t="shared" si="379"/>
        <v>0</v>
      </c>
      <c r="K3413" s="132">
        <f t="shared" si="382"/>
        <v>0</v>
      </c>
      <c r="L3413" s="132">
        <f t="shared" si="383"/>
        <v>0</v>
      </c>
      <c r="M3413" s="133"/>
      <c r="N3413" s="133">
        <f t="shared" si="380"/>
        <v>0</v>
      </c>
      <c r="O3413" s="134"/>
      <c r="P3413" s="133"/>
      <c r="Q3413" s="2"/>
      <c r="R3413" s="156">
        <f t="shared" si="384"/>
        <v>0</v>
      </c>
      <c r="S3413" s="156">
        <f t="shared" si="385"/>
        <v>0</v>
      </c>
      <c r="T3413" s="133"/>
      <c r="U3413" s="133"/>
      <c r="V3413" s="133"/>
      <c r="W3413" s="133"/>
      <c r="X3413" s="133"/>
      <c r="Y3413" s="133"/>
      <c r="Z3413" s="133"/>
      <c r="AA3413" s="133"/>
      <c r="AB3413" s="133"/>
      <c r="AC3413" s="133"/>
      <c r="AD3413" s="133"/>
      <c r="AE3413" s="133"/>
      <c r="AF3413" s="133"/>
      <c r="AG3413" s="133"/>
      <c r="AH3413" s="133"/>
      <c r="AI3413" s="133"/>
      <c r="AJ3413" s="133"/>
      <c r="AK3413" s="133"/>
      <c r="AL3413" s="133"/>
      <c r="AM3413" s="133"/>
      <c r="AN3413" s="133"/>
      <c r="AO3413" s="133"/>
      <c r="AP3413" s="133"/>
      <c r="AQ3413" s="133"/>
      <c r="AR3413" s="133"/>
      <c r="AS3413" s="153">
        <v>0</v>
      </c>
      <c r="AT3413" s="153">
        <v>0</v>
      </c>
      <c r="AU3413" s="153">
        <v>0</v>
      </c>
      <c r="AV3413" s="135"/>
      <c r="AW3413" s="135"/>
      <c r="AX3413" s="135"/>
      <c r="AY3413" s="135"/>
      <c r="AZ3413" s="135"/>
      <c r="BA3413" s="135"/>
      <c r="BB3413" s="135"/>
      <c r="BC3413" s="135"/>
      <c r="BD3413" s="135"/>
      <c r="BE3413" s="135"/>
      <c r="BF3413" s="135"/>
      <c r="BG3413" s="135"/>
      <c r="BH3413" s="135"/>
      <c r="BI3413" s="2"/>
      <c r="BJ3413" s="136"/>
      <c r="BK3413" s="2"/>
      <c r="BL3413" s="136"/>
      <c r="BM3413" s="136"/>
      <c r="BN3413" s="2"/>
      <c r="BO3413" s="2"/>
      <c r="BP3413" s="136"/>
      <c r="BQ3413" s="137"/>
    </row>
    <row r="3414" spans="1:69" ht="12.75" customHeight="1" x14ac:dyDescent="0.2">
      <c r="A3414" s="2">
        <v>4903</v>
      </c>
      <c r="B3414" s="2"/>
      <c r="C3414" s="2"/>
      <c r="D3414" s="2"/>
      <c r="E3414" s="2"/>
      <c r="F3414" s="132">
        <v>0</v>
      </c>
      <c r="G3414" s="132"/>
      <c r="H3414" s="132">
        <f t="shared" si="381"/>
        <v>0</v>
      </c>
      <c r="I3414" s="132"/>
      <c r="J3414" s="132">
        <f t="shared" si="379"/>
        <v>0</v>
      </c>
      <c r="K3414" s="132">
        <f t="shared" si="382"/>
        <v>0</v>
      </c>
      <c r="L3414" s="132">
        <f t="shared" si="383"/>
        <v>0</v>
      </c>
      <c r="M3414" s="133"/>
      <c r="N3414" s="133">
        <f t="shared" si="380"/>
        <v>0</v>
      </c>
      <c r="O3414" s="134"/>
      <c r="P3414" s="133"/>
      <c r="Q3414" s="2"/>
      <c r="R3414" s="156">
        <f t="shared" si="384"/>
        <v>0</v>
      </c>
      <c r="S3414" s="156">
        <f t="shared" si="385"/>
        <v>0</v>
      </c>
      <c r="T3414" s="133"/>
      <c r="U3414" s="133"/>
      <c r="V3414" s="133"/>
      <c r="W3414" s="133"/>
      <c r="X3414" s="133"/>
      <c r="Y3414" s="133"/>
      <c r="Z3414" s="133"/>
      <c r="AA3414" s="133"/>
      <c r="AB3414" s="133"/>
      <c r="AC3414" s="133"/>
      <c r="AD3414" s="133"/>
      <c r="AE3414" s="133"/>
      <c r="AF3414" s="133"/>
      <c r="AG3414" s="133"/>
      <c r="AH3414" s="133"/>
      <c r="AI3414" s="133"/>
      <c r="AJ3414" s="133"/>
      <c r="AK3414" s="133"/>
      <c r="AL3414" s="133"/>
      <c r="AM3414" s="133"/>
      <c r="AN3414" s="133"/>
      <c r="AO3414" s="133"/>
      <c r="AP3414" s="133"/>
      <c r="AQ3414" s="133"/>
      <c r="AR3414" s="133"/>
      <c r="AS3414" s="153">
        <v>0</v>
      </c>
      <c r="AT3414" s="153">
        <v>0</v>
      </c>
      <c r="AU3414" s="153">
        <v>0</v>
      </c>
      <c r="AV3414" s="135"/>
      <c r="AW3414" s="135"/>
      <c r="AX3414" s="135"/>
      <c r="AY3414" s="135"/>
      <c r="AZ3414" s="135"/>
      <c r="BA3414" s="135"/>
      <c r="BB3414" s="135"/>
      <c r="BC3414" s="135"/>
      <c r="BD3414" s="135"/>
      <c r="BE3414" s="135"/>
      <c r="BF3414" s="135"/>
      <c r="BG3414" s="135"/>
      <c r="BH3414" s="135"/>
      <c r="BI3414" s="2"/>
      <c r="BJ3414" s="136"/>
      <c r="BK3414" s="2"/>
      <c r="BL3414" s="136"/>
      <c r="BM3414" s="136"/>
      <c r="BN3414" s="2"/>
      <c r="BO3414" s="2"/>
      <c r="BP3414" s="136"/>
      <c r="BQ3414" s="137"/>
    </row>
    <row r="3415" spans="1:69" ht="12.75" customHeight="1" x14ac:dyDescent="0.2">
      <c r="A3415" s="2">
        <v>4904</v>
      </c>
      <c r="B3415" s="2"/>
      <c r="C3415" s="2"/>
      <c r="D3415" s="2"/>
      <c r="E3415" s="2"/>
      <c r="F3415" s="132">
        <v>0</v>
      </c>
      <c r="G3415" s="132"/>
      <c r="H3415" s="132">
        <f t="shared" si="381"/>
        <v>0</v>
      </c>
      <c r="I3415" s="132"/>
      <c r="J3415" s="132">
        <f t="shared" si="379"/>
        <v>0</v>
      </c>
      <c r="K3415" s="132">
        <f t="shared" si="382"/>
        <v>0</v>
      </c>
      <c r="L3415" s="132">
        <f t="shared" si="383"/>
        <v>0</v>
      </c>
      <c r="M3415" s="133"/>
      <c r="N3415" s="133">
        <f t="shared" si="380"/>
        <v>0</v>
      </c>
      <c r="O3415" s="134"/>
      <c r="P3415" s="133"/>
      <c r="Q3415" s="2"/>
      <c r="R3415" s="156">
        <f t="shared" si="384"/>
        <v>0</v>
      </c>
      <c r="S3415" s="156">
        <f t="shared" si="385"/>
        <v>0</v>
      </c>
      <c r="T3415" s="133"/>
      <c r="U3415" s="133"/>
      <c r="V3415" s="133"/>
      <c r="W3415" s="133"/>
      <c r="X3415" s="133"/>
      <c r="Y3415" s="133"/>
      <c r="Z3415" s="133"/>
      <c r="AA3415" s="133"/>
      <c r="AB3415" s="133"/>
      <c r="AC3415" s="133"/>
      <c r="AD3415" s="133"/>
      <c r="AE3415" s="133"/>
      <c r="AF3415" s="133"/>
      <c r="AG3415" s="133"/>
      <c r="AH3415" s="133"/>
      <c r="AI3415" s="133"/>
      <c r="AJ3415" s="133"/>
      <c r="AK3415" s="133"/>
      <c r="AL3415" s="133"/>
      <c r="AM3415" s="133"/>
      <c r="AN3415" s="133"/>
      <c r="AO3415" s="133"/>
      <c r="AP3415" s="133"/>
      <c r="AQ3415" s="133"/>
      <c r="AR3415" s="133"/>
      <c r="AS3415" s="153">
        <v>0</v>
      </c>
      <c r="AT3415" s="153">
        <v>0</v>
      </c>
      <c r="AU3415" s="153">
        <v>0</v>
      </c>
      <c r="AV3415" s="135"/>
      <c r="AW3415" s="135"/>
      <c r="AX3415" s="135"/>
      <c r="AY3415" s="135"/>
      <c r="AZ3415" s="135"/>
      <c r="BA3415" s="135"/>
      <c r="BB3415" s="135"/>
      <c r="BC3415" s="135"/>
      <c r="BD3415" s="135"/>
      <c r="BE3415" s="135"/>
      <c r="BF3415" s="135"/>
      <c r="BG3415" s="135"/>
      <c r="BH3415" s="135"/>
      <c r="BI3415" s="2"/>
      <c r="BJ3415" s="136"/>
      <c r="BK3415" s="2"/>
      <c r="BL3415" s="136"/>
      <c r="BM3415" s="136"/>
      <c r="BN3415" s="2"/>
      <c r="BO3415" s="2"/>
      <c r="BP3415" s="136"/>
      <c r="BQ3415" s="137"/>
    </row>
    <row r="3416" spans="1:69" ht="12.75" customHeight="1" x14ac:dyDescent="0.2">
      <c r="A3416" s="2">
        <v>4905</v>
      </c>
      <c r="B3416" s="2"/>
      <c r="C3416" s="2"/>
      <c r="D3416" s="2"/>
      <c r="E3416" s="2"/>
      <c r="F3416" s="132">
        <v>0</v>
      </c>
      <c r="G3416" s="132"/>
      <c r="H3416" s="132">
        <f t="shared" si="381"/>
        <v>0</v>
      </c>
      <c r="I3416" s="132"/>
      <c r="J3416" s="132">
        <f t="shared" si="379"/>
        <v>0</v>
      </c>
      <c r="K3416" s="132">
        <f t="shared" si="382"/>
        <v>0</v>
      </c>
      <c r="L3416" s="132">
        <f t="shared" si="383"/>
        <v>0</v>
      </c>
      <c r="M3416" s="133"/>
      <c r="N3416" s="133">
        <f t="shared" si="380"/>
        <v>0</v>
      </c>
      <c r="O3416" s="134"/>
      <c r="P3416" s="133"/>
      <c r="Q3416" s="2"/>
      <c r="R3416" s="156">
        <f t="shared" si="384"/>
        <v>0</v>
      </c>
      <c r="S3416" s="156">
        <f t="shared" si="385"/>
        <v>0</v>
      </c>
      <c r="T3416" s="133"/>
      <c r="U3416" s="133"/>
      <c r="V3416" s="133"/>
      <c r="W3416" s="133"/>
      <c r="X3416" s="133"/>
      <c r="Y3416" s="133"/>
      <c r="Z3416" s="133"/>
      <c r="AA3416" s="133"/>
      <c r="AB3416" s="133"/>
      <c r="AC3416" s="133"/>
      <c r="AD3416" s="133"/>
      <c r="AE3416" s="133"/>
      <c r="AF3416" s="133"/>
      <c r="AG3416" s="133"/>
      <c r="AH3416" s="133"/>
      <c r="AI3416" s="133"/>
      <c r="AJ3416" s="133"/>
      <c r="AK3416" s="133"/>
      <c r="AL3416" s="133"/>
      <c r="AM3416" s="133"/>
      <c r="AN3416" s="133"/>
      <c r="AO3416" s="133"/>
      <c r="AP3416" s="133"/>
      <c r="AQ3416" s="133"/>
      <c r="AR3416" s="133"/>
      <c r="AS3416" s="153">
        <v>0</v>
      </c>
      <c r="AT3416" s="153">
        <v>0</v>
      </c>
      <c r="AU3416" s="153">
        <v>0</v>
      </c>
      <c r="AV3416" s="135"/>
      <c r="AW3416" s="135"/>
      <c r="AX3416" s="135"/>
      <c r="AY3416" s="135"/>
      <c r="AZ3416" s="135"/>
      <c r="BA3416" s="135"/>
      <c r="BB3416" s="135"/>
      <c r="BC3416" s="135"/>
      <c r="BD3416" s="135"/>
      <c r="BE3416" s="135"/>
      <c r="BF3416" s="135"/>
      <c r="BG3416" s="135"/>
      <c r="BH3416" s="135"/>
      <c r="BI3416" s="2"/>
      <c r="BJ3416" s="136"/>
      <c r="BK3416" s="2"/>
      <c r="BL3416" s="136"/>
      <c r="BM3416" s="136"/>
      <c r="BN3416" s="2"/>
      <c r="BO3416" s="2"/>
      <c r="BP3416" s="136"/>
      <c r="BQ3416" s="137"/>
    </row>
    <row r="3417" spans="1:69" ht="12.75" customHeight="1" x14ac:dyDescent="0.2">
      <c r="A3417" s="2">
        <v>4906</v>
      </c>
      <c r="B3417" s="2"/>
      <c r="C3417" s="2"/>
      <c r="D3417" s="2"/>
      <c r="E3417" s="2"/>
      <c r="F3417" s="132">
        <v>0</v>
      </c>
      <c r="G3417" s="132"/>
      <c r="H3417" s="132">
        <f t="shared" si="381"/>
        <v>0</v>
      </c>
      <c r="I3417" s="132"/>
      <c r="J3417" s="132">
        <f t="shared" si="379"/>
        <v>0</v>
      </c>
      <c r="K3417" s="132">
        <f t="shared" si="382"/>
        <v>0</v>
      </c>
      <c r="L3417" s="132">
        <f t="shared" si="383"/>
        <v>0</v>
      </c>
      <c r="M3417" s="133"/>
      <c r="N3417" s="133">
        <f t="shared" si="380"/>
        <v>0</v>
      </c>
      <c r="O3417" s="134"/>
      <c r="P3417" s="133"/>
      <c r="Q3417" s="2"/>
      <c r="R3417" s="156">
        <f t="shared" si="384"/>
        <v>0</v>
      </c>
      <c r="S3417" s="156">
        <f t="shared" si="385"/>
        <v>0</v>
      </c>
      <c r="T3417" s="133"/>
      <c r="U3417" s="133"/>
      <c r="V3417" s="133"/>
      <c r="W3417" s="133"/>
      <c r="X3417" s="133"/>
      <c r="Y3417" s="133"/>
      <c r="Z3417" s="133"/>
      <c r="AA3417" s="133"/>
      <c r="AB3417" s="133"/>
      <c r="AC3417" s="133"/>
      <c r="AD3417" s="133"/>
      <c r="AE3417" s="133"/>
      <c r="AF3417" s="133"/>
      <c r="AG3417" s="133"/>
      <c r="AH3417" s="133"/>
      <c r="AI3417" s="133"/>
      <c r="AJ3417" s="133"/>
      <c r="AK3417" s="133"/>
      <c r="AL3417" s="133"/>
      <c r="AM3417" s="133"/>
      <c r="AN3417" s="133"/>
      <c r="AO3417" s="133"/>
      <c r="AP3417" s="133"/>
      <c r="AQ3417" s="133"/>
      <c r="AR3417" s="133"/>
      <c r="AS3417" s="153">
        <v>0</v>
      </c>
      <c r="AT3417" s="153">
        <v>0</v>
      </c>
      <c r="AU3417" s="153">
        <v>0</v>
      </c>
      <c r="AV3417" s="135"/>
      <c r="AW3417" s="135"/>
      <c r="AX3417" s="135"/>
      <c r="AY3417" s="135"/>
      <c r="AZ3417" s="135"/>
      <c r="BA3417" s="135"/>
      <c r="BB3417" s="135"/>
      <c r="BC3417" s="135"/>
      <c r="BD3417" s="135"/>
      <c r="BE3417" s="135"/>
      <c r="BF3417" s="135"/>
      <c r="BG3417" s="135"/>
      <c r="BH3417" s="135"/>
      <c r="BI3417" s="2"/>
      <c r="BJ3417" s="136"/>
      <c r="BK3417" s="2"/>
      <c r="BL3417" s="136"/>
      <c r="BM3417" s="136"/>
      <c r="BN3417" s="2"/>
      <c r="BO3417" s="2"/>
      <c r="BP3417" s="136"/>
      <c r="BQ3417" s="137"/>
    </row>
    <row r="3418" spans="1:69" ht="12.75" customHeight="1" x14ac:dyDescent="0.2">
      <c r="A3418" s="2">
        <v>4907</v>
      </c>
      <c r="B3418" s="2"/>
      <c r="C3418" s="2"/>
      <c r="D3418" s="2"/>
      <c r="E3418" s="2"/>
      <c r="F3418" s="132">
        <v>0</v>
      </c>
      <c r="G3418" s="132"/>
      <c r="H3418" s="132">
        <f t="shared" si="381"/>
        <v>0</v>
      </c>
      <c r="I3418" s="132"/>
      <c r="J3418" s="132">
        <f t="shared" si="379"/>
        <v>0</v>
      </c>
      <c r="K3418" s="132">
        <f t="shared" si="382"/>
        <v>0</v>
      </c>
      <c r="L3418" s="132">
        <f t="shared" si="383"/>
        <v>0</v>
      </c>
      <c r="M3418" s="133"/>
      <c r="N3418" s="133">
        <f t="shared" si="380"/>
        <v>0</v>
      </c>
      <c r="O3418" s="134"/>
      <c r="P3418" s="133"/>
      <c r="Q3418" s="2"/>
      <c r="R3418" s="156">
        <f t="shared" si="384"/>
        <v>0</v>
      </c>
      <c r="S3418" s="156">
        <f t="shared" si="385"/>
        <v>0</v>
      </c>
      <c r="T3418" s="133"/>
      <c r="U3418" s="133"/>
      <c r="V3418" s="133"/>
      <c r="W3418" s="133"/>
      <c r="X3418" s="133"/>
      <c r="Y3418" s="133"/>
      <c r="Z3418" s="133"/>
      <c r="AA3418" s="133"/>
      <c r="AB3418" s="133"/>
      <c r="AC3418" s="133"/>
      <c r="AD3418" s="133"/>
      <c r="AE3418" s="133"/>
      <c r="AF3418" s="133"/>
      <c r="AG3418" s="133"/>
      <c r="AH3418" s="133"/>
      <c r="AI3418" s="133"/>
      <c r="AJ3418" s="133"/>
      <c r="AK3418" s="133"/>
      <c r="AL3418" s="133"/>
      <c r="AM3418" s="133"/>
      <c r="AN3418" s="133"/>
      <c r="AO3418" s="133"/>
      <c r="AP3418" s="133"/>
      <c r="AQ3418" s="133"/>
      <c r="AR3418" s="133"/>
      <c r="AS3418" s="153">
        <v>0</v>
      </c>
      <c r="AT3418" s="153">
        <v>0</v>
      </c>
      <c r="AU3418" s="153">
        <v>0</v>
      </c>
      <c r="AV3418" s="135"/>
      <c r="AW3418" s="135"/>
      <c r="AX3418" s="135"/>
      <c r="AY3418" s="135"/>
      <c r="AZ3418" s="135"/>
      <c r="BA3418" s="135"/>
      <c r="BB3418" s="135"/>
      <c r="BC3418" s="135"/>
      <c r="BD3418" s="135"/>
      <c r="BE3418" s="135"/>
      <c r="BF3418" s="135"/>
      <c r="BG3418" s="135"/>
      <c r="BH3418" s="135"/>
      <c r="BI3418" s="2"/>
      <c r="BJ3418" s="136"/>
      <c r="BK3418" s="2"/>
      <c r="BL3418" s="136"/>
      <c r="BM3418" s="136"/>
      <c r="BN3418" s="2"/>
      <c r="BO3418" s="2"/>
      <c r="BP3418" s="136"/>
      <c r="BQ3418" s="137"/>
    </row>
    <row r="3419" spans="1:69" ht="12.75" customHeight="1" x14ac:dyDescent="0.2">
      <c r="A3419" s="2">
        <v>4908</v>
      </c>
      <c r="B3419" s="2"/>
      <c r="C3419" s="2"/>
      <c r="D3419" s="2"/>
      <c r="E3419" s="2"/>
      <c r="F3419" s="132">
        <v>0</v>
      </c>
      <c r="G3419" s="132"/>
      <c r="H3419" s="132">
        <f t="shared" si="381"/>
        <v>0</v>
      </c>
      <c r="I3419" s="132"/>
      <c r="J3419" s="132">
        <f t="shared" si="379"/>
        <v>0</v>
      </c>
      <c r="K3419" s="132">
        <f t="shared" si="382"/>
        <v>0</v>
      </c>
      <c r="L3419" s="132">
        <f t="shared" si="383"/>
        <v>0</v>
      </c>
      <c r="M3419" s="133"/>
      <c r="N3419" s="133">
        <f t="shared" si="380"/>
        <v>0</v>
      </c>
      <c r="O3419" s="134"/>
      <c r="P3419" s="133"/>
      <c r="Q3419" s="2"/>
      <c r="R3419" s="156">
        <f t="shared" si="384"/>
        <v>0</v>
      </c>
      <c r="S3419" s="156">
        <f t="shared" si="385"/>
        <v>0</v>
      </c>
      <c r="T3419" s="133"/>
      <c r="U3419" s="133"/>
      <c r="V3419" s="133"/>
      <c r="W3419" s="133"/>
      <c r="X3419" s="133"/>
      <c r="Y3419" s="133"/>
      <c r="Z3419" s="133"/>
      <c r="AA3419" s="133"/>
      <c r="AB3419" s="133"/>
      <c r="AC3419" s="133"/>
      <c r="AD3419" s="133"/>
      <c r="AE3419" s="133"/>
      <c r="AF3419" s="133"/>
      <c r="AG3419" s="133"/>
      <c r="AH3419" s="133"/>
      <c r="AI3419" s="133"/>
      <c r="AJ3419" s="133"/>
      <c r="AK3419" s="133"/>
      <c r="AL3419" s="133"/>
      <c r="AM3419" s="133"/>
      <c r="AN3419" s="133"/>
      <c r="AO3419" s="133"/>
      <c r="AP3419" s="133"/>
      <c r="AQ3419" s="133"/>
      <c r="AR3419" s="133"/>
      <c r="AS3419" s="153">
        <v>0</v>
      </c>
      <c r="AT3419" s="153">
        <v>0</v>
      </c>
      <c r="AU3419" s="153">
        <v>0</v>
      </c>
      <c r="AV3419" s="135"/>
      <c r="AW3419" s="135"/>
      <c r="AX3419" s="135"/>
      <c r="AY3419" s="135"/>
      <c r="AZ3419" s="135"/>
      <c r="BA3419" s="135"/>
      <c r="BB3419" s="135"/>
      <c r="BC3419" s="135"/>
      <c r="BD3419" s="135"/>
      <c r="BE3419" s="135"/>
      <c r="BF3419" s="135"/>
      <c r="BG3419" s="135"/>
      <c r="BH3419" s="135"/>
      <c r="BI3419" s="2"/>
      <c r="BJ3419" s="136"/>
      <c r="BK3419" s="2"/>
      <c r="BL3419" s="136"/>
      <c r="BM3419" s="136"/>
      <c r="BN3419" s="2"/>
      <c r="BO3419" s="2"/>
      <c r="BP3419" s="136"/>
      <c r="BQ3419" s="137"/>
    </row>
    <row r="3420" spans="1:69" ht="12.75" customHeight="1" x14ac:dyDescent="0.2">
      <c r="A3420" s="2">
        <v>4909</v>
      </c>
      <c r="B3420" s="2"/>
      <c r="C3420" s="2"/>
      <c r="D3420" s="2"/>
      <c r="E3420" s="2"/>
      <c r="F3420" s="132">
        <v>0</v>
      </c>
      <c r="G3420" s="132"/>
      <c r="H3420" s="132">
        <f t="shared" si="381"/>
        <v>0</v>
      </c>
      <c r="I3420" s="132"/>
      <c r="J3420" s="132">
        <f t="shared" si="379"/>
        <v>0</v>
      </c>
      <c r="K3420" s="132">
        <f t="shared" si="382"/>
        <v>0</v>
      </c>
      <c r="L3420" s="132">
        <f t="shared" si="383"/>
        <v>0</v>
      </c>
      <c r="M3420" s="133"/>
      <c r="N3420" s="133">
        <f t="shared" si="380"/>
        <v>0</v>
      </c>
      <c r="O3420" s="134"/>
      <c r="P3420" s="133"/>
      <c r="Q3420" s="2"/>
      <c r="R3420" s="156">
        <f t="shared" si="384"/>
        <v>0</v>
      </c>
      <c r="S3420" s="156">
        <f t="shared" si="385"/>
        <v>0</v>
      </c>
      <c r="T3420" s="133"/>
      <c r="U3420" s="133"/>
      <c r="V3420" s="133"/>
      <c r="W3420" s="133"/>
      <c r="X3420" s="133"/>
      <c r="Y3420" s="133"/>
      <c r="Z3420" s="133"/>
      <c r="AA3420" s="133"/>
      <c r="AB3420" s="133"/>
      <c r="AC3420" s="133"/>
      <c r="AD3420" s="133"/>
      <c r="AE3420" s="133"/>
      <c r="AF3420" s="133"/>
      <c r="AG3420" s="133"/>
      <c r="AH3420" s="133"/>
      <c r="AI3420" s="133"/>
      <c r="AJ3420" s="133"/>
      <c r="AK3420" s="133"/>
      <c r="AL3420" s="133"/>
      <c r="AM3420" s="133"/>
      <c r="AN3420" s="133"/>
      <c r="AO3420" s="133"/>
      <c r="AP3420" s="133"/>
      <c r="AQ3420" s="133"/>
      <c r="AR3420" s="133"/>
      <c r="AS3420" s="153">
        <v>0</v>
      </c>
      <c r="AT3420" s="153">
        <v>0</v>
      </c>
      <c r="AU3420" s="153">
        <v>0</v>
      </c>
      <c r="AV3420" s="135"/>
      <c r="AW3420" s="135"/>
      <c r="AX3420" s="135"/>
      <c r="AY3420" s="135"/>
      <c r="AZ3420" s="135"/>
      <c r="BA3420" s="135"/>
      <c r="BB3420" s="135"/>
      <c r="BC3420" s="135"/>
      <c r="BD3420" s="135"/>
      <c r="BE3420" s="135"/>
      <c r="BF3420" s="135"/>
      <c r="BG3420" s="135"/>
      <c r="BH3420" s="135"/>
      <c r="BI3420" s="2"/>
      <c r="BJ3420" s="136"/>
      <c r="BK3420" s="2"/>
      <c r="BL3420" s="136"/>
      <c r="BM3420" s="136"/>
      <c r="BN3420" s="2"/>
      <c r="BO3420" s="2"/>
      <c r="BP3420" s="136"/>
      <c r="BQ3420" s="137"/>
    </row>
    <row r="3421" spans="1:69" ht="12.75" customHeight="1" x14ac:dyDescent="0.2">
      <c r="A3421" s="2">
        <v>4910</v>
      </c>
      <c r="B3421" s="2"/>
      <c r="C3421" s="2"/>
      <c r="D3421" s="2"/>
      <c r="E3421" s="2"/>
      <c r="F3421" s="132">
        <v>0</v>
      </c>
      <c r="G3421" s="132"/>
      <c r="H3421" s="132">
        <f t="shared" si="381"/>
        <v>0</v>
      </c>
      <c r="I3421" s="132"/>
      <c r="J3421" s="132">
        <f t="shared" si="379"/>
        <v>0</v>
      </c>
      <c r="K3421" s="132">
        <f t="shared" si="382"/>
        <v>0</v>
      </c>
      <c r="L3421" s="132">
        <f t="shared" si="383"/>
        <v>0</v>
      </c>
      <c r="M3421" s="133"/>
      <c r="N3421" s="133">
        <f t="shared" si="380"/>
        <v>0</v>
      </c>
      <c r="O3421" s="134"/>
      <c r="P3421" s="133"/>
      <c r="Q3421" s="2"/>
      <c r="R3421" s="156">
        <f t="shared" si="384"/>
        <v>0</v>
      </c>
      <c r="S3421" s="156">
        <f t="shared" si="385"/>
        <v>0</v>
      </c>
      <c r="T3421" s="133"/>
      <c r="U3421" s="133"/>
      <c r="V3421" s="133"/>
      <c r="W3421" s="133"/>
      <c r="X3421" s="133"/>
      <c r="Y3421" s="133"/>
      <c r="Z3421" s="133"/>
      <c r="AA3421" s="133"/>
      <c r="AB3421" s="133"/>
      <c r="AC3421" s="133"/>
      <c r="AD3421" s="133"/>
      <c r="AE3421" s="133"/>
      <c r="AF3421" s="133"/>
      <c r="AG3421" s="133"/>
      <c r="AH3421" s="133"/>
      <c r="AI3421" s="133"/>
      <c r="AJ3421" s="133"/>
      <c r="AK3421" s="133"/>
      <c r="AL3421" s="133"/>
      <c r="AM3421" s="133"/>
      <c r="AN3421" s="133"/>
      <c r="AO3421" s="133"/>
      <c r="AP3421" s="133"/>
      <c r="AQ3421" s="133"/>
      <c r="AR3421" s="133"/>
      <c r="AS3421" s="153">
        <v>0</v>
      </c>
      <c r="AT3421" s="153">
        <v>0</v>
      </c>
      <c r="AU3421" s="153">
        <v>0</v>
      </c>
      <c r="AV3421" s="135"/>
      <c r="AW3421" s="135"/>
      <c r="AX3421" s="135"/>
      <c r="AY3421" s="135"/>
      <c r="AZ3421" s="135"/>
      <c r="BA3421" s="135"/>
      <c r="BB3421" s="135"/>
      <c r="BC3421" s="135"/>
      <c r="BD3421" s="135"/>
      <c r="BE3421" s="135"/>
      <c r="BF3421" s="135"/>
      <c r="BG3421" s="135"/>
      <c r="BH3421" s="135"/>
      <c r="BI3421" s="2"/>
      <c r="BJ3421" s="136"/>
      <c r="BK3421" s="2"/>
      <c r="BL3421" s="136"/>
      <c r="BM3421" s="136"/>
      <c r="BN3421" s="2"/>
      <c r="BO3421" s="2"/>
      <c r="BP3421" s="136"/>
      <c r="BQ3421" s="137"/>
    </row>
    <row r="3422" spans="1:69" ht="12.75" customHeight="1" x14ac:dyDescent="0.2">
      <c r="A3422" s="2">
        <v>4911</v>
      </c>
      <c r="B3422" s="2"/>
      <c r="C3422" s="2"/>
      <c r="D3422" s="2"/>
      <c r="E3422" s="2"/>
      <c r="F3422" s="132">
        <v>0</v>
      </c>
      <c r="G3422" s="132"/>
      <c r="H3422" s="132">
        <f t="shared" si="381"/>
        <v>0</v>
      </c>
      <c r="I3422" s="132"/>
      <c r="J3422" s="132">
        <f t="shared" si="379"/>
        <v>0</v>
      </c>
      <c r="K3422" s="132">
        <f t="shared" si="382"/>
        <v>0</v>
      </c>
      <c r="L3422" s="132">
        <f t="shared" si="383"/>
        <v>0</v>
      </c>
      <c r="M3422" s="133"/>
      <c r="N3422" s="133">
        <f t="shared" si="380"/>
        <v>0</v>
      </c>
      <c r="O3422" s="134"/>
      <c r="P3422" s="133"/>
      <c r="Q3422" s="2"/>
      <c r="R3422" s="156">
        <f t="shared" si="384"/>
        <v>0</v>
      </c>
      <c r="S3422" s="156">
        <f t="shared" si="385"/>
        <v>0</v>
      </c>
      <c r="T3422" s="133"/>
      <c r="U3422" s="133"/>
      <c r="V3422" s="133"/>
      <c r="W3422" s="133"/>
      <c r="X3422" s="133"/>
      <c r="Y3422" s="133"/>
      <c r="Z3422" s="133"/>
      <c r="AA3422" s="133"/>
      <c r="AB3422" s="133"/>
      <c r="AC3422" s="133"/>
      <c r="AD3422" s="133"/>
      <c r="AE3422" s="133"/>
      <c r="AF3422" s="133"/>
      <c r="AG3422" s="133"/>
      <c r="AH3422" s="133"/>
      <c r="AI3422" s="133"/>
      <c r="AJ3422" s="133"/>
      <c r="AK3422" s="133"/>
      <c r="AL3422" s="133"/>
      <c r="AM3422" s="133"/>
      <c r="AN3422" s="133"/>
      <c r="AO3422" s="133"/>
      <c r="AP3422" s="133"/>
      <c r="AQ3422" s="133"/>
      <c r="AR3422" s="133"/>
      <c r="AS3422" s="153">
        <v>0</v>
      </c>
      <c r="AT3422" s="153">
        <v>0</v>
      </c>
      <c r="AU3422" s="153">
        <v>0</v>
      </c>
      <c r="AV3422" s="135"/>
      <c r="AW3422" s="135"/>
      <c r="AX3422" s="135"/>
      <c r="AY3422" s="135"/>
      <c r="AZ3422" s="135"/>
      <c r="BA3422" s="135"/>
      <c r="BB3422" s="135"/>
      <c r="BC3422" s="135"/>
      <c r="BD3422" s="135"/>
      <c r="BE3422" s="135"/>
      <c r="BF3422" s="135"/>
      <c r="BG3422" s="135"/>
      <c r="BH3422" s="135"/>
      <c r="BI3422" s="2"/>
      <c r="BJ3422" s="136"/>
      <c r="BK3422" s="2"/>
      <c r="BL3422" s="136"/>
      <c r="BM3422" s="136"/>
      <c r="BN3422" s="2"/>
      <c r="BO3422" s="2"/>
      <c r="BP3422" s="136"/>
      <c r="BQ3422" s="137"/>
    </row>
    <row r="3423" spans="1:69" ht="12.75" customHeight="1" x14ac:dyDescent="0.2">
      <c r="A3423" s="2">
        <v>4912</v>
      </c>
      <c r="B3423" s="2"/>
      <c r="C3423" s="2"/>
      <c r="D3423" s="2"/>
      <c r="E3423" s="2"/>
      <c r="F3423" s="132">
        <v>0</v>
      </c>
      <c r="G3423" s="132"/>
      <c r="H3423" s="132">
        <f t="shared" si="381"/>
        <v>0</v>
      </c>
      <c r="I3423" s="132"/>
      <c r="J3423" s="132">
        <f t="shared" si="379"/>
        <v>0</v>
      </c>
      <c r="K3423" s="132">
        <f t="shared" si="382"/>
        <v>0</v>
      </c>
      <c r="L3423" s="132">
        <f t="shared" si="383"/>
        <v>0</v>
      </c>
      <c r="M3423" s="133"/>
      <c r="N3423" s="133">
        <f t="shared" si="380"/>
        <v>0</v>
      </c>
      <c r="O3423" s="134"/>
      <c r="P3423" s="133"/>
      <c r="Q3423" s="2"/>
      <c r="R3423" s="156">
        <f t="shared" si="384"/>
        <v>0</v>
      </c>
      <c r="S3423" s="156">
        <f t="shared" si="385"/>
        <v>0</v>
      </c>
      <c r="T3423" s="133"/>
      <c r="U3423" s="133"/>
      <c r="V3423" s="133"/>
      <c r="W3423" s="133"/>
      <c r="X3423" s="133"/>
      <c r="Y3423" s="133"/>
      <c r="Z3423" s="133"/>
      <c r="AA3423" s="133"/>
      <c r="AB3423" s="133"/>
      <c r="AC3423" s="133"/>
      <c r="AD3423" s="133"/>
      <c r="AE3423" s="133"/>
      <c r="AF3423" s="133"/>
      <c r="AG3423" s="133"/>
      <c r="AH3423" s="133"/>
      <c r="AI3423" s="133"/>
      <c r="AJ3423" s="133"/>
      <c r="AK3423" s="133"/>
      <c r="AL3423" s="133"/>
      <c r="AM3423" s="133"/>
      <c r="AN3423" s="133"/>
      <c r="AO3423" s="133"/>
      <c r="AP3423" s="133"/>
      <c r="AQ3423" s="133"/>
      <c r="AR3423" s="133"/>
      <c r="AS3423" s="153">
        <v>0</v>
      </c>
      <c r="AT3423" s="153">
        <v>0</v>
      </c>
      <c r="AU3423" s="153">
        <v>0</v>
      </c>
      <c r="AV3423" s="135"/>
      <c r="AW3423" s="135"/>
      <c r="AX3423" s="135"/>
      <c r="AY3423" s="135"/>
      <c r="AZ3423" s="135"/>
      <c r="BA3423" s="135"/>
      <c r="BB3423" s="135"/>
      <c r="BC3423" s="135"/>
      <c r="BD3423" s="135"/>
      <c r="BE3423" s="135"/>
      <c r="BF3423" s="135"/>
      <c r="BG3423" s="135"/>
      <c r="BH3423" s="135"/>
      <c r="BI3423" s="2"/>
      <c r="BJ3423" s="136"/>
      <c r="BK3423" s="2"/>
      <c r="BL3423" s="136"/>
      <c r="BM3423" s="136"/>
      <c r="BN3423" s="2"/>
      <c r="BO3423" s="2"/>
      <c r="BP3423" s="136"/>
      <c r="BQ3423" s="137"/>
    </row>
    <row r="3424" spans="1:69" ht="12.75" customHeight="1" x14ac:dyDescent="0.2">
      <c r="A3424" s="2">
        <v>4913</v>
      </c>
      <c r="B3424" s="2"/>
      <c r="C3424" s="2"/>
      <c r="D3424" s="2"/>
      <c r="E3424" s="2"/>
      <c r="F3424" s="132">
        <v>0</v>
      </c>
      <c r="G3424" s="132"/>
      <c r="H3424" s="132">
        <f t="shared" si="381"/>
        <v>0</v>
      </c>
      <c r="I3424" s="132"/>
      <c r="J3424" s="132">
        <f t="shared" si="379"/>
        <v>0</v>
      </c>
      <c r="K3424" s="132">
        <f t="shared" si="382"/>
        <v>0</v>
      </c>
      <c r="L3424" s="132">
        <f t="shared" si="383"/>
        <v>0</v>
      </c>
      <c r="M3424" s="133"/>
      <c r="N3424" s="133">
        <f t="shared" si="380"/>
        <v>0</v>
      </c>
      <c r="O3424" s="134"/>
      <c r="P3424" s="133"/>
      <c r="Q3424" s="2"/>
      <c r="R3424" s="156">
        <f t="shared" si="384"/>
        <v>0</v>
      </c>
      <c r="S3424" s="156">
        <f t="shared" si="385"/>
        <v>0</v>
      </c>
      <c r="T3424" s="133"/>
      <c r="U3424" s="133"/>
      <c r="V3424" s="133"/>
      <c r="W3424" s="133"/>
      <c r="X3424" s="133"/>
      <c r="Y3424" s="133"/>
      <c r="Z3424" s="133"/>
      <c r="AA3424" s="133"/>
      <c r="AB3424" s="133"/>
      <c r="AC3424" s="133"/>
      <c r="AD3424" s="133"/>
      <c r="AE3424" s="133"/>
      <c r="AF3424" s="133"/>
      <c r="AG3424" s="133"/>
      <c r="AH3424" s="133"/>
      <c r="AI3424" s="133"/>
      <c r="AJ3424" s="133"/>
      <c r="AK3424" s="133"/>
      <c r="AL3424" s="133"/>
      <c r="AM3424" s="133"/>
      <c r="AN3424" s="133"/>
      <c r="AO3424" s="133"/>
      <c r="AP3424" s="133"/>
      <c r="AQ3424" s="133"/>
      <c r="AR3424" s="133"/>
      <c r="AS3424" s="153">
        <v>0</v>
      </c>
      <c r="AT3424" s="153">
        <v>0</v>
      </c>
      <c r="AU3424" s="153">
        <v>0</v>
      </c>
      <c r="AV3424" s="135"/>
      <c r="AW3424" s="135"/>
      <c r="AX3424" s="135"/>
      <c r="AY3424" s="135"/>
      <c r="AZ3424" s="135"/>
      <c r="BA3424" s="135"/>
      <c r="BB3424" s="135"/>
      <c r="BC3424" s="135"/>
      <c r="BD3424" s="135"/>
      <c r="BE3424" s="135"/>
      <c r="BF3424" s="135"/>
      <c r="BG3424" s="135"/>
      <c r="BH3424" s="135"/>
      <c r="BI3424" s="2"/>
      <c r="BJ3424" s="136"/>
      <c r="BK3424" s="2"/>
      <c r="BL3424" s="136"/>
      <c r="BM3424" s="136"/>
      <c r="BN3424" s="2"/>
      <c r="BO3424" s="2"/>
      <c r="BP3424" s="136"/>
      <c r="BQ3424" s="137"/>
    </row>
    <row r="3425" spans="1:69" ht="12.75" customHeight="1" x14ac:dyDescent="0.2">
      <c r="A3425" s="2">
        <v>4914</v>
      </c>
      <c r="B3425" s="2"/>
      <c r="C3425" s="2"/>
      <c r="D3425" s="2"/>
      <c r="E3425" s="2"/>
      <c r="F3425" s="132">
        <v>0</v>
      </c>
      <c r="G3425" s="132"/>
      <c r="H3425" s="132">
        <f t="shared" si="381"/>
        <v>0</v>
      </c>
      <c r="I3425" s="132"/>
      <c r="J3425" s="132">
        <f t="shared" si="379"/>
        <v>0</v>
      </c>
      <c r="K3425" s="132">
        <f t="shared" si="382"/>
        <v>0</v>
      </c>
      <c r="L3425" s="132">
        <f t="shared" si="383"/>
        <v>0</v>
      </c>
      <c r="M3425" s="133"/>
      <c r="N3425" s="133">
        <f t="shared" si="380"/>
        <v>0</v>
      </c>
      <c r="O3425" s="134"/>
      <c r="P3425" s="133"/>
      <c r="Q3425" s="2"/>
      <c r="R3425" s="156">
        <f t="shared" si="384"/>
        <v>0</v>
      </c>
      <c r="S3425" s="156">
        <f t="shared" si="385"/>
        <v>0</v>
      </c>
      <c r="T3425" s="133"/>
      <c r="U3425" s="133"/>
      <c r="V3425" s="133"/>
      <c r="W3425" s="133"/>
      <c r="X3425" s="133"/>
      <c r="Y3425" s="133"/>
      <c r="Z3425" s="133"/>
      <c r="AA3425" s="133"/>
      <c r="AB3425" s="133"/>
      <c r="AC3425" s="133"/>
      <c r="AD3425" s="133"/>
      <c r="AE3425" s="133"/>
      <c r="AF3425" s="133"/>
      <c r="AG3425" s="133"/>
      <c r="AH3425" s="133"/>
      <c r="AI3425" s="133"/>
      <c r="AJ3425" s="133"/>
      <c r="AK3425" s="133"/>
      <c r="AL3425" s="133"/>
      <c r="AM3425" s="133"/>
      <c r="AN3425" s="133"/>
      <c r="AO3425" s="133"/>
      <c r="AP3425" s="133"/>
      <c r="AQ3425" s="133"/>
      <c r="AR3425" s="133"/>
      <c r="AS3425" s="153">
        <v>0</v>
      </c>
      <c r="AT3425" s="153">
        <v>0</v>
      </c>
      <c r="AU3425" s="153">
        <v>0</v>
      </c>
      <c r="AV3425" s="135"/>
      <c r="AW3425" s="135"/>
      <c r="AX3425" s="135"/>
      <c r="AY3425" s="135"/>
      <c r="AZ3425" s="135"/>
      <c r="BA3425" s="135"/>
      <c r="BB3425" s="135"/>
      <c r="BC3425" s="135"/>
      <c r="BD3425" s="135"/>
      <c r="BE3425" s="135"/>
      <c r="BF3425" s="135"/>
      <c r="BG3425" s="135"/>
      <c r="BH3425" s="135"/>
      <c r="BI3425" s="2"/>
      <c r="BJ3425" s="136"/>
      <c r="BK3425" s="2"/>
      <c r="BL3425" s="136"/>
      <c r="BM3425" s="136"/>
      <c r="BN3425" s="2"/>
      <c r="BO3425" s="2"/>
      <c r="BP3425" s="136"/>
      <c r="BQ3425" s="137"/>
    </row>
    <row r="3426" spans="1:69" ht="12.75" customHeight="1" x14ac:dyDescent="0.2">
      <c r="A3426" s="2">
        <v>4915</v>
      </c>
      <c r="B3426" s="2"/>
      <c r="C3426" s="2"/>
      <c r="D3426" s="2"/>
      <c r="E3426" s="2"/>
      <c r="F3426" s="132">
        <v>0</v>
      </c>
      <c r="G3426" s="132"/>
      <c r="H3426" s="132">
        <f t="shared" si="381"/>
        <v>0</v>
      </c>
      <c r="I3426" s="132"/>
      <c r="J3426" s="132">
        <f t="shared" si="379"/>
        <v>0</v>
      </c>
      <c r="K3426" s="132">
        <f t="shared" si="382"/>
        <v>0</v>
      </c>
      <c r="L3426" s="132">
        <f t="shared" si="383"/>
        <v>0</v>
      </c>
      <c r="M3426" s="133"/>
      <c r="N3426" s="133">
        <f t="shared" si="380"/>
        <v>0</v>
      </c>
      <c r="O3426" s="134"/>
      <c r="P3426" s="133"/>
      <c r="Q3426" s="2"/>
      <c r="R3426" s="156">
        <f t="shared" si="384"/>
        <v>0</v>
      </c>
      <c r="S3426" s="156">
        <f t="shared" si="385"/>
        <v>0</v>
      </c>
      <c r="T3426" s="133"/>
      <c r="U3426" s="133"/>
      <c r="V3426" s="133"/>
      <c r="W3426" s="133"/>
      <c r="X3426" s="133"/>
      <c r="Y3426" s="133"/>
      <c r="Z3426" s="133"/>
      <c r="AA3426" s="133"/>
      <c r="AB3426" s="133"/>
      <c r="AC3426" s="133"/>
      <c r="AD3426" s="133"/>
      <c r="AE3426" s="133"/>
      <c r="AF3426" s="133"/>
      <c r="AG3426" s="133"/>
      <c r="AH3426" s="133"/>
      <c r="AI3426" s="133"/>
      <c r="AJ3426" s="133"/>
      <c r="AK3426" s="133"/>
      <c r="AL3426" s="133"/>
      <c r="AM3426" s="133"/>
      <c r="AN3426" s="133"/>
      <c r="AO3426" s="133"/>
      <c r="AP3426" s="133"/>
      <c r="AQ3426" s="133"/>
      <c r="AR3426" s="133"/>
      <c r="AS3426" s="153">
        <v>0</v>
      </c>
      <c r="AT3426" s="153">
        <v>0</v>
      </c>
      <c r="AU3426" s="153">
        <v>0</v>
      </c>
      <c r="AV3426" s="135"/>
      <c r="AW3426" s="135"/>
      <c r="AX3426" s="135"/>
      <c r="AY3426" s="135"/>
      <c r="AZ3426" s="135"/>
      <c r="BA3426" s="135"/>
      <c r="BB3426" s="135"/>
      <c r="BC3426" s="135"/>
      <c r="BD3426" s="135"/>
      <c r="BE3426" s="135"/>
      <c r="BF3426" s="135"/>
      <c r="BG3426" s="135"/>
      <c r="BH3426" s="135"/>
      <c r="BI3426" s="2"/>
      <c r="BJ3426" s="136"/>
      <c r="BK3426" s="2"/>
      <c r="BL3426" s="136"/>
      <c r="BM3426" s="136"/>
      <c r="BN3426" s="2"/>
      <c r="BO3426" s="2"/>
      <c r="BP3426" s="136"/>
      <c r="BQ3426" s="137"/>
    </row>
    <row r="3427" spans="1:69" ht="12.75" customHeight="1" x14ac:dyDescent="0.2">
      <c r="A3427" s="2">
        <v>4916</v>
      </c>
      <c r="B3427" s="2"/>
      <c r="C3427" s="2"/>
      <c r="D3427" s="2"/>
      <c r="E3427" s="2"/>
      <c r="F3427" s="132">
        <v>0</v>
      </c>
      <c r="G3427" s="132"/>
      <c r="H3427" s="132">
        <f t="shared" si="381"/>
        <v>0</v>
      </c>
      <c r="I3427" s="132"/>
      <c r="J3427" s="132">
        <f t="shared" si="379"/>
        <v>0</v>
      </c>
      <c r="K3427" s="132">
        <f t="shared" si="382"/>
        <v>0</v>
      </c>
      <c r="L3427" s="132">
        <f t="shared" si="383"/>
        <v>0</v>
      </c>
      <c r="M3427" s="133"/>
      <c r="N3427" s="133">
        <f t="shared" si="380"/>
        <v>0</v>
      </c>
      <c r="O3427" s="134"/>
      <c r="P3427" s="133"/>
      <c r="Q3427" s="2"/>
      <c r="R3427" s="156">
        <f t="shared" si="384"/>
        <v>0</v>
      </c>
      <c r="S3427" s="156">
        <f t="shared" si="385"/>
        <v>0</v>
      </c>
      <c r="T3427" s="133"/>
      <c r="U3427" s="133"/>
      <c r="V3427" s="133"/>
      <c r="W3427" s="133"/>
      <c r="X3427" s="133"/>
      <c r="Y3427" s="133"/>
      <c r="Z3427" s="133"/>
      <c r="AA3427" s="133"/>
      <c r="AB3427" s="133"/>
      <c r="AC3427" s="133"/>
      <c r="AD3427" s="133"/>
      <c r="AE3427" s="133"/>
      <c r="AF3427" s="133"/>
      <c r="AG3427" s="133"/>
      <c r="AH3427" s="133"/>
      <c r="AI3427" s="133"/>
      <c r="AJ3427" s="133"/>
      <c r="AK3427" s="133"/>
      <c r="AL3427" s="133"/>
      <c r="AM3427" s="133"/>
      <c r="AN3427" s="133"/>
      <c r="AO3427" s="133"/>
      <c r="AP3427" s="133"/>
      <c r="AQ3427" s="133"/>
      <c r="AR3427" s="133"/>
      <c r="AS3427" s="153">
        <v>0</v>
      </c>
      <c r="AT3427" s="153">
        <v>0</v>
      </c>
      <c r="AU3427" s="153">
        <v>0</v>
      </c>
      <c r="AV3427" s="135"/>
      <c r="AW3427" s="135"/>
      <c r="AX3427" s="135"/>
      <c r="AY3427" s="135"/>
      <c r="AZ3427" s="135"/>
      <c r="BA3427" s="135"/>
      <c r="BB3427" s="135"/>
      <c r="BC3427" s="135"/>
      <c r="BD3427" s="135"/>
      <c r="BE3427" s="135"/>
      <c r="BF3427" s="135"/>
      <c r="BG3427" s="135"/>
      <c r="BH3427" s="135"/>
      <c r="BI3427" s="2"/>
      <c r="BJ3427" s="136"/>
      <c r="BK3427" s="2"/>
      <c r="BL3427" s="136"/>
      <c r="BM3427" s="136"/>
      <c r="BN3427" s="2"/>
      <c r="BO3427" s="2"/>
      <c r="BP3427" s="136"/>
      <c r="BQ3427" s="137"/>
    </row>
    <row r="3428" spans="1:69" ht="12.75" customHeight="1" x14ac:dyDescent="0.2">
      <c r="A3428" s="2">
        <v>4917</v>
      </c>
      <c r="B3428" s="2"/>
      <c r="C3428" s="2"/>
      <c r="D3428" s="2"/>
      <c r="E3428" s="2"/>
      <c r="F3428" s="132">
        <v>0</v>
      </c>
      <c r="G3428" s="132"/>
      <c r="H3428" s="132">
        <f t="shared" si="381"/>
        <v>0</v>
      </c>
      <c r="I3428" s="132"/>
      <c r="J3428" s="132">
        <f t="shared" ref="J3428:J3491" si="386">S3428</f>
        <v>0</v>
      </c>
      <c r="K3428" s="132">
        <f t="shared" si="382"/>
        <v>0</v>
      </c>
      <c r="L3428" s="132">
        <f t="shared" si="383"/>
        <v>0</v>
      </c>
      <c r="M3428" s="133"/>
      <c r="N3428" s="133">
        <f t="shared" si="380"/>
        <v>0</v>
      </c>
      <c r="O3428" s="134"/>
      <c r="P3428" s="133"/>
      <c r="Q3428" s="2"/>
      <c r="R3428" s="156">
        <f t="shared" si="384"/>
        <v>0</v>
      </c>
      <c r="S3428" s="156">
        <f t="shared" si="385"/>
        <v>0</v>
      </c>
      <c r="T3428" s="133"/>
      <c r="U3428" s="133"/>
      <c r="V3428" s="133"/>
      <c r="W3428" s="133"/>
      <c r="X3428" s="133"/>
      <c r="Y3428" s="133"/>
      <c r="Z3428" s="133"/>
      <c r="AA3428" s="133"/>
      <c r="AB3428" s="133"/>
      <c r="AC3428" s="133"/>
      <c r="AD3428" s="133"/>
      <c r="AE3428" s="133"/>
      <c r="AF3428" s="133"/>
      <c r="AG3428" s="133"/>
      <c r="AH3428" s="133"/>
      <c r="AI3428" s="133"/>
      <c r="AJ3428" s="133"/>
      <c r="AK3428" s="133"/>
      <c r="AL3428" s="133"/>
      <c r="AM3428" s="133"/>
      <c r="AN3428" s="133"/>
      <c r="AO3428" s="133"/>
      <c r="AP3428" s="133"/>
      <c r="AQ3428" s="133"/>
      <c r="AR3428" s="133"/>
      <c r="AS3428" s="153">
        <v>0</v>
      </c>
      <c r="AT3428" s="153">
        <v>0</v>
      </c>
      <c r="AU3428" s="153">
        <v>0</v>
      </c>
      <c r="AV3428" s="135"/>
      <c r="AW3428" s="135"/>
      <c r="AX3428" s="135"/>
      <c r="AY3428" s="135"/>
      <c r="AZ3428" s="135"/>
      <c r="BA3428" s="135"/>
      <c r="BB3428" s="135"/>
      <c r="BC3428" s="135"/>
      <c r="BD3428" s="135"/>
      <c r="BE3428" s="135"/>
      <c r="BF3428" s="135"/>
      <c r="BG3428" s="135"/>
      <c r="BH3428" s="135"/>
      <c r="BI3428" s="2"/>
      <c r="BJ3428" s="136"/>
      <c r="BK3428" s="2"/>
      <c r="BL3428" s="136"/>
      <c r="BM3428" s="136"/>
      <c r="BN3428" s="2"/>
      <c r="BO3428" s="2"/>
      <c r="BP3428" s="136"/>
      <c r="BQ3428" s="137"/>
    </row>
    <row r="3429" spans="1:69" ht="12.75" customHeight="1" x14ac:dyDescent="0.2">
      <c r="A3429" s="2">
        <v>4918</v>
      </c>
      <c r="B3429" s="2"/>
      <c r="C3429" s="2"/>
      <c r="D3429" s="2"/>
      <c r="E3429" s="2"/>
      <c r="F3429" s="132">
        <v>0</v>
      </c>
      <c r="G3429" s="132"/>
      <c r="H3429" s="132">
        <f t="shared" si="381"/>
        <v>0</v>
      </c>
      <c r="I3429" s="132"/>
      <c r="J3429" s="132">
        <f t="shared" si="386"/>
        <v>0</v>
      </c>
      <c r="K3429" s="132">
        <f t="shared" si="382"/>
        <v>0</v>
      </c>
      <c r="L3429" s="132">
        <f t="shared" si="383"/>
        <v>0</v>
      </c>
      <c r="M3429" s="133"/>
      <c r="N3429" s="133">
        <f t="shared" si="380"/>
        <v>0</v>
      </c>
      <c r="O3429" s="134"/>
      <c r="P3429" s="133"/>
      <c r="Q3429" s="2"/>
      <c r="R3429" s="156">
        <f t="shared" si="384"/>
        <v>0</v>
      </c>
      <c r="S3429" s="156">
        <f t="shared" si="385"/>
        <v>0</v>
      </c>
      <c r="T3429" s="133"/>
      <c r="U3429" s="133"/>
      <c r="V3429" s="133"/>
      <c r="W3429" s="133"/>
      <c r="X3429" s="133"/>
      <c r="Y3429" s="133"/>
      <c r="Z3429" s="133"/>
      <c r="AA3429" s="133"/>
      <c r="AB3429" s="133"/>
      <c r="AC3429" s="133"/>
      <c r="AD3429" s="133"/>
      <c r="AE3429" s="133"/>
      <c r="AF3429" s="133"/>
      <c r="AG3429" s="133"/>
      <c r="AH3429" s="133"/>
      <c r="AI3429" s="133"/>
      <c r="AJ3429" s="133"/>
      <c r="AK3429" s="133"/>
      <c r="AL3429" s="133"/>
      <c r="AM3429" s="133"/>
      <c r="AN3429" s="133"/>
      <c r="AO3429" s="133"/>
      <c r="AP3429" s="133"/>
      <c r="AQ3429" s="133"/>
      <c r="AR3429" s="133"/>
      <c r="AS3429" s="153">
        <v>0</v>
      </c>
      <c r="AT3429" s="153">
        <v>0</v>
      </c>
      <c r="AU3429" s="153">
        <v>0</v>
      </c>
      <c r="AV3429" s="135"/>
      <c r="AW3429" s="135"/>
      <c r="AX3429" s="135"/>
      <c r="AY3429" s="135"/>
      <c r="AZ3429" s="135"/>
      <c r="BA3429" s="135"/>
      <c r="BB3429" s="135"/>
      <c r="BC3429" s="135"/>
      <c r="BD3429" s="135"/>
      <c r="BE3429" s="135"/>
      <c r="BF3429" s="135"/>
      <c r="BG3429" s="135"/>
      <c r="BH3429" s="135"/>
      <c r="BI3429" s="2"/>
      <c r="BJ3429" s="136"/>
      <c r="BK3429" s="2"/>
      <c r="BL3429" s="136"/>
      <c r="BM3429" s="136"/>
      <c r="BN3429" s="2"/>
      <c r="BO3429" s="2"/>
      <c r="BP3429" s="136"/>
      <c r="BQ3429" s="137"/>
    </row>
    <row r="3430" spans="1:69" ht="12.75" customHeight="1" x14ac:dyDescent="0.2">
      <c r="A3430" s="2">
        <v>4919</v>
      </c>
      <c r="B3430" s="2"/>
      <c r="C3430" s="2"/>
      <c r="D3430" s="2"/>
      <c r="E3430" s="2"/>
      <c r="F3430" s="132">
        <v>0</v>
      </c>
      <c r="G3430" s="132"/>
      <c r="H3430" s="132">
        <f t="shared" si="381"/>
        <v>0</v>
      </c>
      <c r="I3430" s="132"/>
      <c r="J3430" s="132">
        <f t="shared" si="386"/>
        <v>0</v>
      </c>
      <c r="K3430" s="132">
        <f t="shared" si="382"/>
        <v>0</v>
      </c>
      <c r="L3430" s="132">
        <f t="shared" si="383"/>
        <v>0</v>
      </c>
      <c r="M3430" s="133"/>
      <c r="N3430" s="133">
        <f t="shared" si="380"/>
        <v>0</v>
      </c>
      <c r="O3430" s="134"/>
      <c r="P3430" s="133"/>
      <c r="Q3430" s="2"/>
      <c r="R3430" s="156">
        <f t="shared" si="384"/>
        <v>0</v>
      </c>
      <c r="S3430" s="156">
        <f t="shared" si="385"/>
        <v>0</v>
      </c>
      <c r="T3430" s="133"/>
      <c r="U3430" s="133"/>
      <c r="V3430" s="133"/>
      <c r="W3430" s="133"/>
      <c r="X3430" s="133"/>
      <c r="Y3430" s="133"/>
      <c r="Z3430" s="133"/>
      <c r="AA3430" s="133"/>
      <c r="AB3430" s="133"/>
      <c r="AC3430" s="133"/>
      <c r="AD3430" s="133"/>
      <c r="AE3430" s="133"/>
      <c r="AF3430" s="133"/>
      <c r="AG3430" s="133"/>
      <c r="AH3430" s="133"/>
      <c r="AI3430" s="133"/>
      <c r="AJ3430" s="133"/>
      <c r="AK3430" s="133"/>
      <c r="AL3430" s="133"/>
      <c r="AM3430" s="133"/>
      <c r="AN3430" s="133"/>
      <c r="AO3430" s="133"/>
      <c r="AP3430" s="133"/>
      <c r="AQ3430" s="133"/>
      <c r="AR3430" s="133"/>
      <c r="AS3430" s="153">
        <v>0</v>
      </c>
      <c r="AT3430" s="153">
        <v>0</v>
      </c>
      <c r="AU3430" s="153">
        <v>0</v>
      </c>
      <c r="AV3430" s="135"/>
      <c r="AW3430" s="135"/>
      <c r="AX3430" s="135"/>
      <c r="AY3430" s="135"/>
      <c r="AZ3430" s="135"/>
      <c r="BA3430" s="135"/>
      <c r="BB3430" s="135"/>
      <c r="BC3430" s="135"/>
      <c r="BD3430" s="135"/>
      <c r="BE3430" s="135"/>
      <c r="BF3430" s="135"/>
      <c r="BG3430" s="135"/>
      <c r="BH3430" s="135"/>
      <c r="BI3430" s="2"/>
      <c r="BJ3430" s="136"/>
      <c r="BK3430" s="2"/>
      <c r="BL3430" s="136"/>
      <c r="BM3430" s="136"/>
      <c r="BN3430" s="2"/>
      <c r="BO3430" s="2"/>
      <c r="BP3430" s="136"/>
      <c r="BQ3430" s="137"/>
    </row>
    <row r="3431" spans="1:69" ht="12.75" customHeight="1" x14ac:dyDescent="0.2">
      <c r="A3431" s="2">
        <v>4920</v>
      </c>
      <c r="B3431" s="2"/>
      <c r="C3431" s="2"/>
      <c r="D3431" s="2"/>
      <c r="E3431" s="2"/>
      <c r="F3431" s="132">
        <v>0</v>
      </c>
      <c r="G3431" s="132"/>
      <c r="H3431" s="132">
        <f t="shared" si="381"/>
        <v>0</v>
      </c>
      <c r="I3431" s="132"/>
      <c r="J3431" s="132">
        <f t="shared" si="386"/>
        <v>0</v>
      </c>
      <c r="K3431" s="132">
        <f t="shared" si="382"/>
        <v>0</v>
      </c>
      <c r="L3431" s="132">
        <f t="shared" si="383"/>
        <v>0</v>
      </c>
      <c r="M3431" s="133"/>
      <c r="N3431" s="133">
        <f t="shared" si="380"/>
        <v>0</v>
      </c>
      <c r="O3431" s="134"/>
      <c r="P3431" s="133"/>
      <c r="Q3431" s="2"/>
      <c r="R3431" s="156">
        <f t="shared" si="384"/>
        <v>0</v>
      </c>
      <c r="S3431" s="156">
        <f t="shared" si="385"/>
        <v>0</v>
      </c>
      <c r="T3431" s="133"/>
      <c r="U3431" s="133"/>
      <c r="V3431" s="133"/>
      <c r="W3431" s="133"/>
      <c r="X3431" s="133"/>
      <c r="Y3431" s="133"/>
      <c r="Z3431" s="133"/>
      <c r="AA3431" s="133"/>
      <c r="AB3431" s="133"/>
      <c r="AC3431" s="133"/>
      <c r="AD3431" s="133"/>
      <c r="AE3431" s="133"/>
      <c r="AF3431" s="133"/>
      <c r="AG3431" s="133"/>
      <c r="AH3431" s="133"/>
      <c r="AI3431" s="133"/>
      <c r="AJ3431" s="133"/>
      <c r="AK3431" s="133"/>
      <c r="AL3431" s="133"/>
      <c r="AM3431" s="133"/>
      <c r="AN3431" s="133"/>
      <c r="AO3431" s="133"/>
      <c r="AP3431" s="133"/>
      <c r="AQ3431" s="133"/>
      <c r="AR3431" s="133"/>
      <c r="AS3431" s="153">
        <v>0</v>
      </c>
      <c r="AT3431" s="153">
        <v>0</v>
      </c>
      <c r="AU3431" s="153">
        <v>0</v>
      </c>
      <c r="AV3431" s="135"/>
      <c r="AW3431" s="135"/>
      <c r="AX3431" s="135"/>
      <c r="AY3431" s="135"/>
      <c r="AZ3431" s="135"/>
      <c r="BA3431" s="135"/>
      <c r="BB3431" s="135"/>
      <c r="BC3431" s="135"/>
      <c r="BD3431" s="135"/>
      <c r="BE3431" s="135"/>
      <c r="BF3431" s="135"/>
      <c r="BG3431" s="135"/>
      <c r="BH3431" s="135"/>
      <c r="BI3431" s="2"/>
      <c r="BJ3431" s="136"/>
      <c r="BK3431" s="2"/>
      <c r="BL3431" s="136"/>
      <c r="BM3431" s="136"/>
      <c r="BN3431" s="2"/>
      <c r="BO3431" s="2"/>
      <c r="BP3431" s="136"/>
      <c r="BQ3431" s="137"/>
    </row>
    <row r="3432" spans="1:69" ht="12.75" customHeight="1" x14ac:dyDescent="0.2">
      <c r="A3432" s="2">
        <v>4921</v>
      </c>
      <c r="B3432" s="2"/>
      <c r="C3432" s="2"/>
      <c r="D3432" s="2"/>
      <c r="E3432" s="2"/>
      <c r="F3432" s="132">
        <v>0</v>
      </c>
      <c r="G3432" s="132"/>
      <c r="H3432" s="132">
        <f t="shared" si="381"/>
        <v>0</v>
      </c>
      <c r="I3432" s="132"/>
      <c r="J3432" s="132">
        <f t="shared" si="386"/>
        <v>0</v>
      </c>
      <c r="K3432" s="132">
        <f t="shared" si="382"/>
        <v>0</v>
      </c>
      <c r="L3432" s="132">
        <f t="shared" si="383"/>
        <v>0</v>
      </c>
      <c r="M3432" s="133"/>
      <c r="N3432" s="133">
        <f t="shared" si="380"/>
        <v>0</v>
      </c>
      <c r="O3432" s="134"/>
      <c r="P3432" s="133"/>
      <c r="Q3432" s="2"/>
      <c r="R3432" s="156">
        <f t="shared" si="384"/>
        <v>0</v>
      </c>
      <c r="S3432" s="156">
        <f t="shared" si="385"/>
        <v>0</v>
      </c>
      <c r="T3432" s="133"/>
      <c r="U3432" s="133"/>
      <c r="V3432" s="133"/>
      <c r="W3432" s="133"/>
      <c r="X3432" s="133"/>
      <c r="Y3432" s="133"/>
      <c r="Z3432" s="133"/>
      <c r="AA3432" s="133"/>
      <c r="AB3432" s="133"/>
      <c r="AC3432" s="133"/>
      <c r="AD3432" s="133"/>
      <c r="AE3432" s="133"/>
      <c r="AF3432" s="133"/>
      <c r="AG3432" s="133"/>
      <c r="AH3432" s="133"/>
      <c r="AI3432" s="133"/>
      <c r="AJ3432" s="133"/>
      <c r="AK3432" s="133"/>
      <c r="AL3432" s="133"/>
      <c r="AM3432" s="133"/>
      <c r="AN3432" s="133"/>
      <c r="AO3432" s="133"/>
      <c r="AP3432" s="133"/>
      <c r="AQ3432" s="133"/>
      <c r="AR3432" s="133"/>
      <c r="AS3432" s="153">
        <v>0</v>
      </c>
      <c r="AT3432" s="153">
        <v>0</v>
      </c>
      <c r="AU3432" s="153">
        <v>0</v>
      </c>
      <c r="AV3432" s="135"/>
      <c r="AW3432" s="135"/>
      <c r="AX3432" s="135"/>
      <c r="AY3432" s="135"/>
      <c r="AZ3432" s="135"/>
      <c r="BA3432" s="135"/>
      <c r="BB3432" s="135"/>
      <c r="BC3432" s="135"/>
      <c r="BD3432" s="135"/>
      <c r="BE3432" s="135"/>
      <c r="BF3432" s="135"/>
      <c r="BG3432" s="135"/>
      <c r="BH3432" s="135"/>
      <c r="BI3432" s="2"/>
      <c r="BJ3432" s="136"/>
      <c r="BK3432" s="2"/>
      <c r="BL3432" s="136"/>
      <c r="BM3432" s="136"/>
      <c r="BN3432" s="2"/>
      <c r="BO3432" s="2"/>
      <c r="BP3432" s="136"/>
      <c r="BQ3432" s="137"/>
    </row>
    <row r="3433" spans="1:69" ht="12.75" customHeight="1" x14ac:dyDescent="0.2">
      <c r="A3433" s="2">
        <v>4922</v>
      </c>
      <c r="B3433" s="2"/>
      <c r="C3433" s="2"/>
      <c r="D3433" s="2"/>
      <c r="E3433" s="2"/>
      <c r="F3433" s="132">
        <v>0</v>
      </c>
      <c r="G3433" s="132"/>
      <c r="H3433" s="132">
        <f t="shared" si="381"/>
        <v>0</v>
      </c>
      <c r="I3433" s="132"/>
      <c r="J3433" s="132">
        <f t="shared" si="386"/>
        <v>0</v>
      </c>
      <c r="K3433" s="132">
        <f t="shared" si="382"/>
        <v>0</v>
      </c>
      <c r="L3433" s="132">
        <f t="shared" si="383"/>
        <v>0</v>
      </c>
      <c r="M3433" s="133"/>
      <c r="N3433" s="133">
        <f t="shared" si="380"/>
        <v>0</v>
      </c>
      <c r="O3433" s="134"/>
      <c r="P3433" s="133"/>
      <c r="Q3433" s="2"/>
      <c r="R3433" s="156">
        <f t="shared" si="384"/>
        <v>0</v>
      </c>
      <c r="S3433" s="156">
        <f t="shared" si="385"/>
        <v>0</v>
      </c>
      <c r="T3433" s="133"/>
      <c r="U3433" s="133"/>
      <c r="V3433" s="133"/>
      <c r="W3433" s="133"/>
      <c r="X3433" s="133"/>
      <c r="Y3433" s="133"/>
      <c r="Z3433" s="133"/>
      <c r="AA3433" s="133"/>
      <c r="AB3433" s="133"/>
      <c r="AC3433" s="133"/>
      <c r="AD3433" s="133"/>
      <c r="AE3433" s="133"/>
      <c r="AF3433" s="133"/>
      <c r="AG3433" s="133"/>
      <c r="AH3433" s="133"/>
      <c r="AI3433" s="133"/>
      <c r="AJ3433" s="133"/>
      <c r="AK3433" s="133"/>
      <c r="AL3433" s="133"/>
      <c r="AM3433" s="133"/>
      <c r="AN3433" s="133"/>
      <c r="AO3433" s="133"/>
      <c r="AP3433" s="133"/>
      <c r="AQ3433" s="133"/>
      <c r="AR3433" s="133"/>
      <c r="AS3433" s="153">
        <v>0</v>
      </c>
      <c r="AT3433" s="153">
        <v>0</v>
      </c>
      <c r="AU3433" s="153">
        <v>0</v>
      </c>
      <c r="AV3433" s="135"/>
      <c r="AW3433" s="135"/>
      <c r="AX3433" s="135"/>
      <c r="AY3433" s="135"/>
      <c r="AZ3433" s="135"/>
      <c r="BA3433" s="135"/>
      <c r="BB3433" s="135"/>
      <c r="BC3433" s="135"/>
      <c r="BD3433" s="135"/>
      <c r="BE3433" s="135"/>
      <c r="BF3433" s="135"/>
      <c r="BG3433" s="135"/>
      <c r="BH3433" s="135"/>
      <c r="BI3433" s="2"/>
      <c r="BJ3433" s="136"/>
      <c r="BK3433" s="2"/>
      <c r="BL3433" s="136"/>
      <c r="BM3433" s="136"/>
      <c r="BN3433" s="2"/>
      <c r="BO3433" s="2"/>
      <c r="BP3433" s="136"/>
      <c r="BQ3433" s="137"/>
    </row>
    <row r="3434" spans="1:69" ht="12.75" customHeight="1" x14ac:dyDescent="0.2">
      <c r="A3434" s="2">
        <v>4923</v>
      </c>
      <c r="B3434" s="2"/>
      <c r="C3434" s="2"/>
      <c r="D3434" s="2"/>
      <c r="E3434" s="2"/>
      <c r="F3434" s="132">
        <v>0</v>
      </c>
      <c r="G3434" s="132"/>
      <c r="H3434" s="132">
        <f t="shared" si="381"/>
        <v>0</v>
      </c>
      <c r="I3434" s="132"/>
      <c r="J3434" s="132">
        <f t="shared" si="386"/>
        <v>0</v>
      </c>
      <c r="K3434" s="132">
        <f t="shared" si="382"/>
        <v>0</v>
      </c>
      <c r="L3434" s="132">
        <f t="shared" si="383"/>
        <v>0</v>
      </c>
      <c r="M3434" s="133"/>
      <c r="N3434" s="133">
        <f t="shared" ref="N3434:N3497" si="387">IF(OR(BK3434="принят",BK3434="Завершено",BK3434="ПриПро"),H3434-J3434,F3434-J3434)</f>
        <v>0</v>
      </c>
      <c r="O3434" s="134"/>
      <c r="P3434" s="133"/>
      <c r="Q3434" s="2"/>
      <c r="R3434" s="156">
        <f t="shared" si="384"/>
        <v>0</v>
      </c>
      <c r="S3434" s="156">
        <f t="shared" si="385"/>
        <v>0</v>
      </c>
      <c r="T3434" s="133"/>
      <c r="U3434" s="133"/>
      <c r="V3434" s="133"/>
      <c r="W3434" s="133"/>
      <c r="X3434" s="133"/>
      <c r="Y3434" s="133"/>
      <c r="Z3434" s="133"/>
      <c r="AA3434" s="133"/>
      <c r="AB3434" s="133"/>
      <c r="AC3434" s="133"/>
      <c r="AD3434" s="133"/>
      <c r="AE3434" s="133"/>
      <c r="AF3434" s="133"/>
      <c r="AG3434" s="133"/>
      <c r="AH3434" s="133"/>
      <c r="AI3434" s="133"/>
      <c r="AJ3434" s="133"/>
      <c r="AK3434" s="133"/>
      <c r="AL3434" s="133"/>
      <c r="AM3434" s="133"/>
      <c r="AN3434" s="133"/>
      <c r="AO3434" s="133"/>
      <c r="AP3434" s="133"/>
      <c r="AQ3434" s="133"/>
      <c r="AR3434" s="133"/>
      <c r="AS3434" s="153">
        <v>0</v>
      </c>
      <c r="AT3434" s="153">
        <v>0</v>
      </c>
      <c r="AU3434" s="153">
        <v>0</v>
      </c>
      <c r="AV3434" s="135"/>
      <c r="AW3434" s="135"/>
      <c r="AX3434" s="135"/>
      <c r="AY3434" s="135"/>
      <c r="AZ3434" s="135"/>
      <c r="BA3434" s="135"/>
      <c r="BB3434" s="135"/>
      <c r="BC3434" s="135"/>
      <c r="BD3434" s="135"/>
      <c r="BE3434" s="135"/>
      <c r="BF3434" s="135"/>
      <c r="BG3434" s="135"/>
      <c r="BH3434" s="135"/>
      <c r="BI3434" s="2"/>
      <c r="BJ3434" s="136"/>
      <c r="BK3434" s="2"/>
      <c r="BL3434" s="136"/>
      <c r="BM3434" s="136"/>
      <c r="BN3434" s="2"/>
      <c r="BO3434" s="2"/>
      <c r="BP3434" s="136"/>
      <c r="BQ3434" s="137"/>
    </row>
    <row r="3435" spans="1:69" ht="12.75" customHeight="1" x14ac:dyDescent="0.2">
      <c r="A3435" s="2">
        <v>4924</v>
      </c>
      <c r="B3435" s="2"/>
      <c r="C3435" s="2"/>
      <c r="D3435" s="2"/>
      <c r="E3435" s="2"/>
      <c r="F3435" s="132">
        <v>0</v>
      </c>
      <c r="G3435" s="132"/>
      <c r="H3435" s="132">
        <f t="shared" si="381"/>
        <v>0</v>
      </c>
      <c r="I3435" s="132"/>
      <c r="J3435" s="132">
        <f t="shared" si="386"/>
        <v>0</v>
      </c>
      <c r="K3435" s="132">
        <f t="shared" si="382"/>
        <v>0</v>
      </c>
      <c r="L3435" s="132">
        <f t="shared" si="383"/>
        <v>0</v>
      </c>
      <c r="M3435" s="133"/>
      <c r="N3435" s="133">
        <f t="shared" si="387"/>
        <v>0</v>
      </c>
      <c r="O3435" s="134"/>
      <c r="P3435" s="133"/>
      <c r="Q3435" s="2"/>
      <c r="R3435" s="156">
        <f t="shared" si="384"/>
        <v>0</v>
      </c>
      <c r="S3435" s="156">
        <f t="shared" si="385"/>
        <v>0</v>
      </c>
      <c r="T3435" s="133"/>
      <c r="U3435" s="133"/>
      <c r="V3435" s="133"/>
      <c r="W3435" s="133"/>
      <c r="X3435" s="133"/>
      <c r="Y3435" s="133"/>
      <c r="Z3435" s="133"/>
      <c r="AA3435" s="133"/>
      <c r="AB3435" s="133"/>
      <c r="AC3435" s="133"/>
      <c r="AD3435" s="133"/>
      <c r="AE3435" s="133"/>
      <c r="AF3435" s="133"/>
      <c r="AG3435" s="133"/>
      <c r="AH3435" s="133"/>
      <c r="AI3435" s="133"/>
      <c r="AJ3435" s="133"/>
      <c r="AK3435" s="133"/>
      <c r="AL3435" s="133"/>
      <c r="AM3435" s="133"/>
      <c r="AN3435" s="133"/>
      <c r="AO3435" s="133"/>
      <c r="AP3435" s="133"/>
      <c r="AQ3435" s="133"/>
      <c r="AR3435" s="133"/>
      <c r="AS3435" s="153">
        <v>0</v>
      </c>
      <c r="AT3435" s="153">
        <v>0</v>
      </c>
      <c r="AU3435" s="153">
        <v>0</v>
      </c>
      <c r="AV3435" s="135"/>
      <c r="AW3435" s="135"/>
      <c r="AX3435" s="135"/>
      <c r="AY3435" s="135"/>
      <c r="AZ3435" s="135"/>
      <c r="BA3435" s="135"/>
      <c r="BB3435" s="135"/>
      <c r="BC3435" s="135"/>
      <c r="BD3435" s="135"/>
      <c r="BE3435" s="135"/>
      <c r="BF3435" s="135"/>
      <c r="BG3435" s="135"/>
      <c r="BH3435" s="135"/>
      <c r="BI3435" s="2"/>
      <c r="BJ3435" s="136"/>
      <c r="BK3435" s="2"/>
      <c r="BL3435" s="136"/>
      <c r="BM3435" s="136"/>
      <c r="BN3435" s="2"/>
      <c r="BO3435" s="2"/>
      <c r="BP3435" s="136"/>
      <c r="BQ3435" s="137"/>
    </row>
    <row r="3436" spans="1:69" ht="12.75" customHeight="1" x14ac:dyDescent="0.2">
      <c r="A3436" s="2">
        <v>4925</v>
      </c>
      <c r="B3436" s="2"/>
      <c r="C3436" s="2"/>
      <c r="D3436" s="2"/>
      <c r="E3436" s="2"/>
      <c r="F3436" s="132">
        <v>0</v>
      </c>
      <c r="G3436" s="132"/>
      <c r="H3436" s="132">
        <f t="shared" si="381"/>
        <v>0</v>
      </c>
      <c r="I3436" s="132"/>
      <c r="J3436" s="132">
        <f t="shared" si="386"/>
        <v>0</v>
      </c>
      <c r="K3436" s="132">
        <f t="shared" si="382"/>
        <v>0</v>
      </c>
      <c r="L3436" s="132">
        <f t="shared" si="383"/>
        <v>0</v>
      </c>
      <c r="M3436" s="133"/>
      <c r="N3436" s="133">
        <f t="shared" si="387"/>
        <v>0</v>
      </c>
      <c r="O3436" s="134"/>
      <c r="P3436" s="133"/>
      <c r="Q3436" s="2"/>
      <c r="R3436" s="156">
        <f t="shared" si="384"/>
        <v>0</v>
      </c>
      <c r="S3436" s="156">
        <f t="shared" si="385"/>
        <v>0</v>
      </c>
      <c r="T3436" s="133"/>
      <c r="U3436" s="133"/>
      <c r="V3436" s="133"/>
      <c r="W3436" s="133"/>
      <c r="X3436" s="133"/>
      <c r="Y3436" s="133"/>
      <c r="Z3436" s="133"/>
      <c r="AA3436" s="133"/>
      <c r="AB3436" s="133"/>
      <c r="AC3436" s="133"/>
      <c r="AD3436" s="133"/>
      <c r="AE3436" s="133"/>
      <c r="AF3436" s="133"/>
      <c r="AG3436" s="133"/>
      <c r="AH3436" s="133"/>
      <c r="AI3436" s="133"/>
      <c r="AJ3436" s="133"/>
      <c r="AK3436" s="133"/>
      <c r="AL3436" s="133"/>
      <c r="AM3436" s="133"/>
      <c r="AN3436" s="133"/>
      <c r="AO3436" s="133"/>
      <c r="AP3436" s="133"/>
      <c r="AQ3436" s="133"/>
      <c r="AR3436" s="133"/>
      <c r="AS3436" s="153">
        <v>0</v>
      </c>
      <c r="AT3436" s="153">
        <v>0</v>
      </c>
      <c r="AU3436" s="153">
        <v>0</v>
      </c>
      <c r="AV3436" s="135"/>
      <c r="AW3436" s="135"/>
      <c r="AX3436" s="135"/>
      <c r="AY3436" s="135"/>
      <c r="AZ3436" s="135"/>
      <c r="BA3436" s="135"/>
      <c r="BB3436" s="135"/>
      <c r="BC3436" s="135"/>
      <c r="BD3436" s="135"/>
      <c r="BE3436" s="135"/>
      <c r="BF3436" s="135"/>
      <c r="BG3436" s="135"/>
      <c r="BH3436" s="135"/>
      <c r="BI3436" s="2"/>
      <c r="BJ3436" s="136"/>
      <c r="BK3436" s="2"/>
      <c r="BL3436" s="136"/>
      <c r="BM3436" s="136"/>
      <c r="BN3436" s="2"/>
      <c r="BO3436" s="2"/>
      <c r="BP3436" s="136"/>
      <c r="BQ3436" s="137"/>
    </row>
    <row r="3437" spans="1:69" ht="12.75" customHeight="1" x14ac:dyDescent="0.2">
      <c r="A3437" s="2">
        <v>4926</v>
      </c>
      <c r="B3437" s="2"/>
      <c r="C3437" s="2"/>
      <c r="D3437" s="2"/>
      <c r="E3437" s="2"/>
      <c r="F3437" s="132">
        <v>0</v>
      </c>
      <c r="G3437" s="132"/>
      <c r="H3437" s="132">
        <f t="shared" si="381"/>
        <v>0</v>
      </c>
      <c r="I3437" s="132"/>
      <c r="J3437" s="132">
        <f t="shared" si="386"/>
        <v>0</v>
      </c>
      <c r="K3437" s="132">
        <f t="shared" si="382"/>
        <v>0</v>
      </c>
      <c r="L3437" s="132">
        <f t="shared" si="383"/>
        <v>0</v>
      </c>
      <c r="M3437" s="133"/>
      <c r="N3437" s="133">
        <f t="shared" si="387"/>
        <v>0</v>
      </c>
      <c r="O3437" s="134"/>
      <c r="P3437" s="133"/>
      <c r="Q3437" s="2"/>
      <c r="R3437" s="156">
        <f t="shared" si="384"/>
        <v>0</v>
      </c>
      <c r="S3437" s="156">
        <f t="shared" si="385"/>
        <v>0</v>
      </c>
      <c r="T3437" s="133"/>
      <c r="U3437" s="133"/>
      <c r="V3437" s="133"/>
      <c r="W3437" s="133"/>
      <c r="X3437" s="133"/>
      <c r="Y3437" s="133"/>
      <c r="Z3437" s="133"/>
      <c r="AA3437" s="133"/>
      <c r="AB3437" s="133"/>
      <c r="AC3437" s="133"/>
      <c r="AD3437" s="133"/>
      <c r="AE3437" s="133"/>
      <c r="AF3437" s="133"/>
      <c r="AG3437" s="133"/>
      <c r="AH3437" s="133"/>
      <c r="AI3437" s="133"/>
      <c r="AJ3437" s="133"/>
      <c r="AK3437" s="133"/>
      <c r="AL3437" s="133"/>
      <c r="AM3437" s="133"/>
      <c r="AN3437" s="133"/>
      <c r="AO3437" s="133"/>
      <c r="AP3437" s="133"/>
      <c r="AQ3437" s="133"/>
      <c r="AR3437" s="133"/>
      <c r="AS3437" s="153">
        <v>0</v>
      </c>
      <c r="AT3437" s="153">
        <v>0</v>
      </c>
      <c r="AU3437" s="153">
        <v>0</v>
      </c>
      <c r="AV3437" s="135"/>
      <c r="AW3437" s="135"/>
      <c r="AX3437" s="135"/>
      <c r="AY3437" s="135"/>
      <c r="AZ3437" s="135"/>
      <c r="BA3437" s="135"/>
      <c r="BB3437" s="135"/>
      <c r="BC3437" s="135"/>
      <c r="BD3437" s="135"/>
      <c r="BE3437" s="135"/>
      <c r="BF3437" s="135"/>
      <c r="BG3437" s="135"/>
      <c r="BH3437" s="135"/>
      <c r="BI3437" s="2"/>
      <c r="BJ3437" s="136"/>
      <c r="BK3437" s="2"/>
      <c r="BL3437" s="136"/>
      <c r="BM3437" s="136"/>
      <c r="BN3437" s="2"/>
      <c r="BO3437" s="2"/>
      <c r="BP3437" s="136"/>
      <c r="BQ3437" s="137"/>
    </row>
    <row r="3438" spans="1:69" ht="12.75" customHeight="1" x14ac:dyDescent="0.2">
      <c r="A3438" s="2">
        <v>4927</v>
      </c>
      <c r="B3438" s="2"/>
      <c r="C3438" s="2"/>
      <c r="D3438" s="2"/>
      <c r="E3438" s="2"/>
      <c r="F3438" s="132">
        <v>0</v>
      </c>
      <c r="G3438" s="132"/>
      <c r="H3438" s="132">
        <f t="shared" ref="H3438:H3497" si="388">R3438</f>
        <v>0</v>
      </c>
      <c r="I3438" s="132"/>
      <c r="J3438" s="132">
        <f t="shared" si="386"/>
        <v>0</v>
      </c>
      <c r="K3438" s="132">
        <f t="shared" si="382"/>
        <v>0</v>
      </c>
      <c r="L3438" s="132">
        <f t="shared" si="383"/>
        <v>0</v>
      </c>
      <c r="M3438" s="133"/>
      <c r="N3438" s="133">
        <f t="shared" si="387"/>
        <v>0</v>
      </c>
      <c r="O3438" s="134"/>
      <c r="P3438" s="133"/>
      <c r="Q3438" s="2"/>
      <c r="R3438" s="156">
        <f t="shared" si="384"/>
        <v>0</v>
      </c>
      <c r="S3438" s="156">
        <f t="shared" si="385"/>
        <v>0</v>
      </c>
      <c r="T3438" s="133"/>
      <c r="U3438" s="133"/>
      <c r="V3438" s="133"/>
      <c r="W3438" s="133"/>
      <c r="X3438" s="133"/>
      <c r="Y3438" s="133"/>
      <c r="Z3438" s="133"/>
      <c r="AA3438" s="133"/>
      <c r="AB3438" s="133"/>
      <c r="AC3438" s="133"/>
      <c r="AD3438" s="133"/>
      <c r="AE3438" s="133"/>
      <c r="AF3438" s="133"/>
      <c r="AG3438" s="133"/>
      <c r="AH3438" s="133"/>
      <c r="AI3438" s="133"/>
      <c r="AJ3438" s="133"/>
      <c r="AK3438" s="133"/>
      <c r="AL3438" s="133"/>
      <c r="AM3438" s="133"/>
      <c r="AN3438" s="133"/>
      <c r="AO3438" s="133"/>
      <c r="AP3438" s="133"/>
      <c r="AQ3438" s="133"/>
      <c r="AR3438" s="133"/>
      <c r="AS3438" s="153">
        <v>0</v>
      </c>
      <c r="AT3438" s="153">
        <v>0</v>
      </c>
      <c r="AU3438" s="153">
        <v>0</v>
      </c>
      <c r="AV3438" s="135"/>
      <c r="AW3438" s="135"/>
      <c r="AX3438" s="135"/>
      <c r="AY3438" s="135"/>
      <c r="AZ3438" s="135"/>
      <c r="BA3438" s="135"/>
      <c r="BB3438" s="135"/>
      <c r="BC3438" s="135"/>
      <c r="BD3438" s="135"/>
      <c r="BE3438" s="135"/>
      <c r="BF3438" s="135"/>
      <c r="BG3438" s="135"/>
      <c r="BH3438" s="135"/>
      <c r="BI3438" s="2"/>
      <c r="BJ3438" s="136"/>
      <c r="BK3438" s="2"/>
      <c r="BL3438" s="136"/>
      <c r="BM3438" s="136"/>
      <c r="BN3438" s="2"/>
      <c r="BO3438" s="2"/>
      <c r="BP3438" s="136"/>
      <c r="BQ3438" s="137"/>
    </row>
    <row r="3439" spans="1:69" ht="12.75" customHeight="1" x14ac:dyDescent="0.2">
      <c r="A3439" s="2">
        <v>4928</v>
      </c>
      <c r="B3439" s="2"/>
      <c r="C3439" s="2"/>
      <c r="D3439" s="2"/>
      <c r="E3439" s="2"/>
      <c r="F3439" s="132">
        <v>0</v>
      </c>
      <c r="G3439" s="132"/>
      <c r="H3439" s="132">
        <f t="shared" si="388"/>
        <v>0</v>
      </c>
      <c r="I3439" s="132"/>
      <c r="J3439" s="132">
        <f t="shared" si="386"/>
        <v>0</v>
      </c>
      <c r="K3439" s="132">
        <f t="shared" si="382"/>
        <v>0</v>
      </c>
      <c r="L3439" s="132">
        <f t="shared" si="383"/>
        <v>0</v>
      </c>
      <c r="M3439" s="133"/>
      <c r="N3439" s="133">
        <f t="shared" si="387"/>
        <v>0</v>
      </c>
      <c r="O3439" s="134"/>
      <c r="P3439" s="133"/>
      <c r="Q3439" s="2"/>
      <c r="R3439" s="156">
        <f t="shared" si="384"/>
        <v>0</v>
      </c>
      <c r="S3439" s="156">
        <f t="shared" si="385"/>
        <v>0</v>
      </c>
      <c r="T3439" s="133"/>
      <c r="U3439" s="133"/>
      <c r="V3439" s="133"/>
      <c r="W3439" s="133"/>
      <c r="X3439" s="133"/>
      <c r="Y3439" s="133"/>
      <c r="Z3439" s="133"/>
      <c r="AA3439" s="133"/>
      <c r="AB3439" s="133"/>
      <c r="AC3439" s="133"/>
      <c r="AD3439" s="133"/>
      <c r="AE3439" s="133"/>
      <c r="AF3439" s="133"/>
      <c r="AG3439" s="133"/>
      <c r="AH3439" s="133"/>
      <c r="AI3439" s="133"/>
      <c r="AJ3439" s="133"/>
      <c r="AK3439" s="133"/>
      <c r="AL3439" s="133"/>
      <c r="AM3439" s="133"/>
      <c r="AN3439" s="133"/>
      <c r="AO3439" s="133"/>
      <c r="AP3439" s="133"/>
      <c r="AQ3439" s="133"/>
      <c r="AR3439" s="133"/>
      <c r="AS3439" s="153">
        <v>0</v>
      </c>
      <c r="AT3439" s="153">
        <v>0</v>
      </c>
      <c r="AU3439" s="153">
        <v>0</v>
      </c>
      <c r="AV3439" s="135"/>
      <c r="AW3439" s="135"/>
      <c r="AX3439" s="135"/>
      <c r="AY3439" s="135"/>
      <c r="AZ3439" s="135"/>
      <c r="BA3439" s="135"/>
      <c r="BB3439" s="135"/>
      <c r="BC3439" s="135"/>
      <c r="BD3439" s="135"/>
      <c r="BE3439" s="135"/>
      <c r="BF3439" s="135"/>
      <c r="BG3439" s="135"/>
      <c r="BH3439" s="135"/>
      <c r="BI3439" s="2"/>
      <c r="BJ3439" s="136"/>
      <c r="BK3439" s="2"/>
      <c r="BL3439" s="136"/>
      <c r="BM3439" s="136"/>
      <c r="BN3439" s="2"/>
      <c r="BO3439" s="2"/>
      <c r="BP3439" s="136"/>
      <c r="BQ3439" s="137"/>
    </row>
    <row r="3440" spans="1:69" ht="12.75" customHeight="1" x14ac:dyDescent="0.2">
      <c r="A3440" s="2">
        <v>4929</v>
      </c>
      <c r="B3440" s="2"/>
      <c r="C3440" s="2"/>
      <c r="D3440" s="2"/>
      <c r="E3440" s="2"/>
      <c r="F3440" s="132">
        <v>0</v>
      </c>
      <c r="G3440" s="132"/>
      <c r="H3440" s="132">
        <f t="shared" si="388"/>
        <v>0</v>
      </c>
      <c r="I3440" s="132"/>
      <c r="J3440" s="132">
        <f t="shared" si="386"/>
        <v>0</v>
      </c>
      <c r="K3440" s="132">
        <f t="shared" si="382"/>
        <v>0</v>
      </c>
      <c r="L3440" s="132">
        <f t="shared" si="383"/>
        <v>0</v>
      </c>
      <c r="M3440" s="133"/>
      <c r="N3440" s="133">
        <f t="shared" si="387"/>
        <v>0</v>
      </c>
      <c r="O3440" s="134"/>
      <c r="P3440" s="133"/>
      <c r="Q3440" s="2"/>
      <c r="R3440" s="156">
        <f t="shared" si="384"/>
        <v>0</v>
      </c>
      <c r="S3440" s="156">
        <f t="shared" si="385"/>
        <v>0</v>
      </c>
      <c r="T3440" s="133"/>
      <c r="U3440" s="133"/>
      <c r="V3440" s="133"/>
      <c r="W3440" s="133"/>
      <c r="X3440" s="133"/>
      <c r="Y3440" s="133"/>
      <c r="Z3440" s="133"/>
      <c r="AA3440" s="133"/>
      <c r="AB3440" s="133"/>
      <c r="AC3440" s="133"/>
      <c r="AD3440" s="133"/>
      <c r="AE3440" s="133"/>
      <c r="AF3440" s="133"/>
      <c r="AG3440" s="133"/>
      <c r="AH3440" s="133"/>
      <c r="AI3440" s="133"/>
      <c r="AJ3440" s="133"/>
      <c r="AK3440" s="133"/>
      <c r="AL3440" s="133"/>
      <c r="AM3440" s="133"/>
      <c r="AN3440" s="133"/>
      <c r="AO3440" s="133"/>
      <c r="AP3440" s="133"/>
      <c r="AQ3440" s="133"/>
      <c r="AR3440" s="133"/>
      <c r="AS3440" s="153">
        <v>0</v>
      </c>
      <c r="AT3440" s="153">
        <v>0</v>
      </c>
      <c r="AU3440" s="153">
        <v>0</v>
      </c>
      <c r="AV3440" s="135"/>
      <c r="AW3440" s="135"/>
      <c r="AX3440" s="135"/>
      <c r="AY3440" s="135"/>
      <c r="AZ3440" s="135"/>
      <c r="BA3440" s="135"/>
      <c r="BB3440" s="135"/>
      <c r="BC3440" s="135"/>
      <c r="BD3440" s="135"/>
      <c r="BE3440" s="135"/>
      <c r="BF3440" s="135"/>
      <c r="BG3440" s="135"/>
      <c r="BH3440" s="135"/>
      <c r="BI3440" s="2"/>
      <c r="BJ3440" s="136"/>
      <c r="BK3440" s="2"/>
      <c r="BL3440" s="136"/>
      <c r="BM3440" s="136"/>
      <c r="BN3440" s="2"/>
      <c r="BO3440" s="2"/>
      <c r="BP3440" s="136"/>
      <c r="BQ3440" s="137"/>
    </row>
    <row r="3441" spans="1:69" ht="12.75" customHeight="1" x14ac:dyDescent="0.2">
      <c r="A3441" s="2">
        <v>4930</v>
      </c>
      <c r="B3441" s="2"/>
      <c r="C3441" s="2"/>
      <c r="D3441" s="2"/>
      <c r="E3441" s="2"/>
      <c r="F3441" s="132">
        <v>0</v>
      </c>
      <c r="G3441" s="132"/>
      <c r="H3441" s="132">
        <f t="shared" si="388"/>
        <v>0</v>
      </c>
      <c r="I3441" s="132"/>
      <c r="J3441" s="132">
        <f t="shared" si="386"/>
        <v>0</v>
      </c>
      <c r="K3441" s="132">
        <f t="shared" si="382"/>
        <v>0</v>
      </c>
      <c r="L3441" s="132">
        <f t="shared" si="383"/>
        <v>0</v>
      </c>
      <c r="M3441" s="133"/>
      <c r="N3441" s="133">
        <f t="shared" si="387"/>
        <v>0</v>
      </c>
      <c r="O3441" s="134"/>
      <c r="P3441" s="133"/>
      <c r="Q3441" s="2"/>
      <c r="R3441" s="156">
        <f t="shared" si="384"/>
        <v>0</v>
      </c>
      <c r="S3441" s="156">
        <f t="shared" si="385"/>
        <v>0</v>
      </c>
      <c r="T3441" s="133"/>
      <c r="U3441" s="133"/>
      <c r="V3441" s="133"/>
      <c r="W3441" s="133"/>
      <c r="X3441" s="133"/>
      <c r="Y3441" s="133"/>
      <c r="Z3441" s="133"/>
      <c r="AA3441" s="133"/>
      <c r="AB3441" s="133"/>
      <c r="AC3441" s="133"/>
      <c r="AD3441" s="133"/>
      <c r="AE3441" s="133"/>
      <c r="AF3441" s="133"/>
      <c r="AG3441" s="133"/>
      <c r="AH3441" s="133"/>
      <c r="AI3441" s="133"/>
      <c r="AJ3441" s="133"/>
      <c r="AK3441" s="133"/>
      <c r="AL3441" s="133"/>
      <c r="AM3441" s="133"/>
      <c r="AN3441" s="133"/>
      <c r="AO3441" s="133"/>
      <c r="AP3441" s="133"/>
      <c r="AQ3441" s="133"/>
      <c r="AR3441" s="133"/>
      <c r="AS3441" s="153">
        <v>0</v>
      </c>
      <c r="AT3441" s="153">
        <v>0</v>
      </c>
      <c r="AU3441" s="153">
        <v>0</v>
      </c>
      <c r="AV3441" s="135"/>
      <c r="AW3441" s="135"/>
      <c r="AX3441" s="135"/>
      <c r="AY3441" s="135"/>
      <c r="AZ3441" s="135"/>
      <c r="BA3441" s="135"/>
      <c r="BB3441" s="135"/>
      <c r="BC3441" s="135"/>
      <c r="BD3441" s="135"/>
      <c r="BE3441" s="135"/>
      <c r="BF3441" s="135"/>
      <c r="BG3441" s="135"/>
      <c r="BH3441" s="135"/>
      <c r="BI3441" s="2"/>
      <c r="BJ3441" s="136"/>
      <c r="BK3441" s="2"/>
      <c r="BL3441" s="136"/>
      <c r="BM3441" s="136"/>
      <c r="BN3441" s="2"/>
      <c r="BO3441" s="2"/>
      <c r="BP3441" s="136"/>
      <c r="BQ3441" s="137"/>
    </row>
    <row r="3442" spans="1:69" ht="12.75" customHeight="1" x14ac:dyDescent="0.2">
      <c r="A3442" s="2">
        <v>4931</v>
      </c>
      <c r="B3442" s="2"/>
      <c r="C3442" s="2"/>
      <c r="D3442" s="2"/>
      <c r="E3442" s="2"/>
      <c r="F3442" s="132">
        <v>0</v>
      </c>
      <c r="G3442" s="132"/>
      <c r="H3442" s="132">
        <f t="shared" si="388"/>
        <v>0</v>
      </c>
      <c r="I3442" s="132"/>
      <c r="J3442" s="132">
        <f t="shared" si="386"/>
        <v>0</v>
      </c>
      <c r="K3442" s="132">
        <f t="shared" si="382"/>
        <v>0</v>
      </c>
      <c r="L3442" s="132">
        <f t="shared" si="383"/>
        <v>0</v>
      </c>
      <c r="M3442" s="133"/>
      <c r="N3442" s="133">
        <f t="shared" si="387"/>
        <v>0</v>
      </c>
      <c r="O3442" s="134"/>
      <c r="P3442" s="133"/>
      <c r="Q3442" s="2"/>
      <c r="R3442" s="156">
        <f t="shared" si="384"/>
        <v>0</v>
      </c>
      <c r="S3442" s="156">
        <f t="shared" si="385"/>
        <v>0</v>
      </c>
      <c r="T3442" s="133"/>
      <c r="U3442" s="133"/>
      <c r="V3442" s="133"/>
      <c r="W3442" s="133"/>
      <c r="X3442" s="133"/>
      <c r="Y3442" s="133"/>
      <c r="Z3442" s="133"/>
      <c r="AA3442" s="133"/>
      <c r="AB3442" s="133"/>
      <c r="AC3442" s="133"/>
      <c r="AD3442" s="133"/>
      <c r="AE3442" s="133"/>
      <c r="AF3442" s="133"/>
      <c r="AG3442" s="133"/>
      <c r="AH3442" s="133"/>
      <c r="AI3442" s="133"/>
      <c r="AJ3442" s="133"/>
      <c r="AK3442" s="133"/>
      <c r="AL3442" s="133"/>
      <c r="AM3442" s="133"/>
      <c r="AN3442" s="133"/>
      <c r="AO3442" s="133"/>
      <c r="AP3442" s="133"/>
      <c r="AQ3442" s="133"/>
      <c r="AR3442" s="133"/>
      <c r="AS3442" s="153">
        <v>0</v>
      </c>
      <c r="AT3442" s="153">
        <v>0</v>
      </c>
      <c r="AU3442" s="153">
        <v>0</v>
      </c>
      <c r="AV3442" s="135"/>
      <c r="AW3442" s="135"/>
      <c r="AX3442" s="135"/>
      <c r="AY3442" s="135"/>
      <c r="AZ3442" s="135"/>
      <c r="BA3442" s="135"/>
      <c r="BB3442" s="135"/>
      <c r="BC3442" s="135"/>
      <c r="BD3442" s="135"/>
      <c r="BE3442" s="135"/>
      <c r="BF3442" s="135"/>
      <c r="BG3442" s="135"/>
      <c r="BH3442" s="135"/>
      <c r="BI3442" s="2"/>
      <c r="BJ3442" s="136"/>
      <c r="BK3442" s="2"/>
      <c r="BL3442" s="136"/>
      <c r="BM3442" s="136"/>
      <c r="BN3442" s="2"/>
      <c r="BO3442" s="2"/>
      <c r="BP3442" s="136"/>
      <c r="BQ3442" s="137"/>
    </row>
    <row r="3443" spans="1:69" ht="12.75" customHeight="1" x14ac:dyDescent="0.2">
      <c r="A3443" s="2">
        <v>4932</v>
      </c>
      <c r="B3443" s="2"/>
      <c r="C3443" s="2"/>
      <c r="D3443" s="2"/>
      <c r="E3443" s="2"/>
      <c r="F3443" s="132">
        <v>0</v>
      </c>
      <c r="G3443" s="132"/>
      <c r="H3443" s="132">
        <f t="shared" si="388"/>
        <v>0</v>
      </c>
      <c r="I3443" s="132"/>
      <c r="J3443" s="132">
        <f t="shared" si="386"/>
        <v>0</v>
      </c>
      <c r="K3443" s="132">
        <f t="shared" si="382"/>
        <v>0</v>
      </c>
      <c r="L3443" s="132">
        <f t="shared" si="383"/>
        <v>0</v>
      </c>
      <c r="M3443" s="133"/>
      <c r="N3443" s="133">
        <f t="shared" si="387"/>
        <v>0</v>
      </c>
      <c r="O3443" s="134"/>
      <c r="P3443" s="133"/>
      <c r="Q3443" s="2"/>
      <c r="R3443" s="156">
        <f t="shared" si="384"/>
        <v>0</v>
      </c>
      <c r="S3443" s="156">
        <f t="shared" si="385"/>
        <v>0</v>
      </c>
      <c r="T3443" s="133"/>
      <c r="U3443" s="133"/>
      <c r="V3443" s="133"/>
      <c r="W3443" s="133"/>
      <c r="X3443" s="133"/>
      <c r="Y3443" s="133"/>
      <c r="Z3443" s="133"/>
      <c r="AA3443" s="133"/>
      <c r="AB3443" s="133"/>
      <c r="AC3443" s="133"/>
      <c r="AD3443" s="133"/>
      <c r="AE3443" s="133"/>
      <c r="AF3443" s="133"/>
      <c r="AG3443" s="133"/>
      <c r="AH3443" s="133"/>
      <c r="AI3443" s="133"/>
      <c r="AJ3443" s="133"/>
      <c r="AK3443" s="133"/>
      <c r="AL3443" s="133"/>
      <c r="AM3443" s="133"/>
      <c r="AN3443" s="133"/>
      <c r="AO3443" s="133"/>
      <c r="AP3443" s="133"/>
      <c r="AQ3443" s="133"/>
      <c r="AR3443" s="133"/>
      <c r="AS3443" s="153">
        <v>0</v>
      </c>
      <c r="AT3443" s="153">
        <v>0</v>
      </c>
      <c r="AU3443" s="153">
        <v>0</v>
      </c>
      <c r="AV3443" s="135"/>
      <c r="AW3443" s="135"/>
      <c r="AX3443" s="135"/>
      <c r="AY3443" s="135"/>
      <c r="AZ3443" s="135"/>
      <c r="BA3443" s="135"/>
      <c r="BB3443" s="135"/>
      <c r="BC3443" s="135"/>
      <c r="BD3443" s="135"/>
      <c r="BE3443" s="135"/>
      <c r="BF3443" s="135"/>
      <c r="BG3443" s="135"/>
      <c r="BH3443" s="135"/>
      <c r="BI3443" s="2"/>
      <c r="BJ3443" s="136"/>
      <c r="BK3443" s="2"/>
      <c r="BL3443" s="136"/>
      <c r="BM3443" s="136"/>
      <c r="BN3443" s="2"/>
      <c r="BO3443" s="2"/>
      <c r="BP3443" s="136"/>
      <c r="BQ3443" s="137"/>
    </row>
    <row r="3444" spans="1:69" ht="12.75" customHeight="1" x14ac:dyDescent="0.2">
      <c r="A3444" s="2">
        <v>4933</v>
      </c>
      <c r="B3444" s="2"/>
      <c r="C3444" s="2"/>
      <c r="D3444" s="2"/>
      <c r="E3444" s="2"/>
      <c r="F3444" s="132">
        <v>0</v>
      </c>
      <c r="G3444" s="132"/>
      <c r="H3444" s="132">
        <f t="shared" si="388"/>
        <v>0</v>
      </c>
      <c r="I3444" s="132"/>
      <c r="J3444" s="132">
        <f t="shared" si="386"/>
        <v>0</v>
      </c>
      <c r="K3444" s="132">
        <f t="shared" si="382"/>
        <v>0</v>
      </c>
      <c r="L3444" s="132">
        <f t="shared" si="383"/>
        <v>0</v>
      </c>
      <c r="M3444" s="133"/>
      <c r="N3444" s="133">
        <f t="shared" si="387"/>
        <v>0</v>
      </c>
      <c r="O3444" s="134"/>
      <c r="P3444" s="133"/>
      <c r="Q3444" s="2"/>
      <c r="R3444" s="156">
        <f t="shared" si="384"/>
        <v>0</v>
      </c>
      <c r="S3444" s="156">
        <f t="shared" si="385"/>
        <v>0</v>
      </c>
      <c r="T3444" s="133"/>
      <c r="U3444" s="133"/>
      <c r="V3444" s="133"/>
      <c r="W3444" s="133"/>
      <c r="X3444" s="133"/>
      <c r="Y3444" s="133"/>
      <c r="Z3444" s="133"/>
      <c r="AA3444" s="133"/>
      <c r="AB3444" s="133"/>
      <c r="AC3444" s="133"/>
      <c r="AD3444" s="133"/>
      <c r="AE3444" s="133"/>
      <c r="AF3444" s="133"/>
      <c r="AG3444" s="133"/>
      <c r="AH3444" s="133"/>
      <c r="AI3444" s="133"/>
      <c r="AJ3444" s="133"/>
      <c r="AK3444" s="133"/>
      <c r="AL3444" s="133"/>
      <c r="AM3444" s="133"/>
      <c r="AN3444" s="133"/>
      <c r="AO3444" s="133"/>
      <c r="AP3444" s="133"/>
      <c r="AQ3444" s="133"/>
      <c r="AR3444" s="133"/>
      <c r="AS3444" s="153">
        <v>0</v>
      </c>
      <c r="AT3444" s="153">
        <v>0</v>
      </c>
      <c r="AU3444" s="153">
        <v>0</v>
      </c>
      <c r="AV3444" s="135"/>
      <c r="AW3444" s="135"/>
      <c r="AX3444" s="135"/>
      <c r="AY3444" s="135"/>
      <c r="AZ3444" s="135"/>
      <c r="BA3444" s="135"/>
      <c r="BB3444" s="135"/>
      <c r="BC3444" s="135"/>
      <c r="BD3444" s="135"/>
      <c r="BE3444" s="135"/>
      <c r="BF3444" s="135"/>
      <c r="BG3444" s="135"/>
      <c r="BH3444" s="135"/>
      <c r="BI3444" s="2"/>
      <c r="BJ3444" s="136"/>
      <c r="BK3444" s="2"/>
      <c r="BL3444" s="136"/>
      <c r="BM3444" s="136"/>
      <c r="BN3444" s="2"/>
      <c r="BO3444" s="2"/>
      <c r="BP3444" s="136"/>
      <c r="BQ3444" s="137"/>
    </row>
    <row r="3445" spans="1:69" ht="12.75" customHeight="1" x14ac:dyDescent="0.2">
      <c r="A3445" s="2">
        <v>4934</v>
      </c>
      <c r="B3445" s="2"/>
      <c r="C3445" s="2"/>
      <c r="D3445" s="2"/>
      <c r="E3445" s="2"/>
      <c r="F3445" s="132">
        <v>0</v>
      </c>
      <c r="G3445" s="132"/>
      <c r="H3445" s="132">
        <f t="shared" si="388"/>
        <v>0</v>
      </c>
      <c r="I3445" s="132"/>
      <c r="J3445" s="132">
        <f t="shared" si="386"/>
        <v>0</v>
      </c>
      <c r="K3445" s="132">
        <f t="shared" si="382"/>
        <v>0</v>
      </c>
      <c r="L3445" s="132">
        <f t="shared" si="383"/>
        <v>0</v>
      </c>
      <c r="M3445" s="133"/>
      <c r="N3445" s="133">
        <f t="shared" si="387"/>
        <v>0</v>
      </c>
      <c r="O3445" s="134"/>
      <c r="P3445" s="133"/>
      <c r="Q3445" s="2"/>
      <c r="R3445" s="156">
        <f t="shared" si="384"/>
        <v>0</v>
      </c>
      <c r="S3445" s="156">
        <f t="shared" si="385"/>
        <v>0</v>
      </c>
      <c r="T3445" s="133"/>
      <c r="U3445" s="133"/>
      <c r="V3445" s="133"/>
      <c r="W3445" s="133"/>
      <c r="X3445" s="133"/>
      <c r="Y3445" s="133"/>
      <c r="Z3445" s="133"/>
      <c r="AA3445" s="133"/>
      <c r="AB3445" s="133"/>
      <c r="AC3445" s="133"/>
      <c r="AD3445" s="133"/>
      <c r="AE3445" s="133"/>
      <c r="AF3445" s="133"/>
      <c r="AG3445" s="133"/>
      <c r="AH3445" s="133"/>
      <c r="AI3445" s="133"/>
      <c r="AJ3445" s="133"/>
      <c r="AK3445" s="133"/>
      <c r="AL3445" s="133"/>
      <c r="AM3445" s="133"/>
      <c r="AN3445" s="133"/>
      <c r="AO3445" s="133"/>
      <c r="AP3445" s="133"/>
      <c r="AQ3445" s="133"/>
      <c r="AR3445" s="133"/>
      <c r="AS3445" s="153">
        <v>0</v>
      </c>
      <c r="AT3445" s="153">
        <v>0</v>
      </c>
      <c r="AU3445" s="153">
        <v>0</v>
      </c>
      <c r="AV3445" s="135"/>
      <c r="AW3445" s="135"/>
      <c r="AX3445" s="135"/>
      <c r="AY3445" s="135"/>
      <c r="AZ3445" s="135"/>
      <c r="BA3445" s="135"/>
      <c r="BB3445" s="135"/>
      <c r="BC3445" s="135"/>
      <c r="BD3445" s="135"/>
      <c r="BE3445" s="135"/>
      <c r="BF3445" s="135"/>
      <c r="BG3445" s="135"/>
      <c r="BH3445" s="135"/>
      <c r="BI3445" s="2"/>
      <c r="BJ3445" s="136"/>
      <c r="BK3445" s="2"/>
      <c r="BL3445" s="136"/>
      <c r="BM3445" s="136"/>
      <c r="BN3445" s="2"/>
      <c r="BO3445" s="2"/>
      <c r="BP3445" s="136"/>
      <c r="BQ3445" s="137"/>
    </row>
    <row r="3446" spans="1:69" ht="12.75" customHeight="1" x14ac:dyDescent="0.2">
      <c r="A3446" s="2">
        <v>4935</v>
      </c>
      <c r="B3446" s="2"/>
      <c r="C3446" s="2"/>
      <c r="D3446" s="2"/>
      <c r="E3446" s="2"/>
      <c r="F3446" s="132">
        <v>0</v>
      </c>
      <c r="G3446" s="132"/>
      <c r="H3446" s="132">
        <f t="shared" si="388"/>
        <v>0</v>
      </c>
      <c r="I3446" s="132"/>
      <c r="J3446" s="132">
        <f t="shared" si="386"/>
        <v>0</v>
      </c>
      <c r="K3446" s="132">
        <f t="shared" ref="K3446:K3497" si="389">F3446-J3446</f>
        <v>0</v>
      </c>
      <c r="L3446" s="132">
        <f t="shared" si="383"/>
        <v>0</v>
      </c>
      <c r="M3446" s="133"/>
      <c r="N3446" s="133">
        <f t="shared" si="387"/>
        <v>0</v>
      </c>
      <c r="O3446" s="134"/>
      <c r="P3446" s="133"/>
      <c r="Q3446" s="2"/>
      <c r="R3446" s="156">
        <f t="shared" si="384"/>
        <v>0</v>
      </c>
      <c r="S3446" s="156">
        <f t="shared" si="385"/>
        <v>0</v>
      </c>
      <c r="T3446" s="133"/>
      <c r="U3446" s="133"/>
      <c r="V3446" s="133"/>
      <c r="W3446" s="133"/>
      <c r="X3446" s="133"/>
      <c r="Y3446" s="133"/>
      <c r="Z3446" s="133"/>
      <c r="AA3446" s="133"/>
      <c r="AB3446" s="133"/>
      <c r="AC3446" s="133"/>
      <c r="AD3446" s="133"/>
      <c r="AE3446" s="133"/>
      <c r="AF3446" s="133"/>
      <c r="AG3446" s="133"/>
      <c r="AH3446" s="133"/>
      <c r="AI3446" s="133"/>
      <c r="AJ3446" s="133"/>
      <c r="AK3446" s="133"/>
      <c r="AL3446" s="133"/>
      <c r="AM3446" s="133"/>
      <c r="AN3446" s="133"/>
      <c r="AO3446" s="133"/>
      <c r="AP3446" s="133"/>
      <c r="AQ3446" s="133"/>
      <c r="AR3446" s="133"/>
      <c r="AS3446" s="153">
        <v>0</v>
      </c>
      <c r="AT3446" s="153">
        <v>0</v>
      </c>
      <c r="AU3446" s="153">
        <v>0</v>
      </c>
      <c r="AV3446" s="135"/>
      <c r="AW3446" s="135"/>
      <c r="AX3446" s="135"/>
      <c r="AY3446" s="135"/>
      <c r="AZ3446" s="135"/>
      <c r="BA3446" s="135"/>
      <c r="BB3446" s="135"/>
      <c r="BC3446" s="135"/>
      <c r="BD3446" s="135"/>
      <c r="BE3446" s="135"/>
      <c r="BF3446" s="135"/>
      <c r="BG3446" s="135"/>
      <c r="BH3446" s="135"/>
      <c r="BI3446" s="2"/>
      <c r="BJ3446" s="136"/>
      <c r="BK3446" s="2"/>
      <c r="BL3446" s="136"/>
      <c r="BM3446" s="136"/>
      <c r="BN3446" s="2"/>
      <c r="BO3446" s="2"/>
      <c r="BP3446" s="136"/>
      <c r="BQ3446" s="137"/>
    </row>
    <row r="3447" spans="1:69" ht="12.75" customHeight="1" x14ac:dyDescent="0.2">
      <c r="A3447" s="2">
        <v>4936</v>
      </c>
      <c r="B3447" s="2"/>
      <c r="C3447" s="2"/>
      <c r="D3447" s="2"/>
      <c r="E3447" s="2"/>
      <c r="F3447" s="132">
        <v>0</v>
      </c>
      <c r="G3447" s="132"/>
      <c r="H3447" s="132">
        <f t="shared" si="388"/>
        <v>0</v>
      </c>
      <c r="I3447" s="132"/>
      <c r="J3447" s="132">
        <f t="shared" si="386"/>
        <v>0</v>
      </c>
      <c r="K3447" s="132">
        <f t="shared" si="389"/>
        <v>0</v>
      </c>
      <c r="L3447" s="132">
        <f t="shared" si="383"/>
        <v>0</v>
      </c>
      <c r="M3447" s="133"/>
      <c r="N3447" s="133">
        <f t="shared" si="387"/>
        <v>0</v>
      </c>
      <c r="O3447" s="134"/>
      <c r="P3447" s="133"/>
      <c r="Q3447" s="2"/>
      <c r="R3447" s="156">
        <f t="shared" si="384"/>
        <v>0</v>
      </c>
      <c r="S3447" s="156">
        <f t="shared" si="385"/>
        <v>0</v>
      </c>
      <c r="T3447" s="133"/>
      <c r="U3447" s="133"/>
      <c r="V3447" s="133"/>
      <c r="W3447" s="133"/>
      <c r="X3447" s="133"/>
      <c r="Y3447" s="133"/>
      <c r="Z3447" s="133"/>
      <c r="AA3447" s="133"/>
      <c r="AB3447" s="133"/>
      <c r="AC3447" s="133"/>
      <c r="AD3447" s="133"/>
      <c r="AE3447" s="133"/>
      <c r="AF3447" s="133"/>
      <c r="AG3447" s="133"/>
      <c r="AH3447" s="133"/>
      <c r="AI3447" s="133"/>
      <c r="AJ3447" s="133"/>
      <c r="AK3447" s="133"/>
      <c r="AL3447" s="133"/>
      <c r="AM3447" s="133"/>
      <c r="AN3447" s="133"/>
      <c r="AO3447" s="133"/>
      <c r="AP3447" s="133"/>
      <c r="AQ3447" s="133"/>
      <c r="AR3447" s="133"/>
      <c r="AS3447" s="153">
        <v>0</v>
      </c>
      <c r="AT3447" s="153">
        <v>0</v>
      </c>
      <c r="AU3447" s="153">
        <v>0</v>
      </c>
      <c r="AV3447" s="135"/>
      <c r="AW3447" s="135"/>
      <c r="AX3447" s="135"/>
      <c r="AY3447" s="135"/>
      <c r="AZ3447" s="135"/>
      <c r="BA3447" s="135"/>
      <c r="BB3447" s="135"/>
      <c r="BC3447" s="135"/>
      <c r="BD3447" s="135"/>
      <c r="BE3447" s="135"/>
      <c r="BF3447" s="135"/>
      <c r="BG3447" s="135"/>
      <c r="BH3447" s="135"/>
      <c r="BI3447" s="2"/>
      <c r="BJ3447" s="136"/>
      <c r="BK3447" s="2"/>
      <c r="BL3447" s="136"/>
      <c r="BM3447" s="136"/>
      <c r="BN3447" s="2"/>
      <c r="BO3447" s="2"/>
      <c r="BP3447" s="136"/>
      <c r="BQ3447" s="137"/>
    </row>
    <row r="3448" spans="1:69" ht="12.75" customHeight="1" x14ac:dyDescent="0.2">
      <c r="A3448" s="2">
        <v>4937</v>
      </c>
      <c r="B3448" s="2"/>
      <c r="C3448" s="2"/>
      <c r="D3448" s="2"/>
      <c r="E3448" s="2"/>
      <c r="F3448" s="132">
        <v>0</v>
      </c>
      <c r="G3448" s="132"/>
      <c r="H3448" s="132">
        <f t="shared" si="388"/>
        <v>0</v>
      </c>
      <c r="I3448" s="132"/>
      <c r="J3448" s="132">
        <f t="shared" si="386"/>
        <v>0</v>
      </c>
      <c r="K3448" s="132">
        <f t="shared" si="389"/>
        <v>0</v>
      </c>
      <c r="L3448" s="132">
        <f t="shared" si="383"/>
        <v>0</v>
      </c>
      <c r="M3448" s="133"/>
      <c r="N3448" s="133">
        <f t="shared" si="387"/>
        <v>0</v>
      </c>
      <c r="O3448" s="134"/>
      <c r="P3448" s="133"/>
      <c r="Q3448" s="2"/>
      <c r="R3448" s="156">
        <f t="shared" si="384"/>
        <v>0</v>
      </c>
      <c r="S3448" s="156">
        <f t="shared" si="385"/>
        <v>0</v>
      </c>
      <c r="T3448" s="133"/>
      <c r="U3448" s="133"/>
      <c r="V3448" s="133"/>
      <c r="W3448" s="133"/>
      <c r="X3448" s="133"/>
      <c r="Y3448" s="133"/>
      <c r="Z3448" s="133"/>
      <c r="AA3448" s="133"/>
      <c r="AB3448" s="133"/>
      <c r="AC3448" s="133"/>
      <c r="AD3448" s="133"/>
      <c r="AE3448" s="133"/>
      <c r="AF3448" s="133"/>
      <c r="AG3448" s="133"/>
      <c r="AH3448" s="133"/>
      <c r="AI3448" s="133"/>
      <c r="AJ3448" s="133"/>
      <c r="AK3448" s="133"/>
      <c r="AL3448" s="133"/>
      <c r="AM3448" s="133"/>
      <c r="AN3448" s="133"/>
      <c r="AO3448" s="133"/>
      <c r="AP3448" s="133"/>
      <c r="AQ3448" s="133"/>
      <c r="AR3448" s="133"/>
      <c r="AS3448" s="153">
        <v>0</v>
      </c>
      <c r="AT3448" s="153">
        <v>0</v>
      </c>
      <c r="AU3448" s="153">
        <v>0</v>
      </c>
      <c r="AV3448" s="135"/>
      <c r="AW3448" s="135"/>
      <c r="AX3448" s="135"/>
      <c r="AY3448" s="135"/>
      <c r="AZ3448" s="135"/>
      <c r="BA3448" s="135"/>
      <c r="BB3448" s="135"/>
      <c r="BC3448" s="135"/>
      <c r="BD3448" s="135"/>
      <c r="BE3448" s="135"/>
      <c r="BF3448" s="135"/>
      <c r="BG3448" s="135"/>
      <c r="BH3448" s="135"/>
      <c r="BI3448" s="2"/>
      <c r="BJ3448" s="136"/>
      <c r="BK3448" s="2"/>
      <c r="BL3448" s="136"/>
      <c r="BM3448" s="136"/>
      <c r="BN3448" s="2"/>
      <c r="BO3448" s="2"/>
      <c r="BP3448" s="136"/>
      <c r="BQ3448" s="137"/>
    </row>
    <row r="3449" spans="1:69" ht="12.75" customHeight="1" x14ac:dyDescent="0.2">
      <c r="A3449" s="2">
        <v>4938</v>
      </c>
      <c r="B3449" s="2"/>
      <c r="C3449" s="2"/>
      <c r="D3449" s="2"/>
      <c r="E3449" s="2"/>
      <c r="F3449" s="132">
        <v>0</v>
      </c>
      <c r="G3449" s="132"/>
      <c r="H3449" s="132">
        <f t="shared" si="388"/>
        <v>0</v>
      </c>
      <c r="I3449" s="132"/>
      <c r="J3449" s="132">
        <f t="shared" si="386"/>
        <v>0</v>
      </c>
      <c r="K3449" s="132">
        <f t="shared" si="389"/>
        <v>0</v>
      </c>
      <c r="L3449" s="132">
        <f t="shared" si="383"/>
        <v>0</v>
      </c>
      <c r="M3449" s="133"/>
      <c r="N3449" s="133">
        <f t="shared" si="387"/>
        <v>0</v>
      </c>
      <c r="O3449" s="134"/>
      <c r="P3449" s="133"/>
      <c r="Q3449" s="2"/>
      <c r="R3449" s="156">
        <f t="shared" si="384"/>
        <v>0</v>
      </c>
      <c r="S3449" s="156">
        <f t="shared" si="385"/>
        <v>0</v>
      </c>
      <c r="T3449" s="133"/>
      <c r="U3449" s="133"/>
      <c r="V3449" s="133"/>
      <c r="W3449" s="133"/>
      <c r="X3449" s="133"/>
      <c r="Y3449" s="133"/>
      <c r="Z3449" s="133"/>
      <c r="AA3449" s="133"/>
      <c r="AB3449" s="133"/>
      <c r="AC3449" s="133"/>
      <c r="AD3449" s="133"/>
      <c r="AE3449" s="133"/>
      <c r="AF3449" s="133"/>
      <c r="AG3449" s="133"/>
      <c r="AH3449" s="133"/>
      <c r="AI3449" s="133"/>
      <c r="AJ3449" s="133"/>
      <c r="AK3449" s="133"/>
      <c r="AL3449" s="133"/>
      <c r="AM3449" s="133"/>
      <c r="AN3449" s="133"/>
      <c r="AO3449" s="133"/>
      <c r="AP3449" s="133"/>
      <c r="AQ3449" s="133"/>
      <c r="AR3449" s="133"/>
      <c r="AS3449" s="153">
        <v>0</v>
      </c>
      <c r="AT3449" s="153">
        <v>0</v>
      </c>
      <c r="AU3449" s="153">
        <v>0</v>
      </c>
      <c r="AV3449" s="135"/>
      <c r="AW3449" s="135"/>
      <c r="AX3449" s="135"/>
      <c r="AY3449" s="135"/>
      <c r="AZ3449" s="135"/>
      <c r="BA3449" s="135"/>
      <c r="BB3449" s="135"/>
      <c r="BC3449" s="135"/>
      <c r="BD3449" s="135"/>
      <c r="BE3449" s="135"/>
      <c r="BF3449" s="135"/>
      <c r="BG3449" s="135"/>
      <c r="BH3449" s="135"/>
      <c r="BI3449" s="2"/>
      <c r="BJ3449" s="136"/>
      <c r="BK3449" s="2"/>
      <c r="BL3449" s="136"/>
      <c r="BM3449" s="136"/>
      <c r="BN3449" s="2"/>
      <c r="BO3449" s="2"/>
      <c r="BP3449" s="136"/>
      <c r="BQ3449" s="137"/>
    </row>
    <row r="3450" spans="1:69" ht="12.75" customHeight="1" x14ac:dyDescent="0.2">
      <c r="A3450" s="2">
        <v>4939</v>
      </c>
      <c r="B3450" s="2"/>
      <c r="C3450" s="2"/>
      <c r="D3450" s="2"/>
      <c r="E3450" s="2"/>
      <c r="F3450" s="132">
        <v>0</v>
      </c>
      <c r="G3450" s="132"/>
      <c r="H3450" s="132">
        <f t="shared" si="388"/>
        <v>0</v>
      </c>
      <c r="I3450" s="132"/>
      <c r="J3450" s="132">
        <f t="shared" si="386"/>
        <v>0</v>
      </c>
      <c r="K3450" s="132">
        <f t="shared" si="389"/>
        <v>0</v>
      </c>
      <c r="L3450" s="132">
        <f t="shared" si="383"/>
        <v>0</v>
      </c>
      <c r="M3450" s="133"/>
      <c r="N3450" s="133">
        <f t="shared" si="387"/>
        <v>0</v>
      </c>
      <c r="O3450" s="134"/>
      <c r="P3450" s="133"/>
      <c r="Q3450" s="2"/>
      <c r="R3450" s="156">
        <f t="shared" si="384"/>
        <v>0</v>
      </c>
      <c r="S3450" s="156">
        <f t="shared" si="385"/>
        <v>0</v>
      </c>
      <c r="T3450" s="133"/>
      <c r="U3450" s="133"/>
      <c r="V3450" s="133"/>
      <c r="W3450" s="133"/>
      <c r="X3450" s="133"/>
      <c r="Y3450" s="133"/>
      <c r="Z3450" s="133"/>
      <c r="AA3450" s="133"/>
      <c r="AB3450" s="133"/>
      <c r="AC3450" s="133"/>
      <c r="AD3450" s="133"/>
      <c r="AE3450" s="133"/>
      <c r="AF3450" s="133"/>
      <c r="AG3450" s="133"/>
      <c r="AH3450" s="133"/>
      <c r="AI3450" s="133"/>
      <c r="AJ3450" s="133"/>
      <c r="AK3450" s="133"/>
      <c r="AL3450" s="133"/>
      <c r="AM3450" s="133"/>
      <c r="AN3450" s="133"/>
      <c r="AO3450" s="133"/>
      <c r="AP3450" s="133"/>
      <c r="AQ3450" s="133"/>
      <c r="AR3450" s="133"/>
      <c r="AS3450" s="153">
        <v>0</v>
      </c>
      <c r="AT3450" s="153">
        <v>0</v>
      </c>
      <c r="AU3450" s="153">
        <v>0</v>
      </c>
      <c r="AV3450" s="135"/>
      <c r="AW3450" s="135"/>
      <c r="AX3450" s="135"/>
      <c r="AY3450" s="135"/>
      <c r="AZ3450" s="135"/>
      <c r="BA3450" s="135"/>
      <c r="BB3450" s="135"/>
      <c r="BC3450" s="135"/>
      <c r="BD3450" s="135"/>
      <c r="BE3450" s="135"/>
      <c r="BF3450" s="135"/>
      <c r="BG3450" s="135"/>
      <c r="BH3450" s="135"/>
      <c r="BI3450" s="2"/>
      <c r="BJ3450" s="136"/>
      <c r="BK3450" s="2"/>
      <c r="BL3450" s="136"/>
      <c r="BM3450" s="136"/>
      <c r="BN3450" s="2"/>
      <c r="BO3450" s="2"/>
      <c r="BP3450" s="136"/>
      <c r="BQ3450" s="137"/>
    </row>
    <row r="3451" spans="1:69" ht="12.75" customHeight="1" x14ac:dyDescent="0.2">
      <c r="A3451" s="2">
        <v>4940</v>
      </c>
      <c r="B3451" s="2"/>
      <c r="C3451" s="2"/>
      <c r="D3451" s="2"/>
      <c r="E3451" s="2"/>
      <c r="F3451" s="132">
        <v>0</v>
      </c>
      <c r="G3451" s="132"/>
      <c r="H3451" s="132">
        <f t="shared" si="388"/>
        <v>0</v>
      </c>
      <c r="I3451" s="132"/>
      <c r="J3451" s="132">
        <f t="shared" si="386"/>
        <v>0</v>
      </c>
      <c r="K3451" s="132">
        <f t="shared" si="389"/>
        <v>0</v>
      </c>
      <c r="L3451" s="132">
        <f t="shared" si="383"/>
        <v>0</v>
      </c>
      <c r="M3451" s="133"/>
      <c r="N3451" s="133">
        <f t="shared" si="387"/>
        <v>0</v>
      </c>
      <c r="O3451" s="134"/>
      <c r="P3451" s="133"/>
      <c r="Q3451" s="2"/>
      <c r="R3451" s="156">
        <f t="shared" si="384"/>
        <v>0</v>
      </c>
      <c r="S3451" s="156">
        <f t="shared" si="385"/>
        <v>0</v>
      </c>
      <c r="T3451" s="133"/>
      <c r="U3451" s="133"/>
      <c r="V3451" s="133"/>
      <c r="W3451" s="133"/>
      <c r="X3451" s="133"/>
      <c r="Y3451" s="133"/>
      <c r="Z3451" s="133"/>
      <c r="AA3451" s="133"/>
      <c r="AB3451" s="133"/>
      <c r="AC3451" s="133"/>
      <c r="AD3451" s="133"/>
      <c r="AE3451" s="133"/>
      <c r="AF3451" s="133"/>
      <c r="AG3451" s="133"/>
      <c r="AH3451" s="133"/>
      <c r="AI3451" s="133"/>
      <c r="AJ3451" s="133"/>
      <c r="AK3451" s="133"/>
      <c r="AL3451" s="133"/>
      <c r="AM3451" s="133"/>
      <c r="AN3451" s="133"/>
      <c r="AO3451" s="133"/>
      <c r="AP3451" s="133"/>
      <c r="AQ3451" s="133"/>
      <c r="AR3451" s="133"/>
      <c r="AS3451" s="153">
        <v>0</v>
      </c>
      <c r="AT3451" s="153">
        <v>0</v>
      </c>
      <c r="AU3451" s="153">
        <v>0</v>
      </c>
      <c r="AV3451" s="135"/>
      <c r="AW3451" s="135"/>
      <c r="AX3451" s="135"/>
      <c r="AY3451" s="135"/>
      <c r="AZ3451" s="135"/>
      <c r="BA3451" s="135"/>
      <c r="BB3451" s="135"/>
      <c r="BC3451" s="135"/>
      <c r="BD3451" s="135"/>
      <c r="BE3451" s="135"/>
      <c r="BF3451" s="135"/>
      <c r="BG3451" s="135"/>
      <c r="BH3451" s="135"/>
      <c r="BI3451" s="2"/>
      <c r="BJ3451" s="136"/>
      <c r="BK3451" s="2"/>
      <c r="BL3451" s="136"/>
      <c r="BM3451" s="136"/>
      <c r="BN3451" s="2"/>
      <c r="BO3451" s="2"/>
      <c r="BP3451" s="136"/>
      <c r="BQ3451" s="137"/>
    </row>
    <row r="3452" spans="1:69" ht="12.75" customHeight="1" x14ac:dyDescent="0.2">
      <c r="A3452" s="2">
        <v>4941</v>
      </c>
      <c r="B3452" s="2"/>
      <c r="C3452" s="2"/>
      <c r="D3452" s="2"/>
      <c r="E3452" s="2"/>
      <c r="F3452" s="132">
        <v>0</v>
      </c>
      <c r="G3452" s="132"/>
      <c r="H3452" s="132">
        <f t="shared" si="388"/>
        <v>0</v>
      </c>
      <c r="I3452" s="132"/>
      <c r="J3452" s="132">
        <f t="shared" si="386"/>
        <v>0</v>
      </c>
      <c r="K3452" s="132">
        <f t="shared" si="389"/>
        <v>0</v>
      </c>
      <c r="L3452" s="132">
        <f t="shared" si="383"/>
        <v>0</v>
      </c>
      <c r="M3452" s="133"/>
      <c r="N3452" s="133">
        <f t="shared" si="387"/>
        <v>0</v>
      </c>
      <c r="O3452" s="134"/>
      <c r="P3452" s="133"/>
      <c r="Q3452" s="2"/>
      <c r="R3452" s="156">
        <f t="shared" si="384"/>
        <v>0</v>
      </c>
      <c r="S3452" s="156">
        <f t="shared" si="385"/>
        <v>0</v>
      </c>
      <c r="T3452" s="133"/>
      <c r="U3452" s="133"/>
      <c r="V3452" s="133"/>
      <c r="W3452" s="133"/>
      <c r="X3452" s="133"/>
      <c r="Y3452" s="133"/>
      <c r="Z3452" s="133"/>
      <c r="AA3452" s="133"/>
      <c r="AB3452" s="133"/>
      <c r="AC3452" s="133"/>
      <c r="AD3452" s="133"/>
      <c r="AE3452" s="133"/>
      <c r="AF3452" s="133"/>
      <c r="AG3452" s="133"/>
      <c r="AH3452" s="133"/>
      <c r="AI3452" s="133"/>
      <c r="AJ3452" s="133"/>
      <c r="AK3452" s="133"/>
      <c r="AL3452" s="133"/>
      <c r="AM3452" s="133"/>
      <c r="AN3452" s="133"/>
      <c r="AO3452" s="133"/>
      <c r="AP3452" s="133"/>
      <c r="AQ3452" s="133"/>
      <c r="AR3452" s="133"/>
      <c r="AS3452" s="153">
        <v>0</v>
      </c>
      <c r="AT3452" s="153">
        <v>0</v>
      </c>
      <c r="AU3452" s="153">
        <v>0</v>
      </c>
      <c r="AV3452" s="135"/>
      <c r="AW3452" s="135"/>
      <c r="AX3452" s="135"/>
      <c r="AY3452" s="135"/>
      <c r="AZ3452" s="135"/>
      <c r="BA3452" s="135"/>
      <c r="BB3452" s="135"/>
      <c r="BC3452" s="135"/>
      <c r="BD3452" s="135"/>
      <c r="BE3452" s="135"/>
      <c r="BF3452" s="135"/>
      <c r="BG3452" s="135"/>
      <c r="BH3452" s="135"/>
      <c r="BI3452" s="2"/>
      <c r="BJ3452" s="136"/>
      <c r="BK3452" s="2"/>
      <c r="BL3452" s="136"/>
      <c r="BM3452" s="136"/>
      <c r="BN3452" s="2"/>
      <c r="BO3452" s="2"/>
      <c r="BP3452" s="136"/>
      <c r="BQ3452" s="137"/>
    </row>
    <row r="3453" spans="1:69" ht="12.75" customHeight="1" x14ac:dyDescent="0.2">
      <c r="A3453" s="2">
        <v>4942</v>
      </c>
      <c r="B3453" s="2"/>
      <c r="C3453" s="2"/>
      <c r="D3453" s="2"/>
      <c r="E3453" s="2"/>
      <c r="F3453" s="132">
        <v>0</v>
      </c>
      <c r="G3453" s="132"/>
      <c r="H3453" s="132">
        <f t="shared" si="388"/>
        <v>0</v>
      </c>
      <c r="I3453" s="132"/>
      <c r="J3453" s="132">
        <f t="shared" si="386"/>
        <v>0</v>
      </c>
      <c r="K3453" s="132">
        <f t="shared" si="389"/>
        <v>0</v>
      </c>
      <c r="L3453" s="132">
        <f t="shared" si="383"/>
        <v>0</v>
      </c>
      <c r="M3453" s="133"/>
      <c r="N3453" s="133">
        <f t="shared" si="387"/>
        <v>0</v>
      </c>
      <c r="O3453" s="134"/>
      <c r="P3453" s="133"/>
      <c r="Q3453" s="2"/>
      <c r="R3453" s="156">
        <f t="shared" si="384"/>
        <v>0</v>
      </c>
      <c r="S3453" s="156">
        <f t="shared" si="385"/>
        <v>0</v>
      </c>
      <c r="T3453" s="133"/>
      <c r="U3453" s="133"/>
      <c r="V3453" s="133"/>
      <c r="W3453" s="133"/>
      <c r="X3453" s="133"/>
      <c r="Y3453" s="133"/>
      <c r="Z3453" s="133"/>
      <c r="AA3453" s="133"/>
      <c r="AB3453" s="133"/>
      <c r="AC3453" s="133"/>
      <c r="AD3453" s="133"/>
      <c r="AE3453" s="133"/>
      <c r="AF3453" s="133"/>
      <c r="AG3453" s="133"/>
      <c r="AH3453" s="133"/>
      <c r="AI3453" s="133"/>
      <c r="AJ3453" s="133"/>
      <c r="AK3453" s="133"/>
      <c r="AL3453" s="133"/>
      <c r="AM3453" s="133"/>
      <c r="AN3453" s="133"/>
      <c r="AO3453" s="133"/>
      <c r="AP3453" s="133"/>
      <c r="AQ3453" s="133"/>
      <c r="AR3453" s="133"/>
      <c r="AS3453" s="153">
        <v>0</v>
      </c>
      <c r="AT3453" s="153">
        <v>0</v>
      </c>
      <c r="AU3453" s="153">
        <v>0</v>
      </c>
      <c r="AV3453" s="135"/>
      <c r="AW3453" s="135"/>
      <c r="AX3453" s="135"/>
      <c r="AY3453" s="135"/>
      <c r="AZ3453" s="135"/>
      <c r="BA3453" s="135"/>
      <c r="BB3453" s="135"/>
      <c r="BC3453" s="135"/>
      <c r="BD3453" s="135"/>
      <c r="BE3453" s="135"/>
      <c r="BF3453" s="135"/>
      <c r="BG3453" s="135"/>
      <c r="BH3453" s="135"/>
      <c r="BI3453" s="2"/>
      <c r="BJ3453" s="136"/>
      <c r="BK3453" s="2"/>
      <c r="BL3453" s="136"/>
      <c r="BM3453" s="136"/>
      <c r="BN3453" s="2"/>
      <c r="BO3453" s="2"/>
      <c r="BP3453" s="136"/>
      <c r="BQ3453" s="137"/>
    </row>
    <row r="3454" spans="1:69" ht="12.75" customHeight="1" x14ac:dyDescent="0.2">
      <c r="A3454" s="2">
        <v>4943</v>
      </c>
      <c r="B3454" s="2"/>
      <c r="C3454" s="2"/>
      <c r="D3454" s="2"/>
      <c r="E3454" s="2"/>
      <c r="F3454" s="132">
        <v>0</v>
      </c>
      <c r="G3454" s="132"/>
      <c r="H3454" s="132">
        <f t="shared" si="388"/>
        <v>0</v>
      </c>
      <c r="I3454" s="132"/>
      <c r="J3454" s="132">
        <f t="shared" si="386"/>
        <v>0</v>
      </c>
      <c r="K3454" s="132">
        <f t="shared" si="389"/>
        <v>0</v>
      </c>
      <c r="L3454" s="132">
        <f t="shared" si="383"/>
        <v>0</v>
      </c>
      <c r="M3454" s="133"/>
      <c r="N3454" s="133">
        <f t="shared" si="387"/>
        <v>0</v>
      </c>
      <c r="O3454" s="134"/>
      <c r="P3454" s="133"/>
      <c r="Q3454" s="2"/>
      <c r="R3454" s="156">
        <f t="shared" si="384"/>
        <v>0</v>
      </c>
      <c r="S3454" s="156">
        <f t="shared" si="385"/>
        <v>0</v>
      </c>
      <c r="T3454" s="133"/>
      <c r="U3454" s="133"/>
      <c r="V3454" s="133"/>
      <c r="W3454" s="133"/>
      <c r="X3454" s="133"/>
      <c r="Y3454" s="133"/>
      <c r="Z3454" s="133"/>
      <c r="AA3454" s="133"/>
      <c r="AB3454" s="133"/>
      <c r="AC3454" s="133"/>
      <c r="AD3454" s="133"/>
      <c r="AE3454" s="133"/>
      <c r="AF3454" s="133"/>
      <c r="AG3454" s="133"/>
      <c r="AH3454" s="133"/>
      <c r="AI3454" s="133"/>
      <c r="AJ3454" s="133"/>
      <c r="AK3454" s="133"/>
      <c r="AL3454" s="133"/>
      <c r="AM3454" s="133"/>
      <c r="AN3454" s="133"/>
      <c r="AO3454" s="133"/>
      <c r="AP3454" s="133"/>
      <c r="AQ3454" s="133"/>
      <c r="AR3454" s="133"/>
      <c r="AS3454" s="153">
        <v>0</v>
      </c>
      <c r="AT3454" s="153">
        <v>0</v>
      </c>
      <c r="AU3454" s="153">
        <v>0</v>
      </c>
      <c r="AV3454" s="135"/>
      <c r="AW3454" s="135"/>
      <c r="AX3454" s="135"/>
      <c r="AY3454" s="135"/>
      <c r="AZ3454" s="135"/>
      <c r="BA3454" s="135"/>
      <c r="BB3454" s="135"/>
      <c r="BC3454" s="135"/>
      <c r="BD3454" s="135"/>
      <c r="BE3454" s="135"/>
      <c r="BF3454" s="135"/>
      <c r="BG3454" s="135"/>
      <c r="BH3454" s="135"/>
      <c r="BI3454" s="2"/>
      <c r="BJ3454" s="136"/>
      <c r="BK3454" s="2"/>
      <c r="BL3454" s="136"/>
      <c r="BM3454" s="136"/>
      <c r="BN3454" s="2"/>
      <c r="BO3454" s="2"/>
      <c r="BP3454" s="136"/>
      <c r="BQ3454" s="137"/>
    </row>
    <row r="3455" spans="1:69" ht="12.75" customHeight="1" x14ac:dyDescent="0.2">
      <c r="A3455" s="2">
        <v>4944</v>
      </c>
      <c r="B3455" s="2"/>
      <c r="C3455" s="2"/>
      <c r="D3455" s="2"/>
      <c r="E3455" s="2"/>
      <c r="F3455" s="132">
        <v>0</v>
      </c>
      <c r="G3455" s="132"/>
      <c r="H3455" s="132">
        <f t="shared" si="388"/>
        <v>0</v>
      </c>
      <c r="I3455" s="132"/>
      <c r="J3455" s="132">
        <f t="shared" si="386"/>
        <v>0</v>
      </c>
      <c r="K3455" s="132">
        <f t="shared" si="389"/>
        <v>0</v>
      </c>
      <c r="L3455" s="132">
        <f t="shared" si="383"/>
        <v>0</v>
      </c>
      <c r="M3455" s="133"/>
      <c r="N3455" s="133">
        <f t="shared" si="387"/>
        <v>0</v>
      </c>
      <c r="O3455" s="134"/>
      <c r="P3455" s="133"/>
      <c r="Q3455" s="2"/>
      <c r="R3455" s="156">
        <f t="shared" si="384"/>
        <v>0</v>
      </c>
      <c r="S3455" s="156">
        <f t="shared" si="385"/>
        <v>0</v>
      </c>
      <c r="T3455" s="133"/>
      <c r="U3455" s="133"/>
      <c r="V3455" s="133"/>
      <c r="W3455" s="133"/>
      <c r="X3455" s="133"/>
      <c r="Y3455" s="133"/>
      <c r="Z3455" s="133"/>
      <c r="AA3455" s="133"/>
      <c r="AB3455" s="133"/>
      <c r="AC3455" s="133"/>
      <c r="AD3455" s="133"/>
      <c r="AE3455" s="133"/>
      <c r="AF3455" s="133"/>
      <c r="AG3455" s="133"/>
      <c r="AH3455" s="133"/>
      <c r="AI3455" s="133"/>
      <c r="AJ3455" s="133"/>
      <c r="AK3455" s="133"/>
      <c r="AL3455" s="133"/>
      <c r="AM3455" s="133"/>
      <c r="AN3455" s="133"/>
      <c r="AO3455" s="133"/>
      <c r="AP3455" s="133"/>
      <c r="AQ3455" s="133"/>
      <c r="AR3455" s="133"/>
      <c r="AS3455" s="153">
        <v>0</v>
      </c>
      <c r="AT3455" s="153">
        <v>0</v>
      </c>
      <c r="AU3455" s="153">
        <v>0</v>
      </c>
      <c r="AV3455" s="135"/>
      <c r="AW3455" s="135"/>
      <c r="AX3455" s="135"/>
      <c r="AY3455" s="135"/>
      <c r="AZ3455" s="135"/>
      <c r="BA3455" s="135"/>
      <c r="BB3455" s="135"/>
      <c r="BC3455" s="135"/>
      <c r="BD3455" s="135"/>
      <c r="BE3455" s="135"/>
      <c r="BF3455" s="135"/>
      <c r="BG3455" s="135"/>
      <c r="BH3455" s="135"/>
      <c r="BI3455" s="2"/>
      <c r="BJ3455" s="136"/>
      <c r="BK3455" s="2"/>
      <c r="BL3455" s="136"/>
      <c r="BM3455" s="136"/>
      <c r="BN3455" s="2"/>
      <c r="BO3455" s="2"/>
      <c r="BP3455" s="136"/>
      <c r="BQ3455" s="137"/>
    </row>
    <row r="3456" spans="1:69" ht="12.75" customHeight="1" x14ac:dyDescent="0.2">
      <c r="A3456" s="2">
        <v>4945</v>
      </c>
      <c r="B3456" s="2"/>
      <c r="C3456" s="2"/>
      <c r="D3456" s="2"/>
      <c r="E3456" s="2"/>
      <c r="F3456" s="132">
        <v>0</v>
      </c>
      <c r="G3456" s="132"/>
      <c r="H3456" s="132">
        <f t="shared" si="388"/>
        <v>0</v>
      </c>
      <c r="I3456" s="132"/>
      <c r="J3456" s="132">
        <f t="shared" si="386"/>
        <v>0</v>
      </c>
      <c r="K3456" s="132">
        <f t="shared" si="389"/>
        <v>0</v>
      </c>
      <c r="L3456" s="132">
        <f t="shared" si="383"/>
        <v>0</v>
      </c>
      <c r="M3456" s="133"/>
      <c r="N3456" s="133">
        <f t="shared" si="387"/>
        <v>0</v>
      </c>
      <c r="O3456" s="134"/>
      <c r="P3456" s="133"/>
      <c r="Q3456" s="2"/>
      <c r="R3456" s="156">
        <f t="shared" si="384"/>
        <v>0</v>
      </c>
      <c r="S3456" s="156">
        <f t="shared" si="385"/>
        <v>0</v>
      </c>
      <c r="T3456" s="133"/>
      <c r="U3456" s="133"/>
      <c r="V3456" s="133"/>
      <c r="W3456" s="133"/>
      <c r="X3456" s="133"/>
      <c r="Y3456" s="133"/>
      <c r="Z3456" s="133"/>
      <c r="AA3456" s="133"/>
      <c r="AB3456" s="133"/>
      <c r="AC3456" s="133"/>
      <c r="AD3456" s="133"/>
      <c r="AE3456" s="133"/>
      <c r="AF3456" s="133"/>
      <c r="AG3456" s="133"/>
      <c r="AH3456" s="133"/>
      <c r="AI3456" s="133"/>
      <c r="AJ3456" s="133"/>
      <c r="AK3456" s="133"/>
      <c r="AL3456" s="133"/>
      <c r="AM3456" s="133"/>
      <c r="AN3456" s="133"/>
      <c r="AO3456" s="133"/>
      <c r="AP3456" s="133"/>
      <c r="AQ3456" s="133"/>
      <c r="AR3456" s="133"/>
      <c r="AS3456" s="153">
        <v>0</v>
      </c>
      <c r="AT3456" s="153">
        <v>0</v>
      </c>
      <c r="AU3456" s="153">
        <v>0</v>
      </c>
      <c r="AV3456" s="135"/>
      <c r="AW3456" s="135"/>
      <c r="AX3456" s="135"/>
      <c r="AY3456" s="135"/>
      <c r="AZ3456" s="135"/>
      <c r="BA3456" s="135"/>
      <c r="BB3456" s="135"/>
      <c r="BC3456" s="135"/>
      <c r="BD3456" s="135"/>
      <c r="BE3456" s="135"/>
      <c r="BF3456" s="135"/>
      <c r="BG3456" s="135"/>
      <c r="BH3456" s="135"/>
      <c r="BI3456" s="2"/>
      <c r="BJ3456" s="136"/>
      <c r="BK3456" s="2"/>
      <c r="BL3456" s="136"/>
      <c r="BM3456" s="136"/>
      <c r="BN3456" s="2"/>
      <c r="BO3456" s="2"/>
      <c r="BP3456" s="136"/>
      <c r="BQ3456" s="137"/>
    </row>
    <row r="3457" spans="1:69" ht="12.75" customHeight="1" x14ac:dyDescent="0.2">
      <c r="A3457" s="2">
        <v>4946</v>
      </c>
      <c r="B3457" s="2"/>
      <c r="C3457" s="2"/>
      <c r="D3457" s="2"/>
      <c r="E3457" s="2"/>
      <c r="F3457" s="132">
        <v>0</v>
      </c>
      <c r="G3457" s="132"/>
      <c r="H3457" s="132">
        <f t="shared" si="388"/>
        <v>0</v>
      </c>
      <c r="I3457" s="132"/>
      <c r="J3457" s="132">
        <f t="shared" si="386"/>
        <v>0</v>
      </c>
      <c r="K3457" s="132">
        <f t="shared" si="389"/>
        <v>0</v>
      </c>
      <c r="L3457" s="132">
        <f t="shared" si="383"/>
        <v>0</v>
      </c>
      <c r="M3457" s="133"/>
      <c r="N3457" s="133">
        <f t="shared" si="387"/>
        <v>0</v>
      </c>
      <c r="O3457" s="134"/>
      <c r="P3457" s="133"/>
      <c r="Q3457" s="2"/>
      <c r="R3457" s="156">
        <f t="shared" si="384"/>
        <v>0</v>
      </c>
      <c r="S3457" s="156">
        <f t="shared" si="385"/>
        <v>0</v>
      </c>
      <c r="T3457" s="133"/>
      <c r="U3457" s="133"/>
      <c r="V3457" s="133"/>
      <c r="W3457" s="133"/>
      <c r="X3457" s="133"/>
      <c r="Y3457" s="133"/>
      <c r="Z3457" s="133"/>
      <c r="AA3457" s="133"/>
      <c r="AB3457" s="133"/>
      <c r="AC3457" s="133"/>
      <c r="AD3457" s="133"/>
      <c r="AE3457" s="133"/>
      <c r="AF3457" s="133"/>
      <c r="AG3457" s="133"/>
      <c r="AH3457" s="133"/>
      <c r="AI3457" s="133"/>
      <c r="AJ3457" s="133"/>
      <c r="AK3457" s="133"/>
      <c r="AL3457" s="133"/>
      <c r="AM3457" s="133"/>
      <c r="AN3457" s="133"/>
      <c r="AO3457" s="133"/>
      <c r="AP3457" s="133"/>
      <c r="AQ3457" s="133"/>
      <c r="AR3457" s="133"/>
      <c r="AS3457" s="153">
        <v>0</v>
      </c>
      <c r="AT3457" s="153">
        <v>0</v>
      </c>
      <c r="AU3457" s="153">
        <v>0</v>
      </c>
      <c r="AV3457" s="135"/>
      <c r="AW3457" s="135"/>
      <c r="AX3457" s="135"/>
      <c r="AY3457" s="135"/>
      <c r="AZ3457" s="135"/>
      <c r="BA3457" s="135"/>
      <c r="BB3457" s="135"/>
      <c r="BC3457" s="135"/>
      <c r="BD3457" s="135"/>
      <c r="BE3457" s="135"/>
      <c r="BF3457" s="135"/>
      <c r="BG3457" s="135"/>
      <c r="BH3457" s="135"/>
      <c r="BI3457" s="2"/>
      <c r="BJ3457" s="136"/>
      <c r="BK3457" s="2"/>
      <c r="BL3457" s="136"/>
      <c r="BM3457" s="136"/>
      <c r="BN3457" s="2"/>
      <c r="BO3457" s="2"/>
      <c r="BP3457" s="136"/>
      <c r="BQ3457" s="137"/>
    </row>
    <row r="3458" spans="1:69" ht="12.75" customHeight="1" x14ac:dyDescent="0.2">
      <c r="A3458" s="2">
        <v>4947</v>
      </c>
      <c r="B3458" s="2"/>
      <c r="C3458" s="2"/>
      <c r="D3458" s="2"/>
      <c r="E3458" s="2"/>
      <c r="F3458" s="132">
        <v>0</v>
      </c>
      <c r="G3458" s="132"/>
      <c r="H3458" s="132">
        <f t="shared" si="388"/>
        <v>0</v>
      </c>
      <c r="I3458" s="132"/>
      <c r="J3458" s="132">
        <f t="shared" si="386"/>
        <v>0</v>
      </c>
      <c r="K3458" s="132">
        <f t="shared" si="389"/>
        <v>0</v>
      </c>
      <c r="L3458" s="132">
        <f t="shared" si="383"/>
        <v>0</v>
      </c>
      <c r="M3458" s="133"/>
      <c r="N3458" s="133">
        <f t="shared" si="387"/>
        <v>0</v>
      </c>
      <c r="O3458" s="134"/>
      <c r="P3458" s="133"/>
      <c r="Q3458" s="2"/>
      <c r="R3458" s="156">
        <f t="shared" si="384"/>
        <v>0</v>
      </c>
      <c r="S3458" s="156">
        <f t="shared" si="385"/>
        <v>0</v>
      </c>
      <c r="T3458" s="133"/>
      <c r="U3458" s="133"/>
      <c r="V3458" s="133"/>
      <c r="W3458" s="133"/>
      <c r="X3458" s="133"/>
      <c r="Y3458" s="133"/>
      <c r="Z3458" s="133"/>
      <c r="AA3458" s="133"/>
      <c r="AB3458" s="133"/>
      <c r="AC3458" s="133"/>
      <c r="AD3458" s="133"/>
      <c r="AE3458" s="133"/>
      <c r="AF3458" s="133"/>
      <c r="AG3458" s="133"/>
      <c r="AH3458" s="133"/>
      <c r="AI3458" s="133"/>
      <c r="AJ3458" s="133"/>
      <c r="AK3458" s="133"/>
      <c r="AL3458" s="133"/>
      <c r="AM3458" s="133"/>
      <c r="AN3458" s="133"/>
      <c r="AO3458" s="133"/>
      <c r="AP3458" s="133"/>
      <c r="AQ3458" s="133"/>
      <c r="AR3458" s="133"/>
      <c r="AS3458" s="153">
        <v>0</v>
      </c>
      <c r="AT3458" s="153">
        <v>0</v>
      </c>
      <c r="AU3458" s="153">
        <v>0</v>
      </c>
      <c r="AV3458" s="135"/>
      <c r="AW3458" s="135"/>
      <c r="AX3458" s="135"/>
      <c r="AY3458" s="135"/>
      <c r="AZ3458" s="135"/>
      <c r="BA3458" s="135"/>
      <c r="BB3458" s="135"/>
      <c r="BC3458" s="135"/>
      <c r="BD3458" s="135"/>
      <c r="BE3458" s="135"/>
      <c r="BF3458" s="135"/>
      <c r="BG3458" s="135"/>
      <c r="BH3458" s="135"/>
      <c r="BI3458" s="2"/>
      <c r="BJ3458" s="136"/>
      <c r="BK3458" s="2"/>
      <c r="BL3458" s="136"/>
      <c r="BM3458" s="136"/>
      <c r="BN3458" s="2"/>
      <c r="BO3458" s="2"/>
      <c r="BP3458" s="136"/>
      <c r="BQ3458" s="137"/>
    </row>
    <row r="3459" spans="1:69" ht="12.75" customHeight="1" x14ac:dyDescent="0.2">
      <c r="A3459" s="2">
        <v>4948</v>
      </c>
      <c r="B3459" s="2"/>
      <c r="C3459" s="2"/>
      <c r="D3459" s="2"/>
      <c r="E3459" s="2"/>
      <c r="F3459" s="132">
        <v>0</v>
      </c>
      <c r="G3459" s="132"/>
      <c r="H3459" s="132">
        <f t="shared" si="388"/>
        <v>0</v>
      </c>
      <c r="I3459" s="132"/>
      <c r="J3459" s="132">
        <f t="shared" si="386"/>
        <v>0</v>
      </c>
      <c r="K3459" s="132">
        <f t="shared" si="389"/>
        <v>0</v>
      </c>
      <c r="L3459" s="132">
        <f t="shared" si="383"/>
        <v>0</v>
      </c>
      <c r="M3459" s="133"/>
      <c r="N3459" s="133">
        <f t="shared" si="387"/>
        <v>0</v>
      </c>
      <c r="O3459" s="134"/>
      <c r="P3459" s="133"/>
      <c r="Q3459" s="2"/>
      <c r="R3459" s="156">
        <f t="shared" si="384"/>
        <v>0</v>
      </c>
      <c r="S3459" s="156">
        <f t="shared" si="385"/>
        <v>0</v>
      </c>
      <c r="T3459" s="133"/>
      <c r="U3459" s="133"/>
      <c r="V3459" s="133"/>
      <c r="W3459" s="133"/>
      <c r="X3459" s="133"/>
      <c r="Y3459" s="133"/>
      <c r="Z3459" s="133"/>
      <c r="AA3459" s="133"/>
      <c r="AB3459" s="133"/>
      <c r="AC3459" s="133"/>
      <c r="AD3459" s="133"/>
      <c r="AE3459" s="133"/>
      <c r="AF3459" s="133"/>
      <c r="AG3459" s="133"/>
      <c r="AH3459" s="133"/>
      <c r="AI3459" s="133"/>
      <c r="AJ3459" s="133"/>
      <c r="AK3459" s="133"/>
      <c r="AL3459" s="133"/>
      <c r="AM3459" s="133"/>
      <c r="AN3459" s="133"/>
      <c r="AO3459" s="133"/>
      <c r="AP3459" s="133"/>
      <c r="AQ3459" s="133"/>
      <c r="AR3459" s="133"/>
      <c r="AS3459" s="153">
        <v>0</v>
      </c>
      <c r="AT3459" s="153">
        <v>0</v>
      </c>
      <c r="AU3459" s="153">
        <v>0</v>
      </c>
      <c r="AV3459" s="135"/>
      <c r="AW3459" s="135"/>
      <c r="AX3459" s="135"/>
      <c r="AY3459" s="135"/>
      <c r="AZ3459" s="135"/>
      <c r="BA3459" s="135"/>
      <c r="BB3459" s="135"/>
      <c r="BC3459" s="135"/>
      <c r="BD3459" s="135"/>
      <c r="BE3459" s="135"/>
      <c r="BF3459" s="135"/>
      <c r="BG3459" s="135"/>
      <c r="BH3459" s="135"/>
      <c r="BI3459" s="2"/>
      <c r="BJ3459" s="136"/>
      <c r="BK3459" s="2"/>
      <c r="BL3459" s="136"/>
      <c r="BM3459" s="136"/>
      <c r="BN3459" s="2"/>
      <c r="BO3459" s="2"/>
      <c r="BP3459" s="136"/>
      <c r="BQ3459" s="137"/>
    </row>
    <row r="3460" spans="1:69" ht="12.75" customHeight="1" x14ac:dyDescent="0.2">
      <c r="A3460" s="2">
        <v>4949</v>
      </c>
      <c r="B3460" s="2"/>
      <c r="C3460" s="2"/>
      <c r="D3460" s="2"/>
      <c r="E3460" s="2"/>
      <c r="F3460" s="132">
        <v>0</v>
      </c>
      <c r="G3460" s="132"/>
      <c r="H3460" s="132">
        <f t="shared" si="388"/>
        <v>0</v>
      </c>
      <c r="I3460" s="132"/>
      <c r="J3460" s="132">
        <f t="shared" si="386"/>
        <v>0</v>
      </c>
      <c r="K3460" s="132">
        <f t="shared" si="389"/>
        <v>0</v>
      </c>
      <c r="L3460" s="132">
        <f t="shared" si="383"/>
        <v>0</v>
      </c>
      <c r="M3460" s="133"/>
      <c r="N3460" s="133">
        <f t="shared" si="387"/>
        <v>0</v>
      </c>
      <c r="O3460" s="134"/>
      <c r="P3460" s="133"/>
      <c r="Q3460" s="2"/>
      <c r="R3460" s="156">
        <f t="shared" si="384"/>
        <v>0</v>
      </c>
      <c r="S3460" s="156">
        <f t="shared" si="385"/>
        <v>0</v>
      </c>
      <c r="T3460" s="133"/>
      <c r="U3460" s="133"/>
      <c r="V3460" s="133"/>
      <c r="W3460" s="133"/>
      <c r="X3460" s="133"/>
      <c r="Y3460" s="133"/>
      <c r="Z3460" s="133"/>
      <c r="AA3460" s="133"/>
      <c r="AB3460" s="133"/>
      <c r="AC3460" s="133"/>
      <c r="AD3460" s="133"/>
      <c r="AE3460" s="133"/>
      <c r="AF3460" s="133"/>
      <c r="AG3460" s="133"/>
      <c r="AH3460" s="133"/>
      <c r="AI3460" s="133"/>
      <c r="AJ3460" s="133"/>
      <c r="AK3460" s="133"/>
      <c r="AL3460" s="133"/>
      <c r="AM3460" s="133"/>
      <c r="AN3460" s="133"/>
      <c r="AO3460" s="133"/>
      <c r="AP3460" s="133"/>
      <c r="AQ3460" s="133"/>
      <c r="AR3460" s="133"/>
      <c r="AS3460" s="153">
        <v>0</v>
      </c>
      <c r="AT3460" s="153">
        <v>0</v>
      </c>
      <c r="AU3460" s="153">
        <v>0</v>
      </c>
      <c r="AV3460" s="135"/>
      <c r="AW3460" s="135"/>
      <c r="AX3460" s="135"/>
      <c r="AY3460" s="135"/>
      <c r="AZ3460" s="135"/>
      <c r="BA3460" s="135"/>
      <c r="BB3460" s="135"/>
      <c r="BC3460" s="135"/>
      <c r="BD3460" s="135"/>
      <c r="BE3460" s="135"/>
      <c r="BF3460" s="135"/>
      <c r="BG3460" s="135"/>
      <c r="BH3460" s="135"/>
      <c r="BI3460" s="2"/>
      <c r="BJ3460" s="136"/>
      <c r="BK3460" s="2"/>
      <c r="BL3460" s="136"/>
      <c r="BM3460" s="136"/>
      <c r="BN3460" s="2"/>
      <c r="BO3460" s="2"/>
      <c r="BP3460" s="136"/>
      <c r="BQ3460" s="137"/>
    </row>
    <row r="3461" spans="1:69" ht="12.75" customHeight="1" x14ac:dyDescent="0.2">
      <c r="A3461" s="2">
        <v>4950</v>
      </c>
      <c r="B3461" s="2"/>
      <c r="C3461" s="2"/>
      <c r="D3461" s="2"/>
      <c r="E3461" s="2"/>
      <c r="F3461" s="132">
        <v>0</v>
      </c>
      <c r="G3461" s="132"/>
      <c r="H3461" s="132">
        <f t="shared" si="388"/>
        <v>0</v>
      </c>
      <c r="I3461" s="132"/>
      <c r="J3461" s="132">
        <f t="shared" si="386"/>
        <v>0</v>
      </c>
      <c r="K3461" s="132">
        <f t="shared" si="389"/>
        <v>0</v>
      </c>
      <c r="L3461" s="132">
        <f t="shared" si="383"/>
        <v>0</v>
      </c>
      <c r="M3461" s="133"/>
      <c r="N3461" s="133">
        <f t="shared" si="387"/>
        <v>0</v>
      </c>
      <c r="O3461" s="134"/>
      <c r="P3461" s="133"/>
      <c r="Q3461" s="2"/>
      <c r="R3461" s="156">
        <f t="shared" si="384"/>
        <v>0</v>
      </c>
      <c r="S3461" s="156">
        <f t="shared" si="385"/>
        <v>0</v>
      </c>
      <c r="T3461" s="133"/>
      <c r="U3461" s="133"/>
      <c r="V3461" s="133"/>
      <c r="W3461" s="133"/>
      <c r="X3461" s="133"/>
      <c r="Y3461" s="133"/>
      <c r="Z3461" s="133"/>
      <c r="AA3461" s="133"/>
      <c r="AB3461" s="133"/>
      <c r="AC3461" s="133"/>
      <c r="AD3461" s="133"/>
      <c r="AE3461" s="133"/>
      <c r="AF3461" s="133"/>
      <c r="AG3461" s="133"/>
      <c r="AH3461" s="133"/>
      <c r="AI3461" s="133"/>
      <c r="AJ3461" s="133"/>
      <c r="AK3461" s="133"/>
      <c r="AL3461" s="133"/>
      <c r="AM3461" s="133"/>
      <c r="AN3461" s="133"/>
      <c r="AO3461" s="133"/>
      <c r="AP3461" s="133"/>
      <c r="AQ3461" s="133"/>
      <c r="AR3461" s="133"/>
      <c r="AS3461" s="153">
        <v>0</v>
      </c>
      <c r="AT3461" s="153">
        <v>0</v>
      </c>
      <c r="AU3461" s="153">
        <v>0</v>
      </c>
      <c r="AV3461" s="135"/>
      <c r="AW3461" s="135"/>
      <c r="AX3461" s="135"/>
      <c r="AY3461" s="135"/>
      <c r="AZ3461" s="135"/>
      <c r="BA3461" s="135"/>
      <c r="BB3461" s="135"/>
      <c r="BC3461" s="135"/>
      <c r="BD3461" s="135"/>
      <c r="BE3461" s="135"/>
      <c r="BF3461" s="135"/>
      <c r="BG3461" s="135"/>
      <c r="BH3461" s="135"/>
      <c r="BI3461" s="2"/>
      <c r="BJ3461" s="136"/>
      <c r="BK3461" s="2"/>
      <c r="BL3461" s="136"/>
      <c r="BM3461" s="136"/>
      <c r="BN3461" s="2"/>
      <c r="BO3461" s="2"/>
      <c r="BP3461" s="136"/>
      <c r="BQ3461" s="137"/>
    </row>
    <row r="3462" spans="1:69" ht="12.75" customHeight="1" x14ac:dyDescent="0.2">
      <c r="A3462" s="2">
        <v>4951</v>
      </c>
      <c r="B3462" s="2"/>
      <c r="C3462" s="2"/>
      <c r="D3462" s="2"/>
      <c r="E3462" s="2"/>
      <c r="F3462" s="132">
        <v>0</v>
      </c>
      <c r="G3462" s="132"/>
      <c r="H3462" s="132">
        <f t="shared" si="388"/>
        <v>0</v>
      </c>
      <c r="I3462" s="132"/>
      <c r="J3462" s="132">
        <f t="shared" si="386"/>
        <v>0</v>
      </c>
      <c r="K3462" s="132">
        <f t="shared" si="389"/>
        <v>0</v>
      </c>
      <c r="L3462" s="132">
        <f t="shared" si="383"/>
        <v>0</v>
      </c>
      <c r="M3462" s="133"/>
      <c r="N3462" s="133">
        <f t="shared" si="387"/>
        <v>0</v>
      </c>
      <c r="O3462" s="134"/>
      <c r="P3462" s="133"/>
      <c r="Q3462" s="2"/>
      <c r="R3462" s="156">
        <f t="shared" si="384"/>
        <v>0</v>
      </c>
      <c r="S3462" s="156">
        <f t="shared" si="385"/>
        <v>0</v>
      </c>
      <c r="T3462" s="133"/>
      <c r="U3462" s="133"/>
      <c r="V3462" s="133"/>
      <c r="W3462" s="133"/>
      <c r="X3462" s="133"/>
      <c r="Y3462" s="133"/>
      <c r="Z3462" s="133"/>
      <c r="AA3462" s="133"/>
      <c r="AB3462" s="133"/>
      <c r="AC3462" s="133"/>
      <c r="AD3462" s="133"/>
      <c r="AE3462" s="133"/>
      <c r="AF3462" s="133"/>
      <c r="AG3462" s="133"/>
      <c r="AH3462" s="133"/>
      <c r="AI3462" s="133"/>
      <c r="AJ3462" s="133"/>
      <c r="AK3462" s="133"/>
      <c r="AL3462" s="133"/>
      <c r="AM3462" s="133"/>
      <c r="AN3462" s="133"/>
      <c r="AO3462" s="133"/>
      <c r="AP3462" s="133"/>
      <c r="AQ3462" s="133"/>
      <c r="AR3462" s="133"/>
      <c r="AS3462" s="153">
        <v>0</v>
      </c>
      <c r="AT3462" s="153">
        <v>0</v>
      </c>
      <c r="AU3462" s="153">
        <v>0</v>
      </c>
      <c r="AV3462" s="135"/>
      <c r="AW3462" s="135"/>
      <c r="AX3462" s="135"/>
      <c r="AY3462" s="135"/>
      <c r="AZ3462" s="135"/>
      <c r="BA3462" s="135"/>
      <c r="BB3462" s="135"/>
      <c r="BC3462" s="135"/>
      <c r="BD3462" s="135"/>
      <c r="BE3462" s="135"/>
      <c r="BF3462" s="135"/>
      <c r="BG3462" s="135"/>
      <c r="BH3462" s="135"/>
      <c r="BI3462" s="2"/>
      <c r="BJ3462" s="136"/>
      <c r="BK3462" s="2"/>
      <c r="BL3462" s="136"/>
      <c r="BM3462" s="136"/>
      <c r="BN3462" s="2"/>
      <c r="BO3462" s="2"/>
      <c r="BP3462" s="136"/>
      <c r="BQ3462" s="137"/>
    </row>
    <row r="3463" spans="1:69" ht="12.75" customHeight="1" x14ac:dyDescent="0.2">
      <c r="A3463" s="2">
        <v>4952</v>
      </c>
      <c r="B3463" s="2"/>
      <c r="C3463" s="2"/>
      <c r="D3463" s="2"/>
      <c r="E3463" s="2"/>
      <c r="F3463" s="132">
        <v>0</v>
      </c>
      <c r="G3463" s="132"/>
      <c r="H3463" s="132">
        <f t="shared" si="388"/>
        <v>0</v>
      </c>
      <c r="I3463" s="132"/>
      <c r="J3463" s="132">
        <f t="shared" si="386"/>
        <v>0</v>
      </c>
      <c r="K3463" s="132">
        <f t="shared" si="389"/>
        <v>0</v>
      </c>
      <c r="L3463" s="132">
        <f t="shared" si="383"/>
        <v>0</v>
      </c>
      <c r="M3463" s="133"/>
      <c r="N3463" s="133">
        <f t="shared" si="387"/>
        <v>0</v>
      </c>
      <c r="O3463" s="134"/>
      <c r="P3463" s="133"/>
      <c r="Q3463" s="2"/>
      <c r="R3463" s="156">
        <f t="shared" si="384"/>
        <v>0</v>
      </c>
      <c r="S3463" s="156">
        <f t="shared" si="385"/>
        <v>0</v>
      </c>
      <c r="T3463" s="133"/>
      <c r="U3463" s="133"/>
      <c r="V3463" s="133"/>
      <c r="W3463" s="133"/>
      <c r="X3463" s="133"/>
      <c r="Y3463" s="133"/>
      <c r="Z3463" s="133"/>
      <c r="AA3463" s="133"/>
      <c r="AB3463" s="133"/>
      <c r="AC3463" s="133"/>
      <c r="AD3463" s="133"/>
      <c r="AE3463" s="133"/>
      <c r="AF3463" s="133"/>
      <c r="AG3463" s="133"/>
      <c r="AH3463" s="133"/>
      <c r="AI3463" s="133"/>
      <c r="AJ3463" s="133"/>
      <c r="AK3463" s="133"/>
      <c r="AL3463" s="133"/>
      <c r="AM3463" s="133"/>
      <c r="AN3463" s="133"/>
      <c r="AO3463" s="133"/>
      <c r="AP3463" s="133"/>
      <c r="AQ3463" s="133"/>
      <c r="AR3463" s="133"/>
      <c r="AS3463" s="153">
        <v>0</v>
      </c>
      <c r="AT3463" s="153">
        <v>0</v>
      </c>
      <c r="AU3463" s="153">
        <v>0</v>
      </c>
      <c r="AV3463" s="135"/>
      <c r="AW3463" s="135"/>
      <c r="AX3463" s="135"/>
      <c r="AY3463" s="135"/>
      <c r="AZ3463" s="135"/>
      <c r="BA3463" s="135"/>
      <c r="BB3463" s="135"/>
      <c r="BC3463" s="135"/>
      <c r="BD3463" s="135"/>
      <c r="BE3463" s="135"/>
      <c r="BF3463" s="135"/>
      <c r="BG3463" s="135"/>
      <c r="BH3463" s="135"/>
      <c r="BI3463" s="2"/>
      <c r="BJ3463" s="136"/>
      <c r="BK3463" s="2"/>
      <c r="BL3463" s="136"/>
      <c r="BM3463" s="136"/>
      <c r="BN3463" s="2"/>
      <c r="BO3463" s="2"/>
      <c r="BP3463" s="136"/>
      <c r="BQ3463" s="137"/>
    </row>
    <row r="3464" spans="1:69" ht="12.75" customHeight="1" x14ac:dyDescent="0.2">
      <c r="A3464" s="2">
        <v>4953</v>
      </c>
      <c r="B3464" s="2"/>
      <c r="C3464" s="2"/>
      <c r="D3464" s="2"/>
      <c r="E3464" s="2"/>
      <c r="F3464" s="132">
        <v>0</v>
      </c>
      <c r="G3464" s="132"/>
      <c r="H3464" s="132">
        <f t="shared" si="388"/>
        <v>0</v>
      </c>
      <c r="I3464" s="132"/>
      <c r="J3464" s="132">
        <f t="shared" si="386"/>
        <v>0</v>
      </c>
      <c r="K3464" s="132">
        <f t="shared" si="389"/>
        <v>0</v>
      </c>
      <c r="L3464" s="132">
        <f t="shared" si="383"/>
        <v>0</v>
      </c>
      <c r="M3464" s="133"/>
      <c r="N3464" s="133">
        <f t="shared" si="387"/>
        <v>0</v>
      </c>
      <c r="O3464" s="134"/>
      <c r="P3464" s="133"/>
      <c r="Q3464" s="2"/>
      <c r="R3464" s="156">
        <f t="shared" si="384"/>
        <v>0</v>
      </c>
      <c r="S3464" s="156">
        <f t="shared" si="385"/>
        <v>0</v>
      </c>
      <c r="T3464" s="133"/>
      <c r="U3464" s="133"/>
      <c r="V3464" s="133"/>
      <c r="W3464" s="133"/>
      <c r="X3464" s="133"/>
      <c r="Y3464" s="133"/>
      <c r="Z3464" s="133"/>
      <c r="AA3464" s="133"/>
      <c r="AB3464" s="133"/>
      <c r="AC3464" s="133"/>
      <c r="AD3464" s="133"/>
      <c r="AE3464" s="133"/>
      <c r="AF3464" s="133"/>
      <c r="AG3464" s="133"/>
      <c r="AH3464" s="133"/>
      <c r="AI3464" s="133"/>
      <c r="AJ3464" s="133"/>
      <c r="AK3464" s="133"/>
      <c r="AL3464" s="133"/>
      <c r="AM3464" s="133"/>
      <c r="AN3464" s="133"/>
      <c r="AO3464" s="133"/>
      <c r="AP3464" s="133"/>
      <c r="AQ3464" s="133"/>
      <c r="AR3464" s="133"/>
      <c r="AS3464" s="153">
        <v>0</v>
      </c>
      <c r="AT3464" s="153">
        <v>0</v>
      </c>
      <c r="AU3464" s="153">
        <v>0</v>
      </c>
      <c r="AV3464" s="135"/>
      <c r="AW3464" s="135"/>
      <c r="AX3464" s="135"/>
      <c r="AY3464" s="135"/>
      <c r="AZ3464" s="135"/>
      <c r="BA3464" s="135"/>
      <c r="BB3464" s="135"/>
      <c r="BC3464" s="135"/>
      <c r="BD3464" s="135"/>
      <c r="BE3464" s="135"/>
      <c r="BF3464" s="135"/>
      <c r="BG3464" s="135"/>
      <c r="BH3464" s="135"/>
      <c r="BI3464" s="2"/>
      <c r="BJ3464" s="136"/>
      <c r="BK3464" s="2"/>
      <c r="BL3464" s="136"/>
      <c r="BM3464" s="136"/>
      <c r="BN3464" s="2"/>
      <c r="BO3464" s="2"/>
      <c r="BP3464" s="136"/>
      <c r="BQ3464" s="137"/>
    </row>
    <row r="3465" spans="1:69" ht="12.75" customHeight="1" x14ac:dyDescent="0.2">
      <c r="A3465" s="2">
        <v>4954</v>
      </c>
      <c r="B3465" s="2"/>
      <c r="C3465" s="2"/>
      <c r="D3465" s="2"/>
      <c r="E3465" s="2"/>
      <c r="F3465" s="132">
        <v>0</v>
      </c>
      <c r="G3465" s="132"/>
      <c r="H3465" s="132">
        <f t="shared" si="388"/>
        <v>0</v>
      </c>
      <c r="I3465" s="132"/>
      <c r="J3465" s="132">
        <f t="shared" si="386"/>
        <v>0</v>
      </c>
      <c r="K3465" s="132">
        <f t="shared" si="389"/>
        <v>0</v>
      </c>
      <c r="L3465" s="132">
        <f t="shared" si="383"/>
        <v>0</v>
      </c>
      <c r="M3465" s="133"/>
      <c r="N3465" s="133">
        <f t="shared" si="387"/>
        <v>0</v>
      </c>
      <c r="O3465" s="134"/>
      <c r="P3465" s="133"/>
      <c r="Q3465" s="2"/>
      <c r="R3465" s="156">
        <f t="shared" si="384"/>
        <v>0</v>
      </c>
      <c r="S3465" s="156">
        <f t="shared" si="385"/>
        <v>0</v>
      </c>
      <c r="T3465" s="133"/>
      <c r="U3465" s="133"/>
      <c r="V3465" s="133"/>
      <c r="W3465" s="133"/>
      <c r="X3465" s="133"/>
      <c r="Y3465" s="133"/>
      <c r="Z3465" s="133"/>
      <c r="AA3465" s="133"/>
      <c r="AB3465" s="133"/>
      <c r="AC3465" s="133"/>
      <c r="AD3465" s="133"/>
      <c r="AE3465" s="133"/>
      <c r="AF3465" s="133"/>
      <c r="AG3465" s="133"/>
      <c r="AH3465" s="133"/>
      <c r="AI3465" s="133"/>
      <c r="AJ3465" s="133"/>
      <c r="AK3465" s="133"/>
      <c r="AL3465" s="133"/>
      <c r="AM3465" s="133"/>
      <c r="AN3465" s="133"/>
      <c r="AO3465" s="133"/>
      <c r="AP3465" s="133"/>
      <c r="AQ3465" s="133"/>
      <c r="AR3465" s="133"/>
      <c r="AS3465" s="153">
        <v>0</v>
      </c>
      <c r="AT3465" s="153">
        <v>0</v>
      </c>
      <c r="AU3465" s="153">
        <v>0</v>
      </c>
      <c r="AV3465" s="135"/>
      <c r="AW3465" s="135"/>
      <c r="AX3465" s="135"/>
      <c r="AY3465" s="135"/>
      <c r="AZ3465" s="135"/>
      <c r="BA3465" s="135"/>
      <c r="BB3465" s="135"/>
      <c r="BC3465" s="135"/>
      <c r="BD3465" s="135"/>
      <c r="BE3465" s="135"/>
      <c r="BF3465" s="135"/>
      <c r="BG3465" s="135"/>
      <c r="BH3465" s="135"/>
      <c r="BI3465" s="2"/>
      <c r="BJ3465" s="136"/>
      <c r="BK3465" s="2"/>
      <c r="BL3465" s="136"/>
      <c r="BM3465" s="136"/>
      <c r="BN3465" s="2"/>
      <c r="BO3465" s="2"/>
      <c r="BP3465" s="136"/>
      <c r="BQ3465" s="137"/>
    </row>
    <row r="3466" spans="1:69" ht="12.75" customHeight="1" x14ac:dyDescent="0.2">
      <c r="A3466" s="2">
        <v>4955</v>
      </c>
      <c r="B3466" s="2"/>
      <c r="C3466" s="2"/>
      <c r="D3466" s="2"/>
      <c r="E3466" s="2"/>
      <c r="F3466" s="132">
        <v>0</v>
      </c>
      <c r="G3466" s="132"/>
      <c r="H3466" s="132">
        <f t="shared" si="388"/>
        <v>0</v>
      </c>
      <c r="I3466" s="132"/>
      <c r="J3466" s="132">
        <f t="shared" si="386"/>
        <v>0</v>
      </c>
      <c r="K3466" s="132">
        <f t="shared" si="389"/>
        <v>0</v>
      </c>
      <c r="L3466" s="132">
        <f t="shared" si="383"/>
        <v>0</v>
      </c>
      <c r="M3466" s="133"/>
      <c r="N3466" s="133">
        <f t="shared" si="387"/>
        <v>0</v>
      </c>
      <c r="O3466" s="134"/>
      <c r="P3466" s="133"/>
      <c r="Q3466" s="2"/>
      <c r="R3466" s="156">
        <f t="shared" si="384"/>
        <v>0</v>
      </c>
      <c r="S3466" s="156">
        <f t="shared" si="385"/>
        <v>0</v>
      </c>
      <c r="T3466" s="133"/>
      <c r="U3466" s="133"/>
      <c r="V3466" s="133"/>
      <c r="W3466" s="133"/>
      <c r="X3466" s="133"/>
      <c r="Y3466" s="133"/>
      <c r="Z3466" s="133"/>
      <c r="AA3466" s="133"/>
      <c r="AB3466" s="133"/>
      <c r="AC3466" s="133"/>
      <c r="AD3466" s="133"/>
      <c r="AE3466" s="133"/>
      <c r="AF3466" s="133"/>
      <c r="AG3466" s="133"/>
      <c r="AH3466" s="133"/>
      <c r="AI3466" s="133"/>
      <c r="AJ3466" s="133"/>
      <c r="AK3466" s="133"/>
      <c r="AL3466" s="133"/>
      <c r="AM3466" s="133"/>
      <c r="AN3466" s="133"/>
      <c r="AO3466" s="133"/>
      <c r="AP3466" s="133"/>
      <c r="AQ3466" s="133"/>
      <c r="AR3466" s="133"/>
      <c r="AS3466" s="153">
        <v>0</v>
      </c>
      <c r="AT3466" s="153">
        <v>0</v>
      </c>
      <c r="AU3466" s="153">
        <v>0</v>
      </c>
      <c r="AV3466" s="135"/>
      <c r="AW3466" s="135"/>
      <c r="AX3466" s="135"/>
      <c r="AY3466" s="135"/>
      <c r="AZ3466" s="135"/>
      <c r="BA3466" s="135"/>
      <c r="BB3466" s="135"/>
      <c r="BC3466" s="135"/>
      <c r="BD3466" s="135"/>
      <c r="BE3466" s="135"/>
      <c r="BF3466" s="135"/>
      <c r="BG3466" s="135"/>
      <c r="BH3466" s="135"/>
      <c r="BI3466" s="2"/>
      <c r="BJ3466" s="136"/>
      <c r="BK3466" s="2"/>
      <c r="BL3466" s="136"/>
      <c r="BM3466" s="136"/>
      <c r="BN3466" s="2"/>
      <c r="BO3466" s="2"/>
      <c r="BP3466" s="136"/>
      <c r="BQ3466" s="137"/>
    </row>
    <row r="3467" spans="1:69" ht="12.75" customHeight="1" x14ac:dyDescent="0.2">
      <c r="A3467" s="2">
        <v>4956</v>
      </c>
      <c r="B3467" s="2"/>
      <c r="C3467" s="2"/>
      <c r="D3467" s="2"/>
      <c r="E3467" s="2"/>
      <c r="F3467" s="132">
        <v>0</v>
      </c>
      <c r="G3467" s="132"/>
      <c r="H3467" s="132">
        <f t="shared" si="388"/>
        <v>0</v>
      </c>
      <c r="I3467" s="132"/>
      <c r="J3467" s="132">
        <f t="shared" si="386"/>
        <v>0</v>
      </c>
      <c r="K3467" s="132">
        <f t="shared" si="389"/>
        <v>0</v>
      </c>
      <c r="L3467" s="132">
        <f t="shared" ref="L3467:L3497" si="390">H3467-J3467</f>
        <v>0</v>
      </c>
      <c r="M3467" s="133"/>
      <c r="N3467" s="133">
        <f t="shared" si="387"/>
        <v>0</v>
      </c>
      <c r="O3467" s="134"/>
      <c r="P3467" s="133"/>
      <c r="Q3467" s="2"/>
      <c r="R3467" s="156">
        <f t="shared" ref="R3467:R3497" si="391">T3467+V3467+X3467+Z3467+AB3467+AD3467+AF3467+AH3467+AJ3467+AL3467+AN3467+AP3467</f>
        <v>0</v>
      </c>
      <c r="S3467" s="156">
        <f t="shared" ref="S3467:S3497" si="392">U3467+W3467+Y3467+AA3467+AC3467+AE3467+AG3467+AI3467+AK3467+AM3467+AO3467+AQ3467</f>
        <v>0</v>
      </c>
      <c r="T3467" s="133"/>
      <c r="U3467" s="133"/>
      <c r="V3467" s="133"/>
      <c r="W3467" s="133"/>
      <c r="X3467" s="133"/>
      <c r="Y3467" s="133"/>
      <c r="Z3467" s="133"/>
      <c r="AA3467" s="133"/>
      <c r="AB3467" s="133"/>
      <c r="AC3467" s="133"/>
      <c r="AD3467" s="133"/>
      <c r="AE3467" s="133"/>
      <c r="AF3467" s="133"/>
      <c r="AG3467" s="133"/>
      <c r="AH3467" s="133"/>
      <c r="AI3467" s="133"/>
      <c r="AJ3467" s="133"/>
      <c r="AK3467" s="133"/>
      <c r="AL3467" s="133"/>
      <c r="AM3467" s="133"/>
      <c r="AN3467" s="133"/>
      <c r="AO3467" s="133"/>
      <c r="AP3467" s="133"/>
      <c r="AQ3467" s="133"/>
      <c r="AR3467" s="133"/>
      <c r="AS3467" s="153">
        <v>0</v>
      </c>
      <c r="AT3467" s="153">
        <v>0</v>
      </c>
      <c r="AU3467" s="153">
        <v>0</v>
      </c>
      <c r="AV3467" s="135"/>
      <c r="AW3467" s="135"/>
      <c r="AX3467" s="135"/>
      <c r="AY3467" s="135"/>
      <c r="AZ3467" s="135"/>
      <c r="BA3467" s="135"/>
      <c r="BB3467" s="135"/>
      <c r="BC3467" s="135"/>
      <c r="BD3467" s="135"/>
      <c r="BE3467" s="135"/>
      <c r="BF3467" s="135"/>
      <c r="BG3467" s="135"/>
      <c r="BH3467" s="135"/>
      <c r="BI3467" s="2"/>
      <c r="BJ3467" s="136"/>
      <c r="BK3467" s="2"/>
      <c r="BL3467" s="136"/>
      <c r="BM3467" s="136"/>
      <c r="BN3467" s="2"/>
      <c r="BO3467" s="2"/>
      <c r="BP3467" s="136"/>
      <c r="BQ3467" s="137"/>
    </row>
    <row r="3468" spans="1:69" ht="12.75" customHeight="1" x14ac:dyDescent="0.2">
      <c r="A3468" s="2">
        <v>4957</v>
      </c>
      <c r="B3468" s="2"/>
      <c r="C3468" s="2"/>
      <c r="D3468" s="2"/>
      <c r="E3468" s="2"/>
      <c r="F3468" s="132">
        <v>0</v>
      </c>
      <c r="G3468" s="132"/>
      <c r="H3468" s="132">
        <f t="shared" si="388"/>
        <v>0</v>
      </c>
      <c r="I3468" s="132"/>
      <c r="J3468" s="132">
        <f t="shared" si="386"/>
        <v>0</v>
      </c>
      <c r="K3468" s="132">
        <f t="shared" si="389"/>
        <v>0</v>
      </c>
      <c r="L3468" s="132">
        <f t="shared" si="390"/>
        <v>0</v>
      </c>
      <c r="M3468" s="133"/>
      <c r="N3468" s="133">
        <f t="shared" si="387"/>
        <v>0</v>
      </c>
      <c r="O3468" s="134"/>
      <c r="P3468" s="133"/>
      <c r="Q3468" s="2"/>
      <c r="R3468" s="156">
        <f t="shared" si="391"/>
        <v>0</v>
      </c>
      <c r="S3468" s="156">
        <f t="shared" si="392"/>
        <v>0</v>
      </c>
      <c r="T3468" s="133"/>
      <c r="U3468" s="133"/>
      <c r="V3468" s="133"/>
      <c r="W3468" s="133"/>
      <c r="X3468" s="133"/>
      <c r="Y3468" s="133"/>
      <c r="Z3468" s="133"/>
      <c r="AA3468" s="133"/>
      <c r="AB3468" s="133"/>
      <c r="AC3468" s="133"/>
      <c r="AD3468" s="133"/>
      <c r="AE3468" s="133"/>
      <c r="AF3468" s="133"/>
      <c r="AG3468" s="133"/>
      <c r="AH3468" s="133"/>
      <c r="AI3468" s="133"/>
      <c r="AJ3468" s="133"/>
      <c r="AK3468" s="133"/>
      <c r="AL3468" s="133"/>
      <c r="AM3468" s="133"/>
      <c r="AN3468" s="133"/>
      <c r="AO3468" s="133"/>
      <c r="AP3468" s="133"/>
      <c r="AQ3468" s="133"/>
      <c r="AR3468" s="133"/>
      <c r="AS3468" s="153">
        <v>0</v>
      </c>
      <c r="AT3468" s="153">
        <v>0</v>
      </c>
      <c r="AU3468" s="153">
        <v>0</v>
      </c>
      <c r="AV3468" s="135"/>
      <c r="AW3468" s="135"/>
      <c r="AX3468" s="135"/>
      <c r="AY3468" s="135"/>
      <c r="AZ3468" s="135"/>
      <c r="BA3468" s="135"/>
      <c r="BB3468" s="135"/>
      <c r="BC3468" s="135"/>
      <c r="BD3468" s="135"/>
      <c r="BE3468" s="135"/>
      <c r="BF3468" s="135"/>
      <c r="BG3468" s="135"/>
      <c r="BH3468" s="135"/>
      <c r="BI3468" s="2"/>
      <c r="BJ3468" s="136"/>
      <c r="BK3468" s="2"/>
      <c r="BL3468" s="136"/>
      <c r="BM3468" s="136"/>
      <c r="BN3468" s="2"/>
      <c r="BO3468" s="2"/>
      <c r="BP3468" s="136"/>
      <c r="BQ3468" s="137"/>
    </row>
    <row r="3469" spans="1:69" ht="12.75" customHeight="1" x14ac:dyDescent="0.2">
      <c r="A3469" s="2">
        <v>4958</v>
      </c>
      <c r="B3469" s="2"/>
      <c r="C3469" s="2"/>
      <c r="D3469" s="2"/>
      <c r="E3469" s="2"/>
      <c r="F3469" s="132">
        <v>0</v>
      </c>
      <c r="G3469" s="132"/>
      <c r="H3469" s="132">
        <f t="shared" si="388"/>
        <v>0</v>
      </c>
      <c r="I3469" s="132"/>
      <c r="J3469" s="132">
        <f t="shared" si="386"/>
        <v>0</v>
      </c>
      <c r="K3469" s="132">
        <f t="shared" si="389"/>
        <v>0</v>
      </c>
      <c r="L3469" s="132">
        <f t="shared" si="390"/>
        <v>0</v>
      </c>
      <c r="M3469" s="133"/>
      <c r="N3469" s="133">
        <f t="shared" si="387"/>
        <v>0</v>
      </c>
      <c r="O3469" s="134"/>
      <c r="P3469" s="133"/>
      <c r="Q3469" s="2"/>
      <c r="R3469" s="156">
        <f t="shared" si="391"/>
        <v>0</v>
      </c>
      <c r="S3469" s="156">
        <f t="shared" si="392"/>
        <v>0</v>
      </c>
      <c r="T3469" s="133"/>
      <c r="U3469" s="133"/>
      <c r="V3469" s="133"/>
      <c r="W3469" s="133"/>
      <c r="X3469" s="133"/>
      <c r="Y3469" s="133"/>
      <c r="Z3469" s="133"/>
      <c r="AA3469" s="133"/>
      <c r="AB3469" s="133"/>
      <c r="AC3469" s="133"/>
      <c r="AD3469" s="133"/>
      <c r="AE3469" s="133"/>
      <c r="AF3469" s="133"/>
      <c r="AG3469" s="133"/>
      <c r="AH3469" s="133"/>
      <c r="AI3469" s="133"/>
      <c r="AJ3469" s="133"/>
      <c r="AK3469" s="133"/>
      <c r="AL3469" s="133"/>
      <c r="AM3469" s="133"/>
      <c r="AN3469" s="133"/>
      <c r="AO3469" s="133"/>
      <c r="AP3469" s="133"/>
      <c r="AQ3469" s="133"/>
      <c r="AR3469" s="133"/>
      <c r="AS3469" s="153">
        <v>0</v>
      </c>
      <c r="AT3469" s="153">
        <v>0</v>
      </c>
      <c r="AU3469" s="153">
        <v>0</v>
      </c>
      <c r="AV3469" s="135"/>
      <c r="AW3469" s="135"/>
      <c r="AX3469" s="135"/>
      <c r="AY3469" s="135"/>
      <c r="AZ3469" s="135"/>
      <c r="BA3469" s="135"/>
      <c r="BB3469" s="135"/>
      <c r="BC3469" s="135"/>
      <c r="BD3469" s="135"/>
      <c r="BE3469" s="135"/>
      <c r="BF3469" s="135"/>
      <c r="BG3469" s="135"/>
      <c r="BH3469" s="135"/>
      <c r="BI3469" s="2"/>
      <c r="BJ3469" s="136"/>
      <c r="BK3469" s="2"/>
      <c r="BL3469" s="136"/>
      <c r="BM3469" s="136"/>
      <c r="BN3469" s="2"/>
      <c r="BO3469" s="2"/>
      <c r="BP3469" s="136"/>
      <c r="BQ3469" s="137"/>
    </row>
    <row r="3470" spans="1:69" ht="12.75" customHeight="1" x14ac:dyDescent="0.2">
      <c r="A3470" s="2">
        <v>4959</v>
      </c>
      <c r="B3470" s="2"/>
      <c r="C3470" s="2"/>
      <c r="D3470" s="2"/>
      <c r="E3470" s="2"/>
      <c r="F3470" s="132">
        <v>0</v>
      </c>
      <c r="G3470" s="132"/>
      <c r="H3470" s="132">
        <f t="shared" si="388"/>
        <v>0</v>
      </c>
      <c r="I3470" s="132"/>
      <c r="J3470" s="132">
        <f t="shared" si="386"/>
        <v>0</v>
      </c>
      <c r="K3470" s="132">
        <f t="shared" si="389"/>
        <v>0</v>
      </c>
      <c r="L3470" s="132">
        <f t="shared" si="390"/>
        <v>0</v>
      </c>
      <c r="M3470" s="133"/>
      <c r="N3470" s="133">
        <f t="shared" si="387"/>
        <v>0</v>
      </c>
      <c r="O3470" s="134"/>
      <c r="P3470" s="133"/>
      <c r="Q3470" s="2"/>
      <c r="R3470" s="156">
        <f t="shared" si="391"/>
        <v>0</v>
      </c>
      <c r="S3470" s="156">
        <f t="shared" si="392"/>
        <v>0</v>
      </c>
      <c r="T3470" s="133"/>
      <c r="U3470" s="133"/>
      <c r="V3470" s="133"/>
      <c r="W3470" s="133"/>
      <c r="X3470" s="133"/>
      <c r="Y3470" s="133"/>
      <c r="Z3470" s="133"/>
      <c r="AA3470" s="133"/>
      <c r="AB3470" s="133"/>
      <c r="AC3470" s="133"/>
      <c r="AD3470" s="133"/>
      <c r="AE3470" s="133"/>
      <c r="AF3470" s="133"/>
      <c r="AG3470" s="133"/>
      <c r="AH3470" s="133"/>
      <c r="AI3470" s="133"/>
      <c r="AJ3470" s="133"/>
      <c r="AK3470" s="133"/>
      <c r="AL3470" s="133"/>
      <c r="AM3470" s="133"/>
      <c r="AN3470" s="133"/>
      <c r="AO3470" s="133"/>
      <c r="AP3470" s="133"/>
      <c r="AQ3470" s="133"/>
      <c r="AR3470" s="133"/>
      <c r="AS3470" s="153">
        <v>0</v>
      </c>
      <c r="AT3470" s="153">
        <v>0</v>
      </c>
      <c r="AU3470" s="153">
        <v>0</v>
      </c>
      <c r="AV3470" s="135"/>
      <c r="AW3470" s="135"/>
      <c r="AX3470" s="135"/>
      <c r="AY3470" s="135"/>
      <c r="AZ3470" s="135"/>
      <c r="BA3470" s="135"/>
      <c r="BB3470" s="135"/>
      <c r="BC3470" s="135"/>
      <c r="BD3470" s="135"/>
      <c r="BE3470" s="135"/>
      <c r="BF3470" s="135"/>
      <c r="BG3470" s="135"/>
      <c r="BH3470" s="135"/>
      <c r="BI3470" s="2"/>
      <c r="BJ3470" s="136"/>
      <c r="BK3470" s="2"/>
      <c r="BL3470" s="136"/>
      <c r="BM3470" s="136"/>
      <c r="BN3470" s="2"/>
      <c r="BO3470" s="2"/>
      <c r="BP3470" s="136"/>
      <c r="BQ3470" s="137"/>
    </row>
    <row r="3471" spans="1:69" ht="12.75" customHeight="1" x14ac:dyDescent="0.2">
      <c r="A3471" s="2">
        <v>4960</v>
      </c>
      <c r="B3471" s="2"/>
      <c r="C3471" s="2"/>
      <c r="D3471" s="2"/>
      <c r="E3471" s="2"/>
      <c r="F3471" s="132">
        <v>0</v>
      </c>
      <c r="G3471" s="132"/>
      <c r="H3471" s="132">
        <f t="shared" si="388"/>
        <v>0</v>
      </c>
      <c r="I3471" s="132"/>
      <c r="J3471" s="132">
        <f t="shared" si="386"/>
        <v>0</v>
      </c>
      <c r="K3471" s="132">
        <f t="shared" si="389"/>
        <v>0</v>
      </c>
      <c r="L3471" s="132">
        <f t="shared" si="390"/>
        <v>0</v>
      </c>
      <c r="M3471" s="133"/>
      <c r="N3471" s="133">
        <f t="shared" si="387"/>
        <v>0</v>
      </c>
      <c r="O3471" s="134"/>
      <c r="P3471" s="133"/>
      <c r="Q3471" s="2"/>
      <c r="R3471" s="156">
        <f t="shared" si="391"/>
        <v>0</v>
      </c>
      <c r="S3471" s="156">
        <f t="shared" si="392"/>
        <v>0</v>
      </c>
      <c r="T3471" s="133"/>
      <c r="U3471" s="133"/>
      <c r="V3471" s="133"/>
      <c r="W3471" s="133"/>
      <c r="X3471" s="133"/>
      <c r="Y3471" s="133"/>
      <c r="Z3471" s="133"/>
      <c r="AA3471" s="133"/>
      <c r="AB3471" s="133"/>
      <c r="AC3471" s="133"/>
      <c r="AD3471" s="133"/>
      <c r="AE3471" s="133"/>
      <c r="AF3471" s="133"/>
      <c r="AG3471" s="133"/>
      <c r="AH3471" s="133"/>
      <c r="AI3471" s="133"/>
      <c r="AJ3471" s="133"/>
      <c r="AK3471" s="133"/>
      <c r="AL3471" s="133"/>
      <c r="AM3471" s="133"/>
      <c r="AN3471" s="133"/>
      <c r="AO3471" s="133"/>
      <c r="AP3471" s="133"/>
      <c r="AQ3471" s="133"/>
      <c r="AR3471" s="133"/>
      <c r="AS3471" s="153">
        <v>0</v>
      </c>
      <c r="AT3471" s="153">
        <v>0</v>
      </c>
      <c r="AU3471" s="153">
        <v>0</v>
      </c>
      <c r="AV3471" s="135"/>
      <c r="AW3471" s="135"/>
      <c r="AX3471" s="135"/>
      <c r="AY3471" s="135"/>
      <c r="AZ3471" s="135"/>
      <c r="BA3471" s="135"/>
      <c r="BB3471" s="135"/>
      <c r="BC3471" s="135"/>
      <c r="BD3471" s="135"/>
      <c r="BE3471" s="135"/>
      <c r="BF3471" s="135"/>
      <c r="BG3471" s="135"/>
      <c r="BH3471" s="135"/>
      <c r="BI3471" s="2"/>
      <c r="BJ3471" s="136"/>
      <c r="BK3471" s="2"/>
      <c r="BL3471" s="136"/>
      <c r="BM3471" s="136"/>
      <c r="BN3471" s="2"/>
      <c r="BO3471" s="2"/>
      <c r="BP3471" s="136"/>
      <c r="BQ3471" s="137"/>
    </row>
    <row r="3472" spans="1:69" ht="12.75" customHeight="1" x14ac:dyDescent="0.2">
      <c r="A3472" s="2">
        <v>4961</v>
      </c>
      <c r="B3472" s="2"/>
      <c r="C3472" s="2"/>
      <c r="D3472" s="2"/>
      <c r="E3472" s="2"/>
      <c r="F3472" s="132">
        <v>0</v>
      </c>
      <c r="G3472" s="132"/>
      <c r="H3472" s="132">
        <f t="shared" si="388"/>
        <v>0</v>
      </c>
      <c r="I3472" s="132"/>
      <c r="J3472" s="132">
        <f t="shared" si="386"/>
        <v>0</v>
      </c>
      <c r="K3472" s="132">
        <f t="shared" si="389"/>
        <v>0</v>
      </c>
      <c r="L3472" s="132">
        <f t="shared" si="390"/>
        <v>0</v>
      </c>
      <c r="M3472" s="133"/>
      <c r="N3472" s="133">
        <f t="shared" si="387"/>
        <v>0</v>
      </c>
      <c r="O3472" s="134"/>
      <c r="P3472" s="133"/>
      <c r="Q3472" s="2"/>
      <c r="R3472" s="156">
        <f t="shared" si="391"/>
        <v>0</v>
      </c>
      <c r="S3472" s="156">
        <f t="shared" si="392"/>
        <v>0</v>
      </c>
      <c r="T3472" s="133"/>
      <c r="U3472" s="133"/>
      <c r="V3472" s="133"/>
      <c r="W3472" s="133"/>
      <c r="X3472" s="133"/>
      <c r="Y3472" s="133"/>
      <c r="Z3472" s="133"/>
      <c r="AA3472" s="133"/>
      <c r="AB3472" s="133"/>
      <c r="AC3472" s="133"/>
      <c r="AD3472" s="133"/>
      <c r="AE3472" s="133"/>
      <c r="AF3472" s="133"/>
      <c r="AG3472" s="133"/>
      <c r="AH3472" s="133"/>
      <c r="AI3472" s="133"/>
      <c r="AJ3472" s="133"/>
      <c r="AK3472" s="133"/>
      <c r="AL3472" s="133"/>
      <c r="AM3472" s="133"/>
      <c r="AN3472" s="133"/>
      <c r="AO3472" s="133"/>
      <c r="AP3472" s="133"/>
      <c r="AQ3472" s="133"/>
      <c r="AR3472" s="133"/>
      <c r="AS3472" s="153">
        <v>0</v>
      </c>
      <c r="AT3472" s="153">
        <v>0</v>
      </c>
      <c r="AU3472" s="153">
        <v>0</v>
      </c>
      <c r="AV3472" s="135"/>
      <c r="AW3472" s="135"/>
      <c r="AX3472" s="135"/>
      <c r="AY3472" s="135"/>
      <c r="AZ3472" s="135"/>
      <c r="BA3472" s="135"/>
      <c r="BB3472" s="135"/>
      <c r="BC3472" s="135"/>
      <c r="BD3472" s="135"/>
      <c r="BE3472" s="135"/>
      <c r="BF3472" s="135"/>
      <c r="BG3472" s="135"/>
      <c r="BH3472" s="135"/>
      <c r="BI3472" s="2"/>
      <c r="BJ3472" s="136"/>
      <c r="BK3472" s="2"/>
      <c r="BL3472" s="136"/>
      <c r="BM3472" s="136"/>
      <c r="BN3472" s="2"/>
      <c r="BO3472" s="2"/>
      <c r="BP3472" s="136"/>
      <c r="BQ3472" s="137"/>
    </row>
    <row r="3473" spans="1:69" ht="12.75" customHeight="1" x14ac:dyDescent="0.2">
      <c r="A3473" s="2">
        <v>4962</v>
      </c>
      <c r="B3473" s="2"/>
      <c r="C3473" s="2"/>
      <c r="D3473" s="2"/>
      <c r="E3473" s="2"/>
      <c r="F3473" s="132">
        <v>0</v>
      </c>
      <c r="G3473" s="132"/>
      <c r="H3473" s="132">
        <f t="shared" si="388"/>
        <v>0</v>
      </c>
      <c r="I3473" s="132"/>
      <c r="J3473" s="132">
        <f t="shared" si="386"/>
        <v>0</v>
      </c>
      <c r="K3473" s="132">
        <f t="shared" si="389"/>
        <v>0</v>
      </c>
      <c r="L3473" s="132">
        <f t="shared" si="390"/>
        <v>0</v>
      </c>
      <c r="M3473" s="133"/>
      <c r="N3473" s="133">
        <f t="shared" si="387"/>
        <v>0</v>
      </c>
      <c r="O3473" s="134"/>
      <c r="P3473" s="133"/>
      <c r="Q3473" s="2"/>
      <c r="R3473" s="156">
        <f t="shared" si="391"/>
        <v>0</v>
      </c>
      <c r="S3473" s="156">
        <f t="shared" si="392"/>
        <v>0</v>
      </c>
      <c r="T3473" s="133"/>
      <c r="U3473" s="133"/>
      <c r="V3473" s="133"/>
      <c r="W3473" s="133"/>
      <c r="X3473" s="133"/>
      <c r="Y3473" s="133"/>
      <c r="Z3473" s="133"/>
      <c r="AA3473" s="133"/>
      <c r="AB3473" s="133"/>
      <c r="AC3473" s="133"/>
      <c r="AD3473" s="133"/>
      <c r="AE3473" s="133"/>
      <c r="AF3473" s="133"/>
      <c r="AG3473" s="133"/>
      <c r="AH3473" s="133"/>
      <c r="AI3473" s="133"/>
      <c r="AJ3473" s="133"/>
      <c r="AK3473" s="133"/>
      <c r="AL3473" s="133"/>
      <c r="AM3473" s="133"/>
      <c r="AN3473" s="133"/>
      <c r="AO3473" s="133"/>
      <c r="AP3473" s="133"/>
      <c r="AQ3473" s="133"/>
      <c r="AR3473" s="133"/>
      <c r="AS3473" s="153">
        <v>0</v>
      </c>
      <c r="AT3473" s="153">
        <v>0</v>
      </c>
      <c r="AU3473" s="153">
        <v>0</v>
      </c>
      <c r="AV3473" s="135"/>
      <c r="AW3473" s="135"/>
      <c r="AX3473" s="135"/>
      <c r="AY3473" s="135"/>
      <c r="AZ3473" s="135"/>
      <c r="BA3473" s="135"/>
      <c r="BB3473" s="135"/>
      <c r="BC3473" s="135"/>
      <c r="BD3473" s="135"/>
      <c r="BE3473" s="135"/>
      <c r="BF3473" s="135"/>
      <c r="BG3473" s="135"/>
      <c r="BH3473" s="135"/>
      <c r="BI3473" s="2"/>
      <c r="BJ3473" s="136"/>
      <c r="BK3473" s="2"/>
      <c r="BL3473" s="136"/>
      <c r="BM3473" s="136"/>
      <c r="BN3473" s="2"/>
      <c r="BO3473" s="2"/>
      <c r="BP3473" s="136"/>
      <c r="BQ3473" s="137"/>
    </row>
    <row r="3474" spans="1:69" ht="12.75" customHeight="1" x14ac:dyDescent="0.2">
      <c r="A3474" s="2">
        <v>4963</v>
      </c>
      <c r="B3474" s="2"/>
      <c r="C3474" s="2"/>
      <c r="D3474" s="2"/>
      <c r="E3474" s="2"/>
      <c r="F3474" s="132">
        <v>0</v>
      </c>
      <c r="G3474" s="132"/>
      <c r="H3474" s="132">
        <f t="shared" si="388"/>
        <v>0</v>
      </c>
      <c r="I3474" s="132"/>
      <c r="J3474" s="132">
        <f t="shared" si="386"/>
        <v>0</v>
      </c>
      <c r="K3474" s="132">
        <f t="shared" si="389"/>
        <v>0</v>
      </c>
      <c r="L3474" s="132">
        <f t="shared" si="390"/>
        <v>0</v>
      </c>
      <c r="M3474" s="133"/>
      <c r="N3474" s="133">
        <f t="shared" si="387"/>
        <v>0</v>
      </c>
      <c r="O3474" s="134"/>
      <c r="P3474" s="133"/>
      <c r="Q3474" s="2"/>
      <c r="R3474" s="156">
        <f t="shared" si="391"/>
        <v>0</v>
      </c>
      <c r="S3474" s="156">
        <f t="shared" si="392"/>
        <v>0</v>
      </c>
      <c r="T3474" s="133"/>
      <c r="U3474" s="133"/>
      <c r="V3474" s="133"/>
      <c r="W3474" s="133"/>
      <c r="X3474" s="133"/>
      <c r="Y3474" s="133"/>
      <c r="Z3474" s="133"/>
      <c r="AA3474" s="133"/>
      <c r="AB3474" s="133"/>
      <c r="AC3474" s="133"/>
      <c r="AD3474" s="133"/>
      <c r="AE3474" s="133"/>
      <c r="AF3474" s="133"/>
      <c r="AG3474" s="133"/>
      <c r="AH3474" s="133"/>
      <c r="AI3474" s="133"/>
      <c r="AJ3474" s="133"/>
      <c r="AK3474" s="133"/>
      <c r="AL3474" s="133"/>
      <c r="AM3474" s="133"/>
      <c r="AN3474" s="133"/>
      <c r="AO3474" s="133"/>
      <c r="AP3474" s="133"/>
      <c r="AQ3474" s="133"/>
      <c r="AR3474" s="133"/>
      <c r="AS3474" s="153">
        <v>0</v>
      </c>
      <c r="AT3474" s="153">
        <v>0</v>
      </c>
      <c r="AU3474" s="153">
        <v>0</v>
      </c>
      <c r="AV3474" s="135"/>
      <c r="AW3474" s="135"/>
      <c r="AX3474" s="135"/>
      <c r="AY3474" s="135"/>
      <c r="AZ3474" s="135"/>
      <c r="BA3474" s="135"/>
      <c r="BB3474" s="135"/>
      <c r="BC3474" s="135"/>
      <c r="BD3474" s="135"/>
      <c r="BE3474" s="135"/>
      <c r="BF3474" s="135"/>
      <c r="BG3474" s="135"/>
      <c r="BH3474" s="135"/>
      <c r="BI3474" s="2"/>
      <c r="BJ3474" s="136"/>
      <c r="BK3474" s="2"/>
      <c r="BL3474" s="136"/>
      <c r="BM3474" s="136"/>
      <c r="BN3474" s="2"/>
      <c r="BO3474" s="2"/>
      <c r="BP3474" s="136"/>
      <c r="BQ3474" s="137"/>
    </row>
    <row r="3475" spans="1:69" ht="12.75" customHeight="1" x14ac:dyDescent="0.2">
      <c r="A3475" s="2">
        <v>4964</v>
      </c>
      <c r="B3475" s="2"/>
      <c r="C3475" s="2"/>
      <c r="D3475" s="2"/>
      <c r="E3475" s="2"/>
      <c r="F3475" s="132">
        <v>0</v>
      </c>
      <c r="G3475" s="132"/>
      <c r="H3475" s="132">
        <f t="shared" si="388"/>
        <v>0</v>
      </c>
      <c r="I3475" s="132"/>
      <c r="J3475" s="132">
        <f t="shared" si="386"/>
        <v>0</v>
      </c>
      <c r="K3475" s="132">
        <f t="shared" si="389"/>
        <v>0</v>
      </c>
      <c r="L3475" s="132">
        <f t="shared" si="390"/>
        <v>0</v>
      </c>
      <c r="M3475" s="133"/>
      <c r="N3475" s="133">
        <f t="shared" si="387"/>
        <v>0</v>
      </c>
      <c r="O3475" s="134"/>
      <c r="P3475" s="133"/>
      <c r="Q3475" s="2"/>
      <c r="R3475" s="156">
        <f t="shared" si="391"/>
        <v>0</v>
      </c>
      <c r="S3475" s="156">
        <f t="shared" si="392"/>
        <v>0</v>
      </c>
      <c r="T3475" s="133"/>
      <c r="U3475" s="133"/>
      <c r="V3475" s="133"/>
      <c r="W3475" s="133"/>
      <c r="X3475" s="133"/>
      <c r="Y3475" s="133"/>
      <c r="Z3475" s="133"/>
      <c r="AA3475" s="133"/>
      <c r="AB3475" s="133"/>
      <c r="AC3475" s="133"/>
      <c r="AD3475" s="133"/>
      <c r="AE3475" s="133"/>
      <c r="AF3475" s="133"/>
      <c r="AG3475" s="133"/>
      <c r="AH3475" s="133"/>
      <c r="AI3475" s="133"/>
      <c r="AJ3475" s="133"/>
      <c r="AK3475" s="133"/>
      <c r="AL3475" s="133"/>
      <c r="AM3475" s="133"/>
      <c r="AN3475" s="133"/>
      <c r="AO3475" s="133"/>
      <c r="AP3475" s="133"/>
      <c r="AQ3475" s="133"/>
      <c r="AR3475" s="133"/>
      <c r="AS3475" s="153">
        <v>0</v>
      </c>
      <c r="AT3475" s="153">
        <v>0</v>
      </c>
      <c r="AU3475" s="153">
        <v>0</v>
      </c>
      <c r="AV3475" s="135"/>
      <c r="AW3475" s="135"/>
      <c r="AX3475" s="135"/>
      <c r="AY3475" s="135"/>
      <c r="AZ3475" s="135"/>
      <c r="BA3475" s="135"/>
      <c r="BB3475" s="135"/>
      <c r="BC3475" s="135"/>
      <c r="BD3475" s="135"/>
      <c r="BE3475" s="135"/>
      <c r="BF3475" s="135"/>
      <c r="BG3475" s="135"/>
      <c r="BH3475" s="135"/>
      <c r="BI3475" s="2"/>
      <c r="BJ3475" s="136"/>
      <c r="BK3475" s="2"/>
      <c r="BL3475" s="136"/>
      <c r="BM3475" s="136"/>
      <c r="BN3475" s="2"/>
      <c r="BO3475" s="2"/>
      <c r="BP3475" s="136"/>
      <c r="BQ3475" s="137"/>
    </row>
    <row r="3476" spans="1:69" ht="12.75" customHeight="1" x14ac:dyDescent="0.2">
      <c r="A3476" s="2">
        <v>4965</v>
      </c>
      <c r="B3476" s="2"/>
      <c r="C3476" s="2"/>
      <c r="D3476" s="2"/>
      <c r="E3476" s="2"/>
      <c r="F3476" s="132">
        <v>0</v>
      </c>
      <c r="G3476" s="132"/>
      <c r="H3476" s="132">
        <f t="shared" si="388"/>
        <v>0</v>
      </c>
      <c r="I3476" s="132"/>
      <c r="J3476" s="132">
        <f t="shared" si="386"/>
        <v>0</v>
      </c>
      <c r="K3476" s="132">
        <f t="shared" si="389"/>
        <v>0</v>
      </c>
      <c r="L3476" s="132">
        <f t="shared" si="390"/>
        <v>0</v>
      </c>
      <c r="M3476" s="133"/>
      <c r="N3476" s="133">
        <f t="shared" si="387"/>
        <v>0</v>
      </c>
      <c r="O3476" s="134"/>
      <c r="P3476" s="133"/>
      <c r="Q3476" s="2"/>
      <c r="R3476" s="156">
        <f t="shared" si="391"/>
        <v>0</v>
      </c>
      <c r="S3476" s="156">
        <f t="shared" si="392"/>
        <v>0</v>
      </c>
      <c r="T3476" s="133"/>
      <c r="U3476" s="133"/>
      <c r="V3476" s="133"/>
      <c r="W3476" s="133"/>
      <c r="X3476" s="133"/>
      <c r="Y3476" s="133"/>
      <c r="Z3476" s="133"/>
      <c r="AA3476" s="133"/>
      <c r="AB3476" s="133"/>
      <c r="AC3476" s="133"/>
      <c r="AD3476" s="133"/>
      <c r="AE3476" s="133"/>
      <c r="AF3476" s="133"/>
      <c r="AG3476" s="133"/>
      <c r="AH3476" s="133"/>
      <c r="AI3476" s="133"/>
      <c r="AJ3476" s="133"/>
      <c r="AK3476" s="133"/>
      <c r="AL3476" s="133"/>
      <c r="AM3476" s="133"/>
      <c r="AN3476" s="133"/>
      <c r="AO3476" s="133"/>
      <c r="AP3476" s="133"/>
      <c r="AQ3476" s="133"/>
      <c r="AR3476" s="133"/>
      <c r="AS3476" s="153">
        <v>0</v>
      </c>
      <c r="AT3476" s="153">
        <v>0</v>
      </c>
      <c r="AU3476" s="153">
        <v>0</v>
      </c>
      <c r="AV3476" s="135"/>
      <c r="AW3476" s="135"/>
      <c r="AX3476" s="135"/>
      <c r="AY3476" s="135"/>
      <c r="AZ3476" s="135"/>
      <c r="BA3476" s="135"/>
      <c r="BB3476" s="135"/>
      <c r="BC3476" s="135"/>
      <c r="BD3476" s="135"/>
      <c r="BE3476" s="135"/>
      <c r="BF3476" s="135"/>
      <c r="BG3476" s="135"/>
      <c r="BH3476" s="135"/>
      <c r="BI3476" s="2"/>
      <c r="BJ3476" s="136"/>
      <c r="BK3476" s="2"/>
      <c r="BL3476" s="136"/>
      <c r="BM3476" s="136"/>
      <c r="BN3476" s="2"/>
      <c r="BO3476" s="2"/>
      <c r="BP3476" s="136"/>
      <c r="BQ3476" s="137"/>
    </row>
    <row r="3477" spans="1:69" ht="12.75" customHeight="1" x14ac:dyDescent="0.2">
      <c r="A3477" s="2">
        <v>4966</v>
      </c>
      <c r="B3477" s="2"/>
      <c r="C3477" s="2"/>
      <c r="D3477" s="2"/>
      <c r="E3477" s="2"/>
      <c r="F3477" s="132">
        <v>0</v>
      </c>
      <c r="G3477" s="132"/>
      <c r="H3477" s="132">
        <f t="shared" si="388"/>
        <v>0</v>
      </c>
      <c r="I3477" s="132"/>
      <c r="J3477" s="132">
        <f t="shared" si="386"/>
        <v>0</v>
      </c>
      <c r="K3477" s="132">
        <f t="shared" si="389"/>
        <v>0</v>
      </c>
      <c r="L3477" s="132">
        <f t="shared" si="390"/>
        <v>0</v>
      </c>
      <c r="M3477" s="133"/>
      <c r="N3477" s="133">
        <f t="shared" si="387"/>
        <v>0</v>
      </c>
      <c r="O3477" s="134"/>
      <c r="P3477" s="133"/>
      <c r="Q3477" s="2"/>
      <c r="R3477" s="156">
        <f t="shared" si="391"/>
        <v>0</v>
      </c>
      <c r="S3477" s="156">
        <f t="shared" si="392"/>
        <v>0</v>
      </c>
      <c r="T3477" s="133"/>
      <c r="U3477" s="133"/>
      <c r="V3477" s="133"/>
      <c r="W3477" s="133"/>
      <c r="X3477" s="133"/>
      <c r="Y3477" s="133"/>
      <c r="Z3477" s="133"/>
      <c r="AA3477" s="133"/>
      <c r="AB3477" s="133"/>
      <c r="AC3477" s="133"/>
      <c r="AD3477" s="133"/>
      <c r="AE3477" s="133"/>
      <c r="AF3477" s="133"/>
      <c r="AG3477" s="133"/>
      <c r="AH3477" s="133"/>
      <c r="AI3477" s="133"/>
      <c r="AJ3477" s="133"/>
      <c r="AK3477" s="133"/>
      <c r="AL3477" s="133"/>
      <c r="AM3477" s="133"/>
      <c r="AN3477" s="133"/>
      <c r="AO3477" s="133"/>
      <c r="AP3477" s="133"/>
      <c r="AQ3477" s="133"/>
      <c r="AR3477" s="133"/>
      <c r="AS3477" s="153">
        <v>0</v>
      </c>
      <c r="AT3477" s="153">
        <v>0</v>
      </c>
      <c r="AU3477" s="153">
        <v>0</v>
      </c>
      <c r="AV3477" s="135"/>
      <c r="AW3477" s="135"/>
      <c r="AX3477" s="135"/>
      <c r="AY3477" s="135"/>
      <c r="AZ3477" s="135"/>
      <c r="BA3477" s="135"/>
      <c r="BB3477" s="135"/>
      <c r="BC3477" s="135"/>
      <c r="BD3477" s="135"/>
      <c r="BE3477" s="135"/>
      <c r="BF3477" s="135"/>
      <c r="BG3477" s="135"/>
      <c r="BH3477" s="135"/>
      <c r="BI3477" s="2"/>
      <c r="BJ3477" s="136"/>
      <c r="BK3477" s="2"/>
      <c r="BL3477" s="136"/>
      <c r="BM3477" s="136"/>
      <c r="BN3477" s="2"/>
      <c r="BO3477" s="2"/>
      <c r="BP3477" s="136"/>
      <c r="BQ3477" s="137"/>
    </row>
    <row r="3478" spans="1:69" ht="12.75" customHeight="1" x14ac:dyDescent="0.2">
      <c r="A3478" s="2">
        <v>4967</v>
      </c>
      <c r="B3478" s="2"/>
      <c r="C3478" s="2"/>
      <c r="D3478" s="2"/>
      <c r="E3478" s="2"/>
      <c r="F3478" s="132">
        <v>0</v>
      </c>
      <c r="G3478" s="132"/>
      <c r="H3478" s="132">
        <f t="shared" si="388"/>
        <v>0</v>
      </c>
      <c r="I3478" s="132"/>
      <c r="J3478" s="132">
        <f t="shared" si="386"/>
        <v>0</v>
      </c>
      <c r="K3478" s="132">
        <f t="shared" si="389"/>
        <v>0</v>
      </c>
      <c r="L3478" s="132">
        <f t="shared" si="390"/>
        <v>0</v>
      </c>
      <c r="M3478" s="133"/>
      <c r="N3478" s="133">
        <f t="shared" si="387"/>
        <v>0</v>
      </c>
      <c r="O3478" s="134"/>
      <c r="P3478" s="133"/>
      <c r="Q3478" s="2"/>
      <c r="R3478" s="156">
        <f t="shared" si="391"/>
        <v>0</v>
      </c>
      <c r="S3478" s="156">
        <f t="shared" si="392"/>
        <v>0</v>
      </c>
      <c r="T3478" s="133"/>
      <c r="U3478" s="133"/>
      <c r="V3478" s="133"/>
      <c r="W3478" s="133"/>
      <c r="X3478" s="133"/>
      <c r="Y3478" s="133"/>
      <c r="Z3478" s="133"/>
      <c r="AA3478" s="133"/>
      <c r="AB3478" s="133"/>
      <c r="AC3478" s="133"/>
      <c r="AD3478" s="133"/>
      <c r="AE3478" s="133"/>
      <c r="AF3478" s="133"/>
      <c r="AG3478" s="133"/>
      <c r="AH3478" s="133"/>
      <c r="AI3478" s="133"/>
      <c r="AJ3478" s="133"/>
      <c r="AK3478" s="133"/>
      <c r="AL3478" s="133"/>
      <c r="AM3478" s="133"/>
      <c r="AN3478" s="133"/>
      <c r="AO3478" s="133"/>
      <c r="AP3478" s="133"/>
      <c r="AQ3478" s="133"/>
      <c r="AR3478" s="133"/>
      <c r="AS3478" s="153">
        <v>0</v>
      </c>
      <c r="AT3478" s="153">
        <v>0</v>
      </c>
      <c r="AU3478" s="153">
        <v>0</v>
      </c>
      <c r="AV3478" s="135"/>
      <c r="AW3478" s="135"/>
      <c r="AX3478" s="135"/>
      <c r="AY3478" s="135"/>
      <c r="AZ3478" s="135"/>
      <c r="BA3478" s="135"/>
      <c r="BB3478" s="135"/>
      <c r="BC3478" s="135"/>
      <c r="BD3478" s="135"/>
      <c r="BE3478" s="135"/>
      <c r="BF3478" s="135"/>
      <c r="BG3478" s="135"/>
      <c r="BH3478" s="135"/>
      <c r="BI3478" s="2"/>
      <c r="BJ3478" s="136"/>
      <c r="BK3478" s="2"/>
      <c r="BL3478" s="136"/>
      <c r="BM3478" s="136"/>
      <c r="BN3478" s="2"/>
      <c r="BO3478" s="2"/>
      <c r="BP3478" s="136"/>
      <c r="BQ3478" s="137"/>
    </row>
    <row r="3479" spans="1:69" ht="12.75" customHeight="1" x14ac:dyDescent="0.2">
      <c r="A3479" s="2">
        <v>4968</v>
      </c>
      <c r="B3479" s="2"/>
      <c r="C3479" s="2"/>
      <c r="D3479" s="2"/>
      <c r="E3479" s="2"/>
      <c r="F3479" s="132">
        <v>0</v>
      </c>
      <c r="G3479" s="132"/>
      <c r="H3479" s="132">
        <f t="shared" si="388"/>
        <v>0</v>
      </c>
      <c r="I3479" s="132"/>
      <c r="J3479" s="132">
        <f t="shared" si="386"/>
        <v>0</v>
      </c>
      <c r="K3479" s="132">
        <f t="shared" si="389"/>
        <v>0</v>
      </c>
      <c r="L3479" s="132">
        <f t="shared" si="390"/>
        <v>0</v>
      </c>
      <c r="M3479" s="133"/>
      <c r="N3479" s="133">
        <f t="shared" si="387"/>
        <v>0</v>
      </c>
      <c r="O3479" s="134"/>
      <c r="P3479" s="133"/>
      <c r="Q3479" s="2"/>
      <c r="R3479" s="156">
        <f t="shared" si="391"/>
        <v>0</v>
      </c>
      <c r="S3479" s="156">
        <f t="shared" si="392"/>
        <v>0</v>
      </c>
      <c r="T3479" s="133"/>
      <c r="U3479" s="133"/>
      <c r="V3479" s="133"/>
      <c r="W3479" s="133"/>
      <c r="X3479" s="133"/>
      <c r="Y3479" s="133"/>
      <c r="Z3479" s="133"/>
      <c r="AA3479" s="133"/>
      <c r="AB3479" s="133"/>
      <c r="AC3479" s="133"/>
      <c r="AD3479" s="133"/>
      <c r="AE3479" s="133"/>
      <c r="AF3479" s="133"/>
      <c r="AG3479" s="133"/>
      <c r="AH3479" s="133"/>
      <c r="AI3479" s="133"/>
      <c r="AJ3479" s="133"/>
      <c r="AK3479" s="133"/>
      <c r="AL3479" s="133"/>
      <c r="AM3479" s="133"/>
      <c r="AN3479" s="133"/>
      <c r="AO3479" s="133"/>
      <c r="AP3479" s="133"/>
      <c r="AQ3479" s="133"/>
      <c r="AR3479" s="133"/>
      <c r="AS3479" s="153">
        <v>0</v>
      </c>
      <c r="AT3479" s="153">
        <v>0</v>
      </c>
      <c r="AU3479" s="153">
        <v>0</v>
      </c>
      <c r="AV3479" s="135"/>
      <c r="AW3479" s="135"/>
      <c r="AX3479" s="135"/>
      <c r="AY3479" s="135"/>
      <c r="AZ3479" s="135"/>
      <c r="BA3479" s="135"/>
      <c r="BB3479" s="135"/>
      <c r="BC3479" s="135"/>
      <c r="BD3479" s="135"/>
      <c r="BE3479" s="135"/>
      <c r="BF3479" s="135"/>
      <c r="BG3479" s="135"/>
      <c r="BH3479" s="135"/>
      <c r="BI3479" s="2"/>
      <c r="BJ3479" s="136"/>
      <c r="BK3479" s="2"/>
      <c r="BL3479" s="136"/>
      <c r="BM3479" s="136"/>
      <c r="BN3479" s="2"/>
      <c r="BO3479" s="2"/>
      <c r="BP3479" s="136"/>
      <c r="BQ3479" s="137"/>
    </row>
    <row r="3480" spans="1:69" ht="12.75" customHeight="1" x14ac:dyDescent="0.2">
      <c r="A3480" s="2">
        <v>4969</v>
      </c>
      <c r="B3480" s="2"/>
      <c r="C3480" s="2"/>
      <c r="D3480" s="2"/>
      <c r="E3480" s="2"/>
      <c r="F3480" s="132">
        <v>0</v>
      </c>
      <c r="G3480" s="132"/>
      <c r="H3480" s="132">
        <f t="shared" si="388"/>
        <v>0</v>
      </c>
      <c r="I3480" s="132"/>
      <c r="J3480" s="132">
        <f t="shared" si="386"/>
        <v>0</v>
      </c>
      <c r="K3480" s="132">
        <f t="shared" si="389"/>
        <v>0</v>
      </c>
      <c r="L3480" s="132">
        <f t="shared" si="390"/>
        <v>0</v>
      </c>
      <c r="M3480" s="133"/>
      <c r="N3480" s="133">
        <f t="shared" si="387"/>
        <v>0</v>
      </c>
      <c r="O3480" s="134"/>
      <c r="P3480" s="133"/>
      <c r="Q3480" s="2"/>
      <c r="R3480" s="156">
        <f t="shared" si="391"/>
        <v>0</v>
      </c>
      <c r="S3480" s="156">
        <f t="shared" si="392"/>
        <v>0</v>
      </c>
      <c r="T3480" s="133"/>
      <c r="U3480" s="133"/>
      <c r="V3480" s="133"/>
      <c r="W3480" s="133"/>
      <c r="X3480" s="133"/>
      <c r="Y3480" s="133"/>
      <c r="Z3480" s="133"/>
      <c r="AA3480" s="133"/>
      <c r="AB3480" s="133"/>
      <c r="AC3480" s="133"/>
      <c r="AD3480" s="133"/>
      <c r="AE3480" s="133"/>
      <c r="AF3480" s="133"/>
      <c r="AG3480" s="133"/>
      <c r="AH3480" s="133"/>
      <c r="AI3480" s="133"/>
      <c r="AJ3480" s="133"/>
      <c r="AK3480" s="133"/>
      <c r="AL3480" s="133"/>
      <c r="AM3480" s="133"/>
      <c r="AN3480" s="133"/>
      <c r="AO3480" s="133"/>
      <c r="AP3480" s="133"/>
      <c r="AQ3480" s="133"/>
      <c r="AR3480" s="133"/>
      <c r="AS3480" s="153">
        <v>0</v>
      </c>
      <c r="AT3480" s="153">
        <v>0</v>
      </c>
      <c r="AU3480" s="153">
        <v>0</v>
      </c>
      <c r="AV3480" s="135"/>
      <c r="AW3480" s="135"/>
      <c r="AX3480" s="135"/>
      <c r="AY3480" s="135"/>
      <c r="AZ3480" s="135"/>
      <c r="BA3480" s="135"/>
      <c r="BB3480" s="135"/>
      <c r="BC3480" s="135"/>
      <c r="BD3480" s="135"/>
      <c r="BE3480" s="135"/>
      <c r="BF3480" s="135"/>
      <c r="BG3480" s="135"/>
      <c r="BH3480" s="135"/>
      <c r="BI3480" s="2"/>
      <c r="BJ3480" s="136"/>
      <c r="BK3480" s="2"/>
      <c r="BL3480" s="136"/>
      <c r="BM3480" s="136"/>
      <c r="BN3480" s="2"/>
      <c r="BO3480" s="2"/>
      <c r="BP3480" s="136"/>
      <c r="BQ3480" s="137"/>
    </row>
    <row r="3481" spans="1:69" ht="12.75" customHeight="1" x14ac:dyDescent="0.2">
      <c r="A3481" s="2">
        <v>4970</v>
      </c>
      <c r="B3481" s="2"/>
      <c r="C3481" s="2"/>
      <c r="D3481" s="2"/>
      <c r="E3481" s="2"/>
      <c r="F3481" s="132">
        <v>0</v>
      </c>
      <c r="G3481" s="132"/>
      <c r="H3481" s="132">
        <f t="shared" si="388"/>
        <v>0</v>
      </c>
      <c r="I3481" s="132"/>
      <c r="J3481" s="132">
        <f t="shared" si="386"/>
        <v>0</v>
      </c>
      <c r="K3481" s="132">
        <f t="shared" si="389"/>
        <v>0</v>
      </c>
      <c r="L3481" s="132">
        <f t="shared" si="390"/>
        <v>0</v>
      </c>
      <c r="M3481" s="133"/>
      <c r="N3481" s="133">
        <f t="shared" si="387"/>
        <v>0</v>
      </c>
      <c r="O3481" s="134"/>
      <c r="P3481" s="133"/>
      <c r="Q3481" s="2"/>
      <c r="R3481" s="156">
        <f t="shared" si="391"/>
        <v>0</v>
      </c>
      <c r="S3481" s="156">
        <f t="shared" si="392"/>
        <v>0</v>
      </c>
      <c r="T3481" s="133"/>
      <c r="U3481" s="133"/>
      <c r="V3481" s="133"/>
      <c r="W3481" s="133"/>
      <c r="X3481" s="133"/>
      <c r="Y3481" s="133"/>
      <c r="Z3481" s="133"/>
      <c r="AA3481" s="133"/>
      <c r="AB3481" s="133"/>
      <c r="AC3481" s="133"/>
      <c r="AD3481" s="133"/>
      <c r="AE3481" s="133"/>
      <c r="AF3481" s="133"/>
      <c r="AG3481" s="133"/>
      <c r="AH3481" s="133"/>
      <c r="AI3481" s="133"/>
      <c r="AJ3481" s="133"/>
      <c r="AK3481" s="133"/>
      <c r="AL3481" s="133"/>
      <c r="AM3481" s="133"/>
      <c r="AN3481" s="133"/>
      <c r="AO3481" s="133"/>
      <c r="AP3481" s="133"/>
      <c r="AQ3481" s="133"/>
      <c r="AR3481" s="133"/>
      <c r="AS3481" s="153">
        <v>0</v>
      </c>
      <c r="AT3481" s="153">
        <v>0</v>
      </c>
      <c r="AU3481" s="153">
        <v>0</v>
      </c>
      <c r="AV3481" s="135"/>
      <c r="AW3481" s="135"/>
      <c r="AX3481" s="135"/>
      <c r="AY3481" s="135"/>
      <c r="AZ3481" s="135"/>
      <c r="BA3481" s="135"/>
      <c r="BB3481" s="135"/>
      <c r="BC3481" s="135"/>
      <c r="BD3481" s="135"/>
      <c r="BE3481" s="135"/>
      <c r="BF3481" s="135"/>
      <c r="BG3481" s="135"/>
      <c r="BH3481" s="135"/>
      <c r="BI3481" s="2"/>
      <c r="BJ3481" s="136"/>
      <c r="BK3481" s="2"/>
      <c r="BL3481" s="136"/>
      <c r="BM3481" s="136"/>
      <c r="BN3481" s="2"/>
      <c r="BO3481" s="2"/>
      <c r="BP3481" s="136"/>
      <c r="BQ3481" s="137"/>
    </row>
    <row r="3482" spans="1:69" ht="12.75" customHeight="1" x14ac:dyDescent="0.2">
      <c r="A3482" s="2">
        <v>4971</v>
      </c>
      <c r="B3482" s="2"/>
      <c r="C3482" s="2"/>
      <c r="D3482" s="2"/>
      <c r="E3482" s="2"/>
      <c r="F3482" s="132">
        <v>0</v>
      </c>
      <c r="G3482" s="132"/>
      <c r="H3482" s="132">
        <f t="shared" si="388"/>
        <v>0</v>
      </c>
      <c r="I3482" s="132"/>
      <c r="J3482" s="132">
        <f t="shared" si="386"/>
        <v>0</v>
      </c>
      <c r="K3482" s="132">
        <f t="shared" si="389"/>
        <v>0</v>
      </c>
      <c r="L3482" s="132">
        <f t="shared" si="390"/>
        <v>0</v>
      </c>
      <c r="M3482" s="133"/>
      <c r="N3482" s="133">
        <f t="shared" si="387"/>
        <v>0</v>
      </c>
      <c r="O3482" s="134"/>
      <c r="P3482" s="133"/>
      <c r="Q3482" s="2"/>
      <c r="R3482" s="156">
        <f t="shared" si="391"/>
        <v>0</v>
      </c>
      <c r="S3482" s="156">
        <f t="shared" si="392"/>
        <v>0</v>
      </c>
      <c r="T3482" s="133"/>
      <c r="U3482" s="133"/>
      <c r="V3482" s="133"/>
      <c r="W3482" s="133"/>
      <c r="X3482" s="133"/>
      <c r="Y3482" s="133"/>
      <c r="Z3482" s="133"/>
      <c r="AA3482" s="133"/>
      <c r="AB3482" s="133"/>
      <c r="AC3482" s="133"/>
      <c r="AD3482" s="133"/>
      <c r="AE3482" s="133"/>
      <c r="AF3482" s="133"/>
      <c r="AG3482" s="133"/>
      <c r="AH3482" s="133"/>
      <c r="AI3482" s="133"/>
      <c r="AJ3482" s="133"/>
      <c r="AK3482" s="133"/>
      <c r="AL3482" s="133"/>
      <c r="AM3482" s="133"/>
      <c r="AN3482" s="133"/>
      <c r="AO3482" s="133"/>
      <c r="AP3482" s="133"/>
      <c r="AQ3482" s="133"/>
      <c r="AR3482" s="133"/>
      <c r="AS3482" s="153">
        <v>0</v>
      </c>
      <c r="AT3482" s="153">
        <v>0</v>
      </c>
      <c r="AU3482" s="153">
        <v>0</v>
      </c>
      <c r="AV3482" s="135"/>
      <c r="AW3482" s="135"/>
      <c r="AX3482" s="135"/>
      <c r="AY3482" s="135"/>
      <c r="AZ3482" s="135"/>
      <c r="BA3482" s="135"/>
      <c r="BB3482" s="135"/>
      <c r="BC3482" s="135"/>
      <c r="BD3482" s="135"/>
      <c r="BE3482" s="135"/>
      <c r="BF3482" s="135"/>
      <c r="BG3482" s="135"/>
      <c r="BH3482" s="135"/>
      <c r="BI3482" s="2"/>
      <c r="BJ3482" s="136"/>
      <c r="BK3482" s="2"/>
      <c r="BL3482" s="136"/>
      <c r="BM3482" s="136"/>
      <c r="BN3482" s="2"/>
      <c r="BO3482" s="2"/>
      <c r="BP3482" s="136"/>
      <c r="BQ3482" s="137"/>
    </row>
    <row r="3483" spans="1:69" ht="12.75" customHeight="1" x14ac:dyDescent="0.2">
      <c r="A3483" s="2">
        <v>4972</v>
      </c>
      <c r="B3483" s="2"/>
      <c r="C3483" s="2"/>
      <c r="D3483" s="2"/>
      <c r="E3483" s="2"/>
      <c r="F3483" s="132">
        <v>0</v>
      </c>
      <c r="G3483" s="132"/>
      <c r="H3483" s="132">
        <f t="shared" si="388"/>
        <v>0</v>
      </c>
      <c r="I3483" s="132"/>
      <c r="J3483" s="132">
        <f t="shared" si="386"/>
        <v>0</v>
      </c>
      <c r="K3483" s="132">
        <f t="shared" si="389"/>
        <v>0</v>
      </c>
      <c r="L3483" s="132">
        <f t="shared" si="390"/>
        <v>0</v>
      </c>
      <c r="M3483" s="133"/>
      <c r="N3483" s="133">
        <f t="shared" si="387"/>
        <v>0</v>
      </c>
      <c r="O3483" s="134"/>
      <c r="P3483" s="133"/>
      <c r="Q3483" s="2"/>
      <c r="R3483" s="156">
        <f t="shared" si="391"/>
        <v>0</v>
      </c>
      <c r="S3483" s="156">
        <f t="shared" si="392"/>
        <v>0</v>
      </c>
      <c r="T3483" s="133"/>
      <c r="U3483" s="133"/>
      <c r="V3483" s="133"/>
      <c r="W3483" s="133"/>
      <c r="X3483" s="133"/>
      <c r="Y3483" s="133"/>
      <c r="Z3483" s="133"/>
      <c r="AA3483" s="133"/>
      <c r="AB3483" s="133"/>
      <c r="AC3483" s="133"/>
      <c r="AD3483" s="133"/>
      <c r="AE3483" s="133"/>
      <c r="AF3483" s="133"/>
      <c r="AG3483" s="133"/>
      <c r="AH3483" s="133"/>
      <c r="AI3483" s="133"/>
      <c r="AJ3483" s="133"/>
      <c r="AK3483" s="133"/>
      <c r="AL3483" s="133"/>
      <c r="AM3483" s="133"/>
      <c r="AN3483" s="133"/>
      <c r="AO3483" s="133"/>
      <c r="AP3483" s="133"/>
      <c r="AQ3483" s="133"/>
      <c r="AR3483" s="133"/>
      <c r="AS3483" s="153">
        <v>0</v>
      </c>
      <c r="AT3483" s="153">
        <v>0</v>
      </c>
      <c r="AU3483" s="153">
        <v>0</v>
      </c>
      <c r="AV3483" s="135"/>
      <c r="AW3483" s="135"/>
      <c r="AX3483" s="135"/>
      <c r="AY3483" s="135"/>
      <c r="AZ3483" s="135"/>
      <c r="BA3483" s="135"/>
      <c r="BB3483" s="135"/>
      <c r="BC3483" s="135"/>
      <c r="BD3483" s="135"/>
      <c r="BE3483" s="135"/>
      <c r="BF3483" s="135"/>
      <c r="BG3483" s="135"/>
      <c r="BH3483" s="135"/>
      <c r="BI3483" s="2"/>
      <c r="BJ3483" s="136"/>
      <c r="BK3483" s="2"/>
      <c r="BL3483" s="136"/>
      <c r="BM3483" s="136"/>
      <c r="BN3483" s="2"/>
      <c r="BO3483" s="2"/>
      <c r="BP3483" s="136"/>
      <c r="BQ3483" s="137"/>
    </row>
    <row r="3484" spans="1:69" ht="12.75" customHeight="1" x14ac:dyDescent="0.2">
      <c r="A3484" s="2">
        <v>4973</v>
      </c>
      <c r="B3484" s="2"/>
      <c r="C3484" s="2"/>
      <c r="D3484" s="2"/>
      <c r="E3484" s="2"/>
      <c r="F3484" s="132">
        <v>0</v>
      </c>
      <c r="G3484" s="132"/>
      <c r="H3484" s="132">
        <f t="shared" si="388"/>
        <v>0</v>
      </c>
      <c r="I3484" s="132"/>
      <c r="J3484" s="132">
        <f t="shared" si="386"/>
        <v>0</v>
      </c>
      <c r="K3484" s="132">
        <f t="shared" si="389"/>
        <v>0</v>
      </c>
      <c r="L3484" s="132">
        <f t="shared" si="390"/>
        <v>0</v>
      </c>
      <c r="M3484" s="133"/>
      <c r="N3484" s="133">
        <f t="shared" si="387"/>
        <v>0</v>
      </c>
      <c r="O3484" s="134"/>
      <c r="P3484" s="133"/>
      <c r="Q3484" s="2"/>
      <c r="R3484" s="156">
        <f t="shared" si="391"/>
        <v>0</v>
      </c>
      <c r="S3484" s="156">
        <f t="shared" si="392"/>
        <v>0</v>
      </c>
      <c r="T3484" s="133"/>
      <c r="U3484" s="133"/>
      <c r="V3484" s="133"/>
      <c r="W3484" s="133"/>
      <c r="X3484" s="133"/>
      <c r="Y3484" s="133"/>
      <c r="Z3484" s="133"/>
      <c r="AA3484" s="133"/>
      <c r="AB3484" s="133"/>
      <c r="AC3484" s="133"/>
      <c r="AD3484" s="133"/>
      <c r="AE3484" s="133"/>
      <c r="AF3484" s="133"/>
      <c r="AG3484" s="133"/>
      <c r="AH3484" s="133"/>
      <c r="AI3484" s="133"/>
      <c r="AJ3484" s="133"/>
      <c r="AK3484" s="133"/>
      <c r="AL3484" s="133"/>
      <c r="AM3484" s="133"/>
      <c r="AN3484" s="133"/>
      <c r="AO3484" s="133"/>
      <c r="AP3484" s="133"/>
      <c r="AQ3484" s="133"/>
      <c r="AR3484" s="133"/>
      <c r="AS3484" s="153">
        <v>0</v>
      </c>
      <c r="AT3484" s="153">
        <v>0</v>
      </c>
      <c r="AU3484" s="153">
        <v>0</v>
      </c>
      <c r="AV3484" s="135"/>
      <c r="AW3484" s="135"/>
      <c r="AX3484" s="135"/>
      <c r="AY3484" s="135"/>
      <c r="AZ3484" s="135"/>
      <c r="BA3484" s="135"/>
      <c r="BB3484" s="135"/>
      <c r="BC3484" s="135"/>
      <c r="BD3484" s="135"/>
      <c r="BE3484" s="135"/>
      <c r="BF3484" s="135"/>
      <c r="BG3484" s="135"/>
      <c r="BH3484" s="135"/>
      <c r="BI3484" s="2"/>
      <c r="BJ3484" s="136"/>
      <c r="BK3484" s="2"/>
      <c r="BL3484" s="136"/>
      <c r="BM3484" s="136"/>
      <c r="BN3484" s="2"/>
      <c r="BO3484" s="2"/>
      <c r="BP3484" s="136"/>
      <c r="BQ3484" s="137"/>
    </row>
    <row r="3485" spans="1:69" ht="12.75" customHeight="1" x14ac:dyDescent="0.2">
      <c r="A3485" s="2">
        <v>4974</v>
      </c>
      <c r="B3485" s="2"/>
      <c r="C3485" s="2"/>
      <c r="D3485" s="2"/>
      <c r="E3485" s="2"/>
      <c r="F3485" s="132">
        <v>0</v>
      </c>
      <c r="G3485" s="132"/>
      <c r="H3485" s="132">
        <f t="shared" si="388"/>
        <v>0</v>
      </c>
      <c r="I3485" s="132"/>
      <c r="J3485" s="132">
        <f t="shared" si="386"/>
        <v>0</v>
      </c>
      <c r="K3485" s="132">
        <f t="shared" si="389"/>
        <v>0</v>
      </c>
      <c r="L3485" s="132">
        <f t="shared" si="390"/>
        <v>0</v>
      </c>
      <c r="M3485" s="133"/>
      <c r="N3485" s="133">
        <f t="shared" si="387"/>
        <v>0</v>
      </c>
      <c r="O3485" s="134"/>
      <c r="P3485" s="133"/>
      <c r="Q3485" s="2"/>
      <c r="R3485" s="156">
        <f t="shared" si="391"/>
        <v>0</v>
      </c>
      <c r="S3485" s="156">
        <f t="shared" si="392"/>
        <v>0</v>
      </c>
      <c r="T3485" s="133"/>
      <c r="U3485" s="133"/>
      <c r="V3485" s="133"/>
      <c r="W3485" s="133"/>
      <c r="X3485" s="133"/>
      <c r="Y3485" s="133"/>
      <c r="Z3485" s="133"/>
      <c r="AA3485" s="133"/>
      <c r="AB3485" s="133"/>
      <c r="AC3485" s="133"/>
      <c r="AD3485" s="133"/>
      <c r="AE3485" s="133"/>
      <c r="AF3485" s="133"/>
      <c r="AG3485" s="133"/>
      <c r="AH3485" s="133"/>
      <c r="AI3485" s="133"/>
      <c r="AJ3485" s="133"/>
      <c r="AK3485" s="133"/>
      <c r="AL3485" s="133"/>
      <c r="AM3485" s="133"/>
      <c r="AN3485" s="133"/>
      <c r="AO3485" s="133"/>
      <c r="AP3485" s="133"/>
      <c r="AQ3485" s="133"/>
      <c r="AR3485" s="133"/>
      <c r="AS3485" s="153">
        <v>0</v>
      </c>
      <c r="AT3485" s="153">
        <v>0</v>
      </c>
      <c r="AU3485" s="153">
        <v>0</v>
      </c>
      <c r="AV3485" s="135"/>
      <c r="AW3485" s="135"/>
      <c r="AX3485" s="135"/>
      <c r="AY3485" s="135"/>
      <c r="AZ3485" s="135"/>
      <c r="BA3485" s="135"/>
      <c r="BB3485" s="135"/>
      <c r="BC3485" s="135"/>
      <c r="BD3485" s="135"/>
      <c r="BE3485" s="135"/>
      <c r="BF3485" s="135"/>
      <c r="BG3485" s="135"/>
      <c r="BH3485" s="135"/>
      <c r="BI3485" s="2"/>
      <c r="BJ3485" s="136"/>
      <c r="BK3485" s="2"/>
      <c r="BL3485" s="136"/>
      <c r="BM3485" s="136"/>
      <c r="BN3485" s="2"/>
      <c r="BO3485" s="2"/>
      <c r="BP3485" s="136"/>
      <c r="BQ3485" s="137"/>
    </row>
    <row r="3486" spans="1:69" ht="12.75" customHeight="1" x14ac:dyDescent="0.2">
      <c r="A3486" s="2">
        <v>4975</v>
      </c>
      <c r="B3486" s="2"/>
      <c r="C3486" s="2"/>
      <c r="D3486" s="2"/>
      <c r="E3486" s="2"/>
      <c r="F3486" s="132">
        <v>0</v>
      </c>
      <c r="G3486" s="132"/>
      <c r="H3486" s="132">
        <f t="shared" si="388"/>
        <v>0</v>
      </c>
      <c r="I3486" s="132"/>
      <c r="J3486" s="132">
        <f t="shared" si="386"/>
        <v>0</v>
      </c>
      <c r="K3486" s="132">
        <f t="shared" si="389"/>
        <v>0</v>
      </c>
      <c r="L3486" s="132">
        <f t="shared" si="390"/>
        <v>0</v>
      </c>
      <c r="M3486" s="133"/>
      <c r="N3486" s="133">
        <f t="shared" si="387"/>
        <v>0</v>
      </c>
      <c r="O3486" s="134"/>
      <c r="P3486" s="133"/>
      <c r="Q3486" s="2"/>
      <c r="R3486" s="156">
        <f t="shared" si="391"/>
        <v>0</v>
      </c>
      <c r="S3486" s="156">
        <f t="shared" si="392"/>
        <v>0</v>
      </c>
      <c r="T3486" s="133"/>
      <c r="U3486" s="133"/>
      <c r="V3486" s="133"/>
      <c r="W3486" s="133"/>
      <c r="X3486" s="133"/>
      <c r="Y3486" s="133"/>
      <c r="Z3486" s="133"/>
      <c r="AA3486" s="133"/>
      <c r="AB3486" s="133"/>
      <c r="AC3486" s="133"/>
      <c r="AD3486" s="133"/>
      <c r="AE3486" s="133"/>
      <c r="AF3486" s="133"/>
      <c r="AG3486" s="133"/>
      <c r="AH3486" s="133"/>
      <c r="AI3486" s="133"/>
      <c r="AJ3486" s="133"/>
      <c r="AK3486" s="133"/>
      <c r="AL3486" s="133"/>
      <c r="AM3486" s="133"/>
      <c r="AN3486" s="133"/>
      <c r="AO3486" s="133"/>
      <c r="AP3486" s="133"/>
      <c r="AQ3486" s="133"/>
      <c r="AR3486" s="133"/>
      <c r="AS3486" s="153">
        <v>0</v>
      </c>
      <c r="AT3486" s="153">
        <v>0</v>
      </c>
      <c r="AU3486" s="153">
        <v>0</v>
      </c>
      <c r="AV3486" s="135"/>
      <c r="AW3486" s="135"/>
      <c r="AX3486" s="135"/>
      <c r="AY3486" s="135"/>
      <c r="AZ3486" s="135"/>
      <c r="BA3486" s="135"/>
      <c r="BB3486" s="135"/>
      <c r="BC3486" s="135"/>
      <c r="BD3486" s="135"/>
      <c r="BE3486" s="135"/>
      <c r="BF3486" s="135"/>
      <c r="BG3486" s="135"/>
      <c r="BH3486" s="135"/>
      <c r="BI3486" s="2"/>
      <c r="BJ3486" s="136"/>
      <c r="BK3486" s="2"/>
      <c r="BL3486" s="136"/>
      <c r="BM3486" s="136"/>
      <c r="BN3486" s="2"/>
      <c r="BO3486" s="2"/>
      <c r="BP3486" s="136"/>
      <c r="BQ3486" s="137"/>
    </row>
    <row r="3487" spans="1:69" ht="12.75" customHeight="1" x14ac:dyDescent="0.2">
      <c r="A3487" s="2">
        <v>4976</v>
      </c>
      <c r="B3487" s="2"/>
      <c r="C3487" s="2"/>
      <c r="D3487" s="2"/>
      <c r="E3487" s="2"/>
      <c r="F3487" s="132">
        <v>0</v>
      </c>
      <c r="G3487" s="132"/>
      <c r="H3487" s="132">
        <f t="shared" si="388"/>
        <v>0</v>
      </c>
      <c r="I3487" s="132"/>
      <c r="J3487" s="132">
        <f t="shared" si="386"/>
        <v>0</v>
      </c>
      <c r="K3487" s="132">
        <f t="shared" si="389"/>
        <v>0</v>
      </c>
      <c r="L3487" s="132">
        <f t="shared" si="390"/>
        <v>0</v>
      </c>
      <c r="M3487" s="133"/>
      <c r="N3487" s="133">
        <f t="shared" si="387"/>
        <v>0</v>
      </c>
      <c r="O3487" s="134"/>
      <c r="P3487" s="133"/>
      <c r="Q3487" s="2"/>
      <c r="R3487" s="156">
        <f t="shared" si="391"/>
        <v>0</v>
      </c>
      <c r="S3487" s="156">
        <f t="shared" si="392"/>
        <v>0</v>
      </c>
      <c r="T3487" s="133"/>
      <c r="U3487" s="133"/>
      <c r="V3487" s="133"/>
      <c r="W3487" s="133"/>
      <c r="X3487" s="133"/>
      <c r="Y3487" s="133"/>
      <c r="Z3487" s="133"/>
      <c r="AA3487" s="133"/>
      <c r="AB3487" s="133"/>
      <c r="AC3487" s="133"/>
      <c r="AD3487" s="133"/>
      <c r="AE3487" s="133"/>
      <c r="AF3487" s="133"/>
      <c r="AG3487" s="133"/>
      <c r="AH3487" s="133"/>
      <c r="AI3487" s="133"/>
      <c r="AJ3487" s="133"/>
      <c r="AK3487" s="133"/>
      <c r="AL3487" s="133"/>
      <c r="AM3487" s="133"/>
      <c r="AN3487" s="133"/>
      <c r="AO3487" s="133"/>
      <c r="AP3487" s="133"/>
      <c r="AQ3487" s="133"/>
      <c r="AR3487" s="133"/>
      <c r="AS3487" s="153">
        <v>0</v>
      </c>
      <c r="AT3487" s="153">
        <v>0</v>
      </c>
      <c r="AU3487" s="153">
        <v>0</v>
      </c>
      <c r="AV3487" s="135"/>
      <c r="AW3487" s="135"/>
      <c r="AX3487" s="135"/>
      <c r="AY3487" s="135"/>
      <c r="AZ3487" s="135"/>
      <c r="BA3487" s="135"/>
      <c r="BB3487" s="135"/>
      <c r="BC3487" s="135"/>
      <c r="BD3487" s="135"/>
      <c r="BE3487" s="135"/>
      <c r="BF3487" s="135"/>
      <c r="BG3487" s="135"/>
      <c r="BH3487" s="135"/>
      <c r="BI3487" s="2"/>
      <c r="BJ3487" s="136"/>
      <c r="BK3487" s="2"/>
      <c r="BL3487" s="136"/>
      <c r="BM3487" s="136"/>
      <c r="BN3487" s="2"/>
      <c r="BO3487" s="2"/>
      <c r="BP3487" s="136"/>
      <c r="BQ3487" s="137"/>
    </row>
    <row r="3488" spans="1:69" ht="12.75" customHeight="1" x14ac:dyDescent="0.2">
      <c r="A3488" s="2">
        <v>4977</v>
      </c>
      <c r="B3488" s="2"/>
      <c r="C3488" s="2"/>
      <c r="D3488" s="2"/>
      <c r="E3488" s="2"/>
      <c r="F3488" s="132">
        <v>0</v>
      </c>
      <c r="G3488" s="132"/>
      <c r="H3488" s="132">
        <f t="shared" si="388"/>
        <v>0</v>
      </c>
      <c r="I3488" s="132"/>
      <c r="J3488" s="132">
        <f t="shared" si="386"/>
        <v>0</v>
      </c>
      <c r="K3488" s="132">
        <f t="shared" si="389"/>
        <v>0</v>
      </c>
      <c r="L3488" s="132">
        <f t="shared" si="390"/>
        <v>0</v>
      </c>
      <c r="M3488" s="133"/>
      <c r="N3488" s="133">
        <f t="shared" si="387"/>
        <v>0</v>
      </c>
      <c r="O3488" s="134"/>
      <c r="P3488" s="133"/>
      <c r="Q3488" s="2"/>
      <c r="R3488" s="156">
        <f t="shared" si="391"/>
        <v>0</v>
      </c>
      <c r="S3488" s="156">
        <f t="shared" si="392"/>
        <v>0</v>
      </c>
      <c r="T3488" s="133"/>
      <c r="U3488" s="133"/>
      <c r="V3488" s="133"/>
      <c r="W3488" s="133"/>
      <c r="X3488" s="133"/>
      <c r="Y3488" s="133"/>
      <c r="Z3488" s="133"/>
      <c r="AA3488" s="133"/>
      <c r="AB3488" s="133"/>
      <c r="AC3488" s="133"/>
      <c r="AD3488" s="133"/>
      <c r="AE3488" s="133"/>
      <c r="AF3488" s="133"/>
      <c r="AG3488" s="133"/>
      <c r="AH3488" s="133"/>
      <c r="AI3488" s="133"/>
      <c r="AJ3488" s="133"/>
      <c r="AK3488" s="133"/>
      <c r="AL3488" s="133"/>
      <c r="AM3488" s="133"/>
      <c r="AN3488" s="133"/>
      <c r="AO3488" s="133"/>
      <c r="AP3488" s="133"/>
      <c r="AQ3488" s="133"/>
      <c r="AR3488" s="133"/>
      <c r="AS3488" s="153">
        <v>0</v>
      </c>
      <c r="AT3488" s="153">
        <v>0</v>
      </c>
      <c r="AU3488" s="153">
        <v>0</v>
      </c>
      <c r="AV3488" s="135"/>
      <c r="AW3488" s="135"/>
      <c r="AX3488" s="135"/>
      <c r="AY3488" s="135"/>
      <c r="AZ3488" s="135"/>
      <c r="BA3488" s="135"/>
      <c r="BB3488" s="135"/>
      <c r="BC3488" s="135"/>
      <c r="BD3488" s="135"/>
      <c r="BE3488" s="135"/>
      <c r="BF3488" s="135"/>
      <c r="BG3488" s="135"/>
      <c r="BH3488" s="135"/>
      <c r="BI3488" s="2"/>
      <c r="BJ3488" s="136"/>
      <c r="BK3488" s="2"/>
      <c r="BL3488" s="136"/>
      <c r="BM3488" s="136"/>
      <c r="BN3488" s="2"/>
      <c r="BO3488" s="2"/>
      <c r="BP3488" s="136"/>
      <c r="BQ3488" s="137"/>
    </row>
    <row r="3489" spans="1:69" ht="12.75" customHeight="1" x14ac:dyDescent="0.2">
      <c r="A3489" s="2">
        <v>4978</v>
      </c>
      <c r="B3489" s="2"/>
      <c r="C3489" s="2"/>
      <c r="D3489" s="2"/>
      <c r="E3489" s="2"/>
      <c r="F3489" s="132">
        <v>0</v>
      </c>
      <c r="G3489" s="132"/>
      <c r="H3489" s="132">
        <f t="shared" si="388"/>
        <v>0</v>
      </c>
      <c r="I3489" s="132"/>
      <c r="J3489" s="132">
        <f t="shared" si="386"/>
        <v>0</v>
      </c>
      <c r="K3489" s="132">
        <f t="shared" si="389"/>
        <v>0</v>
      </c>
      <c r="L3489" s="132">
        <f t="shared" si="390"/>
        <v>0</v>
      </c>
      <c r="M3489" s="133"/>
      <c r="N3489" s="133">
        <f t="shared" si="387"/>
        <v>0</v>
      </c>
      <c r="O3489" s="134"/>
      <c r="P3489" s="133"/>
      <c r="Q3489" s="2"/>
      <c r="R3489" s="156">
        <f t="shared" si="391"/>
        <v>0</v>
      </c>
      <c r="S3489" s="156">
        <f t="shared" si="392"/>
        <v>0</v>
      </c>
      <c r="T3489" s="133"/>
      <c r="U3489" s="133"/>
      <c r="V3489" s="133"/>
      <c r="W3489" s="133"/>
      <c r="X3489" s="133"/>
      <c r="Y3489" s="133"/>
      <c r="Z3489" s="133"/>
      <c r="AA3489" s="133"/>
      <c r="AB3489" s="133"/>
      <c r="AC3489" s="133"/>
      <c r="AD3489" s="133"/>
      <c r="AE3489" s="133"/>
      <c r="AF3489" s="133"/>
      <c r="AG3489" s="133"/>
      <c r="AH3489" s="133"/>
      <c r="AI3489" s="133"/>
      <c r="AJ3489" s="133"/>
      <c r="AK3489" s="133"/>
      <c r="AL3489" s="133"/>
      <c r="AM3489" s="133"/>
      <c r="AN3489" s="133"/>
      <c r="AO3489" s="133"/>
      <c r="AP3489" s="133"/>
      <c r="AQ3489" s="133"/>
      <c r="AR3489" s="133"/>
      <c r="AS3489" s="153">
        <v>0</v>
      </c>
      <c r="AT3489" s="153">
        <v>0</v>
      </c>
      <c r="AU3489" s="153">
        <v>0</v>
      </c>
      <c r="AV3489" s="135"/>
      <c r="AW3489" s="135"/>
      <c r="AX3489" s="135"/>
      <c r="AY3489" s="135"/>
      <c r="AZ3489" s="135"/>
      <c r="BA3489" s="135"/>
      <c r="BB3489" s="135"/>
      <c r="BC3489" s="135"/>
      <c r="BD3489" s="135"/>
      <c r="BE3489" s="135"/>
      <c r="BF3489" s="135"/>
      <c r="BG3489" s="135"/>
      <c r="BH3489" s="135"/>
      <c r="BI3489" s="2"/>
      <c r="BJ3489" s="136"/>
      <c r="BK3489" s="2"/>
      <c r="BL3489" s="136"/>
      <c r="BM3489" s="136"/>
      <c r="BN3489" s="2"/>
      <c r="BO3489" s="2"/>
      <c r="BP3489" s="136"/>
      <c r="BQ3489" s="137"/>
    </row>
    <row r="3490" spans="1:69" ht="12.75" customHeight="1" x14ac:dyDescent="0.2">
      <c r="A3490" s="2">
        <v>4979</v>
      </c>
      <c r="B3490" s="2"/>
      <c r="C3490" s="2"/>
      <c r="D3490" s="2"/>
      <c r="E3490" s="2"/>
      <c r="F3490" s="132">
        <v>0</v>
      </c>
      <c r="G3490" s="132"/>
      <c r="H3490" s="132">
        <f t="shared" si="388"/>
        <v>0</v>
      </c>
      <c r="I3490" s="132"/>
      <c r="J3490" s="132">
        <f t="shared" si="386"/>
        <v>0</v>
      </c>
      <c r="K3490" s="132">
        <f t="shared" si="389"/>
        <v>0</v>
      </c>
      <c r="L3490" s="132">
        <f t="shared" si="390"/>
        <v>0</v>
      </c>
      <c r="M3490" s="133"/>
      <c r="N3490" s="133">
        <f t="shared" si="387"/>
        <v>0</v>
      </c>
      <c r="O3490" s="134"/>
      <c r="P3490" s="133"/>
      <c r="Q3490" s="2"/>
      <c r="R3490" s="156">
        <f t="shared" si="391"/>
        <v>0</v>
      </c>
      <c r="S3490" s="156">
        <f t="shared" si="392"/>
        <v>0</v>
      </c>
      <c r="T3490" s="133"/>
      <c r="U3490" s="133"/>
      <c r="V3490" s="133"/>
      <c r="W3490" s="133"/>
      <c r="X3490" s="133"/>
      <c r="Y3490" s="133"/>
      <c r="Z3490" s="133"/>
      <c r="AA3490" s="133"/>
      <c r="AB3490" s="133"/>
      <c r="AC3490" s="133"/>
      <c r="AD3490" s="133"/>
      <c r="AE3490" s="133"/>
      <c r="AF3490" s="133"/>
      <c r="AG3490" s="133"/>
      <c r="AH3490" s="133"/>
      <c r="AI3490" s="133"/>
      <c r="AJ3490" s="133"/>
      <c r="AK3490" s="133"/>
      <c r="AL3490" s="133"/>
      <c r="AM3490" s="133"/>
      <c r="AN3490" s="133"/>
      <c r="AO3490" s="133"/>
      <c r="AP3490" s="133"/>
      <c r="AQ3490" s="133"/>
      <c r="AR3490" s="133"/>
      <c r="AS3490" s="153">
        <v>0</v>
      </c>
      <c r="AT3490" s="153">
        <v>0</v>
      </c>
      <c r="AU3490" s="153">
        <v>0</v>
      </c>
      <c r="AV3490" s="135"/>
      <c r="AW3490" s="135"/>
      <c r="AX3490" s="135"/>
      <c r="AY3490" s="135"/>
      <c r="AZ3490" s="135"/>
      <c r="BA3490" s="135"/>
      <c r="BB3490" s="135"/>
      <c r="BC3490" s="135"/>
      <c r="BD3490" s="135"/>
      <c r="BE3490" s="135"/>
      <c r="BF3490" s="135"/>
      <c r="BG3490" s="135"/>
      <c r="BH3490" s="135"/>
      <c r="BI3490" s="2"/>
      <c r="BJ3490" s="136"/>
      <c r="BK3490" s="2"/>
      <c r="BL3490" s="136"/>
      <c r="BM3490" s="136"/>
      <c r="BN3490" s="2"/>
      <c r="BO3490" s="2"/>
      <c r="BP3490" s="136"/>
      <c r="BQ3490" s="137"/>
    </row>
    <row r="3491" spans="1:69" ht="12.75" customHeight="1" x14ac:dyDescent="0.2">
      <c r="A3491" s="2">
        <v>4980</v>
      </c>
      <c r="B3491" s="2"/>
      <c r="C3491" s="2"/>
      <c r="D3491" s="2"/>
      <c r="E3491" s="2"/>
      <c r="F3491" s="132">
        <v>0</v>
      </c>
      <c r="G3491" s="132"/>
      <c r="H3491" s="132">
        <f t="shared" si="388"/>
        <v>0</v>
      </c>
      <c r="I3491" s="132"/>
      <c r="J3491" s="132">
        <f t="shared" si="386"/>
        <v>0</v>
      </c>
      <c r="K3491" s="132">
        <f t="shared" si="389"/>
        <v>0</v>
      </c>
      <c r="L3491" s="132">
        <f t="shared" si="390"/>
        <v>0</v>
      </c>
      <c r="M3491" s="133"/>
      <c r="N3491" s="133">
        <f t="shared" si="387"/>
        <v>0</v>
      </c>
      <c r="O3491" s="134"/>
      <c r="P3491" s="133"/>
      <c r="Q3491" s="2"/>
      <c r="R3491" s="156">
        <f t="shared" si="391"/>
        <v>0</v>
      </c>
      <c r="S3491" s="156">
        <f t="shared" si="392"/>
        <v>0</v>
      </c>
      <c r="T3491" s="133"/>
      <c r="U3491" s="133"/>
      <c r="V3491" s="133"/>
      <c r="W3491" s="133"/>
      <c r="X3491" s="133"/>
      <c r="Y3491" s="133"/>
      <c r="Z3491" s="133"/>
      <c r="AA3491" s="133"/>
      <c r="AB3491" s="133"/>
      <c r="AC3491" s="133"/>
      <c r="AD3491" s="133"/>
      <c r="AE3491" s="133"/>
      <c r="AF3491" s="133"/>
      <c r="AG3491" s="133"/>
      <c r="AH3491" s="133"/>
      <c r="AI3491" s="133"/>
      <c r="AJ3491" s="133"/>
      <c r="AK3491" s="133"/>
      <c r="AL3491" s="133"/>
      <c r="AM3491" s="133"/>
      <c r="AN3491" s="133"/>
      <c r="AO3491" s="133"/>
      <c r="AP3491" s="133"/>
      <c r="AQ3491" s="133"/>
      <c r="AR3491" s="133"/>
      <c r="AS3491" s="153">
        <v>0</v>
      </c>
      <c r="AT3491" s="153">
        <v>0</v>
      </c>
      <c r="AU3491" s="153">
        <v>0</v>
      </c>
      <c r="AV3491" s="135"/>
      <c r="AW3491" s="135"/>
      <c r="AX3491" s="135"/>
      <c r="AY3491" s="135"/>
      <c r="AZ3491" s="135"/>
      <c r="BA3491" s="135"/>
      <c r="BB3491" s="135"/>
      <c r="BC3491" s="135"/>
      <c r="BD3491" s="135"/>
      <c r="BE3491" s="135"/>
      <c r="BF3491" s="135"/>
      <c r="BG3491" s="135"/>
      <c r="BH3491" s="135"/>
      <c r="BI3491" s="2"/>
      <c r="BJ3491" s="136"/>
      <c r="BK3491" s="2"/>
      <c r="BL3491" s="136"/>
      <c r="BM3491" s="136"/>
      <c r="BN3491" s="2"/>
      <c r="BO3491" s="2"/>
      <c r="BP3491" s="136"/>
      <c r="BQ3491" s="137"/>
    </row>
    <row r="3492" spans="1:69" ht="12.75" customHeight="1" x14ac:dyDescent="0.2">
      <c r="A3492" s="2">
        <v>4981</v>
      </c>
      <c r="B3492" s="2"/>
      <c r="C3492" s="2"/>
      <c r="D3492" s="2"/>
      <c r="E3492" s="2"/>
      <c r="F3492" s="132">
        <v>0</v>
      </c>
      <c r="G3492" s="132"/>
      <c r="H3492" s="132">
        <f t="shared" si="388"/>
        <v>0</v>
      </c>
      <c r="I3492" s="132"/>
      <c r="J3492" s="132">
        <f t="shared" ref="J3492:J3497" si="393">S3492</f>
        <v>0</v>
      </c>
      <c r="K3492" s="132">
        <f t="shared" si="389"/>
        <v>0</v>
      </c>
      <c r="L3492" s="132">
        <f t="shared" si="390"/>
        <v>0</v>
      </c>
      <c r="M3492" s="133"/>
      <c r="N3492" s="133">
        <f t="shared" si="387"/>
        <v>0</v>
      </c>
      <c r="O3492" s="134"/>
      <c r="P3492" s="133"/>
      <c r="Q3492" s="2"/>
      <c r="R3492" s="156">
        <f t="shared" si="391"/>
        <v>0</v>
      </c>
      <c r="S3492" s="156">
        <f t="shared" si="392"/>
        <v>0</v>
      </c>
      <c r="T3492" s="133"/>
      <c r="U3492" s="133"/>
      <c r="V3492" s="133"/>
      <c r="W3492" s="133"/>
      <c r="X3492" s="133"/>
      <c r="Y3492" s="133"/>
      <c r="Z3492" s="133"/>
      <c r="AA3492" s="133"/>
      <c r="AB3492" s="133"/>
      <c r="AC3492" s="133"/>
      <c r="AD3492" s="133"/>
      <c r="AE3492" s="133"/>
      <c r="AF3492" s="133"/>
      <c r="AG3492" s="133"/>
      <c r="AH3492" s="133"/>
      <c r="AI3492" s="133"/>
      <c r="AJ3492" s="133"/>
      <c r="AK3492" s="133"/>
      <c r="AL3492" s="133"/>
      <c r="AM3492" s="133"/>
      <c r="AN3492" s="133"/>
      <c r="AO3492" s="133"/>
      <c r="AP3492" s="133"/>
      <c r="AQ3492" s="133"/>
      <c r="AR3492" s="133"/>
      <c r="AS3492" s="153">
        <v>0</v>
      </c>
      <c r="AT3492" s="153">
        <v>0</v>
      </c>
      <c r="AU3492" s="153">
        <v>0</v>
      </c>
      <c r="AV3492" s="135"/>
      <c r="AW3492" s="135"/>
      <c r="AX3492" s="135"/>
      <c r="AY3492" s="135"/>
      <c r="AZ3492" s="135"/>
      <c r="BA3492" s="135"/>
      <c r="BB3492" s="135"/>
      <c r="BC3492" s="135"/>
      <c r="BD3492" s="135"/>
      <c r="BE3492" s="135"/>
      <c r="BF3492" s="135"/>
      <c r="BG3492" s="135"/>
      <c r="BH3492" s="135"/>
      <c r="BI3492" s="2"/>
      <c r="BJ3492" s="136"/>
      <c r="BK3492" s="2"/>
      <c r="BL3492" s="136"/>
      <c r="BM3492" s="136"/>
      <c r="BN3492" s="2"/>
      <c r="BO3492" s="2"/>
      <c r="BP3492" s="136"/>
      <c r="BQ3492" s="137"/>
    </row>
    <row r="3493" spans="1:69" ht="12.75" customHeight="1" x14ac:dyDescent="0.2">
      <c r="A3493" s="2">
        <v>4982</v>
      </c>
      <c r="B3493" s="2"/>
      <c r="C3493" s="2"/>
      <c r="D3493" s="2"/>
      <c r="E3493" s="2"/>
      <c r="F3493" s="132">
        <v>0</v>
      </c>
      <c r="G3493" s="132"/>
      <c r="H3493" s="132">
        <f t="shared" si="388"/>
        <v>0</v>
      </c>
      <c r="I3493" s="132"/>
      <c r="J3493" s="132">
        <f t="shared" si="393"/>
        <v>0</v>
      </c>
      <c r="K3493" s="132">
        <f t="shared" si="389"/>
        <v>0</v>
      </c>
      <c r="L3493" s="132">
        <f t="shared" si="390"/>
        <v>0</v>
      </c>
      <c r="M3493" s="133"/>
      <c r="N3493" s="133">
        <f t="shared" si="387"/>
        <v>0</v>
      </c>
      <c r="O3493" s="134"/>
      <c r="P3493" s="133"/>
      <c r="Q3493" s="2"/>
      <c r="R3493" s="156">
        <f t="shared" si="391"/>
        <v>0</v>
      </c>
      <c r="S3493" s="156">
        <f t="shared" si="392"/>
        <v>0</v>
      </c>
      <c r="T3493" s="133"/>
      <c r="U3493" s="133"/>
      <c r="V3493" s="133"/>
      <c r="W3493" s="133"/>
      <c r="X3493" s="133"/>
      <c r="Y3493" s="133"/>
      <c r="Z3493" s="133"/>
      <c r="AA3493" s="133"/>
      <c r="AB3493" s="133"/>
      <c r="AC3493" s="133"/>
      <c r="AD3493" s="133"/>
      <c r="AE3493" s="133"/>
      <c r="AF3493" s="133"/>
      <c r="AG3493" s="133"/>
      <c r="AH3493" s="133"/>
      <c r="AI3493" s="133"/>
      <c r="AJ3493" s="133"/>
      <c r="AK3493" s="133"/>
      <c r="AL3493" s="133"/>
      <c r="AM3493" s="133"/>
      <c r="AN3493" s="133"/>
      <c r="AO3493" s="133"/>
      <c r="AP3493" s="133"/>
      <c r="AQ3493" s="133"/>
      <c r="AR3493" s="133"/>
      <c r="AS3493" s="153">
        <v>0</v>
      </c>
      <c r="AT3493" s="153">
        <v>0</v>
      </c>
      <c r="AU3493" s="153">
        <v>0</v>
      </c>
      <c r="AV3493" s="135"/>
      <c r="AW3493" s="135"/>
      <c r="AX3493" s="135"/>
      <c r="AY3493" s="135"/>
      <c r="AZ3493" s="135"/>
      <c r="BA3493" s="135"/>
      <c r="BB3493" s="135"/>
      <c r="BC3493" s="135"/>
      <c r="BD3493" s="135"/>
      <c r="BE3493" s="135"/>
      <c r="BF3493" s="135"/>
      <c r="BG3493" s="135"/>
      <c r="BH3493" s="135"/>
      <c r="BI3493" s="2"/>
      <c r="BJ3493" s="136"/>
      <c r="BK3493" s="2"/>
      <c r="BL3493" s="136"/>
      <c r="BM3493" s="136"/>
      <c r="BN3493" s="2"/>
      <c r="BO3493" s="2"/>
      <c r="BP3493" s="136"/>
      <c r="BQ3493" s="137"/>
    </row>
    <row r="3494" spans="1:69" ht="12.75" customHeight="1" x14ac:dyDescent="0.2">
      <c r="A3494" s="2">
        <v>4983</v>
      </c>
      <c r="B3494" s="2"/>
      <c r="C3494" s="2"/>
      <c r="D3494" s="2"/>
      <c r="E3494" s="2"/>
      <c r="F3494" s="132">
        <v>0</v>
      </c>
      <c r="G3494" s="132"/>
      <c r="H3494" s="132">
        <f t="shared" si="388"/>
        <v>0</v>
      </c>
      <c r="I3494" s="132"/>
      <c r="J3494" s="132">
        <f t="shared" si="393"/>
        <v>0</v>
      </c>
      <c r="K3494" s="132">
        <f t="shared" si="389"/>
        <v>0</v>
      </c>
      <c r="L3494" s="132">
        <f t="shared" si="390"/>
        <v>0</v>
      </c>
      <c r="M3494" s="133"/>
      <c r="N3494" s="133">
        <f t="shared" si="387"/>
        <v>0</v>
      </c>
      <c r="O3494" s="134"/>
      <c r="P3494" s="133"/>
      <c r="Q3494" s="2"/>
      <c r="R3494" s="156">
        <f t="shared" si="391"/>
        <v>0</v>
      </c>
      <c r="S3494" s="156">
        <f t="shared" si="392"/>
        <v>0</v>
      </c>
      <c r="T3494" s="133"/>
      <c r="U3494" s="133"/>
      <c r="V3494" s="133"/>
      <c r="W3494" s="133"/>
      <c r="X3494" s="133"/>
      <c r="Y3494" s="133"/>
      <c r="Z3494" s="133"/>
      <c r="AA3494" s="133"/>
      <c r="AB3494" s="133"/>
      <c r="AC3494" s="133"/>
      <c r="AD3494" s="133"/>
      <c r="AE3494" s="133"/>
      <c r="AF3494" s="133"/>
      <c r="AG3494" s="133"/>
      <c r="AH3494" s="133"/>
      <c r="AI3494" s="133"/>
      <c r="AJ3494" s="133"/>
      <c r="AK3494" s="133"/>
      <c r="AL3494" s="133"/>
      <c r="AM3494" s="133"/>
      <c r="AN3494" s="133"/>
      <c r="AO3494" s="133"/>
      <c r="AP3494" s="133"/>
      <c r="AQ3494" s="133"/>
      <c r="AR3494" s="133"/>
      <c r="AS3494" s="153">
        <v>0</v>
      </c>
      <c r="AT3494" s="153">
        <v>0</v>
      </c>
      <c r="AU3494" s="153">
        <v>0</v>
      </c>
      <c r="AV3494" s="135"/>
      <c r="AW3494" s="135"/>
      <c r="AX3494" s="135"/>
      <c r="AY3494" s="135"/>
      <c r="AZ3494" s="135"/>
      <c r="BA3494" s="135"/>
      <c r="BB3494" s="135"/>
      <c r="BC3494" s="135"/>
      <c r="BD3494" s="135"/>
      <c r="BE3494" s="135"/>
      <c r="BF3494" s="135"/>
      <c r="BG3494" s="135"/>
      <c r="BH3494" s="135"/>
      <c r="BI3494" s="2"/>
      <c r="BJ3494" s="136"/>
      <c r="BK3494" s="2"/>
      <c r="BL3494" s="136"/>
      <c r="BM3494" s="136"/>
      <c r="BN3494" s="2"/>
      <c r="BO3494" s="2"/>
      <c r="BP3494" s="136"/>
      <c r="BQ3494" s="137"/>
    </row>
    <row r="3495" spans="1:69" ht="12.75" customHeight="1" x14ac:dyDescent="0.2">
      <c r="A3495" s="2">
        <v>4984</v>
      </c>
      <c r="B3495" s="2"/>
      <c r="C3495" s="2"/>
      <c r="D3495" s="2"/>
      <c r="E3495" s="2"/>
      <c r="F3495" s="132">
        <v>0</v>
      </c>
      <c r="G3495" s="132"/>
      <c r="H3495" s="132">
        <f t="shared" si="388"/>
        <v>0</v>
      </c>
      <c r="I3495" s="132"/>
      <c r="J3495" s="132">
        <f t="shared" si="393"/>
        <v>0</v>
      </c>
      <c r="K3495" s="132">
        <f t="shared" si="389"/>
        <v>0</v>
      </c>
      <c r="L3495" s="132">
        <f t="shared" si="390"/>
        <v>0</v>
      </c>
      <c r="M3495" s="133"/>
      <c r="N3495" s="133">
        <f t="shared" si="387"/>
        <v>0</v>
      </c>
      <c r="O3495" s="134"/>
      <c r="P3495" s="133"/>
      <c r="Q3495" s="2"/>
      <c r="R3495" s="156">
        <f t="shared" si="391"/>
        <v>0</v>
      </c>
      <c r="S3495" s="156">
        <f t="shared" si="392"/>
        <v>0</v>
      </c>
      <c r="T3495" s="133"/>
      <c r="U3495" s="133"/>
      <c r="V3495" s="133"/>
      <c r="W3495" s="133"/>
      <c r="X3495" s="133"/>
      <c r="Y3495" s="133"/>
      <c r="Z3495" s="133"/>
      <c r="AA3495" s="133"/>
      <c r="AB3495" s="133"/>
      <c r="AC3495" s="133"/>
      <c r="AD3495" s="133"/>
      <c r="AE3495" s="133"/>
      <c r="AF3495" s="133"/>
      <c r="AG3495" s="133"/>
      <c r="AH3495" s="133"/>
      <c r="AI3495" s="133"/>
      <c r="AJ3495" s="133"/>
      <c r="AK3495" s="133"/>
      <c r="AL3495" s="133"/>
      <c r="AM3495" s="133"/>
      <c r="AN3495" s="133"/>
      <c r="AO3495" s="133"/>
      <c r="AP3495" s="133"/>
      <c r="AQ3495" s="133"/>
      <c r="AR3495" s="133"/>
      <c r="AS3495" s="153">
        <v>0</v>
      </c>
      <c r="AT3495" s="153">
        <v>0</v>
      </c>
      <c r="AU3495" s="153">
        <v>0</v>
      </c>
      <c r="AV3495" s="135"/>
      <c r="AW3495" s="135"/>
      <c r="AX3495" s="135"/>
      <c r="AY3495" s="135"/>
      <c r="AZ3495" s="135"/>
      <c r="BA3495" s="135"/>
      <c r="BB3495" s="135"/>
      <c r="BC3495" s="135"/>
      <c r="BD3495" s="135"/>
      <c r="BE3495" s="135"/>
      <c r="BF3495" s="135"/>
      <c r="BG3495" s="135"/>
      <c r="BH3495" s="135"/>
      <c r="BI3495" s="2"/>
      <c r="BJ3495" s="136"/>
      <c r="BK3495" s="2"/>
      <c r="BL3495" s="136"/>
      <c r="BM3495" s="136"/>
      <c r="BN3495" s="2"/>
      <c r="BO3495" s="2"/>
      <c r="BP3495" s="136"/>
      <c r="BQ3495" s="137"/>
    </row>
    <row r="3496" spans="1:69" ht="12.75" customHeight="1" x14ac:dyDescent="0.2">
      <c r="A3496" s="2">
        <v>4985</v>
      </c>
      <c r="B3496" s="2"/>
      <c r="C3496" s="2"/>
      <c r="D3496" s="2"/>
      <c r="E3496" s="2"/>
      <c r="F3496" s="132">
        <v>0</v>
      </c>
      <c r="G3496" s="132"/>
      <c r="H3496" s="132">
        <f t="shared" si="388"/>
        <v>0</v>
      </c>
      <c r="I3496" s="132"/>
      <c r="J3496" s="132">
        <f t="shared" si="393"/>
        <v>0</v>
      </c>
      <c r="K3496" s="132">
        <f t="shared" si="389"/>
        <v>0</v>
      </c>
      <c r="L3496" s="132">
        <f t="shared" si="390"/>
        <v>0</v>
      </c>
      <c r="M3496" s="133"/>
      <c r="N3496" s="133">
        <f t="shared" si="387"/>
        <v>0</v>
      </c>
      <c r="O3496" s="134"/>
      <c r="P3496" s="133"/>
      <c r="Q3496" s="2"/>
      <c r="R3496" s="156">
        <f t="shared" si="391"/>
        <v>0</v>
      </c>
      <c r="S3496" s="156">
        <f t="shared" si="392"/>
        <v>0</v>
      </c>
      <c r="T3496" s="133"/>
      <c r="U3496" s="133"/>
      <c r="V3496" s="133"/>
      <c r="W3496" s="133"/>
      <c r="X3496" s="133"/>
      <c r="Y3496" s="133"/>
      <c r="Z3496" s="133"/>
      <c r="AA3496" s="133"/>
      <c r="AB3496" s="133"/>
      <c r="AC3496" s="133"/>
      <c r="AD3496" s="133"/>
      <c r="AE3496" s="133"/>
      <c r="AF3496" s="133"/>
      <c r="AG3496" s="133"/>
      <c r="AH3496" s="133"/>
      <c r="AI3496" s="133"/>
      <c r="AJ3496" s="133"/>
      <c r="AK3496" s="133"/>
      <c r="AL3496" s="133"/>
      <c r="AM3496" s="133"/>
      <c r="AN3496" s="133"/>
      <c r="AO3496" s="133"/>
      <c r="AP3496" s="133"/>
      <c r="AQ3496" s="133"/>
      <c r="AR3496" s="133"/>
      <c r="AS3496" s="153">
        <v>0</v>
      </c>
      <c r="AT3496" s="153">
        <v>0</v>
      </c>
      <c r="AU3496" s="153">
        <v>0</v>
      </c>
      <c r="AV3496" s="135"/>
      <c r="AW3496" s="135"/>
      <c r="AX3496" s="135"/>
      <c r="AY3496" s="135"/>
      <c r="AZ3496" s="135"/>
      <c r="BA3496" s="135"/>
      <c r="BB3496" s="135"/>
      <c r="BC3496" s="135"/>
      <c r="BD3496" s="135"/>
      <c r="BE3496" s="135"/>
      <c r="BF3496" s="135"/>
      <c r="BG3496" s="135"/>
      <c r="BH3496" s="135"/>
      <c r="BI3496" s="2"/>
      <c r="BJ3496" s="136"/>
      <c r="BK3496" s="2"/>
      <c r="BL3496" s="136"/>
      <c r="BM3496" s="136"/>
      <c r="BN3496" s="2"/>
      <c r="BO3496" s="2"/>
      <c r="BP3496" s="136"/>
      <c r="BQ3496" s="137"/>
    </row>
    <row r="3497" spans="1:69" ht="12.75" customHeight="1" x14ac:dyDescent="0.2">
      <c r="A3497" s="2">
        <v>4986</v>
      </c>
      <c r="B3497" s="2"/>
      <c r="C3497" s="2"/>
      <c r="D3497" s="2"/>
      <c r="E3497" s="2"/>
      <c r="F3497" s="132">
        <v>0</v>
      </c>
      <c r="G3497" s="132"/>
      <c r="H3497" s="132">
        <f t="shared" si="388"/>
        <v>0</v>
      </c>
      <c r="I3497" s="132"/>
      <c r="J3497" s="132">
        <f t="shared" si="393"/>
        <v>0</v>
      </c>
      <c r="K3497" s="132">
        <f t="shared" si="389"/>
        <v>0</v>
      </c>
      <c r="L3497" s="132">
        <f t="shared" si="390"/>
        <v>0</v>
      </c>
      <c r="M3497" s="133"/>
      <c r="N3497" s="133">
        <f t="shared" si="387"/>
        <v>0</v>
      </c>
      <c r="O3497" s="134"/>
      <c r="P3497" s="133"/>
      <c r="Q3497" s="2"/>
      <c r="R3497" s="156">
        <f t="shared" si="391"/>
        <v>0</v>
      </c>
      <c r="S3497" s="156">
        <f t="shared" si="392"/>
        <v>0</v>
      </c>
      <c r="T3497" s="133"/>
      <c r="U3497" s="133"/>
      <c r="V3497" s="133"/>
      <c r="W3497" s="133"/>
      <c r="X3497" s="133"/>
      <c r="Y3497" s="133"/>
      <c r="Z3497" s="133"/>
      <c r="AA3497" s="133"/>
      <c r="AB3497" s="133"/>
      <c r="AC3497" s="133"/>
      <c r="AD3497" s="133"/>
      <c r="AE3497" s="133"/>
      <c r="AF3497" s="133"/>
      <c r="AG3497" s="133"/>
      <c r="AH3497" s="133"/>
      <c r="AI3497" s="133"/>
      <c r="AJ3497" s="133"/>
      <c r="AK3497" s="133"/>
      <c r="AL3497" s="133"/>
      <c r="AM3497" s="133"/>
      <c r="AN3497" s="133"/>
      <c r="AO3497" s="133"/>
      <c r="AP3497" s="133"/>
      <c r="AQ3497" s="133"/>
      <c r="AR3497" s="133"/>
      <c r="AS3497" s="153">
        <v>0</v>
      </c>
      <c r="AT3497" s="153">
        <v>0</v>
      </c>
      <c r="AU3497" s="153">
        <v>0</v>
      </c>
      <c r="AV3497" s="135"/>
      <c r="AW3497" s="135"/>
      <c r="AX3497" s="135"/>
      <c r="AY3497" s="135"/>
      <c r="AZ3497" s="135"/>
      <c r="BA3497" s="135"/>
      <c r="BB3497" s="135"/>
      <c r="BC3497" s="135"/>
      <c r="BD3497" s="135"/>
      <c r="BE3497" s="135"/>
      <c r="BF3497" s="135"/>
      <c r="BG3497" s="135"/>
      <c r="BH3497" s="135"/>
      <c r="BI3497" s="2"/>
      <c r="BJ3497" s="136"/>
      <c r="BK3497" s="2"/>
      <c r="BL3497" s="136"/>
      <c r="BM3497" s="136"/>
      <c r="BN3497" s="2"/>
      <c r="BO3497" s="2"/>
      <c r="BP3497" s="136"/>
      <c r="BQ3497" s="137"/>
    </row>
  </sheetData>
  <sheetProtection formatCells="0" formatColumns="0" formatRows="0" insertColumns="0" insertRows="0" sort="0" autoFilter="0" pivotTables="0"/>
  <autoFilter ref="A10:BR3497" xr:uid="{00000000-0009-0000-0000-000002000000}"/>
  <phoneticPr fontId="0" type="noConversion"/>
  <conditionalFormatting sqref="K11:L3497">
    <cfRule type="cellIs" dxfId="6" priority="227" operator="lessThan">
      <formula>0</formula>
    </cfRule>
  </conditionalFormatting>
  <dataValidations count="2">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B11:C1149 B1151:C1151 C1154:C1156 B1161:B1165 C1160:C1165 B1181:B1184 B1186:B1193 B1195 C1181:C1195 B1200:C1205 B1210:C1231 B1235:C3497" xr:uid="{00000000-0002-0000-0200-000000000000}">
      <formula1>#REF!</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BQ5 BQ3 BQ11:BQ3497 E11:E3497" xr:uid="{00000000-0002-0000-0200-000001000000}">
      <formula1>#REF!</formula1>
    </dataValidation>
  </dataValidations>
  <pageMargins left="0.15" right="0.14000000000000001" top="0.196850393700787" bottom="0.196850393700787" header="0" footer="0"/>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filterMode="1">
    <tabColor theme="9" tint="-0.249977111117893"/>
  </sheetPr>
  <dimension ref="A1:AQ961"/>
  <sheetViews>
    <sheetView showGridLines="0" zoomScale="110" zoomScaleNormal="110" zoomScaleSheetLayoutView="100" workbookViewId="0">
      <pane xSplit="8" ySplit="10" topLeftCell="I213" activePane="bottomRight" state="frozen"/>
      <selection activeCell="D26" sqref="D26"/>
      <selection pane="topRight" activeCell="D26" sqref="D26"/>
      <selection pane="bottomLeft" activeCell="D26" sqref="D26"/>
      <selection pane="bottomRight" activeCell="E241" sqref="E241"/>
    </sheetView>
  </sheetViews>
  <sheetFormatPr defaultColWidth="9.140625" defaultRowHeight="12.75" outlineLevelCol="1" x14ac:dyDescent="0.2"/>
  <cols>
    <col min="1" max="1" width="5" style="101" customWidth="1"/>
    <col min="2" max="2" width="6.85546875" style="101" customWidth="1"/>
    <col min="3" max="3" width="7.140625" style="101" customWidth="1"/>
    <col min="4" max="4" width="18.28515625" style="102" customWidth="1"/>
    <col min="5" max="5" width="29" style="102" customWidth="1"/>
    <col min="6" max="6" width="12" style="102" customWidth="1"/>
    <col min="7" max="7" width="6.5703125" style="102" customWidth="1"/>
    <col min="8" max="8" width="12.7109375" style="108" customWidth="1"/>
    <col min="9" max="9" width="13.28515625" style="108" customWidth="1"/>
    <col min="10" max="10" width="14.7109375" style="108" customWidth="1"/>
    <col min="11" max="11" width="12" style="108" bestFit="1" customWidth="1"/>
    <col min="12" max="12" width="13.5703125" style="108" bestFit="1" customWidth="1"/>
    <col min="13" max="13" width="14" style="108" bestFit="1" customWidth="1"/>
    <col min="14" max="14" width="10.28515625" style="109" customWidth="1"/>
    <col min="15" max="15" width="12" style="109" bestFit="1" customWidth="1"/>
    <col min="16" max="16" width="3.140625" style="109" customWidth="1"/>
    <col min="17" max="17" width="3.7109375" style="109" customWidth="1"/>
    <col min="18" max="18" width="3.85546875" style="109" customWidth="1"/>
    <col min="19" max="19" width="12.42578125" style="109" hidden="1" customWidth="1" outlineLevel="1"/>
    <col min="20" max="20" width="11" style="109" hidden="1" customWidth="1" outlineLevel="1"/>
    <col min="21" max="21" width="10.42578125" style="109" hidden="1" customWidth="1" outlineLevel="1"/>
    <col min="22" max="22" width="12.5703125" style="109" hidden="1" customWidth="1" outlineLevel="1"/>
    <col min="23" max="23" width="11" style="109" hidden="1" customWidth="1" outlineLevel="1"/>
    <col min="24" max="28" width="10.85546875" style="109" hidden="1" customWidth="1" outlineLevel="1"/>
    <col min="29" max="29" width="13.140625" style="109" hidden="1" customWidth="1" outlineLevel="1"/>
    <col min="30" max="30" width="3.7109375" style="109" customWidth="1" collapsed="1"/>
    <col min="31" max="31" width="3.7109375" style="109" customWidth="1"/>
    <col min="32" max="32" width="10" style="108" customWidth="1"/>
    <col min="33" max="33" width="5.5703125" style="108" customWidth="1"/>
    <col min="34" max="34" width="5.42578125" style="101" customWidth="1"/>
    <col min="35" max="35" width="9.140625" style="101" bestFit="1" customWidth="1"/>
    <col min="36" max="36" width="7.7109375" style="101" customWidth="1"/>
    <col min="37" max="37" width="10" style="126" bestFit="1" customWidth="1"/>
    <col min="38" max="38" width="9.28515625" style="126" bestFit="1" customWidth="1"/>
    <col min="39" max="39" width="10" style="101" customWidth="1"/>
    <col min="40" max="40" width="5.28515625" style="101" customWidth="1"/>
    <col min="41" max="41" width="6.7109375" style="101" customWidth="1"/>
    <col min="42" max="42" width="5" style="101" customWidth="1"/>
    <col min="43" max="43" width="9.7109375" style="101" customWidth="1"/>
    <col min="44" max="16384" width="9.140625" style="101"/>
  </cols>
  <sheetData>
    <row r="1" spans="1:43" ht="15.75" x14ac:dyDescent="0.25">
      <c r="A1" s="100" t="s">
        <v>70</v>
      </c>
      <c r="E1" s="120"/>
      <c r="F1" s="120">
        <v>73429.399999999994</v>
      </c>
      <c r="G1" s="120"/>
      <c r="H1" s="103">
        <f>F1-I210</f>
        <v>0</v>
      </c>
      <c r="I1" s="207">
        <v>1.75</v>
      </c>
      <c r="J1" s="104" t="e">
        <f>"მშენებლობა რეაბილიტაციისა და კორპუსების ჯამი"&amp;TEXT(ДВД!#REF!+კორპუსები!I4," ### ###")</f>
        <v>#REF!</v>
      </c>
      <c r="K1" s="105"/>
      <c r="L1" s="106"/>
      <c r="M1" s="107"/>
      <c r="N1" s="108"/>
      <c r="O1" s="105"/>
      <c r="V1" s="110"/>
      <c r="W1" s="110"/>
      <c r="X1" s="111"/>
      <c r="Y1" s="111"/>
      <c r="Z1" s="111"/>
      <c r="AA1" s="111">
        <f>AA7+AA3</f>
        <v>17560.568745762714</v>
      </c>
      <c r="AB1" s="111" t="s">
        <v>3384</v>
      </c>
      <c r="AH1" s="108"/>
      <c r="AI1" s="108" t="s">
        <v>54</v>
      </c>
      <c r="AJ1" s="108" t="s">
        <v>96</v>
      </c>
      <c r="AK1" s="112" t="s">
        <v>3445</v>
      </c>
      <c r="AL1" s="112" t="s">
        <v>3450</v>
      </c>
      <c r="AQ1" s="113"/>
    </row>
    <row r="2" spans="1:43" x14ac:dyDescent="0.2">
      <c r="D2" s="103"/>
      <c r="E2" s="103"/>
      <c r="F2" s="116"/>
      <c r="G2" s="116"/>
      <c r="I2" s="117"/>
      <c r="J2" s="117"/>
      <c r="K2" s="105"/>
      <c r="L2" s="118"/>
      <c r="M2" s="119"/>
      <c r="N2" s="105"/>
      <c r="O2" s="105"/>
      <c r="U2" s="110"/>
      <c r="V2" s="110"/>
      <c r="W2" s="110"/>
      <c r="X2" s="111"/>
      <c r="Y2" s="111"/>
      <c r="Z2" s="111"/>
      <c r="AA2" s="111"/>
      <c r="AB2" s="111"/>
      <c r="AH2" s="108"/>
      <c r="AI2" s="108"/>
      <c r="AJ2" s="105"/>
      <c r="AK2" s="112"/>
      <c r="AL2" s="112"/>
      <c r="AQ2" s="113"/>
    </row>
    <row r="3" spans="1:43" x14ac:dyDescent="0.2">
      <c r="B3" s="162" t="s">
        <v>63</v>
      </c>
      <c r="C3" s="163"/>
      <c r="D3" s="160">
        <f>SUBTOTAL(9,H11:H961)</f>
        <v>0</v>
      </c>
      <c r="E3" s="201"/>
      <c r="F3" s="120"/>
      <c r="G3" s="120"/>
      <c r="H3" s="104"/>
      <c r="I3" s="107"/>
      <c r="J3" s="107"/>
      <c r="K3" s="121"/>
      <c r="L3" s="104"/>
      <c r="M3" s="110"/>
      <c r="N3" s="157">
        <f>SUBTOTAL(9,N11:N961)</f>
        <v>0</v>
      </c>
      <c r="V3" s="110"/>
      <c r="W3" s="113"/>
      <c r="X3" s="111"/>
      <c r="Y3" s="111"/>
      <c r="Z3" s="111"/>
      <c r="AA3" s="111">
        <v>17560.568745762714</v>
      </c>
      <c r="AB3" s="111"/>
      <c r="AE3" s="122"/>
      <c r="AH3" s="112"/>
      <c r="AI3" s="108"/>
      <c r="AJ3" s="105"/>
      <c r="AK3" s="112"/>
      <c r="AL3" s="112"/>
      <c r="AQ3" s="113"/>
    </row>
    <row r="4" spans="1:43" ht="12.75" customHeight="1" x14ac:dyDescent="0.2">
      <c r="B4" s="164" t="s">
        <v>633</v>
      </c>
      <c r="C4" s="158"/>
      <c r="D4" s="160">
        <f>SUBTOTAL(9,I11:I961)</f>
        <v>305400</v>
      </c>
      <c r="E4" s="201"/>
      <c r="F4" s="168" t="e">
        <f>ROUND(D4/D3*100,2)&amp;"% от дог. стойм."</f>
        <v>#DIV/0!</v>
      </c>
      <c r="G4" s="168"/>
      <c r="H4" s="181" t="s">
        <v>66</v>
      </c>
      <c r="I4" s="182">
        <f>SUBTOTAL(9,N11:N961)</f>
        <v>0</v>
      </c>
      <c r="J4" s="242">
        <f>I17+I18+I19+I20+I21+I32</f>
        <v>142980.91999999998</v>
      </c>
      <c r="K4" s="123"/>
      <c r="L4" s="170" t="s">
        <v>51</v>
      </c>
      <c r="M4" s="171" t="s">
        <v>14</v>
      </c>
      <c r="N4" s="172" t="s">
        <v>15</v>
      </c>
      <c r="O4" s="112"/>
      <c r="P4" s="124"/>
      <c r="Q4" s="101"/>
      <c r="AF4" s="109"/>
      <c r="AG4" s="101"/>
      <c r="AH4" s="112"/>
      <c r="AI4" s="108"/>
      <c r="AJ4" s="105"/>
      <c r="AK4" s="112"/>
      <c r="AL4" s="112"/>
      <c r="AQ4" s="113"/>
    </row>
    <row r="5" spans="1:43" x14ac:dyDescent="0.2">
      <c r="B5" s="164" t="s">
        <v>9</v>
      </c>
      <c r="C5" s="158"/>
      <c r="D5" s="160">
        <f>SUBTOTAL(9,K11:K961)</f>
        <v>46418.635999999999</v>
      </c>
      <c r="E5" s="201"/>
      <c r="F5" s="168" t="e">
        <f>ROUND(D5/D3*100,2)&amp;"% от дог. стойм."</f>
        <v>#DIV/0!</v>
      </c>
      <c r="G5" s="168"/>
      <c r="H5" s="183" t="s">
        <v>65</v>
      </c>
      <c r="I5" s="184">
        <f>SUBTOTAL(9,Q11:Q961)</f>
        <v>0</v>
      </c>
      <c r="J5" s="198">
        <f>J4-J7</f>
        <v>142980.91999999998</v>
      </c>
      <c r="L5" s="173" t="s">
        <v>7</v>
      </c>
      <c r="M5" s="169">
        <f>SUBTOTAL(4,AF11:AF961)</f>
        <v>0</v>
      </c>
      <c r="N5" s="174">
        <f>SUBTOTAL(4,AG11:AG961)</f>
        <v>0</v>
      </c>
      <c r="O5" s="158" t="e">
        <f>N6/1.18</f>
        <v>#DIV/0!</v>
      </c>
      <c r="P5" s="108"/>
      <c r="Q5" s="101"/>
      <c r="AF5" s="101"/>
      <c r="AG5" s="101"/>
      <c r="AH5" s="112"/>
      <c r="AI5" s="108"/>
      <c r="AJ5" s="105"/>
      <c r="AK5" s="112"/>
      <c r="AL5" s="112"/>
      <c r="AQ5" s="113"/>
    </row>
    <row r="6" spans="1:43" x14ac:dyDescent="0.2">
      <c r="B6" s="165" t="s">
        <v>635</v>
      </c>
      <c r="C6" s="158"/>
      <c r="D6" s="161">
        <f>SUBTOTAL(9,L11:L961)</f>
        <v>-46418.635999999999</v>
      </c>
      <c r="E6" s="201"/>
      <c r="F6" s="168" t="e">
        <f>ROUND(D6/D3*100,2)&amp;"% от дог. стойм."</f>
        <v>#DIV/0!</v>
      </c>
      <c r="G6" s="168"/>
      <c r="H6" s="183" t="s">
        <v>67</v>
      </c>
      <c r="I6" s="184">
        <f>SUBTOTAL(9,R11:R961)</f>
        <v>0</v>
      </c>
      <c r="J6" s="198"/>
      <c r="K6" s="125"/>
      <c r="L6" s="175" t="s">
        <v>25</v>
      </c>
      <c r="M6" s="176" t="e">
        <f>D4/I4</f>
        <v>#DIV/0!</v>
      </c>
      <c r="N6" s="177" t="e">
        <f>D4/I6</f>
        <v>#DIV/0!</v>
      </c>
      <c r="O6" s="169" t="e">
        <f>M6/1.18</f>
        <v>#DIV/0!</v>
      </c>
      <c r="P6" s="108"/>
      <c r="S6" s="199">
        <f>S7+V7</f>
        <v>0</v>
      </c>
      <c r="T6" s="200">
        <f>T7+W7</f>
        <v>0</v>
      </c>
      <c r="AF6" s="101"/>
      <c r="AG6" s="101"/>
      <c r="AH6" s="112"/>
      <c r="AI6" s="108"/>
      <c r="AJ6" s="110"/>
      <c r="AM6" s="127"/>
    </row>
    <row r="7" spans="1:43" x14ac:dyDescent="0.2">
      <c r="A7" s="158">
        <f>SUBTOTAL(3,A11:A961)</f>
        <v>9</v>
      </c>
      <c r="B7" s="166" t="s">
        <v>634</v>
      </c>
      <c r="C7" s="167"/>
      <c r="D7" s="160">
        <f>SUBTOTAL(9,M11:M961)</f>
        <v>258981.36400000003</v>
      </c>
      <c r="E7" s="201"/>
      <c r="F7" s="168" t="str">
        <f>ROUND(D7/D4*100,2)&amp;"% от сд. стойм."</f>
        <v>84.8% от сд. стойм.</v>
      </c>
      <c r="G7" s="168"/>
      <c r="H7" s="185" t="s">
        <v>138</v>
      </c>
      <c r="I7" s="186">
        <f>SUBTOTAL(9,AD11:AD961)</f>
        <v>0</v>
      </c>
      <c r="J7" s="157">
        <f>SUBTOTAL(9,J11:J961)</f>
        <v>0</v>
      </c>
      <c r="K7" s="157">
        <f>SUBTOTAL(9,K11:K961)</f>
        <v>46418.635999999999</v>
      </c>
      <c r="L7" s="178" t="s">
        <v>6</v>
      </c>
      <c r="M7" s="179">
        <f>SUBTOTAL(5,AF11:AF961)</f>
        <v>0</v>
      </c>
      <c r="N7" s="180">
        <f>SUBTOTAL(5,AG11:AG961)</f>
        <v>0</v>
      </c>
      <c r="O7" s="157">
        <f>SUBTOTAL(9,O11:O961)</f>
        <v>-46418.635999999999</v>
      </c>
      <c r="P7" s="113"/>
      <c r="Q7" s="157">
        <f t="shared" ref="Q7:AB7" si="0">SUBTOTAL(9,Q11:Q961)</f>
        <v>0</v>
      </c>
      <c r="R7" s="157">
        <f t="shared" si="0"/>
        <v>0</v>
      </c>
      <c r="S7" s="157">
        <f t="shared" si="0"/>
        <v>0</v>
      </c>
      <c r="T7" s="157">
        <f t="shared" si="0"/>
        <v>0</v>
      </c>
      <c r="U7" s="157">
        <f t="shared" si="0"/>
        <v>0</v>
      </c>
      <c r="V7" s="157">
        <f t="shared" si="0"/>
        <v>0</v>
      </c>
      <c r="W7" s="157">
        <f t="shared" si="0"/>
        <v>0</v>
      </c>
      <c r="X7" s="157">
        <f t="shared" si="0"/>
        <v>0</v>
      </c>
      <c r="Y7" s="157">
        <f t="shared" si="0"/>
        <v>0</v>
      </c>
      <c r="Z7" s="157">
        <f t="shared" si="0"/>
        <v>0</v>
      </c>
      <c r="AA7" s="157">
        <f t="shared" si="0"/>
        <v>0</v>
      </c>
      <c r="AB7" s="157">
        <f t="shared" si="0"/>
        <v>0</v>
      </c>
      <c r="AC7" s="157">
        <f>SUBTOTAL(9,AC11:AC961)</f>
        <v>0</v>
      </c>
      <c r="AD7" s="157">
        <f>SUBTOTAL(9,AD11:AD961)</f>
        <v>0</v>
      </c>
      <c r="AE7" s="113"/>
      <c r="AF7" s="113"/>
      <c r="AG7" s="113"/>
      <c r="AH7" s="113"/>
      <c r="AI7" s="158">
        <f>SUBTOTAL(3,AI11:AI961)</f>
        <v>0</v>
      </c>
      <c r="AJ7" s="158">
        <f>SUBTOTAL(3,AJ11:AJ961)</f>
        <v>9</v>
      </c>
      <c r="AK7" s="158">
        <f>SUBTOTAL(3,AK11:AK961)</f>
        <v>9</v>
      </c>
      <c r="AL7" s="159"/>
      <c r="AM7" s="158"/>
      <c r="AN7" s="158">
        <f>SUBTOTAL(3,AN11:AN961)</f>
        <v>0</v>
      </c>
      <c r="AO7" s="158"/>
      <c r="AP7" s="158">
        <f>SUBTOTAL(3,AP11:AP961)</f>
        <v>9</v>
      </c>
      <c r="AQ7" s="158">
        <f>SUBTOTAL(3,AQ11:AQ961)</f>
        <v>0</v>
      </c>
    </row>
    <row r="8" spans="1:43" ht="6.75" customHeight="1" thickBot="1" x14ac:dyDescent="0.25">
      <c r="K8" s="128"/>
      <c r="N8" s="129"/>
      <c r="O8" s="129"/>
      <c r="P8" s="129"/>
    </row>
    <row r="9" spans="1:43" s="130" customFormat="1" ht="42" customHeight="1" thickBot="1" x14ac:dyDescent="0.3">
      <c r="A9" s="187" t="s">
        <v>5</v>
      </c>
      <c r="B9" s="188" t="s">
        <v>0</v>
      </c>
      <c r="C9" s="189" t="s">
        <v>22</v>
      </c>
      <c r="D9" s="190" t="s">
        <v>1</v>
      </c>
      <c r="E9" s="190" t="s">
        <v>1996</v>
      </c>
      <c r="F9" s="190" t="s">
        <v>2</v>
      </c>
      <c r="G9" s="190"/>
      <c r="H9" s="191" t="s">
        <v>61</v>
      </c>
      <c r="I9" s="192" t="s">
        <v>78</v>
      </c>
      <c r="J9" s="192" t="s">
        <v>1991</v>
      </c>
      <c r="K9" s="192" t="s">
        <v>53</v>
      </c>
      <c r="L9" s="192" t="s">
        <v>64</v>
      </c>
      <c r="M9" s="192" t="s">
        <v>62</v>
      </c>
      <c r="N9" s="193" t="s">
        <v>23</v>
      </c>
      <c r="O9" s="194" t="s">
        <v>135</v>
      </c>
      <c r="P9" s="195">
        <v>1</v>
      </c>
      <c r="Q9" s="194" t="s">
        <v>48</v>
      </c>
      <c r="R9" s="194" t="s">
        <v>59</v>
      </c>
      <c r="S9" s="151" t="s">
        <v>1667</v>
      </c>
      <c r="T9" s="151" t="s">
        <v>1668</v>
      </c>
      <c r="U9" s="151" t="s">
        <v>1669</v>
      </c>
      <c r="V9" s="151" t="s">
        <v>1670</v>
      </c>
      <c r="W9" s="151" t="s">
        <v>1671</v>
      </c>
      <c r="X9" s="151" t="s">
        <v>1672</v>
      </c>
      <c r="Y9" s="151" t="s">
        <v>2023</v>
      </c>
      <c r="Z9" s="151" t="s">
        <v>2024</v>
      </c>
      <c r="AA9" s="151" t="s">
        <v>3382</v>
      </c>
      <c r="AB9" s="151" t="s">
        <v>3383</v>
      </c>
      <c r="AC9" s="196" t="s">
        <v>1989</v>
      </c>
      <c r="AD9" s="194" t="s">
        <v>102</v>
      </c>
      <c r="AE9" s="194" t="s">
        <v>130</v>
      </c>
      <c r="AF9" s="194" t="s">
        <v>69</v>
      </c>
      <c r="AG9" s="194" t="s">
        <v>3</v>
      </c>
      <c r="AH9" s="187" t="s">
        <v>12</v>
      </c>
      <c r="AI9" s="189" t="s">
        <v>89</v>
      </c>
      <c r="AJ9" s="189" t="s">
        <v>596</v>
      </c>
      <c r="AK9" s="197" t="s">
        <v>107</v>
      </c>
      <c r="AL9" s="197" t="s">
        <v>46</v>
      </c>
      <c r="AM9" s="189" t="s">
        <v>13</v>
      </c>
      <c r="AN9" s="187" t="s">
        <v>150</v>
      </c>
      <c r="AO9" s="187" t="s">
        <v>49</v>
      </c>
      <c r="AP9" s="187" t="s">
        <v>143</v>
      </c>
      <c r="AQ9" s="187" t="s">
        <v>678</v>
      </c>
    </row>
    <row r="10" spans="1:43" x14ac:dyDescent="0.2">
      <c r="D10" s="101"/>
      <c r="E10" s="101"/>
      <c r="F10" s="101"/>
      <c r="G10" s="101"/>
      <c r="S10" s="152"/>
      <c r="T10" s="152"/>
      <c r="U10" s="152"/>
    </row>
    <row r="11" spans="1:43" s="115" customFormat="1" ht="12.75" hidden="1" customHeight="1" x14ac:dyDescent="0.2">
      <c r="A11" s="2">
        <v>2040</v>
      </c>
      <c r="B11" s="2" t="s">
        <v>54</v>
      </c>
      <c r="C11" s="2" t="s">
        <v>96</v>
      </c>
      <c r="D11" s="2" t="s">
        <v>1955</v>
      </c>
      <c r="E11" s="2" t="s">
        <v>1954</v>
      </c>
      <c r="F11" s="2" t="s">
        <v>71</v>
      </c>
      <c r="G11" s="2">
        <v>619</v>
      </c>
      <c r="H11" s="132">
        <f>1130.5+50000+9134</f>
        <v>60264.5</v>
      </c>
      <c r="I11" s="132">
        <f>1130.5+50000+9134</f>
        <v>60264.5</v>
      </c>
      <c r="J11" s="132">
        <f>1130.5+50000-1130.5+9134</f>
        <v>59134</v>
      </c>
      <c r="K11" s="132">
        <f>172.45+958.05+7627.12+S11+V11+1393.32+7740.68</f>
        <v>60264.5</v>
      </c>
      <c r="L11" s="132">
        <f t="shared" ref="L11:L74" si="1">H11-K11</f>
        <v>0</v>
      </c>
      <c r="M11" s="132">
        <f t="shared" ref="M11:M74" si="2">I11-K11</f>
        <v>0</v>
      </c>
      <c r="N11" s="133">
        <v>675</v>
      </c>
      <c r="O11" s="133">
        <f t="shared" ref="O11:O74" si="3">IF(OR(AJ11="принят",AJ11="Завершено",AJ11="ПриПро"),I11-K11,H11-K11)</f>
        <v>0</v>
      </c>
      <c r="P11" s="134">
        <v>0</v>
      </c>
      <c r="Q11" s="133"/>
      <c r="R11" s="133"/>
      <c r="S11" s="153">
        <v>0</v>
      </c>
      <c r="T11" s="153">
        <v>0</v>
      </c>
      <c r="U11" s="153">
        <v>0</v>
      </c>
      <c r="V11" s="135">
        <v>42372.88</v>
      </c>
      <c r="W11" s="135">
        <v>2120.9699999999998</v>
      </c>
      <c r="X11" s="135"/>
      <c r="Y11" s="135"/>
      <c r="Z11" s="135"/>
      <c r="AA11" s="135">
        <f t="shared" ref="AA11:AA16" si="4">IF(AJ11="Принят",(J11/1.18-W11-Z11)*0.1,J11/1.18*0.8*0.1)</f>
        <v>4799.25893220339</v>
      </c>
      <c r="AB11" s="135">
        <f>IF(AJ11="Принят",(J11/1.18-W11-Z11)*0.1,J11/1.18*0.8*0.1)-AA11</f>
        <v>0</v>
      </c>
      <c r="AC11" s="135"/>
      <c r="AD11" s="133"/>
      <c r="AE11" s="133"/>
      <c r="AF11" s="132">
        <f>IF(OR(I11="",I11=0,N11="",N11=0),"Нет инфо",I11/N11)</f>
        <v>89.28074074074074</v>
      </c>
      <c r="AG11" s="132" t="str">
        <f>IF(OR(I11="",I11=0,R11="",R11=0),"Нет инфо",I11/R11)</f>
        <v>Нет инфо</v>
      </c>
      <c r="AH11" s="2" t="s">
        <v>11</v>
      </c>
      <c r="AI11" s="136">
        <v>45321</v>
      </c>
      <c r="AJ11" s="2" t="s">
        <v>109</v>
      </c>
      <c r="AK11" s="136" t="s">
        <v>18</v>
      </c>
      <c r="AL11" s="136">
        <v>44935</v>
      </c>
      <c r="AM11" s="2" t="s">
        <v>717</v>
      </c>
      <c r="AN11" s="2"/>
      <c r="AO11" s="2" t="s">
        <v>715</v>
      </c>
      <c r="AP11" s="2" t="s">
        <v>715</v>
      </c>
      <c r="AQ11" s="136"/>
    </row>
    <row r="12" spans="1:43" s="115" customFormat="1" ht="12.75" hidden="1" customHeight="1" x14ac:dyDescent="0.2">
      <c r="A12" s="2">
        <v>2041</v>
      </c>
      <c r="B12" s="2" t="s">
        <v>54</v>
      </c>
      <c r="C12" s="2" t="s">
        <v>96</v>
      </c>
      <c r="D12" s="2" t="s">
        <v>1956</v>
      </c>
      <c r="E12" s="2" t="s">
        <v>1957</v>
      </c>
      <c r="F12" s="2" t="s">
        <v>71</v>
      </c>
      <c r="G12" s="2">
        <v>619</v>
      </c>
      <c r="H12" s="132">
        <f>1291.5+50000+12068</f>
        <v>63359.5</v>
      </c>
      <c r="I12" s="132">
        <f>1291.5+50000+12068</f>
        <v>63359.5</v>
      </c>
      <c r="J12" s="132">
        <f>1291.5+50000-1291.5+12068</f>
        <v>62068</v>
      </c>
      <c r="K12" s="132">
        <f>197.01+1094.49+7627.12+S12+V12+1840.88+10227.12</f>
        <v>63359.5</v>
      </c>
      <c r="L12" s="132">
        <f t="shared" si="1"/>
        <v>0</v>
      </c>
      <c r="M12" s="132">
        <f t="shared" si="2"/>
        <v>0</v>
      </c>
      <c r="N12" s="133">
        <v>789</v>
      </c>
      <c r="O12" s="133">
        <f t="shared" si="3"/>
        <v>0</v>
      </c>
      <c r="P12" s="134">
        <v>0</v>
      </c>
      <c r="Q12" s="133"/>
      <c r="R12" s="133"/>
      <c r="S12" s="153">
        <v>0</v>
      </c>
      <c r="T12" s="153">
        <v>0</v>
      </c>
      <c r="U12" s="153">
        <v>0</v>
      </c>
      <c r="V12" s="135">
        <v>42372.88</v>
      </c>
      <c r="W12" s="135">
        <v>2120.9699999999998</v>
      </c>
      <c r="X12" s="135"/>
      <c r="Y12" s="135"/>
      <c r="Z12" s="135"/>
      <c r="AA12" s="135">
        <f t="shared" si="4"/>
        <v>5047.9030000000002</v>
      </c>
      <c r="AB12" s="135">
        <f t="shared" ref="AB12:AB16" si="5">IF(AJ12="Принят",(J12/1.18-W12-Z12)*0.1,J12/1.18*0.8*0.1)-AA12</f>
        <v>0</v>
      </c>
      <c r="AC12" s="135"/>
      <c r="AD12" s="133"/>
      <c r="AE12" s="133"/>
      <c r="AF12" s="132">
        <f>IF(OR(I12="",I12=0,N12="",N12=0),"Нет инфо",I12/N12)</f>
        <v>80.303548795944238</v>
      </c>
      <c r="AG12" s="132" t="str">
        <f>IF(OR(I12="",I12=0,R12="",R12=0),"Нет инфо",I12/R12)</f>
        <v>Нет инфо</v>
      </c>
      <c r="AH12" s="2" t="s">
        <v>11</v>
      </c>
      <c r="AI12" s="136">
        <v>45321</v>
      </c>
      <c r="AJ12" s="2" t="s">
        <v>109</v>
      </c>
      <c r="AK12" s="136" t="s">
        <v>18</v>
      </c>
      <c r="AL12" s="136">
        <v>44935</v>
      </c>
      <c r="AM12" s="2" t="s">
        <v>717</v>
      </c>
      <c r="AN12" s="2"/>
      <c r="AO12" s="2" t="s">
        <v>715</v>
      </c>
      <c r="AP12" s="2" t="s">
        <v>715</v>
      </c>
      <c r="AQ12" s="136"/>
    </row>
    <row r="13" spans="1:43" s="115" customFormat="1" ht="12.75" hidden="1" customHeight="1" x14ac:dyDescent="0.2">
      <c r="A13" s="2">
        <v>2042</v>
      </c>
      <c r="B13" s="2" t="s">
        <v>54</v>
      </c>
      <c r="C13" s="2" t="s">
        <v>96</v>
      </c>
      <c r="D13" s="2" t="s">
        <v>1958</v>
      </c>
      <c r="E13" s="2" t="s">
        <v>1959</v>
      </c>
      <c r="F13" s="2" t="s">
        <v>71</v>
      </c>
      <c r="G13" s="2">
        <v>619</v>
      </c>
      <c r="H13" s="132">
        <f>1195.25+50000+9970</f>
        <v>61165.25</v>
      </c>
      <c r="I13" s="132">
        <f>1195.25+50000+9970</f>
        <v>61165.25</v>
      </c>
      <c r="J13" s="132">
        <f>1195.25+50000-1195.25+9970</f>
        <v>59970</v>
      </c>
      <c r="K13" s="132">
        <f>182.33+1012.92+S13+V13+7627.12+1520.85+8449.15</f>
        <v>61165.25</v>
      </c>
      <c r="L13" s="132">
        <f t="shared" si="1"/>
        <v>0</v>
      </c>
      <c r="M13" s="132">
        <f t="shared" si="2"/>
        <v>0</v>
      </c>
      <c r="N13" s="133">
        <v>719</v>
      </c>
      <c r="O13" s="133">
        <f t="shared" si="3"/>
        <v>0</v>
      </c>
      <c r="P13" s="134">
        <v>0</v>
      </c>
      <c r="Q13" s="133"/>
      <c r="R13" s="133"/>
      <c r="S13" s="153">
        <v>0</v>
      </c>
      <c r="T13" s="153">
        <v>0</v>
      </c>
      <c r="U13" s="153">
        <v>0</v>
      </c>
      <c r="V13" s="135">
        <v>42372.88</v>
      </c>
      <c r="W13" s="135">
        <v>2120.9699999999998</v>
      </c>
      <c r="X13" s="135"/>
      <c r="Y13" s="135"/>
      <c r="Z13" s="135"/>
      <c r="AA13" s="135">
        <f t="shared" si="4"/>
        <v>4870.1063898305092</v>
      </c>
      <c r="AB13" s="135">
        <f t="shared" si="5"/>
        <v>0</v>
      </c>
      <c r="AC13" s="135"/>
      <c r="AD13" s="133"/>
      <c r="AE13" s="133"/>
      <c r="AF13" s="132">
        <f>IF(OR(I13="",I13=0,N13="",N13=0),"Нет инфо",I13/N13)</f>
        <v>85.06988873435327</v>
      </c>
      <c r="AG13" s="132" t="str">
        <f>IF(OR(I13="",I13=0,R13="",R13=0),"Нет инфо",I13/R13)</f>
        <v>Нет инфо</v>
      </c>
      <c r="AH13" s="2" t="s">
        <v>11</v>
      </c>
      <c r="AI13" s="136">
        <v>45321</v>
      </c>
      <c r="AJ13" s="2" t="s">
        <v>109</v>
      </c>
      <c r="AK13" s="136" t="s">
        <v>18</v>
      </c>
      <c r="AL13" s="136">
        <v>44935</v>
      </c>
      <c r="AM13" s="2" t="s">
        <v>717</v>
      </c>
      <c r="AN13" s="2"/>
      <c r="AO13" s="2" t="s">
        <v>715</v>
      </c>
      <c r="AP13" s="2" t="s">
        <v>715</v>
      </c>
      <c r="AQ13" s="136"/>
    </row>
    <row r="14" spans="1:43" s="115" customFormat="1" ht="12.75" hidden="1" customHeight="1" x14ac:dyDescent="0.2">
      <c r="A14" s="2">
        <v>2043</v>
      </c>
      <c r="B14" s="2" t="s">
        <v>54</v>
      </c>
      <c r="C14" s="2" t="s">
        <v>96</v>
      </c>
      <c r="D14" s="2" t="s">
        <v>1872</v>
      </c>
      <c r="E14" s="2" t="s">
        <v>1865</v>
      </c>
      <c r="F14" s="2" t="s">
        <v>71</v>
      </c>
      <c r="G14" s="2">
        <v>577</v>
      </c>
      <c r="H14" s="132">
        <f>2264.5+80000+5000+8049</f>
        <v>95313.5</v>
      </c>
      <c r="I14" s="132">
        <f>2264.5+80000+5000+8049</f>
        <v>95313.5</v>
      </c>
      <c r="J14" s="132">
        <f>80000+5000-2264.5+8049</f>
        <v>90784.5</v>
      </c>
      <c r="K14" s="132">
        <f>S14+V14+12203.39+345.43+762.71+1227.81+8740.26</f>
        <v>95313.499999999985</v>
      </c>
      <c r="L14" s="132">
        <f t="shared" si="1"/>
        <v>0</v>
      </c>
      <c r="M14" s="132">
        <f t="shared" si="2"/>
        <v>0</v>
      </c>
      <c r="N14" s="133">
        <v>908</v>
      </c>
      <c r="O14" s="133">
        <f t="shared" si="3"/>
        <v>1.4551915228366852E-11</v>
      </c>
      <c r="P14" s="134">
        <v>0</v>
      </c>
      <c r="Q14" s="133"/>
      <c r="R14" s="133"/>
      <c r="S14" s="153">
        <v>0</v>
      </c>
      <c r="T14" s="153">
        <v>0</v>
      </c>
      <c r="U14" s="153">
        <v>0</v>
      </c>
      <c r="V14" s="135">
        <f>67796.61+4237.29</f>
        <v>72033.899999999994</v>
      </c>
      <c r="W14" s="135">
        <f>4318.55+212.1</f>
        <v>4530.6500000000005</v>
      </c>
      <c r="X14" s="135"/>
      <c r="Y14" s="135"/>
      <c r="Z14" s="135"/>
      <c r="AA14" s="135">
        <f t="shared" si="4"/>
        <v>7240.5366949152558</v>
      </c>
      <c r="AB14" s="135">
        <f t="shared" si="5"/>
        <v>0</v>
      </c>
      <c r="AC14" s="135"/>
      <c r="AD14" s="133"/>
      <c r="AE14" s="133"/>
      <c r="AF14" s="132">
        <f>IF(OR(I14="",I14=0,N14="",N14=0),"Нет инфо",I14/N14)</f>
        <v>104.97081497797357</v>
      </c>
      <c r="AG14" s="132" t="str">
        <f>IF(OR(I14="",I14=0,R14="",R14=0),"Нет инфо",I14/R14)</f>
        <v>Нет инфо</v>
      </c>
      <c r="AH14" s="2" t="s">
        <v>11</v>
      </c>
      <c r="AI14" s="136">
        <v>45321</v>
      </c>
      <c r="AJ14" s="2" t="s">
        <v>109</v>
      </c>
      <c r="AK14" s="136" t="s">
        <v>18</v>
      </c>
      <c r="AL14" s="136">
        <v>44935</v>
      </c>
      <c r="AM14" s="2" t="s">
        <v>945</v>
      </c>
      <c r="AN14" s="2"/>
      <c r="AO14" s="2" t="s">
        <v>1994</v>
      </c>
      <c r="AP14" s="2" t="s">
        <v>1994</v>
      </c>
      <c r="AQ14" s="136"/>
    </row>
    <row r="15" spans="1:43" s="115" customFormat="1" ht="12.75" hidden="1" customHeight="1" x14ac:dyDescent="0.2">
      <c r="A15" s="2">
        <v>2044</v>
      </c>
      <c r="B15" s="2" t="s">
        <v>54</v>
      </c>
      <c r="C15" s="2" t="s">
        <v>96</v>
      </c>
      <c r="D15" s="2" t="s">
        <v>1871</v>
      </c>
      <c r="E15" s="2" t="s">
        <v>1866</v>
      </c>
      <c r="F15" s="2" t="s">
        <v>71</v>
      </c>
      <c r="G15" s="2">
        <v>577</v>
      </c>
      <c r="H15" s="132">
        <f>1737.75+80000+28338</f>
        <v>110075.75</v>
      </c>
      <c r="I15" s="132">
        <f>1737.75+80000+28338</f>
        <v>110075.75</v>
      </c>
      <c r="J15" s="132">
        <f>1737.75-1737.75+80000+28338</f>
        <v>108338</v>
      </c>
      <c r="K15" s="132">
        <f>S15+V15+12203.39+265.08+4322.75+25487.92</f>
        <v>110075.75</v>
      </c>
      <c r="L15" s="132">
        <f t="shared" si="1"/>
        <v>0</v>
      </c>
      <c r="M15" s="132">
        <f t="shared" si="2"/>
        <v>0</v>
      </c>
      <c r="N15" s="133">
        <v>1253</v>
      </c>
      <c r="O15" s="133">
        <f t="shared" si="3"/>
        <v>0</v>
      </c>
      <c r="P15" s="134">
        <v>0</v>
      </c>
      <c r="Q15" s="133"/>
      <c r="R15" s="133"/>
      <c r="S15" s="153">
        <v>0</v>
      </c>
      <c r="T15" s="153">
        <v>0</v>
      </c>
      <c r="U15" s="153">
        <v>0</v>
      </c>
      <c r="V15" s="135">
        <v>67796.61</v>
      </c>
      <c r="W15" s="135">
        <v>4318.55</v>
      </c>
      <c r="X15" s="135"/>
      <c r="Y15" s="135"/>
      <c r="Z15" s="135"/>
      <c r="AA15" s="135">
        <f t="shared" si="4"/>
        <v>8749.3314406779664</v>
      </c>
      <c r="AB15" s="135">
        <f t="shared" si="5"/>
        <v>0</v>
      </c>
      <c r="AC15" s="135"/>
      <c r="AD15" s="133"/>
      <c r="AE15" s="133"/>
      <c r="AF15" s="132">
        <f>IF(OR(I15="",I15=0,N15="",N15=0),"Нет инфо",I15/N15)</f>
        <v>87.849760574620916</v>
      </c>
      <c r="AG15" s="132" t="str">
        <f>IF(OR(I15="",I15=0,R15="",R15=0),"Нет инфо",I15/R15)</f>
        <v>Нет инфо</v>
      </c>
      <c r="AH15" s="2" t="s">
        <v>11</v>
      </c>
      <c r="AI15" s="136">
        <v>45321</v>
      </c>
      <c r="AJ15" s="2" t="s">
        <v>109</v>
      </c>
      <c r="AK15" s="136" t="s">
        <v>18</v>
      </c>
      <c r="AL15" s="136">
        <v>44935</v>
      </c>
      <c r="AM15" s="2" t="s">
        <v>945</v>
      </c>
      <c r="AN15" s="2"/>
      <c r="AO15" s="2" t="s">
        <v>1994</v>
      </c>
      <c r="AP15" s="2" t="s">
        <v>1994</v>
      </c>
      <c r="AQ15" s="136"/>
    </row>
    <row r="16" spans="1:43" s="115" customFormat="1" ht="12.75" hidden="1" customHeight="1" x14ac:dyDescent="0.2">
      <c r="A16" s="2">
        <v>2045</v>
      </c>
      <c r="B16" s="2" t="s">
        <v>54</v>
      </c>
      <c r="C16" s="2" t="s">
        <v>96</v>
      </c>
      <c r="D16" s="2" t="s">
        <v>1945</v>
      </c>
      <c r="E16" s="2" t="s">
        <v>1944</v>
      </c>
      <c r="F16" s="2" t="s">
        <v>71</v>
      </c>
      <c r="G16" s="2">
        <v>744</v>
      </c>
      <c r="H16" s="132">
        <f>1610+50000+743</f>
        <v>52353</v>
      </c>
      <c r="I16" s="132">
        <f>1610+50000+743</f>
        <v>52353</v>
      </c>
      <c r="J16" s="132">
        <f>1610-1610+50000+743</f>
        <v>50743</v>
      </c>
      <c r="K16" s="132">
        <f>S16+V16+245.59+7627.12+743+1364.41</f>
        <v>52353</v>
      </c>
      <c r="L16" s="132">
        <f t="shared" si="1"/>
        <v>0</v>
      </c>
      <c r="M16" s="132">
        <f t="shared" si="2"/>
        <v>0</v>
      </c>
      <c r="N16" s="133">
        <v>702</v>
      </c>
      <c r="O16" s="133">
        <f t="shared" si="3"/>
        <v>0</v>
      </c>
      <c r="P16" s="134">
        <v>0</v>
      </c>
      <c r="Q16" s="133"/>
      <c r="R16" s="133"/>
      <c r="S16" s="153">
        <v>0</v>
      </c>
      <c r="T16" s="153">
        <v>0</v>
      </c>
      <c r="U16" s="153">
        <v>0</v>
      </c>
      <c r="V16" s="135">
        <v>42372.88</v>
      </c>
      <c r="W16" s="135">
        <v>2120.9699999999998</v>
      </c>
      <c r="X16" s="135"/>
      <c r="Y16" s="135"/>
      <c r="Z16" s="135"/>
      <c r="AA16" s="135">
        <f t="shared" si="4"/>
        <v>4088.1572372881355</v>
      </c>
      <c r="AB16" s="135">
        <f t="shared" si="5"/>
        <v>0</v>
      </c>
      <c r="AC16" s="135"/>
      <c r="AD16" s="133"/>
      <c r="AE16" s="133"/>
      <c r="AF16" s="132">
        <v>86.462889066241019</v>
      </c>
      <c r="AG16" s="132" t="s">
        <v>1817</v>
      </c>
      <c r="AH16" s="2" t="s">
        <v>11</v>
      </c>
      <c r="AI16" s="136">
        <v>45321</v>
      </c>
      <c r="AJ16" s="2" t="s">
        <v>109</v>
      </c>
      <c r="AK16" s="136" t="s">
        <v>18</v>
      </c>
      <c r="AL16" s="136">
        <v>44935</v>
      </c>
      <c r="AM16" s="2" t="s">
        <v>943</v>
      </c>
      <c r="AN16" s="2"/>
      <c r="AO16" s="2" t="s">
        <v>937</v>
      </c>
      <c r="AP16" s="2" t="s">
        <v>937</v>
      </c>
      <c r="AQ16" s="136"/>
    </row>
    <row r="17" spans="1:43" s="115" customFormat="1" ht="12.75" hidden="1" customHeight="1" x14ac:dyDescent="0.2">
      <c r="A17" s="2">
        <v>2046</v>
      </c>
      <c r="B17" s="2" t="s">
        <v>100</v>
      </c>
      <c r="C17" s="2" t="s">
        <v>95</v>
      </c>
      <c r="D17" s="2" t="s">
        <v>1995</v>
      </c>
      <c r="E17" s="2" t="s">
        <v>1997</v>
      </c>
      <c r="F17" s="2" t="s">
        <v>90</v>
      </c>
      <c r="G17" s="2"/>
      <c r="H17" s="132">
        <f>1055.25+26491.26</f>
        <v>27546.51</v>
      </c>
      <c r="I17" s="132">
        <f>1055.25+26491.26</f>
        <v>27546.51</v>
      </c>
      <c r="J17" s="132">
        <f>I17-1055.25</f>
        <v>26491.26</v>
      </c>
      <c r="K17" s="132">
        <f>160.97+4041.039+23344.5</f>
        <v>27546.508999999998</v>
      </c>
      <c r="L17" s="132">
        <f t="shared" si="1"/>
        <v>1.0000000002037268E-3</v>
      </c>
      <c r="M17" s="132">
        <f t="shared" si="2"/>
        <v>1.0000000002037268E-3</v>
      </c>
      <c r="N17" s="133">
        <v>569.6</v>
      </c>
      <c r="O17" s="133">
        <f t="shared" si="3"/>
        <v>1.0000000002037268E-3</v>
      </c>
      <c r="P17" s="134">
        <v>0</v>
      </c>
      <c r="Q17" s="133"/>
      <c r="R17" s="133"/>
      <c r="S17" s="153">
        <v>0</v>
      </c>
      <c r="T17" s="153">
        <v>0</v>
      </c>
      <c r="U17" s="153">
        <v>0</v>
      </c>
      <c r="V17" s="135">
        <v>0</v>
      </c>
      <c r="W17" s="135">
        <v>0</v>
      </c>
      <c r="X17" s="135"/>
      <c r="Y17" s="135"/>
      <c r="Z17" s="135"/>
      <c r="AA17" s="135">
        <f>J17/1.18*0.1</f>
        <v>2245.0220338983049</v>
      </c>
      <c r="AB17" s="135">
        <f t="shared" ref="AB17:AB44" si="6">IF(AJ17="Принят",(J17/1.18-W17-Z17)*0.1,J17/1.18*0.8*0.1)-AA17</f>
        <v>0</v>
      </c>
      <c r="AC17" s="135"/>
      <c r="AD17" s="133"/>
      <c r="AE17" s="133"/>
      <c r="AF17" s="132">
        <f t="shared" ref="AF17:AF48" si="7">IF(OR(I17="",I17=0,N17="",N17=0),"Нет инфо",I17/N17)</f>
        <v>48.3611481741573</v>
      </c>
      <c r="AG17" s="132" t="str">
        <f t="shared" ref="AG17:AG48" si="8">IF(OR(I17="",I17=0,R17="",R17=0),"Нет инфо",I17/R17)</f>
        <v>Нет инфо</v>
      </c>
      <c r="AH17" s="2" t="s">
        <v>11</v>
      </c>
      <c r="AI17" s="136">
        <v>45322</v>
      </c>
      <c r="AJ17" s="2" t="s">
        <v>109</v>
      </c>
      <c r="AK17" s="136" t="s">
        <v>18</v>
      </c>
      <c r="AL17" s="136">
        <v>44676</v>
      </c>
      <c r="AM17" s="2" t="s">
        <v>1534</v>
      </c>
      <c r="AN17" s="2"/>
      <c r="AO17" s="2" t="s">
        <v>317</v>
      </c>
      <c r="AP17" s="2" t="s">
        <v>317</v>
      </c>
      <c r="AQ17" s="136"/>
    </row>
    <row r="18" spans="1:43" s="115" customFormat="1" ht="12.75" hidden="1" customHeight="1" x14ac:dyDescent="0.2">
      <c r="A18" s="2">
        <v>2047</v>
      </c>
      <c r="B18" s="2" t="s">
        <v>100</v>
      </c>
      <c r="C18" s="2" t="s">
        <v>95</v>
      </c>
      <c r="D18" s="2" t="s">
        <v>1999</v>
      </c>
      <c r="E18" s="2" t="s">
        <v>1998</v>
      </c>
      <c r="F18" s="2" t="s">
        <v>90</v>
      </c>
      <c r="G18" s="2"/>
      <c r="H18" s="132">
        <f>666.75+20650.93</f>
        <v>21317.68</v>
      </c>
      <c r="I18" s="132">
        <f>666.75+20650.93</f>
        <v>21317.68</v>
      </c>
      <c r="J18" s="132">
        <f>I18-666.75</f>
        <v>20650.93</v>
      </c>
      <c r="K18" s="132">
        <f>101.71+3150.14+18065.83</f>
        <v>21317.68</v>
      </c>
      <c r="L18" s="132">
        <f t="shared" si="1"/>
        <v>0</v>
      </c>
      <c r="M18" s="132">
        <f t="shared" si="2"/>
        <v>0</v>
      </c>
      <c r="N18" s="133">
        <v>368.2</v>
      </c>
      <c r="O18" s="133">
        <f t="shared" si="3"/>
        <v>0</v>
      </c>
      <c r="P18" s="134">
        <v>0</v>
      </c>
      <c r="Q18" s="133"/>
      <c r="R18" s="133"/>
      <c r="S18" s="153">
        <v>0</v>
      </c>
      <c r="T18" s="153">
        <v>0</v>
      </c>
      <c r="U18" s="153">
        <v>0</v>
      </c>
      <c r="V18" s="135">
        <v>0</v>
      </c>
      <c r="W18" s="135">
        <v>0</v>
      </c>
      <c r="X18" s="135"/>
      <c r="Y18" s="135"/>
      <c r="Z18" s="135"/>
      <c r="AA18" s="135">
        <f>J18/1.18*0.1</f>
        <v>1750.0788135593223</v>
      </c>
      <c r="AB18" s="135">
        <f t="shared" si="6"/>
        <v>0</v>
      </c>
      <c r="AC18" s="135"/>
      <c r="AD18" s="133"/>
      <c r="AE18" s="133"/>
      <c r="AF18" s="132">
        <f t="shared" si="7"/>
        <v>57.897012493210212</v>
      </c>
      <c r="AG18" s="132" t="str">
        <f t="shared" si="8"/>
        <v>Нет инфо</v>
      </c>
      <c r="AH18" s="2" t="s">
        <v>11</v>
      </c>
      <c r="AI18" s="136">
        <v>45322</v>
      </c>
      <c r="AJ18" s="2" t="s">
        <v>109</v>
      </c>
      <c r="AK18" s="136" t="s">
        <v>18</v>
      </c>
      <c r="AL18" s="136">
        <v>44676</v>
      </c>
      <c r="AM18" s="2" t="s">
        <v>1534</v>
      </c>
      <c r="AN18" s="2"/>
      <c r="AO18" s="2" t="s">
        <v>317</v>
      </c>
      <c r="AP18" s="2" t="s">
        <v>317</v>
      </c>
      <c r="AQ18" s="136"/>
    </row>
    <row r="19" spans="1:43" s="115" customFormat="1" ht="12.75" hidden="1" customHeight="1" x14ac:dyDescent="0.2">
      <c r="A19" s="2">
        <v>2048</v>
      </c>
      <c r="B19" s="2" t="s">
        <v>100</v>
      </c>
      <c r="C19" s="2" t="s">
        <v>95</v>
      </c>
      <c r="D19" s="2" t="s">
        <v>2001</v>
      </c>
      <c r="E19" s="2" t="s">
        <v>2000</v>
      </c>
      <c r="F19" s="2" t="s">
        <v>90</v>
      </c>
      <c r="G19" s="2"/>
      <c r="H19" s="132">
        <f>1237.25+28404.56</f>
        <v>29641.81</v>
      </c>
      <c r="I19" s="132">
        <f>1237.25+28404.56</f>
        <v>29641.81</v>
      </c>
      <c r="J19" s="132">
        <f>I19-1237.25</f>
        <v>28404.560000000001</v>
      </c>
      <c r="K19" s="132">
        <f>188.74+4332.898+25120.17</f>
        <v>29641.807999999997</v>
      </c>
      <c r="L19" s="132">
        <f t="shared" si="1"/>
        <v>2.0000000040454324E-3</v>
      </c>
      <c r="M19" s="132">
        <f t="shared" si="2"/>
        <v>2.0000000040454324E-3</v>
      </c>
      <c r="N19" s="133">
        <v>706.5</v>
      </c>
      <c r="O19" s="133">
        <f t="shared" si="3"/>
        <v>2.0000000040454324E-3</v>
      </c>
      <c r="P19" s="134">
        <v>0</v>
      </c>
      <c r="Q19" s="133"/>
      <c r="R19" s="133"/>
      <c r="S19" s="153">
        <v>0</v>
      </c>
      <c r="T19" s="153">
        <v>0</v>
      </c>
      <c r="U19" s="153">
        <v>0</v>
      </c>
      <c r="V19" s="135">
        <v>0</v>
      </c>
      <c r="W19" s="135">
        <v>0</v>
      </c>
      <c r="X19" s="135"/>
      <c r="Y19" s="135"/>
      <c r="Z19" s="135"/>
      <c r="AA19" s="135">
        <f>J19/1.18*0.1</f>
        <v>2407.1661016949156</v>
      </c>
      <c r="AB19" s="135">
        <f t="shared" si="6"/>
        <v>0</v>
      </c>
      <c r="AC19" s="135"/>
      <c r="AD19" s="133"/>
      <c r="AE19" s="133"/>
      <c r="AF19" s="132">
        <f t="shared" si="7"/>
        <v>41.955852795470634</v>
      </c>
      <c r="AG19" s="132" t="str">
        <f t="shared" si="8"/>
        <v>Нет инфо</v>
      </c>
      <c r="AH19" s="2" t="s">
        <v>11</v>
      </c>
      <c r="AI19" s="136">
        <v>45322</v>
      </c>
      <c r="AJ19" s="2" t="s">
        <v>109</v>
      </c>
      <c r="AK19" s="136" t="s">
        <v>18</v>
      </c>
      <c r="AL19" s="136">
        <v>44676</v>
      </c>
      <c r="AM19" s="2" t="s">
        <v>1534</v>
      </c>
      <c r="AN19" s="2"/>
      <c r="AO19" s="2" t="s">
        <v>317</v>
      </c>
      <c r="AP19" s="2" t="s">
        <v>317</v>
      </c>
      <c r="AQ19" s="136"/>
    </row>
    <row r="20" spans="1:43" s="115" customFormat="1" ht="12.75" hidden="1" customHeight="1" x14ac:dyDescent="0.2">
      <c r="A20" s="2">
        <v>2049</v>
      </c>
      <c r="B20" s="2" t="s">
        <v>100</v>
      </c>
      <c r="C20" s="2" t="s">
        <v>95</v>
      </c>
      <c r="D20" s="2" t="s">
        <v>2003</v>
      </c>
      <c r="E20" s="2" t="s">
        <v>2002</v>
      </c>
      <c r="F20" s="2" t="s">
        <v>90</v>
      </c>
      <c r="G20" s="2"/>
      <c r="H20" s="132">
        <f>217+6357.74</f>
        <v>6574.74</v>
      </c>
      <c r="I20" s="132">
        <f>217+6357.74</f>
        <v>6574.74</v>
      </c>
      <c r="J20" s="132">
        <f>I20-217</f>
        <v>6357.74</v>
      </c>
      <c r="K20" s="132">
        <f>33.1+969.82+5571.82</f>
        <v>6574.74</v>
      </c>
      <c r="L20" s="132">
        <f t="shared" si="1"/>
        <v>0</v>
      </c>
      <c r="M20" s="132">
        <f t="shared" si="2"/>
        <v>0</v>
      </c>
      <c r="N20" s="133">
        <v>112.8</v>
      </c>
      <c r="O20" s="133">
        <f t="shared" si="3"/>
        <v>0</v>
      </c>
      <c r="P20" s="134">
        <v>0</v>
      </c>
      <c r="Q20" s="133"/>
      <c r="R20" s="133"/>
      <c r="S20" s="153">
        <v>0</v>
      </c>
      <c r="T20" s="153">
        <v>0</v>
      </c>
      <c r="U20" s="153">
        <v>0</v>
      </c>
      <c r="V20" s="135">
        <v>0</v>
      </c>
      <c r="W20" s="135">
        <v>0</v>
      </c>
      <c r="X20" s="135"/>
      <c r="Y20" s="135"/>
      <c r="Z20" s="135"/>
      <c r="AA20" s="135">
        <f>J20/1.18*0.1</f>
        <v>538.7915254237289</v>
      </c>
      <c r="AB20" s="135">
        <f t="shared" si="6"/>
        <v>0</v>
      </c>
      <c r="AC20" s="135"/>
      <c r="AD20" s="133"/>
      <c r="AE20" s="133"/>
      <c r="AF20" s="132">
        <f t="shared" si="7"/>
        <v>58.286702127659574</v>
      </c>
      <c r="AG20" s="132" t="str">
        <f t="shared" si="8"/>
        <v>Нет инфо</v>
      </c>
      <c r="AH20" s="2" t="s">
        <v>11</v>
      </c>
      <c r="AI20" s="136">
        <v>45322</v>
      </c>
      <c r="AJ20" s="2" t="s">
        <v>109</v>
      </c>
      <c r="AK20" s="136" t="s">
        <v>18</v>
      </c>
      <c r="AL20" s="136">
        <v>44676</v>
      </c>
      <c r="AM20" s="2" t="s">
        <v>1534</v>
      </c>
      <c r="AN20" s="2"/>
      <c r="AO20" s="2" t="s">
        <v>317</v>
      </c>
      <c r="AP20" s="2" t="s">
        <v>317</v>
      </c>
      <c r="AQ20" s="136"/>
    </row>
    <row r="21" spans="1:43" s="115" customFormat="1" ht="12.75" hidden="1" customHeight="1" x14ac:dyDescent="0.2">
      <c r="A21" s="2">
        <v>2050</v>
      </c>
      <c r="B21" s="2" t="s">
        <v>100</v>
      </c>
      <c r="C21" s="2" t="s">
        <v>95</v>
      </c>
      <c r="D21" s="2" t="s">
        <v>2004</v>
      </c>
      <c r="E21" s="2" t="s">
        <v>2005</v>
      </c>
      <c r="F21" s="2" t="s">
        <v>90</v>
      </c>
      <c r="G21" s="2"/>
      <c r="H21" s="132">
        <f>318.5+7711.34</f>
        <v>8029.84</v>
      </c>
      <c r="I21" s="132">
        <f>318.5+7711.34</f>
        <v>8029.84</v>
      </c>
      <c r="J21" s="132">
        <f>I21-318.5</f>
        <v>7711.34</v>
      </c>
      <c r="K21" s="132">
        <f>48.58+1176.306+6804.95</f>
        <v>8029.8359999999993</v>
      </c>
      <c r="L21" s="132">
        <f t="shared" si="1"/>
        <v>4.0000000008149073E-3</v>
      </c>
      <c r="M21" s="132">
        <f t="shared" si="2"/>
        <v>4.0000000008149073E-3</v>
      </c>
      <c r="N21" s="133">
        <v>182.2</v>
      </c>
      <c r="O21" s="133">
        <f t="shared" si="3"/>
        <v>4.0000000008149073E-3</v>
      </c>
      <c r="P21" s="134">
        <v>0</v>
      </c>
      <c r="Q21" s="133"/>
      <c r="R21" s="133"/>
      <c r="S21" s="153">
        <v>0</v>
      </c>
      <c r="T21" s="153">
        <v>0</v>
      </c>
      <c r="U21" s="153">
        <v>0</v>
      </c>
      <c r="V21" s="135">
        <v>0</v>
      </c>
      <c r="W21" s="135">
        <v>0</v>
      </c>
      <c r="X21" s="135"/>
      <c r="Y21" s="135"/>
      <c r="Z21" s="135"/>
      <c r="AA21" s="135">
        <f>J21/1.18*0.1</f>
        <v>653.50338983050858</v>
      </c>
      <c r="AB21" s="135">
        <f t="shared" si="6"/>
        <v>0</v>
      </c>
      <c r="AC21" s="135"/>
      <c r="AD21" s="133"/>
      <c r="AE21" s="133"/>
      <c r="AF21" s="132">
        <f t="shared" si="7"/>
        <v>44.071569703622394</v>
      </c>
      <c r="AG21" s="132" t="str">
        <f t="shared" si="8"/>
        <v>Нет инфо</v>
      </c>
      <c r="AH21" s="2" t="s">
        <v>11</v>
      </c>
      <c r="AI21" s="136">
        <v>45322</v>
      </c>
      <c r="AJ21" s="2" t="s">
        <v>109</v>
      </c>
      <c r="AK21" s="136" t="s">
        <v>18</v>
      </c>
      <c r="AL21" s="136">
        <v>44676</v>
      </c>
      <c r="AM21" s="2" t="s">
        <v>1534</v>
      </c>
      <c r="AN21" s="2"/>
      <c r="AO21" s="2" t="s">
        <v>317</v>
      </c>
      <c r="AP21" s="2" t="s">
        <v>317</v>
      </c>
      <c r="AQ21" s="136"/>
    </row>
    <row r="22" spans="1:43" s="115" customFormat="1" ht="12.75" hidden="1" customHeight="1" x14ac:dyDescent="0.2">
      <c r="A22" s="2">
        <v>2051</v>
      </c>
      <c r="B22" s="2" t="s">
        <v>54</v>
      </c>
      <c r="C22" s="2" t="s">
        <v>96</v>
      </c>
      <c r="D22" s="2" t="s">
        <v>1942</v>
      </c>
      <c r="E22" s="2" t="s">
        <v>1940</v>
      </c>
      <c r="F22" s="2" t="s">
        <v>71</v>
      </c>
      <c r="G22" s="2">
        <v>577</v>
      </c>
      <c r="H22" s="132">
        <f>2070.25+80000+36640</f>
        <v>118710.25</v>
      </c>
      <c r="I22" s="132">
        <f>2070.25+80000+36640</f>
        <v>118710.25</v>
      </c>
      <c r="J22" s="132">
        <f>I22-2070.25</f>
        <v>116640</v>
      </c>
      <c r="K22" s="132">
        <f>315.8+V22+12203.39+5589.15+32805.3</f>
        <v>118710.25</v>
      </c>
      <c r="L22" s="132">
        <f t="shared" si="1"/>
        <v>0</v>
      </c>
      <c r="M22" s="132">
        <f t="shared" si="2"/>
        <v>0</v>
      </c>
      <c r="N22" s="133">
        <v>1447</v>
      </c>
      <c r="O22" s="133">
        <f t="shared" si="3"/>
        <v>0</v>
      </c>
      <c r="P22" s="134">
        <v>0</v>
      </c>
      <c r="Q22" s="133"/>
      <c r="R22" s="133"/>
      <c r="S22" s="153">
        <v>0</v>
      </c>
      <c r="T22" s="153">
        <v>0</v>
      </c>
      <c r="U22" s="153">
        <v>0</v>
      </c>
      <c r="V22" s="135">
        <v>67796.61</v>
      </c>
      <c r="W22" s="135">
        <v>3393.55</v>
      </c>
      <c r="X22" s="135"/>
      <c r="Y22" s="135"/>
      <c r="Z22" s="135"/>
      <c r="AA22" s="135">
        <f t="shared" ref="AA22:AA31" si="9">IF(AJ22="Принят",(J22/1.18-W22-Z22)*0.1,J22/1.18*0.8*0.1)</f>
        <v>9545.390762711866</v>
      </c>
      <c r="AB22" s="135">
        <f t="shared" si="6"/>
        <v>0</v>
      </c>
      <c r="AC22" s="135"/>
      <c r="AD22" s="133"/>
      <c r="AE22" s="133"/>
      <c r="AF22" s="132">
        <f t="shared" si="7"/>
        <v>82.038873531444366</v>
      </c>
      <c r="AG22" s="132" t="str">
        <f t="shared" si="8"/>
        <v>Нет инфо</v>
      </c>
      <c r="AH22" s="2" t="s">
        <v>11</v>
      </c>
      <c r="AI22" s="136">
        <v>45380</v>
      </c>
      <c r="AJ22" s="2" t="s">
        <v>109</v>
      </c>
      <c r="AK22" s="136" t="s">
        <v>18</v>
      </c>
      <c r="AL22" s="136">
        <v>44935</v>
      </c>
      <c r="AM22" s="2" t="s">
        <v>945</v>
      </c>
      <c r="AN22" s="2"/>
      <c r="AO22" s="2" t="s">
        <v>1994</v>
      </c>
      <c r="AP22" s="2" t="s">
        <v>1994</v>
      </c>
      <c r="AQ22" s="136"/>
    </row>
    <row r="23" spans="1:43" s="115" customFormat="1" ht="12.75" hidden="1" customHeight="1" x14ac:dyDescent="0.2">
      <c r="A23" s="2">
        <v>2052</v>
      </c>
      <c r="B23" s="2" t="s">
        <v>54</v>
      </c>
      <c r="C23" s="2" t="s">
        <v>96</v>
      </c>
      <c r="D23" s="2" t="s">
        <v>2008</v>
      </c>
      <c r="E23" s="2" t="s">
        <v>2007</v>
      </c>
      <c r="F23" s="2" t="s">
        <v>71</v>
      </c>
      <c r="G23" s="2">
        <v>721</v>
      </c>
      <c r="H23" s="132">
        <f>1153.25+35000+1000+10260</f>
        <v>47413.25</v>
      </c>
      <c r="I23" s="132">
        <f>1153.25+35000+1000+10260</f>
        <v>47413.25</v>
      </c>
      <c r="J23" s="132">
        <f>I23-1153.25</f>
        <v>46260</v>
      </c>
      <c r="K23" s="132">
        <f>S23+V23+175.92+5338.98+152.54+1565.08+9672.25</f>
        <v>47413.25</v>
      </c>
      <c r="L23" s="132">
        <f t="shared" si="1"/>
        <v>0</v>
      </c>
      <c r="M23" s="132">
        <f t="shared" si="2"/>
        <v>0</v>
      </c>
      <c r="N23" s="133">
        <v>714</v>
      </c>
      <c r="O23" s="133">
        <f t="shared" si="3"/>
        <v>0</v>
      </c>
      <c r="P23" s="134">
        <v>0</v>
      </c>
      <c r="Q23" s="133"/>
      <c r="R23" s="133"/>
      <c r="S23" s="153">
        <v>0</v>
      </c>
      <c r="T23" s="153">
        <v>0</v>
      </c>
      <c r="U23" s="153">
        <v>0</v>
      </c>
      <c r="V23" s="135">
        <f>29661.02+847.46</f>
        <v>30508.48</v>
      </c>
      <c r="W23" s="135">
        <f>1889.37+25.92</f>
        <v>1915.29</v>
      </c>
      <c r="X23" s="135"/>
      <c r="Y23" s="135"/>
      <c r="Z23" s="135"/>
      <c r="AA23" s="135">
        <f t="shared" si="9"/>
        <v>3728.8099830508472</v>
      </c>
      <c r="AB23" s="135">
        <f t="shared" si="6"/>
        <v>0</v>
      </c>
      <c r="AC23" s="135"/>
      <c r="AD23" s="133"/>
      <c r="AE23" s="133"/>
      <c r="AF23" s="132">
        <f t="shared" si="7"/>
        <v>66.405112044817926</v>
      </c>
      <c r="AG23" s="132" t="str">
        <f t="shared" si="8"/>
        <v>Нет инфо</v>
      </c>
      <c r="AH23" s="2" t="s">
        <v>11</v>
      </c>
      <c r="AI23" s="136">
        <v>45380</v>
      </c>
      <c r="AJ23" s="2" t="s">
        <v>109</v>
      </c>
      <c r="AK23" s="136" t="s">
        <v>18</v>
      </c>
      <c r="AL23" s="136">
        <v>44935</v>
      </c>
      <c r="AM23" s="2" t="s">
        <v>950</v>
      </c>
      <c r="AN23" s="2"/>
      <c r="AO23" s="2" t="s">
        <v>946</v>
      </c>
      <c r="AP23" s="2" t="s">
        <v>946</v>
      </c>
      <c r="AQ23" s="136"/>
    </row>
    <row r="24" spans="1:43" s="115" customFormat="1" ht="12.75" hidden="1" customHeight="1" x14ac:dyDescent="0.2">
      <c r="A24" s="2">
        <v>2053</v>
      </c>
      <c r="B24" s="2" t="s">
        <v>54</v>
      </c>
      <c r="C24" s="2" t="s">
        <v>96</v>
      </c>
      <c r="D24" s="2" t="s">
        <v>2009</v>
      </c>
      <c r="E24" s="2" t="s">
        <v>1947</v>
      </c>
      <c r="F24" s="2" t="s">
        <v>71</v>
      </c>
      <c r="G24" s="2">
        <v>701</v>
      </c>
      <c r="H24" s="132">
        <f>483+50000+2000+5000+3635</f>
        <v>61118</v>
      </c>
      <c r="I24" s="132">
        <f>483+50000+2000+5000+3635</f>
        <v>61118</v>
      </c>
      <c r="J24" s="132">
        <f>I24-483</f>
        <v>60635</v>
      </c>
      <c r="K24" s="132">
        <f>483+V24+7627.12+Y24+305.08+762.71+3635</f>
        <v>61118</v>
      </c>
      <c r="L24" s="132">
        <f t="shared" si="1"/>
        <v>0</v>
      </c>
      <c r="M24" s="132">
        <f t="shared" si="2"/>
        <v>0</v>
      </c>
      <c r="N24" s="133">
        <v>523</v>
      </c>
      <c r="O24" s="133">
        <f t="shared" si="3"/>
        <v>0</v>
      </c>
      <c r="P24" s="134">
        <v>0</v>
      </c>
      <c r="Q24" s="133"/>
      <c r="R24" s="133"/>
      <c r="S24" s="153">
        <v>0</v>
      </c>
      <c r="T24" s="153">
        <v>0</v>
      </c>
      <c r="U24" s="153">
        <v>0</v>
      </c>
      <c r="V24" s="135">
        <v>42372.88</v>
      </c>
      <c r="W24" s="135">
        <v>2120.9699999999998</v>
      </c>
      <c r="X24" s="135"/>
      <c r="Y24" s="135">
        <f>1694.92+4237.29</f>
        <v>5932.21</v>
      </c>
      <c r="Z24" s="135">
        <f>51.85+79.12</f>
        <v>130.97</v>
      </c>
      <c r="AA24" s="135">
        <f t="shared" si="9"/>
        <v>4913.3653220338992</v>
      </c>
      <c r="AB24" s="135">
        <f t="shared" si="6"/>
        <v>0</v>
      </c>
      <c r="AC24" s="135"/>
      <c r="AD24" s="133"/>
      <c r="AE24" s="133"/>
      <c r="AF24" s="132">
        <f t="shared" si="7"/>
        <v>116.86042065009561</v>
      </c>
      <c r="AG24" s="132" t="str">
        <f t="shared" si="8"/>
        <v>Нет инфо</v>
      </c>
      <c r="AH24" s="2" t="s">
        <v>11</v>
      </c>
      <c r="AI24" s="136">
        <v>45393</v>
      </c>
      <c r="AJ24" s="2" t="s">
        <v>109</v>
      </c>
      <c r="AK24" s="136" t="s">
        <v>18</v>
      </c>
      <c r="AL24" s="136">
        <v>44935</v>
      </c>
      <c r="AM24" s="2" t="s">
        <v>730</v>
      </c>
      <c r="AN24" s="2"/>
      <c r="AO24" s="2" t="s">
        <v>729</v>
      </c>
      <c r="AP24" s="2" t="s">
        <v>729</v>
      </c>
      <c r="AQ24" s="136"/>
    </row>
    <row r="25" spans="1:43" s="115" customFormat="1" ht="12.75" hidden="1" customHeight="1" x14ac:dyDescent="0.2">
      <c r="A25" s="2">
        <v>2054</v>
      </c>
      <c r="B25" s="2" t="s">
        <v>54</v>
      </c>
      <c r="C25" s="2" t="s">
        <v>96</v>
      </c>
      <c r="D25" s="2" t="s">
        <v>2010</v>
      </c>
      <c r="E25" s="2" t="s">
        <v>2011</v>
      </c>
      <c r="F25" s="2" t="s">
        <v>71</v>
      </c>
      <c r="G25" s="2">
        <v>619</v>
      </c>
      <c r="H25" s="132">
        <f>1440.25+55000+9360</f>
        <v>65800.25</v>
      </c>
      <c r="I25" s="132">
        <f>1440.25+55000+9360</f>
        <v>65800.25</v>
      </c>
      <c r="J25" s="132">
        <f>I25-1440.25</f>
        <v>64360</v>
      </c>
      <c r="K25" s="132">
        <f>1440.25+8389.83+Y25+1427.8+7932.2</f>
        <v>65800.25</v>
      </c>
      <c r="L25" s="132">
        <f t="shared" si="1"/>
        <v>0</v>
      </c>
      <c r="M25" s="132">
        <f t="shared" si="2"/>
        <v>0</v>
      </c>
      <c r="N25" s="133">
        <v>989</v>
      </c>
      <c r="O25" s="133">
        <f t="shared" si="3"/>
        <v>0</v>
      </c>
      <c r="P25" s="134">
        <v>0</v>
      </c>
      <c r="Q25" s="133"/>
      <c r="R25" s="133"/>
      <c r="S25" s="153">
        <v>0</v>
      </c>
      <c r="T25" s="153">
        <v>0</v>
      </c>
      <c r="U25" s="153">
        <v>0</v>
      </c>
      <c r="V25" s="135"/>
      <c r="W25" s="135"/>
      <c r="X25" s="135"/>
      <c r="Y25" s="135">
        <v>46610.17</v>
      </c>
      <c r="Z25" s="135">
        <v>1425.76</v>
      </c>
      <c r="AA25" s="135">
        <f t="shared" si="9"/>
        <v>5311.6612881355941</v>
      </c>
      <c r="AB25" s="135">
        <f t="shared" si="6"/>
        <v>0</v>
      </c>
      <c r="AC25" s="135"/>
      <c r="AD25" s="133"/>
      <c r="AE25" s="133"/>
      <c r="AF25" s="132">
        <f t="shared" si="7"/>
        <v>66.532103134479271</v>
      </c>
      <c r="AG25" s="132" t="str">
        <f t="shared" si="8"/>
        <v>Нет инфо</v>
      </c>
      <c r="AH25" s="2" t="s">
        <v>11</v>
      </c>
      <c r="AI25" s="136">
        <v>45370</v>
      </c>
      <c r="AJ25" s="2" t="s">
        <v>109</v>
      </c>
      <c r="AK25" s="136" t="s">
        <v>18</v>
      </c>
      <c r="AL25" s="136">
        <v>44935</v>
      </c>
      <c r="AM25" s="2" t="s">
        <v>717</v>
      </c>
      <c r="AN25" s="2"/>
      <c r="AO25" s="2" t="s">
        <v>715</v>
      </c>
      <c r="AP25" s="2" t="s">
        <v>715</v>
      </c>
      <c r="AQ25" s="136"/>
    </row>
    <row r="26" spans="1:43" s="115" customFormat="1" ht="12.75" hidden="1" customHeight="1" x14ac:dyDescent="0.2">
      <c r="A26" s="2">
        <v>2055</v>
      </c>
      <c r="B26" s="2" t="s">
        <v>54</v>
      </c>
      <c r="C26" s="2" t="s">
        <v>96</v>
      </c>
      <c r="D26" s="2" t="s">
        <v>1943</v>
      </c>
      <c r="E26" s="2" t="s">
        <v>1941</v>
      </c>
      <c r="F26" s="2" t="s">
        <v>71</v>
      </c>
      <c r="G26" s="2">
        <v>577</v>
      </c>
      <c r="H26" s="132">
        <f>2051+80000+2000</f>
        <v>84051</v>
      </c>
      <c r="I26" s="132">
        <f>2051+80000+2000+10000+13567</f>
        <v>107618</v>
      </c>
      <c r="J26" s="132">
        <f>I26-2051</f>
        <v>105567</v>
      </c>
      <c r="K26" s="132">
        <f>312.86+S26+12203.39+V26+Y26+305.08+1525.42+15305.14</f>
        <v>107618</v>
      </c>
      <c r="L26" s="132">
        <f t="shared" si="1"/>
        <v>-23567</v>
      </c>
      <c r="M26" s="132">
        <f t="shared" si="2"/>
        <v>0</v>
      </c>
      <c r="N26" s="133">
        <v>1136</v>
      </c>
      <c r="O26" s="133">
        <f t="shared" si="3"/>
        <v>0</v>
      </c>
      <c r="P26" s="134">
        <v>0</v>
      </c>
      <c r="Q26" s="133"/>
      <c r="R26" s="133"/>
      <c r="S26" s="153">
        <v>0</v>
      </c>
      <c r="T26" s="153">
        <v>0</v>
      </c>
      <c r="U26" s="153">
        <v>0</v>
      </c>
      <c r="V26" s="135">
        <f>67796.61</f>
        <v>67796.61</v>
      </c>
      <c r="W26" s="135">
        <v>3393.55</v>
      </c>
      <c r="X26" s="135"/>
      <c r="Y26" s="135">
        <f>1694.92+8474.58</f>
        <v>10169.5</v>
      </c>
      <c r="Z26" s="135">
        <f>51.85+158.23</f>
        <v>210.07999999999998</v>
      </c>
      <c r="AA26" s="135">
        <f t="shared" si="9"/>
        <v>8585.9929322033913</v>
      </c>
      <c r="AB26" s="135">
        <f t="shared" si="6"/>
        <v>0</v>
      </c>
      <c r="AC26" s="135"/>
      <c r="AD26" s="133"/>
      <c r="AE26" s="133"/>
      <c r="AF26" s="132">
        <f t="shared" si="7"/>
        <v>94.734154929577471</v>
      </c>
      <c r="AG26" s="132" t="str">
        <f t="shared" si="8"/>
        <v>Нет инфо</v>
      </c>
      <c r="AH26" s="2" t="s">
        <v>11</v>
      </c>
      <c r="AI26" s="136">
        <v>45393</v>
      </c>
      <c r="AJ26" s="2" t="s">
        <v>109</v>
      </c>
      <c r="AK26" s="136" t="s">
        <v>18</v>
      </c>
      <c r="AL26" s="136">
        <v>44935</v>
      </c>
      <c r="AM26" s="2" t="s">
        <v>945</v>
      </c>
      <c r="AN26" s="2"/>
      <c r="AO26" s="2" t="s">
        <v>942</v>
      </c>
      <c r="AP26" s="2" t="s">
        <v>942</v>
      </c>
      <c r="AQ26" s="136"/>
    </row>
    <row r="27" spans="1:43" s="115" customFormat="1" ht="12.75" hidden="1" customHeight="1" x14ac:dyDescent="0.2">
      <c r="A27" s="2">
        <v>2056</v>
      </c>
      <c r="B27" s="2" t="s">
        <v>54</v>
      </c>
      <c r="C27" s="2" t="s">
        <v>96</v>
      </c>
      <c r="D27" s="2" t="s">
        <v>2013</v>
      </c>
      <c r="E27" s="2" t="s">
        <v>2012</v>
      </c>
      <c r="F27" s="2" t="s">
        <v>71</v>
      </c>
      <c r="G27" s="2">
        <v>577</v>
      </c>
      <c r="H27" s="132">
        <f>789.25+40000+48407</f>
        <v>89196.25</v>
      </c>
      <c r="I27" s="132">
        <f>789.25+40000+48407</f>
        <v>89196.25</v>
      </c>
      <c r="J27" s="132">
        <f>I27-789.25</f>
        <v>88407</v>
      </c>
      <c r="K27" s="132">
        <f>789.25+Y27+6101.69+7384.12+41022.88</f>
        <v>89196.25</v>
      </c>
      <c r="L27" s="132">
        <f t="shared" si="1"/>
        <v>0</v>
      </c>
      <c r="M27" s="132">
        <f t="shared" si="2"/>
        <v>0</v>
      </c>
      <c r="N27" s="133">
        <v>1281</v>
      </c>
      <c r="O27" s="133">
        <f t="shared" si="3"/>
        <v>0</v>
      </c>
      <c r="P27" s="134">
        <v>0</v>
      </c>
      <c r="Q27" s="133"/>
      <c r="R27" s="133"/>
      <c r="S27" s="153">
        <v>0</v>
      </c>
      <c r="T27" s="153">
        <v>0</v>
      </c>
      <c r="U27" s="153">
        <v>0</v>
      </c>
      <c r="V27" s="135">
        <v>0</v>
      </c>
      <c r="W27" s="135"/>
      <c r="X27" s="135"/>
      <c r="Y27" s="135">
        <v>33898.31</v>
      </c>
      <c r="Z27" s="135">
        <v>1036.92</v>
      </c>
      <c r="AA27" s="135">
        <f t="shared" si="9"/>
        <v>7388.4266440677966</v>
      </c>
      <c r="AB27" s="135">
        <f t="shared" si="6"/>
        <v>0</v>
      </c>
      <c r="AC27" s="135"/>
      <c r="AD27" s="133"/>
      <c r="AE27" s="133"/>
      <c r="AF27" s="132">
        <f t="shared" si="7"/>
        <v>69.630171740827478</v>
      </c>
      <c r="AG27" s="132" t="str">
        <f t="shared" si="8"/>
        <v>Нет инфо</v>
      </c>
      <c r="AH27" s="2" t="s">
        <v>11</v>
      </c>
      <c r="AI27" s="136">
        <v>45380</v>
      </c>
      <c r="AJ27" s="2" t="s">
        <v>109</v>
      </c>
      <c r="AK27" s="136" t="s">
        <v>18</v>
      </c>
      <c r="AL27" s="136">
        <v>44935</v>
      </c>
      <c r="AM27" s="2" t="s">
        <v>945</v>
      </c>
      <c r="AN27" s="2"/>
      <c r="AO27" s="2" t="s">
        <v>942</v>
      </c>
      <c r="AP27" s="2" t="s">
        <v>942</v>
      </c>
      <c r="AQ27" s="136"/>
    </row>
    <row r="28" spans="1:43" s="115" customFormat="1" ht="12.75" hidden="1" customHeight="1" x14ac:dyDescent="0.2">
      <c r="A28" s="2">
        <v>2057</v>
      </c>
      <c r="B28" s="2" t="s">
        <v>54</v>
      </c>
      <c r="C28" s="2" t="s">
        <v>96</v>
      </c>
      <c r="D28" s="2" t="s">
        <v>2014</v>
      </c>
      <c r="E28" s="2" t="s">
        <v>2015</v>
      </c>
      <c r="F28" s="2" t="s">
        <v>71</v>
      </c>
      <c r="G28" s="2">
        <v>577</v>
      </c>
      <c r="H28" s="132">
        <f>1214.5+40000+41772</f>
        <v>82986.5</v>
      </c>
      <c r="I28" s="132">
        <f>1214.5+40000+41772</f>
        <v>82986.5</v>
      </c>
      <c r="J28" s="132">
        <f>I28-1214.5</f>
        <v>81772</v>
      </c>
      <c r="K28" s="132">
        <f>185.26+6101.69+Y28+6372+36429.24</f>
        <v>82986.5</v>
      </c>
      <c r="L28" s="132">
        <f t="shared" si="1"/>
        <v>0</v>
      </c>
      <c r="M28" s="132">
        <f t="shared" si="2"/>
        <v>0</v>
      </c>
      <c r="N28" s="133">
        <v>1004</v>
      </c>
      <c r="O28" s="133">
        <f t="shared" si="3"/>
        <v>0</v>
      </c>
      <c r="P28" s="134">
        <v>0</v>
      </c>
      <c r="Q28" s="133"/>
      <c r="R28" s="133"/>
      <c r="S28" s="153">
        <v>0</v>
      </c>
      <c r="T28" s="153">
        <v>0</v>
      </c>
      <c r="U28" s="153">
        <v>0</v>
      </c>
      <c r="V28" s="135">
        <v>0</v>
      </c>
      <c r="W28" s="135"/>
      <c r="X28" s="135"/>
      <c r="Y28" s="135">
        <v>33898.31</v>
      </c>
      <c r="Z28" s="135">
        <v>1036.92</v>
      </c>
      <c r="AA28" s="135">
        <f t="shared" si="9"/>
        <v>6826.1385084745771</v>
      </c>
      <c r="AB28" s="135">
        <f t="shared" si="6"/>
        <v>0</v>
      </c>
      <c r="AC28" s="135"/>
      <c r="AD28" s="133"/>
      <c r="AE28" s="133"/>
      <c r="AF28" s="132">
        <f t="shared" si="7"/>
        <v>82.6558764940239</v>
      </c>
      <c r="AG28" s="132" t="str">
        <f t="shared" si="8"/>
        <v>Нет инфо</v>
      </c>
      <c r="AH28" s="2" t="s">
        <v>11</v>
      </c>
      <c r="AI28" s="136">
        <v>45380</v>
      </c>
      <c r="AJ28" s="2" t="s">
        <v>109</v>
      </c>
      <c r="AK28" s="136" t="s">
        <v>18</v>
      </c>
      <c r="AL28" s="136">
        <v>44935</v>
      </c>
      <c r="AM28" s="2" t="s">
        <v>945</v>
      </c>
      <c r="AN28" s="2"/>
      <c r="AO28" s="2" t="s">
        <v>942</v>
      </c>
      <c r="AP28" s="2" t="s">
        <v>942</v>
      </c>
      <c r="AQ28" s="136"/>
    </row>
    <row r="29" spans="1:43" s="115" customFormat="1" ht="12.75" hidden="1" customHeight="1" x14ac:dyDescent="0.2">
      <c r="A29" s="2">
        <v>2058</v>
      </c>
      <c r="B29" s="2" t="s">
        <v>54</v>
      </c>
      <c r="C29" s="2" t="s">
        <v>96</v>
      </c>
      <c r="D29" s="2" t="s">
        <v>2016</v>
      </c>
      <c r="E29" s="2" t="s">
        <v>2017</v>
      </c>
      <c r="F29" s="2" t="s">
        <v>71</v>
      </c>
      <c r="G29" s="2">
        <v>577</v>
      </c>
      <c r="H29" s="132">
        <f>778.75+40000</f>
        <v>40778.75</v>
      </c>
      <c r="I29" s="132">
        <f>778.75+40000+31053</f>
        <v>71831.75</v>
      </c>
      <c r="J29" s="132">
        <f>I29-778.75</f>
        <v>71053</v>
      </c>
      <c r="K29" s="132">
        <f>778.75+6101.69+Y29+4736.89+26316.11</f>
        <v>71831.75</v>
      </c>
      <c r="L29" s="132">
        <f t="shared" si="1"/>
        <v>-31053</v>
      </c>
      <c r="M29" s="132">
        <f t="shared" si="2"/>
        <v>0</v>
      </c>
      <c r="N29" s="133">
        <v>785</v>
      </c>
      <c r="O29" s="133">
        <f t="shared" si="3"/>
        <v>0</v>
      </c>
      <c r="P29" s="134">
        <v>0</v>
      </c>
      <c r="Q29" s="133"/>
      <c r="R29" s="133"/>
      <c r="S29" s="153">
        <v>0</v>
      </c>
      <c r="T29" s="153">
        <v>0</v>
      </c>
      <c r="U29" s="153">
        <v>0</v>
      </c>
      <c r="V29" s="135">
        <v>0</v>
      </c>
      <c r="W29" s="135"/>
      <c r="X29" s="135"/>
      <c r="Y29" s="135">
        <v>33898.31</v>
      </c>
      <c r="Z29" s="135">
        <v>1036.92</v>
      </c>
      <c r="AA29" s="135">
        <f t="shared" si="9"/>
        <v>5917.7486779661022</v>
      </c>
      <c r="AB29" s="135">
        <f t="shared" si="6"/>
        <v>0</v>
      </c>
      <c r="AC29" s="135"/>
      <c r="AD29" s="133"/>
      <c r="AE29" s="133"/>
      <c r="AF29" s="132">
        <f t="shared" si="7"/>
        <v>91.505414012738854</v>
      </c>
      <c r="AG29" s="132" t="str">
        <f t="shared" si="8"/>
        <v>Нет инфо</v>
      </c>
      <c r="AH29" s="2" t="s">
        <v>11</v>
      </c>
      <c r="AI29" s="136">
        <v>45380</v>
      </c>
      <c r="AJ29" s="2" t="s">
        <v>109</v>
      </c>
      <c r="AK29" s="136" t="s">
        <v>18</v>
      </c>
      <c r="AL29" s="136">
        <v>44935</v>
      </c>
      <c r="AM29" s="2" t="s">
        <v>945</v>
      </c>
      <c r="AN29" s="2"/>
      <c r="AO29" s="2" t="s">
        <v>942</v>
      </c>
      <c r="AP29" s="2" t="s">
        <v>942</v>
      </c>
      <c r="AQ29" s="136"/>
    </row>
    <row r="30" spans="1:43" s="115" customFormat="1" ht="12.75" hidden="1" customHeight="1" x14ac:dyDescent="0.2">
      <c r="A30" s="2">
        <v>2059</v>
      </c>
      <c r="B30" s="2" t="s">
        <v>54</v>
      </c>
      <c r="C30" s="2" t="s">
        <v>96</v>
      </c>
      <c r="D30" s="2" t="s">
        <v>2018</v>
      </c>
      <c r="E30" s="2" t="s">
        <v>2019</v>
      </c>
      <c r="F30" s="2" t="s">
        <v>71</v>
      </c>
      <c r="G30" s="2">
        <v>577</v>
      </c>
      <c r="H30" s="132">
        <f>866.25+50000+29540</f>
        <v>80406.25</v>
      </c>
      <c r="I30" s="132">
        <f>866.25+50000+29540</f>
        <v>80406.25</v>
      </c>
      <c r="J30" s="132">
        <f>I30-866.25</f>
        <v>79540</v>
      </c>
      <c r="K30" s="132">
        <f>866.25+7627.12+Y30+4506.1+25033.9</f>
        <v>80406.25</v>
      </c>
      <c r="L30" s="132">
        <f t="shared" si="1"/>
        <v>0</v>
      </c>
      <c r="M30" s="132">
        <f t="shared" si="2"/>
        <v>0</v>
      </c>
      <c r="N30" s="133">
        <v>1201</v>
      </c>
      <c r="O30" s="133">
        <f t="shared" si="3"/>
        <v>0</v>
      </c>
      <c r="P30" s="134">
        <v>0</v>
      </c>
      <c r="Q30" s="133"/>
      <c r="R30" s="133"/>
      <c r="S30" s="153">
        <v>0</v>
      </c>
      <c r="T30" s="153">
        <v>0</v>
      </c>
      <c r="U30" s="153">
        <v>0</v>
      </c>
      <c r="V30" s="135">
        <v>0</v>
      </c>
      <c r="W30" s="135"/>
      <c r="X30" s="135"/>
      <c r="Y30" s="135">
        <v>42372.88</v>
      </c>
      <c r="Z30" s="135">
        <v>1296.1500000000001</v>
      </c>
      <c r="AA30" s="135">
        <f t="shared" si="9"/>
        <v>6611.0629661016956</v>
      </c>
      <c r="AB30" s="135">
        <f t="shared" si="6"/>
        <v>0</v>
      </c>
      <c r="AC30" s="135"/>
      <c r="AD30" s="133"/>
      <c r="AE30" s="133"/>
      <c r="AF30" s="132">
        <f t="shared" si="7"/>
        <v>66.949417152373016</v>
      </c>
      <c r="AG30" s="132" t="str">
        <f t="shared" si="8"/>
        <v>Нет инфо</v>
      </c>
      <c r="AH30" s="2" t="s">
        <v>11</v>
      </c>
      <c r="AI30" s="136">
        <v>45370</v>
      </c>
      <c r="AJ30" s="2" t="s">
        <v>109</v>
      </c>
      <c r="AK30" s="136" t="s">
        <v>18</v>
      </c>
      <c r="AL30" s="136">
        <v>44935</v>
      </c>
      <c r="AM30" s="2" t="s">
        <v>945</v>
      </c>
      <c r="AN30" s="2"/>
      <c r="AO30" s="2" t="s">
        <v>942</v>
      </c>
      <c r="AP30" s="2" t="s">
        <v>942</v>
      </c>
      <c r="AQ30" s="136"/>
    </row>
    <row r="31" spans="1:43" s="115" customFormat="1" ht="12.75" hidden="1" customHeight="1" x14ac:dyDescent="0.2">
      <c r="A31" s="2">
        <v>2060</v>
      </c>
      <c r="B31" s="2" t="s">
        <v>54</v>
      </c>
      <c r="C31" s="2" t="s">
        <v>96</v>
      </c>
      <c r="D31" s="2" t="s">
        <v>2021</v>
      </c>
      <c r="E31" s="2" t="s">
        <v>2020</v>
      </c>
      <c r="F31" s="2" t="s">
        <v>71</v>
      </c>
      <c r="G31" s="2">
        <v>619</v>
      </c>
      <c r="H31" s="132">
        <f>1400+55000+24730</f>
        <v>81130</v>
      </c>
      <c r="I31" s="132">
        <f>1400+55000+24730</f>
        <v>81130</v>
      </c>
      <c r="J31" s="132">
        <f>I31-1400</f>
        <v>79730</v>
      </c>
      <c r="K31" s="132">
        <f>1400+8389.83+Y31+3772.37+20957.63</f>
        <v>81130</v>
      </c>
      <c r="L31" s="132">
        <f t="shared" si="1"/>
        <v>0</v>
      </c>
      <c r="M31" s="132">
        <f t="shared" si="2"/>
        <v>0</v>
      </c>
      <c r="N31" s="133">
        <v>1088</v>
      </c>
      <c r="O31" s="133">
        <f t="shared" si="3"/>
        <v>0</v>
      </c>
      <c r="P31" s="134">
        <v>0</v>
      </c>
      <c r="Q31" s="133"/>
      <c r="R31" s="133"/>
      <c r="S31" s="153">
        <v>0</v>
      </c>
      <c r="T31" s="153">
        <v>0</v>
      </c>
      <c r="U31" s="153">
        <v>0</v>
      </c>
      <c r="V31" s="135"/>
      <c r="W31" s="135"/>
      <c r="X31" s="135"/>
      <c r="Y31" s="135">
        <v>46610.17</v>
      </c>
      <c r="Z31" s="135">
        <v>1425.76</v>
      </c>
      <c r="AA31" s="135">
        <f t="shared" si="9"/>
        <v>6614.2036610169498</v>
      </c>
      <c r="AB31" s="135">
        <f t="shared" si="6"/>
        <v>0</v>
      </c>
      <c r="AC31" s="135"/>
      <c r="AD31" s="133"/>
      <c r="AE31" s="133"/>
      <c r="AF31" s="132">
        <f t="shared" si="7"/>
        <v>74.568014705882348</v>
      </c>
      <c r="AG31" s="132" t="str">
        <f t="shared" si="8"/>
        <v>Нет инфо</v>
      </c>
      <c r="AH31" s="2" t="s">
        <v>11</v>
      </c>
      <c r="AI31" s="136">
        <v>45370</v>
      </c>
      <c r="AJ31" s="2" t="s">
        <v>109</v>
      </c>
      <c r="AK31" s="136" t="s">
        <v>18</v>
      </c>
      <c r="AL31" s="136">
        <v>44935</v>
      </c>
      <c r="AM31" s="2" t="s">
        <v>717</v>
      </c>
      <c r="AN31" s="2"/>
      <c r="AO31" s="2" t="s">
        <v>715</v>
      </c>
      <c r="AP31" s="2" t="s">
        <v>715</v>
      </c>
      <c r="AQ31" s="136"/>
    </row>
    <row r="32" spans="1:43" s="115" customFormat="1" ht="12.75" hidden="1" customHeight="1" x14ac:dyDescent="0.2">
      <c r="A32" s="2">
        <v>2061</v>
      </c>
      <c r="B32" s="2" t="s">
        <v>100</v>
      </c>
      <c r="C32" s="2" t="s">
        <v>95</v>
      </c>
      <c r="D32" s="2" t="s">
        <v>2026</v>
      </c>
      <c r="E32" s="2" t="s">
        <v>2025</v>
      </c>
      <c r="F32" s="2" t="s">
        <v>90</v>
      </c>
      <c r="G32" s="2"/>
      <c r="H32" s="132">
        <f>47717.84+2152.5</f>
        <v>49870.34</v>
      </c>
      <c r="I32" s="132">
        <f>47717.84+2152.5</f>
        <v>49870.34</v>
      </c>
      <c r="J32" s="132">
        <f>I32-2152.5</f>
        <v>47717.84</v>
      </c>
      <c r="K32" s="132">
        <f>328.35+47717.84+1824.15</f>
        <v>49870.34</v>
      </c>
      <c r="L32" s="132">
        <f t="shared" si="1"/>
        <v>0</v>
      </c>
      <c r="M32" s="132">
        <f t="shared" si="2"/>
        <v>0</v>
      </c>
      <c r="N32" s="133">
        <v>1289.3</v>
      </c>
      <c r="O32" s="133">
        <f t="shared" si="3"/>
        <v>0</v>
      </c>
      <c r="P32" s="134">
        <v>0</v>
      </c>
      <c r="Q32" s="133"/>
      <c r="R32" s="133"/>
      <c r="S32" s="153">
        <v>0</v>
      </c>
      <c r="T32" s="153">
        <v>0</v>
      </c>
      <c r="U32" s="153">
        <v>0</v>
      </c>
      <c r="V32" s="135">
        <v>0</v>
      </c>
      <c r="W32" s="135">
        <v>0</v>
      </c>
      <c r="X32" s="135"/>
      <c r="Y32" s="135">
        <v>0</v>
      </c>
      <c r="Z32" s="135">
        <v>0</v>
      </c>
      <c r="AA32" s="135">
        <f>J32/1.18*0.1</f>
        <v>4043.8847457627121</v>
      </c>
      <c r="AB32" s="135">
        <f t="shared" si="6"/>
        <v>0</v>
      </c>
      <c r="AC32" s="135"/>
      <c r="AD32" s="133"/>
      <c r="AE32" s="133"/>
      <c r="AF32" s="132">
        <f t="shared" si="7"/>
        <v>38.680167532769715</v>
      </c>
      <c r="AG32" s="132" t="str">
        <f t="shared" si="8"/>
        <v>Нет инфо</v>
      </c>
      <c r="AH32" s="2" t="s">
        <v>11</v>
      </c>
      <c r="AI32" s="136">
        <v>45351</v>
      </c>
      <c r="AJ32" s="2" t="s">
        <v>109</v>
      </c>
      <c r="AK32" s="136" t="s">
        <v>18</v>
      </c>
      <c r="AL32" s="136">
        <v>44676</v>
      </c>
      <c r="AM32" s="2" t="s">
        <v>1534</v>
      </c>
      <c r="AN32" s="2"/>
      <c r="AO32" s="2" t="s">
        <v>317</v>
      </c>
      <c r="AP32" s="2" t="s">
        <v>317</v>
      </c>
      <c r="AQ32" s="136"/>
    </row>
    <row r="33" spans="1:43" s="115" customFormat="1" ht="12.75" hidden="1" customHeight="1" x14ac:dyDescent="0.2">
      <c r="A33" s="2">
        <v>2062</v>
      </c>
      <c r="B33" s="2" t="s">
        <v>54</v>
      </c>
      <c r="C33" s="2" t="s">
        <v>96</v>
      </c>
      <c r="D33" s="2" t="s">
        <v>2028</v>
      </c>
      <c r="E33" s="2" t="s">
        <v>2027</v>
      </c>
      <c r="F33" s="2" t="s">
        <v>71</v>
      </c>
      <c r="G33" s="2">
        <v>577</v>
      </c>
      <c r="H33" s="132">
        <f>1550.5+70000+40956</f>
        <v>112506.5</v>
      </c>
      <c r="I33" s="132">
        <f>1550.5+70000+40956</f>
        <v>112506.5</v>
      </c>
      <c r="J33" s="132">
        <f>I33-1550.5</f>
        <v>110956</v>
      </c>
      <c r="K33" s="132">
        <f>236.52+Y33+10677.97+42269.98</f>
        <v>112506.5</v>
      </c>
      <c r="L33" s="132">
        <f t="shared" si="1"/>
        <v>0</v>
      </c>
      <c r="M33" s="132">
        <f t="shared" si="2"/>
        <v>0</v>
      </c>
      <c r="N33" s="133">
        <v>1103</v>
      </c>
      <c r="O33" s="133">
        <f t="shared" si="3"/>
        <v>0</v>
      </c>
      <c r="P33" s="134">
        <v>0</v>
      </c>
      <c r="Q33" s="133"/>
      <c r="R33" s="133"/>
      <c r="S33" s="153">
        <v>0</v>
      </c>
      <c r="T33" s="153">
        <v>0</v>
      </c>
      <c r="U33" s="153">
        <v>0</v>
      </c>
      <c r="V33" s="135"/>
      <c r="W33" s="135"/>
      <c r="X33" s="135"/>
      <c r="Y33" s="135">
        <v>59322.03</v>
      </c>
      <c r="Z33" s="135">
        <v>1107.6199999999999</v>
      </c>
      <c r="AA33" s="135">
        <f t="shared" ref="AA33:AA44" si="10">IF(AJ33="Принят",(J33/1.18-W33-Z33)*0.1,J33/1.18*0.8*0.1)</f>
        <v>9292.2888474576284</v>
      </c>
      <c r="AB33" s="135">
        <f t="shared" si="6"/>
        <v>0</v>
      </c>
      <c r="AC33" s="135"/>
      <c r="AD33" s="133"/>
      <c r="AE33" s="133"/>
      <c r="AF33" s="132">
        <f t="shared" si="7"/>
        <v>102.00045330915684</v>
      </c>
      <c r="AG33" s="132" t="str">
        <f t="shared" si="8"/>
        <v>Нет инфо</v>
      </c>
      <c r="AH33" s="2" t="s">
        <v>11</v>
      </c>
      <c r="AI33" s="136">
        <v>45400</v>
      </c>
      <c r="AJ33" s="2" t="s">
        <v>109</v>
      </c>
      <c r="AK33" s="136" t="s">
        <v>18</v>
      </c>
      <c r="AL33" s="136">
        <v>44935</v>
      </c>
      <c r="AM33" s="2" t="s">
        <v>945</v>
      </c>
      <c r="AN33" s="2"/>
      <c r="AO33" s="2" t="s">
        <v>942</v>
      </c>
      <c r="AP33" s="2" t="s">
        <v>942</v>
      </c>
      <c r="AQ33" s="136"/>
    </row>
    <row r="34" spans="1:43" s="115" customFormat="1" ht="12.75" hidden="1" customHeight="1" x14ac:dyDescent="0.2">
      <c r="A34" s="2">
        <v>2063</v>
      </c>
      <c r="B34" s="2" t="s">
        <v>54</v>
      </c>
      <c r="C34" s="2" t="s">
        <v>96</v>
      </c>
      <c r="D34" s="2" t="s">
        <v>2030</v>
      </c>
      <c r="E34" s="2" t="s">
        <v>2029</v>
      </c>
      <c r="F34" s="2" t="s">
        <v>71</v>
      </c>
      <c r="G34" s="2">
        <v>577</v>
      </c>
      <c r="H34" s="132">
        <f>2096.5+120000+20000+39778</f>
        <v>181874.5</v>
      </c>
      <c r="I34" s="132">
        <f>2096.5+120000+20000+39778</f>
        <v>181874.5</v>
      </c>
      <c r="J34" s="132">
        <f>I34-2096.5</f>
        <v>179778</v>
      </c>
      <c r="K34" s="132">
        <f>319.81+Y34+18305.08+3050.847+58503.843</f>
        <v>181874.5</v>
      </c>
      <c r="L34" s="132">
        <f t="shared" si="1"/>
        <v>0</v>
      </c>
      <c r="M34" s="132">
        <f t="shared" si="2"/>
        <v>0</v>
      </c>
      <c r="N34" s="133">
        <v>1851</v>
      </c>
      <c r="O34" s="133">
        <f t="shared" si="3"/>
        <v>0</v>
      </c>
      <c r="P34" s="134">
        <v>0</v>
      </c>
      <c r="Q34" s="133"/>
      <c r="R34" s="133"/>
      <c r="S34" s="153">
        <v>0</v>
      </c>
      <c r="T34" s="153">
        <v>0</v>
      </c>
      <c r="U34" s="153">
        <v>0</v>
      </c>
      <c r="V34" s="135"/>
      <c r="W34" s="135"/>
      <c r="X34" s="135"/>
      <c r="Y34" s="135">
        <v>101694.92</v>
      </c>
      <c r="Z34" s="135">
        <v>1898.77</v>
      </c>
      <c r="AA34" s="135">
        <f t="shared" si="10"/>
        <v>15045.546728813562</v>
      </c>
      <c r="AB34" s="135">
        <f t="shared" si="6"/>
        <v>0</v>
      </c>
      <c r="AC34" s="135"/>
      <c r="AD34" s="133"/>
      <c r="AE34" s="133"/>
      <c r="AF34" s="132">
        <f t="shared" si="7"/>
        <v>98.25742841707185</v>
      </c>
      <c r="AG34" s="132" t="str">
        <f t="shared" si="8"/>
        <v>Нет инфо</v>
      </c>
      <c r="AH34" s="2" t="s">
        <v>11</v>
      </c>
      <c r="AI34" s="136">
        <v>45400</v>
      </c>
      <c r="AJ34" s="2" t="s">
        <v>109</v>
      </c>
      <c r="AK34" s="136" t="s">
        <v>18</v>
      </c>
      <c r="AL34" s="136">
        <v>44935</v>
      </c>
      <c r="AM34" s="2" t="s">
        <v>945</v>
      </c>
      <c r="AN34" s="2"/>
      <c r="AO34" s="2" t="s">
        <v>942</v>
      </c>
      <c r="AP34" s="2" t="s">
        <v>942</v>
      </c>
      <c r="AQ34" s="136"/>
    </row>
    <row r="35" spans="1:43" s="115" customFormat="1" ht="12.75" hidden="1" customHeight="1" x14ac:dyDescent="0.2">
      <c r="A35" s="2">
        <v>2064</v>
      </c>
      <c r="B35" s="2" t="s">
        <v>54</v>
      </c>
      <c r="C35" s="2" t="s">
        <v>96</v>
      </c>
      <c r="D35" s="2" t="s">
        <v>2032</v>
      </c>
      <c r="E35" s="2" t="s">
        <v>2031</v>
      </c>
      <c r="F35" s="2" t="s">
        <v>71</v>
      </c>
      <c r="G35" s="2">
        <v>577</v>
      </c>
      <c r="H35" s="132">
        <f>560+50000+10000+13943</f>
        <v>74503</v>
      </c>
      <c r="I35" s="132">
        <f>560+50000+10000+13943</f>
        <v>74503</v>
      </c>
      <c r="J35" s="132">
        <f>I35-560</f>
        <v>73943</v>
      </c>
      <c r="K35" s="132">
        <f>560+Y35+7627.12+1525.42+22417.58</f>
        <v>74503</v>
      </c>
      <c r="L35" s="132">
        <f t="shared" si="1"/>
        <v>0</v>
      </c>
      <c r="M35" s="132">
        <f t="shared" si="2"/>
        <v>0</v>
      </c>
      <c r="N35" s="133">
        <v>788</v>
      </c>
      <c r="O35" s="133">
        <f t="shared" si="3"/>
        <v>0</v>
      </c>
      <c r="P35" s="134">
        <v>0</v>
      </c>
      <c r="Q35" s="133"/>
      <c r="R35" s="133"/>
      <c r="S35" s="153">
        <v>0</v>
      </c>
      <c r="T35" s="153">
        <v>0</v>
      </c>
      <c r="U35" s="153">
        <v>0</v>
      </c>
      <c r="V35" s="135"/>
      <c r="W35" s="135"/>
      <c r="X35" s="135"/>
      <c r="Y35" s="135">
        <v>42372.88</v>
      </c>
      <c r="Z35" s="135">
        <v>791.15</v>
      </c>
      <c r="AA35" s="135">
        <f t="shared" si="10"/>
        <v>6187.24093220339</v>
      </c>
      <c r="AB35" s="135">
        <f t="shared" si="6"/>
        <v>0</v>
      </c>
      <c r="AC35" s="135"/>
      <c r="AD35" s="133"/>
      <c r="AE35" s="133"/>
      <c r="AF35" s="132">
        <f t="shared" si="7"/>
        <v>94.546954314720807</v>
      </c>
      <c r="AG35" s="132" t="str">
        <f t="shared" si="8"/>
        <v>Нет инфо</v>
      </c>
      <c r="AH35" s="2" t="s">
        <v>11</v>
      </c>
      <c r="AI35" s="136">
        <v>45400</v>
      </c>
      <c r="AJ35" s="2" t="s">
        <v>109</v>
      </c>
      <c r="AK35" s="136" t="s">
        <v>18</v>
      </c>
      <c r="AL35" s="136">
        <v>44935</v>
      </c>
      <c r="AM35" s="2" t="s">
        <v>945</v>
      </c>
      <c r="AN35" s="2"/>
      <c r="AO35" s="2" t="s">
        <v>942</v>
      </c>
      <c r="AP35" s="2" t="s">
        <v>942</v>
      </c>
      <c r="AQ35" s="136"/>
    </row>
    <row r="36" spans="1:43" s="115" customFormat="1" ht="12.75" hidden="1" customHeight="1" x14ac:dyDescent="0.2">
      <c r="A36" s="2">
        <v>2065</v>
      </c>
      <c r="B36" s="2" t="s">
        <v>54</v>
      </c>
      <c r="C36" s="2" t="s">
        <v>96</v>
      </c>
      <c r="D36" s="2" t="s">
        <v>2034</v>
      </c>
      <c r="E36" s="2" t="s">
        <v>2033</v>
      </c>
      <c r="F36" s="2" t="s">
        <v>71</v>
      </c>
      <c r="G36" s="2">
        <v>577</v>
      </c>
      <c r="H36" s="132">
        <f>759.5+40000+10000+24276</f>
        <v>75035.5</v>
      </c>
      <c r="I36" s="132">
        <f>759.5+40000+10000+24276</f>
        <v>75035.5</v>
      </c>
      <c r="J36" s="132">
        <f>I36-759.5</f>
        <v>74276</v>
      </c>
      <c r="K36" s="132">
        <f>759.5+6101.69+Y36+1525.42+32750.58</f>
        <v>75035.5</v>
      </c>
      <c r="L36" s="132">
        <f t="shared" si="1"/>
        <v>0</v>
      </c>
      <c r="M36" s="132">
        <f t="shared" si="2"/>
        <v>0</v>
      </c>
      <c r="N36" s="133">
        <v>983</v>
      </c>
      <c r="O36" s="133">
        <f t="shared" si="3"/>
        <v>0</v>
      </c>
      <c r="P36" s="134">
        <v>0</v>
      </c>
      <c r="Q36" s="133"/>
      <c r="R36" s="133"/>
      <c r="S36" s="153">
        <v>0</v>
      </c>
      <c r="T36" s="153">
        <v>0</v>
      </c>
      <c r="U36" s="153">
        <v>0</v>
      </c>
      <c r="V36" s="135"/>
      <c r="W36" s="135"/>
      <c r="X36" s="135"/>
      <c r="Y36" s="135">
        <v>33898.31</v>
      </c>
      <c r="Z36" s="135">
        <v>632.91999999999996</v>
      </c>
      <c r="AA36" s="135">
        <f t="shared" si="10"/>
        <v>6231.2842711864414</v>
      </c>
      <c r="AB36" s="135">
        <f t="shared" si="6"/>
        <v>0</v>
      </c>
      <c r="AC36" s="135"/>
      <c r="AD36" s="133"/>
      <c r="AE36" s="133"/>
      <c r="AF36" s="132">
        <f t="shared" si="7"/>
        <v>76.333163784333678</v>
      </c>
      <c r="AG36" s="132" t="str">
        <f t="shared" si="8"/>
        <v>Нет инфо</v>
      </c>
      <c r="AH36" s="2" t="s">
        <v>11</v>
      </c>
      <c r="AI36" s="136">
        <v>45400</v>
      </c>
      <c r="AJ36" s="2" t="s">
        <v>109</v>
      </c>
      <c r="AK36" s="136" t="s">
        <v>18</v>
      </c>
      <c r="AL36" s="136">
        <v>44935</v>
      </c>
      <c r="AM36" s="2" t="s">
        <v>945</v>
      </c>
      <c r="AN36" s="2"/>
      <c r="AO36" s="2" t="s">
        <v>942</v>
      </c>
      <c r="AP36" s="2" t="s">
        <v>942</v>
      </c>
      <c r="AQ36" s="136"/>
    </row>
    <row r="37" spans="1:43" s="115" customFormat="1" ht="12.75" hidden="1" customHeight="1" x14ac:dyDescent="0.2">
      <c r="A37" s="2">
        <v>2066</v>
      </c>
      <c r="B37" s="2" t="s">
        <v>54</v>
      </c>
      <c r="C37" s="2" t="s">
        <v>96</v>
      </c>
      <c r="D37" s="2" t="s">
        <v>2036</v>
      </c>
      <c r="E37" s="2" t="s">
        <v>2035</v>
      </c>
      <c r="F37" s="2" t="s">
        <v>71</v>
      </c>
      <c r="G37" s="2">
        <v>648</v>
      </c>
      <c r="H37" s="132">
        <f>3290+80000+2000+25842</f>
        <v>111132</v>
      </c>
      <c r="I37" s="132">
        <f>3290+80000+2000+25842</f>
        <v>111132</v>
      </c>
      <c r="J37" s="132">
        <f>I37-3290</f>
        <v>107842</v>
      </c>
      <c r="K37" s="132">
        <f>501.86+Y37+12203.39+305.08+28630.14</f>
        <v>111132</v>
      </c>
      <c r="L37" s="132">
        <f t="shared" si="1"/>
        <v>0</v>
      </c>
      <c r="M37" s="132">
        <f t="shared" si="2"/>
        <v>0</v>
      </c>
      <c r="N37" s="133">
        <v>2146</v>
      </c>
      <c r="O37" s="133">
        <f t="shared" si="3"/>
        <v>0</v>
      </c>
      <c r="P37" s="134">
        <v>0</v>
      </c>
      <c r="Q37" s="133"/>
      <c r="R37" s="133"/>
      <c r="S37" s="153">
        <v>0</v>
      </c>
      <c r="T37" s="153">
        <v>0</v>
      </c>
      <c r="U37" s="153">
        <v>0</v>
      </c>
      <c r="V37" s="135">
        <v>0</v>
      </c>
      <c r="W37" s="135">
        <v>0</v>
      </c>
      <c r="X37" s="135"/>
      <c r="Y37" s="135">
        <f>67796.61+1694.92</f>
        <v>69491.53</v>
      </c>
      <c r="Z37" s="135">
        <f>2073.83+31.65</f>
        <v>2105.48</v>
      </c>
      <c r="AA37" s="135">
        <f t="shared" si="10"/>
        <v>8928.6045423728829</v>
      </c>
      <c r="AB37" s="135">
        <f t="shared" si="6"/>
        <v>0</v>
      </c>
      <c r="AC37" s="135"/>
      <c r="AD37" s="133"/>
      <c r="AE37" s="133"/>
      <c r="AF37" s="132">
        <f t="shared" si="7"/>
        <v>51.785647716682199</v>
      </c>
      <c r="AG37" s="132" t="str">
        <f t="shared" si="8"/>
        <v>Нет инфо</v>
      </c>
      <c r="AH37" s="2" t="s">
        <v>11</v>
      </c>
      <c r="AI37" s="136">
        <v>45393</v>
      </c>
      <c r="AJ37" s="2" t="s">
        <v>109</v>
      </c>
      <c r="AK37" s="136" t="s">
        <v>18</v>
      </c>
      <c r="AL37" s="136">
        <v>44935</v>
      </c>
      <c r="AM37" s="2" t="s">
        <v>726</v>
      </c>
      <c r="AN37" s="2"/>
      <c r="AO37" s="2" t="s">
        <v>927</v>
      </c>
      <c r="AP37" s="2" t="s">
        <v>927</v>
      </c>
      <c r="AQ37" s="136"/>
    </row>
    <row r="38" spans="1:43" s="115" customFormat="1" ht="12.75" hidden="1" customHeight="1" x14ac:dyDescent="0.2">
      <c r="A38" s="2">
        <v>2067</v>
      </c>
      <c r="B38" s="2" t="s">
        <v>54</v>
      </c>
      <c r="C38" s="2" t="s">
        <v>96</v>
      </c>
      <c r="D38" s="2" t="s">
        <v>2040</v>
      </c>
      <c r="E38" s="2" t="s">
        <v>2039</v>
      </c>
      <c r="F38" s="2" t="s">
        <v>71</v>
      </c>
      <c r="G38" s="2">
        <v>701</v>
      </c>
      <c r="H38" s="132">
        <f>2247+90000+10000+11965</f>
        <v>114212</v>
      </c>
      <c r="I38" s="132">
        <f>2247+90000+10000+11965</f>
        <v>114212</v>
      </c>
      <c r="J38" s="132">
        <f>I38-2247</f>
        <v>111965</v>
      </c>
      <c r="K38" s="132">
        <f>342.76+Y38+13728.81+1525.42+22343.82</f>
        <v>114212</v>
      </c>
      <c r="L38" s="132">
        <f t="shared" si="1"/>
        <v>0</v>
      </c>
      <c r="M38" s="132">
        <f t="shared" si="2"/>
        <v>0</v>
      </c>
      <c r="N38" s="133">
        <v>1009</v>
      </c>
      <c r="O38" s="133">
        <f t="shared" si="3"/>
        <v>0</v>
      </c>
      <c r="P38" s="134">
        <v>0</v>
      </c>
      <c r="Q38" s="133"/>
      <c r="R38" s="133"/>
      <c r="S38" s="153">
        <v>0</v>
      </c>
      <c r="T38" s="153">
        <v>0</v>
      </c>
      <c r="U38" s="153">
        <v>0</v>
      </c>
      <c r="V38" s="135">
        <v>0</v>
      </c>
      <c r="W38" s="135">
        <v>0</v>
      </c>
      <c r="X38" s="135"/>
      <c r="Y38" s="135">
        <v>76271.19</v>
      </c>
      <c r="Z38" s="135">
        <v>1424.08</v>
      </c>
      <c r="AA38" s="135">
        <f t="shared" si="10"/>
        <v>9346.1513220338984</v>
      </c>
      <c r="AB38" s="135">
        <f t="shared" si="6"/>
        <v>0</v>
      </c>
      <c r="AC38" s="135"/>
      <c r="AD38" s="133"/>
      <c r="AE38" s="133"/>
      <c r="AF38" s="132">
        <f t="shared" si="7"/>
        <v>113.19326065411299</v>
      </c>
      <c r="AG38" s="132" t="str">
        <f t="shared" si="8"/>
        <v>Нет инфо</v>
      </c>
      <c r="AH38" s="2" t="s">
        <v>11</v>
      </c>
      <c r="AI38" s="136">
        <v>45400</v>
      </c>
      <c r="AJ38" s="2" t="s">
        <v>109</v>
      </c>
      <c r="AK38" s="136" t="s">
        <v>18</v>
      </c>
      <c r="AL38" s="136">
        <v>44935</v>
      </c>
      <c r="AM38" s="2" t="s">
        <v>730</v>
      </c>
      <c r="AN38" s="2"/>
      <c r="AO38" s="2" t="s">
        <v>729</v>
      </c>
      <c r="AP38" s="2" t="s">
        <v>729</v>
      </c>
      <c r="AQ38" s="136"/>
    </row>
    <row r="39" spans="1:43" s="115" customFormat="1" ht="12.75" hidden="1" customHeight="1" x14ac:dyDescent="0.2">
      <c r="A39" s="2">
        <v>2068</v>
      </c>
      <c r="B39" s="2" t="s">
        <v>54</v>
      </c>
      <c r="C39" s="2" t="s">
        <v>96</v>
      </c>
      <c r="D39" s="2" t="s">
        <v>1951</v>
      </c>
      <c r="E39" s="2" t="s">
        <v>1949</v>
      </c>
      <c r="F39" s="2" t="s">
        <v>71</v>
      </c>
      <c r="G39" s="2">
        <v>577</v>
      </c>
      <c r="H39" s="132">
        <f>35000+12233.96</f>
        <v>47233.96</v>
      </c>
      <c r="I39" s="132">
        <f>1389.5+35000+12233.96</f>
        <v>48623.46</v>
      </c>
      <c r="J39" s="132">
        <f>I39-1389.5</f>
        <v>47233.96</v>
      </c>
      <c r="K39" s="132">
        <f>211.96+S39+V39+Y39+5338.98+1866.2+11545.3</f>
        <v>48623.459999999992</v>
      </c>
      <c r="L39" s="132">
        <f t="shared" si="1"/>
        <v>-1389.4999999999927</v>
      </c>
      <c r="M39" s="132">
        <f t="shared" si="2"/>
        <v>0</v>
      </c>
      <c r="N39" s="133">
        <v>771</v>
      </c>
      <c r="O39" s="133">
        <f t="shared" si="3"/>
        <v>7.2759576141834259E-12</v>
      </c>
      <c r="P39" s="134">
        <v>0</v>
      </c>
      <c r="Q39" s="133"/>
      <c r="R39" s="133"/>
      <c r="S39" s="153">
        <v>0</v>
      </c>
      <c r="T39" s="153">
        <v>0</v>
      </c>
      <c r="U39" s="153">
        <v>0</v>
      </c>
      <c r="V39" s="135">
        <v>29661.02</v>
      </c>
      <c r="W39" s="135">
        <v>1484.68</v>
      </c>
      <c r="X39" s="135"/>
      <c r="Y39" s="135"/>
      <c r="Z39" s="135"/>
      <c r="AA39" s="135">
        <f t="shared" si="10"/>
        <v>3854.4099661016953</v>
      </c>
      <c r="AB39" s="135">
        <f t="shared" si="6"/>
        <v>0</v>
      </c>
      <c r="AC39" s="135"/>
      <c r="AD39" s="133"/>
      <c r="AE39" s="133"/>
      <c r="AF39" s="132">
        <f t="shared" si="7"/>
        <v>63.065447470817119</v>
      </c>
      <c r="AG39" s="132" t="str">
        <f t="shared" si="8"/>
        <v>Нет инфо</v>
      </c>
      <c r="AH39" s="2" t="s">
        <v>11</v>
      </c>
      <c r="AI39" s="136">
        <v>45351</v>
      </c>
      <c r="AJ39" s="2" t="s">
        <v>109</v>
      </c>
      <c r="AK39" s="136" t="s">
        <v>18</v>
      </c>
      <c r="AL39" s="136">
        <v>44935</v>
      </c>
      <c r="AM39" s="2" t="s">
        <v>945</v>
      </c>
      <c r="AN39" s="2"/>
      <c r="AO39" s="2" t="s">
        <v>942</v>
      </c>
      <c r="AP39" s="2" t="s">
        <v>942</v>
      </c>
      <c r="AQ39" s="136"/>
    </row>
    <row r="40" spans="1:43" s="115" customFormat="1" ht="12.75" hidden="1" customHeight="1" x14ac:dyDescent="0.2">
      <c r="A40" s="2">
        <v>2069</v>
      </c>
      <c r="B40" s="2" t="s">
        <v>54</v>
      </c>
      <c r="C40" s="2" t="s">
        <v>96</v>
      </c>
      <c r="D40" s="2" t="s">
        <v>1960</v>
      </c>
      <c r="E40" s="2" t="s">
        <v>1953</v>
      </c>
      <c r="F40" s="2" t="s">
        <v>71</v>
      </c>
      <c r="G40" s="2">
        <v>619</v>
      </c>
      <c r="H40" s="132">
        <f>1312.5+30000+2000+5557</f>
        <v>38869.5</v>
      </c>
      <c r="I40" s="132">
        <f>1312.5+30000+2000+5557</f>
        <v>38869.5</v>
      </c>
      <c r="J40" s="132">
        <f>I40-1312.5</f>
        <v>37557</v>
      </c>
      <c r="K40" s="132">
        <f>200.21+V40+4576.27+Y40+305.08+6669.29</f>
        <v>38869.5</v>
      </c>
      <c r="L40" s="132">
        <f t="shared" si="1"/>
        <v>0</v>
      </c>
      <c r="M40" s="132">
        <f t="shared" si="2"/>
        <v>0</v>
      </c>
      <c r="N40" s="133">
        <v>680</v>
      </c>
      <c r="O40" s="133">
        <f t="shared" si="3"/>
        <v>0</v>
      </c>
      <c r="P40" s="134">
        <v>0</v>
      </c>
      <c r="Q40" s="133"/>
      <c r="R40" s="133"/>
      <c r="S40" s="153">
        <v>0</v>
      </c>
      <c r="T40" s="153">
        <v>0</v>
      </c>
      <c r="U40" s="153">
        <v>0</v>
      </c>
      <c r="V40" s="135">
        <v>25423.73</v>
      </c>
      <c r="W40" s="135">
        <v>1272.58</v>
      </c>
      <c r="X40" s="135"/>
      <c r="Y40" s="135">
        <v>1694.92</v>
      </c>
      <c r="Z40" s="135">
        <v>31.65</v>
      </c>
      <c r="AA40" s="135">
        <f t="shared" si="10"/>
        <v>3052.3736101694917</v>
      </c>
      <c r="AB40" s="135">
        <f t="shared" si="6"/>
        <v>0</v>
      </c>
      <c r="AC40" s="135"/>
      <c r="AD40" s="133"/>
      <c r="AE40" s="133"/>
      <c r="AF40" s="132">
        <f t="shared" si="7"/>
        <v>57.161029411764709</v>
      </c>
      <c r="AG40" s="132" t="str">
        <f t="shared" si="8"/>
        <v>Нет инфо</v>
      </c>
      <c r="AH40" s="2" t="s">
        <v>11</v>
      </c>
      <c r="AI40" s="136">
        <v>45393</v>
      </c>
      <c r="AJ40" s="2" t="s">
        <v>109</v>
      </c>
      <c r="AK40" s="136" t="s">
        <v>18</v>
      </c>
      <c r="AL40" s="136">
        <v>44935</v>
      </c>
      <c r="AM40" s="2" t="s">
        <v>717</v>
      </c>
      <c r="AN40" s="2"/>
      <c r="AO40" s="2" t="s">
        <v>715</v>
      </c>
      <c r="AP40" s="2" t="s">
        <v>715</v>
      </c>
      <c r="AQ40" s="136"/>
    </row>
    <row r="41" spans="1:43" s="115" customFormat="1" ht="12.75" hidden="1" customHeight="1" x14ac:dyDescent="0.2">
      <c r="A41" s="2">
        <v>2070</v>
      </c>
      <c r="B41" s="2" t="s">
        <v>54</v>
      </c>
      <c r="C41" s="2" t="s">
        <v>96</v>
      </c>
      <c r="D41" s="2" t="s">
        <v>2042</v>
      </c>
      <c r="E41" s="2" t="s">
        <v>2041</v>
      </c>
      <c r="F41" s="2" t="s">
        <v>71</v>
      </c>
      <c r="G41" s="2">
        <v>577</v>
      </c>
      <c r="H41" s="132">
        <f>1086.75+35000+5000+22059</f>
        <v>63145.75</v>
      </c>
      <c r="I41" s="132">
        <f>1086.75+35000+5000+22059</f>
        <v>63145.75</v>
      </c>
      <c r="J41" s="132">
        <f>I41-1086.75</f>
        <v>62059</v>
      </c>
      <c r="K41" s="132">
        <f>165.78+V41+5338.98+Y41+762.71+22979.97</f>
        <v>63145.75</v>
      </c>
      <c r="L41" s="132">
        <f t="shared" si="1"/>
        <v>0</v>
      </c>
      <c r="M41" s="132">
        <f t="shared" si="2"/>
        <v>0</v>
      </c>
      <c r="N41" s="133">
        <v>706</v>
      </c>
      <c r="O41" s="133">
        <f t="shared" si="3"/>
        <v>0</v>
      </c>
      <c r="P41" s="134">
        <v>0</v>
      </c>
      <c r="Q41" s="133"/>
      <c r="R41" s="133"/>
      <c r="S41" s="153">
        <v>0</v>
      </c>
      <c r="T41" s="153">
        <v>0</v>
      </c>
      <c r="U41" s="153">
        <v>0</v>
      </c>
      <c r="V41" s="135">
        <v>29661.02</v>
      </c>
      <c r="W41" s="135">
        <v>1484.68</v>
      </c>
      <c r="X41" s="135"/>
      <c r="Y41" s="135">
        <v>4237.29</v>
      </c>
      <c r="Z41" s="135">
        <v>79.12</v>
      </c>
      <c r="AA41" s="135">
        <f t="shared" si="10"/>
        <v>5102.857288135594</v>
      </c>
      <c r="AB41" s="135">
        <f t="shared" si="6"/>
        <v>0</v>
      </c>
      <c r="AC41" s="135"/>
      <c r="AD41" s="133"/>
      <c r="AE41" s="133"/>
      <c r="AF41" s="132">
        <f t="shared" si="7"/>
        <v>89.441572237960344</v>
      </c>
      <c r="AG41" s="132" t="str">
        <f t="shared" si="8"/>
        <v>Нет инфо</v>
      </c>
      <c r="AH41" s="2" t="s">
        <v>11</v>
      </c>
      <c r="AI41" s="136">
        <v>45393</v>
      </c>
      <c r="AJ41" s="2" t="s">
        <v>109</v>
      </c>
      <c r="AK41" s="136" t="s">
        <v>18</v>
      </c>
      <c r="AL41" s="136">
        <v>44935</v>
      </c>
      <c r="AM41" s="2" t="s">
        <v>945</v>
      </c>
      <c r="AN41" s="2"/>
      <c r="AO41" s="2" t="s">
        <v>942</v>
      </c>
      <c r="AP41" s="2" t="s">
        <v>942</v>
      </c>
      <c r="AQ41" s="136"/>
    </row>
    <row r="42" spans="1:43" s="115" customFormat="1" ht="12.75" hidden="1" customHeight="1" x14ac:dyDescent="0.2">
      <c r="A42" s="2">
        <v>2071</v>
      </c>
      <c r="B42" s="2" t="s">
        <v>54</v>
      </c>
      <c r="C42" s="2" t="s">
        <v>96</v>
      </c>
      <c r="D42" s="2" t="s">
        <v>1952</v>
      </c>
      <c r="E42" s="2" t="s">
        <v>1950</v>
      </c>
      <c r="F42" s="2" t="s">
        <v>71</v>
      </c>
      <c r="G42" s="2">
        <v>577</v>
      </c>
      <c r="H42" s="132">
        <f>1370.25+35000+5000+8022</f>
        <v>49392.25</v>
      </c>
      <c r="I42" s="132">
        <f>1370.25+35000+5000+8022</f>
        <v>49392.25</v>
      </c>
      <c r="J42" s="132">
        <f>I42-1370.25</f>
        <v>48022</v>
      </c>
      <c r="K42" s="132">
        <f>209.02+V42+5338.98+Y42+762.71+9183.23</f>
        <v>49392.25</v>
      </c>
      <c r="L42" s="132">
        <f t="shared" si="1"/>
        <v>0</v>
      </c>
      <c r="M42" s="132">
        <f t="shared" si="2"/>
        <v>0</v>
      </c>
      <c r="N42" s="133">
        <v>725</v>
      </c>
      <c r="O42" s="133">
        <f t="shared" si="3"/>
        <v>0</v>
      </c>
      <c r="P42" s="134">
        <v>0</v>
      </c>
      <c r="Q42" s="133"/>
      <c r="R42" s="133"/>
      <c r="S42" s="153">
        <v>0</v>
      </c>
      <c r="T42" s="153">
        <v>0</v>
      </c>
      <c r="U42" s="153">
        <v>0</v>
      </c>
      <c r="V42" s="135">
        <v>29661.02</v>
      </c>
      <c r="W42" s="135">
        <v>1484.68</v>
      </c>
      <c r="X42" s="135"/>
      <c r="Y42" s="135">
        <v>4237.29</v>
      </c>
      <c r="Z42" s="135">
        <v>79.12</v>
      </c>
      <c r="AA42" s="135">
        <f t="shared" si="10"/>
        <v>3913.2810169491527</v>
      </c>
      <c r="AB42" s="135">
        <f t="shared" si="6"/>
        <v>0</v>
      </c>
      <c r="AC42" s="135"/>
      <c r="AD42" s="133"/>
      <c r="AE42" s="133"/>
      <c r="AF42" s="132">
        <f t="shared" si="7"/>
        <v>68.127241379310348</v>
      </c>
      <c r="AG42" s="132" t="str">
        <f t="shared" si="8"/>
        <v>Нет инфо</v>
      </c>
      <c r="AH42" s="2" t="s">
        <v>11</v>
      </c>
      <c r="AI42" s="136">
        <v>45393</v>
      </c>
      <c r="AJ42" s="2" t="s">
        <v>109</v>
      </c>
      <c r="AK42" s="136" t="s">
        <v>18</v>
      </c>
      <c r="AL42" s="136">
        <v>44935</v>
      </c>
      <c r="AM42" s="2" t="s">
        <v>945</v>
      </c>
      <c r="AN42" s="2"/>
      <c r="AO42" s="2" t="s">
        <v>942</v>
      </c>
      <c r="AP42" s="2" t="s">
        <v>942</v>
      </c>
      <c r="AQ42" s="136"/>
    </row>
    <row r="43" spans="1:43" s="115" customFormat="1" ht="12.75" hidden="1" customHeight="1" x14ac:dyDescent="0.25">
      <c r="A43" s="2">
        <v>2072</v>
      </c>
      <c r="B43" s="2" t="s">
        <v>54</v>
      </c>
      <c r="C43" s="2" t="s">
        <v>96</v>
      </c>
      <c r="D43" s="2" t="s">
        <v>1964</v>
      </c>
      <c r="E43" s="3" t="s">
        <v>1734</v>
      </c>
      <c r="F43" s="2" t="s">
        <v>71</v>
      </c>
      <c r="G43" s="2">
        <v>721</v>
      </c>
      <c r="H43" s="132">
        <f>3724+60000+2000+36122.19</f>
        <v>101846.19</v>
      </c>
      <c r="I43" s="132">
        <f>3724+60000+2000+36122.19</f>
        <v>101846.19</v>
      </c>
      <c r="J43" s="132">
        <f>I43-3724</f>
        <v>98122.19</v>
      </c>
      <c r="K43" s="132">
        <f>568.07+9152.54+305.08+S43+V43+Y43+5510.16+33767.96</f>
        <v>101846.19</v>
      </c>
      <c r="L43" s="132">
        <f t="shared" si="1"/>
        <v>0</v>
      </c>
      <c r="M43" s="132">
        <f t="shared" si="2"/>
        <v>0</v>
      </c>
      <c r="N43" s="133">
        <v>2046</v>
      </c>
      <c r="O43" s="133">
        <f t="shared" si="3"/>
        <v>0</v>
      </c>
      <c r="P43" s="134">
        <v>0</v>
      </c>
      <c r="Q43" s="133"/>
      <c r="R43" s="133"/>
      <c r="S43" s="153">
        <v>0</v>
      </c>
      <c r="T43" s="153">
        <v>0</v>
      </c>
      <c r="U43" s="153">
        <v>0</v>
      </c>
      <c r="V43" s="135">
        <f>50847.46+1694.92</f>
        <v>52542.38</v>
      </c>
      <c r="W43" s="135">
        <f>3615.05+84.84</f>
        <v>3699.8900000000003</v>
      </c>
      <c r="X43" s="135"/>
      <c r="Y43" s="135">
        <v>0</v>
      </c>
      <c r="Z43" s="135">
        <v>0</v>
      </c>
      <c r="AA43" s="135">
        <f t="shared" si="10"/>
        <v>7945.4508305084746</v>
      </c>
      <c r="AB43" s="135">
        <f t="shared" si="6"/>
        <v>0</v>
      </c>
      <c r="AC43" s="135"/>
      <c r="AD43" s="133"/>
      <c r="AE43" s="133"/>
      <c r="AF43" s="132">
        <f t="shared" si="7"/>
        <v>49.778196480938419</v>
      </c>
      <c r="AG43" s="132" t="str">
        <f t="shared" si="8"/>
        <v>Нет инфо</v>
      </c>
      <c r="AH43" s="2" t="s">
        <v>11</v>
      </c>
      <c r="AI43" s="136">
        <v>45370</v>
      </c>
      <c r="AJ43" s="2" t="s">
        <v>109</v>
      </c>
      <c r="AK43" s="136" t="s">
        <v>18</v>
      </c>
      <c r="AL43" s="136">
        <v>44935</v>
      </c>
      <c r="AM43" s="2" t="s">
        <v>950</v>
      </c>
      <c r="AN43" s="2"/>
      <c r="AO43" s="2" t="s">
        <v>946</v>
      </c>
      <c r="AP43" s="2" t="s">
        <v>946</v>
      </c>
      <c r="AQ43" s="136"/>
    </row>
    <row r="44" spans="1:43" s="115" customFormat="1" ht="12.75" hidden="1" customHeight="1" x14ac:dyDescent="0.25">
      <c r="A44" s="2">
        <v>2073</v>
      </c>
      <c r="B44" s="2" t="s">
        <v>54</v>
      </c>
      <c r="C44" s="2" t="s">
        <v>96</v>
      </c>
      <c r="D44" s="2" t="s">
        <v>2055</v>
      </c>
      <c r="E44" s="3" t="s">
        <v>1737</v>
      </c>
      <c r="F44" s="2" t="s">
        <v>71</v>
      </c>
      <c r="G44" s="2">
        <v>721</v>
      </c>
      <c r="H44" s="132">
        <f>3466.75+60000+35568</f>
        <v>99034.75</v>
      </c>
      <c r="I44" s="132">
        <f>3466.75+60000+35568</f>
        <v>99034.75</v>
      </c>
      <c r="J44" s="132">
        <f>I44-3466.75</f>
        <v>95568</v>
      </c>
      <c r="K44" s="132">
        <f>S44+V44+Y44+9152.54+528.83+5425.63+33080.29</f>
        <v>99034.75</v>
      </c>
      <c r="L44" s="132">
        <f t="shared" si="1"/>
        <v>0</v>
      </c>
      <c r="M44" s="132">
        <f t="shared" si="2"/>
        <v>0</v>
      </c>
      <c r="N44" s="133">
        <v>2005</v>
      </c>
      <c r="O44" s="133">
        <f t="shared" si="3"/>
        <v>0</v>
      </c>
      <c r="P44" s="134">
        <v>0</v>
      </c>
      <c r="Q44" s="133"/>
      <c r="R44" s="133"/>
      <c r="S44" s="153">
        <v>0</v>
      </c>
      <c r="T44" s="153">
        <v>0</v>
      </c>
      <c r="U44" s="153">
        <v>0</v>
      </c>
      <c r="V44" s="135">
        <v>50847.46</v>
      </c>
      <c r="W44" s="135">
        <v>3615.05</v>
      </c>
      <c r="X44" s="135"/>
      <c r="Y44" s="135"/>
      <c r="Z44" s="135"/>
      <c r="AA44" s="135">
        <f t="shared" si="10"/>
        <v>7737.4780508474578</v>
      </c>
      <c r="AB44" s="135">
        <f t="shared" si="6"/>
        <v>0</v>
      </c>
      <c r="AC44" s="135"/>
      <c r="AD44" s="133"/>
      <c r="AE44" s="133"/>
      <c r="AF44" s="132">
        <f t="shared" si="7"/>
        <v>49.393890274314217</v>
      </c>
      <c r="AG44" s="132" t="str">
        <f t="shared" si="8"/>
        <v>Нет инфо</v>
      </c>
      <c r="AH44" s="2" t="s">
        <v>11</v>
      </c>
      <c r="AI44" s="136">
        <v>45370</v>
      </c>
      <c r="AJ44" s="2" t="s">
        <v>109</v>
      </c>
      <c r="AK44" s="136" t="s">
        <v>18</v>
      </c>
      <c r="AL44" s="136">
        <v>44935</v>
      </c>
      <c r="AM44" s="2" t="s">
        <v>950</v>
      </c>
      <c r="AN44" s="2"/>
      <c r="AO44" s="2" t="s">
        <v>946</v>
      </c>
      <c r="AP44" s="2" t="s">
        <v>946</v>
      </c>
      <c r="AQ44" s="136"/>
    </row>
    <row r="45" spans="1:43" s="115" customFormat="1" ht="12.75" hidden="1" customHeight="1" x14ac:dyDescent="0.2">
      <c r="A45" s="2">
        <v>2074</v>
      </c>
      <c r="B45" s="2" t="s">
        <v>54</v>
      </c>
      <c r="C45" s="2" t="s">
        <v>50</v>
      </c>
      <c r="D45" s="2" t="s">
        <v>2120</v>
      </c>
      <c r="E45" s="2" t="s">
        <v>2075</v>
      </c>
      <c r="F45" s="2" t="s">
        <v>110</v>
      </c>
      <c r="G45" s="2"/>
      <c r="H45" s="132">
        <v>1529.5</v>
      </c>
      <c r="I45" s="132">
        <v>1529.5</v>
      </c>
      <c r="J45" s="132"/>
      <c r="K45" s="132">
        <f>233.31+1296.19</f>
        <v>1529.5</v>
      </c>
      <c r="L45" s="132">
        <f t="shared" si="1"/>
        <v>0</v>
      </c>
      <c r="M45" s="132">
        <f t="shared" si="2"/>
        <v>0</v>
      </c>
      <c r="N45" s="133"/>
      <c r="O45" s="133">
        <f t="shared" si="3"/>
        <v>0</v>
      </c>
      <c r="P45" s="134">
        <v>0</v>
      </c>
      <c r="Q45" s="133"/>
      <c r="R45" s="133"/>
      <c r="S45" s="153">
        <v>0</v>
      </c>
      <c r="T45" s="153">
        <v>0</v>
      </c>
      <c r="U45" s="153">
        <v>0</v>
      </c>
      <c r="V45" s="135"/>
      <c r="W45" s="135"/>
      <c r="X45" s="135"/>
      <c r="Y45" s="135"/>
      <c r="Z45" s="135"/>
      <c r="AA45" s="135"/>
      <c r="AB45" s="135">
        <f t="shared" ref="AB45:AB74" si="11">IF(AJ45="Принят",(J45/1.18-W45-Z45)*0.1,J45/1.18*0.8*0.1)-AA45</f>
        <v>0</v>
      </c>
      <c r="AC45" s="135"/>
      <c r="AD45" s="133"/>
      <c r="AE45" s="133"/>
      <c r="AF45" s="132" t="str">
        <f t="shared" si="7"/>
        <v>Нет инфо</v>
      </c>
      <c r="AG45" s="132" t="str">
        <f t="shared" si="8"/>
        <v>Нет инфо</v>
      </c>
      <c r="AH45" s="2" t="s">
        <v>112</v>
      </c>
      <c r="AI45" s="136">
        <v>45363</v>
      </c>
      <c r="AJ45" s="2" t="s">
        <v>145</v>
      </c>
      <c r="AK45" s="136" t="s">
        <v>18</v>
      </c>
      <c r="AL45" s="136">
        <v>44677</v>
      </c>
      <c r="AM45" s="2" t="s">
        <v>1566</v>
      </c>
      <c r="AN45" s="2"/>
      <c r="AO45" s="2" t="s">
        <v>338</v>
      </c>
      <c r="AP45" s="2" t="s">
        <v>338</v>
      </c>
      <c r="AQ45" s="136"/>
    </row>
    <row r="46" spans="1:43" s="115" customFormat="1" ht="12.75" hidden="1" customHeight="1" x14ac:dyDescent="0.2">
      <c r="A46" s="2">
        <v>2075</v>
      </c>
      <c r="B46" s="2" t="s">
        <v>54</v>
      </c>
      <c r="C46" s="2" t="s">
        <v>50</v>
      </c>
      <c r="D46" s="2" t="s">
        <v>2121</v>
      </c>
      <c r="E46" s="2" t="s">
        <v>2076</v>
      </c>
      <c r="F46" s="2" t="s">
        <v>110</v>
      </c>
      <c r="G46" s="2"/>
      <c r="H46" s="132">
        <v>1622.25</v>
      </c>
      <c r="I46" s="132">
        <v>1622.25</v>
      </c>
      <c r="J46" s="132"/>
      <c r="K46" s="132">
        <f>247.46+1374.79</f>
        <v>1622.25</v>
      </c>
      <c r="L46" s="132">
        <f t="shared" si="1"/>
        <v>0</v>
      </c>
      <c r="M46" s="132">
        <f t="shared" si="2"/>
        <v>0</v>
      </c>
      <c r="N46" s="133"/>
      <c r="O46" s="133">
        <f t="shared" si="3"/>
        <v>0</v>
      </c>
      <c r="P46" s="134">
        <v>0</v>
      </c>
      <c r="Q46" s="133"/>
      <c r="R46" s="133"/>
      <c r="S46" s="153">
        <v>0</v>
      </c>
      <c r="T46" s="153">
        <v>0</v>
      </c>
      <c r="U46" s="153">
        <v>0</v>
      </c>
      <c r="V46" s="135"/>
      <c r="W46" s="135"/>
      <c r="X46" s="135"/>
      <c r="Y46" s="135"/>
      <c r="Z46" s="135"/>
      <c r="AA46" s="135"/>
      <c r="AB46" s="135">
        <f t="shared" si="11"/>
        <v>0</v>
      </c>
      <c r="AC46" s="135"/>
      <c r="AD46" s="133"/>
      <c r="AE46" s="133"/>
      <c r="AF46" s="132" t="str">
        <f t="shared" si="7"/>
        <v>Нет инфо</v>
      </c>
      <c r="AG46" s="132" t="str">
        <f t="shared" si="8"/>
        <v>Нет инфо</v>
      </c>
      <c r="AH46" s="2" t="s">
        <v>112</v>
      </c>
      <c r="AI46" s="136">
        <v>45363</v>
      </c>
      <c r="AJ46" s="2" t="s">
        <v>145</v>
      </c>
      <c r="AK46" s="136" t="s">
        <v>18</v>
      </c>
      <c r="AL46" s="136">
        <v>44677</v>
      </c>
      <c r="AM46" s="2" t="s">
        <v>1566</v>
      </c>
      <c r="AN46" s="2"/>
      <c r="AO46" s="2" t="s">
        <v>338</v>
      </c>
      <c r="AP46" s="2" t="s">
        <v>338</v>
      </c>
      <c r="AQ46" s="136"/>
    </row>
    <row r="47" spans="1:43" s="115" customFormat="1" ht="12.75" hidden="1" customHeight="1" x14ac:dyDescent="0.2">
      <c r="A47" s="2">
        <v>2076</v>
      </c>
      <c r="B47" s="2" t="s">
        <v>54</v>
      </c>
      <c r="C47" s="2" t="s">
        <v>50</v>
      </c>
      <c r="D47" s="2" t="s">
        <v>2122</v>
      </c>
      <c r="E47" s="2" t="s">
        <v>2077</v>
      </c>
      <c r="F47" s="2" t="s">
        <v>110</v>
      </c>
      <c r="G47" s="2"/>
      <c r="H47" s="132">
        <v>1683.5</v>
      </c>
      <c r="I47" s="132">
        <v>1683.5</v>
      </c>
      <c r="J47" s="132"/>
      <c r="K47" s="132">
        <f>256.8+1426.7</f>
        <v>1683.5</v>
      </c>
      <c r="L47" s="132">
        <f t="shared" si="1"/>
        <v>0</v>
      </c>
      <c r="M47" s="132">
        <f t="shared" si="2"/>
        <v>0</v>
      </c>
      <c r="N47" s="133"/>
      <c r="O47" s="133">
        <f t="shared" si="3"/>
        <v>0</v>
      </c>
      <c r="P47" s="134">
        <v>0</v>
      </c>
      <c r="Q47" s="133"/>
      <c r="R47" s="133"/>
      <c r="S47" s="153">
        <v>0</v>
      </c>
      <c r="T47" s="153">
        <v>0</v>
      </c>
      <c r="U47" s="153">
        <v>0</v>
      </c>
      <c r="V47" s="135"/>
      <c r="W47" s="135"/>
      <c r="X47" s="135"/>
      <c r="Y47" s="135"/>
      <c r="Z47" s="135"/>
      <c r="AA47" s="135"/>
      <c r="AB47" s="135">
        <f t="shared" si="11"/>
        <v>0</v>
      </c>
      <c r="AC47" s="135"/>
      <c r="AD47" s="133"/>
      <c r="AE47" s="133"/>
      <c r="AF47" s="132" t="str">
        <f t="shared" si="7"/>
        <v>Нет инфо</v>
      </c>
      <c r="AG47" s="132" t="str">
        <f t="shared" si="8"/>
        <v>Нет инфо</v>
      </c>
      <c r="AH47" s="2" t="s">
        <v>112</v>
      </c>
      <c r="AI47" s="136">
        <v>45363</v>
      </c>
      <c r="AJ47" s="2" t="s">
        <v>145</v>
      </c>
      <c r="AK47" s="136" t="s">
        <v>18</v>
      </c>
      <c r="AL47" s="136">
        <v>44677</v>
      </c>
      <c r="AM47" s="2" t="s">
        <v>1566</v>
      </c>
      <c r="AN47" s="2"/>
      <c r="AO47" s="2" t="s">
        <v>338</v>
      </c>
      <c r="AP47" s="2" t="s">
        <v>338</v>
      </c>
      <c r="AQ47" s="136"/>
    </row>
    <row r="48" spans="1:43" s="115" customFormat="1" ht="12.75" hidden="1" customHeight="1" x14ac:dyDescent="0.2">
      <c r="A48" s="2">
        <v>2077</v>
      </c>
      <c r="B48" s="2" t="s">
        <v>54</v>
      </c>
      <c r="C48" s="2" t="s">
        <v>50</v>
      </c>
      <c r="D48" s="2" t="s">
        <v>2123</v>
      </c>
      <c r="E48" s="2" t="s">
        <v>2078</v>
      </c>
      <c r="F48" s="2" t="s">
        <v>110</v>
      </c>
      <c r="G48" s="2"/>
      <c r="H48" s="132">
        <v>1604.75</v>
      </c>
      <c r="I48" s="132">
        <v>1604.75</v>
      </c>
      <c r="J48" s="132"/>
      <c r="K48" s="132">
        <f>244.79+1359.96</f>
        <v>1604.75</v>
      </c>
      <c r="L48" s="132">
        <f t="shared" si="1"/>
        <v>0</v>
      </c>
      <c r="M48" s="132">
        <f t="shared" si="2"/>
        <v>0</v>
      </c>
      <c r="N48" s="133"/>
      <c r="O48" s="133">
        <f t="shared" si="3"/>
        <v>0</v>
      </c>
      <c r="P48" s="134">
        <v>0</v>
      </c>
      <c r="Q48" s="133"/>
      <c r="R48" s="133"/>
      <c r="S48" s="153">
        <v>0</v>
      </c>
      <c r="T48" s="153">
        <v>0</v>
      </c>
      <c r="U48" s="153">
        <v>0</v>
      </c>
      <c r="V48" s="135"/>
      <c r="W48" s="135"/>
      <c r="X48" s="135"/>
      <c r="Y48" s="135"/>
      <c r="Z48" s="135"/>
      <c r="AA48" s="135"/>
      <c r="AB48" s="135">
        <f t="shared" si="11"/>
        <v>0</v>
      </c>
      <c r="AC48" s="135"/>
      <c r="AD48" s="133"/>
      <c r="AE48" s="133"/>
      <c r="AF48" s="132" t="str">
        <f t="shared" si="7"/>
        <v>Нет инфо</v>
      </c>
      <c r="AG48" s="132" t="str">
        <f t="shared" si="8"/>
        <v>Нет инфо</v>
      </c>
      <c r="AH48" s="2" t="s">
        <v>112</v>
      </c>
      <c r="AI48" s="136">
        <v>45363</v>
      </c>
      <c r="AJ48" s="2" t="s">
        <v>145</v>
      </c>
      <c r="AK48" s="136" t="s">
        <v>18</v>
      </c>
      <c r="AL48" s="136">
        <v>44677</v>
      </c>
      <c r="AM48" s="2" t="s">
        <v>1566</v>
      </c>
      <c r="AN48" s="2"/>
      <c r="AO48" s="2" t="s">
        <v>338</v>
      </c>
      <c r="AP48" s="2" t="s">
        <v>338</v>
      </c>
      <c r="AQ48" s="136"/>
    </row>
    <row r="49" spans="1:43" s="115" customFormat="1" ht="12.75" hidden="1" customHeight="1" x14ac:dyDescent="0.2">
      <c r="A49" s="2">
        <v>2078</v>
      </c>
      <c r="B49" s="2" t="s">
        <v>54</v>
      </c>
      <c r="C49" s="2" t="s">
        <v>50</v>
      </c>
      <c r="D49" s="2" t="s">
        <v>2124</v>
      </c>
      <c r="E49" s="2" t="s">
        <v>2079</v>
      </c>
      <c r="F49" s="2" t="s">
        <v>110</v>
      </c>
      <c r="G49" s="2"/>
      <c r="H49" s="132">
        <v>1538.25</v>
      </c>
      <c r="I49" s="132">
        <v>1538.25</v>
      </c>
      <c r="J49" s="132"/>
      <c r="K49" s="132">
        <f>234.65+1303.6</f>
        <v>1538.25</v>
      </c>
      <c r="L49" s="132">
        <f t="shared" si="1"/>
        <v>0</v>
      </c>
      <c r="M49" s="132">
        <f t="shared" si="2"/>
        <v>0</v>
      </c>
      <c r="N49" s="133"/>
      <c r="O49" s="133">
        <f t="shared" si="3"/>
        <v>0</v>
      </c>
      <c r="P49" s="134">
        <v>0</v>
      </c>
      <c r="Q49" s="133"/>
      <c r="R49" s="133"/>
      <c r="S49" s="153">
        <v>0</v>
      </c>
      <c r="T49" s="153">
        <v>0</v>
      </c>
      <c r="U49" s="153">
        <v>0</v>
      </c>
      <c r="V49" s="135"/>
      <c r="W49" s="135"/>
      <c r="X49" s="135"/>
      <c r="Y49" s="135"/>
      <c r="Z49" s="135"/>
      <c r="AA49" s="135"/>
      <c r="AB49" s="135">
        <f t="shared" si="11"/>
        <v>0</v>
      </c>
      <c r="AC49" s="135"/>
      <c r="AD49" s="133"/>
      <c r="AE49" s="133"/>
      <c r="AF49" s="132" t="str">
        <f t="shared" ref="AF49:AF80" si="12">IF(OR(I49="",I49=0,N49="",N49=0),"Нет инфо",I49/N49)</f>
        <v>Нет инфо</v>
      </c>
      <c r="AG49" s="132" t="str">
        <f t="shared" ref="AG49:AG80" si="13">IF(OR(I49="",I49=0,R49="",R49=0),"Нет инфо",I49/R49)</f>
        <v>Нет инфо</v>
      </c>
      <c r="AH49" s="2" t="s">
        <v>112</v>
      </c>
      <c r="AI49" s="136">
        <v>45363</v>
      </c>
      <c r="AJ49" s="2" t="s">
        <v>145</v>
      </c>
      <c r="AK49" s="136" t="s">
        <v>18</v>
      </c>
      <c r="AL49" s="136">
        <v>44677</v>
      </c>
      <c r="AM49" s="2" t="s">
        <v>1566</v>
      </c>
      <c r="AN49" s="2"/>
      <c r="AO49" s="2" t="s">
        <v>338</v>
      </c>
      <c r="AP49" s="2" t="s">
        <v>338</v>
      </c>
      <c r="AQ49" s="136"/>
    </row>
    <row r="50" spans="1:43" s="115" customFormat="1" ht="12.75" hidden="1" customHeight="1" x14ac:dyDescent="0.2">
      <c r="A50" s="2">
        <v>2079</v>
      </c>
      <c r="B50" s="2" t="s">
        <v>54</v>
      </c>
      <c r="C50" s="2" t="s">
        <v>50</v>
      </c>
      <c r="D50" s="2" t="s">
        <v>2125</v>
      </c>
      <c r="E50" s="2" t="s">
        <v>2080</v>
      </c>
      <c r="F50" s="2" t="s">
        <v>110</v>
      </c>
      <c r="G50" s="2"/>
      <c r="H50" s="132">
        <v>1531.25</v>
      </c>
      <c r="I50" s="132">
        <v>1531.25</v>
      </c>
      <c r="J50" s="132"/>
      <c r="K50" s="132">
        <f>233.58+1297.67</f>
        <v>1531.25</v>
      </c>
      <c r="L50" s="132">
        <f t="shared" si="1"/>
        <v>0</v>
      </c>
      <c r="M50" s="132">
        <f t="shared" si="2"/>
        <v>0</v>
      </c>
      <c r="N50" s="133"/>
      <c r="O50" s="133">
        <f t="shared" si="3"/>
        <v>0</v>
      </c>
      <c r="P50" s="134">
        <v>0</v>
      </c>
      <c r="Q50" s="133"/>
      <c r="R50" s="133"/>
      <c r="S50" s="153">
        <v>0</v>
      </c>
      <c r="T50" s="153">
        <v>0</v>
      </c>
      <c r="U50" s="153">
        <v>0</v>
      </c>
      <c r="V50" s="135"/>
      <c r="W50" s="135"/>
      <c r="X50" s="135"/>
      <c r="Y50" s="135"/>
      <c r="Z50" s="135"/>
      <c r="AA50" s="135"/>
      <c r="AB50" s="135">
        <f t="shared" si="11"/>
        <v>0</v>
      </c>
      <c r="AC50" s="135"/>
      <c r="AD50" s="133"/>
      <c r="AE50" s="133"/>
      <c r="AF50" s="132" t="str">
        <f t="shared" si="12"/>
        <v>Нет инфо</v>
      </c>
      <c r="AG50" s="132" t="str">
        <f t="shared" si="13"/>
        <v>Нет инфо</v>
      </c>
      <c r="AH50" s="2" t="s">
        <v>112</v>
      </c>
      <c r="AI50" s="136">
        <v>45363</v>
      </c>
      <c r="AJ50" s="2" t="s">
        <v>145</v>
      </c>
      <c r="AK50" s="136" t="s">
        <v>18</v>
      </c>
      <c r="AL50" s="136">
        <v>44677</v>
      </c>
      <c r="AM50" s="2" t="s">
        <v>1566</v>
      </c>
      <c r="AN50" s="2"/>
      <c r="AO50" s="2" t="s">
        <v>338</v>
      </c>
      <c r="AP50" s="2" t="s">
        <v>338</v>
      </c>
      <c r="AQ50" s="136"/>
    </row>
    <row r="51" spans="1:43" s="115" customFormat="1" ht="12.75" hidden="1" customHeight="1" x14ac:dyDescent="0.2">
      <c r="A51" s="2">
        <v>2080</v>
      </c>
      <c r="B51" s="2" t="s">
        <v>54</v>
      </c>
      <c r="C51" s="2" t="s">
        <v>50</v>
      </c>
      <c r="D51" s="2" t="s">
        <v>2126</v>
      </c>
      <c r="E51" s="2" t="s">
        <v>2081</v>
      </c>
      <c r="F51" s="2" t="s">
        <v>110</v>
      </c>
      <c r="G51" s="2"/>
      <c r="H51" s="132">
        <v>224</v>
      </c>
      <c r="I51" s="132">
        <v>224</v>
      </c>
      <c r="J51" s="132"/>
      <c r="K51" s="132">
        <v>224</v>
      </c>
      <c r="L51" s="132">
        <f t="shared" si="1"/>
        <v>0</v>
      </c>
      <c r="M51" s="132">
        <f t="shared" si="2"/>
        <v>0</v>
      </c>
      <c r="N51" s="133"/>
      <c r="O51" s="133">
        <f t="shared" si="3"/>
        <v>0</v>
      </c>
      <c r="P51" s="134">
        <v>0</v>
      </c>
      <c r="Q51" s="133"/>
      <c r="R51" s="133"/>
      <c r="S51" s="153">
        <v>0</v>
      </c>
      <c r="T51" s="153">
        <v>0</v>
      </c>
      <c r="U51" s="153">
        <v>0</v>
      </c>
      <c r="V51" s="135"/>
      <c r="W51" s="135"/>
      <c r="X51" s="135"/>
      <c r="Y51" s="135"/>
      <c r="Z51" s="135"/>
      <c r="AA51" s="135"/>
      <c r="AB51" s="135">
        <f t="shared" si="11"/>
        <v>0</v>
      </c>
      <c r="AC51" s="135"/>
      <c r="AD51" s="133"/>
      <c r="AE51" s="133"/>
      <c r="AF51" s="132" t="str">
        <f t="shared" si="12"/>
        <v>Нет инфо</v>
      </c>
      <c r="AG51" s="132" t="str">
        <f t="shared" si="13"/>
        <v>Нет инфо</v>
      </c>
      <c r="AH51" s="2" t="s">
        <v>112</v>
      </c>
      <c r="AI51" s="136">
        <v>45363</v>
      </c>
      <c r="AJ51" s="2" t="s">
        <v>145</v>
      </c>
      <c r="AK51" s="136" t="s">
        <v>18</v>
      </c>
      <c r="AL51" s="136">
        <v>44677</v>
      </c>
      <c r="AM51" s="2" t="s">
        <v>1566</v>
      </c>
      <c r="AN51" s="2"/>
      <c r="AO51" s="2" t="s">
        <v>338</v>
      </c>
      <c r="AP51" s="2" t="s">
        <v>338</v>
      </c>
      <c r="AQ51" s="136"/>
    </row>
    <row r="52" spans="1:43" s="115" customFormat="1" ht="12.75" hidden="1" customHeight="1" x14ac:dyDescent="0.2">
      <c r="A52" s="2">
        <v>2081</v>
      </c>
      <c r="B52" s="2" t="s">
        <v>54</v>
      </c>
      <c r="C52" s="2" t="s">
        <v>50</v>
      </c>
      <c r="D52" s="2" t="s">
        <v>2127</v>
      </c>
      <c r="E52" s="2" t="s">
        <v>2082</v>
      </c>
      <c r="F52" s="2" t="s">
        <v>110</v>
      </c>
      <c r="G52" s="2"/>
      <c r="H52" s="132">
        <v>78.75</v>
      </c>
      <c r="I52" s="132">
        <v>78.75</v>
      </c>
      <c r="J52" s="132"/>
      <c r="K52" s="132">
        <v>78.75</v>
      </c>
      <c r="L52" s="132">
        <f t="shared" si="1"/>
        <v>0</v>
      </c>
      <c r="M52" s="132">
        <f t="shared" si="2"/>
        <v>0</v>
      </c>
      <c r="N52" s="133"/>
      <c r="O52" s="133">
        <f t="shared" si="3"/>
        <v>0</v>
      </c>
      <c r="P52" s="134">
        <v>0</v>
      </c>
      <c r="Q52" s="133"/>
      <c r="R52" s="133"/>
      <c r="S52" s="153">
        <v>0</v>
      </c>
      <c r="T52" s="153">
        <v>0</v>
      </c>
      <c r="U52" s="153">
        <v>0</v>
      </c>
      <c r="V52" s="135"/>
      <c r="W52" s="135"/>
      <c r="X52" s="135"/>
      <c r="Y52" s="135"/>
      <c r="Z52" s="135"/>
      <c r="AA52" s="135"/>
      <c r="AB52" s="135">
        <f t="shared" si="11"/>
        <v>0</v>
      </c>
      <c r="AC52" s="135"/>
      <c r="AD52" s="133"/>
      <c r="AE52" s="133"/>
      <c r="AF52" s="132" t="str">
        <f t="shared" si="12"/>
        <v>Нет инфо</v>
      </c>
      <c r="AG52" s="132" t="str">
        <f t="shared" si="13"/>
        <v>Нет инфо</v>
      </c>
      <c r="AH52" s="2" t="s">
        <v>112</v>
      </c>
      <c r="AI52" s="136">
        <v>45363</v>
      </c>
      <c r="AJ52" s="2" t="s">
        <v>145</v>
      </c>
      <c r="AK52" s="136" t="s">
        <v>18</v>
      </c>
      <c r="AL52" s="136">
        <v>44677</v>
      </c>
      <c r="AM52" s="2" t="s">
        <v>1566</v>
      </c>
      <c r="AN52" s="2"/>
      <c r="AO52" s="2" t="s">
        <v>338</v>
      </c>
      <c r="AP52" s="2" t="s">
        <v>338</v>
      </c>
      <c r="AQ52" s="136"/>
    </row>
    <row r="53" spans="1:43" s="115" customFormat="1" ht="12.75" hidden="1" customHeight="1" x14ac:dyDescent="0.2">
      <c r="A53" s="2">
        <v>2082</v>
      </c>
      <c r="B53" s="2" t="s">
        <v>54</v>
      </c>
      <c r="C53" s="2" t="s">
        <v>50</v>
      </c>
      <c r="D53" s="2" t="s">
        <v>2128</v>
      </c>
      <c r="E53" s="2" t="s">
        <v>2083</v>
      </c>
      <c r="F53" s="2" t="s">
        <v>110</v>
      </c>
      <c r="G53" s="2"/>
      <c r="H53" s="132">
        <v>120.75</v>
      </c>
      <c r="I53" s="132">
        <v>120.75</v>
      </c>
      <c r="J53" s="132"/>
      <c r="K53" s="132">
        <v>120.75</v>
      </c>
      <c r="L53" s="132">
        <f t="shared" si="1"/>
        <v>0</v>
      </c>
      <c r="M53" s="132">
        <f t="shared" si="2"/>
        <v>0</v>
      </c>
      <c r="N53" s="133"/>
      <c r="O53" s="133">
        <f t="shared" si="3"/>
        <v>0</v>
      </c>
      <c r="P53" s="134">
        <v>0</v>
      </c>
      <c r="Q53" s="133"/>
      <c r="R53" s="133"/>
      <c r="S53" s="153">
        <v>0</v>
      </c>
      <c r="T53" s="153">
        <v>0</v>
      </c>
      <c r="U53" s="153">
        <v>0</v>
      </c>
      <c r="V53" s="135"/>
      <c r="W53" s="135"/>
      <c r="X53" s="135"/>
      <c r="Y53" s="135"/>
      <c r="Z53" s="135"/>
      <c r="AA53" s="135"/>
      <c r="AB53" s="135">
        <f t="shared" si="11"/>
        <v>0</v>
      </c>
      <c r="AC53" s="135"/>
      <c r="AD53" s="133"/>
      <c r="AE53" s="133"/>
      <c r="AF53" s="132" t="str">
        <f t="shared" si="12"/>
        <v>Нет инфо</v>
      </c>
      <c r="AG53" s="132" t="str">
        <f t="shared" si="13"/>
        <v>Нет инфо</v>
      </c>
      <c r="AH53" s="2" t="s">
        <v>112</v>
      </c>
      <c r="AI53" s="136">
        <v>45363</v>
      </c>
      <c r="AJ53" s="2" t="s">
        <v>145</v>
      </c>
      <c r="AK53" s="136" t="s">
        <v>18</v>
      </c>
      <c r="AL53" s="136">
        <v>44677</v>
      </c>
      <c r="AM53" s="2" t="s">
        <v>1566</v>
      </c>
      <c r="AN53" s="2"/>
      <c r="AO53" s="2" t="s">
        <v>338</v>
      </c>
      <c r="AP53" s="2" t="s">
        <v>338</v>
      </c>
      <c r="AQ53" s="136"/>
    </row>
    <row r="54" spans="1:43" s="115" customFormat="1" ht="12.75" hidden="1" customHeight="1" x14ac:dyDescent="0.2">
      <c r="A54" s="2">
        <v>2083</v>
      </c>
      <c r="B54" s="2" t="s">
        <v>54</v>
      </c>
      <c r="C54" s="2" t="s">
        <v>50</v>
      </c>
      <c r="D54" s="2" t="s">
        <v>2129</v>
      </c>
      <c r="E54" s="2" t="s">
        <v>2084</v>
      </c>
      <c r="F54" s="2" t="s">
        <v>110</v>
      </c>
      <c r="G54" s="2"/>
      <c r="H54" s="132">
        <v>208.25</v>
      </c>
      <c r="I54" s="132">
        <v>208.25</v>
      </c>
      <c r="J54" s="132"/>
      <c r="K54" s="132">
        <v>208.25</v>
      </c>
      <c r="L54" s="132">
        <f t="shared" si="1"/>
        <v>0</v>
      </c>
      <c r="M54" s="132">
        <f t="shared" si="2"/>
        <v>0</v>
      </c>
      <c r="N54" s="133"/>
      <c r="O54" s="133">
        <f t="shared" si="3"/>
        <v>0</v>
      </c>
      <c r="P54" s="134">
        <v>0</v>
      </c>
      <c r="Q54" s="133"/>
      <c r="R54" s="133"/>
      <c r="S54" s="153">
        <v>0</v>
      </c>
      <c r="T54" s="153">
        <v>0</v>
      </c>
      <c r="U54" s="153">
        <v>0</v>
      </c>
      <c r="V54" s="135"/>
      <c r="W54" s="135"/>
      <c r="X54" s="135"/>
      <c r="Y54" s="135"/>
      <c r="Z54" s="135"/>
      <c r="AA54" s="135"/>
      <c r="AB54" s="135">
        <f t="shared" si="11"/>
        <v>0</v>
      </c>
      <c r="AC54" s="135"/>
      <c r="AD54" s="133"/>
      <c r="AE54" s="133"/>
      <c r="AF54" s="132" t="str">
        <f t="shared" si="12"/>
        <v>Нет инфо</v>
      </c>
      <c r="AG54" s="132" t="str">
        <f t="shared" si="13"/>
        <v>Нет инфо</v>
      </c>
      <c r="AH54" s="2" t="s">
        <v>112</v>
      </c>
      <c r="AI54" s="136">
        <v>45363</v>
      </c>
      <c r="AJ54" s="2" t="s">
        <v>145</v>
      </c>
      <c r="AK54" s="136" t="s">
        <v>18</v>
      </c>
      <c r="AL54" s="136">
        <v>44677</v>
      </c>
      <c r="AM54" s="2" t="s">
        <v>1566</v>
      </c>
      <c r="AN54" s="2"/>
      <c r="AO54" s="2" t="s">
        <v>338</v>
      </c>
      <c r="AP54" s="2" t="s">
        <v>338</v>
      </c>
      <c r="AQ54" s="136"/>
    </row>
    <row r="55" spans="1:43" s="115" customFormat="1" ht="12.75" hidden="1" customHeight="1" x14ac:dyDescent="0.2">
      <c r="A55" s="2">
        <v>2084</v>
      </c>
      <c r="B55" s="2" t="s">
        <v>54</v>
      </c>
      <c r="C55" s="2" t="s">
        <v>50</v>
      </c>
      <c r="D55" s="2" t="s">
        <v>2130</v>
      </c>
      <c r="E55" s="2" t="s">
        <v>2085</v>
      </c>
      <c r="F55" s="2" t="s">
        <v>110</v>
      </c>
      <c r="G55" s="2"/>
      <c r="H55" s="132">
        <v>208.25</v>
      </c>
      <c r="I55" s="132">
        <v>208.25</v>
      </c>
      <c r="J55" s="132"/>
      <c r="K55" s="132">
        <v>208.25</v>
      </c>
      <c r="L55" s="132">
        <f t="shared" si="1"/>
        <v>0</v>
      </c>
      <c r="M55" s="132">
        <f t="shared" si="2"/>
        <v>0</v>
      </c>
      <c r="N55" s="133"/>
      <c r="O55" s="133">
        <f t="shared" si="3"/>
        <v>0</v>
      </c>
      <c r="P55" s="134">
        <v>0</v>
      </c>
      <c r="Q55" s="133"/>
      <c r="R55" s="133"/>
      <c r="S55" s="153">
        <v>0</v>
      </c>
      <c r="T55" s="153">
        <v>0</v>
      </c>
      <c r="U55" s="153">
        <v>0</v>
      </c>
      <c r="V55" s="135"/>
      <c r="W55" s="135"/>
      <c r="X55" s="135"/>
      <c r="Y55" s="135"/>
      <c r="Z55" s="135"/>
      <c r="AA55" s="135"/>
      <c r="AB55" s="135">
        <f t="shared" si="11"/>
        <v>0</v>
      </c>
      <c r="AC55" s="135"/>
      <c r="AD55" s="133"/>
      <c r="AE55" s="133"/>
      <c r="AF55" s="132" t="str">
        <f t="shared" si="12"/>
        <v>Нет инфо</v>
      </c>
      <c r="AG55" s="132" t="str">
        <f t="shared" si="13"/>
        <v>Нет инфо</v>
      </c>
      <c r="AH55" s="2" t="s">
        <v>112</v>
      </c>
      <c r="AI55" s="136">
        <v>45363</v>
      </c>
      <c r="AJ55" s="2" t="s">
        <v>145</v>
      </c>
      <c r="AK55" s="136" t="s">
        <v>18</v>
      </c>
      <c r="AL55" s="136">
        <v>44677</v>
      </c>
      <c r="AM55" s="2" t="s">
        <v>1566</v>
      </c>
      <c r="AN55" s="2"/>
      <c r="AO55" s="2" t="s">
        <v>338</v>
      </c>
      <c r="AP55" s="2" t="s">
        <v>338</v>
      </c>
      <c r="AQ55" s="136"/>
    </row>
    <row r="56" spans="1:43" s="115" customFormat="1" ht="12.75" hidden="1" customHeight="1" x14ac:dyDescent="0.2">
      <c r="A56" s="2">
        <v>2085</v>
      </c>
      <c r="B56" s="2" t="s">
        <v>54</v>
      </c>
      <c r="C56" s="2" t="s">
        <v>50</v>
      </c>
      <c r="D56" s="2" t="s">
        <v>2131</v>
      </c>
      <c r="E56" s="2" t="s">
        <v>2086</v>
      </c>
      <c r="F56" s="2" t="s">
        <v>110</v>
      </c>
      <c r="G56" s="2"/>
      <c r="H56" s="132">
        <v>197.75</v>
      </c>
      <c r="I56" s="132">
        <v>197.75</v>
      </c>
      <c r="J56" s="132"/>
      <c r="K56" s="132">
        <v>197.75</v>
      </c>
      <c r="L56" s="132">
        <f t="shared" si="1"/>
        <v>0</v>
      </c>
      <c r="M56" s="132">
        <f t="shared" si="2"/>
        <v>0</v>
      </c>
      <c r="N56" s="133"/>
      <c r="O56" s="133">
        <f t="shared" si="3"/>
        <v>0</v>
      </c>
      <c r="P56" s="134">
        <v>0</v>
      </c>
      <c r="Q56" s="133"/>
      <c r="R56" s="133"/>
      <c r="S56" s="153">
        <v>0</v>
      </c>
      <c r="T56" s="153">
        <v>0</v>
      </c>
      <c r="U56" s="153">
        <v>0</v>
      </c>
      <c r="V56" s="135"/>
      <c r="W56" s="135"/>
      <c r="X56" s="135"/>
      <c r="Y56" s="135"/>
      <c r="Z56" s="135"/>
      <c r="AA56" s="135"/>
      <c r="AB56" s="135">
        <f t="shared" si="11"/>
        <v>0</v>
      </c>
      <c r="AC56" s="135"/>
      <c r="AD56" s="133"/>
      <c r="AE56" s="133"/>
      <c r="AF56" s="132" t="str">
        <f t="shared" si="12"/>
        <v>Нет инфо</v>
      </c>
      <c r="AG56" s="132" t="str">
        <f t="shared" si="13"/>
        <v>Нет инфо</v>
      </c>
      <c r="AH56" s="2" t="s">
        <v>112</v>
      </c>
      <c r="AI56" s="136">
        <v>45363</v>
      </c>
      <c r="AJ56" s="2" t="s">
        <v>145</v>
      </c>
      <c r="AK56" s="136" t="s">
        <v>18</v>
      </c>
      <c r="AL56" s="136">
        <v>44677</v>
      </c>
      <c r="AM56" s="2" t="s">
        <v>1566</v>
      </c>
      <c r="AN56" s="2"/>
      <c r="AO56" s="2" t="s">
        <v>338</v>
      </c>
      <c r="AP56" s="2" t="s">
        <v>338</v>
      </c>
      <c r="AQ56" s="136"/>
    </row>
    <row r="57" spans="1:43" s="115" customFormat="1" ht="12.75" hidden="1" customHeight="1" x14ac:dyDescent="0.2">
      <c r="A57" s="2">
        <v>2086</v>
      </c>
      <c r="B57" s="2" t="s">
        <v>54</v>
      </c>
      <c r="C57" s="2" t="s">
        <v>50</v>
      </c>
      <c r="D57" s="2" t="s">
        <v>2132</v>
      </c>
      <c r="E57" s="2" t="s">
        <v>2087</v>
      </c>
      <c r="F57" s="2" t="s">
        <v>110</v>
      </c>
      <c r="G57" s="2"/>
      <c r="H57" s="132">
        <v>192.5</v>
      </c>
      <c r="I57" s="132">
        <v>192.5</v>
      </c>
      <c r="J57" s="132"/>
      <c r="K57" s="132">
        <v>192.5</v>
      </c>
      <c r="L57" s="132">
        <f t="shared" si="1"/>
        <v>0</v>
      </c>
      <c r="M57" s="132">
        <f t="shared" si="2"/>
        <v>0</v>
      </c>
      <c r="N57" s="133"/>
      <c r="O57" s="133">
        <f t="shared" si="3"/>
        <v>0</v>
      </c>
      <c r="P57" s="134">
        <v>0</v>
      </c>
      <c r="Q57" s="133"/>
      <c r="R57" s="133"/>
      <c r="S57" s="153">
        <v>0</v>
      </c>
      <c r="T57" s="153">
        <v>0</v>
      </c>
      <c r="U57" s="153">
        <v>0</v>
      </c>
      <c r="V57" s="135"/>
      <c r="W57" s="135"/>
      <c r="X57" s="135"/>
      <c r="Y57" s="135"/>
      <c r="Z57" s="135"/>
      <c r="AA57" s="135"/>
      <c r="AB57" s="135">
        <f t="shared" si="11"/>
        <v>0</v>
      </c>
      <c r="AC57" s="135"/>
      <c r="AD57" s="133"/>
      <c r="AE57" s="133"/>
      <c r="AF57" s="132" t="str">
        <f t="shared" si="12"/>
        <v>Нет инфо</v>
      </c>
      <c r="AG57" s="132" t="str">
        <f t="shared" si="13"/>
        <v>Нет инфо</v>
      </c>
      <c r="AH57" s="2" t="s">
        <v>112</v>
      </c>
      <c r="AI57" s="136">
        <v>45363</v>
      </c>
      <c r="AJ57" s="2" t="s">
        <v>145</v>
      </c>
      <c r="AK57" s="136" t="s">
        <v>18</v>
      </c>
      <c r="AL57" s="136">
        <v>44677</v>
      </c>
      <c r="AM57" s="2" t="s">
        <v>1566</v>
      </c>
      <c r="AN57" s="2"/>
      <c r="AO57" s="2" t="s">
        <v>338</v>
      </c>
      <c r="AP57" s="2" t="s">
        <v>338</v>
      </c>
      <c r="AQ57" s="136"/>
    </row>
    <row r="58" spans="1:43" s="115" customFormat="1" ht="12.75" hidden="1" customHeight="1" x14ac:dyDescent="0.2">
      <c r="A58" s="2">
        <v>2087</v>
      </c>
      <c r="B58" s="2" t="s">
        <v>54</v>
      </c>
      <c r="C58" s="2" t="s">
        <v>50</v>
      </c>
      <c r="D58" s="2" t="s">
        <v>2133</v>
      </c>
      <c r="E58" s="2" t="s">
        <v>2088</v>
      </c>
      <c r="F58" s="2" t="s">
        <v>110</v>
      </c>
      <c r="G58" s="2"/>
      <c r="H58" s="132">
        <v>136.5</v>
      </c>
      <c r="I58" s="132">
        <v>136.5</v>
      </c>
      <c r="J58" s="132"/>
      <c r="K58" s="132">
        <v>136.5</v>
      </c>
      <c r="L58" s="132">
        <f t="shared" si="1"/>
        <v>0</v>
      </c>
      <c r="M58" s="132">
        <f t="shared" si="2"/>
        <v>0</v>
      </c>
      <c r="N58" s="133"/>
      <c r="O58" s="133">
        <f t="shared" si="3"/>
        <v>0</v>
      </c>
      <c r="P58" s="134">
        <v>0</v>
      </c>
      <c r="Q58" s="133"/>
      <c r="R58" s="133"/>
      <c r="S58" s="153">
        <v>0</v>
      </c>
      <c r="T58" s="153">
        <v>0</v>
      </c>
      <c r="U58" s="153">
        <v>0</v>
      </c>
      <c r="V58" s="135"/>
      <c r="W58" s="135"/>
      <c r="X58" s="135"/>
      <c r="Y58" s="135"/>
      <c r="Z58" s="135"/>
      <c r="AA58" s="135"/>
      <c r="AB58" s="135">
        <f t="shared" si="11"/>
        <v>0</v>
      </c>
      <c r="AC58" s="135"/>
      <c r="AD58" s="133"/>
      <c r="AE58" s="133"/>
      <c r="AF58" s="132" t="str">
        <f t="shared" si="12"/>
        <v>Нет инфо</v>
      </c>
      <c r="AG58" s="132" t="str">
        <f t="shared" si="13"/>
        <v>Нет инфо</v>
      </c>
      <c r="AH58" s="2" t="s">
        <v>112</v>
      </c>
      <c r="AI58" s="136">
        <v>45363</v>
      </c>
      <c r="AJ58" s="2" t="s">
        <v>145</v>
      </c>
      <c r="AK58" s="136" t="s">
        <v>18</v>
      </c>
      <c r="AL58" s="136">
        <v>44677</v>
      </c>
      <c r="AM58" s="2" t="s">
        <v>1566</v>
      </c>
      <c r="AN58" s="2"/>
      <c r="AO58" s="2" t="s">
        <v>338</v>
      </c>
      <c r="AP58" s="2" t="s">
        <v>338</v>
      </c>
      <c r="AQ58" s="136"/>
    </row>
    <row r="59" spans="1:43" s="115" customFormat="1" ht="12.75" hidden="1" customHeight="1" x14ac:dyDescent="0.2">
      <c r="A59" s="2">
        <v>2088</v>
      </c>
      <c r="B59" s="2" t="s">
        <v>54</v>
      </c>
      <c r="C59" s="2" t="s">
        <v>50</v>
      </c>
      <c r="D59" s="2" t="s">
        <v>2134</v>
      </c>
      <c r="E59" s="2" t="s">
        <v>2089</v>
      </c>
      <c r="F59" s="2" t="s">
        <v>110</v>
      </c>
      <c r="G59" s="2"/>
      <c r="H59" s="132">
        <v>211.75</v>
      </c>
      <c r="I59" s="132">
        <v>211.75</v>
      </c>
      <c r="J59" s="132"/>
      <c r="K59" s="132">
        <v>211.75</v>
      </c>
      <c r="L59" s="132">
        <f t="shared" si="1"/>
        <v>0</v>
      </c>
      <c r="M59" s="132">
        <f t="shared" si="2"/>
        <v>0</v>
      </c>
      <c r="N59" s="133"/>
      <c r="O59" s="133">
        <f t="shared" si="3"/>
        <v>0</v>
      </c>
      <c r="P59" s="134">
        <v>0</v>
      </c>
      <c r="Q59" s="133"/>
      <c r="R59" s="133"/>
      <c r="S59" s="153">
        <v>0</v>
      </c>
      <c r="T59" s="153">
        <v>0</v>
      </c>
      <c r="U59" s="153">
        <v>0</v>
      </c>
      <c r="V59" s="135"/>
      <c r="W59" s="135"/>
      <c r="X59" s="135"/>
      <c r="Y59" s="135"/>
      <c r="Z59" s="135"/>
      <c r="AA59" s="135"/>
      <c r="AB59" s="135">
        <f t="shared" si="11"/>
        <v>0</v>
      </c>
      <c r="AC59" s="135"/>
      <c r="AD59" s="133"/>
      <c r="AE59" s="133"/>
      <c r="AF59" s="132" t="str">
        <f t="shared" si="12"/>
        <v>Нет инфо</v>
      </c>
      <c r="AG59" s="132" t="str">
        <f t="shared" si="13"/>
        <v>Нет инфо</v>
      </c>
      <c r="AH59" s="2" t="s">
        <v>112</v>
      </c>
      <c r="AI59" s="136">
        <v>45363</v>
      </c>
      <c r="AJ59" s="2" t="s">
        <v>145</v>
      </c>
      <c r="AK59" s="136" t="s">
        <v>18</v>
      </c>
      <c r="AL59" s="136">
        <v>44677</v>
      </c>
      <c r="AM59" s="2" t="s">
        <v>1566</v>
      </c>
      <c r="AN59" s="2"/>
      <c r="AO59" s="2" t="s">
        <v>338</v>
      </c>
      <c r="AP59" s="2" t="s">
        <v>338</v>
      </c>
      <c r="AQ59" s="136"/>
    </row>
    <row r="60" spans="1:43" s="115" customFormat="1" ht="12.75" hidden="1" customHeight="1" x14ac:dyDescent="0.2">
      <c r="A60" s="2">
        <v>2089</v>
      </c>
      <c r="B60" s="2" t="s">
        <v>54</v>
      </c>
      <c r="C60" s="2" t="s">
        <v>50</v>
      </c>
      <c r="D60" s="2" t="s">
        <v>2135</v>
      </c>
      <c r="E60" s="2" t="s">
        <v>2090</v>
      </c>
      <c r="F60" s="2" t="s">
        <v>110</v>
      </c>
      <c r="G60" s="2"/>
      <c r="H60" s="132">
        <v>203</v>
      </c>
      <c r="I60" s="132">
        <v>203</v>
      </c>
      <c r="J60" s="132"/>
      <c r="K60" s="132">
        <v>203</v>
      </c>
      <c r="L60" s="132">
        <f t="shared" si="1"/>
        <v>0</v>
      </c>
      <c r="M60" s="132">
        <f t="shared" si="2"/>
        <v>0</v>
      </c>
      <c r="N60" s="133"/>
      <c r="O60" s="133">
        <f t="shared" si="3"/>
        <v>0</v>
      </c>
      <c r="P60" s="134">
        <v>0</v>
      </c>
      <c r="Q60" s="133"/>
      <c r="R60" s="133"/>
      <c r="S60" s="153">
        <v>0</v>
      </c>
      <c r="T60" s="153">
        <v>0</v>
      </c>
      <c r="U60" s="153">
        <v>0</v>
      </c>
      <c r="V60" s="135"/>
      <c r="W60" s="135"/>
      <c r="X60" s="135"/>
      <c r="Y60" s="135"/>
      <c r="Z60" s="135"/>
      <c r="AA60" s="135"/>
      <c r="AB60" s="135">
        <f t="shared" si="11"/>
        <v>0</v>
      </c>
      <c r="AC60" s="135"/>
      <c r="AD60" s="133"/>
      <c r="AE60" s="133"/>
      <c r="AF60" s="132" t="str">
        <f t="shared" si="12"/>
        <v>Нет инфо</v>
      </c>
      <c r="AG60" s="132" t="str">
        <f t="shared" si="13"/>
        <v>Нет инфо</v>
      </c>
      <c r="AH60" s="2" t="s">
        <v>112</v>
      </c>
      <c r="AI60" s="136">
        <v>45363</v>
      </c>
      <c r="AJ60" s="2" t="s">
        <v>145</v>
      </c>
      <c r="AK60" s="136" t="s">
        <v>18</v>
      </c>
      <c r="AL60" s="136">
        <v>44677</v>
      </c>
      <c r="AM60" s="2" t="s">
        <v>1566</v>
      </c>
      <c r="AN60" s="2"/>
      <c r="AO60" s="2" t="s">
        <v>338</v>
      </c>
      <c r="AP60" s="2" t="s">
        <v>338</v>
      </c>
      <c r="AQ60" s="136"/>
    </row>
    <row r="61" spans="1:43" s="115" customFormat="1" ht="12.75" hidden="1" customHeight="1" x14ac:dyDescent="0.2">
      <c r="A61" s="2">
        <v>2090</v>
      </c>
      <c r="B61" s="2" t="s">
        <v>54</v>
      </c>
      <c r="C61" s="2" t="s">
        <v>50</v>
      </c>
      <c r="D61" s="2" t="s">
        <v>2136</v>
      </c>
      <c r="E61" s="2" t="s">
        <v>2091</v>
      </c>
      <c r="F61" s="2" t="s">
        <v>110</v>
      </c>
      <c r="G61" s="2"/>
      <c r="H61" s="132">
        <v>112</v>
      </c>
      <c r="I61" s="132">
        <v>112</v>
      </c>
      <c r="J61" s="132"/>
      <c r="K61" s="132">
        <v>112</v>
      </c>
      <c r="L61" s="132">
        <f t="shared" si="1"/>
        <v>0</v>
      </c>
      <c r="M61" s="132">
        <f t="shared" si="2"/>
        <v>0</v>
      </c>
      <c r="N61" s="133"/>
      <c r="O61" s="133">
        <f t="shared" si="3"/>
        <v>0</v>
      </c>
      <c r="P61" s="134">
        <v>0</v>
      </c>
      <c r="Q61" s="133"/>
      <c r="R61" s="133"/>
      <c r="S61" s="153">
        <v>0</v>
      </c>
      <c r="T61" s="153">
        <v>0</v>
      </c>
      <c r="U61" s="153">
        <v>0</v>
      </c>
      <c r="V61" s="135"/>
      <c r="W61" s="135"/>
      <c r="X61" s="135"/>
      <c r="Y61" s="135"/>
      <c r="Z61" s="135"/>
      <c r="AA61" s="135"/>
      <c r="AB61" s="135">
        <f t="shared" si="11"/>
        <v>0</v>
      </c>
      <c r="AC61" s="135"/>
      <c r="AD61" s="133"/>
      <c r="AE61" s="133"/>
      <c r="AF61" s="132" t="str">
        <f t="shared" si="12"/>
        <v>Нет инфо</v>
      </c>
      <c r="AG61" s="132" t="str">
        <f t="shared" si="13"/>
        <v>Нет инфо</v>
      </c>
      <c r="AH61" s="2" t="s">
        <v>112</v>
      </c>
      <c r="AI61" s="136">
        <v>45363</v>
      </c>
      <c r="AJ61" s="2" t="s">
        <v>145</v>
      </c>
      <c r="AK61" s="136" t="s">
        <v>18</v>
      </c>
      <c r="AL61" s="136">
        <v>44677</v>
      </c>
      <c r="AM61" s="2" t="s">
        <v>1566</v>
      </c>
      <c r="AN61" s="2"/>
      <c r="AO61" s="2" t="s">
        <v>338</v>
      </c>
      <c r="AP61" s="2" t="s">
        <v>338</v>
      </c>
      <c r="AQ61" s="136"/>
    </row>
    <row r="62" spans="1:43" s="115" customFormat="1" ht="12.75" hidden="1" customHeight="1" x14ac:dyDescent="0.2">
      <c r="A62" s="2">
        <v>2091</v>
      </c>
      <c r="B62" s="2" t="s">
        <v>54</v>
      </c>
      <c r="C62" s="2" t="s">
        <v>50</v>
      </c>
      <c r="D62" s="2" t="s">
        <v>2137</v>
      </c>
      <c r="E62" s="2" t="s">
        <v>2092</v>
      </c>
      <c r="F62" s="2" t="s">
        <v>110</v>
      </c>
      <c r="G62" s="2"/>
      <c r="H62" s="132">
        <v>232.75</v>
      </c>
      <c r="I62" s="132">
        <v>232.75</v>
      </c>
      <c r="J62" s="132"/>
      <c r="K62" s="132">
        <v>232.75</v>
      </c>
      <c r="L62" s="132">
        <f t="shared" si="1"/>
        <v>0</v>
      </c>
      <c r="M62" s="132">
        <f t="shared" si="2"/>
        <v>0</v>
      </c>
      <c r="N62" s="133"/>
      <c r="O62" s="133">
        <f t="shared" si="3"/>
        <v>0</v>
      </c>
      <c r="P62" s="134">
        <v>0</v>
      </c>
      <c r="Q62" s="133"/>
      <c r="R62" s="133"/>
      <c r="S62" s="153">
        <v>0</v>
      </c>
      <c r="T62" s="153">
        <v>0</v>
      </c>
      <c r="U62" s="153">
        <v>0</v>
      </c>
      <c r="V62" s="135"/>
      <c r="W62" s="135"/>
      <c r="X62" s="135"/>
      <c r="Y62" s="135"/>
      <c r="Z62" s="135"/>
      <c r="AA62" s="135"/>
      <c r="AB62" s="135">
        <f t="shared" si="11"/>
        <v>0</v>
      </c>
      <c r="AC62" s="135"/>
      <c r="AD62" s="133"/>
      <c r="AE62" s="133"/>
      <c r="AF62" s="132" t="str">
        <f t="shared" si="12"/>
        <v>Нет инфо</v>
      </c>
      <c r="AG62" s="132" t="str">
        <f t="shared" si="13"/>
        <v>Нет инфо</v>
      </c>
      <c r="AH62" s="2" t="s">
        <v>112</v>
      </c>
      <c r="AI62" s="136">
        <v>45363</v>
      </c>
      <c r="AJ62" s="2" t="s">
        <v>145</v>
      </c>
      <c r="AK62" s="136" t="s">
        <v>18</v>
      </c>
      <c r="AL62" s="136">
        <v>44677</v>
      </c>
      <c r="AM62" s="2" t="s">
        <v>1566</v>
      </c>
      <c r="AN62" s="2"/>
      <c r="AO62" s="2" t="s">
        <v>338</v>
      </c>
      <c r="AP62" s="2" t="s">
        <v>338</v>
      </c>
      <c r="AQ62" s="136"/>
    </row>
    <row r="63" spans="1:43" s="115" customFormat="1" ht="12.75" hidden="1" customHeight="1" x14ac:dyDescent="0.2">
      <c r="A63" s="2">
        <v>2092</v>
      </c>
      <c r="B63" s="2" t="s">
        <v>54</v>
      </c>
      <c r="C63" s="2" t="s">
        <v>50</v>
      </c>
      <c r="D63" s="2" t="s">
        <v>2138</v>
      </c>
      <c r="E63" s="2" t="s">
        <v>2093</v>
      </c>
      <c r="F63" s="2" t="s">
        <v>110</v>
      </c>
      <c r="G63" s="2"/>
      <c r="H63" s="132">
        <v>624.75</v>
      </c>
      <c r="I63" s="132">
        <v>624.75</v>
      </c>
      <c r="J63" s="132"/>
      <c r="K63" s="132">
        <v>624.75</v>
      </c>
      <c r="L63" s="132">
        <f t="shared" si="1"/>
        <v>0</v>
      </c>
      <c r="M63" s="132">
        <f t="shared" si="2"/>
        <v>0</v>
      </c>
      <c r="N63" s="133"/>
      <c r="O63" s="133">
        <f t="shared" si="3"/>
        <v>0</v>
      </c>
      <c r="P63" s="134">
        <v>0</v>
      </c>
      <c r="Q63" s="133"/>
      <c r="R63" s="133"/>
      <c r="S63" s="153">
        <v>0</v>
      </c>
      <c r="T63" s="153">
        <v>0</v>
      </c>
      <c r="U63" s="153">
        <v>0</v>
      </c>
      <c r="V63" s="135"/>
      <c r="W63" s="135"/>
      <c r="X63" s="135"/>
      <c r="Y63" s="135"/>
      <c r="Z63" s="135"/>
      <c r="AA63" s="135"/>
      <c r="AB63" s="135">
        <f t="shared" si="11"/>
        <v>0</v>
      </c>
      <c r="AC63" s="135"/>
      <c r="AD63" s="133"/>
      <c r="AE63" s="133"/>
      <c r="AF63" s="132" t="str">
        <f t="shared" si="12"/>
        <v>Нет инфо</v>
      </c>
      <c r="AG63" s="132" t="str">
        <f t="shared" si="13"/>
        <v>Нет инфо</v>
      </c>
      <c r="AH63" s="2" t="s">
        <v>112</v>
      </c>
      <c r="AI63" s="136">
        <v>45363</v>
      </c>
      <c r="AJ63" s="2" t="s">
        <v>145</v>
      </c>
      <c r="AK63" s="136" t="s">
        <v>18</v>
      </c>
      <c r="AL63" s="136">
        <v>44677</v>
      </c>
      <c r="AM63" s="2" t="s">
        <v>1566</v>
      </c>
      <c r="AN63" s="2"/>
      <c r="AO63" s="2" t="s">
        <v>338</v>
      </c>
      <c r="AP63" s="2" t="s">
        <v>338</v>
      </c>
      <c r="AQ63" s="136"/>
    </row>
    <row r="64" spans="1:43" s="115" customFormat="1" ht="12.75" hidden="1" customHeight="1" x14ac:dyDescent="0.2">
      <c r="A64" s="2">
        <v>2093</v>
      </c>
      <c r="B64" s="2" t="s">
        <v>54</v>
      </c>
      <c r="C64" s="2" t="s">
        <v>50</v>
      </c>
      <c r="D64" s="2" t="s">
        <v>2139</v>
      </c>
      <c r="E64" s="2" t="s">
        <v>2094</v>
      </c>
      <c r="F64" s="2" t="s">
        <v>110</v>
      </c>
      <c r="G64" s="2"/>
      <c r="H64" s="132">
        <v>967.75</v>
      </c>
      <c r="I64" s="132">
        <v>967.75</v>
      </c>
      <c r="J64" s="132"/>
      <c r="K64" s="132">
        <v>967.75</v>
      </c>
      <c r="L64" s="132">
        <f t="shared" si="1"/>
        <v>0</v>
      </c>
      <c r="M64" s="132">
        <f t="shared" si="2"/>
        <v>0</v>
      </c>
      <c r="N64" s="133"/>
      <c r="O64" s="133">
        <f t="shared" si="3"/>
        <v>0</v>
      </c>
      <c r="P64" s="134">
        <v>0</v>
      </c>
      <c r="Q64" s="133"/>
      <c r="R64" s="133"/>
      <c r="S64" s="153">
        <v>0</v>
      </c>
      <c r="T64" s="153">
        <v>0</v>
      </c>
      <c r="U64" s="153">
        <v>0</v>
      </c>
      <c r="V64" s="135"/>
      <c r="W64" s="135"/>
      <c r="X64" s="135"/>
      <c r="Y64" s="135"/>
      <c r="Z64" s="135"/>
      <c r="AA64" s="135"/>
      <c r="AB64" s="135">
        <f t="shared" si="11"/>
        <v>0</v>
      </c>
      <c r="AC64" s="135"/>
      <c r="AD64" s="133"/>
      <c r="AE64" s="133"/>
      <c r="AF64" s="132" t="str">
        <f t="shared" si="12"/>
        <v>Нет инфо</v>
      </c>
      <c r="AG64" s="132" t="str">
        <f t="shared" si="13"/>
        <v>Нет инфо</v>
      </c>
      <c r="AH64" s="2" t="s">
        <v>112</v>
      </c>
      <c r="AI64" s="136">
        <v>45363</v>
      </c>
      <c r="AJ64" s="2" t="s">
        <v>145</v>
      </c>
      <c r="AK64" s="136" t="s">
        <v>18</v>
      </c>
      <c r="AL64" s="136">
        <v>44677</v>
      </c>
      <c r="AM64" s="2" t="s">
        <v>1566</v>
      </c>
      <c r="AN64" s="2"/>
      <c r="AO64" s="2" t="s">
        <v>338</v>
      </c>
      <c r="AP64" s="2" t="s">
        <v>338</v>
      </c>
      <c r="AQ64" s="136"/>
    </row>
    <row r="65" spans="1:43" s="115" customFormat="1" ht="12.75" hidden="1" customHeight="1" x14ac:dyDescent="0.2">
      <c r="A65" s="2">
        <v>2094</v>
      </c>
      <c r="B65" s="2" t="s">
        <v>54</v>
      </c>
      <c r="C65" s="2" t="s">
        <v>50</v>
      </c>
      <c r="D65" s="2" t="s">
        <v>2140</v>
      </c>
      <c r="E65" s="2" t="s">
        <v>2095</v>
      </c>
      <c r="F65" s="2" t="s">
        <v>110</v>
      </c>
      <c r="G65" s="2"/>
      <c r="H65" s="132">
        <v>962.5</v>
      </c>
      <c r="I65" s="132">
        <v>962.5</v>
      </c>
      <c r="J65" s="132"/>
      <c r="K65" s="132">
        <v>962.5</v>
      </c>
      <c r="L65" s="132">
        <f t="shared" si="1"/>
        <v>0</v>
      </c>
      <c r="M65" s="132">
        <f t="shared" si="2"/>
        <v>0</v>
      </c>
      <c r="N65" s="133"/>
      <c r="O65" s="133">
        <f t="shared" si="3"/>
        <v>0</v>
      </c>
      <c r="P65" s="134">
        <v>0</v>
      </c>
      <c r="Q65" s="133"/>
      <c r="R65" s="133"/>
      <c r="S65" s="153">
        <v>0</v>
      </c>
      <c r="T65" s="153">
        <v>0</v>
      </c>
      <c r="U65" s="153">
        <v>0</v>
      </c>
      <c r="V65" s="135"/>
      <c r="W65" s="135"/>
      <c r="X65" s="135"/>
      <c r="Y65" s="135"/>
      <c r="Z65" s="135"/>
      <c r="AA65" s="135"/>
      <c r="AB65" s="135">
        <f t="shared" si="11"/>
        <v>0</v>
      </c>
      <c r="AC65" s="135"/>
      <c r="AD65" s="133"/>
      <c r="AE65" s="133"/>
      <c r="AF65" s="132" t="str">
        <f t="shared" si="12"/>
        <v>Нет инфо</v>
      </c>
      <c r="AG65" s="132" t="str">
        <f t="shared" si="13"/>
        <v>Нет инфо</v>
      </c>
      <c r="AH65" s="2" t="s">
        <v>112</v>
      </c>
      <c r="AI65" s="136">
        <v>45363</v>
      </c>
      <c r="AJ65" s="2" t="s">
        <v>145</v>
      </c>
      <c r="AK65" s="136" t="s">
        <v>18</v>
      </c>
      <c r="AL65" s="136">
        <v>44677</v>
      </c>
      <c r="AM65" s="2" t="s">
        <v>1566</v>
      </c>
      <c r="AN65" s="2"/>
      <c r="AO65" s="2" t="s">
        <v>338</v>
      </c>
      <c r="AP65" s="2" t="s">
        <v>338</v>
      </c>
      <c r="AQ65" s="136"/>
    </row>
    <row r="66" spans="1:43" s="115" customFormat="1" ht="12.75" hidden="1" customHeight="1" x14ac:dyDescent="0.2">
      <c r="A66" s="2">
        <v>2095</v>
      </c>
      <c r="B66" s="2" t="s">
        <v>54</v>
      </c>
      <c r="C66" s="2" t="s">
        <v>50</v>
      </c>
      <c r="D66" s="2" t="s">
        <v>2141</v>
      </c>
      <c r="E66" s="2" t="s">
        <v>2096</v>
      </c>
      <c r="F66" s="2" t="s">
        <v>110</v>
      </c>
      <c r="G66" s="2"/>
      <c r="H66" s="132">
        <v>915.25</v>
      </c>
      <c r="I66" s="132">
        <v>915.25</v>
      </c>
      <c r="J66" s="132"/>
      <c r="K66" s="132">
        <v>915.25</v>
      </c>
      <c r="L66" s="132">
        <f t="shared" si="1"/>
        <v>0</v>
      </c>
      <c r="M66" s="132">
        <f t="shared" si="2"/>
        <v>0</v>
      </c>
      <c r="N66" s="133"/>
      <c r="O66" s="133">
        <f t="shared" si="3"/>
        <v>0</v>
      </c>
      <c r="P66" s="134">
        <v>0</v>
      </c>
      <c r="Q66" s="133"/>
      <c r="R66" s="133"/>
      <c r="S66" s="153">
        <v>0</v>
      </c>
      <c r="T66" s="153">
        <v>0</v>
      </c>
      <c r="U66" s="153">
        <v>0</v>
      </c>
      <c r="V66" s="135"/>
      <c r="W66" s="135"/>
      <c r="X66" s="135"/>
      <c r="Y66" s="135"/>
      <c r="Z66" s="135"/>
      <c r="AA66" s="135"/>
      <c r="AB66" s="135">
        <f t="shared" si="11"/>
        <v>0</v>
      </c>
      <c r="AC66" s="135"/>
      <c r="AD66" s="133"/>
      <c r="AE66" s="133"/>
      <c r="AF66" s="132" t="str">
        <f t="shared" si="12"/>
        <v>Нет инфо</v>
      </c>
      <c r="AG66" s="132" t="str">
        <f t="shared" si="13"/>
        <v>Нет инфо</v>
      </c>
      <c r="AH66" s="2" t="s">
        <v>112</v>
      </c>
      <c r="AI66" s="136">
        <v>45363</v>
      </c>
      <c r="AJ66" s="2" t="s">
        <v>145</v>
      </c>
      <c r="AK66" s="136" t="s">
        <v>18</v>
      </c>
      <c r="AL66" s="136">
        <v>44677</v>
      </c>
      <c r="AM66" s="2" t="s">
        <v>1566</v>
      </c>
      <c r="AN66" s="2"/>
      <c r="AO66" s="2" t="s">
        <v>338</v>
      </c>
      <c r="AP66" s="2" t="s">
        <v>338</v>
      </c>
      <c r="AQ66" s="136"/>
    </row>
    <row r="67" spans="1:43" s="115" customFormat="1" ht="12.75" hidden="1" customHeight="1" x14ac:dyDescent="0.2">
      <c r="A67" s="2">
        <v>2096</v>
      </c>
      <c r="B67" s="2" t="s">
        <v>54</v>
      </c>
      <c r="C67" s="2" t="s">
        <v>50</v>
      </c>
      <c r="D67" s="2" t="s">
        <v>2142</v>
      </c>
      <c r="E67" s="2" t="s">
        <v>2097</v>
      </c>
      <c r="F67" s="2" t="s">
        <v>110</v>
      </c>
      <c r="G67" s="2"/>
      <c r="H67" s="132">
        <v>925.75</v>
      </c>
      <c r="I67" s="132">
        <v>925.75</v>
      </c>
      <c r="J67" s="132"/>
      <c r="K67" s="132">
        <v>925.75</v>
      </c>
      <c r="L67" s="132">
        <f t="shared" si="1"/>
        <v>0</v>
      </c>
      <c r="M67" s="132">
        <f t="shared" si="2"/>
        <v>0</v>
      </c>
      <c r="N67" s="133"/>
      <c r="O67" s="133">
        <f t="shared" si="3"/>
        <v>0</v>
      </c>
      <c r="P67" s="134">
        <v>0</v>
      </c>
      <c r="Q67" s="133"/>
      <c r="R67" s="133"/>
      <c r="S67" s="153">
        <v>0</v>
      </c>
      <c r="T67" s="153">
        <v>0</v>
      </c>
      <c r="U67" s="153">
        <v>0</v>
      </c>
      <c r="V67" s="135"/>
      <c r="W67" s="135"/>
      <c r="X67" s="135"/>
      <c r="Y67" s="135"/>
      <c r="Z67" s="135"/>
      <c r="AA67" s="135"/>
      <c r="AB67" s="135">
        <f t="shared" si="11"/>
        <v>0</v>
      </c>
      <c r="AC67" s="135"/>
      <c r="AD67" s="133"/>
      <c r="AE67" s="133"/>
      <c r="AF67" s="132" t="str">
        <f t="shared" si="12"/>
        <v>Нет инфо</v>
      </c>
      <c r="AG67" s="132" t="str">
        <f t="shared" si="13"/>
        <v>Нет инфо</v>
      </c>
      <c r="AH67" s="2" t="s">
        <v>112</v>
      </c>
      <c r="AI67" s="136">
        <v>45363</v>
      </c>
      <c r="AJ67" s="2" t="s">
        <v>145</v>
      </c>
      <c r="AK67" s="136" t="s">
        <v>18</v>
      </c>
      <c r="AL67" s="136">
        <v>44677</v>
      </c>
      <c r="AM67" s="2" t="s">
        <v>1566</v>
      </c>
      <c r="AN67" s="2"/>
      <c r="AO67" s="2" t="s">
        <v>338</v>
      </c>
      <c r="AP67" s="2" t="s">
        <v>338</v>
      </c>
      <c r="AQ67" s="136"/>
    </row>
    <row r="68" spans="1:43" s="115" customFormat="1" ht="12.75" hidden="1" customHeight="1" x14ac:dyDescent="0.2">
      <c r="A68" s="2">
        <v>2097</v>
      </c>
      <c r="B68" s="2" t="s">
        <v>54</v>
      </c>
      <c r="C68" s="2" t="s">
        <v>50</v>
      </c>
      <c r="D68" s="2" t="s">
        <v>2143</v>
      </c>
      <c r="E68" s="2" t="s">
        <v>2098</v>
      </c>
      <c r="F68" s="2" t="s">
        <v>110</v>
      </c>
      <c r="G68" s="2"/>
      <c r="H68" s="132">
        <v>1310.75</v>
      </c>
      <c r="I68" s="132">
        <v>1310.75</v>
      </c>
      <c r="J68" s="132"/>
      <c r="K68" s="132">
        <f>199.945+1110.805</f>
        <v>1310.75</v>
      </c>
      <c r="L68" s="132">
        <f t="shared" si="1"/>
        <v>0</v>
      </c>
      <c r="M68" s="132">
        <f t="shared" si="2"/>
        <v>0</v>
      </c>
      <c r="N68" s="133"/>
      <c r="O68" s="133">
        <f t="shared" si="3"/>
        <v>0</v>
      </c>
      <c r="P68" s="134">
        <v>0</v>
      </c>
      <c r="Q68" s="133"/>
      <c r="R68" s="133"/>
      <c r="S68" s="153">
        <v>0</v>
      </c>
      <c r="T68" s="153">
        <v>0</v>
      </c>
      <c r="U68" s="153">
        <v>0</v>
      </c>
      <c r="V68" s="135"/>
      <c r="W68" s="135"/>
      <c r="X68" s="135"/>
      <c r="Y68" s="135"/>
      <c r="Z68" s="135"/>
      <c r="AA68" s="135"/>
      <c r="AB68" s="135">
        <f t="shared" si="11"/>
        <v>0</v>
      </c>
      <c r="AC68" s="135"/>
      <c r="AD68" s="133"/>
      <c r="AE68" s="133"/>
      <c r="AF68" s="132" t="str">
        <f t="shared" si="12"/>
        <v>Нет инфо</v>
      </c>
      <c r="AG68" s="132" t="str">
        <f t="shared" si="13"/>
        <v>Нет инфо</v>
      </c>
      <c r="AH68" s="2" t="s">
        <v>112</v>
      </c>
      <c r="AI68" s="136">
        <v>45363</v>
      </c>
      <c r="AJ68" s="2" t="s">
        <v>145</v>
      </c>
      <c r="AK68" s="136" t="s">
        <v>18</v>
      </c>
      <c r="AL68" s="136">
        <v>44677</v>
      </c>
      <c r="AM68" s="2" t="s">
        <v>1566</v>
      </c>
      <c r="AN68" s="2"/>
      <c r="AO68" s="2" t="s">
        <v>338</v>
      </c>
      <c r="AP68" s="2" t="s">
        <v>338</v>
      </c>
      <c r="AQ68" s="136"/>
    </row>
    <row r="69" spans="1:43" s="115" customFormat="1" ht="12.75" hidden="1" customHeight="1" x14ac:dyDescent="0.2">
      <c r="A69" s="2">
        <v>2098</v>
      </c>
      <c r="B69" s="2" t="s">
        <v>54</v>
      </c>
      <c r="C69" s="2" t="s">
        <v>50</v>
      </c>
      <c r="D69" s="2" t="s">
        <v>2144</v>
      </c>
      <c r="E69" s="2" t="s">
        <v>2099</v>
      </c>
      <c r="F69" s="2" t="s">
        <v>110</v>
      </c>
      <c r="G69" s="2"/>
      <c r="H69" s="132">
        <v>1555.75</v>
      </c>
      <c r="I69" s="132">
        <v>1555.75</v>
      </c>
      <c r="J69" s="132"/>
      <c r="K69" s="132">
        <f>237.32+1318.43</f>
        <v>1555.75</v>
      </c>
      <c r="L69" s="132">
        <f t="shared" si="1"/>
        <v>0</v>
      </c>
      <c r="M69" s="132">
        <f t="shared" si="2"/>
        <v>0</v>
      </c>
      <c r="N69" s="133"/>
      <c r="O69" s="133">
        <f t="shared" si="3"/>
        <v>0</v>
      </c>
      <c r="P69" s="134">
        <v>0</v>
      </c>
      <c r="Q69" s="133"/>
      <c r="R69" s="133"/>
      <c r="S69" s="153">
        <v>0</v>
      </c>
      <c r="T69" s="153">
        <v>0</v>
      </c>
      <c r="U69" s="153">
        <v>0</v>
      </c>
      <c r="V69" s="135"/>
      <c r="W69" s="135"/>
      <c r="X69" s="135"/>
      <c r="Y69" s="135"/>
      <c r="Z69" s="135"/>
      <c r="AA69" s="135"/>
      <c r="AB69" s="135">
        <f t="shared" si="11"/>
        <v>0</v>
      </c>
      <c r="AC69" s="135"/>
      <c r="AD69" s="133"/>
      <c r="AE69" s="133"/>
      <c r="AF69" s="132" t="str">
        <f t="shared" si="12"/>
        <v>Нет инфо</v>
      </c>
      <c r="AG69" s="132" t="str">
        <f t="shared" si="13"/>
        <v>Нет инфо</v>
      </c>
      <c r="AH69" s="2" t="s">
        <v>112</v>
      </c>
      <c r="AI69" s="136">
        <v>45363</v>
      </c>
      <c r="AJ69" s="2" t="s">
        <v>145</v>
      </c>
      <c r="AK69" s="136" t="s">
        <v>18</v>
      </c>
      <c r="AL69" s="136">
        <v>44677</v>
      </c>
      <c r="AM69" s="2" t="s">
        <v>1566</v>
      </c>
      <c r="AN69" s="2"/>
      <c r="AO69" s="2" t="s">
        <v>338</v>
      </c>
      <c r="AP69" s="2" t="s">
        <v>338</v>
      </c>
      <c r="AQ69" s="136"/>
    </row>
    <row r="70" spans="1:43" s="115" customFormat="1" ht="12.75" hidden="1" customHeight="1" x14ac:dyDescent="0.2">
      <c r="A70" s="2">
        <v>2099</v>
      </c>
      <c r="B70" s="2" t="s">
        <v>54</v>
      </c>
      <c r="C70" s="2" t="s">
        <v>50</v>
      </c>
      <c r="D70" s="2" t="s">
        <v>2145</v>
      </c>
      <c r="E70" s="2" t="s">
        <v>2100</v>
      </c>
      <c r="F70" s="2" t="s">
        <v>110</v>
      </c>
      <c r="G70" s="2"/>
      <c r="H70" s="132">
        <v>1324.75</v>
      </c>
      <c r="I70" s="132">
        <v>1324.75</v>
      </c>
      <c r="J70" s="132"/>
      <c r="K70" s="132">
        <f>202.08+1122.67</f>
        <v>1324.75</v>
      </c>
      <c r="L70" s="132">
        <f t="shared" si="1"/>
        <v>0</v>
      </c>
      <c r="M70" s="132">
        <f t="shared" si="2"/>
        <v>0</v>
      </c>
      <c r="N70" s="133"/>
      <c r="O70" s="133">
        <f t="shared" si="3"/>
        <v>0</v>
      </c>
      <c r="P70" s="134">
        <v>0</v>
      </c>
      <c r="Q70" s="133"/>
      <c r="R70" s="133"/>
      <c r="S70" s="153">
        <v>0</v>
      </c>
      <c r="T70" s="153">
        <v>0</v>
      </c>
      <c r="U70" s="153">
        <v>0</v>
      </c>
      <c r="V70" s="135"/>
      <c r="W70" s="135"/>
      <c r="X70" s="135"/>
      <c r="Y70" s="135"/>
      <c r="Z70" s="135"/>
      <c r="AA70" s="135"/>
      <c r="AB70" s="135">
        <f t="shared" si="11"/>
        <v>0</v>
      </c>
      <c r="AC70" s="135"/>
      <c r="AD70" s="133"/>
      <c r="AE70" s="133"/>
      <c r="AF70" s="132" t="str">
        <f t="shared" si="12"/>
        <v>Нет инфо</v>
      </c>
      <c r="AG70" s="132" t="str">
        <f t="shared" si="13"/>
        <v>Нет инфо</v>
      </c>
      <c r="AH70" s="2" t="s">
        <v>112</v>
      </c>
      <c r="AI70" s="136">
        <v>45363</v>
      </c>
      <c r="AJ70" s="2" t="s">
        <v>145</v>
      </c>
      <c r="AK70" s="136" t="s">
        <v>18</v>
      </c>
      <c r="AL70" s="136">
        <v>44677</v>
      </c>
      <c r="AM70" s="2" t="s">
        <v>1566</v>
      </c>
      <c r="AN70" s="2"/>
      <c r="AO70" s="2" t="s">
        <v>338</v>
      </c>
      <c r="AP70" s="2" t="s">
        <v>338</v>
      </c>
      <c r="AQ70" s="136"/>
    </row>
    <row r="71" spans="1:43" s="115" customFormat="1" ht="12.75" hidden="1" customHeight="1" x14ac:dyDescent="0.2">
      <c r="A71" s="2">
        <v>2100</v>
      </c>
      <c r="B71" s="2" t="s">
        <v>54</v>
      </c>
      <c r="C71" s="2" t="s">
        <v>50</v>
      </c>
      <c r="D71" s="2" t="s">
        <v>2146</v>
      </c>
      <c r="E71" s="2" t="s">
        <v>2101</v>
      </c>
      <c r="F71" s="2" t="s">
        <v>110</v>
      </c>
      <c r="G71" s="2"/>
      <c r="H71" s="132">
        <v>1512</v>
      </c>
      <c r="I71" s="132">
        <v>1512</v>
      </c>
      <c r="J71" s="132"/>
      <c r="K71" s="132">
        <f>230.64+1281.36</f>
        <v>1512</v>
      </c>
      <c r="L71" s="132">
        <f t="shared" si="1"/>
        <v>0</v>
      </c>
      <c r="M71" s="132">
        <f t="shared" si="2"/>
        <v>0</v>
      </c>
      <c r="N71" s="133"/>
      <c r="O71" s="133">
        <f t="shared" si="3"/>
        <v>0</v>
      </c>
      <c r="P71" s="134">
        <v>0</v>
      </c>
      <c r="Q71" s="133"/>
      <c r="R71" s="133"/>
      <c r="S71" s="153">
        <v>0</v>
      </c>
      <c r="T71" s="153">
        <v>0</v>
      </c>
      <c r="U71" s="153">
        <v>0</v>
      </c>
      <c r="V71" s="135"/>
      <c r="W71" s="135"/>
      <c r="X71" s="135"/>
      <c r="Y71" s="135"/>
      <c r="Z71" s="135"/>
      <c r="AA71" s="135"/>
      <c r="AB71" s="135">
        <f t="shared" si="11"/>
        <v>0</v>
      </c>
      <c r="AC71" s="135"/>
      <c r="AD71" s="133"/>
      <c r="AE71" s="133"/>
      <c r="AF71" s="132" t="str">
        <f t="shared" si="12"/>
        <v>Нет инфо</v>
      </c>
      <c r="AG71" s="132" t="str">
        <f t="shared" si="13"/>
        <v>Нет инфо</v>
      </c>
      <c r="AH71" s="2" t="s">
        <v>112</v>
      </c>
      <c r="AI71" s="136">
        <v>45363</v>
      </c>
      <c r="AJ71" s="2" t="s">
        <v>145</v>
      </c>
      <c r="AK71" s="136" t="s">
        <v>18</v>
      </c>
      <c r="AL71" s="136">
        <v>44677</v>
      </c>
      <c r="AM71" s="2" t="s">
        <v>1566</v>
      </c>
      <c r="AN71" s="2"/>
      <c r="AO71" s="2" t="s">
        <v>338</v>
      </c>
      <c r="AP71" s="2" t="s">
        <v>338</v>
      </c>
      <c r="AQ71" s="136"/>
    </row>
    <row r="72" spans="1:43" s="115" customFormat="1" ht="12.75" hidden="1" customHeight="1" x14ac:dyDescent="0.2">
      <c r="A72" s="2">
        <v>2101</v>
      </c>
      <c r="B72" s="2" t="s">
        <v>54</v>
      </c>
      <c r="C72" s="2" t="s">
        <v>50</v>
      </c>
      <c r="D72" s="2" t="s">
        <v>2147</v>
      </c>
      <c r="E72" s="2" t="s">
        <v>2102</v>
      </c>
      <c r="F72" s="2" t="s">
        <v>110</v>
      </c>
      <c r="G72" s="2"/>
      <c r="H72" s="132">
        <v>1482.25</v>
      </c>
      <c r="I72" s="132">
        <v>1482.25</v>
      </c>
      <c r="J72" s="132"/>
      <c r="K72" s="132">
        <f>226.11+1256.14</f>
        <v>1482.25</v>
      </c>
      <c r="L72" s="132">
        <f t="shared" si="1"/>
        <v>0</v>
      </c>
      <c r="M72" s="132">
        <f t="shared" si="2"/>
        <v>0</v>
      </c>
      <c r="N72" s="133"/>
      <c r="O72" s="133">
        <f t="shared" si="3"/>
        <v>0</v>
      </c>
      <c r="P72" s="134">
        <v>0</v>
      </c>
      <c r="Q72" s="133"/>
      <c r="R72" s="133"/>
      <c r="S72" s="153">
        <v>0</v>
      </c>
      <c r="T72" s="153">
        <v>0</v>
      </c>
      <c r="U72" s="153">
        <v>0</v>
      </c>
      <c r="V72" s="135"/>
      <c r="W72" s="135"/>
      <c r="X72" s="135"/>
      <c r="Y72" s="135"/>
      <c r="Z72" s="135"/>
      <c r="AA72" s="135"/>
      <c r="AB72" s="135">
        <f t="shared" si="11"/>
        <v>0</v>
      </c>
      <c r="AC72" s="135"/>
      <c r="AD72" s="133"/>
      <c r="AE72" s="133"/>
      <c r="AF72" s="132" t="str">
        <f t="shared" si="12"/>
        <v>Нет инфо</v>
      </c>
      <c r="AG72" s="132" t="str">
        <f t="shared" si="13"/>
        <v>Нет инфо</v>
      </c>
      <c r="AH72" s="2" t="s">
        <v>112</v>
      </c>
      <c r="AI72" s="136">
        <v>45363</v>
      </c>
      <c r="AJ72" s="2" t="s">
        <v>145</v>
      </c>
      <c r="AK72" s="136" t="s">
        <v>18</v>
      </c>
      <c r="AL72" s="136">
        <v>44677</v>
      </c>
      <c r="AM72" s="2" t="s">
        <v>1566</v>
      </c>
      <c r="AN72" s="2"/>
      <c r="AO72" s="2" t="s">
        <v>338</v>
      </c>
      <c r="AP72" s="2" t="s">
        <v>338</v>
      </c>
      <c r="AQ72" s="136"/>
    </row>
    <row r="73" spans="1:43" s="115" customFormat="1" ht="12.75" hidden="1" customHeight="1" x14ac:dyDescent="0.2">
      <c r="A73" s="2">
        <v>2102</v>
      </c>
      <c r="B73" s="2" t="s">
        <v>54</v>
      </c>
      <c r="C73" s="2" t="s">
        <v>50</v>
      </c>
      <c r="D73" s="2" t="s">
        <v>2148</v>
      </c>
      <c r="E73" s="2" t="s">
        <v>2103</v>
      </c>
      <c r="F73" s="2" t="s">
        <v>110</v>
      </c>
      <c r="G73" s="2"/>
      <c r="H73" s="132">
        <v>2394</v>
      </c>
      <c r="I73" s="132">
        <v>2394</v>
      </c>
      <c r="J73" s="132"/>
      <c r="K73" s="132">
        <f>365.19+2028.81</f>
        <v>2394</v>
      </c>
      <c r="L73" s="132">
        <f t="shared" si="1"/>
        <v>0</v>
      </c>
      <c r="M73" s="132">
        <f t="shared" si="2"/>
        <v>0</v>
      </c>
      <c r="N73" s="133"/>
      <c r="O73" s="133">
        <f t="shared" si="3"/>
        <v>0</v>
      </c>
      <c r="P73" s="134">
        <v>0</v>
      </c>
      <c r="Q73" s="133"/>
      <c r="R73" s="133"/>
      <c r="S73" s="153">
        <v>0</v>
      </c>
      <c r="T73" s="153">
        <v>0</v>
      </c>
      <c r="U73" s="153">
        <v>0</v>
      </c>
      <c r="V73" s="135"/>
      <c r="W73" s="135"/>
      <c r="X73" s="135"/>
      <c r="Y73" s="135"/>
      <c r="Z73" s="135"/>
      <c r="AA73" s="135"/>
      <c r="AB73" s="135">
        <f t="shared" si="11"/>
        <v>0</v>
      </c>
      <c r="AC73" s="135"/>
      <c r="AD73" s="133"/>
      <c r="AE73" s="133"/>
      <c r="AF73" s="132" t="str">
        <f t="shared" si="12"/>
        <v>Нет инфо</v>
      </c>
      <c r="AG73" s="132" t="str">
        <f t="shared" si="13"/>
        <v>Нет инфо</v>
      </c>
      <c r="AH73" s="2" t="s">
        <v>112</v>
      </c>
      <c r="AI73" s="136">
        <v>45363</v>
      </c>
      <c r="AJ73" s="2" t="s">
        <v>145</v>
      </c>
      <c r="AK73" s="136" t="s">
        <v>18</v>
      </c>
      <c r="AL73" s="136">
        <v>44677</v>
      </c>
      <c r="AM73" s="2" t="s">
        <v>1566</v>
      </c>
      <c r="AN73" s="2"/>
      <c r="AO73" s="2" t="s">
        <v>338</v>
      </c>
      <c r="AP73" s="2" t="s">
        <v>338</v>
      </c>
      <c r="AQ73" s="136"/>
    </row>
    <row r="74" spans="1:43" s="115" customFormat="1" ht="12.75" hidden="1" customHeight="1" x14ac:dyDescent="0.2">
      <c r="A74" s="2">
        <v>2103</v>
      </c>
      <c r="B74" s="2" t="s">
        <v>54</v>
      </c>
      <c r="C74" s="2" t="s">
        <v>50</v>
      </c>
      <c r="D74" s="2" t="s">
        <v>2149</v>
      </c>
      <c r="E74" s="2" t="s">
        <v>2104</v>
      </c>
      <c r="F74" s="2" t="s">
        <v>110</v>
      </c>
      <c r="G74" s="2"/>
      <c r="H74" s="132">
        <v>2553.25</v>
      </c>
      <c r="I74" s="132">
        <v>2553.25</v>
      </c>
      <c r="J74" s="132"/>
      <c r="K74" s="132">
        <f>389.48+2163.77</f>
        <v>2553.25</v>
      </c>
      <c r="L74" s="132">
        <f t="shared" si="1"/>
        <v>0</v>
      </c>
      <c r="M74" s="132">
        <f t="shared" si="2"/>
        <v>0</v>
      </c>
      <c r="N74" s="133"/>
      <c r="O74" s="133">
        <f t="shared" si="3"/>
        <v>0</v>
      </c>
      <c r="P74" s="134">
        <v>0</v>
      </c>
      <c r="Q74" s="133"/>
      <c r="R74" s="133"/>
      <c r="S74" s="153">
        <v>0</v>
      </c>
      <c r="T74" s="153">
        <v>0</v>
      </c>
      <c r="U74" s="153">
        <v>0</v>
      </c>
      <c r="V74" s="135"/>
      <c r="W74" s="135"/>
      <c r="X74" s="135"/>
      <c r="Y74" s="135"/>
      <c r="Z74" s="135"/>
      <c r="AA74" s="135"/>
      <c r="AB74" s="135">
        <f t="shared" si="11"/>
        <v>0</v>
      </c>
      <c r="AC74" s="135"/>
      <c r="AD74" s="133"/>
      <c r="AE74" s="133"/>
      <c r="AF74" s="132" t="str">
        <f t="shared" si="12"/>
        <v>Нет инфо</v>
      </c>
      <c r="AG74" s="132" t="str">
        <f t="shared" si="13"/>
        <v>Нет инфо</v>
      </c>
      <c r="AH74" s="2" t="s">
        <v>112</v>
      </c>
      <c r="AI74" s="136">
        <v>45363</v>
      </c>
      <c r="AJ74" s="2" t="s">
        <v>145</v>
      </c>
      <c r="AK74" s="136" t="s">
        <v>18</v>
      </c>
      <c r="AL74" s="136">
        <v>44677</v>
      </c>
      <c r="AM74" s="2" t="s">
        <v>1566</v>
      </c>
      <c r="AN74" s="2"/>
      <c r="AO74" s="2" t="s">
        <v>338</v>
      </c>
      <c r="AP74" s="2" t="s">
        <v>338</v>
      </c>
      <c r="AQ74" s="136"/>
    </row>
    <row r="75" spans="1:43" s="115" customFormat="1" ht="12.75" hidden="1" customHeight="1" x14ac:dyDescent="0.2">
      <c r="A75" s="2">
        <v>2104</v>
      </c>
      <c r="B75" s="2" t="s">
        <v>54</v>
      </c>
      <c r="C75" s="2" t="s">
        <v>50</v>
      </c>
      <c r="D75" s="2" t="s">
        <v>2150</v>
      </c>
      <c r="E75" s="2" t="s">
        <v>2105</v>
      </c>
      <c r="F75" s="2" t="s">
        <v>110</v>
      </c>
      <c r="G75" s="2"/>
      <c r="H75" s="132">
        <v>2541</v>
      </c>
      <c r="I75" s="132">
        <v>2541</v>
      </c>
      <c r="J75" s="132"/>
      <c r="K75" s="132">
        <f>387.61+2153.39</f>
        <v>2541</v>
      </c>
      <c r="L75" s="132">
        <f t="shared" ref="L75:L138" si="14">H75-K75</f>
        <v>0</v>
      </c>
      <c r="M75" s="132">
        <f t="shared" ref="M75:M138" si="15">I75-K75</f>
        <v>0</v>
      </c>
      <c r="N75" s="133"/>
      <c r="O75" s="133">
        <f t="shared" ref="O75:O138" si="16">IF(OR(AJ75="принят",AJ75="Завершено",AJ75="ПриПро"),I75-K75,H75-K75)</f>
        <v>0</v>
      </c>
      <c r="P75" s="134">
        <v>0</v>
      </c>
      <c r="Q75" s="133"/>
      <c r="R75" s="133"/>
      <c r="S75" s="153">
        <v>0</v>
      </c>
      <c r="T75" s="153">
        <v>0</v>
      </c>
      <c r="U75" s="153">
        <v>0</v>
      </c>
      <c r="V75" s="135"/>
      <c r="W75" s="135"/>
      <c r="X75" s="135"/>
      <c r="Y75" s="135"/>
      <c r="Z75" s="135"/>
      <c r="AA75" s="135"/>
      <c r="AB75" s="135">
        <f t="shared" ref="AB75:AB106" si="17">IF(AJ75="Принят",(J75/1.18-W75-Z75)*0.1,J75/1.18*0.8*0.1)-AA75</f>
        <v>0</v>
      </c>
      <c r="AC75" s="135"/>
      <c r="AD75" s="133"/>
      <c r="AE75" s="133"/>
      <c r="AF75" s="132" t="str">
        <f t="shared" si="12"/>
        <v>Нет инфо</v>
      </c>
      <c r="AG75" s="132" t="str">
        <f t="shared" si="13"/>
        <v>Нет инфо</v>
      </c>
      <c r="AH75" s="2" t="s">
        <v>112</v>
      </c>
      <c r="AI75" s="136">
        <v>45363</v>
      </c>
      <c r="AJ75" s="2" t="s">
        <v>145</v>
      </c>
      <c r="AK75" s="136" t="s">
        <v>18</v>
      </c>
      <c r="AL75" s="136">
        <v>44677</v>
      </c>
      <c r="AM75" s="2" t="s">
        <v>1566</v>
      </c>
      <c r="AN75" s="2"/>
      <c r="AO75" s="2" t="s">
        <v>338</v>
      </c>
      <c r="AP75" s="2" t="s">
        <v>338</v>
      </c>
      <c r="AQ75" s="136"/>
    </row>
    <row r="76" spans="1:43" s="115" customFormat="1" ht="12.75" hidden="1" customHeight="1" x14ac:dyDescent="0.2">
      <c r="A76" s="2">
        <v>2105</v>
      </c>
      <c r="B76" s="2" t="s">
        <v>54</v>
      </c>
      <c r="C76" s="2" t="s">
        <v>50</v>
      </c>
      <c r="D76" s="2" t="s">
        <v>2151</v>
      </c>
      <c r="E76" s="2" t="s">
        <v>2106</v>
      </c>
      <c r="F76" s="2" t="s">
        <v>110</v>
      </c>
      <c r="G76" s="2"/>
      <c r="H76" s="132">
        <v>2506</v>
      </c>
      <c r="I76" s="132">
        <v>2506</v>
      </c>
      <c r="J76" s="132"/>
      <c r="K76" s="132">
        <f>382.27+2123.73</f>
        <v>2506</v>
      </c>
      <c r="L76" s="132">
        <f t="shared" si="14"/>
        <v>0</v>
      </c>
      <c r="M76" s="132">
        <f t="shared" si="15"/>
        <v>0</v>
      </c>
      <c r="N76" s="133"/>
      <c r="O76" s="133">
        <f t="shared" si="16"/>
        <v>0</v>
      </c>
      <c r="P76" s="134">
        <v>0</v>
      </c>
      <c r="Q76" s="133"/>
      <c r="R76" s="133"/>
      <c r="S76" s="153">
        <v>0</v>
      </c>
      <c r="T76" s="153">
        <v>0</v>
      </c>
      <c r="U76" s="153">
        <v>0</v>
      </c>
      <c r="V76" s="135"/>
      <c r="W76" s="135"/>
      <c r="X76" s="135"/>
      <c r="Y76" s="135"/>
      <c r="Z76" s="135"/>
      <c r="AA76" s="135"/>
      <c r="AB76" s="135">
        <f t="shared" si="17"/>
        <v>0</v>
      </c>
      <c r="AC76" s="135"/>
      <c r="AD76" s="133"/>
      <c r="AE76" s="133"/>
      <c r="AF76" s="132" t="str">
        <f t="shared" si="12"/>
        <v>Нет инфо</v>
      </c>
      <c r="AG76" s="132" t="str">
        <f t="shared" si="13"/>
        <v>Нет инфо</v>
      </c>
      <c r="AH76" s="2" t="s">
        <v>112</v>
      </c>
      <c r="AI76" s="136">
        <v>45363</v>
      </c>
      <c r="AJ76" s="2" t="s">
        <v>145</v>
      </c>
      <c r="AK76" s="136" t="s">
        <v>18</v>
      </c>
      <c r="AL76" s="136">
        <v>44677</v>
      </c>
      <c r="AM76" s="2" t="s">
        <v>1566</v>
      </c>
      <c r="AN76" s="2"/>
      <c r="AO76" s="2" t="s">
        <v>338</v>
      </c>
      <c r="AP76" s="2" t="s">
        <v>338</v>
      </c>
      <c r="AQ76" s="136"/>
    </row>
    <row r="77" spans="1:43" s="115" customFormat="1" ht="12.75" hidden="1" customHeight="1" x14ac:dyDescent="0.2">
      <c r="A77" s="2">
        <v>2106</v>
      </c>
      <c r="B77" s="2" t="s">
        <v>54</v>
      </c>
      <c r="C77" s="2" t="s">
        <v>50</v>
      </c>
      <c r="D77" s="2" t="s">
        <v>2152</v>
      </c>
      <c r="E77" s="2" t="s">
        <v>2107</v>
      </c>
      <c r="F77" s="2" t="s">
        <v>110</v>
      </c>
      <c r="G77" s="2"/>
      <c r="H77" s="132">
        <v>2523.5</v>
      </c>
      <c r="I77" s="132">
        <v>2523.5</v>
      </c>
      <c r="J77" s="132"/>
      <c r="K77" s="132">
        <f>384.94+2138.56</f>
        <v>2523.5</v>
      </c>
      <c r="L77" s="132">
        <f t="shared" si="14"/>
        <v>0</v>
      </c>
      <c r="M77" s="132">
        <f t="shared" si="15"/>
        <v>0</v>
      </c>
      <c r="N77" s="133"/>
      <c r="O77" s="133">
        <f t="shared" si="16"/>
        <v>0</v>
      </c>
      <c r="P77" s="134">
        <v>0</v>
      </c>
      <c r="Q77" s="133"/>
      <c r="R77" s="133"/>
      <c r="S77" s="153">
        <v>0</v>
      </c>
      <c r="T77" s="153">
        <v>0</v>
      </c>
      <c r="U77" s="153">
        <v>0</v>
      </c>
      <c r="V77" s="135"/>
      <c r="W77" s="135"/>
      <c r="X77" s="135"/>
      <c r="Y77" s="135"/>
      <c r="Z77" s="135"/>
      <c r="AA77" s="135"/>
      <c r="AB77" s="135">
        <f t="shared" si="17"/>
        <v>0</v>
      </c>
      <c r="AC77" s="135"/>
      <c r="AD77" s="133"/>
      <c r="AE77" s="133"/>
      <c r="AF77" s="132" t="str">
        <f t="shared" si="12"/>
        <v>Нет инфо</v>
      </c>
      <c r="AG77" s="132" t="str">
        <f t="shared" si="13"/>
        <v>Нет инфо</v>
      </c>
      <c r="AH77" s="2" t="s">
        <v>112</v>
      </c>
      <c r="AI77" s="136">
        <v>45363</v>
      </c>
      <c r="AJ77" s="2" t="s">
        <v>145</v>
      </c>
      <c r="AK77" s="136" t="s">
        <v>18</v>
      </c>
      <c r="AL77" s="136">
        <v>44677</v>
      </c>
      <c r="AM77" s="2" t="s">
        <v>1566</v>
      </c>
      <c r="AN77" s="2"/>
      <c r="AO77" s="2" t="s">
        <v>338</v>
      </c>
      <c r="AP77" s="2" t="s">
        <v>338</v>
      </c>
      <c r="AQ77" s="136"/>
    </row>
    <row r="78" spans="1:43" s="115" customFormat="1" ht="12.75" hidden="1" customHeight="1" x14ac:dyDescent="0.2">
      <c r="A78" s="2">
        <v>2107</v>
      </c>
      <c r="B78" s="2" t="s">
        <v>54</v>
      </c>
      <c r="C78" s="2" t="s">
        <v>50</v>
      </c>
      <c r="D78" s="2" t="s">
        <v>2153</v>
      </c>
      <c r="E78" s="2" t="s">
        <v>2108</v>
      </c>
      <c r="F78" s="2" t="s">
        <v>110</v>
      </c>
      <c r="G78" s="2"/>
      <c r="H78" s="132">
        <v>1604.75</v>
      </c>
      <c r="I78" s="132">
        <v>1604.75</v>
      </c>
      <c r="J78" s="132"/>
      <c r="K78" s="132">
        <f>244.79+1359.96</f>
        <v>1604.75</v>
      </c>
      <c r="L78" s="132">
        <f t="shared" si="14"/>
        <v>0</v>
      </c>
      <c r="M78" s="132">
        <f t="shared" si="15"/>
        <v>0</v>
      </c>
      <c r="N78" s="133"/>
      <c r="O78" s="133">
        <f t="shared" si="16"/>
        <v>0</v>
      </c>
      <c r="P78" s="134">
        <v>0</v>
      </c>
      <c r="Q78" s="133"/>
      <c r="R78" s="133"/>
      <c r="S78" s="153">
        <v>0</v>
      </c>
      <c r="T78" s="153">
        <v>0</v>
      </c>
      <c r="U78" s="153">
        <v>0</v>
      </c>
      <c r="V78" s="135"/>
      <c r="W78" s="135"/>
      <c r="X78" s="135"/>
      <c r="Y78" s="135"/>
      <c r="Z78" s="135"/>
      <c r="AA78" s="135"/>
      <c r="AB78" s="135">
        <f t="shared" si="17"/>
        <v>0</v>
      </c>
      <c r="AC78" s="135"/>
      <c r="AD78" s="133"/>
      <c r="AE78" s="133"/>
      <c r="AF78" s="132" t="str">
        <f t="shared" si="12"/>
        <v>Нет инфо</v>
      </c>
      <c r="AG78" s="132" t="str">
        <f t="shared" si="13"/>
        <v>Нет инфо</v>
      </c>
      <c r="AH78" s="2" t="s">
        <v>112</v>
      </c>
      <c r="AI78" s="136">
        <v>45363</v>
      </c>
      <c r="AJ78" s="2" t="s">
        <v>145</v>
      </c>
      <c r="AK78" s="136" t="s">
        <v>18</v>
      </c>
      <c r="AL78" s="136">
        <v>44677</v>
      </c>
      <c r="AM78" s="2" t="s">
        <v>1566</v>
      </c>
      <c r="AN78" s="2"/>
      <c r="AO78" s="2" t="s">
        <v>338</v>
      </c>
      <c r="AP78" s="2" t="s">
        <v>338</v>
      </c>
      <c r="AQ78" s="136"/>
    </row>
    <row r="79" spans="1:43" s="115" customFormat="1" ht="12.75" hidden="1" customHeight="1" x14ac:dyDescent="0.2">
      <c r="A79" s="2">
        <v>2108</v>
      </c>
      <c r="B79" s="2" t="s">
        <v>54</v>
      </c>
      <c r="C79" s="2" t="s">
        <v>50</v>
      </c>
      <c r="D79" s="2" t="s">
        <v>2154</v>
      </c>
      <c r="E79" s="2" t="s">
        <v>2109</v>
      </c>
      <c r="F79" s="2" t="s">
        <v>110</v>
      </c>
      <c r="G79" s="2"/>
      <c r="H79" s="132">
        <v>1046.5</v>
      </c>
      <c r="I79" s="132">
        <v>1046.5</v>
      </c>
      <c r="J79" s="132"/>
      <c r="K79" s="132">
        <f>159.63+886.87</f>
        <v>1046.5</v>
      </c>
      <c r="L79" s="132">
        <f t="shared" si="14"/>
        <v>0</v>
      </c>
      <c r="M79" s="132">
        <f t="shared" si="15"/>
        <v>0</v>
      </c>
      <c r="N79" s="133"/>
      <c r="O79" s="133">
        <f t="shared" si="16"/>
        <v>0</v>
      </c>
      <c r="P79" s="134">
        <v>0</v>
      </c>
      <c r="Q79" s="133"/>
      <c r="R79" s="133"/>
      <c r="S79" s="153">
        <v>0</v>
      </c>
      <c r="T79" s="153">
        <v>0</v>
      </c>
      <c r="U79" s="153">
        <v>0</v>
      </c>
      <c r="V79" s="135"/>
      <c r="W79" s="135"/>
      <c r="X79" s="135"/>
      <c r="Y79" s="135"/>
      <c r="Z79" s="135"/>
      <c r="AA79" s="135"/>
      <c r="AB79" s="135">
        <f t="shared" si="17"/>
        <v>0</v>
      </c>
      <c r="AC79" s="135"/>
      <c r="AD79" s="133"/>
      <c r="AE79" s="133"/>
      <c r="AF79" s="132" t="str">
        <f t="shared" si="12"/>
        <v>Нет инфо</v>
      </c>
      <c r="AG79" s="132" t="str">
        <f t="shared" si="13"/>
        <v>Нет инфо</v>
      </c>
      <c r="AH79" s="2" t="s">
        <v>112</v>
      </c>
      <c r="AI79" s="136">
        <v>45363</v>
      </c>
      <c r="AJ79" s="2" t="s">
        <v>145</v>
      </c>
      <c r="AK79" s="136" t="s">
        <v>18</v>
      </c>
      <c r="AL79" s="136">
        <v>44677</v>
      </c>
      <c r="AM79" s="2" t="s">
        <v>1566</v>
      </c>
      <c r="AN79" s="2"/>
      <c r="AO79" s="2" t="s">
        <v>338</v>
      </c>
      <c r="AP79" s="2" t="s">
        <v>338</v>
      </c>
      <c r="AQ79" s="136"/>
    </row>
    <row r="80" spans="1:43" s="115" customFormat="1" ht="12.75" hidden="1" customHeight="1" x14ac:dyDescent="0.2">
      <c r="A80" s="2">
        <v>2109</v>
      </c>
      <c r="B80" s="2" t="s">
        <v>54</v>
      </c>
      <c r="C80" s="2" t="s">
        <v>50</v>
      </c>
      <c r="D80" s="2" t="s">
        <v>2155</v>
      </c>
      <c r="E80" s="2" t="s">
        <v>2110</v>
      </c>
      <c r="F80" s="2" t="s">
        <v>110</v>
      </c>
      <c r="G80" s="2"/>
      <c r="H80" s="132">
        <v>1032.5</v>
      </c>
      <c r="I80" s="132">
        <v>1032.5</v>
      </c>
      <c r="J80" s="132"/>
      <c r="K80" s="132">
        <f>157.5+875</f>
        <v>1032.5</v>
      </c>
      <c r="L80" s="132">
        <f t="shared" si="14"/>
        <v>0</v>
      </c>
      <c r="M80" s="132">
        <f t="shared" si="15"/>
        <v>0</v>
      </c>
      <c r="N80" s="133"/>
      <c r="O80" s="133">
        <f t="shared" si="16"/>
        <v>0</v>
      </c>
      <c r="P80" s="134">
        <v>0</v>
      </c>
      <c r="Q80" s="133"/>
      <c r="R80" s="133"/>
      <c r="S80" s="153">
        <v>0</v>
      </c>
      <c r="T80" s="153">
        <v>0</v>
      </c>
      <c r="U80" s="153">
        <v>0</v>
      </c>
      <c r="V80" s="135"/>
      <c r="W80" s="135"/>
      <c r="X80" s="135"/>
      <c r="Y80" s="135"/>
      <c r="Z80" s="135"/>
      <c r="AA80" s="135"/>
      <c r="AB80" s="135">
        <f t="shared" si="17"/>
        <v>0</v>
      </c>
      <c r="AC80" s="135"/>
      <c r="AD80" s="133"/>
      <c r="AE80" s="133"/>
      <c r="AF80" s="132" t="str">
        <f t="shared" si="12"/>
        <v>Нет инфо</v>
      </c>
      <c r="AG80" s="132" t="str">
        <f t="shared" si="13"/>
        <v>Нет инфо</v>
      </c>
      <c r="AH80" s="2" t="s">
        <v>112</v>
      </c>
      <c r="AI80" s="136">
        <v>45363</v>
      </c>
      <c r="AJ80" s="2" t="s">
        <v>145</v>
      </c>
      <c r="AK80" s="136" t="s">
        <v>18</v>
      </c>
      <c r="AL80" s="136">
        <v>44677</v>
      </c>
      <c r="AM80" s="2" t="s">
        <v>1566</v>
      </c>
      <c r="AN80" s="2"/>
      <c r="AO80" s="2" t="s">
        <v>338</v>
      </c>
      <c r="AP80" s="2" t="s">
        <v>338</v>
      </c>
      <c r="AQ80" s="136"/>
    </row>
    <row r="81" spans="1:43" s="115" customFormat="1" ht="12.75" hidden="1" customHeight="1" x14ac:dyDescent="0.2">
      <c r="A81" s="2">
        <v>2110</v>
      </c>
      <c r="B81" s="2" t="s">
        <v>54</v>
      </c>
      <c r="C81" s="2" t="s">
        <v>50</v>
      </c>
      <c r="D81" s="2" t="s">
        <v>2156</v>
      </c>
      <c r="E81" s="2" t="s">
        <v>2111</v>
      </c>
      <c r="F81" s="2" t="s">
        <v>110</v>
      </c>
      <c r="G81" s="2"/>
      <c r="H81" s="132">
        <v>1027.25</v>
      </c>
      <c r="I81" s="132">
        <v>1027.25</v>
      </c>
      <c r="J81" s="132"/>
      <c r="K81" s="132">
        <f>156.7+870.55</f>
        <v>1027.25</v>
      </c>
      <c r="L81" s="132">
        <f t="shared" si="14"/>
        <v>0</v>
      </c>
      <c r="M81" s="132">
        <f t="shared" si="15"/>
        <v>0</v>
      </c>
      <c r="N81" s="133"/>
      <c r="O81" s="133">
        <f t="shared" si="16"/>
        <v>0</v>
      </c>
      <c r="P81" s="134">
        <v>0</v>
      </c>
      <c r="Q81" s="133"/>
      <c r="R81" s="133"/>
      <c r="S81" s="153">
        <v>0</v>
      </c>
      <c r="T81" s="153">
        <v>0</v>
      </c>
      <c r="U81" s="153">
        <v>0</v>
      </c>
      <c r="V81" s="135"/>
      <c r="W81" s="135"/>
      <c r="X81" s="135"/>
      <c r="Y81" s="135"/>
      <c r="Z81" s="135"/>
      <c r="AA81" s="135"/>
      <c r="AB81" s="135">
        <f t="shared" si="17"/>
        <v>0</v>
      </c>
      <c r="AC81" s="135"/>
      <c r="AD81" s="133"/>
      <c r="AE81" s="133"/>
      <c r="AF81" s="132" t="str">
        <f t="shared" ref="AF81:AF112" si="18">IF(OR(I81="",I81=0,N81="",N81=0),"Нет инфо",I81/N81)</f>
        <v>Нет инфо</v>
      </c>
      <c r="AG81" s="132" t="str">
        <f t="shared" ref="AG81:AG112" si="19">IF(OR(I81="",I81=0,R81="",R81=0),"Нет инфо",I81/R81)</f>
        <v>Нет инфо</v>
      </c>
      <c r="AH81" s="2" t="s">
        <v>112</v>
      </c>
      <c r="AI81" s="136">
        <v>45363</v>
      </c>
      <c r="AJ81" s="2" t="s">
        <v>145</v>
      </c>
      <c r="AK81" s="136" t="s">
        <v>18</v>
      </c>
      <c r="AL81" s="136">
        <v>44677</v>
      </c>
      <c r="AM81" s="2" t="s">
        <v>1566</v>
      </c>
      <c r="AN81" s="2"/>
      <c r="AO81" s="2" t="s">
        <v>338</v>
      </c>
      <c r="AP81" s="2" t="s">
        <v>338</v>
      </c>
      <c r="AQ81" s="136"/>
    </row>
    <row r="82" spans="1:43" s="115" customFormat="1" ht="12.75" hidden="1" customHeight="1" x14ac:dyDescent="0.2">
      <c r="A82" s="2">
        <v>2111</v>
      </c>
      <c r="B82" s="2" t="s">
        <v>54</v>
      </c>
      <c r="C82" s="2" t="s">
        <v>50</v>
      </c>
      <c r="D82" s="2" t="s">
        <v>2157</v>
      </c>
      <c r="E82" s="2" t="s">
        <v>2112</v>
      </c>
      <c r="F82" s="2" t="s">
        <v>110</v>
      </c>
      <c r="G82" s="2"/>
      <c r="H82" s="132">
        <v>1510.25</v>
      </c>
      <c r="I82" s="132">
        <v>1510.25</v>
      </c>
      <c r="J82" s="132"/>
      <c r="K82" s="132">
        <f>230.38+1279.87</f>
        <v>1510.25</v>
      </c>
      <c r="L82" s="132">
        <f t="shared" si="14"/>
        <v>0</v>
      </c>
      <c r="M82" s="132">
        <f t="shared" si="15"/>
        <v>0</v>
      </c>
      <c r="N82" s="133"/>
      <c r="O82" s="133">
        <f t="shared" si="16"/>
        <v>0</v>
      </c>
      <c r="P82" s="134">
        <v>0</v>
      </c>
      <c r="Q82" s="133"/>
      <c r="R82" s="133"/>
      <c r="S82" s="153">
        <v>0</v>
      </c>
      <c r="T82" s="153">
        <v>0</v>
      </c>
      <c r="U82" s="153">
        <v>0</v>
      </c>
      <c r="V82" s="135"/>
      <c r="W82" s="135"/>
      <c r="X82" s="135"/>
      <c r="Y82" s="135"/>
      <c r="Z82" s="135"/>
      <c r="AA82" s="135"/>
      <c r="AB82" s="135">
        <f t="shared" si="17"/>
        <v>0</v>
      </c>
      <c r="AC82" s="135"/>
      <c r="AD82" s="133"/>
      <c r="AE82" s="133"/>
      <c r="AF82" s="132" t="str">
        <f t="shared" si="18"/>
        <v>Нет инфо</v>
      </c>
      <c r="AG82" s="132" t="str">
        <f t="shared" si="19"/>
        <v>Нет инфо</v>
      </c>
      <c r="AH82" s="2" t="s">
        <v>112</v>
      </c>
      <c r="AI82" s="136">
        <v>45363</v>
      </c>
      <c r="AJ82" s="2" t="s">
        <v>145</v>
      </c>
      <c r="AK82" s="136" t="s">
        <v>18</v>
      </c>
      <c r="AL82" s="136">
        <v>44677</v>
      </c>
      <c r="AM82" s="2" t="s">
        <v>1566</v>
      </c>
      <c r="AN82" s="2"/>
      <c r="AO82" s="2" t="s">
        <v>338</v>
      </c>
      <c r="AP82" s="2" t="s">
        <v>338</v>
      </c>
      <c r="AQ82" s="136"/>
    </row>
    <row r="83" spans="1:43" s="115" customFormat="1" ht="12.75" hidden="1" customHeight="1" x14ac:dyDescent="0.2">
      <c r="A83" s="2">
        <v>2112</v>
      </c>
      <c r="B83" s="2" t="s">
        <v>54</v>
      </c>
      <c r="C83" s="2" t="s">
        <v>50</v>
      </c>
      <c r="D83" s="2" t="s">
        <v>2158</v>
      </c>
      <c r="E83" s="2" t="s">
        <v>2113</v>
      </c>
      <c r="F83" s="2" t="s">
        <v>110</v>
      </c>
      <c r="G83" s="2"/>
      <c r="H83" s="132">
        <v>1463</v>
      </c>
      <c r="I83" s="132">
        <v>1463</v>
      </c>
      <c r="J83" s="132"/>
      <c r="K83" s="132">
        <f>223.17+1239.83</f>
        <v>1463</v>
      </c>
      <c r="L83" s="132">
        <f t="shared" si="14"/>
        <v>0</v>
      </c>
      <c r="M83" s="132">
        <f t="shared" si="15"/>
        <v>0</v>
      </c>
      <c r="N83" s="133"/>
      <c r="O83" s="133">
        <f t="shared" si="16"/>
        <v>0</v>
      </c>
      <c r="P83" s="134">
        <v>0</v>
      </c>
      <c r="Q83" s="133"/>
      <c r="R83" s="133"/>
      <c r="S83" s="153">
        <v>0</v>
      </c>
      <c r="T83" s="153">
        <v>0</v>
      </c>
      <c r="U83" s="153">
        <v>0</v>
      </c>
      <c r="V83" s="135"/>
      <c r="W83" s="135"/>
      <c r="X83" s="135"/>
      <c r="Y83" s="135"/>
      <c r="Z83" s="135"/>
      <c r="AA83" s="135"/>
      <c r="AB83" s="135">
        <f t="shared" si="17"/>
        <v>0</v>
      </c>
      <c r="AC83" s="135"/>
      <c r="AD83" s="133"/>
      <c r="AE83" s="133"/>
      <c r="AF83" s="132" t="str">
        <f t="shared" si="18"/>
        <v>Нет инфо</v>
      </c>
      <c r="AG83" s="132" t="str">
        <f t="shared" si="19"/>
        <v>Нет инфо</v>
      </c>
      <c r="AH83" s="2" t="s">
        <v>112</v>
      </c>
      <c r="AI83" s="136">
        <v>45363</v>
      </c>
      <c r="AJ83" s="2" t="s">
        <v>145</v>
      </c>
      <c r="AK83" s="136" t="s">
        <v>18</v>
      </c>
      <c r="AL83" s="136">
        <v>44677</v>
      </c>
      <c r="AM83" s="2" t="s">
        <v>1566</v>
      </c>
      <c r="AN83" s="2"/>
      <c r="AO83" s="2" t="s">
        <v>338</v>
      </c>
      <c r="AP83" s="2" t="s">
        <v>338</v>
      </c>
      <c r="AQ83" s="136"/>
    </row>
    <row r="84" spans="1:43" s="115" customFormat="1" ht="12.75" hidden="1" customHeight="1" x14ac:dyDescent="0.2">
      <c r="A84" s="2">
        <v>2113</v>
      </c>
      <c r="B84" s="2" t="s">
        <v>54</v>
      </c>
      <c r="C84" s="2" t="s">
        <v>50</v>
      </c>
      <c r="D84" s="2" t="s">
        <v>2159</v>
      </c>
      <c r="E84" s="2" t="s">
        <v>2114</v>
      </c>
      <c r="F84" s="2" t="s">
        <v>110</v>
      </c>
      <c r="G84" s="2"/>
      <c r="H84" s="132">
        <v>3197.25</v>
      </c>
      <c r="I84" s="132">
        <v>3197.25</v>
      </c>
      <c r="J84" s="132"/>
      <c r="K84" s="132">
        <f>487.72+2709.53</f>
        <v>3197.25</v>
      </c>
      <c r="L84" s="132">
        <f t="shared" si="14"/>
        <v>0</v>
      </c>
      <c r="M84" s="132">
        <f t="shared" si="15"/>
        <v>0</v>
      </c>
      <c r="N84" s="133"/>
      <c r="O84" s="133">
        <f t="shared" si="16"/>
        <v>0</v>
      </c>
      <c r="P84" s="134">
        <v>0</v>
      </c>
      <c r="Q84" s="133"/>
      <c r="R84" s="133"/>
      <c r="S84" s="153">
        <v>0</v>
      </c>
      <c r="T84" s="153">
        <v>0</v>
      </c>
      <c r="U84" s="153">
        <v>0</v>
      </c>
      <c r="V84" s="135"/>
      <c r="W84" s="135"/>
      <c r="X84" s="135"/>
      <c r="Y84" s="135"/>
      <c r="Z84" s="135"/>
      <c r="AA84" s="135"/>
      <c r="AB84" s="135">
        <f t="shared" si="17"/>
        <v>0</v>
      </c>
      <c r="AC84" s="135"/>
      <c r="AD84" s="133"/>
      <c r="AE84" s="133"/>
      <c r="AF84" s="132" t="str">
        <f t="shared" si="18"/>
        <v>Нет инфо</v>
      </c>
      <c r="AG84" s="132" t="str">
        <f t="shared" si="19"/>
        <v>Нет инфо</v>
      </c>
      <c r="AH84" s="2" t="s">
        <v>112</v>
      </c>
      <c r="AI84" s="136">
        <v>45363</v>
      </c>
      <c r="AJ84" s="2" t="s">
        <v>145</v>
      </c>
      <c r="AK84" s="136" t="s">
        <v>18</v>
      </c>
      <c r="AL84" s="136">
        <v>44677</v>
      </c>
      <c r="AM84" s="2" t="s">
        <v>1566</v>
      </c>
      <c r="AN84" s="2"/>
      <c r="AO84" s="2" t="s">
        <v>338</v>
      </c>
      <c r="AP84" s="2" t="s">
        <v>338</v>
      </c>
      <c r="AQ84" s="136"/>
    </row>
    <row r="85" spans="1:43" s="115" customFormat="1" ht="12.75" hidden="1" customHeight="1" x14ac:dyDescent="0.2">
      <c r="A85" s="2">
        <v>2114</v>
      </c>
      <c r="B85" s="2" t="s">
        <v>54</v>
      </c>
      <c r="C85" s="2" t="s">
        <v>50</v>
      </c>
      <c r="D85" s="2" t="s">
        <v>2160</v>
      </c>
      <c r="E85" s="2" t="s">
        <v>2115</v>
      </c>
      <c r="F85" s="2" t="s">
        <v>110</v>
      </c>
      <c r="G85" s="2"/>
      <c r="H85" s="132">
        <v>3704.75</v>
      </c>
      <c r="I85" s="132">
        <v>3704.75</v>
      </c>
      <c r="J85" s="132"/>
      <c r="K85" s="132">
        <f>565.13+3139.62</f>
        <v>3704.75</v>
      </c>
      <c r="L85" s="132">
        <f t="shared" si="14"/>
        <v>0</v>
      </c>
      <c r="M85" s="132">
        <f t="shared" si="15"/>
        <v>0</v>
      </c>
      <c r="N85" s="133"/>
      <c r="O85" s="133">
        <f t="shared" si="16"/>
        <v>0</v>
      </c>
      <c r="P85" s="134">
        <v>0</v>
      </c>
      <c r="Q85" s="133"/>
      <c r="R85" s="133"/>
      <c r="S85" s="153">
        <v>0</v>
      </c>
      <c r="T85" s="153">
        <v>0</v>
      </c>
      <c r="U85" s="153">
        <v>0</v>
      </c>
      <c r="V85" s="135"/>
      <c r="W85" s="135"/>
      <c r="X85" s="135"/>
      <c r="Y85" s="135"/>
      <c r="Z85" s="135"/>
      <c r="AA85" s="135"/>
      <c r="AB85" s="135">
        <f t="shared" si="17"/>
        <v>0</v>
      </c>
      <c r="AC85" s="135"/>
      <c r="AD85" s="133"/>
      <c r="AE85" s="133"/>
      <c r="AF85" s="132" t="str">
        <f t="shared" si="18"/>
        <v>Нет инфо</v>
      </c>
      <c r="AG85" s="132" t="str">
        <f t="shared" si="19"/>
        <v>Нет инфо</v>
      </c>
      <c r="AH85" s="2" t="s">
        <v>112</v>
      </c>
      <c r="AI85" s="136">
        <v>45363</v>
      </c>
      <c r="AJ85" s="2" t="s">
        <v>145</v>
      </c>
      <c r="AK85" s="136" t="s">
        <v>18</v>
      </c>
      <c r="AL85" s="136">
        <v>44677</v>
      </c>
      <c r="AM85" s="2" t="s">
        <v>1566</v>
      </c>
      <c r="AN85" s="2"/>
      <c r="AO85" s="2" t="s">
        <v>338</v>
      </c>
      <c r="AP85" s="2" t="s">
        <v>338</v>
      </c>
      <c r="AQ85" s="136"/>
    </row>
    <row r="86" spans="1:43" s="115" customFormat="1" ht="12.75" hidden="1" customHeight="1" x14ac:dyDescent="0.2">
      <c r="A86" s="2">
        <v>2115</v>
      </c>
      <c r="B86" s="2" t="s">
        <v>54</v>
      </c>
      <c r="C86" s="2" t="s">
        <v>50</v>
      </c>
      <c r="D86" s="2" t="s">
        <v>2161</v>
      </c>
      <c r="E86" s="2" t="s">
        <v>2116</v>
      </c>
      <c r="F86" s="2" t="s">
        <v>110</v>
      </c>
      <c r="G86" s="2"/>
      <c r="H86" s="132">
        <v>1064</v>
      </c>
      <c r="I86" s="132">
        <v>1064</v>
      </c>
      <c r="J86" s="132"/>
      <c r="K86" s="132">
        <f>162.3+901.7</f>
        <v>1064</v>
      </c>
      <c r="L86" s="132">
        <f t="shared" si="14"/>
        <v>0</v>
      </c>
      <c r="M86" s="132">
        <f t="shared" si="15"/>
        <v>0</v>
      </c>
      <c r="N86" s="133"/>
      <c r="O86" s="133">
        <f t="shared" si="16"/>
        <v>0</v>
      </c>
      <c r="P86" s="134">
        <v>0</v>
      </c>
      <c r="Q86" s="133"/>
      <c r="R86" s="133"/>
      <c r="S86" s="153">
        <v>0</v>
      </c>
      <c r="T86" s="153">
        <v>0</v>
      </c>
      <c r="U86" s="153">
        <v>0</v>
      </c>
      <c r="V86" s="135"/>
      <c r="W86" s="135"/>
      <c r="X86" s="135"/>
      <c r="Y86" s="135"/>
      <c r="Z86" s="135"/>
      <c r="AA86" s="135"/>
      <c r="AB86" s="135">
        <f t="shared" si="17"/>
        <v>0</v>
      </c>
      <c r="AC86" s="135"/>
      <c r="AD86" s="133"/>
      <c r="AE86" s="133"/>
      <c r="AF86" s="132" t="str">
        <f t="shared" si="18"/>
        <v>Нет инфо</v>
      </c>
      <c r="AG86" s="132" t="str">
        <f t="shared" si="19"/>
        <v>Нет инфо</v>
      </c>
      <c r="AH86" s="2" t="s">
        <v>112</v>
      </c>
      <c r="AI86" s="136">
        <v>45363</v>
      </c>
      <c r="AJ86" s="2" t="s">
        <v>145</v>
      </c>
      <c r="AK86" s="136" t="s">
        <v>18</v>
      </c>
      <c r="AL86" s="136">
        <v>44677</v>
      </c>
      <c r="AM86" s="2" t="s">
        <v>1566</v>
      </c>
      <c r="AN86" s="2"/>
      <c r="AO86" s="2" t="s">
        <v>338</v>
      </c>
      <c r="AP86" s="2" t="s">
        <v>338</v>
      </c>
      <c r="AQ86" s="136"/>
    </row>
    <row r="87" spans="1:43" s="115" customFormat="1" ht="12.75" hidden="1" customHeight="1" x14ac:dyDescent="0.2">
      <c r="A87" s="2">
        <v>2116</v>
      </c>
      <c r="B87" s="2" t="s">
        <v>54</v>
      </c>
      <c r="C87" s="2" t="s">
        <v>50</v>
      </c>
      <c r="D87" s="2" t="s">
        <v>2162</v>
      </c>
      <c r="E87" s="2" t="s">
        <v>2117</v>
      </c>
      <c r="F87" s="2" t="s">
        <v>110</v>
      </c>
      <c r="G87" s="2"/>
      <c r="H87" s="132">
        <v>1016.75</v>
      </c>
      <c r="I87" s="132">
        <v>1016.75</v>
      </c>
      <c r="J87" s="132"/>
      <c r="K87" s="132">
        <f>155.1+861.65</f>
        <v>1016.75</v>
      </c>
      <c r="L87" s="132">
        <f t="shared" si="14"/>
        <v>0</v>
      </c>
      <c r="M87" s="132">
        <f t="shared" si="15"/>
        <v>0</v>
      </c>
      <c r="N87" s="133"/>
      <c r="O87" s="133">
        <f t="shared" si="16"/>
        <v>0</v>
      </c>
      <c r="P87" s="134">
        <v>0</v>
      </c>
      <c r="Q87" s="133"/>
      <c r="R87" s="133"/>
      <c r="S87" s="153">
        <v>0</v>
      </c>
      <c r="T87" s="153">
        <v>0</v>
      </c>
      <c r="U87" s="153">
        <v>0</v>
      </c>
      <c r="V87" s="135"/>
      <c r="W87" s="135"/>
      <c r="X87" s="135"/>
      <c r="Y87" s="135"/>
      <c r="Z87" s="135"/>
      <c r="AA87" s="135"/>
      <c r="AB87" s="135">
        <f t="shared" si="17"/>
        <v>0</v>
      </c>
      <c r="AC87" s="135"/>
      <c r="AD87" s="133"/>
      <c r="AE87" s="133"/>
      <c r="AF87" s="132" t="str">
        <f t="shared" si="18"/>
        <v>Нет инфо</v>
      </c>
      <c r="AG87" s="132" t="str">
        <f t="shared" si="19"/>
        <v>Нет инфо</v>
      </c>
      <c r="AH87" s="2" t="s">
        <v>112</v>
      </c>
      <c r="AI87" s="136">
        <v>45363</v>
      </c>
      <c r="AJ87" s="2" t="s">
        <v>145</v>
      </c>
      <c r="AK87" s="136" t="s">
        <v>18</v>
      </c>
      <c r="AL87" s="136">
        <v>44677</v>
      </c>
      <c r="AM87" s="2" t="s">
        <v>1566</v>
      </c>
      <c r="AN87" s="2"/>
      <c r="AO87" s="2" t="s">
        <v>338</v>
      </c>
      <c r="AP87" s="2" t="s">
        <v>338</v>
      </c>
      <c r="AQ87" s="136"/>
    </row>
    <row r="88" spans="1:43" s="115" customFormat="1" ht="12.75" hidden="1" customHeight="1" x14ac:dyDescent="0.2">
      <c r="A88" s="2">
        <v>2117</v>
      </c>
      <c r="B88" s="2" t="s">
        <v>54</v>
      </c>
      <c r="C88" s="2" t="s">
        <v>50</v>
      </c>
      <c r="D88" s="2" t="s">
        <v>2163</v>
      </c>
      <c r="E88" s="2" t="s">
        <v>2118</v>
      </c>
      <c r="F88" s="2" t="s">
        <v>110</v>
      </c>
      <c r="G88" s="2"/>
      <c r="H88" s="132">
        <v>1043</v>
      </c>
      <c r="I88" s="132">
        <v>1043</v>
      </c>
      <c r="J88" s="132"/>
      <c r="K88" s="132">
        <f>159.1+883.9</f>
        <v>1043</v>
      </c>
      <c r="L88" s="132">
        <f t="shared" si="14"/>
        <v>0</v>
      </c>
      <c r="M88" s="132">
        <f t="shared" si="15"/>
        <v>0</v>
      </c>
      <c r="N88" s="133"/>
      <c r="O88" s="133">
        <f t="shared" si="16"/>
        <v>0</v>
      </c>
      <c r="P88" s="134">
        <v>0</v>
      </c>
      <c r="Q88" s="133"/>
      <c r="R88" s="133"/>
      <c r="S88" s="153">
        <v>0</v>
      </c>
      <c r="T88" s="153">
        <v>0</v>
      </c>
      <c r="U88" s="153">
        <v>0</v>
      </c>
      <c r="V88" s="135"/>
      <c r="W88" s="135"/>
      <c r="X88" s="135"/>
      <c r="Y88" s="135"/>
      <c r="Z88" s="135"/>
      <c r="AA88" s="135"/>
      <c r="AB88" s="135">
        <f t="shared" si="17"/>
        <v>0</v>
      </c>
      <c r="AC88" s="135"/>
      <c r="AD88" s="133"/>
      <c r="AE88" s="133"/>
      <c r="AF88" s="132" t="str">
        <f t="shared" si="18"/>
        <v>Нет инфо</v>
      </c>
      <c r="AG88" s="132" t="str">
        <f t="shared" si="19"/>
        <v>Нет инфо</v>
      </c>
      <c r="AH88" s="2" t="s">
        <v>112</v>
      </c>
      <c r="AI88" s="136">
        <v>45363</v>
      </c>
      <c r="AJ88" s="2" t="s">
        <v>145</v>
      </c>
      <c r="AK88" s="136" t="s">
        <v>18</v>
      </c>
      <c r="AL88" s="136">
        <v>44677</v>
      </c>
      <c r="AM88" s="2" t="s">
        <v>1566</v>
      </c>
      <c r="AN88" s="2"/>
      <c r="AO88" s="2" t="s">
        <v>338</v>
      </c>
      <c r="AP88" s="2" t="s">
        <v>338</v>
      </c>
      <c r="AQ88" s="136"/>
    </row>
    <row r="89" spans="1:43" s="115" customFormat="1" ht="12.75" hidden="1" customHeight="1" x14ac:dyDescent="0.2">
      <c r="A89" s="2">
        <v>2118</v>
      </c>
      <c r="B89" s="2" t="s">
        <v>54</v>
      </c>
      <c r="C89" s="2" t="s">
        <v>50</v>
      </c>
      <c r="D89" s="2" t="s">
        <v>2164</v>
      </c>
      <c r="E89" s="2" t="s">
        <v>2119</v>
      </c>
      <c r="F89" s="2" t="s">
        <v>110</v>
      </c>
      <c r="G89" s="2"/>
      <c r="H89" s="132">
        <v>1055.25</v>
      </c>
      <c r="I89" s="132">
        <v>1055.25</v>
      </c>
      <c r="J89" s="132"/>
      <c r="K89" s="132">
        <f>160.97+894.28</f>
        <v>1055.25</v>
      </c>
      <c r="L89" s="132">
        <f t="shared" si="14"/>
        <v>0</v>
      </c>
      <c r="M89" s="132">
        <f t="shared" si="15"/>
        <v>0</v>
      </c>
      <c r="N89" s="133"/>
      <c r="O89" s="133">
        <f t="shared" si="16"/>
        <v>0</v>
      </c>
      <c r="P89" s="134">
        <v>0</v>
      </c>
      <c r="Q89" s="133"/>
      <c r="R89" s="133"/>
      <c r="S89" s="153">
        <v>0</v>
      </c>
      <c r="T89" s="153">
        <v>0</v>
      </c>
      <c r="U89" s="153">
        <v>0</v>
      </c>
      <c r="V89" s="135"/>
      <c r="W89" s="135"/>
      <c r="X89" s="135"/>
      <c r="Y89" s="135"/>
      <c r="Z89" s="135"/>
      <c r="AA89" s="135"/>
      <c r="AB89" s="135">
        <f t="shared" si="17"/>
        <v>0</v>
      </c>
      <c r="AC89" s="135"/>
      <c r="AD89" s="133"/>
      <c r="AE89" s="133"/>
      <c r="AF89" s="132" t="str">
        <f t="shared" si="18"/>
        <v>Нет инфо</v>
      </c>
      <c r="AG89" s="132" t="str">
        <f t="shared" si="19"/>
        <v>Нет инфо</v>
      </c>
      <c r="AH89" s="2" t="s">
        <v>112</v>
      </c>
      <c r="AI89" s="136">
        <v>45363</v>
      </c>
      <c r="AJ89" s="2" t="s">
        <v>145</v>
      </c>
      <c r="AK89" s="136" t="s">
        <v>18</v>
      </c>
      <c r="AL89" s="136">
        <v>44677</v>
      </c>
      <c r="AM89" s="2" t="s">
        <v>1566</v>
      </c>
      <c r="AN89" s="2"/>
      <c r="AO89" s="2" t="s">
        <v>338</v>
      </c>
      <c r="AP89" s="2" t="s">
        <v>338</v>
      </c>
      <c r="AQ89" s="136"/>
    </row>
    <row r="90" spans="1:43" s="115" customFormat="1" ht="12.75" hidden="1" customHeight="1" x14ac:dyDescent="0.2">
      <c r="A90" s="2">
        <v>2119</v>
      </c>
      <c r="B90" s="2" t="s">
        <v>54</v>
      </c>
      <c r="C90" s="2" t="s">
        <v>96</v>
      </c>
      <c r="D90" s="2" t="s">
        <v>1855</v>
      </c>
      <c r="E90" s="2" t="s">
        <v>1854</v>
      </c>
      <c r="F90" s="2" t="s">
        <v>71</v>
      </c>
      <c r="G90" s="2">
        <v>721</v>
      </c>
      <c r="H90" s="132">
        <f>1365+50000+2000+17200</f>
        <v>70565</v>
      </c>
      <c r="I90" s="132">
        <f>1365+50000+2000+17200</f>
        <v>70565</v>
      </c>
      <c r="J90" s="132">
        <f>I90-1365</f>
        <v>69200</v>
      </c>
      <c r="K90" s="132">
        <f>208.22+7627.12+V90+305.08+2623.73+15733.05</f>
        <v>70565</v>
      </c>
      <c r="L90" s="132">
        <f t="shared" si="14"/>
        <v>0</v>
      </c>
      <c r="M90" s="132">
        <f t="shared" si="15"/>
        <v>0</v>
      </c>
      <c r="N90" s="133">
        <v>818</v>
      </c>
      <c r="O90" s="133">
        <f t="shared" si="16"/>
        <v>0</v>
      </c>
      <c r="P90" s="134">
        <v>0</v>
      </c>
      <c r="Q90" s="133"/>
      <c r="R90" s="133"/>
      <c r="S90" s="153">
        <v>0</v>
      </c>
      <c r="T90" s="153">
        <v>0</v>
      </c>
      <c r="U90" s="153">
        <v>0</v>
      </c>
      <c r="V90" s="135">
        <f>42372.88+1694.92</f>
        <v>44067.799999999996</v>
      </c>
      <c r="W90" s="135">
        <f>2699.09+84.84</f>
        <v>2783.9300000000003</v>
      </c>
      <c r="X90" s="135"/>
      <c r="Y90" s="135"/>
      <c r="Z90" s="135"/>
      <c r="AA90" s="135">
        <f>IF(AJ90="Принят",(J90/1.18-W90-Z90)*0.1,J90/1.18*0.8*0.1)</f>
        <v>5586.0137796610179</v>
      </c>
      <c r="AB90" s="135">
        <f t="shared" si="17"/>
        <v>0</v>
      </c>
      <c r="AC90" s="135"/>
      <c r="AD90" s="133"/>
      <c r="AE90" s="133"/>
      <c r="AF90" s="132">
        <f t="shared" si="18"/>
        <v>86.265281173594133</v>
      </c>
      <c r="AG90" s="132" t="str">
        <f t="shared" si="19"/>
        <v>Нет инфо</v>
      </c>
      <c r="AH90" s="2" t="s">
        <v>11</v>
      </c>
      <c r="AI90" s="136">
        <v>45380</v>
      </c>
      <c r="AJ90" s="2" t="s">
        <v>109</v>
      </c>
      <c r="AK90" s="136" t="s">
        <v>18</v>
      </c>
      <c r="AL90" s="136">
        <v>44570</v>
      </c>
      <c r="AM90" s="2" t="s">
        <v>950</v>
      </c>
      <c r="AN90" s="2"/>
      <c r="AO90" s="2" t="s">
        <v>946</v>
      </c>
      <c r="AP90" s="2" t="s">
        <v>946</v>
      </c>
      <c r="AQ90" s="136"/>
    </row>
    <row r="91" spans="1:43" s="115" customFormat="1" ht="12.75" hidden="1" customHeight="1" x14ac:dyDescent="0.2">
      <c r="A91" s="2">
        <v>2120</v>
      </c>
      <c r="B91" s="2" t="s">
        <v>54</v>
      </c>
      <c r="C91" s="2" t="s">
        <v>96</v>
      </c>
      <c r="D91" s="2" t="s">
        <v>1939</v>
      </c>
      <c r="E91" s="2" t="s">
        <v>1938</v>
      </c>
      <c r="F91" s="2" t="s">
        <v>71</v>
      </c>
      <c r="G91" s="2">
        <v>744</v>
      </c>
      <c r="H91" s="132">
        <f>1274+30000+2731</f>
        <v>34005</v>
      </c>
      <c r="I91" s="132">
        <f>1274+30000+2731</f>
        <v>34005</v>
      </c>
      <c r="J91" s="132">
        <f>I91-1274</f>
        <v>32731</v>
      </c>
      <c r="K91" s="132">
        <f>194.34+V91+4576.27+416.59+3394.07</f>
        <v>34005</v>
      </c>
      <c r="L91" s="132">
        <f t="shared" si="14"/>
        <v>0</v>
      </c>
      <c r="M91" s="132">
        <f t="shared" si="15"/>
        <v>0</v>
      </c>
      <c r="N91" s="133">
        <v>388</v>
      </c>
      <c r="O91" s="133">
        <f t="shared" si="16"/>
        <v>0</v>
      </c>
      <c r="P91" s="134">
        <v>0</v>
      </c>
      <c r="Q91" s="133"/>
      <c r="R91" s="133"/>
      <c r="S91" s="153">
        <v>0</v>
      </c>
      <c r="T91" s="153">
        <v>0</v>
      </c>
      <c r="U91" s="153">
        <v>0</v>
      </c>
      <c r="V91" s="135">
        <v>25423.73</v>
      </c>
      <c r="W91" s="135">
        <v>1272.58</v>
      </c>
      <c r="X91" s="135"/>
      <c r="Y91" s="135"/>
      <c r="Z91" s="135"/>
      <c r="AA91" s="135">
        <f>IF(AJ91="Принят",(J91/1.18-W91-Z91)*0.1,J91/1.18*0.8*0.1)</f>
        <v>2646.5555593220342</v>
      </c>
      <c r="AB91" s="135">
        <f t="shared" si="17"/>
        <v>0</v>
      </c>
      <c r="AC91" s="135"/>
      <c r="AD91" s="133"/>
      <c r="AE91" s="133"/>
      <c r="AF91" s="132">
        <f t="shared" si="18"/>
        <v>87.641752577319593</v>
      </c>
      <c r="AG91" s="132" t="str">
        <f t="shared" si="19"/>
        <v>Нет инфо</v>
      </c>
      <c r="AH91" s="2" t="s">
        <v>11</v>
      </c>
      <c r="AI91" s="136">
        <v>45380</v>
      </c>
      <c r="AJ91" s="2" t="s">
        <v>109</v>
      </c>
      <c r="AK91" s="136" t="s">
        <v>18</v>
      </c>
      <c r="AL91" s="136">
        <v>44935</v>
      </c>
      <c r="AM91" s="2" t="s">
        <v>943</v>
      </c>
      <c r="AN91" s="2"/>
      <c r="AO91" s="2" t="s">
        <v>937</v>
      </c>
      <c r="AP91" s="2" t="s">
        <v>937</v>
      </c>
      <c r="AQ91" s="136"/>
    </row>
    <row r="92" spans="1:43" s="115" customFormat="1" ht="12.75" hidden="1" customHeight="1" x14ac:dyDescent="0.2">
      <c r="A92" s="2">
        <v>2121</v>
      </c>
      <c r="B92" s="2" t="s">
        <v>54</v>
      </c>
      <c r="C92" s="2" t="s">
        <v>96</v>
      </c>
      <c r="D92" s="2" t="s">
        <v>3322</v>
      </c>
      <c r="E92" s="2" t="s">
        <v>3299</v>
      </c>
      <c r="F92" s="2" t="s">
        <v>110</v>
      </c>
      <c r="G92" s="2">
        <v>647</v>
      </c>
      <c r="H92" s="132">
        <v>952</v>
      </c>
      <c r="I92" s="132">
        <v>952</v>
      </c>
      <c r="J92" s="132"/>
      <c r="K92" s="132">
        <f>145.22+806.78</f>
        <v>952</v>
      </c>
      <c r="L92" s="132">
        <f t="shared" si="14"/>
        <v>0</v>
      </c>
      <c r="M92" s="132">
        <f t="shared" si="15"/>
        <v>0</v>
      </c>
      <c r="N92" s="133"/>
      <c r="O92" s="133">
        <f t="shared" si="16"/>
        <v>0</v>
      </c>
      <c r="P92" s="134">
        <v>0</v>
      </c>
      <c r="Q92" s="133"/>
      <c r="R92" s="133"/>
      <c r="S92" s="153">
        <v>0</v>
      </c>
      <c r="T92" s="153">
        <v>0</v>
      </c>
      <c r="U92" s="153">
        <v>0</v>
      </c>
      <c r="V92" s="135"/>
      <c r="W92" s="135"/>
      <c r="X92" s="135"/>
      <c r="Y92" s="135"/>
      <c r="Z92" s="135"/>
      <c r="AA92" s="135"/>
      <c r="AB92" s="135">
        <f t="shared" si="17"/>
        <v>0</v>
      </c>
      <c r="AC92" s="135"/>
      <c r="AD92" s="133"/>
      <c r="AE92" s="133"/>
      <c r="AF92" s="132" t="str">
        <f t="shared" si="18"/>
        <v>Нет инфо</v>
      </c>
      <c r="AG92" s="132" t="str">
        <f t="shared" si="19"/>
        <v>Нет инфо</v>
      </c>
      <c r="AH92" s="2" t="s">
        <v>112</v>
      </c>
      <c r="AI92" s="136">
        <v>45405</v>
      </c>
      <c r="AJ92" s="2" t="s">
        <v>145</v>
      </c>
      <c r="AK92" s="136" t="s">
        <v>18</v>
      </c>
      <c r="AL92" s="136">
        <v>45309</v>
      </c>
      <c r="AM92" s="2" t="s">
        <v>3288</v>
      </c>
      <c r="AN92" s="2"/>
      <c r="AO92" s="2" t="s">
        <v>3282</v>
      </c>
      <c r="AP92" s="2" t="s">
        <v>3282</v>
      </c>
      <c r="AQ92" s="136"/>
    </row>
    <row r="93" spans="1:43" s="115" customFormat="1" ht="12.75" hidden="1" customHeight="1" x14ac:dyDescent="0.2">
      <c r="A93" s="2">
        <v>2122</v>
      </c>
      <c r="B93" s="2" t="s">
        <v>54</v>
      </c>
      <c r="C93" s="2" t="s">
        <v>96</v>
      </c>
      <c r="D93" s="2" t="s">
        <v>3323</v>
      </c>
      <c r="E93" s="2" t="s">
        <v>3300</v>
      </c>
      <c r="F93" s="2" t="s">
        <v>110</v>
      </c>
      <c r="G93" s="2">
        <v>647</v>
      </c>
      <c r="H93" s="132">
        <v>1879.5</v>
      </c>
      <c r="I93" s="132">
        <v>1879.5</v>
      </c>
      <c r="J93" s="132"/>
      <c r="K93" s="132">
        <f>286.7+1592.8</f>
        <v>1879.5</v>
      </c>
      <c r="L93" s="132">
        <f t="shared" si="14"/>
        <v>0</v>
      </c>
      <c r="M93" s="132">
        <f t="shared" si="15"/>
        <v>0</v>
      </c>
      <c r="N93" s="133"/>
      <c r="O93" s="133">
        <f t="shared" si="16"/>
        <v>0</v>
      </c>
      <c r="P93" s="134">
        <v>0</v>
      </c>
      <c r="Q93" s="133"/>
      <c r="R93" s="133"/>
      <c r="S93" s="153">
        <v>0</v>
      </c>
      <c r="T93" s="153">
        <v>0</v>
      </c>
      <c r="U93" s="153">
        <v>0</v>
      </c>
      <c r="V93" s="135"/>
      <c r="W93" s="135"/>
      <c r="X93" s="135"/>
      <c r="Y93" s="135"/>
      <c r="Z93" s="135"/>
      <c r="AA93" s="135"/>
      <c r="AB93" s="135">
        <f t="shared" si="17"/>
        <v>0</v>
      </c>
      <c r="AC93" s="135"/>
      <c r="AD93" s="133"/>
      <c r="AE93" s="133"/>
      <c r="AF93" s="132" t="str">
        <f t="shared" si="18"/>
        <v>Нет инфо</v>
      </c>
      <c r="AG93" s="132" t="str">
        <f t="shared" si="19"/>
        <v>Нет инфо</v>
      </c>
      <c r="AH93" s="2" t="s">
        <v>112</v>
      </c>
      <c r="AI93" s="136">
        <v>45405</v>
      </c>
      <c r="AJ93" s="2" t="s">
        <v>145</v>
      </c>
      <c r="AK93" s="136" t="s">
        <v>18</v>
      </c>
      <c r="AL93" s="136">
        <v>45309</v>
      </c>
      <c r="AM93" s="2" t="s">
        <v>3288</v>
      </c>
      <c r="AN93" s="2"/>
      <c r="AO93" s="2" t="s">
        <v>3282</v>
      </c>
      <c r="AP93" s="2" t="s">
        <v>3282</v>
      </c>
      <c r="AQ93" s="136"/>
    </row>
    <row r="94" spans="1:43" s="115" customFormat="1" ht="12.75" hidden="1" customHeight="1" x14ac:dyDescent="0.2">
      <c r="A94" s="2">
        <v>2123</v>
      </c>
      <c r="B94" s="2" t="s">
        <v>54</v>
      </c>
      <c r="C94" s="2" t="s">
        <v>96</v>
      </c>
      <c r="D94" s="2" t="s">
        <v>3324</v>
      </c>
      <c r="E94" s="2" t="s">
        <v>3301</v>
      </c>
      <c r="F94" s="2" t="s">
        <v>110</v>
      </c>
      <c r="G94" s="2">
        <v>647</v>
      </c>
      <c r="H94" s="132">
        <v>1874.25</v>
      </c>
      <c r="I94" s="132">
        <v>1874.25</v>
      </c>
      <c r="J94" s="132"/>
      <c r="K94" s="132">
        <f>285.9+1588.35</f>
        <v>1874.25</v>
      </c>
      <c r="L94" s="132">
        <f t="shared" si="14"/>
        <v>0</v>
      </c>
      <c r="M94" s="132">
        <f t="shared" si="15"/>
        <v>0</v>
      </c>
      <c r="N94" s="133"/>
      <c r="O94" s="133">
        <f t="shared" si="16"/>
        <v>0</v>
      </c>
      <c r="P94" s="134">
        <v>0</v>
      </c>
      <c r="Q94" s="133"/>
      <c r="R94" s="133"/>
      <c r="S94" s="153">
        <v>0</v>
      </c>
      <c r="T94" s="153">
        <v>0</v>
      </c>
      <c r="U94" s="153">
        <v>0</v>
      </c>
      <c r="V94" s="135"/>
      <c r="W94" s="135"/>
      <c r="X94" s="135"/>
      <c r="Y94" s="135"/>
      <c r="Z94" s="135"/>
      <c r="AA94" s="135"/>
      <c r="AB94" s="135">
        <f t="shared" si="17"/>
        <v>0</v>
      </c>
      <c r="AC94" s="135"/>
      <c r="AD94" s="133"/>
      <c r="AE94" s="133"/>
      <c r="AF94" s="132" t="str">
        <f t="shared" si="18"/>
        <v>Нет инфо</v>
      </c>
      <c r="AG94" s="132" t="str">
        <f t="shared" si="19"/>
        <v>Нет инфо</v>
      </c>
      <c r="AH94" s="2" t="s">
        <v>112</v>
      </c>
      <c r="AI94" s="136">
        <v>45405</v>
      </c>
      <c r="AJ94" s="2" t="s">
        <v>145</v>
      </c>
      <c r="AK94" s="136" t="s">
        <v>18</v>
      </c>
      <c r="AL94" s="136">
        <v>45309</v>
      </c>
      <c r="AM94" s="2" t="s">
        <v>3288</v>
      </c>
      <c r="AN94" s="2"/>
      <c r="AO94" s="2" t="s">
        <v>3282</v>
      </c>
      <c r="AP94" s="2" t="s">
        <v>3282</v>
      </c>
      <c r="AQ94" s="136"/>
    </row>
    <row r="95" spans="1:43" s="115" customFormat="1" ht="12.75" hidden="1" customHeight="1" x14ac:dyDescent="0.2">
      <c r="A95" s="2">
        <v>2124</v>
      </c>
      <c r="B95" s="2" t="s">
        <v>54</v>
      </c>
      <c r="C95" s="2" t="s">
        <v>96</v>
      </c>
      <c r="D95" s="2" t="s">
        <v>3325</v>
      </c>
      <c r="E95" s="2" t="s">
        <v>3302</v>
      </c>
      <c r="F95" s="2" t="s">
        <v>110</v>
      </c>
      <c r="G95" s="2">
        <v>647</v>
      </c>
      <c r="H95" s="132">
        <v>2264.5</v>
      </c>
      <c r="I95" s="132">
        <v>2264.5</v>
      </c>
      <c r="J95" s="132"/>
      <c r="K95" s="132">
        <f>345.43+1919.07</f>
        <v>2264.5</v>
      </c>
      <c r="L95" s="132">
        <f t="shared" si="14"/>
        <v>0</v>
      </c>
      <c r="M95" s="132">
        <f t="shared" si="15"/>
        <v>0</v>
      </c>
      <c r="N95" s="133"/>
      <c r="O95" s="133">
        <f t="shared" si="16"/>
        <v>0</v>
      </c>
      <c r="P95" s="134">
        <v>0</v>
      </c>
      <c r="Q95" s="133"/>
      <c r="R95" s="133"/>
      <c r="S95" s="153">
        <v>0</v>
      </c>
      <c r="T95" s="153">
        <v>0</v>
      </c>
      <c r="U95" s="153">
        <v>0</v>
      </c>
      <c r="V95" s="135"/>
      <c r="W95" s="135"/>
      <c r="X95" s="135"/>
      <c r="Y95" s="135"/>
      <c r="Z95" s="135"/>
      <c r="AA95" s="135"/>
      <c r="AB95" s="135">
        <f t="shared" si="17"/>
        <v>0</v>
      </c>
      <c r="AC95" s="135"/>
      <c r="AD95" s="133"/>
      <c r="AE95" s="133"/>
      <c r="AF95" s="132" t="str">
        <f t="shared" si="18"/>
        <v>Нет инфо</v>
      </c>
      <c r="AG95" s="132" t="str">
        <f t="shared" si="19"/>
        <v>Нет инфо</v>
      </c>
      <c r="AH95" s="2" t="s">
        <v>112</v>
      </c>
      <c r="AI95" s="136">
        <v>45405</v>
      </c>
      <c r="AJ95" s="2" t="s">
        <v>145</v>
      </c>
      <c r="AK95" s="136" t="s">
        <v>18</v>
      </c>
      <c r="AL95" s="136">
        <v>45309</v>
      </c>
      <c r="AM95" s="2" t="s">
        <v>3288</v>
      </c>
      <c r="AN95" s="2"/>
      <c r="AO95" s="2" t="s">
        <v>3282</v>
      </c>
      <c r="AP95" s="2" t="s">
        <v>3282</v>
      </c>
      <c r="AQ95" s="136"/>
    </row>
    <row r="96" spans="1:43" s="115" customFormat="1" ht="12.75" hidden="1" customHeight="1" x14ac:dyDescent="0.2">
      <c r="A96" s="2">
        <v>2125</v>
      </c>
      <c r="B96" s="2" t="s">
        <v>54</v>
      </c>
      <c r="C96" s="2" t="s">
        <v>96</v>
      </c>
      <c r="D96" s="2" t="s">
        <v>3326</v>
      </c>
      <c r="E96" s="2" t="s">
        <v>3303</v>
      </c>
      <c r="F96" s="2" t="s">
        <v>110</v>
      </c>
      <c r="G96" s="2">
        <v>647</v>
      </c>
      <c r="H96" s="132">
        <v>999.25</v>
      </c>
      <c r="I96" s="132">
        <v>999.25</v>
      </c>
      <c r="J96" s="132"/>
      <c r="K96" s="132">
        <f>152.43+846.82</f>
        <v>999.25</v>
      </c>
      <c r="L96" s="132">
        <f t="shared" si="14"/>
        <v>0</v>
      </c>
      <c r="M96" s="132">
        <f t="shared" si="15"/>
        <v>0</v>
      </c>
      <c r="N96" s="133"/>
      <c r="O96" s="133">
        <f t="shared" si="16"/>
        <v>0</v>
      </c>
      <c r="P96" s="134">
        <v>0</v>
      </c>
      <c r="Q96" s="133"/>
      <c r="R96" s="133"/>
      <c r="S96" s="153">
        <v>0</v>
      </c>
      <c r="T96" s="153">
        <v>0</v>
      </c>
      <c r="U96" s="153">
        <v>0</v>
      </c>
      <c r="V96" s="135"/>
      <c r="W96" s="135"/>
      <c r="X96" s="135"/>
      <c r="Y96" s="135"/>
      <c r="Z96" s="135"/>
      <c r="AA96" s="135"/>
      <c r="AB96" s="135">
        <f t="shared" si="17"/>
        <v>0</v>
      </c>
      <c r="AC96" s="135"/>
      <c r="AD96" s="133"/>
      <c r="AE96" s="133"/>
      <c r="AF96" s="132" t="str">
        <f t="shared" si="18"/>
        <v>Нет инфо</v>
      </c>
      <c r="AG96" s="132" t="str">
        <f t="shared" si="19"/>
        <v>Нет инфо</v>
      </c>
      <c r="AH96" s="2" t="s">
        <v>112</v>
      </c>
      <c r="AI96" s="136">
        <v>45405</v>
      </c>
      <c r="AJ96" s="2" t="s">
        <v>145</v>
      </c>
      <c r="AK96" s="136" t="s">
        <v>18</v>
      </c>
      <c r="AL96" s="136">
        <v>45309</v>
      </c>
      <c r="AM96" s="2" t="s">
        <v>3288</v>
      </c>
      <c r="AN96" s="2"/>
      <c r="AO96" s="2" t="s">
        <v>3282</v>
      </c>
      <c r="AP96" s="2" t="s">
        <v>3282</v>
      </c>
      <c r="AQ96" s="136"/>
    </row>
    <row r="97" spans="1:43" s="115" customFormat="1" ht="12.75" hidden="1" customHeight="1" x14ac:dyDescent="0.2">
      <c r="A97" s="2">
        <v>2126</v>
      </c>
      <c r="B97" s="2" t="s">
        <v>54</v>
      </c>
      <c r="C97" s="2" t="s">
        <v>96</v>
      </c>
      <c r="D97" s="2" t="s">
        <v>3327</v>
      </c>
      <c r="E97" s="2" t="s">
        <v>3304</v>
      </c>
      <c r="F97" s="2" t="s">
        <v>110</v>
      </c>
      <c r="G97" s="2">
        <v>647</v>
      </c>
      <c r="H97" s="132">
        <v>892.5</v>
      </c>
      <c r="I97" s="132">
        <v>892.5</v>
      </c>
      <c r="J97" s="132"/>
      <c r="K97" s="132">
        <f>136.14+756.36</f>
        <v>892.5</v>
      </c>
      <c r="L97" s="132">
        <f t="shared" si="14"/>
        <v>0</v>
      </c>
      <c r="M97" s="132">
        <f t="shared" si="15"/>
        <v>0</v>
      </c>
      <c r="N97" s="133"/>
      <c r="O97" s="133">
        <f t="shared" si="16"/>
        <v>0</v>
      </c>
      <c r="P97" s="134">
        <v>0</v>
      </c>
      <c r="Q97" s="133"/>
      <c r="R97" s="133"/>
      <c r="S97" s="153">
        <v>0</v>
      </c>
      <c r="T97" s="153">
        <v>0</v>
      </c>
      <c r="U97" s="153">
        <v>0</v>
      </c>
      <c r="V97" s="135"/>
      <c r="W97" s="135"/>
      <c r="X97" s="135"/>
      <c r="Y97" s="135"/>
      <c r="Z97" s="135"/>
      <c r="AA97" s="135"/>
      <c r="AB97" s="135">
        <f t="shared" si="17"/>
        <v>0</v>
      </c>
      <c r="AC97" s="135"/>
      <c r="AD97" s="133"/>
      <c r="AE97" s="133"/>
      <c r="AF97" s="132" t="str">
        <f t="shared" si="18"/>
        <v>Нет инфо</v>
      </c>
      <c r="AG97" s="132" t="str">
        <f t="shared" si="19"/>
        <v>Нет инфо</v>
      </c>
      <c r="AH97" s="2" t="s">
        <v>112</v>
      </c>
      <c r="AI97" s="136">
        <v>45405</v>
      </c>
      <c r="AJ97" s="2" t="s">
        <v>145</v>
      </c>
      <c r="AK97" s="136" t="s">
        <v>18</v>
      </c>
      <c r="AL97" s="136">
        <v>45309</v>
      </c>
      <c r="AM97" s="2" t="s">
        <v>3288</v>
      </c>
      <c r="AN97" s="2"/>
      <c r="AO97" s="2" t="s">
        <v>3282</v>
      </c>
      <c r="AP97" s="2" t="s">
        <v>3282</v>
      </c>
      <c r="AQ97" s="136"/>
    </row>
    <row r="98" spans="1:43" s="115" customFormat="1" ht="12.75" hidden="1" customHeight="1" x14ac:dyDescent="0.2">
      <c r="A98" s="2">
        <v>2127</v>
      </c>
      <c r="B98" s="2" t="s">
        <v>54</v>
      </c>
      <c r="C98" s="2" t="s">
        <v>96</v>
      </c>
      <c r="D98" s="2" t="s">
        <v>3328</v>
      </c>
      <c r="E98" s="2" t="s">
        <v>3305</v>
      </c>
      <c r="F98" s="2" t="s">
        <v>110</v>
      </c>
      <c r="G98" s="2">
        <v>647</v>
      </c>
      <c r="H98" s="132">
        <v>2695</v>
      </c>
      <c r="I98" s="132">
        <v>2695</v>
      </c>
      <c r="J98" s="132"/>
      <c r="K98" s="132">
        <f>411.1+2283.9</f>
        <v>2695</v>
      </c>
      <c r="L98" s="132">
        <f t="shared" si="14"/>
        <v>0</v>
      </c>
      <c r="M98" s="132">
        <f t="shared" si="15"/>
        <v>0</v>
      </c>
      <c r="N98" s="133"/>
      <c r="O98" s="133">
        <f t="shared" si="16"/>
        <v>0</v>
      </c>
      <c r="P98" s="134">
        <v>0</v>
      </c>
      <c r="Q98" s="133"/>
      <c r="R98" s="133"/>
      <c r="S98" s="153">
        <v>0</v>
      </c>
      <c r="T98" s="153">
        <v>0</v>
      </c>
      <c r="U98" s="153">
        <v>0</v>
      </c>
      <c r="V98" s="135"/>
      <c r="W98" s="135"/>
      <c r="X98" s="135"/>
      <c r="Y98" s="135"/>
      <c r="Z98" s="135"/>
      <c r="AA98" s="135"/>
      <c r="AB98" s="135">
        <f t="shared" si="17"/>
        <v>0</v>
      </c>
      <c r="AC98" s="135"/>
      <c r="AD98" s="133"/>
      <c r="AE98" s="133"/>
      <c r="AF98" s="132" t="str">
        <f t="shared" si="18"/>
        <v>Нет инфо</v>
      </c>
      <c r="AG98" s="132" t="str">
        <f t="shared" si="19"/>
        <v>Нет инфо</v>
      </c>
      <c r="AH98" s="2" t="s">
        <v>112</v>
      </c>
      <c r="AI98" s="136">
        <v>45405</v>
      </c>
      <c r="AJ98" s="2" t="s">
        <v>145</v>
      </c>
      <c r="AK98" s="136" t="s">
        <v>18</v>
      </c>
      <c r="AL98" s="136">
        <v>45309</v>
      </c>
      <c r="AM98" s="2" t="s">
        <v>3288</v>
      </c>
      <c r="AN98" s="2"/>
      <c r="AO98" s="2" t="s">
        <v>3282</v>
      </c>
      <c r="AP98" s="2" t="s">
        <v>3282</v>
      </c>
      <c r="AQ98" s="136"/>
    </row>
    <row r="99" spans="1:43" s="115" customFormat="1" ht="12.75" hidden="1" customHeight="1" x14ac:dyDescent="0.2">
      <c r="A99" s="2">
        <v>2128</v>
      </c>
      <c r="B99" s="2" t="s">
        <v>54</v>
      </c>
      <c r="C99" s="2" t="s">
        <v>96</v>
      </c>
      <c r="D99" s="2" t="s">
        <v>3329</v>
      </c>
      <c r="E99" s="2" t="s">
        <v>3306</v>
      </c>
      <c r="F99" s="2" t="s">
        <v>110</v>
      </c>
      <c r="G99" s="2">
        <v>647</v>
      </c>
      <c r="H99" s="132">
        <v>5166</v>
      </c>
      <c r="I99" s="132">
        <v>5166</v>
      </c>
      <c r="J99" s="132"/>
      <c r="K99" s="132">
        <f>788.034+4377.966</f>
        <v>5166</v>
      </c>
      <c r="L99" s="132">
        <f t="shared" si="14"/>
        <v>0</v>
      </c>
      <c r="M99" s="132">
        <f t="shared" si="15"/>
        <v>0</v>
      </c>
      <c r="N99" s="133"/>
      <c r="O99" s="133">
        <f t="shared" si="16"/>
        <v>0</v>
      </c>
      <c r="P99" s="134">
        <v>0</v>
      </c>
      <c r="Q99" s="133"/>
      <c r="R99" s="133"/>
      <c r="S99" s="153">
        <v>0</v>
      </c>
      <c r="T99" s="153">
        <v>0</v>
      </c>
      <c r="U99" s="153">
        <v>0</v>
      </c>
      <c r="V99" s="135"/>
      <c r="W99" s="135"/>
      <c r="X99" s="135"/>
      <c r="Y99" s="135"/>
      <c r="Z99" s="135"/>
      <c r="AA99" s="135"/>
      <c r="AB99" s="135">
        <f t="shared" si="17"/>
        <v>0</v>
      </c>
      <c r="AC99" s="135"/>
      <c r="AD99" s="133"/>
      <c r="AE99" s="133"/>
      <c r="AF99" s="132" t="str">
        <f t="shared" si="18"/>
        <v>Нет инфо</v>
      </c>
      <c r="AG99" s="132" t="str">
        <f t="shared" si="19"/>
        <v>Нет инфо</v>
      </c>
      <c r="AH99" s="2" t="s">
        <v>112</v>
      </c>
      <c r="AI99" s="136">
        <v>45405</v>
      </c>
      <c r="AJ99" s="2" t="s">
        <v>145</v>
      </c>
      <c r="AK99" s="136" t="s">
        <v>18</v>
      </c>
      <c r="AL99" s="136">
        <v>45309</v>
      </c>
      <c r="AM99" s="2" t="s">
        <v>3288</v>
      </c>
      <c r="AN99" s="2"/>
      <c r="AO99" s="2" t="s">
        <v>3282</v>
      </c>
      <c r="AP99" s="2" t="s">
        <v>3282</v>
      </c>
      <c r="AQ99" s="136"/>
    </row>
    <row r="100" spans="1:43" s="115" customFormat="1" ht="12.75" hidden="1" customHeight="1" x14ac:dyDescent="0.2">
      <c r="A100" s="2">
        <v>2129</v>
      </c>
      <c r="B100" s="2" t="s">
        <v>54</v>
      </c>
      <c r="C100" s="2" t="s">
        <v>96</v>
      </c>
      <c r="D100" s="2" t="s">
        <v>3330</v>
      </c>
      <c r="E100" s="2" t="s">
        <v>3307</v>
      </c>
      <c r="F100" s="2" t="s">
        <v>110</v>
      </c>
      <c r="G100" s="2">
        <v>647</v>
      </c>
      <c r="H100" s="132">
        <v>2681</v>
      </c>
      <c r="I100" s="132">
        <v>2681</v>
      </c>
      <c r="J100" s="132"/>
      <c r="K100" s="132">
        <f>408.97+2272.03</f>
        <v>2681</v>
      </c>
      <c r="L100" s="132">
        <f t="shared" si="14"/>
        <v>0</v>
      </c>
      <c r="M100" s="132">
        <f t="shared" si="15"/>
        <v>0</v>
      </c>
      <c r="N100" s="133"/>
      <c r="O100" s="133">
        <f t="shared" si="16"/>
        <v>0</v>
      </c>
      <c r="P100" s="134">
        <v>0</v>
      </c>
      <c r="Q100" s="133"/>
      <c r="R100" s="133"/>
      <c r="S100" s="153">
        <v>0</v>
      </c>
      <c r="T100" s="153">
        <v>0</v>
      </c>
      <c r="U100" s="153">
        <v>0</v>
      </c>
      <c r="V100" s="135"/>
      <c r="W100" s="135"/>
      <c r="X100" s="135"/>
      <c r="Y100" s="135"/>
      <c r="Z100" s="135"/>
      <c r="AA100" s="135"/>
      <c r="AB100" s="135">
        <f t="shared" si="17"/>
        <v>0</v>
      </c>
      <c r="AC100" s="135"/>
      <c r="AD100" s="133"/>
      <c r="AE100" s="133"/>
      <c r="AF100" s="132" t="str">
        <f t="shared" si="18"/>
        <v>Нет инфо</v>
      </c>
      <c r="AG100" s="132" t="str">
        <f t="shared" si="19"/>
        <v>Нет инфо</v>
      </c>
      <c r="AH100" s="2" t="s">
        <v>112</v>
      </c>
      <c r="AI100" s="136">
        <v>45405</v>
      </c>
      <c r="AJ100" s="2" t="s">
        <v>145</v>
      </c>
      <c r="AK100" s="136" t="s">
        <v>18</v>
      </c>
      <c r="AL100" s="136">
        <v>45309</v>
      </c>
      <c r="AM100" s="2" t="s">
        <v>3288</v>
      </c>
      <c r="AN100" s="2"/>
      <c r="AO100" s="2" t="s">
        <v>3282</v>
      </c>
      <c r="AP100" s="2" t="s">
        <v>3282</v>
      </c>
      <c r="AQ100" s="136"/>
    </row>
    <row r="101" spans="1:43" s="115" customFormat="1" ht="12.75" hidden="1" customHeight="1" x14ac:dyDescent="0.2">
      <c r="A101" s="2">
        <v>2130</v>
      </c>
      <c r="B101" s="2" t="s">
        <v>54</v>
      </c>
      <c r="C101" s="2" t="s">
        <v>96</v>
      </c>
      <c r="D101" s="2" t="s">
        <v>3331</v>
      </c>
      <c r="E101" s="2" t="s">
        <v>3315</v>
      </c>
      <c r="F101" s="2" t="s">
        <v>110</v>
      </c>
      <c r="G101" s="2">
        <v>647</v>
      </c>
      <c r="H101" s="132">
        <v>444.5</v>
      </c>
      <c r="I101" s="132">
        <v>444.5</v>
      </c>
      <c r="J101" s="132"/>
      <c r="K101" s="132">
        <f>67.81+376.69</f>
        <v>444.5</v>
      </c>
      <c r="L101" s="132">
        <f t="shared" si="14"/>
        <v>0</v>
      </c>
      <c r="M101" s="132">
        <f t="shared" si="15"/>
        <v>0</v>
      </c>
      <c r="N101" s="133"/>
      <c r="O101" s="133">
        <f t="shared" si="16"/>
        <v>0</v>
      </c>
      <c r="P101" s="134">
        <v>0</v>
      </c>
      <c r="Q101" s="133"/>
      <c r="R101" s="133"/>
      <c r="S101" s="153">
        <v>0</v>
      </c>
      <c r="T101" s="153">
        <v>0</v>
      </c>
      <c r="U101" s="153">
        <v>0</v>
      </c>
      <c r="V101" s="135"/>
      <c r="W101" s="135"/>
      <c r="X101" s="135"/>
      <c r="Y101" s="135"/>
      <c r="Z101" s="135"/>
      <c r="AA101" s="135"/>
      <c r="AB101" s="135">
        <f t="shared" si="17"/>
        <v>0</v>
      </c>
      <c r="AC101" s="135"/>
      <c r="AD101" s="133"/>
      <c r="AE101" s="133"/>
      <c r="AF101" s="132" t="str">
        <f t="shared" si="18"/>
        <v>Нет инфо</v>
      </c>
      <c r="AG101" s="132" t="str">
        <f t="shared" si="19"/>
        <v>Нет инфо</v>
      </c>
      <c r="AH101" s="2" t="s">
        <v>112</v>
      </c>
      <c r="AI101" s="136">
        <v>45405</v>
      </c>
      <c r="AJ101" s="2" t="s">
        <v>145</v>
      </c>
      <c r="AK101" s="136" t="s">
        <v>18</v>
      </c>
      <c r="AL101" s="136">
        <v>45309</v>
      </c>
      <c r="AM101" s="2" t="s">
        <v>3288</v>
      </c>
      <c r="AN101" s="2"/>
      <c r="AO101" s="2" t="s">
        <v>3282</v>
      </c>
      <c r="AP101" s="2" t="s">
        <v>3282</v>
      </c>
      <c r="AQ101" s="136"/>
    </row>
    <row r="102" spans="1:43" s="115" customFormat="1" ht="12.75" hidden="1" customHeight="1" x14ac:dyDescent="0.2">
      <c r="A102" s="2">
        <v>2131</v>
      </c>
      <c r="B102" s="2" t="s">
        <v>54</v>
      </c>
      <c r="C102" s="2" t="s">
        <v>96</v>
      </c>
      <c r="D102" s="2" t="s">
        <v>3332</v>
      </c>
      <c r="E102" s="2" t="s">
        <v>3314</v>
      </c>
      <c r="F102" s="2" t="s">
        <v>110</v>
      </c>
      <c r="G102" s="2">
        <v>647</v>
      </c>
      <c r="H102" s="132">
        <v>598.5</v>
      </c>
      <c r="I102" s="132">
        <v>598.5</v>
      </c>
      <c r="J102" s="132"/>
      <c r="K102" s="132">
        <f>91.3+507.2</f>
        <v>598.5</v>
      </c>
      <c r="L102" s="132">
        <f t="shared" si="14"/>
        <v>0</v>
      </c>
      <c r="M102" s="132">
        <f t="shared" si="15"/>
        <v>0</v>
      </c>
      <c r="N102" s="133"/>
      <c r="O102" s="133">
        <f t="shared" si="16"/>
        <v>0</v>
      </c>
      <c r="P102" s="134">
        <v>0</v>
      </c>
      <c r="Q102" s="133"/>
      <c r="R102" s="133"/>
      <c r="S102" s="153">
        <v>0</v>
      </c>
      <c r="T102" s="153">
        <v>0</v>
      </c>
      <c r="U102" s="153">
        <v>0</v>
      </c>
      <c r="V102" s="135"/>
      <c r="W102" s="135"/>
      <c r="X102" s="135"/>
      <c r="Y102" s="135"/>
      <c r="Z102" s="135"/>
      <c r="AA102" s="135"/>
      <c r="AB102" s="135">
        <f t="shared" si="17"/>
        <v>0</v>
      </c>
      <c r="AC102" s="135"/>
      <c r="AD102" s="133"/>
      <c r="AE102" s="133"/>
      <c r="AF102" s="132" t="str">
        <f t="shared" si="18"/>
        <v>Нет инфо</v>
      </c>
      <c r="AG102" s="132" t="str">
        <f t="shared" si="19"/>
        <v>Нет инфо</v>
      </c>
      <c r="AH102" s="2" t="s">
        <v>112</v>
      </c>
      <c r="AI102" s="136">
        <v>45405</v>
      </c>
      <c r="AJ102" s="2" t="s">
        <v>145</v>
      </c>
      <c r="AK102" s="136" t="s">
        <v>18</v>
      </c>
      <c r="AL102" s="136">
        <v>45309</v>
      </c>
      <c r="AM102" s="2" t="s">
        <v>3288</v>
      </c>
      <c r="AN102" s="2"/>
      <c r="AO102" s="2" t="s">
        <v>3282</v>
      </c>
      <c r="AP102" s="2" t="s">
        <v>3282</v>
      </c>
      <c r="AQ102" s="136"/>
    </row>
    <row r="103" spans="1:43" s="115" customFormat="1" ht="12.75" hidden="1" customHeight="1" x14ac:dyDescent="0.2">
      <c r="A103" s="2">
        <v>2132</v>
      </c>
      <c r="B103" s="2" t="s">
        <v>54</v>
      </c>
      <c r="C103" s="2" t="s">
        <v>96</v>
      </c>
      <c r="D103" s="2" t="s">
        <v>3333</v>
      </c>
      <c r="E103" s="2" t="s">
        <v>3313</v>
      </c>
      <c r="F103" s="2" t="s">
        <v>110</v>
      </c>
      <c r="G103" s="2">
        <v>647</v>
      </c>
      <c r="H103" s="132">
        <v>1606.5</v>
      </c>
      <c r="I103" s="132">
        <v>1606.5</v>
      </c>
      <c r="J103" s="132"/>
      <c r="K103" s="132">
        <f>245.06+1361.44</f>
        <v>1606.5</v>
      </c>
      <c r="L103" s="132">
        <f t="shared" si="14"/>
        <v>0</v>
      </c>
      <c r="M103" s="132">
        <f t="shared" si="15"/>
        <v>0</v>
      </c>
      <c r="N103" s="133"/>
      <c r="O103" s="133">
        <f t="shared" si="16"/>
        <v>0</v>
      </c>
      <c r="P103" s="134">
        <v>0</v>
      </c>
      <c r="Q103" s="133"/>
      <c r="R103" s="133"/>
      <c r="S103" s="153">
        <v>0</v>
      </c>
      <c r="T103" s="153">
        <v>0</v>
      </c>
      <c r="U103" s="153">
        <v>0</v>
      </c>
      <c r="V103" s="135"/>
      <c r="W103" s="135"/>
      <c r="X103" s="135"/>
      <c r="Y103" s="135"/>
      <c r="Z103" s="135"/>
      <c r="AA103" s="135"/>
      <c r="AB103" s="135">
        <f t="shared" si="17"/>
        <v>0</v>
      </c>
      <c r="AC103" s="135"/>
      <c r="AD103" s="133"/>
      <c r="AE103" s="133"/>
      <c r="AF103" s="132" t="str">
        <f t="shared" si="18"/>
        <v>Нет инфо</v>
      </c>
      <c r="AG103" s="132" t="str">
        <f t="shared" si="19"/>
        <v>Нет инфо</v>
      </c>
      <c r="AH103" s="2" t="s">
        <v>112</v>
      </c>
      <c r="AI103" s="136">
        <v>45405</v>
      </c>
      <c r="AJ103" s="2" t="s">
        <v>145</v>
      </c>
      <c r="AK103" s="136" t="s">
        <v>18</v>
      </c>
      <c r="AL103" s="136">
        <v>45309</v>
      </c>
      <c r="AM103" s="2" t="s">
        <v>3288</v>
      </c>
      <c r="AN103" s="2"/>
      <c r="AO103" s="2" t="s">
        <v>3282</v>
      </c>
      <c r="AP103" s="2" t="s">
        <v>3282</v>
      </c>
      <c r="AQ103" s="136"/>
    </row>
    <row r="104" spans="1:43" s="115" customFormat="1" ht="12.75" hidden="1" customHeight="1" x14ac:dyDescent="0.2">
      <c r="A104" s="2">
        <v>2133</v>
      </c>
      <c r="B104" s="2" t="s">
        <v>54</v>
      </c>
      <c r="C104" s="2" t="s">
        <v>96</v>
      </c>
      <c r="D104" s="2" t="s">
        <v>3334</v>
      </c>
      <c r="E104" s="2" t="s">
        <v>3312</v>
      </c>
      <c r="F104" s="2" t="s">
        <v>110</v>
      </c>
      <c r="G104" s="2">
        <v>647</v>
      </c>
      <c r="H104" s="132">
        <v>2541</v>
      </c>
      <c r="I104" s="132">
        <v>2541</v>
      </c>
      <c r="J104" s="132"/>
      <c r="K104" s="132">
        <f>387.61+2153.39</f>
        <v>2541</v>
      </c>
      <c r="L104" s="132">
        <f t="shared" si="14"/>
        <v>0</v>
      </c>
      <c r="M104" s="132">
        <f t="shared" si="15"/>
        <v>0</v>
      </c>
      <c r="N104" s="133"/>
      <c r="O104" s="133">
        <f t="shared" si="16"/>
        <v>0</v>
      </c>
      <c r="P104" s="134">
        <v>0</v>
      </c>
      <c r="Q104" s="133"/>
      <c r="R104" s="133"/>
      <c r="S104" s="153">
        <v>0</v>
      </c>
      <c r="T104" s="153">
        <v>0</v>
      </c>
      <c r="U104" s="153">
        <v>0</v>
      </c>
      <c r="V104" s="135"/>
      <c r="W104" s="135"/>
      <c r="X104" s="135"/>
      <c r="Y104" s="135"/>
      <c r="Z104" s="135"/>
      <c r="AA104" s="135"/>
      <c r="AB104" s="135">
        <f t="shared" si="17"/>
        <v>0</v>
      </c>
      <c r="AC104" s="135"/>
      <c r="AD104" s="133"/>
      <c r="AE104" s="133"/>
      <c r="AF104" s="132" t="str">
        <f t="shared" si="18"/>
        <v>Нет инфо</v>
      </c>
      <c r="AG104" s="132" t="str">
        <f t="shared" si="19"/>
        <v>Нет инфо</v>
      </c>
      <c r="AH104" s="2" t="s">
        <v>112</v>
      </c>
      <c r="AI104" s="136">
        <v>45405</v>
      </c>
      <c r="AJ104" s="2" t="s">
        <v>145</v>
      </c>
      <c r="AK104" s="136" t="s">
        <v>18</v>
      </c>
      <c r="AL104" s="136">
        <v>45309</v>
      </c>
      <c r="AM104" s="2" t="s">
        <v>3288</v>
      </c>
      <c r="AN104" s="2"/>
      <c r="AO104" s="2" t="s">
        <v>3282</v>
      </c>
      <c r="AP104" s="2" t="s">
        <v>3282</v>
      </c>
      <c r="AQ104" s="136"/>
    </row>
    <row r="105" spans="1:43" s="115" customFormat="1" ht="12.75" hidden="1" customHeight="1" x14ac:dyDescent="0.2">
      <c r="A105" s="2">
        <v>2134</v>
      </c>
      <c r="B105" s="2" t="s">
        <v>54</v>
      </c>
      <c r="C105" s="2" t="s">
        <v>96</v>
      </c>
      <c r="D105" s="2" t="s">
        <v>3335</v>
      </c>
      <c r="E105" s="2" t="s">
        <v>3311</v>
      </c>
      <c r="F105" s="2" t="s">
        <v>110</v>
      </c>
      <c r="G105" s="2">
        <v>647</v>
      </c>
      <c r="H105" s="132">
        <v>1701</v>
      </c>
      <c r="I105" s="132">
        <v>1701</v>
      </c>
      <c r="J105" s="132"/>
      <c r="K105" s="132">
        <f>259.47+1441.53</f>
        <v>1701</v>
      </c>
      <c r="L105" s="132">
        <f t="shared" si="14"/>
        <v>0</v>
      </c>
      <c r="M105" s="132">
        <f t="shared" si="15"/>
        <v>0</v>
      </c>
      <c r="N105" s="133"/>
      <c r="O105" s="133">
        <f t="shared" si="16"/>
        <v>0</v>
      </c>
      <c r="P105" s="134">
        <v>0</v>
      </c>
      <c r="Q105" s="133"/>
      <c r="R105" s="133"/>
      <c r="S105" s="153">
        <v>0</v>
      </c>
      <c r="T105" s="153">
        <v>0</v>
      </c>
      <c r="U105" s="153">
        <v>0</v>
      </c>
      <c r="V105" s="135"/>
      <c r="W105" s="135"/>
      <c r="X105" s="135"/>
      <c r="Y105" s="135"/>
      <c r="Z105" s="135"/>
      <c r="AA105" s="135"/>
      <c r="AB105" s="135">
        <f t="shared" si="17"/>
        <v>0</v>
      </c>
      <c r="AC105" s="135"/>
      <c r="AD105" s="133"/>
      <c r="AE105" s="133"/>
      <c r="AF105" s="132" t="str">
        <f t="shared" si="18"/>
        <v>Нет инфо</v>
      </c>
      <c r="AG105" s="132" t="str">
        <f t="shared" si="19"/>
        <v>Нет инфо</v>
      </c>
      <c r="AH105" s="2" t="s">
        <v>112</v>
      </c>
      <c r="AI105" s="136">
        <v>45405</v>
      </c>
      <c r="AJ105" s="2" t="s">
        <v>145</v>
      </c>
      <c r="AK105" s="136" t="s">
        <v>18</v>
      </c>
      <c r="AL105" s="136">
        <v>45309</v>
      </c>
      <c r="AM105" s="2" t="s">
        <v>3288</v>
      </c>
      <c r="AN105" s="2"/>
      <c r="AO105" s="2" t="s">
        <v>3282</v>
      </c>
      <c r="AP105" s="2" t="s">
        <v>3282</v>
      </c>
      <c r="AQ105" s="136"/>
    </row>
    <row r="106" spans="1:43" s="115" customFormat="1" ht="12.75" hidden="1" customHeight="1" x14ac:dyDescent="0.2">
      <c r="A106" s="2">
        <v>2135</v>
      </c>
      <c r="B106" s="2" t="s">
        <v>54</v>
      </c>
      <c r="C106" s="2" t="s">
        <v>96</v>
      </c>
      <c r="D106" s="2" t="s">
        <v>3336</v>
      </c>
      <c r="E106" s="2" t="s">
        <v>3310</v>
      </c>
      <c r="F106" s="2" t="s">
        <v>110</v>
      </c>
      <c r="G106" s="2">
        <v>647</v>
      </c>
      <c r="H106" s="132">
        <v>1743</v>
      </c>
      <c r="I106" s="132">
        <v>1743</v>
      </c>
      <c r="J106" s="132"/>
      <c r="K106" s="132">
        <f>265.88+1477.12</f>
        <v>1743</v>
      </c>
      <c r="L106" s="132">
        <f t="shared" si="14"/>
        <v>0</v>
      </c>
      <c r="M106" s="132">
        <f t="shared" si="15"/>
        <v>0</v>
      </c>
      <c r="N106" s="133"/>
      <c r="O106" s="133">
        <f t="shared" si="16"/>
        <v>0</v>
      </c>
      <c r="P106" s="134">
        <v>0</v>
      </c>
      <c r="Q106" s="133"/>
      <c r="R106" s="133"/>
      <c r="S106" s="153">
        <v>0</v>
      </c>
      <c r="T106" s="153">
        <v>0</v>
      </c>
      <c r="U106" s="153">
        <v>0</v>
      </c>
      <c r="V106" s="135"/>
      <c r="W106" s="135"/>
      <c r="X106" s="135"/>
      <c r="Y106" s="135"/>
      <c r="Z106" s="135"/>
      <c r="AA106" s="135"/>
      <c r="AB106" s="135">
        <f t="shared" si="17"/>
        <v>0</v>
      </c>
      <c r="AC106" s="135"/>
      <c r="AD106" s="133"/>
      <c r="AE106" s="133"/>
      <c r="AF106" s="132" t="str">
        <f t="shared" si="18"/>
        <v>Нет инфо</v>
      </c>
      <c r="AG106" s="132" t="str">
        <f t="shared" si="19"/>
        <v>Нет инфо</v>
      </c>
      <c r="AH106" s="2" t="s">
        <v>112</v>
      </c>
      <c r="AI106" s="136">
        <v>45405</v>
      </c>
      <c r="AJ106" s="2" t="s">
        <v>145</v>
      </c>
      <c r="AK106" s="136" t="s">
        <v>18</v>
      </c>
      <c r="AL106" s="136">
        <v>45309</v>
      </c>
      <c r="AM106" s="2" t="s">
        <v>3288</v>
      </c>
      <c r="AN106" s="2"/>
      <c r="AO106" s="2" t="s">
        <v>3282</v>
      </c>
      <c r="AP106" s="2" t="s">
        <v>3282</v>
      </c>
      <c r="AQ106" s="136"/>
    </row>
    <row r="107" spans="1:43" s="115" customFormat="1" ht="12.75" hidden="1" customHeight="1" x14ac:dyDescent="0.2">
      <c r="A107" s="2">
        <v>2136</v>
      </c>
      <c r="B107" s="2" t="s">
        <v>54</v>
      </c>
      <c r="C107" s="2" t="s">
        <v>96</v>
      </c>
      <c r="D107" s="2" t="s">
        <v>3337</v>
      </c>
      <c r="E107" s="2" t="s">
        <v>3309</v>
      </c>
      <c r="F107" s="2" t="s">
        <v>110</v>
      </c>
      <c r="G107" s="2">
        <v>647</v>
      </c>
      <c r="H107" s="132">
        <v>1764</v>
      </c>
      <c r="I107" s="132">
        <v>1764</v>
      </c>
      <c r="J107" s="132"/>
      <c r="K107" s="132">
        <f>269.09+1494.91</f>
        <v>1764</v>
      </c>
      <c r="L107" s="132">
        <f t="shared" si="14"/>
        <v>0</v>
      </c>
      <c r="M107" s="132">
        <f t="shared" si="15"/>
        <v>0</v>
      </c>
      <c r="N107" s="133"/>
      <c r="O107" s="133">
        <f t="shared" si="16"/>
        <v>0</v>
      </c>
      <c r="P107" s="134">
        <v>0</v>
      </c>
      <c r="Q107" s="133"/>
      <c r="R107" s="133"/>
      <c r="S107" s="153">
        <v>0</v>
      </c>
      <c r="T107" s="153">
        <v>0</v>
      </c>
      <c r="U107" s="153">
        <v>0</v>
      </c>
      <c r="V107" s="135"/>
      <c r="W107" s="135"/>
      <c r="X107" s="135"/>
      <c r="Y107" s="135"/>
      <c r="Z107" s="135"/>
      <c r="AA107" s="135"/>
      <c r="AB107" s="135">
        <f t="shared" ref="AB107:AB138" si="20">IF(AJ107="Принят",(J107/1.18-W107-Z107)*0.1,J107/1.18*0.8*0.1)-AA107</f>
        <v>0</v>
      </c>
      <c r="AC107" s="135"/>
      <c r="AD107" s="133"/>
      <c r="AE107" s="133"/>
      <c r="AF107" s="132" t="str">
        <f t="shared" si="18"/>
        <v>Нет инфо</v>
      </c>
      <c r="AG107" s="132" t="str">
        <f t="shared" si="19"/>
        <v>Нет инфо</v>
      </c>
      <c r="AH107" s="2" t="s">
        <v>112</v>
      </c>
      <c r="AI107" s="136">
        <v>45405</v>
      </c>
      <c r="AJ107" s="2" t="s">
        <v>145</v>
      </c>
      <c r="AK107" s="136" t="s">
        <v>18</v>
      </c>
      <c r="AL107" s="136">
        <v>45309</v>
      </c>
      <c r="AM107" s="2" t="s">
        <v>3288</v>
      </c>
      <c r="AN107" s="2"/>
      <c r="AO107" s="2" t="s">
        <v>3282</v>
      </c>
      <c r="AP107" s="2" t="s">
        <v>3282</v>
      </c>
      <c r="AQ107" s="136"/>
    </row>
    <row r="108" spans="1:43" s="115" customFormat="1" ht="12.75" hidden="1" customHeight="1" x14ac:dyDescent="0.2">
      <c r="A108" s="2">
        <v>2137</v>
      </c>
      <c r="B108" s="2" t="s">
        <v>54</v>
      </c>
      <c r="C108" s="2" t="s">
        <v>96</v>
      </c>
      <c r="D108" s="2" t="s">
        <v>3338</v>
      </c>
      <c r="E108" s="2" t="s">
        <v>3308</v>
      </c>
      <c r="F108" s="2" t="s">
        <v>110</v>
      </c>
      <c r="G108" s="2">
        <v>618</v>
      </c>
      <c r="H108" s="132">
        <v>1058.75</v>
      </c>
      <c r="I108" s="132">
        <v>1058.75</v>
      </c>
      <c r="J108" s="132"/>
      <c r="K108" s="132">
        <f>161.5+897.25</f>
        <v>1058.75</v>
      </c>
      <c r="L108" s="132">
        <f t="shared" si="14"/>
        <v>0</v>
      </c>
      <c r="M108" s="132">
        <f t="shared" si="15"/>
        <v>0</v>
      </c>
      <c r="N108" s="133"/>
      <c r="O108" s="133">
        <f t="shared" si="16"/>
        <v>0</v>
      </c>
      <c r="P108" s="134">
        <v>0</v>
      </c>
      <c r="Q108" s="133"/>
      <c r="R108" s="133"/>
      <c r="S108" s="153">
        <v>0</v>
      </c>
      <c r="T108" s="153">
        <v>0</v>
      </c>
      <c r="U108" s="153">
        <v>0</v>
      </c>
      <c r="V108" s="135"/>
      <c r="W108" s="135"/>
      <c r="X108" s="135"/>
      <c r="Y108" s="135"/>
      <c r="Z108" s="135"/>
      <c r="AA108" s="135"/>
      <c r="AB108" s="135">
        <f t="shared" si="20"/>
        <v>0</v>
      </c>
      <c r="AC108" s="135"/>
      <c r="AD108" s="133"/>
      <c r="AE108" s="133"/>
      <c r="AF108" s="132" t="str">
        <f t="shared" si="18"/>
        <v>Нет инфо</v>
      </c>
      <c r="AG108" s="132" t="str">
        <f t="shared" si="19"/>
        <v>Нет инфо</v>
      </c>
      <c r="AH108" s="2" t="s">
        <v>112</v>
      </c>
      <c r="AI108" s="136">
        <v>45405</v>
      </c>
      <c r="AJ108" s="2" t="s">
        <v>145</v>
      </c>
      <c r="AK108" s="136" t="s">
        <v>18</v>
      </c>
      <c r="AL108" s="136">
        <v>45309</v>
      </c>
      <c r="AM108" s="2" t="s">
        <v>3289</v>
      </c>
      <c r="AN108" s="2"/>
      <c r="AO108" s="2" t="s">
        <v>2766</v>
      </c>
      <c r="AP108" s="2" t="s">
        <v>2766</v>
      </c>
      <c r="AQ108" s="136"/>
    </row>
    <row r="109" spans="1:43" s="115" customFormat="1" ht="12.75" hidden="1" customHeight="1" x14ac:dyDescent="0.2">
      <c r="A109" s="2">
        <v>2138</v>
      </c>
      <c r="B109" s="2" t="s">
        <v>54</v>
      </c>
      <c r="C109" s="2" t="s">
        <v>96</v>
      </c>
      <c r="D109" s="2" t="s">
        <v>3339</v>
      </c>
      <c r="E109" s="2" t="s">
        <v>3316</v>
      </c>
      <c r="F109" s="2" t="s">
        <v>110</v>
      </c>
      <c r="G109" s="2">
        <v>618</v>
      </c>
      <c r="H109" s="132">
        <v>1069.25</v>
      </c>
      <c r="I109" s="132">
        <v>1069.25</v>
      </c>
      <c r="J109" s="132"/>
      <c r="K109" s="132">
        <f>163.11+906.14</f>
        <v>1069.25</v>
      </c>
      <c r="L109" s="132">
        <f t="shared" si="14"/>
        <v>0</v>
      </c>
      <c r="M109" s="132">
        <f t="shared" si="15"/>
        <v>0</v>
      </c>
      <c r="N109" s="133"/>
      <c r="O109" s="133">
        <f t="shared" si="16"/>
        <v>0</v>
      </c>
      <c r="P109" s="134">
        <v>0</v>
      </c>
      <c r="Q109" s="133"/>
      <c r="R109" s="133"/>
      <c r="S109" s="153">
        <v>0</v>
      </c>
      <c r="T109" s="153">
        <v>0</v>
      </c>
      <c r="U109" s="153">
        <v>0</v>
      </c>
      <c r="V109" s="135"/>
      <c r="W109" s="135"/>
      <c r="X109" s="135"/>
      <c r="Y109" s="135"/>
      <c r="Z109" s="135"/>
      <c r="AA109" s="135"/>
      <c r="AB109" s="135">
        <f t="shared" si="20"/>
        <v>0</v>
      </c>
      <c r="AC109" s="135"/>
      <c r="AD109" s="133"/>
      <c r="AE109" s="133"/>
      <c r="AF109" s="132" t="str">
        <f t="shared" si="18"/>
        <v>Нет инфо</v>
      </c>
      <c r="AG109" s="132" t="str">
        <f t="shared" si="19"/>
        <v>Нет инфо</v>
      </c>
      <c r="AH109" s="2" t="s">
        <v>112</v>
      </c>
      <c r="AI109" s="136">
        <v>45405</v>
      </c>
      <c r="AJ109" s="2" t="s">
        <v>145</v>
      </c>
      <c r="AK109" s="136" t="s">
        <v>18</v>
      </c>
      <c r="AL109" s="136">
        <v>45309</v>
      </c>
      <c r="AM109" s="2" t="s">
        <v>3289</v>
      </c>
      <c r="AN109" s="2"/>
      <c r="AO109" s="2" t="s">
        <v>2766</v>
      </c>
      <c r="AP109" s="2" t="s">
        <v>2766</v>
      </c>
      <c r="AQ109" s="136"/>
    </row>
    <row r="110" spans="1:43" s="115" customFormat="1" ht="12.75" hidden="1" customHeight="1" x14ac:dyDescent="0.2">
      <c r="A110" s="2">
        <v>2139</v>
      </c>
      <c r="B110" s="2" t="s">
        <v>54</v>
      </c>
      <c r="C110" s="2" t="s">
        <v>96</v>
      </c>
      <c r="D110" s="2" t="s">
        <v>3340</v>
      </c>
      <c r="E110" s="2" t="s">
        <v>3317</v>
      </c>
      <c r="F110" s="2" t="s">
        <v>110</v>
      </c>
      <c r="G110" s="2">
        <v>618</v>
      </c>
      <c r="H110" s="132">
        <v>1050</v>
      </c>
      <c r="I110" s="132">
        <v>1050</v>
      </c>
      <c r="J110" s="132"/>
      <c r="K110" s="132">
        <f>160.17+889.83</f>
        <v>1050</v>
      </c>
      <c r="L110" s="132">
        <f t="shared" si="14"/>
        <v>0</v>
      </c>
      <c r="M110" s="132">
        <f t="shared" si="15"/>
        <v>0</v>
      </c>
      <c r="N110" s="133"/>
      <c r="O110" s="133">
        <f t="shared" si="16"/>
        <v>0</v>
      </c>
      <c r="P110" s="134">
        <v>0</v>
      </c>
      <c r="Q110" s="133"/>
      <c r="R110" s="133"/>
      <c r="S110" s="153">
        <v>0</v>
      </c>
      <c r="T110" s="153">
        <v>0</v>
      </c>
      <c r="U110" s="153">
        <v>0</v>
      </c>
      <c r="V110" s="135"/>
      <c r="W110" s="135"/>
      <c r="X110" s="135"/>
      <c r="Y110" s="135"/>
      <c r="Z110" s="135"/>
      <c r="AA110" s="135"/>
      <c r="AB110" s="135">
        <f t="shared" si="20"/>
        <v>0</v>
      </c>
      <c r="AC110" s="135"/>
      <c r="AD110" s="133"/>
      <c r="AE110" s="133"/>
      <c r="AF110" s="132" t="str">
        <f t="shared" si="18"/>
        <v>Нет инфо</v>
      </c>
      <c r="AG110" s="132" t="str">
        <f t="shared" si="19"/>
        <v>Нет инфо</v>
      </c>
      <c r="AH110" s="2" t="s">
        <v>112</v>
      </c>
      <c r="AI110" s="136">
        <v>45405</v>
      </c>
      <c r="AJ110" s="2" t="s">
        <v>145</v>
      </c>
      <c r="AK110" s="136" t="s">
        <v>18</v>
      </c>
      <c r="AL110" s="136">
        <v>45309</v>
      </c>
      <c r="AM110" s="2" t="s">
        <v>3289</v>
      </c>
      <c r="AN110" s="2"/>
      <c r="AO110" s="2" t="s">
        <v>2766</v>
      </c>
      <c r="AP110" s="2" t="s">
        <v>2766</v>
      </c>
      <c r="AQ110" s="136"/>
    </row>
    <row r="111" spans="1:43" s="115" customFormat="1" ht="12.75" hidden="1" customHeight="1" x14ac:dyDescent="0.2">
      <c r="A111" s="2">
        <v>2140</v>
      </c>
      <c r="B111" s="2" t="s">
        <v>54</v>
      </c>
      <c r="C111" s="2" t="s">
        <v>96</v>
      </c>
      <c r="D111" s="2" t="s">
        <v>3341</v>
      </c>
      <c r="E111" s="2" t="s">
        <v>3318</v>
      </c>
      <c r="F111" s="2" t="s">
        <v>110</v>
      </c>
      <c r="G111" s="2">
        <v>618</v>
      </c>
      <c r="H111" s="132">
        <v>2773.75</v>
      </c>
      <c r="I111" s="132">
        <v>2773.75</v>
      </c>
      <c r="J111" s="132"/>
      <c r="K111" s="132">
        <f>423.12+2350.63</f>
        <v>2773.75</v>
      </c>
      <c r="L111" s="132">
        <f t="shared" si="14"/>
        <v>0</v>
      </c>
      <c r="M111" s="132">
        <f t="shared" si="15"/>
        <v>0</v>
      </c>
      <c r="N111" s="133"/>
      <c r="O111" s="133">
        <f t="shared" si="16"/>
        <v>0</v>
      </c>
      <c r="P111" s="134">
        <v>0</v>
      </c>
      <c r="Q111" s="133"/>
      <c r="R111" s="133"/>
      <c r="S111" s="153">
        <v>0</v>
      </c>
      <c r="T111" s="153">
        <v>0</v>
      </c>
      <c r="U111" s="153">
        <v>0</v>
      </c>
      <c r="V111" s="135"/>
      <c r="W111" s="135"/>
      <c r="X111" s="135"/>
      <c r="Y111" s="135"/>
      <c r="Z111" s="135"/>
      <c r="AA111" s="135"/>
      <c r="AB111" s="135">
        <f t="shared" si="20"/>
        <v>0</v>
      </c>
      <c r="AC111" s="135"/>
      <c r="AD111" s="133"/>
      <c r="AE111" s="133"/>
      <c r="AF111" s="132" t="str">
        <f t="shared" si="18"/>
        <v>Нет инфо</v>
      </c>
      <c r="AG111" s="132" t="str">
        <f t="shared" si="19"/>
        <v>Нет инфо</v>
      </c>
      <c r="AH111" s="2" t="s">
        <v>112</v>
      </c>
      <c r="AI111" s="136">
        <v>45405</v>
      </c>
      <c r="AJ111" s="2" t="s">
        <v>145</v>
      </c>
      <c r="AK111" s="136" t="s">
        <v>18</v>
      </c>
      <c r="AL111" s="136">
        <v>45309</v>
      </c>
      <c r="AM111" s="2" t="s">
        <v>3289</v>
      </c>
      <c r="AN111" s="2"/>
      <c r="AO111" s="2" t="s">
        <v>2766</v>
      </c>
      <c r="AP111" s="2" t="s">
        <v>2766</v>
      </c>
      <c r="AQ111" s="136"/>
    </row>
    <row r="112" spans="1:43" s="115" customFormat="1" ht="12.75" hidden="1" customHeight="1" x14ac:dyDescent="0.2">
      <c r="A112" s="2">
        <v>2141</v>
      </c>
      <c r="B112" s="2" t="s">
        <v>54</v>
      </c>
      <c r="C112" s="2" t="s">
        <v>96</v>
      </c>
      <c r="D112" s="2" t="s">
        <v>3342</v>
      </c>
      <c r="E112" s="2" t="s">
        <v>3319</v>
      </c>
      <c r="F112" s="2" t="s">
        <v>110</v>
      </c>
      <c r="G112" s="2">
        <v>618</v>
      </c>
      <c r="H112" s="132">
        <v>1454.25</v>
      </c>
      <c r="I112" s="132">
        <v>1454.25</v>
      </c>
      <c r="J112" s="132"/>
      <c r="K112" s="132">
        <f>221.84+1232.41</f>
        <v>1454.25</v>
      </c>
      <c r="L112" s="132">
        <f t="shared" si="14"/>
        <v>0</v>
      </c>
      <c r="M112" s="132">
        <f t="shared" si="15"/>
        <v>0</v>
      </c>
      <c r="N112" s="133"/>
      <c r="O112" s="133">
        <f t="shared" si="16"/>
        <v>0</v>
      </c>
      <c r="P112" s="134">
        <v>0</v>
      </c>
      <c r="Q112" s="133"/>
      <c r="R112" s="133"/>
      <c r="S112" s="153">
        <v>0</v>
      </c>
      <c r="T112" s="153">
        <v>0</v>
      </c>
      <c r="U112" s="153">
        <v>0</v>
      </c>
      <c r="V112" s="135"/>
      <c r="W112" s="135"/>
      <c r="X112" s="135"/>
      <c r="Y112" s="135"/>
      <c r="Z112" s="135"/>
      <c r="AA112" s="135"/>
      <c r="AB112" s="135">
        <f t="shared" si="20"/>
        <v>0</v>
      </c>
      <c r="AC112" s="135"/>
      <c r="AD112" s="133"/>
      <c r="AE112" s="133"/>
      <c r="AF112" s="132" t="str">
        <f t="shared" si="18"/>
        <v>Нет инфо</v>
      </c>
      <c r="AG112" s="132" t="str">
        <f t="shared" si="19"/>
        <v>Нет инфо</v>
      </c>
      <c r="AH112" s="2" t="s">
        <v>112</v>
      </c>
      <c r="AI112" s="136">
        <v>45405</v>
      </c>
      <c r="AJ112" s="2" t="s">
        <v>145</v>
      </c>
      <c r="AK112" s="136" t="s">
        <v>18</v>
      </c>
      <c r="AL112" s="136">
        <v>45309</v>
      </c>
      <c r="AM112" s="2" t="s">
        <v>3289</v>
      </c>
      <c r="AN112" s="2"/>
      <c r="AO112" s="2" t="s">
        <v>2766</v>
      </c>
      <c r="AP112" s="2" t="s">
        <v>2766</v>
      </c>
      <c r="AQ112" s="136"/>
    </row>
    <row r="113" spans="1:43" s="115" customFormat="1" ht="12.75" hidden="1" customHeight="1" x14ac:dyDescent="0.2">
      <c r="A113" s="2">
        <v>2142</v>
      </c>
      <c r="B113" s="2" t="s">
        <v>54</v>
      </c>
      <c r="C113" s="2" t="s">
        <v>96</v>
      </c>
      <c r="D113" s="2" t="s">
        <v>3343</v>
      </c>
      <c r="E113" s="2" t="s">
        <v>3320</v>
      </c>
      <c r="F113" s="2" t="s">
        <v>110</v>
      </c>
      <c r="G113" s="2">
        <v>618</v>
      </c>
      <c r="H113" s="132">
        <v>1858.5</v>
      </c>
      <c r="I113" s="132">
        <v>1858.5</v>
      </c>
      <c r="J113" s="132"/>
      <c r="K113" s="132">
        <f>283.5+1575</f>
        <v>1858.5</v>
      </c>
      <c r="L113" s="132">
        <f t="shared" si="14"/>
        <v>0</v>
      </c>
      <c r="M113" s="132">
        <f t="shared" si="15"/>
        <v>0</v>
      </c>
      <c r="N113" s="133"/>
      <c r="O113" s="133">
        <f t="shared" si="16"/>
        <v>0</v>
      </c>
      <c r="P113" s="134">
        <v>0</v>
      </c>
      <c r="Q113" s="133"/>
      <c r="R113" s="133"/>
      <c r="S113" s="153">
        <v>0</v>
      </c>
      <c r="T113" s="153">
        <v>0</v>
      </c>
      <c r="U113" s="153">
        <v>0</v>
      </c>
      <c r="V113" s="135"/>
      <c r="W113" s="135"/>
      <c r="X113" s="135"/>
      <c r="Y113" s="135"/>
      <c r="Z113" s="135"/>
      <c r="AA113" s="135"/>
      <c r="AB113" s="135">
        <f t="shared" si="20"/>
        <v>0</v>
      </c>
      <c r="AC113" s="135"/>
      <c r="AD113" s="133"/>
      <c r="AE113" s="133"/>
      <c r="AF113" s="132" t="str">
        <f t="shared" ref="AF113:AF144" si="21">IF(OR(I113="",I113=0,N113="",N113=0),"Нет инфо",I113/N113)</f>
        <v>Нет инфо</v>
      </c>
      <c r="AG113" s="132" t="str">
        <f t="shared" ref="AG113:AG144" si="22">IF(OR(I113="",I113=0,R113="",R113=0),"Нет инфо",I113/R113)</f>
        <v>Нет инфо</v>
      </c>
      <c r="AH113" s="2" t="s">
        <v>112</v>
      </c>
      <c r="AI113" s="136">
        <v>45405</v>
      </c>
      <c r="AJ113" s="2" t="s">
        <v>145</v>
      </c>
      <c r="AK113" s="136" t="s">
        <v>18</v>
      </c>
      <c r="AL113" s="136">
        <v>45309</v>
      </c>
      <c r="AM113" s="2" t="s">
        <v>3289</v>
      </c>
      <c r="AN113" s="2"/>
      <c r="AO113" s="2" t="s">
        <v>2766</v>
      </c>
      <c r="AP113" s="2" t="s">
        <v>2766</v>
      </c>
      <c r="AQ113" s="136"/>
    </row>
    <row r="114" spans="1:43" s="115" customFormat="1" ht="12.75" hidden="1" customHeight="1" x14ac:dyDescent="0.2">
      <c r="A114" s="2">
        <v>2143</v>
      </c>
      <c r="B114" s="2" t="s">
        <v>54</v>
      </c>
      <c r="C114" s="2" t="s">
        <v>96</v>
      </c>
      <c r="D114" s="2" t="s">
        <v>3344</v>
      </c>
      <c r="E114" s="2" t="s">
        <v>3321</v>
      </c>
      <c r="F114" s="2" t="s">
        <v>110</v>
      </c>
      <c r="G114" s="2">
        <v>618</v>
      </c>
      <c r="H114" s="132">
        <v>1884.75</v>
      </c>
      <c r="I114" s="132">
        <v>1884.75</v>
      </c>
      <c r="J114" s="132"/>
      <c r="K114" s="132">
        <f>287.504+1597.246</f>
        <v>1884.75</v>
      </c>
      <c r="L114" s="132">
        <f t="shared" si="14"/>
        <v>0</v>
      </c>
      <c r="M114" s="132">
        <f t="shared" si="15"/>
        <v>0</v>
      </c>
      <c r="N114" s="133"/>
      <c r="O114" s="133">
        <f t="shared" si="16"/>
        <v>0</v>
      </c>
      <c r="P114" s="134">
        <v>0</v>
      </c>
      <c r="Q114" s="133"/>
      <c r="R114" s="133"/>
      <c r="S114" s="153">
        <v>0</v>
      </c>
      <c r="T114" s="153">
        <v>0</v>
      </c>
      <c r="U114" s="153">
        <v>0</v>
      </c>
      <c r="V114" s="135"/>
      <c r="W114" s="135"/>
      <c r="X114" s="135"/>
      <c r="Y114" s="135"/>
      <c r="Z114" s="135"/>
      <c r="AA114" s="135"/>
      <c r="AB114" s="135">
        <f t="shared" si="20"/>
        <v>0</v>
      </c>
      <c r="AC114" s="135"/>
      <c r="AD114" s="133"/>
      <c r="AE114" s="133"/>
      <c r="AF114" s="132" t="str">
        <f t="shared" si="21"/>
        <v>Нет инфо</v>
      </c>
      <c r="AG114" s="132" t="str">
        <f t="shared" si="22"/>
        <v>Нет инфо</v>
      </c>
      <c r="AH114" s="2" t="s">
        <v>112</v>
      </c>
      <c r="AI114" s="136">
        <v>45405</v>
      </c>
      <c r="AJ114" s="2" t="s">
        <v>145</v>
      </c>
      <c r="AK114" s="136" t="s">
        <v>18</v>
      </c>
      <c r="AL114" s="136">
        <v>45309</v>
      </c>
      <c r="AM114" s="2" t="s">
        <v>3289</v>
      </c>
      <c r="AN114" s="2"/>
      <c r="AO114" s="2" t="s">
        <v>2766</v>
      </c>
      <c r="AP114" s="2" t="s">
        <v>2766</v>
      </c>
      <c r="AQ114" s="136"/>
    </row>
    <row r="115" spans="1:43" s="115" customFormat="1" ht="12.75" hidden="1" customHeight="1" x14ac:dyDescent="0.2">
      <c r="A115" s="2">
        <v>2144</v>
      </c>
      <c r="B115" s="2" t="s">
        <v>54</v>
      </c>
      <c r="C115" s="2" t="s">
        <v>96</v>
      </c>
      <c r="D115" s="2" t="s">
        <v>3344</v>
      </c>
      <c r="E115" s="2" t="s">
        <v>3321</v>
      </c>
      <c r="F115" s="2" t="s">
        <v>71</v>
      </c>
      <c r="G115" s="2">
        <v>618</v>
      </c>
      <c r="H115" s="132">
        <v>0</v>
      </c>
      <c r="I115" s="132">
        <f>50000+15000+11189.42</f>
        <v>76189.42</v>
      </c>
      <c r="J115" s="132">
        <f>50000+15000+11189.42</f>
        <v>76189.42</v>
      </c>
      <c r="K115" s="132">
        <f>7627.12+2288.135+Y115+11189.425</f>
        <v>76189.42</v>
      </c>
      <c r="L115" s="132">
        <f t="shared" si="14"/>
        <v>-76189.42</v>
      </c>
      <c r="M115" s="132">
        <f t="shared" si="15"/>
        <v>0</v>
      </c>
      <c r="N115" s="133">
        <v>1264</v>
      </c>
      <c r="O115" s="133">
        <f t="shared" si="16"/>
        <v>0</v>
      </c>
      <c r="P115" s="134">
        <v>0</v>
      </c>
      <c r="Q115" s="133"/>
      <c r="R115" s="133"/>
      <c r="S115" s="153">
        <v>0</v>
      </c>
      <c r="T115" s="153">
        <v>0</v>
      </c>
      <c r="U115" s="153">
        <v>0</v>
      </c>
      <c r="V115" s="135"/>
      <c r="W115" s="135"/>
      <c r="X115" s="135"/>
      <c r="Y115" s="135">
        <f>42372.88+12711.86</f>
        <v>55084.74</v>
      </c>
      <c r="Z115" s="135">
        <f>4599.2+1278.24</f>
        <v>5877.44</v>
      </c>
      <c r="AA115" s="135">
        <v>0</v>
      </c>
      <c r="AB115" s="140">
        <f>IF(AJ115="Принят",(J115/1.18-W115-Z115)*0.1,J115/1.18*0.8*0.1)-AA115</f>
        <v>5868.9865084745761</v>
      </c>
      <c r="AC115" s="135"/>
      <c r="AD115" s="133"/>
      <c r="AE115" s="133"/>
      <c r="AF115" s="132">
        <f t="shared" si="21"/>
        <v>60.276439873417722</v>
      </c>
      <c r="AG115" s="132" t="str">
        <f t="shared" si="22"/>
        <v>Нет инфо</v>
      </c>
      <c r="AH115" s="2" t="s">
        <v>11</v>
      </c>
      <c r="AI115" s="136">
        <v>45503</v>
      </c>
      <c r="AJ115" s="2" t="s">
        <v>109</v>
      </c>
      <c r="AK115" s="136" t="s">
        <v>18</v>
      </c>
      <c r="AL115" s="136">
        <v>45303</v>
      </c>
      <c r="AM115" s="2" t="s">
        <v>3358</v>
      </c>
      <c r="AN115" s="2"/>
      <c r="AO115" s="2" t="s">
        <v>2766</v>
      </c>
      <c r="AP115" s="2" t="s">
        <v>2766</v>
      </c>
      <c r="AQ115" s="136"/>
    </row>
    <row r="116" spans="1:43" s="115" customFormat="1" ht="12.75" hidden="1" customHeight="1" x14ac:dyDescent="0.2">
      <c r="A116" s="2">
        <v>2145</v>
      </c>
      <c r="B116" s="2" t="s">
        <v>54</v>
      </c>
      <c r="C116" s="2" t="s">
        <v>96</v>
      </c>
      <c r="D116" s="2" t="s">
        <v>3341</v>
      </c>
      <c r="E116" s="2" t="s">
        <v>3318</v>
      </c>
      <c r="F116" s="2" t="s">
        <v>71</v>
      </c>
      <c r="G116" s="2">
        <v>618</v>
      </c>
      <c r="H116" s="132">
        <v>0</v>
      </c>
      <c r="I116" s="132">
        <f>60000+10000+20997.1</f>
        <v>90997.1</v>
      </c>
      <c r="J116" s="132">
        <f>60000+10000+20997.1</f>
        <v>90997.1</v>
      </c>
      <c r="K116" s="132">
        <f>9152.54+1525.424+Y116+20997.096</f>
        <v>90997.1</v>
      </c>
      <c r="L116" s="132">
        <f t="shared" si="14"/>
        <v>-90997.1</v>
      </c>
      <c r="M116" s="132">
        <f t="shared" si="15"/>
        <v>0</v>
      </c>
      <c r="N116" s="133">
        <v>1927</v>
      </c>
      <c r="O116" s="133">
        <f t="shared" si="16"/>
        <v>0</v>
      </c>
      <c r="P116" s="134">
        <v>0</v>
      </c>
      <c r="Q116" s="133"/>
      <c r="R116" s="133"/>
      <c r="S116" s="153">
        <v>0</v>
      </c>
      <c r="T116" s="153">
        <v>0</v>
      </c>
      <c r="U116" s="153">
        <v>0</v>
      </c>
      <c r="V116" s="135"/>
      <c r="W116" s="135"/>
      <c r="X116" s="135"/>
      <c r="Y116" s="135">
        <f>50847.46+8474.58</f>
        <v>59322.04</v>
      </c>
      <c r="Z116" s="135">
        <f>5519.04+852.16</f>
        <v>6371.2</v>
      </c>
      <c r="AA116" s="135">
        <v>0</v>
      </c>
      <c r="AB116" s="140">
        <f t="shared" ref="AB116:AB126" si="23">IF(AJ116="Принят",(J116/1.18-W116-Z116)*0.1,J116/1.18*0.8*0.1)-AA116</f>
        <v>7074.4986440677985</v>
      </c>
      <c r="AC116" s="135"/>
      <c r="AD116" s="133"/>
      <c r="AE116" s="133"/>
      <c r="AF116" s="132">
        <f t="shared" si="21"/>
        <v>47.22215879605605</v>
      </c>
      <c r="AG116" s="132" t="str">
        <f t="shared" si="22"/>
        <v>Нет инфо</v>
      </c>
      <c r="AH116" s="2" t="s">
        <v>11</v>
      </c>
      <c r="AI116" s="136">
        <v>45503</v>
      </c>
      <c r="AJ116" s="2" t="s">
        <v>109</v>
      </c>
      <c r="AK116" s="136" t="s">
        <v>18</v>
      </c>
      <c r="AL116" s="136">
        <v>45303</v>
      </c>
      <c r="AM116" s="2" t="s">
        <v>3358</v>
      </c>
      <c r="AN116" s="2"/>
      <c r="AO116" s="2" t="s">
        <v>2766</v>
      </c>
      <c r="AP116" s="2" t="s">
        <v>2766</v>
      </c>
      <c r="AQ116" s="136"/>
    </row>
    <row r="117" spans="1:43" s="115" customFormat="1" ht="12.75" hidden="1" customHeight="1" x14ac:dyDescent="0.2">
      <c r="A117" s="2">
        <v>2146</v>
      </c>
      <c r="B117" s="2" t="s">
        <v>54</v>
      </c>
      <c r="C117" s="2" t="s">
        <v>96</v>
      </c>
      <c r="D117" s="2" t="s">
        <v>3331</v>
      </c>
      <c r="E117" s="2" t="s">
        <v>3315</v>
      </c>
      <c r="F117" s="2" t="s">
        <v>71</v>
      </c>
      <c r="G117" s="102">
        <v>647</v>
      </c>
      <c r="H117" s="132">
        <v>0</v>
      </c>
      <c r="I117" s="132">
        <f>20000+10676.29</f>
        <v>30676.29</v>
      </c>
      <c r="J117" s="132">
        <f>20000+10676.29</f>
        <v>30676.29</v>
      </c>
      <c r="K117" s="132">
        <f>3050.85+Y117+10676.29</f>
        <v>30676.29</v>
      </c>
      <c r="L117" s="132">
        <f t="shared" si="14"/>
        <v>-30676.29</v>
      </c>
      <c r="M117" s="132">
        <f t="shared" si="15"/>
        <v>0</v>
      </c>
      <c r="N117" s="133">
        <v>330</v>
      </c>
      <c r="O117" s="133">
        <f t="shared" si="16"/>
        <v>0</v>
      </c>
      <c r="P117" s="134">
        <v>0</v>
      </c>
      <c r="Q117" s="133"/>
      <c r="R117" s="133"/>
      <c r="S117" s="153">
        <v>0</v>
      </c>
      <c r="T117" s="153">
        <v>0</v>
      </c>
      <c r="U117" s="153">
        <v>0</v>
      </c>
      <c r="V117" s="135"/>
      <c r="W117" s="135"/>
      <c r="X117" s="135"/>
      <c r="Y117" s="135">
        <v>16949.150000000001</v>
      </c>
      <c r="Z117" s="135">
        <v>1839.68</v>
      </c>
      <c r="AA117" s="135">
        <v>0</v>
      </c>
      <c r="AB117" s="140">
        <f t="shared" si="23"/>
        <v>2415.717593220339</v>
      </c>
      <c r="AC117" s="135"/>
      <c r="AD117" s="133"/>
      <c r="AE117" s="133"/>
      <c r="AF117" s="132">
        <f t="shared" si="21"/>
        <v>92.958454545454543</v>
      </c>
      <c r="AG117" s="132" t="str">
        <f t="shared" si="22"/>
        <v>Нет инфо</v>
      </c>
      <c r="AH117" s="2" t="s">
        <v>11</v>
      </c>
      <c r="AI117" s="136">
        <v>45503</v>
      </c>
      <c r="AJ117" s="2" t="s">
        <v>109</v>
      </c>
      <c r="AK117" s="136" t="s">
        <v>18</v>
      </c>
      <c r="AL117" s="136">
        <v>45303</v>
      </c>
      <c r="AM117" s="2" t="s">
        <v>3359</v>
      </c>
      <c r="AN117" s="2"/>
      <c r="AO117" s="2" t="s">
        <v>3282</v>
      </c>
      <c r="AP117" s="2" t="s">
        <v>3282</v>
      </c>
      <c r="AQ117" s="136"/>
    </row>
    <row r="118" spans="1:43" s="115" customFormat="1" ht="12.75" hidden="1" customHeight="1" x14ac:dyDescent="0.2">
      <c r="A118" s="2">
        <v>2147</v>
      </c>
      <c r="B118" s="2" t="s">
        <v>54</v>
      </c>
      <c r="C118" s="2" t="s">
        <v>96</v>
      </c>
      <c r="D118" s="2" t="s">
        <v>3336</v>
      </c>
      <c r="E118" s="2" t="s">
        <v>3310</v>
      </c>
      <c r="F118" s="2" t="s">
        <v>71</v>
      </c>
      <c r="G118" s="2">
        <v>647</v>
      </c>
      <c r="H118" s="132">
        <v>0</v>
      </c>
      <c r="I118" s="132">
        <f>80000+10000+27077.26</f>
        <v>117077.26</v>
      </c>
      <c r="J118" s="132">
        <f>80000+10000+27077.26</f>
        <v>117077.26</v>
      </c>
      <c r="K118" s="132">
        <f>12203.39+1525.424+Y118+27077.256</f>
        <v>117077.26000000001</v>
      </c>
      <c r="L118" s="132">
        <f t="shared" si="14"/>
        <v>-117077.26000000001</v>
      </c>
      <c r="M118" s="132">
        <f t="shared" si="15"/>
        <v>0</v>
      </c>
      <c r="N118" s="133">
        <v>1421</v>
      </c>
      <c r="O118" s="133">
        <f t="shared" si="16"/>
        <v>-1.4551915228366852E-11</v>
      </c>
      <c r="P118" s="134">
        <v>0</v>
      </c>
      <c r="Q118" s="133"/>
      <c r="R118" s="133"/>
      <c r="S118" s="153">
        <v>0</v>
      </c>
      <c r="T118" s="153">
        <v>0</v>
      </c>
      <c r="U118" s="153">
        <v>0</v>
      </c>
      <c r="V118" s="135"/>
      <c r="W118" s="135"/>
      <c r="X118" s="135"/>
      <c r="Y118" s="135">
        <f>67796.61+8474.58+N("ორთავე თბს")</f>
        <v>76271.19</v>
      </c>
      <c r="Z118" s="135">
        <f>7358.72+852.16</f>
        <v>8210.880000000001</v>
      </c>
      <c r="AA118" s="135">
        <v>0</v>
      </c>
      <c r="AB118" s="140">
        <f t="shared" si="23"/>
        <v>9100.7136949152537</v>
      </c>
      <c r="AC118" s="135"/>
      <c r="AD118" s="133"/>
      <c r="AE118" s="133"/>
      <c r="AF118" s="132">
        <f t="shared" si="21"/>
        <v>82.39075299085151</v>
      </c>
      <c r="AG118" s="132" t="str">
        <f t="shared" si="22"/>
        <v>Нет инфо</v>
      </c>
      <c r="AH118" s="2" t="s">
        <v>11</v>
      </c>
      <c r="AI118" s="136">
        <v>45503</v>
      </c>
      <c r="AJ118" s="2" t="s">
        <v>109</v>
      </c>
      <c r="AK118" s="136" t="s">
        <v>18</v>
      </c>
      <c r="AL118" s="136">
        <v>45303</v>
      </c>
      <c r="AM118" s="2" t="s">
        <v>3359</v>
      </c>
      <c r="AN118" s="2"/>
      <c r="AO118" s="2" t="s">
        <v>3282</v>
      </c>
      <c r="AP118" s="2" t="s">
        <v>3282</v>
      </c>
      <c r="AQ118" s="136"/>
    </row>
    <row r="119" spans="1:43" s="115" customFormat="1" ht="12.75" hidden="1" customHeight="1" x14ac:dyDescent="0.2">
      <c r="A119" s="2">
        <v>2148</v>
      </c>
      <c r="B119" s="2" t="s">
        <v>54</v>
      </c>
      <c r="C119" s="2" t="s">
        <v>96</v>
      </c>
      <c r="D119" s="2" t="s">
        <v>3329</v>
      </c>
      <c r="E119" s="2" t="s">
        <v>3306</v>
      </c>
      <c r="F119" s="2" t="s">
        <v>71</v>
      </c>
      <c r="G119" s="2">
        <v>647</v>
      </c>
      <c r="H119" s="132">
        <v>0</v>
      </c>
      <c r="I119" s="132">
        <f>120000+10000+25861.86</f>
        <v>155861.85999999999</v>
      </c>
      <c r="J119" s="132">
        <f>120000+10000+25861.86</f>
        <v>155861.85999999999</v>
      </c>
      <c r="K119" s="132">
        <f>18305.08+1525.424+Y119+25861.856</f>
        <v>155861.85999999999</v>
      </c>
      <c r="L119" s="132">
        <f t="shared" si="14"/>
        <v>-155861.85999999999</v>
      </c>
      <c r="M119" s="132">
        <f t="shared" si="15"/>
        <v>0</v>
      </c>
      <c r="N119" s="133">
        <v>3283</v>
      </c>
      <c r="O119" s="133">
        <f t="shared" si="16"/>
        <v>0</v>
      </c>
      <c r="P119" s="134">
        <v>0</v>
      </c>
      <c r="Q119" s="133"/>
      <c r="R119" s="133"/>
      <c r="S119" s="153">
        <v>0</v>
      </c>
      <c r="T119" s="153">
        <v>0</v>
      </c>
      <c r="U119" s="153">
        <v>0</v>
      </c>
      <c r="V119" s="135"/>
      <c r="W119" s="135"/>
      <c r="X119" s="135"/>
      <c r="Y119" s="135">
        <f>101694.92+8474.58</f>
        <v>110169.5</v>
      </c>
      <c r="Z119" s="135">
        <f>11038.08+852.16</f>
        <v>11890.24</v>
      </c>
      <c r="AA119" s="135">
        <v>0</v>
      </c>
      <c r="AB119" s="140">
        <f t="shared" si="23"/>
        <v>12019.608203389829</v>
      </c>
      <c r="AC119" s="135"/>
      <c r="AD119" s="133"/>
      <c r="AE119" s="133"/>
      <c r="AF119" s="132">
        <f t="shared" si="21"/>
        <v>47.475437100213213</v>
      </c>
      <c r="AG119" s="132" t="str">
        <f t="shared" si="22"/>
        <v>Нет инфо</v>
      </c>
      <c r="AH119" s="2" t="s">
        <v>11</v>
      </c>
      <c r="AI119" s="136">
        <v>45503</v>
      </c>
      <c r="AJ119" s="2" t="s">
        <v>109</v>
      </c>
      <c r="AK119" s="136" t="s">
        <v>18</v>
      </c>
      <c r="AL119" s="136">
        <v>45303</v>
      </c>
      <c r="AM119" s="2" t="s">
        <v>3359</v>
      </c>
      <c r="AN119" s="2"/>
      <c r="AO119" s="2" t="s">
        <v>3282</v>
      </c>
      <c r="AP119" s="2" t="s">
        <v>3282</v>
      </c>
      <c r="AQ119" s="136"/>
    </row>
    <row r="120" spans="1:43" s="115" customFormat="1" ht="12.75" hidden="1" customHeight="1" x14ac:dyDescent="0.2">
      <c r="A120" s="2">
        <v>2149</v>
      </c>
      <c r="B120" s="2" t="s">
        <v>54</v>
      </c>
      <c r="C120" s="2" t="s">
        <v>96</v>
      </c>
      <c r="D120" s="2" t="s">
        <v>3325</v>
      </c>
      <c r="E120" s="2" t="s">
        <v>3302</v>
      </c>
      <c r="F120" s="2" t="s">
        <v>71</v>
      </c>
      <c r="G120" s="2">
        <v>647</v>
      </c>
      <c r="H120" s="132">
        <v>0</v>
      </c>
      <c r="I120" s="132">
        <f>70000+20000+10845.6</f>
        <v>100845.6</v>
      </c>
      <c r="J120" s="132">
        <f>70000+20000+10845.6</f>
        <v>100845.6</v>
      </c>
      <c r="K120" s="132">
        <f>10677.97+3050.85+Y120+10845.6</f>
        <v>100845.6</v>
      </c>
      <c r="L120" s="132">
        <f t="shared" si="14"/>
        <v>-100845.6</v>
      </c>
      <c r="M120" s="132">
        <f t="shared" si="15"/>
        <v>0</v>
      </c>
      <c r="N120" s="133">
        <v>1455</v>
      </c>
      <c r="O120" s="133">
        <f t="shared" si="16"/>
        <v>0</v>
      </c>
      <c r="P120" s="134">
        <v>0</v>
      </c>
      <c r="Q120" s="133"/>
      <c r="R120" s="133"/>
      <c r="S120" s="153">
        <v>0</v>
      </c>
      <c r="T120" s="153">
        <v>0</v>
      </c>
      <c r="U120" s="153">
        <v>0</v>
      </c>
      <c r="V120" s="135"/>
      <c r="W120" s="135"/>
      <c r="X120" s="135"/>
      <c r="Y120" s="135">
        <f>59322.03+16949.15</f>
        <v>76271.179999999993</v>
      </c>
      <c r="Z120" s="135">
        <f>6438.88+1704.32</f>
        <v>8143.2</v>
      </c>
      <c r="AA120" s="135">
        <v>0</v>
      </c>
      <c r="AB120" s="140">
        <f t="shared" si="23"/>
        <v>7731.9172881355953</v>
      </c>
      <c r="AC120" s="135"/>
      <c r="AD120" s="133"/>
      <c r="AE120" s="133"/>
      <c r="AF120" s="132">
        <f t="shared" si="21"/>
        <v>69.309690721649488</v>
      </c>
      <c r="AG120" s="132" t="str">
        <f t="shared" si="22"/>
        <v>Нет инфо</v>
      </c>
      <c r="AH120" s="2" t="s">
        <v>11</v>
      </c>
      <c r="AI120" s="136">
        <v>45503</v>
      </c>
      <c r="AJ120" s="2" t="s">
        <v>109</v>
      </c>
      <c r="AK120" s="136" t="s">
        <v>18</v>
      </c>
      <c r="AL120" s="136">
        <v>45303</v>
      </c>
      <c r="AM120" s="2" t="s">
        <v>3359</v>
      </c>
      <c r="AN120" s="2"/>
      <c r="AO120" s="2" t="s">
        <v>3282</v>
      </c>
      <c r="AP120" s="2" t="s">
        <v>3282</v>
      </c>
      <c r="AQ120" s="136"/>
    </row>
    <row r="121" spans="1:43" s="115" customFormat="1" ht="12.75" hidden="1" customHeight="1" x14ac:dyDescent="0.2">
      <c r="A121" s="2">
        <v>2150</v>
      </c>
      <c r="B121" s="2" t="s">
        <v>54</v>
      </c>
      <c r="C121" s="2" t="s">
        <v>96</v>
      </c>
      <c r="D121" s="2" t="s">
        <v>3323</v>
      </c>
      <c r="E121" s="2" t="s">
        <v>3300</v>
      </c>
      <c r="F121" s="2" t="s">
        <v>71</v>
      </c>
      <c r="G121" s="2">
        <v>647</v>
      </c>
      <c r="H121" s="132">
        <v>0</v>
      </c>
      <c r="I121" s="132">
        <f>50000+3000+2000+19030.25</f>
        <v>74030.25</v>
      </c>
      <c r="J121" s="132">
        <f>50000+3000+2000+19030.25</f>
        <v>74030.25</v>
      </c>
      <c r="K121" s="132">
        <f>Y121+7627.12+457.63+305.08+19030.25</f>
        <v>74030.25</v>
      </c>
      <c r="L121" s="132">
        <f t="shared" si="14"/>
        <v>-74030.25</v>
      </c>
      <c r="M121" s="132">
        <f t="shared" si="15"/>
        <v>0</v>
      </c>
      <c r="N121" s="133">
        <v>1181</v>
      </c>
      <c r="O121" s="133">
        <f t="shared" si="16"/>
        <v>0</v>
      </c>
      <c r="P121" s="134">
        <v>0</v>
      </c>
      <c r="Q121" s="133"/>
      <c r="R121" s="133"/>
      <c r="S121" s="153">
        <v>0</v>
      </c>
      <c r="T121" s="153">
        <v>0</v>
      </c>
      <c r="U121" s="153">
        <v>0</v>
      </c>
      <c r="V121" s="135"/>
      <c r="W121" s="135"/>
      <c r="X121" s="135"/>
      <c r="Y121" s="135">
        <f>42372.88+2542.37+1694.92</f>
        <v>46610.17</v>
      </c>
      <c r="Z121" s="135">
        <f>4260.8+198.43+111.98</f>
        <v>4571.21</v>
      </c>
      <c r="AA121" s="135">
        <v>0</v>
      </c>
      <c r="AB121" s="140">
        <f t="shared" si="23"/>
        <v>5816.6290000000008</v>
      </c>
      <c r="AC121" s="135"/>
      <c r="AD121" s="133"/>
      <c r="AE121" s="133"/>
      <c r="AF121" s="132">
        <f t="shared" si="21"/>
        <v>62.684377646062657</v>
      </c>
      <c r="AG121" s="132" t="str">
        <f t="shared" si="22"/>
        <v>Нет инфо</v>
      </c>
      <c r="AH121" s="2" t="s">
        <v>11</v>
      </c>
      <c r="AI121" s="136">
        <v>45572</v>
      </c>
      <c r="AJ121" s="2" t="s">
        <v>109</v>
      </c>
      <c r="AK121" s="136" t="s">
        <v>18</v>
      </c>
      <c r="AL121" s="136">
        <v>45303</v>
      </c>
      <c r="AM121" s="2" t="s">
        <v>3359</v>
      </c>
      <c r="AN121" s="2"/>
      <c r="AO121" s="2" t="s">
        <v>3282</v>
      </c>
      <c r="AP121" s="2" t="s">
        <v>3282</v>
      </c>
      <c r="AQ121" s="136"/>
    </row>
    <row r="122" spans="1:43" s="115" customFormat="1" ht="12.75" hidden="1" customHeight="1" x14ac:dyDescent="0.2">
      <c r="A122" s="2">
        <v>2151</v>
      </c>
      <c r="B122" s="2" t="s">
        <v>54</v>
      </c>
      <c r="C122" s="2" t="s">
        <v>96</v>
      </c>
      <c r="D122" s="2" t="s">
        <v>3326</v>
      </c>
      <c r="E122" s="2" t="s">
        <v>3303</v>
      </c>
      <c r="F122" s="2" t="s">
        <v>71</v>
      </c>
      <c r="G122" s="2">
        <v>647</v>
      </c>
      <c r="H122" s="132">
        <v>0</v>
      </c>
      <c r="I122" s="132">
        <f>20000+18201.5</f>
        <v>38201.5</v>
      </c>
      <c r="J122" s="132">
        <f>20000+18201.5</f>
        <v>38201.5</v>
      </c>
      <c r="K122" s="132">
        <f>3050.85+Y122+18201.5</f>
        <v>38201.5</v>
      </c>
      <c r="L122" s="132">
        <f t="shared" si="14"/>
        <v>-38201.5</v>
      </c>
      <c r="M122" s="132">
        <f t="shared" si="15"/>
        <v>0</v>
      </c>
      <c r="N122" s="133">
        <v>656</v>
      </c>
      <c r="O122" s="133">
        <f t="shared" si="16"/>
        <v>0</v>
      </c>
      <c r="P122" s="134">
        <v>0</v>
      </c>
      <c r="Q122" s="133"/>
      <c r="R122" s="133"/>
      <c r="S122" s="153">
        <v>0</v>
      </c>
      <c r="T122" s="153">
        <v>0</v>
      </c>
      <c r="U122" s="153">
        <v>0</v>
      </c>
      <c r="V122" s="135"/>
      <c r="W122" s="135"/>
      <c r="X122" s="135"/>
      <c r="Y122" s="135">
        <v>16949.150000000001</v>
      </c>
      <c r="Z122" s="135">
        <v>1704.32</v>
      </c>
      <c r="AA122" s="135">
        <v>0</v>
      </c>
      <c r="AB122" s="140">
        <f t="shared" si="23"/>
        <v>3066.9832542372883</v>
      </c>
      <c r="AC122" s="135"/>
      <c r="AD122" s="133"/>
      <c r="AE122" s="133"/>
      <c r="AF122" s="132">
        <f t="shared" si="21"/>
        <v>58.233993902439025</v>
      </c>
      <c r="AG122" s="132" t="str">
        <f t="shared" si="22"/>
        <v>Нет инфо</v>
      </c>
      <c r="AH122" s="2" t="s">
        <v>11</v>
      </c>
      <c r="AI122" s="136">
        <v>45503</v>
      </c>
      <c r="AJ122" s="2" t="s">
        <v>109</v>
      </c>
      <c r="AK122" s="136" t="s">
        <v>18</v>
      </c>
      <c r="AL122" s="136">
        <v>45303</v>
      </c>
      <c r="AM122" s="2" t="s">
        <v>3359</v>
      </c>
      <c r="AN122" s="2"/>
      <c r="AO122" s="2" t="s">
        <v>3282</v>
      </c>
      <c r="AP122" s="2" t="s">
        <v>3282</v>
      </c>
      <c r="AQ122" s="136"/>
    </row>
    <row r="123" spans="1:43" s="115" customFormat="1" ht="12.75" hidden="1" customHeight="1" x14ac:dyDescent="0.2">
      <c r="A123" s="2">
        <v>2152</v>
      </c>
      <c r="B123" s="2" t="s">
        <v>54</v>
      </c>
      <c r="C123" s="2" t="s">
        <v>96</v>
      </c>
      <c r="D123" s="2" t="s">
        <v>3324</v>
      </c>
      <c r="E123" s="2" t="s">
        <v>3301</v>
      </c>
      <c r="F123" s="2" t="s">
        <v>71</v>
      </c>
      <c r="G123" s="2">
        <v>647</v>
      </c>
      <c r="H123" s="132">
        <v>0</v>
      </c>
      <c r="I123" s="132">
        <f>50000+18414.95</f>
        <v>68414.95</v>
      </c>
      <c r="J123" s="132">
        <f>50000+18414.95</f>
        <v>68414.95</v>
      </c>
      <c r="K123" s="132">
        <f>7627.12+Y123+18414.95</f>
        <v>68414.95</v>
      </c>
      <c r="L123" s="132">
        <f t="shared" si="14"/>
        <v>-68414.95</v>
      </c>
      <c r="M123" s="132">
        <f t="shared" si="15"/>
        <v>0</v>
      </c>
      <c r="N123" s="133">
        <v>1101</v>
      </c>
      <c r="O123" s="133">
        <f t="shared" si="16"/>
        <v>0</v>
      </c>
      <c r="P123" s="134">
        <v>0</v>
      </c>
      <c r="Q123" s="133"/>
      <c r="R123" s="133"/>
      <c r="S123" s="153">
        <v>0</v>
      </c>
      <c r="T123" s="153">
        <v>0</v>
      </c>
      <c r="U123" s="153">
        <v>0</v>
      </c>
      <c r="V123" s="135"/>
      <c r="W123" s="135"/>
      <c r="X123" s="135"/>
      <c r="Y123" s="135">
        <v>42372.88</v>
      </c>
      <c r="Z123" s="135">
        <v>4260.8</v>
      </c>
      <c r="AA123" s="135">
        <v>0</v>
      </c>
      <c r="AB123" s="140">
        <f t="shared" si="23"/>
        <v>5371.7971186440682</v>
      </c>
      <c r="AC123" s="135"/>
      <c r="AD123" s="133"/>
      <c r="AE123" s="133"/>
      <c r="AF123" s="132">
        <f t="shared" si="21"/>
        <v>62.138919164396</v>
      </c>
      <c r="AG123" s="132" t="str">
        <f t="shared" si="22"/>
        <v>Нет инфо</v>
      </c>
      <c r="AH123" s="2" t="s">
        <v>11</v>
      </c>
      <c r="AI123" s="136">
        <v>45503</v>
      </c>
      <c r="AJ123" s="2" t="s">
        <v>109</v>
      </c>
      <c r="AK123" s="136" t="s">
        <v>18</v>
      </c>
      <c r="AL123" s="136">
        <v>45303</v>
      </c>
      <c r="AM123" s="2" t="s">
        <v>3359</v>
      </c>
      <c r="AN123" s="2"/>
      <c r="AO123" s="2" t="s">
        <v>3282</v>
      </c>
      <c r="AP123" s="2" t="s">
        <v>3282</v>
      </c>
      <c r="AQ123" s="136"/>
    </row>
    <row r="124" spans="1:43" s="115" customFormat="1" ht="12.75" hidden="1" customHeight="1" x14ac:dyDescent="0.2">
      <c r="A124" s="2">
        <v>2153</v>
      </c>
      <c r="B124" s="2" t="s">
        <v>54</v>
      </c>
      <c r="C124" s="2" t="s">
        <v>96</v>
      </c>
      <c r="D124" s="2" t="s">
        <v>3337</v>
      </c>
      <c r="E124" s="2" t="s">
        <v>3309</v>
      </c>
      <c r="F124" s="2" t="s">
        <v>71</v>
      </c>
      <c r="G124" s="2">
        <v>647</v>
      </c>
      <c r="H124" s="132">
        <v>0</v>
      </c>
      <c r="I124" s="132">
        <f>70000+29797.6</f>
        <v>99797.6</v>
      </c>
      <c r="J124" s="132">
        <f>70000+29797.6</f>
        <v>99797.6</v>
      </c>
      <c r="K124" s="132">
        <f>10677.966+Y124+29797.604</f>
        <v>99797.6</v>
      </c>
      <c r="L124" s="132">
        <f t="shared" si="14"/>
        <v>-99797.6</v>
      </c>
      <c r="M124" s="132">
        <f t="shared" si="15"/>
        <v>0</v>
      </c>
      <c r="N124" s="133">
        <v>1344</v>
      </c>
      <c r="O124" s="133">
        <f t="shared" si="16"/>
        <v>0</v>
      </c>
      <c r="P124" s="134">
        <v>0</v>
      </c>
      <c r="Q124" s="133"/>
      <c r="R124" s="133"/>
      <c r="S124" s="153">
        <v>0</v>
      </c>
      <c r="T124" s="153">
        <v>0</v>
      </c>
      <c r="U124" s="153">
        <v>0</v>
      </c>
      <c r="V124" s="135"/>
      <c r="W124" s="135"/>
      <c r="X124" s="135"/>
      <c r="Y124" s="135">
        <v>59322.03</v>
      </c>
      <c r="Z124" s="135">
        <v>5965.11</v>
      </c>
      <c r="AA124" s="135">
        <v>0</v>
      </c>
      <c r="AB124" s="140">
        <f t="shared" si="23"/>
        <v>7860.9127288135605</v>
      </c>
      <c r="AC124" s="135"/>
      <c r="AD124" s="133"/>
      <c r="AE124" s="133"/>
      <c r="AF124" s="132">
        <f t="shared" si="21"/>
        <v>74.254166666666677</v>
      </c>
      <c r="AG124" s="132" t="str">
        <f t="shared" si="22"/>
        <v>Нет инфо</v>
      </c>
      <c r="AH124" s="2" t="s">
        <v>11</v>
      </c>
      <c r="AI124" s="136">
        <v>45503</v>
      </c>
      <c r="AJ124" s="2" t="s">
        <v>109</v>
      </c>
      <c r="AK124" s="136" t="s">
        <v>18</v>
      </c>
      <c r="AL124" s="136">
        <v>45303</v>
      </c>
      <c r="AM124" s="2" t="s">
        <v>3359</v>
      </c>
      <c r="AN124" s="2"/>
      <c r="AO124" s="2" t="s">
        <v>3282</v>
      </c>
      <c r="AP124" s="2" t="s">
        <v>3282</v>
      </c>
      <c r="AQ124" s="136"/>
    </row>
    <row r="125" spans="1:43" s="115" customFormat="1" ht="12.75" hidden="1" customHeight="1" x14ac:dyDescent="0.2">
      <c r="A125" s="2">
        <v>2154</v>
      </c>
      <c r="B125" s="2" t="s">
        <v>54</v>
      </c>
      <c r="C125" s="2" t="s">
        <v>96</v>
      </c>
      <c r="D125" s="2" t="s">
        <v>3332</v>
      </c>
      <c r="E125" s="2" t="s">
        <v>3314</v>
      </c>
      <c r="F125" s="2" t="s">
        <v>71</v>
      </c>
      <c r="G125" s="2">
        <v>647</v>
      </c>
      <c r="H125" s="132">
        <v>0</v>
      </c>
      <c r="I125" s="132">
        <f>25000+7298.78</f>
        <v>32298.78</v>
      </c>
      <c r="J125" s="132">
        <f>25000+7298.78</f>
        <v>32298.78</v>
      </c>
      <c r="K125" s="132">
        <f>3813.559+Y125+7298.781</f>
        <v>32298.78</v>
      </c>
      <c r="L125" s="132">
        <f t="shared" si="14"/>
        <v>-32298.78</v>
      </c>
      <c r="M125" s="132">
        <f t="shared" si="15"/>
        <v>0</v>
      </c>
      <c r="N125" s="133">
        <v>375</v>
      </c>
      <c r="O125" s="133">
        <f t="shared" si="16"/>
        <v>0</v>
      </c>
      <c r="P125" s="134">
        <v>0</v>
      </c>
      <c r="Q125" s="133"/>
      <c r="R125" s="133"/>
      <c r="S125" s="153">
        <v>0</v>
      </c>
      <c r="T125" s="153">
        <v>0</v>
      </c>
      <c r="U125" s="153">
        <v>0</v>
      </c>
      <c r="V125" s="135"/>
      <c r="W125" s="135"/>
      <c r="X125" s="135"/>
      <c r="Y125" s="135">
        <v>21186.44</v>
      </c>
      <c r="Z125" s="135">
        <v>2130.4</v>
      </c>
      <c r="AA125" s="135">
        <v>0</v>
      </c>
      <c r="AB125" s="140">
        <f t="shared" si="23"/>
        <v>2524.1447457627119</v>
      </c>
      <c r="AC125" s="135"/>
      <c r="AD125" s="133"/>
      <c r="AE125" s="133"/>
      <c r="AF125" s="132">
        <f t="shared" si="21"/>
        <v>86.130079999999992</v>
      </c>
      <c r="AG125" s="132" t="str">
        <f t="shared" si="22"/>
        <v>Нет инфо</v>
      </c>
      <c r="AH125" s="2" t="s">
        <v>11</v>
      </c>
      <c r="AI125" s="136">
        <v>45503</v>
      </c>
      <c r="AJ125" s="2" t="s">
        <v>109</v>
      </c>
      <c r="AK125" s="136" t="s">
        <v>18</v>
      </c>
      <c r="AL125" s="136">
        <v>45303</v>
      </c>
      <c r="AM125" s="2" t="s">
        <v>3359</v>
      </c>
      <c r="AN125" s="2"/>
      <c r="AO125" s="2" t="s">
        <v>3282</v>
      </c>
      <c r="AP125" s="2" t="s">
        <v>3282</v>
      </c>
      <c r="AQ125" s="136"/>
    </row>
    <row r="126" spans="1:43" s="115" customFormat="1" ht="12.75" hidden="1" customHeight="1" x14ac:dyDescent="0.2">
      <c r="A126" s="2">
        <v>2155</v>
      </c>
      <c r="B126" s="2" t="s">
        <v>54</v>
      </c>
      <c r="C126" s="2" t="s">
        <v>96</v>
      </c>
      <c r="D126" s="2" t="s">
        <v>3342</v>
      </c>
      <c r="E126" s="2" t="s">
        <v>3319</v>
      </c>
      <c r="F126" s="2" t="s">
        <v>71</v>
      </c>
      <c r="G126" s="2">
        <v>618</v>
      </c>
      <c r="H126" s="132">
        <v>0</v>
      </c>
      <c r="I126" s="132">
        <f>50000+16464.72</f>
        <v>66464.72</v>
      </c>
      <c r="J126" s="132">
        <f>50000+16464.72</f>
        <v>66464.72</v>
      </c>
      <c r="K126" s="132">
        <f>7627.118+Y126+16464.722</f>
        <v>66464.72</v>
      </c>
      <c r="L126" s="132">
        <f t="shared" si="14"/>
        <v>-66464.72</v>
      </c>
      <c r="M126" s="132">
        <f t="shared" si="15"/>
        <v>0</v>
      </c>
      <c r="N126" s="133">
        <v>1351</v>
      </c>
      <c r="O126" s="133">
        <f t="shared" si="16"/>
        <v>0</v>
      </c>
      <c r="P126" s="134">
        <v>0</v>
      </c>
      <c r="Q126" s="133"/>
      <c r="R126" s="133"/>
      <c r="S126" s="153">
        <v>0</v>
      </c>
      <c r="T126" s="153">
        <v>0</v>
      </c>
      <c r="U126" s="153">
        <v>0</v>
      </c>
      <c r="V126" s="135"/>
      <c r="W126" s="135"/>
      <c r="X126" s="135"/>
      <c r="Y126" s="135">
        <v>42372.88</v>
      </c>
      <c r="Z126" s="135">
        <v>4260.8</v>
      </c>
      <c r="AA126" s="135">
        <v>0</v>
      </c>
      <c r="AB126" s="140">
        <f t="shared" si="23"/>
        <v>5206.5233898305087</v>
      </c>
      <c r="AC126" s="135"/>
      <c r="AD126" s="133"/>
      <c r="AE126" s="133"/>
      <c r="AF126" s="132">
        <f t="shared" si="21"/>
        <v>49.196683937823835</v>
      </c>
      <c r="AG126" s="132" t="str">
        <f t="shared" si="22"/>
        <v>Нет инфо</v>
      </c>
      <c r="AH126" s="2" t="s">
        <v>11</v>
      </c>
      <c r="AI126" s="136">
        <v>45503</v>
      </c>
      <c r="AJ126" s="2" t="s">
        <v>109</v>
      </c>
      <c r="AK126" s="136" t="s">
        <v>18</v>
      </c>
      <c r="AL126" s="136">
        <v>45303</v>
      </c>
      <c r="AM126" s="2" t="s">
        <v>3358</v>
      </c>
      <c r="AN126" s="2"/>
      <c r="AO126" s="2" t="s">
        <v>2766</v>
      </c>
      <c r="AP126" s="2" t="s">
        <v>2766</v>
      </c>
      <c r="AQ126" s="136"/>
    </row>
    <row r="127" spans="1:43" s="115" customFormat="1" ht="12.75" hidden="1" customHeight="1" x14ac:dyDescent="0.2">
      <c r="A127" s="2">
        <v>2156</v>
      </c>
      <c r="B127" s="2" t="s">
        <v>54</v>
      </c>
      <c r="C127" s="2" t="s">
        <v>96</v>
      </c>
      <c r="D127" s="2" t="s">
        <v>3340</v>
      </c>
      <c r="E127" s="2" t="s">
        <v>3317</v>
      </c>
      <c r="F127" s="2" t="s">
        <v>71</v>
      </c>
      <c r="G127" s="2">
        <v>618</v>
      </c>
      <c r="H127" s="132">
        <v>0</v>
      </c>
      <c r="I127" s="132">
        <f>50000</f>
        <v>50000</v>
      </c>
      <c r="J127" s="132"/>
      <c r="K127" s="132">
        <f>7627.118</f>
        <v>7627.1180000000004</v>
      </c>
      <c r="L127" s="132">
        <f t="shared" si="14"/>
        <v>-7627.1180000000004</v>
      </c>
      <c r="M127" s="132">
        <f t="shared" si="15"/>
        <v>42372.881999999998</v>
      </c>
      <c r="N127" s="133"/>
      <c r="O127" s="133">
        <f t="shared" si="16"/>
        <v>-7627.1180000000004</v>
      </c>
      <c r="P127" s="134" t="s">
        <v>1993</v>
      </c>
      <c r="Q127" s="133"/>
      <c r="R127" s="133"/>
      <c r="S127" s="153">
        <v>0</v>
      </c>
      <c r="T127" s="153">
        <v>0</v>
      </c>
      <c r="U127" s="153">
        <v>0</v>
      </c>
      <c r="V127" s="135"/>
      <c r="W127" s="135"/>
      <c r="X127" s="135"/>
      <c r="Y127" s="135"/>
      <c r="Z127" s="135"/>
      <c r="AA127" s="135"/>
      <c r="AB127" s="135">
        <f>IF(AJ127="Принят",(J127/1.18-W127-Z127)*0.1,J127/1.18*0.8*0.1)-AA127</f>
        <v>0</v>
      </c>
      <c r="AC127" s="135"/>
      <c r="AD127" s="133"/>
      <c r="AE127" s="133"/>
      <c r="AF127" s="132" t="str">
        <f t="shared" si="21"/>
        <v>Нет инфо</v>
      </c>
      <c r="AG127" s="132" t="str">
        <f t="shared" si="22"/>
        <v>Нет инфо</v>
      </c>
      <c r="AH127" s="2" t="s">
        <v>11</v>
      </c>
      <c r="AI127" s="136"/>
      <c r="AJ127" s="2">
        <v>55</v>
      </c>
      <c r="AK127" s="136" t="s">
        <v>18</v>
      </c>
      <c r="AL127" s="136">
        <v>45303</v>
      </c>
      <c r="AM127" s="2" t="s">
        <v>3358</v>
      </c>
      <c r="AN127" s="2"/>
      <c r="AO127" s="2" t="s">
        <v>2766</v>
      </c>
      <c r="AP127" s="2" t="s">
        <v>2766</v>
      </c>
      <c r="AQ127" s="136"/>
    </row>
    <row r="128" spans="1:43" s="115" customFormat="1" ht="12.75" hidden="1" customHeight="1" x14ac:dyDescent="0.2">
      <c r="A128" s="2">
        <v>2157</v>
      </c>
      <c r="B128" s="2" t="s">
        <v>54</v>
      </c>
      <c r="C128" s="2" t="s">
        <v>96</v>
      </c>
      <c r="D128" s="2" t="s">
        <v>3339</v>
      </c>
      <c r="E128" s="2" t="s">
        <v>3316</v>
      </c>
      <c r="F128" s="2" t="s">
        <v>71</v>
      </c>
      <c r="G128" s="2">
        <v>618</v>
      </c>
      <c r="H128" s="132">
        <v>0</v>
      </c>
      <c r="I128" s="132">
        <f>50000+20770.99</f>
        <v>70770.990000000005</v>
      </c>
      <c r="J128" s="132">
        <f>50000+20770.99</f>
        <v>70770.990000000005</v>
      </c>
      <c r="K128" s="132">
        <f>7627.118+Y128+20770.992</f>
        <v>70770.989999999991</v>
      </c>
      <c r="L128" s="132">
        <f t="shared" si="14"/>
        <v>-70770.989999999991</v>
      </c>
      <c r="M128" s="132">
        <f t="shared" si="15"/>
        <v>0</v>
      </c>
      <c r="N128" s="133">
        <v>1244</v>
      </c>
      <c r="O128" s="133">
        <f t="shared" si="16"/>
        <v>1.4551915228366852E-11</v>
      </c>
      <c r="P128" s="134">
        <v>0</v>
      </c>
      <c r="Q128" s="133"/>
      <c r="R128" s="133"/>
      <c r="S128" s="153">
        <v>0</v>
      </c>
      <c r="T128" s="153">
        <v>0</v>
      </c>
      <c r="U128" s="153">
        <v>0</v>
      </c>
      <c r="V128" s="135"/>
      <c r="W128" s="135"/>
      <c r="X128" s="135"/>
      <c r="Y128" s="135">
        <v>42372.88</v>
      </c>
      <c r="Z128" s="135">
        <v>4260.8</v>
      </c>
      <c r="AA128" s="135">
        <v>0</v>
      </c>
      <c r="AB128" s="140">
        <f t="shared" ref="AB128:AB130" si="24">IF(AJ128="Принят",(J128/1.18-W128-Z128)*0.1,J128/1.18*0.8*0.1)-AA128</f>
        <v>5571.4615254237297</v>
      </c>
      <c r="AC128" s="135"/>
      <c r="AD128" s="133"/>
      <c r="AE128" s="133"/>
      <c r="AF128" s="132">
        <f t="shared" si="21"/>
        <v>56.889863344051449</v>
      </c>
      <c r="AG128" s="132" t="str">
        <f t="shared" si="22"/>
        <v>Нет инфо</v>
      </c>
      <c r="AH128" s="2" t="s">
        <v>11</v>
      </c>
      <c r="AI128" s="136">
        <v>45503</v>
      </c>
      <c r="AJ128" s="2" t="s">
        <v>109</v>
      </c>
      <c r="AK128" s="136" t="s">
        <v>18</v>
      </c>
      <c r="AL128" s="136">
        <v>45303</v>
      </c>
      <c r="AM128" s="2" t="s">
        <v>3358</v>
      </c>
      <c r="AN128" s="2"/>
      <c r="AO128" s="2" t="s">
        <v>2766</v>
      </c>
      <c r="AP128" s="2" t="s">
        <v>2766</v>
      </c>
      <c r="AQ128" s="136"/>
    </row>
    <row r="129" spans="1:43" s="115" customFormat="1" ht="12.75" hidden="1" customHeight="1" x14ac:dyDescent="0.2">
      <c r="A129" s="2">
        <v>2158</v>
      </c>
      <c r="B129" s="2" t="s">
        <v>54</v>
      </c>
      <c r="C129" s="2" t="s">
        <v>96</v>
      </c>
      <c r="D129" s="2" t="s">
        <v>3343</v>
      </c>
      <c r="E129" s="2" t="s">
        <v>3320</v>
      </c>
      <c r="F129" s="2" t="s">
        <v>71</v>
      </c>
      <c r="G129" s="2">
        <v>618</v>
      </c>
      <c r="H129" s="132">
        <v>0</v>
      </c>
      <c r="I129" s="132">
        <f>50000+3000+15299.01</f>
        <v>68299.009999999995</v>
      </c>
      <c r="J129" s="132">
        <f>50000+3000+15299.01</f>
        <v>68299.009999999995</v>
      </c>
      <c r="K129" s="132">
        <f>Y129+7627.118+457.63+15299.012</f>
        <v>68299.009999999995</v>
      </c>
      <c r="L129" s="132">
        <f t="shared" si="14"/>
        <v>-68299.009999999995</v>
      </c>
      <c r="M129" s="132">
        <f t="shared" si="15"/>
        <v>0</v>
      </c>
      <c r="N129" s="133">
        <v>924</v>
      </c>
      <c r="O129" s="133">
        <f t="shared" si="16"/>
        <v>0</v>
      </c>
      <c r="P129" s="134">
        <v>0</v>
      </c>
      <c r="Q129" s="133"/>
      <c r="R129" s="133"/>
      <c r="S129" s="153">
        <v>0</v>
      </c>
      <c r="T129" s="153">
        <v>0</v>
      </c>
      <c r="U129" s="153">
        <v>0</v>
      </c>
      <c r="V129" s="135"/>
      <c r="W129" s="135"/>
      <c r="X129" s="135"/>
      <c r="Y129" s="135">
        <f>42372.88+2542.37</f>
        <v>44915.25</v>
      </c>
      <c r="Z129" s="135">
        <f>4260.8+198.43</f>
        <v>4459.2300000000005</v>
      </c>
      <c r="AA129" s="135">
        <v>0</v>
      </c>
      <c r="AB129" s="140">
        <f t="shared" si="24"/>
        <v>5342.1286949152536</v>
      </c>
      <c r="AC129" s="135"/>
      <c r="AD129" s="133"/>
      <c r="AE129" s="133"/>
      <c r="AF129" s="132">
        <f t="shared" si="21"/>
        <v>73.916677489177488</v>
      </c>
      <c r="AG129" s="132" t="str">
        <f t="shared" si="22"/>
        <v>Нет инфо</v>
      </c>
      <c r="AH129" s="2" t="s">
        <v>11</v>
      </c>
      <c r="AI129" s="136">
        <v>45572</v>
      </c>
      <c r="AJ129" s="2" t="s">
        <v>109</v>
      </c>
      <c r="AK129" s="136" t="s">
        <v>18</v>
      </c>
      <c r="AL129" s="136">
        <v>45303</v>
      </c>
      <c r="AM129" s="2" t="s">
        <v>3358</v>
      </c>
      <c r="AN129" s="2"/>
      <c r="AO129" s="2" t="s">
        <v>2766</v>
      </c>
      <c r="AP129" s="2" t="s">
        <v>2766</v>
      </c>
      <c r="AQ129" s="136"/>
    </row>
    <row r="130" spans="1:43" s="115" customFormat="1" ht="12.75" hidden="1" customHeight="1" x14ac:dyDescent="0.2">
      <c r="A130" s="2">
        <v>2159</v>
      </c>
      <c r="B130" s="2" t="s">
        <v>54</v>
      </c>
      <c r="C130" s="2" t="s">
        <v>96</v>
      </c>
      <c r="D130" s="2" t="s">
        <v>3330</v>
      </c>
      <c r="E130" s="2" t="s">
        <v>3307</v>
      </c>
      <c r="F130" s="2" t="s">
        <v>71</v>
      </c>
      <c r="G130" s="2">
        <v>647</v>
      </c>
      <c r="H130" s="132">
        <v>0</v>
      </c>
      <c r="I130" s="132">
        <f>60000+10000+26265.16</f>
        <v>96265.16</v>
      </c>
      <c r="J130" s="132">
        <f>60000+10000+26265.16</f>
        <v>96265.16</v>
      </c>
      <c r="K130" s="132">
        <f>Y130+9152.54+1525.42+26265.16</f>
        <v>96265.16</v>
      </c>
      <c r="L130" s="132">
        <f t="shared" si="14"/>
        <v>-96265.16</v>
      </c>
      <c r="M130" s="132">
        <f t="shared" si="15"/>
        <v>0</v>
      </c>
      <c r="N130" s="133">
        <v>1980</v>
      </c>
      <c r="O130" s="133">
        <f t="shared" si="16"/>
        <v>0</v>
      </c>
      <c r="P130" s="134">
        <v>0</v>
      </c>
      <c r="Q130" s="133"/>
      <c r="R130" s="133"/>
      <c r="S130" s="153">
        <v>0</v>
      </c>
      <c r="T130" s="153">
        <v>0</v>
      </c>
      <c r="U130" s="153">
        <v>0</v>
      </c>
      <c r="V130" s="135"/>
      <c r="W130" s="135"/>
      <c r="X130" s="135"/>
      <c r="Y130" s="135">
        <f>50847.46+8474.58</f>
        <v>59322.04</v>
      </c>
      <c r="Z130" s="135">
        <f>5112.96+559.9</f>
        <v>5672.86</v>
      </c>
      <c r="AA130" s="135">
        <v>0</v>
      </c>
      <c r="AB130" s="140">
        <f t="shared" si="24"/>
        <v>7590.778406779662</v>
      </c>
      <c r="AC130" s="135"/>
      <c r="AD130" s="133"/>
      <c r="AE130" s="133"/>
      <c r="AF130" s="132">
        <f t="shared" si="21"/>
        <v>48.618767676767682</v>
      </c>
      <c r="AG130" s="132" t="str">
        <f t="shared" si="22"/>
        <v>Нет инфо</v>
      </c>
      <c r="AH130" s="2" t="s">
        <v>11</v>
      </c>
      <c r="AI130" s="136">
        <v>45572</v>
      </c>
      <c r="AJ130" s="2" t="s">
        <v>109</v>
      </c>
      <c r="AK130" s="136" t="s">
        <v>18</v>
      </c>
      <c r="AL130" s="136">
        <v>45303</v>
      </c>
      <c r="AM130" s="2" t="s">
        <v>3359</v>
      </c>
      <c r="AN130" s="2"/>
      <c r="AO130" s="2" t="s">
        <v>3282</v>
      </c>
      <c r="AP130" s="2" t="s">
        <v>3282</v>
      </c>
      <c r="AQ130" s="136"/>
    </row>
    <row r="131" spans="1:43" s="115" customFormat="1" ht="12.75" hidden="1" customHeight="1" x14ac:dyDescent="0.2">
      <c r="A131" s="2">
        <v>2160</v>
      </c>
      <c r="B131" s="2" t="s">
        <v>28</v>
      </c>
      <c r="C131" s="2" t="s">
        <v>88</v>
      </c>
      <c r="D131" s="2" t="s">
        <v>3389</v>
      </c>
      <c r="E131" s="2" t="s">
        <v>3388</v>
      </c>
      <c r="F131" s="2" t="s">
        <v>117</v>
      </c>
      <c r="G131" s="2"/>
      <c r="H131" s="132">
        <f>1770.5*1.75</f>
        <v>3098.375</v>
      </c>
      <c r="I131" s="132">
        <f>1770.5*1.75</f>
        <v>3098.375</v>
      </c>
      <c r="J131" s="132"/>
      <c r="K131" s="132">
        <v>3098.375</v>
      </c>
      <c r="L131" s="132">
        <f t="shared" si="14"/>
        <v>0</v>
      </c>
      <c r="M131" s="132">
        <f t="shared" si="15"/>
        <v>0</v>
      </c>
      <c r="N131" s="133"/>
      <c r="O131" s="133">
        <f t="shared" si="16"/>
        <v>0</v>
      </c>
      <c r="P131" s="134">
        <v>0</v>
      </c>
      <c r="Q131" s="133"/>
      <c r="R131" s="133"/>
      <c r="S131" s="153">
        <v>0</v>
      </c>
      <c r="T131" s="153">
        <v>0</v>
      </c>
      <c r="U131" s="153">
        <v>0</v>
      </c>
      <c r="V131" s="135"/>
      <c r="W131" s="135"/>
      <c r="X131" s="135"/>
      <c r="Y131" s="135"/>
      <c r="Z131" s="135"/>
      <c r="AA131" s="135"/>
      <c r="AB131" s="135">
        <f t="shared" si="20"/>
        <v>0</v>
      </c>
      <c r="AC131" s="135"/>
      <c r="AD131" s="133"/>
      <c r="AE131" s="133"/>
      <c r="AF131" s="132" t="str">
        <f t="shared" si="21"/>
        <v>Нет инфо</v>
      </c>
      <c r="AG131" s="132" t="str">
        <f t="shared" si="22"/>
        <v>Нет инфо</v>
      </c>
      <c r="AH131" s="2" t="s">
        <v>112</v>
      </c>
      <c r="AI131" s="136">
        <v>45483</v>
      </c>
      <c r="AJ131" s="2" t="s">
        <v>145</v>
      </c>
      <c r="AK131" s="136" t="s">
        <v>18</v>
      </c>
      <c r="AL131" s="136">
        <v>45301</v>
      </c>
      <c r="AM131" s="2" t="s">
        <v>2514</v>
      </c>
      <c r="AN131" s="2"/>
      <c r="AO131" s="2" t="s">
        <v>2427</v>
      </c>
      <c r="AP131" s="2" t="s">
        <v>2427</v>
      </c>
      <c r="AQ131" s="136"/>
    </row>
    <row r="132" spans="1:43" s="115" customFormat="1" ht="12.75" hidden="1" customHeight="1" x14ac:dyDescent="0.2">
      <c r="A132" s="2">
        <v>2161</v>
      </c>
      <c r="B132" s="2" t="s">
        <v>28</v>
      </c>
      <c r="C132" s="2" t="s">
        <v>88</v>
      </c>
      <c r="D132" s="2" t="s">
        <v>3391</v>
      </c>
      <c r="E132" s="2" t="s">
        <v>3390</v>
      </c>
      <c r="F132" s="2" t="s">
        <v>117</v>
      </c>
      <c r="G132" s="2"/>
      <c r="H132" s="132">
        <f>1655*1.75</f>
        <v>2896.25</v>
      </c>
      <c r="I132" s="132">
        <f>1655*1.75</f>
        <v>2896.25</v>
      </c>
      <c r="J132" s="132"/>
      <c r="K132" s="132">
        <v>2896.25</v>
      </c>
      <c r="L132" s="132">
        <f t="shared" si="14"/>
        <v>0</v>
      </c>
      <c r="M132" s="132">
        <f t="shared" si="15"/>
        <v>0</v>
      </c>
      <c r="N132" s="133"/>
      <c r="O132" s="133">
        <f t="shared" si="16"/>
        <v>0</v>
      </c>
      <c r="P132" s="134">
        <v>0</v>
      </c>
      <c r="Q132" s="133"/>
      <c r="R132" s="133"/>
      <c r="S132" s="153">
        <v>0</v>
      </c>
      <c r="T132" s="153">
        <v>0</v>
      </c>
      <c r="U132" s="153">
        <v>0</v>
      </c>
      <c r="V132" s="135"/>
      <c r="W132" s="135"/>
      <c r="X132" s="135"/>
      <c r="Y132" s="135"/>
      <c r="Z132" s="135"/>
      <c r="AA132" s="135"/>
      <c r="AB132" s="135">
        <f t="shared" si="20"/>
        <v>0</v>
      </c>
      <c r="AC132" s="135"/>
      <c r="AD132" s="133"/>
      <c r="AE132" s="133"/>
      <c r="AF132" s="132" t="str">
        <f t="shared" si="21"/>
        <v>Нет инфо</v>
      </c>
      <c r="AG132" s="132" t="str">
        <f t="shared" si="22"/>
        <v>Нет инфо</v>
      </c>
      <c r="AH132" s="2" t="s">
        <v>112</v>
      </c>
      <c r="AI132" s="136">
        <v>45483</v>
      </c>
      <c r="AJ132" s="2" t="s">
        <v>145</v>
      </c>
      <c r="AK132" s="136" t="s">
        <v>18</v>
      </c>
      <c r="AL132" s="136">
        <v>45301</v>
      </c>
      <c r="AM132" s="2" t="s">
        <v>2514</v>
      </c>
      <c r="AN132" s="2"/>
      <c r="AO132" s="2" t="s">
        <v>2427</v>
      </c>
      <c r="AP132" s="2" t="s">
        <v>2427</v>
      </c>
      <c r="AQ132" s="136"/>
    </row>
    <row r="133" spans="1:43" s="115" customFormat="1" ht="12.75" hidden="1" customHeight="1" x14ac:dyDescent="0.2">
      <c r="A133" s="2">
        <v>2162</v>
      </c>
      <c r="B133" s="2" t="s">
        <v>28</v>
      </c>
      <c r="C133" s="2" t="s">
        <v>88</v>
      </c>
      <c r="D133" s="2" t="s">
        <v>3392</v>
      </c>
      <c r="E133" s="2" t="s">
        <v>3393</v>
      </c>
      <c r="F133" s="2" t="s">
        <v>117</v>
      </c>
      <c r="G133" s="2"/>
      <c r="H133" s="132">
        <f>1642*1.75</f>
        <v>2873.5</v>
      </c>
      <c r="I133" s="132">
        <f>1642*1.75</f>
        <v>2873.5</v>
      </c>
      <c r="J133" s="132"/>
      <c r="K133" s="132">
        <v>2873.5</v>
      </c>
      <c r="L133" s="132">
        <f t="shared" si="14"/>
        <v>0</v>
      </c>
      <c r="M133" s="132">
        <f t="shared" si="15"/>
        <v>0</v>
      </c>
      <c r="N133" s="133"/>
      <c r="O133" s="133">
        <f t="shared" si="16"/>
        <v>0</v>
      </c>
      <c r="P133" s="134">
        <v>0</v>
      </c>
      <c r="Q133" s="133"/>
      <c r="R133" s="133"/>
      <c r="S133" s="153">
        <v>0</v>
      </c>
      <c r="T133" s="153">
        <v>0</v>
      </c>
      <c r="U133" s="153">
        <v>0</v>
      </c>
      <c r="V133" s="135"/>
      <c r="W133" s="135"/>
      <c r="X133" s="135"/>
      <c r="Y133" s="135"/>
      <c r="Z133" s="135"/>
      <c r="AA133" s="135"/>
      <c r="AB133" s="135">
        <f t="shared" si="20"/>
        <v>0</v>
      </c>
      <c r="AC133" s="135"/>
      <c r="AD133" s="133"/>
      <c r="AE133" s="133"/>
      <c r="AF133" s="132" t="str">
        <f t="shared" si="21"/>
        <v>Нет инфо</v>
      </c>
      <c r="AG133" s="132" t="str">
        <f t="shared" si="22"/>
        <v>Нет инфо</v>
      </c>
      <c r="AH133" s="2" t="s">
        <v>112</v>
      </c>
      <c r="AI133" s="136">
        <v>45483</v>
      </c>
      <c r="AJ133" s="2" t="s">
        <v>145</v>
      </c>
      <c r="AK133" s="136" t="s">
        <v>18</v>
      </c>
      <c r="AL133" s="136">
        <v>45301</v>
      </c>
      <c r="AM133" s="2" t="s">
        <v>2514</v>
      </c>
      <c r="AN133" s="2"/>
      <c r="AO133" s="2" t="s">
        <v>2427</v>
      </c>
      <c r="AP133" s="2" t="s">
        <v>2427</v>
      </c>
      <c r="AQ133" s="136"/>
    </row>
    <row r="134" spans="1:43" s="115" customFormat="1" ht="12.75" hidden="1" customHeight="1" x14ac:dyDescent="0.2">
      <c r="A134" s="2">
        <v>2163</v>
      </c>
      <c r="B134" s="2" t="s">
        <v>28</v>
      </c>
      <c r="C134" s="2" t="s">
        <v>88</v>
      </c>
      <c r="D134" s="2" t="s">
        <v>3395</v>
      </c>
      <c r="E134" s="2" t="s">
        <v>3394</v>
      </c>
      <c r="F134" s="2" t="s">
        <v>117</v>
      </c>
      <c r="G134" s="2"/>
      <c r="H134" s="132">
        <f>3481*1.75</f>
        <v>6091.75</v>
      </c>
      <c r="I134" s="132">
        <f>3481*1.75</f>
        <v>6091.75</v>
      </c>
      <c r="J134" s="132"/>
      <c r="K134" s="132">
        <v>6091.75</v>
      </c>
      <c r="L134" s="132">
        <f t="shared" si="14"/>
        <v>0</v>
      </c>
      <c r="M134" s="132">
        <f t="shared" si="15"/>
        <v>0</v>
      </c>
      <c r="N134" s="133"/>
      <c r="O134" s="133">
        <f t="shared" si="16"/>
        <v>0</v>
      </c>
      <c r="P134" s="134">
        <v>0</v>
      </c>
      <c r="Q134" s="133"/>
      <c r="R134" s="133"/>
      <c r="S134" s="153">
        <v>0</v>
      </c>
      <c r="T134" s="153">
        <v>0</v>
      </c>
      <c r="U134" s="153">
        <v>0</v>
      </c>
      <c r="V134" s="135"/>
      <c r="W134" s="135"/>
      <c r="X134" s="135"/>
      <c r="Y134" s="135"/>
      <c r="Z134" s="135"/>
      <c r="AA134" s="135"/>
      <c r="AB134" s="135">
        <f t="shared" si="20"/>
        <v>0</v>
      </c>
      <c r="AC134" s="135"/>
      <c r="AD134" s="133"/>
      <c r="AE134" s="133"/>
      <c r="AF134" s="132" t="str">
        <f t="shared" si="21"/>
        <v>Нет инфо</v>
      </c>
      <c r="AG134" s="132" t="str">
        <f t="shared" si="22"/>
        <v>Нет инфо</v>
      </c>
      <c r="AH134" s="2" t="s">
        <v>112</v>
      </c>
      <c r="AI134" s="136">
        <v>45483</v>
      </c>
      <c r="AJ134" s="2" t="s">
        <v>145</v>
      </c>
      <c r="AK134" s="136" t="s">
        <v>18</v>
      </c>
      <c r="AL134" s="136">
        <v>45301</v>
      </c>
      <c r="AM134" s="2" t="s">
        <v>2514</v>
      </c>
      <c r="AN134" s="2"/>
      <c r="AO134" s="2" t="s">
        <v>2427</v>
      </c>
      <c r="AP134" s="2" t="s">
        <v>2427</v>
      </c>
      <c r="AQ134" s="136"/>
    </row>
    <row r="135" spans="1:43" s="115" customFormat="1" ht="12.75" hidden="1" customHeight="1" x14ac:dyDescent="0.2">
      <c r="A135" s="2">
        <v>2164</v>
      </c>
      <c r="B135" s="2" t="s">
        <v>28</v>
      </c>
      <c r="C135" s="2" t="s">
        <v>88</v>
      </c>
      <c r="D135" s="2" t="s">
        <v>3397</v>
      </c>
      <c r="E135" s="2" t="s">
        <v>3396</v>
      </c>
      <c r="F135" s="2" t="s">
        <v>117</v>
      </c>
      <c r="G135" s="2"/>
      <c r="H135" s="132">
        <f>1613.5*1.75</f>
        <v>2823.625</v>
      </c>
      <c r="I135" s="132">
        <f>1613.5*1.75</f>
        <v>2823.625</v>
      </c>
      <c r="J135" s="132"/>
      <c r="K135" s="132">
        <v>2823.625</v>
      </c>
      <c r="L135" s="132">
        <f t="shared" si="14"/>
        <v>0</v>
      </c>
      <c r="M135" s="132">
        <f t="shared" si="15"/>
        <v>0</v>
      </c>
      <c r="N135" s="133"/>
      <c r="O135" s="133">
        <f t="shared" si="16"/>
        <v>0</v>
      </c>
      <c r="P135" s="134">
        <v>0</v>
      </c>
      <c r="Q135" s="133"/>
      <c r="R135" s="133"/>
      <c r="S135" s="153">
        <v>0</v>
      </c>
      <c r="T135" s="153">
        <v>0</v>
      </c>
      <c r="U135" s="153">
        <v>0</v>
      </c>
      <c r="V135" s="135"/>
      <c r="W135" s="135"/>
      <c r="X135" s="135"/>
      <c r="Y135" s="135"/>
      <c r="Z135" s="135"/>
      <c r="AA135" s="135"/>
      <c r="AB135" s="135">
        <f t="shared" si="20"/>
        <v>0</v>
      </c>
      <c r="AC135" s="135"/>
      <c r="AD135" s="133"/>
      <c r="AE135" s="133"/>
      <c r="AF135" s="132" t="str">
        <f t="shared" si="21"/>
        <v>Нет инфо</v>
      </c>
      <c r="AG135" s="132" t="str">
        <f t="shared" si="22"/>
        <v>Нет инфо</v>
      </c>
      <c r="AH135" s="2" t="s">
        <v>112</v>
      </c>
      <c r="AI135" s="136">
        <v>45483</v>
      </c>
      <c r="AJ135" s="2" t="s">
        <v>145</v>
      </c>
      <c r="AK135" s="136" t="s">
        <v>18</v>
      </c>
      <c r="AL135" s="136">
        <v>45301</v>
      </c>
      <c r="AM135" s="2" t="s">
        <v>2514</v>
      </c>
      <c r="AN135" s="2"/>
      <c r="AO135" s="2" t="s">
        <v>2427</v>
      </c>
      <c r="AP135" s="2" t="s">
        <v>2427</v>
      </c>
      <c r="AQ135" s="136"/>
    </row>
    <row r="136" spans="1:43" s="115" customFormat="1" ht="12.75" hidden="1" customHeight="1" x14ac:dyDescent="0.2">
      <c r="A136" s="2">
        <v>2165</v>
      </c>
      <c r="B136" s="2" t="s">
        <v>28</v>
      </c>
      <c r="C136" s="2" t="s">
        <v>88</v>
      </c>
      <c r="D136" s="2" t="s">
        <v>3399</v>
      </c>
      <c r="E136" s="2" t="s">
        <v>3398</v>
      </c>
      <c r="F136" s="2" t="s">
        <v>117</v>
      </c>
      <c r="G136" s="2"/>
      <c r="H136" s="132">
        <f>1644.5*1.75</f>
        <v>2877.875</v>
      </c>
      <c r="I136" s="132">
        <f>1644.5*1.75</f>
        <v>2877.875</v>
      </c>
      <c r="J136" s="132"/>
      <c r="K136" s="132">
        <v>2877.875</v>
      </c>
      <c r="L136" s="132">
        <f t="shared" si="14"/>
        <v>0</v>
      </c>
      <c r="M136" s="132">
        <f t="shared" si="15"/>
        <v>0</v>
      </c>
      <c r="N136" s="133"/>
      <c r="O136" s="133">
        <f t="shared" si="16"/>
        <v>0</v>
      </c>
      <c r="P136" s="134">
        <v>0</v>
      </c>
      <c r="Q136" s="133"/>
      <c r="R136" s="133"/>
      <c r="S136" s="153">
        <v>0</v>
      </c>
      <c r="T136" s="153">
        <v>0</v>
      </c>
      <c r="U136" s="153">
        <v>0</v>
      </c>
      <c r="V136" s="135"/>
      <c r="W136" s="135"/>
      <c r="X136" s="135"/>
      <c r="Y136" s="135"/>
      <c r="Z136" s="135"/>
      <c r="AA136" s="135"/>
      <c r="AB136" s="135">
        <f t="shared" si="20"/>
        <v>0</v>
      </c>
      <c r="AC136" s="135"/>
      <c r="AD136" s="133"/>
      <c r="AE136" s="133"/>
      <c r="AF136" s="132" t="str">
        <f t="shared" si="21"/>
        <v>Нет инфо</v>
      </c>
      <c r="AG136" s="132" t="str">
        <f t="shared" si="22"/>
        <v>Нет инфо</v>
      </c>
      <c r="AH136" s="2" t="s">
        <v>112</v>
      </c>
      <c r="AI136" s="136">
        <v>45483</v>
      </c>
      <c r="AJ136" s="2" t="s">
        <v>145</v>
      </c>
      <c r="AK136" s="136" t="s">
        <v>18</v>
      </c>
      <c r="AL136" s="136">
        <v>45301</v>
      </c>
      <c r="AM136" s="2" t="s">
        <v>2514</v>
      </c>
      <c r="AN136" s="2"/>
      <c r="AO136" s="2" t="s">
        <v>2427</v>
      </c>
      <c r="AP136" s="2" t="s">
        <v>2427</v>
      </c>
      <c r="AQ136" s="136"/>
    </row>
    <row r="137" spans="1:43" s="115" customFormat="1" ht="12.75" hidden="1" customHeight="1" x14ac:dyDescent="0.2">
      <c r="A137" s="2">
        <v>2166</v>
      </c>
      <c r="B137" s="2" t="s">
        <v>28</v>
      </c>
      <c r="C137" s="2" t="s">
        <v>88</v>
      </c>
      <c r="D137" s="2" t="s">
        <v>3400</v>
      </c>
      <c r="E137" s="2" t="s">
        <v>3401</v>
      </c>
      <c r="F137" s="2" t="s">
        <v>117</v>
      </c>
      <c r="G137" s="2"/>
      <c r="H137" s="132">
        <f>1648*1.75</f>
        <v>2884</v>
      </c>
      <c r="I137" s="132">
        <f>1648*1.75</f>
        <v>2884</v>
      </c>
      <c r="J137" s="132"/>
      <c r="K137" s="132">
        <v>2884</v>
      </c>
      <c r="L137" s="132">
        <f t="shared" si="14"/>
        <v>0</v>
      </c>
      <c r="M137" s="132">
        <f t="shared" si="15"/>
        <v>0</v>
      </c>
      <c r="N137" s="133"/>
      <c r="O137" s="133">
        <f t="shared" si="16"/>
        <v>0</v>
      </c>
      <c r="P137" s="134">
        <v>0</v>
      </c>
      <c r="Q137" s="133"/>
      <c r="R137" s="133"/>
      <c r="S137" s="153">
        <v>0</v>
      </c>
      <c r="T137" s="153">
        <v>0</v>
      </c>
      <c r="U137" s="153">
        <v>0</v>
      </c>
      <c r="V137" s="135"/>
      <c r="W137" s="135"/>
      <c r="X137" s="135"/>
      <c r="Y137" s="135"/>
      <c r="Z137" s="135"/>
      <c r="AA137" s="135"/>
      <c r="AB137" s="135">
        <f t="shared" si="20"/>
        <v>0</v>
      </c>
      <c r="AC137" s="135"/>
      <c r="AD137" s="133"/>
      <c r="AE137" s="133"/>
      <c r="AF137" s="132" t="str">
        <f t="shared" si="21"/>
        <v>Нет инфо</v>
      </c>
      <c r="AG137" s="132" t="str">
        <f t="shared" si="22"/>
        <v>Нет инфо</v>
      </c>
      <c r="AH137" s="2" t="s">
        <v>112</v>
      </c>
      <c r="AI137" s="136">
        <v>45483</v>
      </c>
      <c r="AJ137" s="2" t="s">
        <v>145</v>
      </c>
      <c r="AK137" s="136" t="s">
        <v>18</v>
      </c>
      <c r="AL137" s="136">
        <v>45301</v>
      </c>
      <c r="AM137" s="2" t="s">
        <v>2514</v>
      </c>
      <c r="AN137" s="2"/>
      <c r="AO137" s="2" t="s">
        <v>2427</v>
      </c>
      <c r="AP137" s="2" t="s">
        <v>2427</v>
      </c>
      <c r="AQ137" s="136"/>
    </row>
    <row r="138" spans="1:43" s="115" customFormat="1" ht="12.75" hidden="1" customHeight="1" x14ac:dyDescent="0.2">
      <c r="A138" s="2">
        <v>2167</v>
      </c>
      <c r="B138" s="2" t="s">
        <v>28</v>
      </c>
      <c r="C138" s="2" t="s">
        <v>88</v>
      </c>
      <c r="D138" s="2" t="s">
        <v>3402</v>
      </c>
      <c r="E138" s="2" t="s">
        <v>3403</v>
      </c>
      <c r="F138" s="2" t="s">
        <v>117</v>
      </c>
      <c r="G138" s="2"/>
      <c r="H138" s="132">
        <f>1147*1.75</f>
        <v>2007.25</v>
      </c>
      <c r="I138" s="132">
        <f>1147*1.75</f>
        <v>2007.25</v>
      </c>
      <c r="J138" s="132"/>
      <c r="K138" s="132">
        <v>2007.25</v>
      </c>
      <c r="L138" s="132">
        <f t="shared" si="14"/>
        <v>0</v>
      </c>
      <c r="M138" s="132">
        <f t="shared" si="15"/>
        <v>0</v>
      </c>
      <c r="N138" s="133"/>
      <c r="O138" s="133">
        <f t="shared" si="16"/>
        <v>0</v>
      </c>
      <c r="P138" s="134">
        <v>0</v>
      </c>
      <c r="Q138" s="133"/>
      <c r="R138" s="133"/>
      <c r="S138" s="153">
        <v>0</v>
      </c>
      <c r="T138" s="153">
        <v>0</v>
      </c>
      <c r="U138" s="153">
        <v>0</v>
      </c>
      <c r="V138" s="135"/>
      <c r="W138" s="135"/>
      <c r="X138" s="135"/>
      <c r="Y138" s="135"/>
      <c r="Z138" s="135"/>
      <c r="AA138" s="135"/>
      <c r="AB138" s="135">
        <f t="shared" si="20"/>
        <v>0</v>
      </c>
      <c r="AC138" s="135"/>
      <c r="AD138" s="133"/>
      <c r="AE138" s="133"/>
      <c r="AF138" s="132" t="str">
        <f t="shared" si="21"/>
        <v>Нет инфо</v>
      </c>
      <c r="AG138" s="132" t="str">
        <f t="shared" si="22"/>
        <v>Нет инфо</v>
      </c>
      <c r="AH138" s="2" t="s">
        <v>112</v>
      </c>
      <c r="AI138" s="136">
        <v>45483</v>
      </c>
      <c r="AJ138" s="2" t="s">
        <v>145</v>
      </c>
      <c r="AK138" s="136" t="s">
        <v>18</v>
      </c>
      <c r="AL138" s="136">
        <v>45301</v>
      </c>
      <c r="AM138" s="2" t="s">
        <v>2514</v>
      </c>
      <c r="AN138" s="2"/>
      <c r="AO138" s="2" t="s">
        <v>2427</v>
      </c>
      <c r="AP138" s="2" t="s">
        <v>2427</v>
      </c>
      <c r="AQ138" s="136"/>
    </row>
    <row r="139" spans="1:43" s="115" customFormat="1" ht="12.75" hidden="1" customHeight="1" x14ac:dyDescent="0.2">
      <c r="A139" s="2">
        <v>2168</v>
      </c>
      <c r="B139" s="2" t="s">
        <v>28</v>
      </c>
      <c r="C139" s="2" t="s">
        <v>88</v>
      </c>
      <c r="D139" s="2" t="s">
        <v>3404</v>
      </c>
      <c r="E139" s="2" t="s">
        <v>3405</v>
      </c>
      <c r="F139" s="2" t="s">
        <v>117</v>
      </c>
      <c r="G139" s="2"/>
      <c r="H139" s="132">
        <f>1671*1.75</f>
        <v>2924.25</v>
      </c>
      <c r="I139" s="132">
        <f>1671*1.75</f>
        <v>2924.25</v>
      </c>
      <c r="J139" s="132"/>
      <c r="K139" s="132">
        <v>2924.25</v>
      </c>
      <c r="L139" s="132">
        <f t="shared" ref="L139:L202" si="25">H139-K139</f>
        <v>0</v>
      </c>
      <c r="M139" s="132">
        <f t="shared" ref="M139:M202" si="26">I139-K139</f>
        <v>0</v>
      </c>
      <c r="N139" s="133"/>
      <c r="O139" s="133">
        <f t="shared" ref="O139:O202" si="27">IF(OR(AJ139="принят",AJ139="Завершено",AJ139="ПриПро"),I139-K139,H139-K139)</f>
        <v>0</v>
      </c>
      <c r="P139" s="134">
        <v>0</v>
      </c>
      <c r="Q139" s="133"/>
      <c r="R139" s="133"/>
      <c r="S139" s="153">
        <v>0</v>
      </c>
      <c r="T139" s="153">
        <v>0</v>
      </c>
      <c r="U139" s="153">
        <v>0</v>
      </c>
      <c r="V139" s="135"/>
      <c r="W139" s="135"/>
      <c r="X139" s="135"/>
      <c r="Y139" s="135"/>
      <c r="Z139" s="135"/>
      <c r="AA139" s="135"/>
      <c r="AB139" s="135">
        <f t="shared" ref="AB139:AB170" si="28">IF(AJ139="Принят",(J139/1.18-W139-Z139)*0.1,J139/1.18*0.8*0.1)-AA139</f>
        <v>0</v>
      </c>
      <c r="AC139" s="135"/>
      <c r="AD139" s="133"/>
      <c r="AE139" s="133"/>
      <c r="AF139" s="132" t="str">
        <f t="shared" si="21"/>
        <v>Нет инфо</v>
      </c>
      <c r="AG139" s="132" t="str">
        <f t="shared" si="22"/>
        <v>Нет инфо</v>
      </c>
      <c r="AH139" s="2" t="s">
        <v>112</v>
      </c>
      <c r="AI139" s="136">
        <v>45483</v>
      </c>
      <c r="AJ139" s="2" t="s">
        <v>145</v>
      </c>
      <c r="AK139" s="136" t="s">
        <v>18</v>
      </c>
      <c r="AL139" s="136">
        <v>45301</v>
      </c>
      <c r="AM139" s="2" t="s">
        <v>2514</v>
      </c>
      <c r="AN139" s="2"/>
      <c r="AO139" s="2" t="s">
        <v>2427</v>
      </c>
      <c r="AP139" s="2" t="s">
        <v>2427</v>
      </c>
      <c r="AQ139" s="136"/>
    </row>
    <row r="140" spans="1:43" s="115" customFormat="1" ht="12.75" hidden="1" customHeight="1" x14ac:dyDescent="0.2">
      <c r="A140" s="2">
        <v>2169</v>
      </c>
      <c r="B140" s="2" t="s">
        <v>28</v>
      </c>
      <c r="C140" s="2" t="s">
        <v>88</v>
      </c>
      <c r="D140" s="2" t="s">
        <v>3410</v>
      </c>
      <c r="E140" s="2" t="s">
        <v>3406</v>
      </c>
      <c r="F140" s="2" t="s">
        <v>117</v>
      </c>
      <c r="G140" s="2"/>
      <c r="H140" s="132">
        <f>1700.5*1.75</f>
        <v>2975.875</v>
      </c>
      <c r="I140" s="132">
        <f>1700.5*1.75</f>
        <v>2975.875</v>
      </c>
      <c r="J140" s="132"/>
      <c r="K140" s="132">
        <v>2975.875</v>
      </c>
      <c r="L140" s="132">
        <f t="shared" si="25"/>
        <v>0</v>
      </c>
      <c r="M140" s="132">
        <f t="shared" si="26"/>
        <v>0</v>
      </c>
      <c r="N140" s="133"/>
      <c r="O140" s="133">
        <f t="shared" si="27"/>
        <v>0</v>
      </c>
      <c r="P140" s="134">
        <v>0</v>
      </c>
      <c r="Q140" s="133"/>
      <c r="R140" s="133"/>
      <c r="S140" s="153">
        <v>0</v>
      </c>
      <c r="T140" s="153">
        <v>0</v>
      </c>
      <c r="U140" s="153">
        <v>0</v>
      </c>
      <c r="V140" s="135"/>
      <c r="W140" s="135"/>
      <c r="X140" s="135"/>
      <c r="Y140" s="135"/>
      <c r="Z140" s="135"/>
      <c r="AA140" s="135"/>
      <c r="AB140" s="135">
        <f t="shared" si="28"/>
        <v>0</v>
      </c>
      <c r="AC140" s="135"/>
      <c r="AD140" s="133"/>
      <c r="AE140" s="133"/>
      <c r="AF140" s="132" t="str">
        <f t="shared" si="21"/>
        <v>Нет инфо</v>
      </c>
      <c r="AG140" s="132" t="str">
        <f t="shared" si="22"/>
        <v>Нет инфо</v>
      </c>
      <c r="AH140" s="2" t="s">
        <v>112</v>
      </c>
      <c r="AI140" s="136">
        <v>45483</v>
      </c>
      <c r="AJ140" s="2" t="s">
        <v>145</v>
      </c>
      <c r="AK140" s="136" t="s">
        <v>18</v>
      </c>
      <c r="AL140" s="136">
        <v>45301</v>
      </c>
      <c r="AM140" s="2" t="s">
        <v>2514</v>
      </c>
      <c r="AN140" s="2"/>
      <c r="AO140" s="2" t="s">
        <v>2427</v>
      </c>
      <c r="AP140" s="2" t="s">
        <v>2427</v>
      </c>
      <c r="AQ140" s="136"/>
    </row>
    <row r="141" spans="1:43" s="115" customFormat="1" ht="12.75" hidden="1" customHeight="1" x14ac:dyDescent="0.2">
      <c r="A141" s="2">
        <v>2170</v>
      </c>
      <c r="B141" s="2" t="s">
        <v>28</v>
      </c>
      <c r="C141" s="2" t="s">
        <v>88</v>
      </c>
      <c r="D141" s="2" t="s">
        <v>3411</v>
      </c>
      <c r="E141" s="2" t="s">
        <v>3407</v>
      </c>
      <c r="F141" s="2" t="s">
        <v>117</v>
      </c>
      <c r="G141" s="2"/>
      <c r="H141" s="132">
        <f>1783*1.75</f>
        <v>3120.25</v>
      </c>
      <c r="I141" s="132">
        <f>1783*1.75</f>
        <v>3120.25</v>
      </c>
      <c r="J141" s="132"/>
      <c r="K141" s="132">
        <v>3120.25</v>
      </c>
      <c r="L141" s="132">
        <f t="shared" si="25"/>
        <v>0</v>
      </c>
      <c r="M141" s="132">
        <f t="shared" si="26"/>
        <v>0</v>
      </c>
      <c r="N141" s="133"/>
      <c r="O141" s="133">
        <f t="shared" si="27"/>
        <v>0</v>
      </c>
      <c r="P141" s="134">
        <v>0</v>
      </c>
      <c r="Q141" s="133"/>
      <c r="R141" s="133"/>
      <c r="S141" s="153">
        <v>0</v>
      </c>
      <c r="T141" s="153">
        <v>0</v>
      </c>
      <c r="U141" s="153">
        <v>0</v>
      </c>
      <c r="V141" s="135"/>
      <c r="W141" s="135"/>
      <c r="X141" s="135"/>
      <c r="Y141" s="135"/>
      <c r="Z141" s="135"/>
      <c r="AA141" s="135"/>
      <c r="AB141" s="135">
        <f t="shared" si="28"/>
        <v>0</v>
      </c>
      <c r="AC141" s="135"/>
      <c r="AD141" s="133"/>
      <c r="AE141" s="133"/>
      <c r="AF141" s="132" t="str">
        <f t="shared" si="21"/>
        <v>Нет инфо</v>
      </c>
      <c r="AG141" s="132" t="str">
        <f t="shared" si="22"/>
        <v>Нет инфо</v>
      </c>
      <c r="AH141" s="2" t="s">
        <v>112</v>
      </c>
      <c r="AI141" s="136">
        <v>45483</v>
      </c>
      <c r="AJ141" s="2" t="s">
        <v>145</v>
      </c>
      <c r="AK141" s="136" t="s">
        <v>18</v>
      </c>
      <c r="AL141" s="136">
        <v>45301</v>
      </c>
      <c r="AM141" s="2" t="s">
        <v>2514</v>
      </c>
      <c r="AN141" s="2"/>
      <c r="AO141" s="2" t="s">
        <v>2427</v>
      </c>
      <c r="AP141" s="2" t="s">
        <v>2427</v>
      </c>
      <c r="AQ141" s="136"/>
    </row>
    <row r="142" spans="1:43" s="115" customFormat="1" ht="12.75" hidden="1" customHeight="1" x14ac:dyDescent="0.2">
      <c r="A142" s="2">
        <v>2171</v>
      </c>
      <c r="B142" s="2" t="s">
        <v>28</v>
      </c>
      <c r="C142" s="2" t="s">
        <v>88</v>
      </c>
      <c r="D142" s="2" t="s">
        <v>3412</v>
      </c>
      <c r="E142" s="2" t="s">
        <v>3408</v>
      </c>
      <c r="F142" s="2" t="s">
        <v>117</v>
      </c>
      <c r="G142" s="2"/>
      <c r="H142" s="132">
        <f>1643*1.75</f>
        <v>2875.25</v>
      </c>
      <c r="I142" s="132">
        <f>1643*1.75</f>
        <v>2875.25</v>
      </c>
      <c r="J142" s="132"/>
      <c r="K142" s="132">
        <v>2875.25</v>
      </c>
      <c r="L142" s="132">
        <f t="shared" si="25"/>
        <v>0</v>
      </c>
      <c r="M142" s="132">
        <f t="shared" si="26"/>
        <v>0</v>
      </c>
      <c r="N142" s="133"/>
      <c r="O142" s="133">
        <f t="shared" si="27"/>
        <v>0</v>
      </c>
      <c r="P142" s="134">
        <v>0</v>
      </c>
      <c r="Q142" s="133"/>
      <c r="R142" s="133"/>
      <c r="S142" s="153">
        <v>0</v>
      </c>
      <c r="T142" s="153">
        <v>0</v>
      </c>
      <c r="U142" s="153">
        <v>0</v>
      </c>
      <c r="V142" s="135"/>
      <c r="W142" s="135"/>
      <c r="X142" s="135"/>
      <c r="Y142" s="135"/>
      <c r="Z142" s="135"/>
      <c r="AA142" s="135"/>
      <c r="AB142" s="135">
        <f t="shared" si="28"/>
        <v>0</v>
      </c>
      <c r="AC142" s="135"/>
      <c r="AD142" s="133"/>
      <c r="AE142" s="133"/>
      <c r="AF142" s="132" t="str">
        <f t="shared" si="21"/>
        <v>Нет инфо</v>
      </c>
      <c r="AG142" s="132" t="str">
        <f t="shared" si="22"/>
        <v>Нет инфо</v>
      </c>
      <c r="AH142" s="2" t="s">
        <v>112</v>
      </c>
      <c r="AI142" s="136">
        <v>45483</v>
      </c>
      <c r="AJ142" s="2" t="s">
        <v>145</v>
      </c>
      <c r="AK142" s="136" t="s">
        <v>18</v>
      </c>
      <c r="AL142" s="136">
        <v>45301</v>
      </c>
      <c r="AM142" s="2" t="s">
        <v>2514</v>
      </c>
      <c r="AN142" s="2"/>
      <c r="AO142" s="2" t="s">
        <v>2427</v>
      </c>
      <c r="AP142" s="2" t="s">
        <v>2427</v>
      </c>
      <c r="AQ142" s="136"/>
    </row>
    <row r="143" spans="1:43" s="115" customFormat="1" ht="12.75" hidden="1" customHeight="1" x14ac:dyDescent="0.2">
      <c r="A143" s="2">
        <v>2172</v>
      </c>
      <c r="B143" s="2" t="s">
        <v>28</v>
      </c>
      <c r="C143" s="2" t="s">
        <v>88</v>
      </c>
      <c r="D143" s="2" t="s">
        <v>3413</v>
      </c>
      <c r="E143" s="2" t="s">
        <v>3409</v>
      </c>
      <c r="F143" s="2" t="s">
        <v>117</v>
      </c>
      <c r="G143" s="2"/>
      <c r="H143" s="132">
        <f>1638.5*1.75</f>
        <v>2867.375</v>
      </c>
      <c r="I143" s="132">
        <f>1638.5*1.75</f>
        <v>2867.375</v>
      </c>
      <c r="J143" s="132"/>
      <c r="K143" s="132">
        <v>2867.375</v>
      </c>
      <c r="L143" s="132">
        <f t="shared" si="25"/>
        <v>0</v>
      </c>
      <c r="M143" s="132">
        <f t="shared" si="26"/>
        <v>0</v>
      </c>
      <c r="N143" s="133"/>
      <c r="O143" s="133">
        <f t="shared" si="27"/>
        <v>0</v>
      </c>
      <c r="P143" s="134">
        <v>0</v>
      </c>
      <c r="Q143" s="133"/>
      <c r="R143" s="133"/>
      <c r="S143" s="153">
        <v>0</v>
      </c>
      <c r="T143" s="153">
        <v>0</v>
      </c>
      <c r="U143" s="153">
        <v>0</v>
      </c>
      <c r="V143" s="135"/>
      <c r="W143" s="135"/>
      <c r="X143" s="135"/>
      <c r="Y143" s="135"/>
      <c r="Z143" s="135"/>
      <c r="AA143" s="135"/>
      <c r="AB143" s="135">
        <f t="shared" si="28"/>
        <v>0</v>
      </c>
      <c r="AC143" s="135"/>
      <c r="AD143" s="133"/>
      <c r="AE143" s="133"/>
      <c r="AF143" s="132" t="str">
        <f t="shared" si="21"/>
        <v>Нет инфо</v>
      </c>
      <c r="AG143" s="132" t="str">
        <f t="shared" si="22"/>
        <v>Нет инфо</v>
      </c>
      <c r="AH143" s="2" t="s">
        <v>112</v>
      </c>
      <c r="AI143" s="136">
        <v>45483</v>
      </c>
      <c r="AJ143" s="2" t="s">
        <v>145</v>
      </c>
      <c r="AK143" s="136" t="s">
        <v>18</v>
      </c>
      <c r="AL143" s="136">
        <v>45301</v>
      </c>
      <c r="AM143" s="2" t="s">
        <v>2514</v>
      </c>
      <c r="AN143" s="2"/>
      <c r="AO143" s="2" t="s">
        <v>2427</v>
      </c>
      <c r="AP143" s="2" t="s">
        <v>2427</v>
      </c>
      <c r="AQ143" s="136"/>
    </row>
    <row r="144" spans="1:43" s="115" customFormat="1" ht="12.75" hidden="1" customHeight="1" x14ac:dyDescent="0.2">
      <c r="A144" s="2">
        <v>2173</v>
      </c>
      <c r="B144" s="2" t="s">
        <v>28</v>
      </c>
      <c r="C144" s="2" t="s">
        <v>88</v>
      </c>
      <c r="D144" s="2" t="s">
        <v>3414</v>
      </c>
      <c r="E144" s="2" t="s">
        <v>3415</v>
      </c>
      <c r="F144" s="2" t="s">
        <v>117</v>
      </c>
      <c r="G144" s="2"/>
      <c r="H144" s="132">
        <f>1523*1.75</f>
        <v>2665.25</v>
      </c>
      <c r="I144" s="132">
        <f>1523*1.75</f>
        <v>2665.25</v>
      </c>
      <c r="J144" s="132"/>
      <c r="K144" s="132">
        <v>2665.25</v>
      </c>
      <c r="L144" s="132">
        <f t="shared" si="25"/>
        <v>0</v>
      </c>
      <c r="M144" s="132">
        <f t="shared" si="26"/>
        <v>0</v>
      </c>
      <c r="N144" s="133"/>
      <c r="O144" s="133">
        <f t="shared" si="27"/>
        <v>0</v>
      </c>
      <c r="P144" s="134">
        <v>0</v>
      </c>
      <c r="Q144" s="133"/>
      <c r="R144" s="133"/>
      <c r="S144" s="153">
        <v>0</v>
      </c>
      <c r="T144" s="153">
        <v>0</v>
      </c>
      <c r="U144" s="153">
        <v>0</v>
      </c>
      <c r="V144" s="135"/>
      <c r="W144" s="135"/>
      <c r="X144" s="135"/>
      <c r="Y144" s="135"/>
      <c r="Z144" s="135"/>
      <c r="AA144" s="135"/>
      <c r="AB144" s="135">
        <f t="shared" si="28"/>
        <v>0</v>
      </c>
      <c r="AC144" s="135"/>
      <c r="AD144" s="133"/>
      <c r="AE144" s="133"/>
      <c r="AF144" s="132" t="str">
        <f t="shared" si="21"/>
        <v>Нет инфо</v>
      </c>
      <c r="AG144" s="132" t="str">
        <f t="shared" si="22"/>
        <v>Нет инфо</v>
      </c>
      <c r="AH144" s="2" t="s">
        <v>112</v>
      </c>
      <c r="AI144" s="136">
        <v>45483</v>
      </c>
      <c r="AJ144" s="2" t="s">
        <v>145</v>
      </c>
      <c r="AK144" s="136" t="s">
        <v>18</v>
      </c>
      <c r="AL144" s="136">
        <v>45301</v>
      </c>
      <c r="AM144" s="2" t="s">
        <v>2514</v>
      </c>
      <c r="AN144" s="2"/>
      <c r="AO144" s="2" t="s">
        <v>2427</v>
      </c>
      <c r="AP144" s="2" t="s">
        <v>2427</v>
      </c>
      <c r="AQ144" s="136"/>
    </row>
    <row r="145" spans="1:43" s="115" customFormat="1" ht="12.75" hidden="1" customHeight="1" x14ac:dyDescent="0.2">
      <c r="A145" s="2">
        <v>2174</v>
      </c>
      <c r="B145" s="2" t="s">
        <v>28</v>
      </c>
      <c r="C145" s="2" t="s">
        <v>88</v>
      </c>
      <c r="D145" s="2" t="s">
        <v>3416</v>
      </c>
      <c r="E145" s="2" t="s">
        <v>3417</v>
      </c>
      <c r="F145" s="2" t="s">
        <v>117</v>
      </c>
      <c r="G145" s="2"/>
      <c r="H145" s="132">
        <f>1652.5*1.75</f>
        <v>2891.875</v>
      </c>
      <c r="I145" s="132">
        <f>1652.5*1.75</f>
        <v>2891.875</v>
      </c>
      <c r="J145" s="132"/>
      <c r="K145" s="132">
        <v>2891.875</v>
      </c>
      <c r="L145" s="132">
        <f t="shared" si="25"/>
        <v>0</v>
      </c>
      <c r="M145" s="132">
        <f t="shared" si="26"/>
        <v>0</v>
      </c>
      <c r="N145" s="133"/>
      <c r="O145" s="133">
        <f t="shared" si="27"/>
        <v>0</v>
      </c>
      <c r="P145" s="134">
        <v>0</v>
      </c>
      <c r="Q145" s="133"/>
      <c r="R145" s="133"/>
      <c r="S145" s="153">
        <v>0</v>
      </c>
      <c r="T145" s="153">
        <v>0</v>
      </c>
      <c r="U145" s="153">
        <v>0</v>
      </c>
      <c r="V145" s="135"/>
      <c r="W145" s="135"/>
      <c r="X145" s="135"/>
      <c r="Y145" s="135"/>
      <c r="Z145" s="135"/>
      <c r="AA145" s="135"/>
      <c r="AB145" s="135">
        <f t="shared" si="28"/>
        <v>0</v>
      </c>
      <c r="AC145" s="135"/>
      <c r="AD145" s="133"/>
      <c r="AE145" s="133"/>
      <c r="AF145" s="132" t="str">
        <f t="shared" ref="AF145:AF163" si="29">IF(OR(I145="",I145=0,N145="",N145=0),"Нет инфо",I145/N145)</f>
        <v>Нет инфо</v>
      </c>
      <c r="AG145" s="132" t="str">
        <f t="shared" ref="AG145:AG163" si="30">IF(OR(I145="",I145=0,R145="",R145=0),"Нет инфо",I145/R145)</f>
        <v>Нет инфо</v>
      </c>
      <c r="AH145" s="2" t="s">
        <v>112</v>
      </c>
      <c r="AI145" s="136">
        <v>45483</v>
      </c>
      <c r="AJ145" s="2" t="s">
        <v>145</v>
      </c>
      <c r="AK145" s="136" t="s">
        <v>18</v>
      </c>
      <c r="AL145" s="136">
        <v>45301</v>
      </c>
      <c r="AM145" s="2" t="s">
        <v>2514</v>
      </c>
      <c r="AN145" s="2"/>
      <c r="AO145" s="2" t="s">
        <v>2427</v>
      </c>
      <c r="AP145" s="2" t="s">
        <v>2427</v>
      </c>
      <c r="AQ145" s="136"/>
    </row>
    <row r="146" spans="1:43" s="115" customFormat="1" ht="12.75" hidden="1" customHeight="1" x14ac:dyDescent="0.2">
      <c r="A146" s="2">
        <v>2175</v>
      </c>
      <c r="B146" s="2" t="s">
        <v>28</v>
      </c>
      <c r="C146" s="2" t="s">
        <v>88</v>
      </c>
      <c r="D146" s="2" t="s">
        <v>3418</v>
      </c>
      <c r="E146" s="2" t="s">
        <v>3419</v>
      </c>
      <c r="F146" s="2" t="s">
        <v>117</v>
      </c>
      <c r="G146" s="2"/>
      <c r="H146" s="132">
        <f>1717*1.75</f>
        <v>3004.75</v>
      </c>
      <c r="I146" s="132">
        <f>1717*1.75</f>
        <v>3004.75</v>
      </c>
      <c r="J146" s="132"/>
      <c r="K146" s="132">
        <v>3004.75</v>
      </c>
      <c r="L146" s="132">
        <f t="shared" si="25"/>
        <v>0</v>
      </c>
      <c r="M146" s="132">
        <f t="shared" si="26"/>
        <v>0</v>
      </c>
      <c r="N146" s="133"/>
      <c r="O146" s="133">
        <f t="shared" si="27"/>
        <v>0</v>
      </c>
      <c r="P146" s="134">
        <v>0</v>
      </c>
      <c r="Q146" s="133"/>
      <c r="R146" s="133"/>
      <c r="S146" s="153">
        <v>0</v>
      </c>
      <c r="T146" s="153">
        <v>0</v>
      </c>
      <c r="U146" s="153">
        <v>0</v>
      </c>
      <c r="V146" s="135"/>
      <c r="W146" s="135"/>
      <c r="X146" s="135"/>
      <c r="Y146" s="135"/>
      <c r="Z146" s="135"/>
      <c r="AA146" s="135"/>
      <c r="AB146" s="135">
        <f t="shared" si="28"/>
        <v>0</v>
      </c>
      <c r="AC146" s="135"/>
      <c r="AD146" s="133"/>
      <c r="AE146" s="133"/>
      <c r="AF146" s="132" t="str">
        <f t="shared" si="29"/>
        <v>Нет инфо</v>
      </c>
      <c r="AG146" s="132" t="str">
        <f t="shared" si="30"/>
        <v>Нет инфо</v>
      </c>
      <c r="AH146" s="2" t="s">
        <v>112</v>
      </c>
      <c r="AI146" s="136">
        <v>45483</v>
      </c>
      <c r="AJ146" s="2" t="s">
        <v>145</v>
      </c>
      <c r="AK146" s="136" t="s">
        <v>18</v>
      </c>
      <c r="AL146" s="136">
        <v>45301</v>
      </c>
      <c r="AM146" s="2" t="s">
        <v>2514</v>
      </c>
      <c r="AN146" s="2"/>
      <c r="AO146" s="2" t="s">
        <v>2427</v>
      </c>
      <c r="AP146" s="2" t="s">
        <v>2427</v>
      </c>
      <c r="AQ146" s="136"/>
    </row>
    <row r="147" spans="1:43" s="115" customFormat="1" ht="12.75" hidden="1" customHeight="1" x14ac:dyDescent="0.2">
      <c r="A147" s="2">
        <v>2176</v>
      </c>
      <c r="B147" s="2" t="s">
        <v>28</v>
      </c>
      <c r="C147" s="2" t="s">
        <v>88</v>
      </c>
      <c r="D147" s="2" t="s">
        <v>3423</v>
      </c>
      <c r="E147" s="2" t="s">
        <v>3420</v>
      </c>
      <c r="F147" s="2" t="s">
        <v>117</v>
      </c>
      <c r="G147" s="2"/>
      <c r="H147" s="132">
        <f>3441*1.75</f>
        <v>6021.75</v>
      </c>
      <c r="I147" s="132">
        <f>3441*1.75</f>
        <v>6021.75</v>
      </c>
      <c r="J147" s="132"/>
      <c r="K147" s="132">
        <v>6021.75</v>
      </c>
      <c r="L147" s="132">
        <f t="shared" si="25"/>
        <v>0</v>
      </c>
      <c r="M147" s="132">
        <f t="shared" si="26"/>
        <v>0</v>
      </c>
      <c r="N147" s="133"/>
      <c r="O147" s="133">
        <f t="shared" si="27"/>
        <v>0</v>
      </c>
      <c r="P147" s="134">
        <v>0</v>
      </c>
      <c r="Q147" s="133"/>
      <c r="R147" s="133"/>
      <c r="S147" s="153">
        <v>0</v>
      </c>
      <c r="T147" s="153">
        <v>0</v>
      </c>
      <c r="U147" s="153">
        <v>0</v>
      </c>
      <c r="V147" s="135"/>
      <c r="W147" s="135"/>
      <c r="X147" s="135"/>
      <c r="Y147" s="135"/>
      <c r="Z147" s="135"/>
      <c r="AA147" s="135"/>
      <c r="AB147" s="135">
        <f t="shared" si="28"/>
        <v>0</v>
      </c>
      <c r="AC147" s="135"/>
      <c r="AD147" s="133"/>
      <c r="AE147" s="133"/>
      <c r="AF147" s="132" t="str">
        <f t="shared" si="29"/>
        <v>Нет инфо</v>
      </c>
      <c r="AG147" s="132" t="str">
        <f t="shared" si="30"/>
        <v>Нет инфо</v>
      </c>
      <c r="AH147" s="2" t="s">
        <v>112</v>
      </c>
      <c r="AI147" s="136">
        <v>45483</v>
      </c>
      <c r="AJ147" s="2" t="s">
        <v>145</v>
      </c>
      <c r="AK147" s="136" t="s">
        <v>18</v>
      </c>
      <c r="AL147" s="136">
        <v>45301</v>
      </c>
      <c r="AM147" s="2" t="s">
        <v>2514</v>
      </c>
      <c r="AN147" s="2"/>
      <c r="AO147" s="2" t="s">
        <v>2427</v>
      </c>
      <c r="AP147" s="2" t="s">
        <v>2427</v>
      </c>
      <c r="AQ147" s="136"/>
    </row>
    <row r="148" spans="1:43" s="115" customFormat="1" ht="12.75" hidden="1" customHeight="1" x14ac:dyDescent="0.2">
      <c r="A148" s="2">
        <v>2177</v>
      </c>
      <c r="B148" s="2" t="s">
        <v>28</v>
      </c>
      <c r="C148" s="2" t="s">
        <v>88</v>
      </c>
      <c r="D148" s="2" t="s">
        <v>3424</v>
      </c>
      <c r="E148" s="2" t="s">
        <v>3421</v>
      </c>
      <c r="F148" s="2" t="s">
        <v>117</v>
      </c>
      <c r="G148" s="2"/>
      <c r="H148" s="132">
        <f>1006*1.75</f>
        <v>1760.5</v>
      </c>
      <c r="I148" s="132">
        <f>1006*1.75</f>
        <v>1760.5</v>
      </c>
      <c r="J148" s="132"/>
      <c r="K148" s="132">
        <v>1760.5</v>
      </c>
      <c r="L148" s="132">
        <f t="shared" si="25"/>
        <v>0</v>
      </c>
      <c r="M148" s="132">
        <f t="shared" si="26"/>
        <v>0</v>
      </c>
      <c r="N148" s="133"/>
      <c r="O148" s="133">
        <f t="shared" si="27"/>
        <v>0</v>
      </c>
      <c r="P148" s="134">
        <v>0</v>
      </c>
      <c r="Q148" s="133"/>
      <c r="R148" s="133"/>
      <c r="S148" s="153">
        <v>0</v>
      </c>
      <c r="T148" s="153">
        <v>0</v>
      </c>
      <c r="U148" s="153">
        <v>0</v>
      </c>
      <c r="V148" s="135"/>
      <c r="W148" s="135"/>
      <c r="X148" s="135"/>
      <c r="Y148" s="135"/>
      <c r="Z148" s="135"/>
      <c r="AA148" s="135"/>
      <c r="AB148" s="135">
        <f t="shared" si="28"/>
        <v>0</v>
      </c>
      <c r="AC148" s="135"/>
      <c r="AD148" s="133"/>
      <c r="AE148" s="133"/>
      <c r="AF148" s="132" t="str">
        <f t="shared" si="29"/>
        <v>Нет инфо</v>
      </c>
      <c r="AG148" s="132" t="str">
        <f t="shared" si="30"/>
        <v>Нет инфо</v>
      </c>
      <c r="AH148" s="2" t="s">
        <v>112</v>
      </c>
      <c r="AI148" s="136">
        <v>45483</v>
      </c>
      <c r="AJ148" s="2" t="s">
        <v>145</v>
      </c>
      <c r="AK148" s="136" t="s">
        <v>18</v>
      </c>
      <c r="AL148" s="136">
        <v>45301</v>
      </c>
      <c r="AM148" s="2" t="s">
        <v>2514</v>
      </c>
      <c r="AN148" s="2"/>
      <c r="AO148" s="2" t="s">
        <v>2427</v>
      </c>
      <c r="AP148" s="2" t="s">
        <v>2427</v>
      </c>
      <c r="AQ148" s="136"/>
    </row>
    <row r="149" spans="1:43" s="115" customFormat="1" ht="12.75" hidden="1" customHeight="1" x14ac:dyDescent="0.2">
      <c r="A149" s="2">
        <v>2178</v>
      </c>
      <c r="B149" s="2" t="s">
        <v>28</v>
      </c>
      <c r="C149" s="2" t="s">
        <v>88</v>
      </c>
      <c r="D149" s="2" t="s">
        <v>3425</v>
      </c>
      <c r="E149" s="2" t="s">
        <v>3422</v>
      </c>
      <c r="F149" s="2" t="s">
        <v>117</v>
      </c>
      <c r="G149" s="2"/>
      <c r="H149" s="132">
        <f>1702*1.75</f>
        <v>2978.5</v>
      </c>
      <c r="I149" s="132">
        <f>1702*1.75</f>
        <v>2978.5</v>
      </c>
      <c r="J149" s="132"/>
      <c r="K149" s="132">
        <v>2978.5</v>
      </c>
      <c r="L149" s="132">
        <f t="shared" si="25"/>
        <v>0</v>
      </c>
      <c r="M149" s="132">
        <f t="shared" si="26"/>
        <v>0</v>
      </c>
      <c r="N149" s="133"/>
      <c r="O149" s="133">
        <f t="shared" si="27"/>
        <v>0</v>
      </c>
      <c r="P149" s="134">
        <v>0</v>
      </c>
      <c r="Q149" s="133"/>
      <c r="R149" s="133"/>
      <c r="S149" s="153">
        <v>0</v>
      </c>
      <c r="T149" s="153">
        <v>0</v>
      </c>
      <c r="U149" s="153">
        <v>0</v>
      </c>
      <c r="V149" s="135"/>
      <c r="W149" s="135"/>
      <c r="X149" s="135"/>
      <c r="Y149" s="135"/>
      <c r="Z149" s="135"/>
      <c r="AA149" s="135"/>
      <c r="AB149" s="135">
        <f t="shared" si="28"/>
        <v>0</v>
      </c>
      <c r="AC149" s="135"/>
      <c r="AD149" s="133"/>
      <c r="AE149" s="133"/>
      <c r="AF149" s="132" t="str">
        <f t="shared" si="29"/>
        <v>Нет инфо</v>
      </c>
      <c r="AG149" s="132" t="str">
        <f t="shared" si="30"/>
        <v>Нет инфо</v>
      </c>
      <c r="AH149" s="2" t="s">
        <v>112</v>
      </c>
      <c r="AI149" s="136">
        <v>45483</v>
      </c>
      <c r="AJ149" s="2" t="s">
        <v>145</v>
      </c>
      <c r="AK149" s="136" t="s">
        <v>18</v>
      </c>
      <c r="AL149" s="136">
        <v>45301</v>
      </c>
      <c r="AM149" s="2" t="s">
        <v>2514</v>
      </c>
      <c r="AN149" s="2"/>
      <c r="AO149" s="2" t="s">
        <v>2427</v>
      </c>
      <c r="AP149" s="2" t="s">
        <v>2427</v>
      </c>
      <c r="AQ149" s="136"/>
    </row>
    <row r="150" spans="1:43" s="115" customFormat="1" ht="12.75" hidden="1" customHeight="1" x14ac:dyDescent="0.2">
      <c r="A150" s="2">
        <v>2179</v>
      </c>
      <c r="B150" s="2" t="s">
        <v>54</v>
      </c>
      <c r="C150" s="2" t="s">
        <v>96</v>
      </c>
      <c r="D150" s="2" t="s">
        <v>3427</v>
      </c>
      <c r="E150" s="2" t="s">
        <v>3428</v>
      </c>
      <c r="F150" s="2" t="s">
        <v>110</v>
      </c>
      <c r="G150" s="2">
        <v>647</v>
      </c>
      <c r="H150" s="132">
        <v>1333.5</v>
      </c>
      <c r="I150" s="132">
        <f>762*1.75</f>
        <v>1333.5</v>
      </c>
      <c r="J150" s="132"/>
      <c r="K150" s="132">
        <v>1333.5</v>
      </c>
      <c r="L150" s="132">
        <f t="shared" si="25"/>
        <v>0</v>
      </c>
      <c r="M150" s="132">
        <f t="shared" si="26"/>
        <v>0</v>
      </c>
      <c r="N150" s="133"/>
      <c r="O150" s="133">
        <f t="shared" si="27"/>
        <v>0</v>
      </c>
      <c r="P150" s="134">
        <v>0</v>
      </c>
      <c r="Q150" s="133"/>
      <c r="R150" s="133"/>
      <c r="S150" s="153">
        <v>0</v>
      </c>
      <c r="T150" s="153">
        <v>0</v>
      </c>
      <c r="U150" s="153">
        <v>0</v>
      </c>
      <c r="V150" s="135"/>
      <c r="W150" s="135"/>
      <c r="X150" s="135"/>
      <c r="Y150" s="135"/>
      <c r="Z150" s="135"/>
      <c r="AA150" s="135"/>
      <c r="AB150" s="135">
        <f t="shared" si="28"/>
        <v>0</v>
      </c>
      <c r="AC150" s="135"/>
      <c r="AD150" s="133"/>
      <c r="AE150" s="133"/>
      <c r="AF150" s="132" t="str">
        <f t="shared" si="29"/>
        <v>Нет инфо</v>
      </c>
      <c r="AG150" s="132" t="str">
        <f t="shared" si="30"/>
        <v>Нет инфо</v>
      </c>
      <c r="AH150" s="2" t="s">
        <v>112</v>
      </c>
      <c r="AI150" s="136">
        <v>45478</v>
      </c>
      <c r="AJ150" s="2" t="s">
        <v>145</v>
      </c>
      <c r="AK150" s="136" t="s">
        <v>18</v>
      </c>
      <c r="AL150" s="136">
        <v>45309</v>
      </c>
      <c r="AM150" s="2" t="s">
        <v>3288</v>
      </c>
      <c r="AN150" s="2"/>
      <c r="AO150" s="2" t="s">
        <v>3282</v>
      </c>
      <c r="AP150" s="2" t="s">
        <v>3282</v>
      </c>
      <c r="AQ150" s="136"/>
    </row>
    <row r="151" spans="1:43" s="115" customFormat="1" ht="12.75" hidden="1" customHeight="1" x14ac:dyDescent="0.2">
      <c r="A151" s="2">
        <v>2180</v>
      </c>
      <c r="B151" s="2" t="s">
        <v>54</v>
      </c>
      <c r="C151" s="2" t="s">
        <v>96</v>
      </c>
      <c r="D151" s="2" t="s">
        <v>3429</v>
      </c>
      <c r="E151" s="2" t="s">
        <v>3431</v>
      </c>
      <c r="F151" s="2" t="s">
        <v>110</v>
      </c>
      <c r="G151" s="2">
        <v>647</v>
      </c>
      <c r="H151" s="132">
        <v>1708</v>
      </c>
      <c r="I151" s="132">
        <f>976*1.75</f>
        <v>1708</v>
      </c>
      <c r="J151" s="132"/>
      <c r="K151" s="132">
        <v>1708</v>
      </c>
      <c r="L151" s="132">
        <f t="shared" si="25"/>
        <v>0</v>
      </c>
      <c r="M151" s="132">
        <f t="shared" si="26"/>
        <v>0</v>
      </c>
      <c r="N151" s="133"/>
      <c r="O151" s="133">
        <f t="shared" si="27"/>
        <v>0</v>
      </c>
      <c r="P151" s="134">
        <v>0</v>
      </c>
      <c r="Q151" s="133"/>
      <c r="R151" s="133"/>
      <c r="S151" s="153">
        <v>0</v>
      </c>
      <c r="T151" s="153">
        <v>0</v>
      </c>
      <c r="U151" s="153">
        <v>0</v>
      </c>
      <c r="V151" s="135"/>
      <c r="W151" s="135"/>
      <c r="X151" s="135"/>
      <c r="Y151" s="135"/>
      <c r="Z151" s="135"/>
      <c r="AA151" s="135"/>
      <c r="AB151" s="135">
        <f t="shared" si="28"/>
        <v>0</v>
      </c>
      <c r="AC151" s="135"/>
      <c r="AD151" s="133"/>
      <c r="AE151" s="133"/>
      <c r="AF151" s="132" t="str">
        <f t="shared" si="29"/>
        <v>Нет инфо</v>
      </c>
      <c r="AG151" s="132" t="str">
        <f t="shared" si="30"/>
        <v>Нет инфо</v>
      </c>
      <c r="AH151" s="2" t="s">
        <v>112</v>
      </c>
      <c r="AI151" s="136">
        <v>45478</v>
      </c>
      <c r="AJ151" s="2" t="s">
        <v>145</v>
      </c>
      <c r="AK151" s="136" t="s">
        <v>18</v>
      </c>
      <c r="AL151" s="136">
        <v>45309</v>
      </c>
      <c r="AM151" s="2" t="s">
        <v>3288</v>
      </c>
      <c r="AN151" s="2"/>
      <c r="AO151" s="2" t="s">
        <v>3282</v>
      </c>
      <c r="AP151" s="2" t="s">
        <v>3282</v>
      </c>
      <c r="AQ151" s="136"/>
    </row>
    <row r="152" spans="1:43" s="115" customFormat="1" ht="12.75" hidden="1" customHeight="1" x14ac:dyDescent="0.2">
      <c r="A152" s="2">
        <v>2181</v>
      </c>
      <c r="B152" s="2" t="s">
        <v>54</v>
      </c>
      <c r="C152" s="2" t="s">
        <v>96</v>
      </c>
      <c r="D152" s="2" t="s">
        <v>3430</v>
      </c>
      <c r="E152" s="2" t="s">
        <v>3432</v>
      </c>
      <c r="F152" s="2" t="s">
        <v>110</v>
      </c>
      <c r="G152" s="2">
        <v>647</v>
      </c>
      <c r="H152" s="132">
        <v>1275.75</v>
      </c>
      <c r="I152" s="132">
        <f>729*1.75</f>
        <v>1275.75</v>
      </c>
      <c r="J152" s="132"/>
      <c r="K152" s="132">
        <v>1275.75</v>
      </c>
      <c r="L152" s="132">
        <f t="shared" si="25"/>
        <v>0</v>
      </c>
      <c r="M152" s="132">
        <f t="shared" si="26"/>
        <v>0</v>
      </c>
      <c r="N152" s="133"/>
      <c r="O152" s="133">
        <f t="shared" si="27"/>
        <v>0</v>
      </c>
      <c r="P152" s="134">
        <v>0</v>
      </c>
      <c r="Q152" s="133"/>
      <c r="R152" s="133"/>
      <c r="S152" s="153">
        <v>0</v>
      </c>
      <c r="T152" s="153">
        <v>0</v>
      </c>
      <c r="U152" s="153">
        <v>0</v>
      </c>
      <c r="V152" s="135"/>
      <c r="W152" s="135"/>
      <c r="X152" s="135"/>
      <c r="Y152" s="135"/>
      <c r="Z152" s="135"/>
      <c r="AA152" s="135"/>
      <c r="AB152" s="135">
        <f t="shared" si="28"/>
        <v>0</v>
      </c>
      <c r="AC152" s="135"/>
      <c r="AD152" s="133"/>
      <c r="AE152" s="133"/>
      <c r="AF152" s="132" t="str">
        <f t="shared" si="29"/>
        <v>Нет инфо</v>
      </c>
      <c r="AG152" s="132" t="str">
        <f t="shared" si="30"/>
        <v>Нет инфо</v>
      </c>
      <c r="AH152" s="2" t="s">
        <v>112</v>
      </c>
      <c r="AI152" s="136">
        <v>45478</v>
      </c>
      <c r="AJ152" s="2" t="s">
        <v>145</v>
      </c>
      <c r="AK152" s="136" t="s">
        <v>18</v>
      </c>
      <c r="AL152" s="136">
        <v>45309</v>
      </c>
      <c r="AM152" s="2" t="s">
        <v>3288</v>
      </c>
      <c r="AN152" s="2"/>
      <c r="AO152" s="2" t="s">
        <v>3282</v>
      </c>
      <c r="AP152" s="2" t="s">
        <v>3282</v>
      </c>
      <c r="AQ152" s="136"/>
    </row>
    <row r="153" spans="1:43" s="115" customFormat="1" ht="12.75" hidden="1" customHeight="1" x14ac:dyDescent="0.2">
      <c r="A153" s="2">
        <v>2182</v>
      </c>
      <c r="B153" s="2" t="s">
        <v>54</v>
      </c>
      <c r="C153" s="2" t="s">
        <v>96</v>
      </c>
      <c r="D153" s="2" t="s">
        <v>3433</v>
      </c>
      <c r="E153" s="2" t="s">
        <v>3434</v>
      </c>
      <c r="F153" s="2" t="s">
        <v>110</v>
      </c>
      <c r="G153" s="2">
        <v>647</v>
      </c>
      <c r="H153" s="132">
        <v>2037</v>
      </c>
      <c r="I153" s="132">
        <f>1164*1.75</f>
        <v>2037</v>
      </c>
      <c r="J153" s="132"/>
      <c r="K153" s="132">
        <v>2037</v>
      </c>
      <c r="L153" s="132">
        <f t="shared" si="25"/>
        <v>0</v>
      </c>
      <c r="M153" s="132">
        <f t="shared" si="26"/>
        <v>0</v>
      </c>
      <c r="N153" s="133"/>
      <c r="O153" s="133">
        <f t="shared" si="27"/>
        <v>0</v>
      </c>
      <c r="P153" s="134">
        <v>0</v>
      </c>
      <c r="Q153" s="133"/>
      <c r="R153" s="133"/>
      <c r="S153" s="153">
        <v>0</v>
      </c>
      <c r="T153" s="153">
        <v>0</v>
      </c>
      <c r="U153" s="153">
        <v>0</v>
      </c>
      <c r="V153" s="135"/>
      <c r="W153" s="135"/>
      <c r="X153" s="135"/>
      <c r="Y153" s="135"/>
      <c r="Z153" s="135"/>
      <c r="AA153" s="135"/>
      <c r="AB153" s="135">
        <f t="shared" si="28"/>
        <v>0</v>
      </c>
      <c r="AC153" s="135"/>
      <c r="AD153" s="133"/>
      <c r="AE153" s="133"/>
      <c r="AF153" s="132" t="str">
        <f t="shared" si="29"/>
        <v>Нет инфо</v>
      </c>
      <c r="AG153" s="132" t="str">
        <f t="shared" si="30"/>
        <v>Нет инфо</v>
      </c>
      <c r="AH153" s="2" t="s">
        <v>112</v>
      </c>
      <c r="AI153" s="136">
        <v>45478</v>
      </c>
      <c r="AJ153" s="2" t="s">
        <v>145</v>
      </c>
      <c r="AK153" s="136" t="s">
        <v>18</v>
      </c>
      <c r="AL153" s="136">
        <v>45309</v>
      </c>
      <c r="AM153" s="2" t="s">
        <v>3288</v>
      </c>
      <c r="AN153" s="2"/>
      <c r="AO153" s="2" t="s">
        <v>3282</v>
      </c>
      <c r="AP153" s="2" t="s">
        <v>3282</v>
      </c>
      <c r="AQ153" s="136"/>
    </row>
    <row r="154" spans="1:43" s="115" customFormat="1" ht="12.75" hidden="1" customHeight="1" x14ac:dyDescent="0.2">
      <c r="A154" s="2">
        <v>2183</v>
      </c>
      <c r="B154" s="2" t="s">
        <v>54</v>
      </c>
      <c r="C154" s="2" t="s">
        <v>96</v>
      </c>
      <c r="D154" s="2" t="s">
        <v>3435</v>
      </c>
      <c r="E154" s="2" t="s">
        <v>3437</v>
      </c>
      <c r="F154" s="2" t="s">
        <v>110</v>
      </c>
      <c r="G154" s="2">
        <v>647</v>
      </c>
      <c r="H154" s="132">
        <v>1998.5</v>
      </c>
      <c r="I154" s="132">
        <f>1142*1.75</f>
        <v>1998.5</v>
      </c>
      <c r="J154" s="132"/>
      <c r="K154" s="132">
        <v>1998.5</v>
      </c>
      <c r="L154" s="132">
        <f t="shared" si="25"/>
        <v>0</v>
      </c>
      <c r="M154" s="132">
        <f t="shared" si="26"/>
        <v>0</v>
      </c>
      <c r="N154" s="133"/>
      <c r="O154" s="133">
        <f t="shared" si="27"/>
        <v>0</v>
      </c>
      <c r="P154" s="134">
        <v>0</v>
      </c>
      <c r="Q154" s="133"/>
      <c r="R154" s="133"/>
      <c r="S154" s="153">
        <v>0</v>
      </c>
      <c r="T154" s="153">
        <v>0</v>
      </c>
      <c r="U154" s="153">
        <v>0</v>
      </c>
      <c r="V154" s="135"/>
      <c r="W154" s="135"/>
      <c r="X154" s="135"/>
      <c r="Y154" s="135"/>
      <c r="Z154" s="135"/>
      <c r="AA154" s="135"/>
      <c r="AB154" s="135">
        <f t="shared" si="28"/>
        <v>0</v>
      </c>
      <c r="AC154" s="135"/>
      <c r="AD154" s="133"/>
      <c r="AE154" s="133"/>
      <c r="AF154" s="132" t="str">
        <f t="shared" si="29"/>
        <v>Нет инфо</v>
      </c>
      <c r="AG154" s="132" t="str">
        <f t="shared" si="30"/>
        <v>Нет инфо</v>
      </c>
      <c r="AH154" s="2" t="s">
        <v>112</v>
      </c>
      <c r="AI154" s="136">
        <v>45478</v>
      </c>
      <c r="AJ154" s="2" t="s">
        <v>145</v>
      </c>
      <c r="AK154" s="136" t="s">
        <v>18</v>
      </c>
      <c r="AL154" s="136">
        <v>45309</v>
      </c>
      <c r="AM154" s="2" t="s">
        <v>3288</v>
      </c>
      <c r="AN154" s="2"/>
      <c r="AO154" s="2" t="s">
        <v>3282</v>
      </c>
      <c r="AP154" s="2" t="s">
        <v>3282</v>
      </c>
      <c r="AQ154" s="136"/>
    </row>
    <row r="155" spans="1:43" s="115" customFormat="1" ht="12.75" hidden="1" customHeight="1" x14ac:dyDescent="0.2">
      <c r="A155" s="2">
        <v>2184</v>
      </c>
      <c r="B155" s="2" t="s">
        <v>54</v>
      </c>
      <c r="C155" s="2" t="s">
        <v>96</v>
      </c>
      <c r="D155" s="2" t="s">
        <v>3436</v>
      </c>
      <c r="E155" s="2" t="s">
        <v>3438</v>
      </c>
      <c r="F155" s="2" t="s">
        <v>110</v>
      </c>
      <c r="G155" s="2">
        <v>647</v>
      </c>
      <c r="H155" s="132">
        <v>2042.25</v>
      </c>
      <c r="I155" s="132">
        <f>1167*1.75</f>
        <v>2042.25</v>
      </c>
      <c r="J155" s="132"/>
      <c r="K155" s="132">
        <v>2042.25</v>
      </c>
      <c r="L155" s="132">
        <f t="shared" si="25"/>
        <v>0</v>
      </c>
      <c r="M155" s="132">
        <f t="shared" si="26"/>
        <v>0</v>
      </c>
      <c r="N155" s="133"/>
      <c r="O155" s="133">
        <f t="shared" si="27"/>
        <v>0</v>
      </c>
      <c r="P155" s="134">
        <v>0</v>
      </c>
      <c r="Q155" s="133"/>
      <c r="R155" s="133"/>
      <c r="S155" s="153">
        <v>0</v>
      </c>
      <c r="T155" s="153">
        <v>0</v>
      </c>
      <c r="U155" s="153">
        <v>0</v>
      </c>
      <c r="V155" s="135"/>
      <c r="W155" s="135"/>
      <c r="X155" s="135"/>
      <c r="Y155" s="135"/>
      <c r="Z155" s="135"/>
      <c r="AA155" s="135"/>
      <c r="AB155" s="135">
        <f t="shared" si="28"/>
        <v>0</v>
      </c>
      <c r="AC155" s="135"/>
      <c r="AD155" s="133"/>
      <c r="AE155" s="133"/>
      <c r="AF155" s="132" t="str">
        <f t="shared" si="29"/>
        <v>Нет инфо</v>
      </c>
      <c r="AG155" s="132" t="str">
        <f t="shared" si="30"/>
        <v>Нет инфо</v>
      </c>
      <c r="AH155" s="2" t="s">
        <v>112</v>
      </c>
      <c r="AI155" s="136">
        <v>45478</v>
      </c>
      <c r="AJ155" s="2" t="s">
        <v>145</v>
      </c>
      <c r="AK155" s="136" t="s">
        <v>18</v>
      </c>
      <c r="AL155" s="136">
        <v>45309</v>
      </c>
      <c r="AM155" s="2" t="s">
        <v>3288</v>
      </c>
      <c r="AN155" s="2"/>
      <c r="AO155" s="2" t="s">
        <v>3282</v>
      </c>
      <c r="AP155" s="2" t="s">
        <v>3282</v>
      </c>
      <c r="AQ155" s="136"/>
    </row>
    <row r="156" spans="1:43" s="115" customFormat="1" ht="12.75" hidden="1" customHeight="1" x14ac:dyDescent="0.2">
      <c r="A156" s="2">
        <v>2185</v>
      </c>
      <c r="B156" s="2" t="s">
        <v>54</v>
      </c>
      <c r="C156" s="2" t="s">
        <v>96</v>
      </c>
      <c r="D156" s="2" t="s">
        <v>3439</v>
      </c>
      <c r="E156" s="2" t="s">
        <v>3440</v>
      </c>
      <c r="F156" s="2" t="s">
        <v>110</v>
      </c>
      <c r="G156" s="2">
        <v>647</v>
      </c>
      <c r="H156" s="132">
        <v>521.5</v>
      </c>
      <c r="I156" s="132">
        <f>298*1.75</f>
        <v>521.5</v>
      </c>
      <c r="J156" s="132"/>
      <c r="K156" s="132">
        <v>521.5</v>
      </c>
      <c r="L156" s="132">
        <f t="shared" si="25"/>
        <v>0</v>
      </c>
      <c r="M156" s="132">
        <f t="shared" si="26"/>
        <v>0</v>
      </c>
      <c r="N156" s="133"/>
      <c r="O156" s="133">
        <f t="shared" si="27"/>
        <v>0</v>
      </c>
      <c r="P156" s="134">
        <v>0</v>
      </c>
      <c r="Q156" s="133"/>
      <c r="R156" s="133"/>
      <c r="S156" s="153">
        <v>0</v>
      </c>
      <c r="T156" s="153">
        <v>0</v>
      </c>
      <c r="U156" s="153">
        <v>0</v>
      </c>
      <c r="V156" s="135"/>
      <c r="W156" s="135"/>
      <c r="X156" s="135"/>
      <c r="Y156" s="135"/>
      <c r="Z156" s="135"/>
      <c r="AA156" s="135"/>
      <c r="AB156" s="135">
        <f t="shared" si="28"/>
        <v>0</v>
      </c>
      <c r="AC156" s="135"/>
      <c r="AD156" s="133"/>
      <c r="AE156" s="133"/>
      <c r="AF156" s="132" t="str">
        <f t="shared" si="29"/>
        <v>Нет инфо</v>
      </c>
      <c r="AG156" s="132" t="str">
        <f t="shared" si="30"/>
        <v>Нет инфо</v>
      </c>
      <c r="AH156" s="2" t="s">
        <v>112</v>
      </c>
      <c r="AI156" s="136">
        <v>45478</v>
      </c>
      <c r="AJ156" s="2" t="s">
        <v>145</v>
      </c>
      <c r="AK156" s="136" t="s">
        <v>18</v>
      </c>
      <c r="AL156" s="136">
        <v>45309</v>
      </c>
      <c r="AM156" s="2" t="s">
        <v>3288</v>
      </c>
      <c r="AN156" s="2"/>
      <c r="AO156" s="2" t="s">
        <v>3282</v>
      </c>
      <c r="AP156" s="2" t="s">
        <v>3282</v>
      </c>
      <c r="AQ156" s="136"/>
    </row>
    <row r="157" spans="1:43" s="115" customFormat="1" ht="12.75" hidden="1" customHeight="1" x14ac:dyDescent="0.2">
      <c r="A157" s="2">
        <v>2186</v>
      </c>
      <c r="B157" s="2" t="s">
        <v>54</v>
      </c>
      <c r="C157" s="2" t="s">
        <v>96</v>
      </c>
      <c r="D157" s="2" t="s">
        <v>3441</v>
      </c>
      <c r="E157" s="2" t="s">
        <v>3446</v>
      </c>
      <c r="F157" s="2" t="s">
        <v>110</v>
      </c>
      <c r="G157" s="2">
        <v>647</v>
      </c>
      <c r="H157" s="132">
        <v>521.5</v>
      </c>
      <c r="I157" s="132">
        <f>298*1.75</f>
        <v>521.5</v>
      </c>
      <c r="J157" s="132"/>
      <c r="K157" s="132">
        <v>521.5</v>
      </c>
      <c r="L157" s="132">
        <f t="shared" si="25"/>
        <v>0</v>
      </c>
      <c r="M157" s="132">
        <f t="shared" si="26"/>
        <v>0</v>
      </c>
      <c r="N157" s="133"/>
      <c r="O157" s="133">
        <f t="shared" si="27"/>
        <v>0</v>
      </c>
      <c r="P157" s="134">
        <v>0</v>
      </c>
      <c r="Q157" s="133"/>
      <c r="R157" s="133"/>
      <c r="S157" s="153">
        <v>0</v>
      </c>
      <c r="T157" s="153">
        <v>0</v>
      </c>
      <c r="U157" s="153">
        <v>0</v>
      </c>
      <c r="V157" s="135"/>
      <c r="W157" s="135"/>
      <c r="X157" s="135"/>
      <c r="Y157" s="135"/>
      <c r="Z157" s="135"/>
      <c r="AA157" s="135"/>
      <c r="AB157" s="135">
        <f t="shared" si="28"/>
        <v>0</v>
      </c>
      <c r="AC157" s="135"/>
      <c r="AD157" s="133"/>
      <c r="AE157" s="133"/>
      <c r="AF157" s="132" t="str">
        <f t="shared" si="29"/>
        <v>Нет инфо</v>
      </c>
      <c r="AG157" s="132" t="str">
        <f t="shared" si="30"/>
        <v>Нет инфо</v>
      </c>
      <c r="AH157" s="2" t="s">
        <v>112</v>
      </c>
      <c r="AI157" s="136">
        <v>45478</v>
      </c>
      <c r="AJ157" s="2" t="s">
        <v>145</v>
      </c>
      <c r="AK157" s="136" t="s">
        <v>18</v>
      </c>
      <c r="AL157" s="136">
        <v>45309</v>
      </c>
      <c r="AM157" s="2" t="s">
        <v>3288</v>
      </c>
      <c r="AN157" s="2"/>
      <c r="AO157" s="2" t="s">
        <v>3282</v>
      </c>
      <c r="AP157" s="2" t="s">
        <v>3282</v>
      </c>
      <c r="AQ157" s="136"/>
    </row>
    <row r="158" spans="1:43" s="115" customFormat="1" ht="12.75" hidden="1" customHeight="1" x14ac:dyDescent="0.2">
      <c r="A158" s="2">
        <v>2187</v>
      </c>
      <c r="B158" s="2" t="s">
        <v>54</v>
      </c>
      <c r="C158" s="2" t="s">
        <v>96</v>
      </c>
      <c r="D158" s="2" t="s">
        <v>3442</v>
      </c>
      <c r="E158" s="2" t="s">
        <v>3447</v>
      </c>
      <c r="F158" s="2" t="s">
        <v>110</v>
      </c>
      <c r="G158" s="2">
        <v>647</v>
      </c>
      <c r="H158" s="132">
        <v>836.5</v>
      </c>
      <c r="I158" s="132">
        <f>478*1.75</f>
        <v>836.5</v>
      </c>
      <c r="J158" s="132"/>
      <c r="K158" s="132">
        <v>836.5</v>
      </c>
      <c r="L158" s="132">
        <f t="shared" si="25"/>
        <v>0</v>
      </c>
      <c r="M158" s="132">
        <f t="shared" si="26"/>
        <v>0</v>
      </c>
      <c r="N158" s="133"/>
      <c r="O158" s="133">
        <f t="shared" si="27"/>
        <v>0</v>
      </c>
      <c r="P158" s="134">
        <v>0</v>
      </c>
      <c r="Q158" s="133"/>
      <c r="R158" s="133"/>
      <c r="S158" s="153">
        <v>0</v>
      </c>
      <c r="T158" s="153">
        <v>0</v>
      </c>
      <c r="U158" s="153">
        <v>0</v>
      </c>
      <c r="V158" s="135"/>
      <c r="W158" s="135"/>
      <c r="X158" s="135"/>
      <c r="Y158" s="135"/>
      <c r="Z158" s="135"/>
      <c r="AA158" s="135"/>
      <c r="AB158" s="135">
        <f t="shared" si="28"/>
        <v>0</v>
      </c>
      <c r="AC158" s="135"/>
      <c r="AD158" s="133"/>
      <c r="AE158" s="133"/>
      <c r="AF158" s="132" t="str">
        <f t="shared" si="29"/>
        <v>Нет инфо</v>
      </c>
      <c r="AG158" s="132" t="str">
        <f t="shared" si="30"/>
        <v>Нет инфо</v>
      </c>
      <c r="AH158" s="2" t="s">
        <v>112</v>
      </c>
      <c r="AI158" s="136">
        <v>45478</v>
      </c>
      <c r="AJ158" s="2" t="s">
        <v>145</v>
      </c>
      <c r="AK158" s="136" t="s">
        <v>18</v>
      </c>
      <c r="AL158" s="136">
        <v>45309</v>
      </c>
      <c r="AM158" s="2" t="s">
        <v>3288</v>
      </c>
      <c r="AN158" s="2"/>
      <c r="AO158" s="2" t="s">
        <v>3282</v>
      </c>
      <c r="AP158" s="2" t="s">
        <v>3282</v>
      </c>
      <c r="AQ158" s="136"/>
    </row>
    <row r="159" spans="1:43" s="115" customFormat="1" ht="12.75" hidden="1" customHeight="1" x14ac:dyDescent="0.2">
      <c r="A159" s="2">
        <v>2188</v>
      </c>
      <c r="B159" s="2" t="s">
        <v>54</v>
      </c>
      <c r="C159" s="2" t="s">
        <v>96</v>
      </c>
      <c r="D159" s="2" t="s">
        <v>3443</v>
      </c>
      <c r="E159" s="2" t="s">
        <v>3448</v>
      </c>
      <c r="F159" s="2" t="s">
        <v>110</v>
      </c>
      <c r="G159" s="2">
        <v>647</v>
      </c>
      <c r="H159" s="132">
        <v>829.5</v>
      </c>
      <c r="I159" s="132">
        <f>474*1.75</f>
        <v>829.5</v>
      </c>
      <c r="J159" s="132"/>
      <c r="K159" s="132">
        <v>829.5</v>
      </c>
      <c r="L159" s="132">
        <f t="shared" si="25"/>
        <v>0</v>
      </c>
      <c r="M159" s="132">
        <f t="shared" si="26"/>
        <v>0</v>
      </c>
      <c r="N159" s="133"/>
      <c r="O159" s="133">
        <f t="shared" si="27"/>
        <v>0</v>
      </c>
      <c r="P159" s="134">
        <v>0</v>
      </c>
      <c r="Q159" s="133"/>
      <c r="R159" s="133"/>
      <c r="S159" s="153">
        <v>0</v>
      </c>
      <c r="T159" s="153">
        <v>0</v>
      </c>
      <c r="U159" s="153">
        <v>0</v>
      </c>
      <c r="V159" s="135"/>
      <c r="W159" s="135"/>
      <c r="X159" s="135"/>
      <c r="Y159" s="135"/>
      <c r="Z159" s="135"/>
      <c r="AA159" s="135"/>
      <c r="AB159" s="135">
        <f t="shared" si="28"/>
        <v>0</v>
      </c>
      <c r="AC159" s="135"/>
      <c r="AD159" s="133"/>
      <c r="AE159" s="133"/>
      <c r="AF159" s="132" t="str">
        <f t="shared" si="29"/>
        <v>Нет инфо</v>
      </c>
      <c r="AG159" s="132" t="str">
        <f t="shared" si="30"/>
        <v>Нет инфо</v>
      </c>
      <c r="AH159" s="2" t="s">
        <v>112</v>
      </c>
      <c r="AI159" s="136">
        <v>45478</v>
      </c>
      <c r="AJ159" s="2" t="s">
        <v>145</v>
      </c>
      <c r="AK159" s="136" t="s">
        <v>18</v>
      </c>
      <c r="AL159" s="136">
        <v>45309</v>
      </c>
      <c r="AM159" s="2" t="s">
        <v>3288</v>
      </c>
      <c r="AN159" s="2"/>
      <c r="AO159" s="2" t="s">
        <v>3282</v>
      </c>
      <c r="AP159" s="2" t="s">
        <v>3282</v>
      </c>
      <c r="AQ159" s="136"/>
    </row>
    <row r="160" spans="1:43" s="115" customFormat="1" ht="12.75" hidden="1" customHeight="1" x14ac:dyDescent="0.2">
      <c r="A160" s="2">
        <v>2189</v>
      </c>
      <c r="B160" s="2" t="s">
        <v>54</v>
      </c>
      <c r="C160" s="2" t="s">
        <v>96</v>
      </c>
      <c r="D160" s="2" t="s">
        <v>3444</v>
      </c>
      <c r="E160" s="2" t="s">
        <v>3449</v>
      </c>
      <c r="F160" s="2" t="s">
        <v>110</v>
      </c>
      <c r="G160" s="2">
        <v>647</v>
      </c>
      <c r="H160" s="132">
        <v>831.25</v>
      </c>
      <c r="I160" s="132">
        <f>475*1.75</f>
        <v>831.25</v>
      </c>
      <c r="J160" s="132"/>
      <c r="K160" s="132">
        <v>831.25</v>
      </c>
      <c r="L160" s="132">
        <f t="shared" si="25"/>
        <v>0</v>
      </c>
      <c r="M160" s="132">
        <f t="shared" si="26"/>
        <v>0</v>
      </c>
      <c r="N160" s="133"/>
      <c r="O160" s="133">
        <f t="shared" si="27"/>
        <v>0</v>
      </c>
      <c r="P160" s="134">
        <v>0</v>
      </c>
      <c r="Q160" s="133"/>
      <c r="R160" s="133"/>
      <c r="S160" s="153">
        <v>0</v>
      </c>
      <c r="T160" s="153">
        <v>0</v>
      </c>
      <c r="U160" s="153">
        <v>0</v>
      </c>
      <c r="V160" s="135"/>
      <c r="W160" s="135"/>
      <c r="X160" s="135"/>
      <c r="Y160" s="135"/>
      <c r="Z160" s="135"/>
      <c r="AA160" s="135"/>
      <c r="AB160" s="135">
        <f t="shared" si="28"/>
        <v>0</v>
      </c>
      <c r="AC160" s="135"/>
      <c r="AD160" s="133"/>
      <c r="AE160" s="133"/>
      <c r="AF160" s="132" t="str">
        <f t="shared" si="29"/>
        <v>Нет инфо</v>
      </c>
      <c r="AG160" s="132" t="str">
        <f t="shared" si="30"/>
        <v>Нет инфо</v>
      </c>
      <c r="AH160" s="2" t="s">
        <v>112</v>
      </c>
      <c r="AI160" s="136">
        <v>45478</v>
      </c>
      <c r="AJ160" s="2" t="s">
        <v>145</v>
      </c>
      <c r="AK160" s="136" t="s">
        <v>18</v>
      </c>
      <c r="AL160" s="136">
        <v>45309</v>
      </c>
      <c r="AM160" s="2" t="s">
        <v>3288</v>
      </c>
      <c r="AN160" s="2"/>
      <c r="AO160" s="2" t="s">
        <v>3282</v>
      </c>
      <c r="AP160" s="2" t="s">
        <v>3282</v>
      </c>
      <c r="AQ160" s="136"/>
    </row>
    <row r="161" spans="1:43" s="115" customFormat="1" ht="12.75" hidden="1" customHeight="1" x14ac:dyDescent="0.2">
      <c r="A161" s="2">
        <v>2190</v>
      </c>
      <c r="B161" s="2" t="s">
        <v>54</v>
      </c>
      <c r="C161" s="2" t="s">
        <v>96</v>
      </c>
      <c r="D161" s="2" t="s">
        <v>3445</v>
      </c>
      <c r="E161" s="2" t="s">
        <v>3450</v>
      </c>
      <c r="F161" s="2" t="s">
        <v>110</v>
      </c>
      <c r="G161" s="2">
        <v>647</v>
      </c>
      <c r="H161" s="132">
        <v>822.5</v>
      </c>
      <c r="I161" s="132">
        <f>470*1.75</f>
        <v>822.5</v>
      </c>
      <c r="J161" s="132"/>
      <c r="K161" s="132">
        <v>822.5</v>
      </c>
      <c r="L161" s="132">
        <f t="shared" si="25"/>
        <v>0</v>
      </c>
      <c r="M161" s="132">
        <f t="shared" si="26"/>
        <v>0</v>
      </c>
      <c r="N161" s="133"/>
      <c r="O161" s="133">
        <f t="shared" si="27"/>
        <v>0</v>
      </c>
      <c r="P161" s="134">
        <v>0</v>
      </c>
      <c r="Q161" s="133"/>
      <c r="R161" s="133"/>
      <c r="S161" s="153">
        <v>0</v>
      </c>
      <c r="T161" s="153">
        <v>0</v>
      </c>
      <c r="U161" s="153">
        <v>0</v>
      </c>
      <c r="V161" s="135"/>
      <c r="W161" s="135"/>
      <c r="X161" s="135"/>
      <c r="Y161" s="135"/>
      <c r="Z161" s="135"/>
      <c r="AA161" s="135"/>
      <c r="AB161" s="135">
        <f t="shared" si="28"/>
        <v>0</v>
      </c>
      <c r="AC161" s="135"/>
      <c r="AD161" s="133"/>
      <c r="AE161" s="133"/>
      <c r="AF161" s="132" t="str">
        <f t="shared" si="29"/>
        <v>Нет инфо</v>
      </c>
      <c r="AG161" s="132" t="str">
        <f t="shared" si="30"/>
        <v>Нет инфо</v>
      </c>
      <c r="AH161" s="2" t="s">
        <v>112</v>
      </c>
      <c r="AI161" s="136">
        <v>45478</v>
      </c>
      <c r="AJ161" s="2" t="s">
        <v>145</v>
      </c>
      <c r="AK161" s="136" t="s">
        <v>18</v>
      </c>
      <c r="AL161" s="136">
        <v>45309</v>
      </c>
      <c r="AM161" s="2" t="s">
        <v>3288</v>
      </c>
      <c r="AN161" s="2"/>
      <c r="AO161" s="2" t="s">
        <v>3282</v>
      </c>
      <c r="AP161" s="2" t="s">
        <v>3282</v>
      </c>
      <c r="AQ161" s="136"/>
    </row>
    <row r="162" spans="1:43" s="115" customFormat="1" ht="12.75" hidden="1" customHeight="1" x14ac:dyDescent="0.2">
      <c r="A162" s="2">
        <v>2191</v>
      </c>
      <c r="B162" s="2" t="s">
        <v>54</v>
      </c>
      <c r="C162" s="2" t="s">
        <v>96</v>
      </c>
      <c r="D162" s="2" t="s">
        <v>3627</v>
      </c>
      <c r="E162" s="2" t="s">
        <v>3628</v>
      </c>
      <c r="F162" s="2" t="s">
        <v>110</v>
      </c>
      <c r="G162" s="2">
        <v>647</v>
      </c>
      <c r="H162" s="132">
        <v>3325</v>
      </c>
      <c r="I162" s="132">
        <f>1900*1.75</f>
        <v>3325</v>
      </c>
      <c r="J162" s="132"/>
      <c r="K162" s="132">
        <v>3325</v>
      </c>
      <c r="L162" s="132">
        <f t="shared" si="25"/>
        <v>0</v>
      </c>
      <c r="M162" s="132">
        <f t="shared" si="26"/>
        <v>0</v>
      </c>
      <c r="N162" s="133"/>
      <c r="O162" s="133">
        <f t="shared" si="27"/>
        <v>0</v>
      </c>
      <c r="P162" s="134">
        <v>0</v>
      </c>
      <c r="Q162" s="133"/>
      <c r="R162" s="133"/>
      <c r="S162" s="153">
        <v>0</v>
      </c>
      <c r="T162" s="153">
        <v>0</v>
      </c>
      <c r="U162" s="153">
        <v>0</v>
      </c>
      <c r="V162" s="135"/>
      <c r="W162" s="135"/>
      <c r="X162" s="135"/>
      <c r="Y162" s="135"/>
      <c r="Z162" s="135"/>
      <c r="AA162" s="135"/>
      <c r="AB162" s="135">
        <f t="shared" si="28"/>
        <v>0</v>
      </c>
      <c r="AC162" s="135"/>
      <c r="AD162" s="133"/>
      <c r="AE162" s="133"/>
      <c r="AF162" s="132" t="str">
        <f t="shared" si="29"/>
        <v>Нет инфо</v>
      </c>
      <c r="AG162" s="132" t="str">
        <f t="shared" si="30"/>
        <v>Нет инфо</v>
      </c>
      <c r="AH162" s="2" t="s">
        <v>112</v>
      </c>
      <c r="AI162" s="136">
        <v>45478</v>
      </c>
      <c r="AJ162" s="2" t="s">
        <v>145</v>
      </c>
      <c r="AK162" s="136" t="s">
        <v>18</v>
      </c>
      <c r="AL162" s="136">
        <v>45309</v>
      </c>
      <c r="AM162" s="2" t="s">
        <v>3288</v>
      </c>
      <c r="AN162" s="2"/>
      <c r="AO162" s="2" t="s">
        <v>3282</v>
      </c>
      <c r="AP162" s="2" t="s">
        <v>3282</v>
      </c>
      <c r="AQ162" s="136"/>
    </row>
    <row r="163" spans="1:43" s="115" customFormat="1" ht="12.75" hidden="1" customHeight="1" x14ac:dyDescent="0.2">
      <c r="A163" s="2">
        <v>2192</v>
      </c>
      <c r="B163" s="2" t="s">
        <v>54</v>
      </c>
      <c r="C163" s="2" t="s">
        <v>96</v>
      </c>
      <c r="D163" s="2" t="s">
        <v>3452</v>
      </c>
      <c r="E163" s="2" t="s">
        <v>3453</v>
      </c>
      <c r="F163" s="2" t="s">
        <v>110</v>
      </c>
      <c r="G163" s="2">
        <v>647</v>
      </c>
      <c r="H163" s="132">
        <v>1046.5</v>
      </c>
      <c r="I163" s="132">
        <f>598*1.75</f>
        <v>1046.5</v>
      </c>
      <c r="J163" s="132"/>
      <c r="K163" s="132">
        <v>1046.5</v>
      </c>
      <c r="L163" s="132">
        <f t="shared" si="25"/>
        <v>0</v>
      </c>
      <c r="M163" s="132">
        <f t="shared" si="26"/>
        <v>0</v>
      </c>
      <c r="N163" s="133"/>
      <c r="O163" s="133">
        <f t="shared" si="27"/>
        <v>0</v>
      </c>
      <c r="P163" s="134">
        <v>0</v>
      </c>
      <c r="Q163" s="133"/>
      <c r="R163" s="133"/>
      <c r="S163" s="153">
        <v>0</v>
      </c>
      <c r="T163" s="153">
        <v>0</v>
      </c>
      <c r="U163" s="153">
        <v>0</v>
      </c>
      <c r="V163" s="135"/>
      <c r="W163" s="135"/>
      <c r="X163" s="135"/>
      <c r="Y163" s="135"/>
      <c r="Z163" s="135"/>
      <c r="AA163" s="135"/>
      <c r="AB163" s="135">
        <f t="shared" si="28"/>
        <v>0</v>
      </c>
      <c r="AC163" s="135"/>
      <c r="AD163" s="133"/>
      <c r="AE163" s="133"/>
      <c r="AF163" s="132" t="str">
        <f t="shared" si="29"/>
        <v>Нет инфо</v>
      </c>
      <c r="AG163" s="132" t="str">
        <f t="shared" si="30"/>
        <v>Нет инфо</v>
      </c>
      <c r="AH163" s="2" t="s">
        <v>112</v>
      </c>
      <c r="AI163" s="136">
        <v>45478</v>
      </c>
      <c r="AJ163" s="2" t="s">
        <v>145</v>
      </c>
      <c r="AK163" s="136" t="s">
        <v>18</v>
      </c>
      <c r="AL163" s="136">
        <v>45309</v>
      </c>
      <c r="AM163" s="2" t="s">
        <v>3288</v>
      </c>
      <c r="AN163" s="2"/>
      <c r="AO163" s="2" t="s">
        <v>3282</v>
      </c>
      <c r="AP163" s="2" t="s">
        <v>3282</v>
      </c>
      <c r="AQ163" s="136"/>
    </row>
    <row r="164" spans="1:43" s="115" customFormat="1" ht="12.75" hidden="1" customHeight="1" x14ac:dyDescent="0.2">
      <c r="A164" s="2">
        <v>2193</v>
      </c>
      <c r="B164" s="2" t="s">
        <v>54</v>
      </c>
      <c r="C164" s="2" t="s">
        <v>96</v>
      </c>
      <c r="D164" s="2" t="s">
        <v>3458</v>
      </c>
      <c r="E164" s="2" t="s">
        <v>3454</v>
      </c>
      <c r="F164" s="2" t="s">
        <v>110</v>
      </c>
      <c r="G164" s="2">
        <v>618</v>
      </c>
      <c r="H164" s="132">
        <v>1400</v>
      </c>
      <c r="I164" s="132">
        <f>800*1.75</f>
        <v>1400</v>
      </c>
      <c r="J164" s="132"/>
      <c r="K164" s="132">
        <v>1400</v>
      </c>
      <c r="L164" s="132">
        <f t="shared" si="25"/>
        <v>0</v>
      </c>
      <c r="M164" s="132">
        <f t="shared" si="26"/>
        <v>0</v>
      </c>
      <c r="N164" s="133"/>
      <c r="O164" s="133">
        <f t="shared" si="27"/>
        <v>0</v>
      </c>
      <c r="P164" s="134">
        <v>0</v>
      </c>
      <c r="Q164" s="133"/>
      <c r="R164" s="133"/>
      <c r="S164" s="153">
        <v>0</v>
      </c>
      <c r="T164" s="153">
        <v>0</v>
      </c>
      <c r="U164" s="153">
        <v>0</v>
      </c>
      <c r="V164" s="135"/>
      <c r="W164" s="135"/>
      <c r="X164" s="135"/>
      <c r="Y164" s="135"/>
      <c r="Z164" s="135"/>
      <c r="AA164" s="135"/>
      <c r="AB164" s="135">
        <f t="shared" si="28"/>
        <v>0</v>
      </c>
      <c r="AC164" s="135"/>
      <c r="AD164" s="133"/>
      <c r="AE164" s="133"/>
      <c r="AF164" s="132" t="s">
        <v>1817</v>
      </c>
      <c r="AG164" s="132" t="s">
        <v>1817</v>
      </c>
      <c r="AH164" s="2" t="s">
        <v>112</v>
      </c>
      <c r="AI164" s="136">
        <v>45478</v>
      </c>
      <c r="AJ164" s="2" t="s">
        <v>145</v>
      </c>
      <c r="AK164" s="136" t="s">
        <v>18</v>
      </c>
      <c r="AL164" s="136">
        <v>45309</v>
      </c>
      <c r="AM164" s="2" t="s">
        <v>3289</v>
      </c>
      <c r="AN164" s="2"/>
      <c r="AO164" s="2" t="s">
        <v>2766</v>
      </c>
      <c r="AP164" s="2" t="s">
        <v>2766</v>
      </c>
      <c r="AQ164" s="136"/>
    </row>
    <row r="165" spans="1:43" s="115" customFormat="1" ht="12.75" hidden="1" customHeight="1" x14ac:dyDescent="0.2">
      <c r="A165" s="2">
        <v>2194</v>
      </c>
      <c r="B165" s="2" t="s">
        <v>54</v>
      </c>
      <c r="C165" s="2" t="s">
        <v>96</v>
      </c>
      <c r="D165" s="2" t="s">
        <v>3459</v>
      </c>
      <c r="E165" s="2" t="s">
        <v>3455</v>
      </c>
      <c r="F165" s="2" t="s">
        <v>110</v>
      </c>
      <c r="G165" s="2">
        <v>618</v>
      </c>
      <c r="H165" s="132">
        <v>1342.25</v>
      </c>
      <c r="I165" s="132">
        <f>767*1.75</f>
        <v>1342.25</v>
      </c>
      <c r="J165" s="132"/>
      <c r="K165" s="132">
        <v>1342.25</v>
      </c>
      <c r="L165" s="132">
        <f t="shared" si="25"/>
        <v>0</v>
      </c>
      <c r="M165" s="132">
        <f t="shared" si="26"/>
        <v>0</v>
      </c>
      <c r="N165" s="133"/>
      <c r="O165" s="133">
        <f t="shared" si="27"/>
        <v>0</v>
      </c>
      <c r="P165" s="134">
        <v>0</v>
      </c>
      <c r="Q165" s="133"/>
      <c r="R165" s="133"/>
      <c r="S165" s="153">
        <v>0</v>
      </c>
      <c r="T165" s="153">
        <v>0</v>
      </c>
      <c r="U165" s="153">
        <v>0</v>
      </c>
      <c r="V165" s="135"/>
      <c r="W165" s="135"/>
      <c r="X165" s="135"/>
      <c r="Y165" s="135"/>
      <c r="Z165" s="135"/>
      <c r="AA165" s="135"/>
      <c r="AB165" s="135">
        <f t="shared" si="28"/>
        <v>0</v>
      </c>
      <c r="AC165" s="135"/>
      <c r="AD165" s="133"/>
      <c r="AE165" s="133"/>
      <c r="AF165" s="132" t="str">
        <f t="shared" ref="AF165:AF228" si="31">IF(OR(I165="",I165=0,N165="",N165=0),"Нет инфо",I165/N165)</f>
        <v>Нет инфо</v>
      </c>
      <c r="AG165" s="132" t="str">
        <f t="shared" ref="AG165:AG228" si="32">IF(OR(I165="",I165=0,R165="",R165=0),"Нет инфо",I165/R165)</f>
        <v>Нет инфо</v>
      </c>
      <c r="AH165" s="2" t="s">
        <v>112</v>
      </c>
      <c r="AI165" s="136">
        <v>45478</v>
      </c>
      <c r="AJ165" s="2" t="s">
        <v>145</v>
      </c>
      <c r="AK165" s="136" t="s">
        <v>18</v>
      </c>
      <c r="AL165" s="136">
        <v>45309</v>
      </c>
      <c r="AM165" s="2" t="s">
        <v>3289</v>
      </c>
      <c r="AN165" s="2"/>
      <c r="AO165" s="2" t="s">
        <v>2766</v>
      </c>
      <c r="AP165" s="2" t="s">
        <v>2766</v>
      </c>
      <c r="AQ165" s="136"/>
    </row>
    <row r="166" spans="1:43" s="115" customFormat="1" ht="12.75" hidden="1" customHeight="1" x14ac:dyDescent="0.2">
      <c r="A166" s="2">
        <v>2195</v>
      </c>
      <c r="B166" s="2" t="s">
        <v>54</v>
      </c>
      <c r="C166" s="2" t="s">
        <v>96</v>
      </c>
      <c r="D166" s="2" t="s">
        <v>3460</v>
      </c>
      <c r="E166" s="2" t="s">
        <v>3456</v>
      </c>
      <c r="F166" s="2" t="s">
        <v>110</v>
      </c>
      <c r="G166" s="2">
        <v>618</v>
      </c>
      <c r="H166" s="132">
        <v>1298.5</v>
      </c>
      <c r="I166" s="132">
        <f>742*1.75</f>
        <v>1298.5</v>
      </c>
      <c r="J166" s="132"/>
      <c r="K166" s="132">
        <v>1298.5</v>
      </c>
      <c r="L166" s="132">
        <f t="shared" si="25"/>
        <v>0</v>
      </c>
      <c r="M166" s="132">
        <f t="shared" si="26"/>
        <v>0</v>
      </c>
      <c r="N166" s="133"/>
      <c r="O166" s="133">
        <f t="shared" si="27"/>
        <v>0</v>
      </c>
      <c r="P166" s="134">
        <v>0</v>
      </c>
      <c r="Q166" s="133"/>
      <c r="R166" s="133"/>
      <c r="S166" s="153">
        <v>0</v>
      </c>
      <c r="T166" s="153">
        <v>0</v>
      </c>
      <c r="U166" s="153">
        <v>0</v>
      </c>
      <c r="V166" s="135"/>
      <c r="W166" s="135"/>
      <c r="X166" s="135"/>
      <c r="Y166" s="135"/>
      <c r="Z166" s="135"/>
      <c r="AA166" s="135"/>
      <c r="AB166" s="135">
        <f t="shared" si="28"/>
        <v>0</v>
      </c>
      <c r="AC166" s="135"/>
      <c r="AD166" s="133"/>
      <c r="AE166" s="133"/>
      <c r="AF166" s="132" t="str">
        <f t="shared" si="31"/>
        <v>Нет инфо</v>
      </c>
      <c r="AG166" s="132" t="str">
        <f t="shared" si="32"/>
        <v>Нет инфо</v>
      </c>
      <c r="AH166" s="2" t="s">
        <v>112</v>
      </c>
      <c r="AI166" s="136">
        <v>45478</v>
      </c>
      <c r="AJ166" s="2" t="s">
        <v>145</v>
      </c>
      <c r="AK166" s="136" t="s">
        <v>18</v>
      </c>
      <c r="AL166" s="136">
        <v>45309</v>
      </c>
      <c r="AM166" s="2" t="s">
        <v>3289</v>
      </c>
      <c r="AN166" s="2"/>
      <c r="AO166" s="2" t="s">
        <v>2766</v>
      </c>
      <c r="AP166" s="2" t="s">
        <v>2766</v>
      </c>
      <c r="AQ166" s="136"/>
    </row>
    <row r="167" spans="1:43" s="115" customFormat="1" ht="12.75" hidden="1" customHeight="1" x14ac:dyDescent="0.2">
      <c r="A167" s="2">
        <v>2196</v>
      </c>
      <c r="B167" s="2" t="s">
        <v>54</v>
      </c>
      <c r="C167" s="2" t="s">
        <v>96</v>
      </c>
      <c r="D167" s="2" t="s">
        <v>3462</v>
      </c>
      <c r="E167" s="2" t="s">
        <v>3461</v>
      </c>
      <c r="F167" s="2" t="s">
        <v>110</v>
      </c>
      <c r="G167" s="2">
        <v>618</v>
      </c>
      <c r="H167" s="132">
        <v>1211</v>
      </c>
      <c r="I167" s="132">
        <f>692*1.75</f>
        <v>1211</v>
      </c>
      <c r="J167" s="132"/>
      <c r="K167" s="132">
        <v>1211</v>
      </c>
      <c r="L167" s="132">
        <f t="shared" si="25"/>
        <v>0</v>
      </c>
      <c r="M167" s="132">
        <f t="shared" si="26"/>
        <v>0</v>
      </c>
      <c r="N167" s="133"/>
      <c r="O167" s="133">
        <f t="shared" si="27"/>
        <v>0</v>
      </c>
      <c r="P167" s="134">
        <v>0</v>
      </c>
      <c r="Q167" s="133"/>
      <c r="R167" s="133"/>
      <c r="S167" s="153">
        <v>0</v>
      </c>
      <c r="T167" s="153">
        <v>0</v>
      </c>
      <c r="U167" s="153">
        <v>0</v>
      </c>
      <c r="V167" s="135"/>
      <c r="W167" s="135"/>
      <c r="X167" s="135"/>
      <c r="Y167" s="135"/>
      <c r="Z167" s="135"/>
      <c r="AA167" s="135"/>
      <c r="AB167" s="135">
        <f t="shared" si="28"/>
        <v>0</v>
      </c>
      <c r="AC167" s="135"/>
      <c r="AD167" s="133"/>
      <c r="AE167" s="133"/>
      <c r="AF167" s="132" t="str">
        <f t="shared" si="31"/>
        <v>Нет инфо</v>
      </c>
      <c r="AG167" s="132" t="str">
        <f t="shared" si="32"/>
        <v>Нет инфо</v>
      </c>
      <c r="AH167" s="2" t="s">
        <v>112</v>
      </c>
      <c r="AI167" s="136">
        <v>45478</v>
      </c>
      <c r="AJ167" s="2" t="s">
        <v>145</v>
      </c>
      <c r="AK167" s="136" t="s">
        <v>18</v>
      </c>
      <c r="AL167" s="136">
        <v>45309</v>
      </c>
      <c r="AM167" s="2" t="s">
        <v>3289</v>
      </c>
      <c r="AN167" s="2"/>
      <c r="AO167" s="2" t="s">
        <v>2766</v>
      </c>
      <c r="AP167" s="2" t="s">
        <v>2766</v>
      </c>
      <c r="AQ167" s="136"/>
    </row>
    <row r="168" spans="1:43" s="115" customFormat="1" ht="12.75" hidden="1" customHeight="1" x14ac:dyDescent="0.2">
      <c r="A168" s="2">
        <v>2197</v>
      </c>
      <c r="B168" s="2" t="s">
        <v>54</v>
      </c>
      <c r="C168" s="2" t="s">
        <v>96</v>
      </c>
      <c r="D168" s="2" t="s">
        <v>3463</v>
      </c>
      <c r="E168" s="2" t="s">
        <v>3464</v>
      </c>
      <c r="F168" s="2" t="s">
        <v>110</v>
      </c>
      <c r="G168" s="2">
        <v>618</v>
      </c>
      <c r="H168" s="132">
        <v>2201.5</v>
      </c>
      <c r="I168" s="132">
        <f>1258*1.75</f>
        <v>2201.5</v>
      </c>
      <c r="J168" s="132"/>
      <c r="K168" s="132">
        <v>2201.5</v>
      </c>
      <c r="L168" s="132">
        <f t="shared" si="25"/>
        <v>0</v>
      </c>
      <c r="M168" s="132">
        <f t="shared" si="26"/>
        <v>0</v>
      </c>
      <c r="N168" s="133"/>
      <c r="O168" s="133">
        <f t="shared" si="27"/>
        <v>0</v>
      </c>
      <c r="P168" s="134">
        <v>0</v>
      </c>
      <c r="Q168" s="133"/>
      <c r="R168" s="133"/>
      <c r="S168" s="153">
        <v>0</v>
      </c>
      <c r="T168" s="153">
        <v>0</v>
      </c>
      <c r="U168" s="153">
        <v>0</v>
      </c>
      <c r="V168" s="135"/>
      <c r="W168" s="135"/>
      <c r="X168" s="135"/>
      <c r="Y168" s="135"/>
      <c r="Z168" s="135"/>
      <c r="AA168" s="135"/>
      <c r="AB168" s="135">
        <f t="shared" si="28"/>
        <v>0</v>
      </c>
      <c r="AC168" s="135"/>
      <c r="AD168" s="133"/>
      <c r="AE168" s="133"/>
      <c r="AF168" s="132" t="str">
        <f t="shared" si="31"/>
        <v>Нет инфо</v>
      </c>
      <c r="AG168" s="132" t="str">
        <f t="shared" si="32"/>
        <v>Нет инфо</v>
      </c>
      <c r="AH168" s="2" t="s">
        <v>112</v>
      </c>
      <c r="AI168" s="136">
        <v>45478</v>
      </c>
      <c r="AJ168" s="2" t="s">
        <v>145</v>
      </c>
      <c r="AK168" s="136" t="s">
        <v>18</v>
      </c>
      <c r="AL168" s="136">
        <v>45309</v>
      </c>
      <c r="AM168" s="2" t="s">
        <v>3289</v>
      </c>
      <c r="AN168" s="2"/>
      <c r="AO168" s="2" t="s">
        <v>2766</v>
      </c>
      <c r="AP168" s="2" t="s">
        <v>2766</v>
      </c>
      <c r="AQ168" s="136"/>
    </row>
    <row r="169" spans="1:43" s="115" customFormat="1" ht="12.75" hidden="1" customHeight="1" x14ac:dyDescent="0.2">
      <c r="A169" s="2">
        <v>2198</v>
      </c>
      <c r="B169" s="2" t="s">
        <v>54</v>
      </c>
      <c r="C169" s="2" t="s">
        <v>96</v>
      </c>
      <c r="D169" s="2" t="s">
        <v>3465</v>
      </c>
      <c r="E169" s="2" t="s">
        <v>3468</v>
      </c>
      <c r="F169" s="2" t="s">
        <v>110</v>
      </c>
      <c r="G169" s="2">
        <v>618</v>
      </c>
      <c r="H169" s="132">
        <v>1800.75</v>
      </c>
      <c r="I169" s="132">
        <f>1029*1.75</f>
        <v>1800.75</v>
      </c>
      <c r="J169" s="132"/>
      <c r="K169" s="132">
        <v>1800.75</v>
      </c>
      <c r="L169" s="132">
        <f t="shared" si="25"/>
        <v>0</v>
      </c>
      <c r="M169" s="132">
        <f t="shared" si="26"/>
        <v>0</v>
      </c>
      <c r="N169" s="133"/>
      <c r="O169" s="133">
        <f t="shared" si="27"/>
        <v>0</v>
      </c>
      <c r="P169" s="134">
        <v>0</v>
      </c>
      <c r="Q169" s="133"/>
      <c r="R169" s="133"/>
      <c r="S169" s="153">
        <v>0</v>
      </c>
      <c r="T169" s="153">
        <v>0</v>
      </c>
      <c r="U169" s="153">
        <v>0</v>
      </c>
      <c r="V169" s="135"/>
      <c r="W169" s="135"/>
      <c r="X169" s="135"/>
      <c r="Y169" s="135"/>
      <c r="Z169" s="135"/>
      <c r="AA169" s="135"/>
      <c r="AB169" s="135">
        <f t="shared" si="28"/>
        <v>0</v>
      </c>
      <c r="AC169" s="135"/>
      <c r="AD169" s="133"/>
      <c r="AE169" s="133"/>
      <c r="AF169" s="132" t="str">
        <f t="shared" si="31"/>
        <v>Нет инфо</v>
      </c>
      <c r="AG169" s="132" t="str">
        <f t="shared" si="32"/>
        <v>Нет инфо</v>
      </c>
      <c r="AH169" s="2" t="s">
        <v>112</v>
      </c>
      <c r="AI169" s="136">
        <v>45478</v>
      </c>
      <c r="AJ169" s="2" t="s">
        <v>145</v>
      </c>
      <c r="AK169" s="136" t="s">
        <v>18</v>
      </c>
      <c r="AL169" s="136">
        <v>45309</v>
      </c>
      <c r="AM169" s="2" t="s">
        <v>3289</v>
      </c>
      <c r="AN169" s="2"/>
      <c r="AO169" s="2" t="s">
        <v>2766</v>
      </c>
      <c r="AP169" s="2" t="s">
        <v>2766</v>
      </c>
      <c r="AQ169" s="136"/>
    </row>
    <row r="170" spans="1:43" s="115" customFormat="1" ht="12.75" hidden="1" customHeight="1" x14ac:dyDescent="0.2">
      <c r="A170" s="2">
        <v>2199</v>
      </c>
      <c r="B170" s="2" t="s">
        <v>54</v>
      </c>
      <c r="C170" s="2" t="s">
        <v>96</v>
      </c>
      <c r="D170" s="2" t="s">
        <v>3466</v>
      </c>
      <c r="E170" s="2" t="s">
        <v>3469</v>
      </c>
      <c r="F170" s="2" t="s">
        <v>110</v>
      </c>
      <c r="G170" s="2">
        <v>618</v>
      </c>
      <c r="H170" s="132">
        <v>1823.5</v>
      </c>
      <c r="I170" s="132">
        <f>1042*1.75</f>
        <v>1823.5</v>
      </c>
      <c r="J170" s="132"/>
      <c r="K170" s="132">
        <v>1823.5</v>
      </c>
      <c r="L170" s="132">
        <f t="shared" si="25"/>
        <v>0</v>
      </c>
      <c r="M170" s="132">
        <f t="shared" si="26"/>
        <v>0</v>
      </c>
      <c r="N170" s="133"/>
      <c r="O170" s="133">
        <f t="shared" si="27"/>
        <v>0</v>
      </c>
      <c r="P170" s="134">
        <v>0</v>
      </c>
      <c r="Q170" s="133"/>
      <c r="R170" s="133"/>
      <c r="S170" s="153">
        <v>0</v>
      </c>
      <c r="T170" s="153">
        <v>0</v>
      </c>
      <c r="U170" s="153">
        <v>0</v>
      </c>
      <c r="V170" s="135"/>
      <c r="W170" s="135"/>
      <c r="X170" s="135"/>
      <c r="Y170" s="135"/>
      <c r="Z170" s="135"/>
      <c r="AA170" s="135"/>
      <c r="AB170" s="135">
        <f t="shared" si="28"/>
        <v>0</v>
      </c>
      <c r="AC170" s="135"/>
      <c r="AD170" s="133"/>
      <c r="AE170" s="133"/>
      <c r="AF170" s="132" t="str">
        <f t="shared" si="31"/>
        <v>Нет инфо</v>
      </c>
      <c r="AG170" s="132" t="str">
        <f t="shared" si="32"/>
        <v>Нет инфо</v>
      </c>
      <c r="AH170" s="2" t="s">
        <v>112</v>
      </c>
      <c r="AI170" s="136">
        <v>45478</v>
      </c>
      <c r="AJ170" s="2" t="s">
        <v>145</v>
      </c>
      <c r="AK170" s="136" t="s">
        <v>18</v>
      </c>
      <c r="AL170" s="136">
        <v>45309</v>
      </c>
      <c r="AM170" s="2" t="s">
        <v>3289</v>
      </c>
      <c r="AN170" s="2"/>
      <c r="AO170" s="2" t="s">
        <v>2766</v>
      </c>
      <c r="AP170" s="2" t="s">
        <v>2766</v>
      </c>
      <c r="AQ170" s="136"/>
    </row>
    <row r="171" spans="1:43" s="115" customFormat="1" ht="12.75" hidden="1" customHeight="1" x14ac:dyDescent="0.2">
      <c r="A171" s="2">
        <v>2200</v>
      </c>
      <c r="B171" s="2" t="s">
        <v>54</v>
      </c>
      <c r="C171" s="2" t="s">
        <v>96</v>
      </c>
      <c r="D171" s="2" t="s">
        <v>3467</v>
      </c>
      <c r="E171" s="2" t="s">
        <v>3470</v>
      </c>
      <c r="F171" s="2" t="s">
        <v>110</v>
      </c>
      <c r="G171" s="2">
        <v>618</v>
      </c>
      <c r="H171" s="132">
        <v>1100.75</v>
      </c>
      <c r="I171" s="132">
        <f>629*1.75</f>
        <v>1100.75</v>
      </c>
      <c r="J171" s="132"/>
      <c r="K171" s="132">
        <v>1100.75</v>
      </c>
      <c r="L171" s="132">
        <f t="shared" si="25"/>
        <v>0</v>
      </c>
      <c r="M171" s="132">
        <f t="shared" si="26"/>
        <v>0</v>
      </c>
      <c r="N171" s="133"/>
      <c r="O171" s="133">
        <f t="shared" si="27"/>
        <v>0</v>
      </c>
      <c r="P171" s="134">
        <v>0</v>
      </c>
      <c r="Q171" s="133"/>
      <c r="R171" s="133"/>
      <c r="S171" s="153">
        <v>0</v>
      </c>
      <c r="T171" s="153">
        <v>0</v>
      </c>
      <c r="U171" s="153">
        <v>0</v>
      </c>
      <c r="V171" s="135"/>
      <c r="W171" s="135"/>
      <c r="X171" s="135"/>
      <c r="Y171" s="135"/>
      <c r="Z171" s="135"/>
      <c r="AA171" s="135"/>
      <c r="AB171" s="135">
        <f t="shared" ref="AB171:AB183" si="33">IF(AJ171="Принят",(J171/1.18-W171-Z171)*0.1,J171/1.18*0.8*0.1)-AA171</f>
        <v>0</v>
      </c>
      <c r="AC171" s="135"/>
      <c r="AD171" s="133"/>
      <c r="AE171" s="133"/>
      <c r="AF171" s="132" t="str">
        <f t="shared" si="31"/>
        <v>Нет инфо</v>
      </c>
      <c r="AG171" s="132" t="str">
        <f t="shared" si="32"/>
        <v>Нет инфо</v>
      </c>
      <c r="AH171" s="2" t="s">
        <v>112</v>
      </c>
      <c r="AI171" s="136">
        <v>45478</v>
      </c>
      <c r="AJ171" s="2" t="s">
        <v>145</v>
      </c>
      <c r="AK171" s="136" t="s">
        <v>18</v>
      </c>
      <c r="AL171" s="136">
        <v>45309</v>
      </c>
      <c r="AM171" s="2" t="s">
        <v>3289</v>
      </c>
      <c r="AN171" s="2"/>
      <c r="AO171" s="2" t="s">
        <v>2766</v>
      </c>
      <c r="AP171" s="2" t="s">
        <v>2766</v>
      </c>
      <c r="AQ171" s="136"/>
    </row>
    <row r="172" spans="1:43" s="115" customFormat="1" ht="12.75" hidden="1" customHeight="1" x14ac:dyDescent="0.2">
      <c r="A172" s="2">
        <v>2201</v>
      </c>
      <c r="B172" s="2" t="s">
        <v>54</v>
      </c>
      <c r="C172" s="2" t="s">
        <v>96</v>
      </c>
      <c r="D172" s="2" t="s">
        <v>3691</v>
      </c>
      <c r="E172" s="2" t="s">
        <v>3690</v>
      </c>
      <c r="F172" s="2" t="s">
        <v>110</v>
      </c>
      <c r="G172" s="2"/>
      <c r="H172" s="132">
        <v>411.25</v>
      </c>
      <c r="I172" s="132">
        <f>235*1.75</f>
        <v>411.25</v>
      </c>
      <c r="J172" s="132"/>
      <c r="K172" s="132">
        <v>411.25</v>
      </c>
      <c r="L172" s="132">
        <f t="shared" si="25"/>
        <v>0</v>
      </c>
      <c r="M172" s="132">
        <f t="shared" si="26"/>
        <v>0</v>
      </c>
      <c r="N172" s="133"/>
      <c r="O172" s="133">
        <f t="shared" si="27"/>
        <v>0</v>
      </c>
      <c r="P172" s="134">
        <v>0</v>
      </c>
      <c r="Q172" s="133"/>
      <c r="R172" s="133"/>
      <c r="S172" s="153">
        <v>0</v>
      </c>
      <c r="T172" s="153">
        <v>0</v>
      </c>
      <c r="U172" s="153">
        <v>0</v>
      </c>
      <c r="V172" s="135"/>
      <c r="W172" s="135"/>
      <c r="X172" s="135"/>
      <c r="Y172" s="135"/>
      <c r="Z172" s="135"/>
      <c r="AA172" s="135"/>
      <c r="AB172" s="135">
        <f t="shared" si="33"/>
        <v>0</v>
      </c>
      <c r="AC172" s="135"/>
      <c r="AD172" s="133"/>
      <c r="AE172" s="133"/>
      <c r="AF172" s="132" t="str">
        <f t="shared" si="31"/>
        <v>Нет инфо</v>
      </c>
      <c r="AG172" s="132" t="str">
        <f t="shared" si="32"/>
        <v>Нет инфо</v>
      </c>
      <c r="AH172" s="2" t="s">
        <v>112</v>
      </c>
      <c r="AI172" s="136">
        <v>45478</v>
      </c>
      <c r="AJ172" s="2" t="s">
        <v>145</v>
      </c>
      <c r="AK172" s="136" t="s">
        <v>18</v>
      </c>
      <c r="AL172" s="136">
        <v>45309</v>
      </c>
      <c r="AM172" s="2" t="s">
        <v>3292</v>
      </c>
      <c r="AN172" s="2"/>
      <c r="AO172" s="2" t="s">
        <v>3283</v>
      </c>
      <c r="AP172" s="2" t="s">
        <v>3283</v>
      </c>
      <c r="AQ172" s="136"/>
    </row>
    <row r="173" spans="1:43" s="115" customFormat="1" ht="12.75" hidden="1" customHeight="1" x14ac:dyDescent="0.2">
      <c r="A173" s="2">
        <v>2202</v>
      </c>
      <c r="B173" s="2" t="s">
        <v>54</v>
      </c>
      <c r="C173" s="2" t="s">
        <v>96</v>
      </c>
      <c r="D173" s="2" t="s">
        <v>3327</v>
      </c>
      <c r="E173" s="2" t="s">
        <v>3304</v>
      </c>
      <c r="F173" s="2" t="s">
        <v>71</v>
      </c>
      <c r="G173" s="2">
        <v>647</v>
      </c>
      <c r="H173" s="132">
        <v>0</v>
      </c>
      <c r="I173" s="132">
        <f>25000</f>
        <v>25000</v>
      </c>
      <c r="J173" s="132"/>
      <c r="K173" s="132"/>
      <c r="L173" s="132">
        <f t="shared" si="25"/>
        <v>0</v>
      </c>
      <c r="M173" s="132">
        <f t="shared" si="26"/>
        <v>25000</v>
      </c>
      <c r="N173" s="133"/>
      <c r="O173" s="133">
        <f t="shared" si="27"/>
        <v>0</v>
      </c>
      <c r="P173" s="134" t="s">
        <v>1993</v>
      </c>
      <c r="Q173" s="133"/>
      <c r="R173" s="133"/>
      <c r="S173" s="153">
        <v>0</v>
      </c>
      <c r="T173" s="153">
        <v>0</v>
      </c>
      <c r="U173" s="153">
        <v>0</v>
      </c>
      <c r="V173" s="135"/>
      <c r="W173" s="135"/>
      <c r="X173" s="135"/>
      <c r="Y173" s="135"/>
      <c r="Z173" s="135"/>
      <c r="AA173" s="135"/>
      <c r="AB173" s="135">
        <f>IF(AJ173="Принят",(J173/1.18-W173-Z173)*0.1,J173/1.18*0.8*0.1)-AA173</f>
        <v>0</v>
      </c>
      <c r="AC173" s="135"/>
      <c r="AD173" s="133"/>
      <c r="AE173" s="133"/>
      <c r="AF173" s="132" t="str">
        <f t="shared" si="31"/>
        <v>Нет инфо</v>
      </c>
      <c r="AG173" s="132" t="str">
        <f t="shared" si="32"/>
        <v>Нет инфо</v>
      </c>
      <c r="AH173" s="2" t="s">
        <v>11</v>
      </c>
      <c r="AI173" s="136"/>
      <c r="AJ173" s="2">
        <v>50</v>
      </c>
      <c r="AK173" s="136" t="s">
        <v>18</v>
      </c>
      <c r="AL173" s="136">
        <v>45303</v>
      </c>
      <c r="AM173" s="2" t="s">
        <v>3359</v>
      </c>
      <c r="AN173" s="2"/>
      <c r="AO173" s="2" t="s">
        <v>3282</v>
      </c>
      <c r="AP173" s="2" t="s">
        <v>3282</v>
      </c>
      <c r="AQ173" s="136"/>
    </row>
    <row r="174" spans="1:43" s="115" customFormat="1" ht="12.75" hidden="1" customHeight="1" x14ac:dyDescent="0.2">
      <c r="A174" s="2">
        <v>2203</v>
      </c>
      <c r="B174" s="2" t="s">
        <v>54</v>
      </c>
      <c r="C174" s="2" t="s">
        <v>96</v>
      </c>
      <c r="D174" s="2" t="s">
        <v>3458</v>
      </c>
      <c r="E174" s="2" t="s">
        <v>3454</v>
      </c>
      <c r="F174" s="2" t="s">
        <v>71</v>
      </c>
      <c r="G174" s="2">
        <v>618</v>
      </c>
      <c r="H174" s="132">
        <v>0</v>
      </c>
      <c r="I174" s="132">
        <f>50000+2000+24440.26</f>
        <v>76440.259999999995</v>
      </c>
      <c r="J174" s="132">
        <f>50000+2000+24440.26</f>
        <v>76440.259999999995</v>
      </c>
      <c r="K174" s="132">
        <f>Y174+305.08+32067.38</f>
        <v>76440.259999999995</v>
      </c>
      <c r="L174" s="132">
        <f t="shared" si="25"/>
        <v>-76440.259999999995</v>
      </c>
      <c r="M174" s="132">
        <f t="shared" si="26"/>
        <v>0</v>
      </c>
      <c r="N174" s="133">
        <v>1276</v>
      </c>
      <c r="O174" s="133">
        <f t="shared" si="27"/>
        <v>0</v>
      </c>
      <c r="P174" s="134">
        <v>0</v>
      </c>
      <c r="Q174" s="133"/>
      <c r="R174" s="133"/>
      <c r="S174" s="153">
        <v>0</v>
      </c>
      <c r="T174" s="153">
        <v>0</v>
      </c>
      <c r="U174" s="153">
        <v>0</v>
      </c>
      <c r="V174" s="135"/>
      <c r="W174" s="135"/>
      <c r="X174" s="135"/>
      <c r="Y174" s="135">
        <f>42372.88+1694.92</f>
        <v>44067.799999999996</v>
      </c>
      <c r="Z174" s="135">
        <f>3845.48+111.98</f>
        <v>3957.46</v>
      </c>
      <c r="AA174" s="135">
        <v>0</v>
      </c>
      <c r="AB174" s="140">
        <f t="shared" ref="AB174:AB176" si="34">IF(AJ174="Принят",(J174/1.18-W174-Z174)*0.1,J174/1.18*0.8*0.1)-AA174</f>
        <v>6082.2421355932202</v>
      </c>
      <c r="AC174" s="135"/>
      <c r="AD174" s="133"/>
      <c r="AE174" s="133"/>
      <c r="AF174" s="132">
        <f t="shared" si="31"/>
        <v>59.906159874608143</v>
      </c>
      <c r="AG174" s="132" t="str">
        <f t="shared" si="32"/>
        <v>Нет инфо</v>
      </c>
      <c r="AH174" s="2" t="s">
        <v>11</v>
      </c>
      <c r="AI174" s="136">
        <v>45575</v>
      </c>
      <c r="AJ174" s="2" t="s">
        <v>109</v>
      </c>
      <c r="AK174" s="136" t="s">
        <v>18</v>
      </c>
      <c r="AL174" s="136">
        <v>45303</v>
      </c>
      <c r="AM174" s="2" t="s">
        <v>3358</v>
      </c>
      <c r="AN174" s="2"/>
      <c r="AO174" s="2" t="s">
        <v>2766</v>
      </c>
      <c r="AP174" s="2" t="s">
        <v>2766</v>
      </c>
      <c r="AQ174" s="136"/>
    </row>
    <row r="175" spans="1:43" s="115" customFormat="1" ht="12.75" hidden="1" customHeight="1" x14ac:dyDescent="0.2">
      <c r="A175" s="2">
        <v>2204</v>
      </c>
      <c r="B175" s="2" t="s">
        <v>54</v>
      </c>
      <c r="C175" s="2" t="s">
        <v>96</v>
      </c>
      <c r="D175" s="2" t="s">
        <v>3460</v>
      </c>
      <c r="E175" s="2" t="s">
        <v>3456</v>
      </c>
      <c r="F175" s="2" t="s">
        <v>71</v>
      </c>
      <c r="G175" s="2">
        <v>618</v>
      </c>
      <c r="H175" s="132">
        <v>0</v>
      </c>
      <c r="I175" s="132">
        <f>50000+10000+3860.7</f>
        <v>63860.7</v>
      </c>
      <c r="J175" s="132">
        <f>50000+10000+3860.7</f>
        <v>63860.7</v>
      </c>
      <c r="K175" s="132">
        <f>1525.423+Y175+11487.817</f>
        <v>63860.7</v>
      </c>
      <c r="L175" s="132">
        <f t="shared" si="25"/>
        <v>-63860.7</v>
      </c>
      <c r="M175" s="132">
        <f t="shared" si="26"/>
        <v>0</v>
      </c>
      <c r="N175" s="133">
        <v>843</v>
      </c>
      <c r="O175" s="133">
        <f t="shared" si="27"/>
        <v>0</v>
      </c>
      <c r="P175" s="134" t="s">
        <v>1993</v>
      </c>
      <c r="Q175" s="133"/>
      <c r="R175" s="133"/>
      <c r="S175" s="153">
        <v>0</v>
      </c>
      <c r="T175" s="153">
        <v>0</v>
      </c>
      <c r="U175" s="153">
        <v>0</v>
      </c>
      <c r="V175" s="135"/>
      <c r="W175" s="135"/>
      <c r="X175" s="135"/>
      <c r="Y175" s="135">
        <f>42372.88+8474.58</f>
        <v>50847.46</v>
      </c>
      <c r="Z175" s="135">
        <f>3845.48+489.15</f>
        <v>4334.63</v>
      </c>
      <c r="AA175" s="135">
        <v>0</v>
      </c>
      <c r="AB175" s="140">
        <f t="shared" si="34"/>
        <v>4978.4607288135594</v>
      </c>
      <c r="AC175" s="135"/>
      <c r="AD175" s="133"/>
      <c r="AE175" s="133"/>
      <c r="AF175" s="132">
        <f t="shared" si="31"/>
        <v>75.754092526690386</v>
      </c>
      <c r="AG175" s="132" t="str">
        <f t="shared" si="32"/>
        <v>Нет инфо</v>
      </c>
      <c r="AH175" s="2" t="s">
        <v>11</v>
      </c>
      <c r="AI175" s="136">
        <v>45631</v>
      </c>
      <c r="AJ175" s="2" t="s">
        <v>109</v>
      </c>
      <c r="AK175" s="136" t="s">
        <v>18</v>
      </c>
      <c r="AL175" s="136">
        <v>45303</v>
      </c>
      <c r="AM175" s="2" t="s">
        <v>3358</v>
      </c>
      <c r="AN175" s="2"/>
      <c r="AO175" s="2" t="s">
        <v>2766</v>
      </c>
      <c r="AP175" s="2" t="s">
        <v>2766</v>
      </c>
      <c r="AQ175" s="136"/>
    </row>
    <row r="176" spans="1:43" s="115" customFormat="1" ht="12.75" hidden="1" customHeight="1" x14ac:dyDescent="0.2">
      <c r="A176" s="2">
        <v>2205</v>
      </c>
      <c r="B176" s="2" t="s">
        <v>54</v>
      </c>
      <c r="C176" s="2" t="s">
        <v>96</v>
      </c>
      <c r="D176" s="2" t="s">
        <v>3459</v>
      </c>
      <c r="E176" s="2" t="s">
        <v>3455</v>
      </c>
      <c r="F176" s="2" t="s">
        <v>71</v>
      </c>
      <c r="G176" s="2">
        <v>618</v>
      </c>
      <c r="H176" s="132">
        <v>0</v>
      </c>
      <c r="I176" s="132">
        <f>50000+2000+23574.32</f>
        <v>75574.320000000007</v>
      </c>
      <c r="J176" s="132">
        <f>50000+2000+23574.32</f>
        <v>75574.320000000007</v>
      </c>
      <c r="K176" s="132">
        <f>Y176+305.08+31201.44</f>
        <v>75574.319999999992</v>
      </c>
      <c r="L176" s="132">
        <f t="shared" si="25"/>
        <v>-75574.319999999992</v>
      </c>
      <c r="M176" s="132">
        <f t="shared" si="26"/>
        <v>0</v>
      </c>
      <c r="N176" s="133">
        <v>1158</v>
      </c>
      <c r="O176" s="133">
        <f t="shared" si="27"/>
        <v>1.4551915228366852E-11</v>
      </c>
      <c r="P176" s="134">
        <v>0</v>
      </c>
      <c r="Q176" s="133"/>
      <c r="R176" s="133"/>
      <c r="S176" s="153">
        <v>0</v>
      </c>
      <c r="T176" s="153">
        <v>0</v>
      </c>
      <c r="U176" s="153">
        <v>0</v>
      </c>
      <c r="V176" s="135"/>
      <c r="W176" s="135"/>
      <c r="X176" s="135"/>
      <c r="Y176" s="135">
        <f>42372.88+1694.92</f>
        <v>44067.799999999996</v>
      </c>
      <c r="Z176" s="135">
        <f>3845.48+111.98</f>
        <v>3957.46</v>
      </c>
      <c r="AA176" s="135">
        <v>0</v>
      </c>
      <c r="AB176" s="140">
        <f t="shared" si="34"/>
        <v>6008.8573898305103</v>
      </c>
      <c r="AC176" s="135"/>
      <c r="AD176" s="133"/>
      <c r="AE176" s="133"/>
      <c r="AF176" s="132">
        <f t="shared" si="31"/>
        <v>65.26279792746115</v>
      </c>
      <c r="AG176" s="132" t="str">
        <f t="shared" si="32"/>
        <v>Нет инфо</v>
      </c>
      <c r="AH176" s="2" t="s">
        <v>11</v>
      </c>
      <c r="AI176" s="136">
        <v>45575</v>
      </c>
      <c r="AJ176" s="2" t="s">
        <v>109</v>
      </c>
      <c r="AK176" s="136" t="s">
        <v>18</v>
      </c>
      <c r="AL176" s="136">
        <v>45303</v>
      </c>
      <c r="AM176" s="2" t="s">
        <v>3358</v>
      </c>
      <c r="AN176" s="2"/>
      <c r="AO176" s="2" t="s">
        <v>2766</v>
      </c>
      <c r="AP176" s="2" t="s">
        <v>2766</v>
      </c>
      <c r="AQ176" s="136"/>
    </row>
    <row r="177" spans="1:43" s="115" customFormat="1" ht="12.75" hidden="1" customHeight="1" x14ac:dyDescent="0.2">
      <c r="A177" s="2">
        <v>2206</v>
      </c>
      <c r="B177" s="2" t="s">
        <v>54</v>
      </c>
      <c r="C177" s="2" t="s">
        <v>96</v>
      </c>
      <c r="D177" s="2" t="s">
        <v>3338</v>
      </c>
      <c r="E177" s="2" t="s">
        <v>3308</v>
      </c>
      <c r="F177" s="2" t="s">
        <v>71</v>
      </c>
      <c r="G177" s="2">
        <v>618</v>
      </c>
      <c r="H177" s="132">
        <v>0</v>
      </c>
      <c r="I177" s="132">
        <f>60000</f>
        <v>60000</v>
      </c>
      <c r="J177" s="132"/>
      <c r="K177" s="132"/>
      <c r="L177" s="132">
        <f t="shared" si="25"/>
        <v>0</v>
      </c>
      <c r="M177" s="132">
        <f t="shared" si="26"/>
        <v>60000</v>
      </c>
      <c r="N177" s="133"/>
      <c r="O177" s="133">
        <f t="shared" si="27"/>
        <v>0</v>
      </c>
      <c r="P177" s="134" t="s">
        <v>1993</v>
      </c>
      <c r="Q177" s="133"/>
      <c r="R177" s="133"/>
      <c r="S177" s="153">
        <v>0</v>
      </c>
      <c r="T177" s="153">
        <v>0</v>
      </c>
      <c r="U177" s="153">
        <v>0</v>
      </c>
      <c r="V177" s="135"/>
      <c r="W177" s="135"/>
      <c r="X177" s="135"/>
      <c r="Y177" s="135"/>
      <c r="Z177" s="135"/>
      <c r="AA177" s="135"/>
      <c r="AB177" s="135">
        <f t="shared" si="33"/>
        <v>0</v>
      </c>
      <c r="AC177" s="135"/>
      <c r="AD177" s="133"/>
      <c r="AE177" s="133"/>
      <c r="AF177" s="132" t="str">
        <f t="shared" si="31"/>
        <v>Нет инфо</v>
      </c>
      <c r="AG177" s="132" t="str">
        <f t="shared" si="32"/>
        <v>Нет инфо</v>
      </c>
      <c r="AH177" s="2" t="s">
        <v>11</v>
      </c>
      <c r="AI177" s="136"/>
      <c r="AJ177" s="2">
        <v>50</v>
      </c>
      <c r="AK177" s="136" t="s">
        <v>18</v>
      </c>
      <c r="AL177" s="136">
        <v>45303</v>
      </c>
      <c r="AM177" s="2" t="s">
        <v>3358</v>
      </c>
      <c r="AN177" s="2"/>
      <c r="AO177" s="2" t="s">
        <v>2766</v>
      </c>
      <c r="AP177" s="2" t="s">
        <v>2766</v>
      </c>
      <c r="AQ177" s="136"/>
    </row>
    <row r="178" spans="1:43" s="115" customFormat="1" ht="12.75" hidden="1" customHeight="1" x14ac:dyDescent="0.2">
      <c r="A178" s="2">
        <v>2207</v>
      </c>
      <c r="B178" s="2" t="s">
        <v>54</v>
      </c>
      <c r="C178" s="2" t="s">
        <v>96</v>
      </c>
      <c r="D178" s="2" t="s">
        <v>3462</v>
      </c>
      <c r="E178" s="2" t="s">
        <v>3461</v>
      </c>
      <c r="F178" s="2" t="s">
        <v>71</v>
      </c>
      <c r="G178" s="2">
        <v>618</v>
      </c>
      <c r="H178" s="132">
        <v>0</v>
      </c>
      <c r="I178" s="132">
        <f>20000</f>
        <v>20000</v>
      </c>
      <c r="J178" s="132"/>
      <c r="K178" s="132"/>
      <c r="L178" s="132">
        <f t="shared" si="25"/>
        <v>0</v>
      </c>
      <c r="M178" s="132">
        <f t="shared" si="26"/>
        <v>20000</v>
      </c>
      <c r="N178" s="133"/>
      <c r="O178" s="133">
        <f t="shared" si="27"/>
        <v>0</v>
      </c>
      <c r="P178" s="134" t="s">
        <v>1993</v>
      </c>
      <c r="Q178" s="133"/>
      <c r="R178" s="133"/>
      <c r="S178" s="153">
        <v>0</v>
      </c>
      <c r="T178" s="153">
        <v>0</v>
      </c>
      <c r="U178" s="153">
        <v>0</v>
      </c>
      <c r="V178" s="135"/>
      <c r="W178" s="135"/>
      <c r="X178" s="135"/>
      <c r="Y178" s="135"/>
      <c r="Z178" s="135"/>
      <c r="AA178" s="135"/>
      <c r="AB178" s="135">
        <f t="shared" si="33"/>
        <v>0</v>
      </c>
      <c r="AC178" s="135"/>
      <c r="AD178" s="133"/>
      <c r="AE178" s="133"/>
      <c r="AF178" s="132" t="str">
        <f t="shared" si="31"/>
        <v>Нет инфо</v>
      </c>
      <c r="AG178" s="132" t="str">
        <f t="shared" si="32"/>
        <v>Нет инфо</v>
      </c>
      <c r="AH178" s="2" t="s">
        <v>11</v>
      </c>
      <c r="AI178" s="136"/>
      <c r="AJ178" s="2">
        <v>50</v>
      </c>
      <c r="AK178" s="136" t="s">
        <v>18</v>
      </c>
      <c r="AL178" s="136">
        <v>45303</v>
      </c>
      <c r="AM178" s="2" t="s">
        <v>3358</v>
      </c>
      <c r="AN178" s="2"/>
      <c r="AO178" s="2" t="s">
        <v>2766</v>
      </c>
      <c r="AP178" s="2" t="s">
        <v>2766</v>
      </c>
      <c r="AQ178" s="136"/>
    </row>
    <row r="179" spans="1:43" s="115" customFormat="1" ht="12.75" hidden="1" customHeight="1" x14ac:dyDescent="0.2">
      <c r="A179" s="2">
        <v>2208</v>
      </c>
      <c r="B179" s="2" t="s">
        <v>54</v>
      </c>
      <c r="C179" s="2" t="s">
        <v>96</v>
      </c>
      <c r="D179" s="2" t="s">
        <v>3478</v>
      </c>
      <c r="E179" s="2" t="s">
        <v>3479</v>
      </c>
      <c r="F179" s="2" t="s">
        <v>110</v>
      </c>
      <c r="G179" s="2">
        <v>647</v>
      </c>
      <c r="H179" s="132">
        <v>1781.5</v>
      </c>
      <c r="I179" s="132">
        <f>1018*1.75</f>
        <v>1781.5</v>
      </c>
      <c r="J179" s="132"/>
      <c r="K179" s="132">
        <v>1781.5</v>
      </c>
      <c r="L179" s="132">
        <f t="shared" si="25"/>
        <v>0</v>
      </c>
      <c r="M179" s="132">
        <f t="shared" si="26"/>
        <v>0</v>
      </c>
      <c r="N179" s="133"/>
      <c r="O179" s="133">
        <f t="shared" si="27"/>
        <v>0</v>
      </c>
      <c r="P179" s="134">
        <v>0</v>
      </c>
      <c r="Q179" s="133"/>
      <c r="R179" s="133"/>
      <c r="S179" s="153">
        <v>0</v>
      </c>
      <c r="T179" s="153">
        <v>0</v>
      </c>
      <c r="U179" s="153">
        <v>0</v>
      </c>
      <c r="V179" s="135"/>
      <c r="W179" s="135"/>
      <c r="X179" s="135"/>
      <c r="Y179" s="135"/>
      <c r="Z179" s="135"/>
      <c r="AA179" s="135"/>
      <c r="AB179" s="135">
        <f t="shared" si="33"/>
        <v>0</v>
      </c>
      <c r="AC179" s="135"/>
      <c r="AD179" s="133"/>
      <c r="AE179" s="133"/>
      <c r="AF179" s="132" t="str">
        <f t="shared" si="31"/>
        <v>Нет инфо</v>
      </c>
      <c r="AG179" s="132" t="str">
        <f t="shared" si="32"/>
        <v>Нет инфо</v>
      </c>
      <c r="AH179" s="2" t="s">
        <v>112</v>
      </c>
      <c r="AI179" s="136">
        <v>45495</v>
      </c>
      <c r="AJ179" s="2" t="s">
        <v>145</v>
      </c>
      <c r="AK179" s="136" t="s">
        <v>18</v>
      </c>
      <c r="AL179" s="136">
        <v>45309</v>
      </c>
      <c r="AM179" s="2" t="s">
        <v>3288</v>
      </c>
      <c r="AN179" s="2"/>
      <c r="AO179" s="2" t="s">
        <v>3282</v>
      </c>
      <c r="AP179" s="2" t="s">
        <v>3282</v>
      </c>
      <c r="AQ179" s="136"/>
    </row>
    <row r="180" spans="1:43" s="115" customFormat="1" ht="12.75" hidden="1" customHeight="1" x14ac:dyDescent="0.2">
      <c r="A180" s="2">
        <v>2209</v>
      </c>
      <c r="B180" s="2" t="s">
        <v>54</v>
      </c>
      <c r="C180" s="2" t="s">
        <v>96</v>
      </c>
      <c r="D180" s="2" t="s">
        <v>3480</v>
      </c>
      <c r="E180" s="2" t="s">
        <v>3481</v>
      </c>
      <c r="F180" s="2" t="s">
        <v>110</v>
      </c>
      <c r="G180" s="2">
        <v>647</v>
      </c>
      <c r="H180" s="132">
        <v>3927</v>
      </c>
      <c r="I180" s="132">
        <f>2244*1.75</f>
        <v>3927</v>
      </c>
      <c r="J180" s="132"/>
      <c r="K180" s="132">
        <v>3927</v>
      </c>
      <c r="L180" s="132">
        <f t="shared" si="25"/>
        <v>0</v>
      </c>
      <c r="M180" s="132">
        <f t="shared" si="26"/>
        <v>0</v>
      </c>
      <c r="N180" s="133"/>
      <c r="O180" s="133">
        <f t="shared" si="27"/>
        <v>0</v>
      </c>
      <c r="P180" s="134">
        <v>0</v>
      </c>
      <c r="Q180" s="133"/>
      <c r="R180" s="133"/>
      <c r="S180" s="153">
        <v>0</v>
      </c>
      <c r="T180" s="153">
        <v>0</v>
      </c>
      <c r="U180" s="153">
        <v>0</v>
      </c>
      <c r="V180" s="135"/>
      <c r="W180" s="135"/>
      <c r="X180" s="135"/>
      <c r="Y180" s="135"/>
      <c r="Z180" s="135"/>
      <c r="AA180" s="135"/>
      <c r="AB180" s="135">
        <f t="shared" si="33"/>
        <v>0</v>
      </c>
      <c r="AC180" s="135"/>
      <c r="AD180" s="133"/>
      <c r="AE180" s="133"/>
      <c r="AF180" s="132" t="str">
        <f t="shared" si="31"/>
        <v>Нет инфо</v>
      </c>
      <c r="AG180" s="132" t="str">
        <f t="shared" si="32"/>
        <v>Нет инфо</v>
      </c>
      <c r="AH180" s="2" t="s">
        <v>112</v>
      </c>
      <c r="AI180" s="136">
        <v>45495</v>
      </c>
      <c r="AJ180" s="2" t="s">
        <v>145</v>
      </c>
      <c r="AK180" s="136" t="s">
        <v>18</v>
      </c>
      <c r="AL180" s="136">
        <v>45309</v>
      </c>
      <c r="AM180" s="2" t="s">
        <v>3288</v>
      </c>
      <c r="AN180" s="2"/>
      <c r="AO180" s="2" t="s">
        <v>3282</v>
      </c>
      <c r="AP180" s="2" t="s">
        <v>3282</v>
      </c>
      <c r="AQ180" s="136"/>
    </row>
    <row r="181" spans="1:43" s="115" customFormat="1" ht="12.75" hidden="1" customHeight="1" x14ac:dyDescent="0.2">
      <c r="A181" s="2">
        <v>2210</v>
      </c>
      <c r="B181" s="2" t="s">
        <v>28</v>
      </c>
      <c r="C181" s="2" t="s">
        <v>88</v>
      </c>
      <c r="D181" s="2" t="s">
        <v>3487</v>
      </c>
      <c r="E181" s="2" t="s">
        <v>3488</v>
      </c>
      <c r="F181" s="2" t="s">
        <v>117</v>
      </c>
      <c r="G181" s="2"/>
      <c r="H181" s="132">
        <f>1938.5*1.75</f>
        <v>3392.375</v>
      </c>
      <c r="I181" s="132">
        <f>1938.5*1.75</f>
        <v>3392.375</v>
      </c>
      <c r="J181" s="132"/>
      <c r="K181" s="132">
        <v>3392.375</v>
      </c>
      <c r="L181" s="132">
        <f t="shared" si="25"/>
        <v>0</v>
      </c>
      <c r="M181" s="132">
        <f t="shared" si="26"/>
        <v>0</v>
      </c>
      <c r="N181" s="133"/>
      <c r="O181" s="133">
        <f t="shared" si="27"/>
        <v>0</v>
      </c>
      <c r="P181" s="134">
        <v>0</v>
      </c>
      <c r="Q181" s="133"/>
      <c r="R181" s="133"/>
      <c r="S181" s="153">
        <v>0</v>
      </c>
      <c r="T181" s="153">
        <v>0</v>
      </c>
      <c r="U181" s="153">
        <v>0</v>
      </c>
      <c r="V181" s="135"/>
      <c r="W181" s="135"/>
      <c r="X181" s="135"/>
      <c r="Y181" s="135"/>
      <c r="Z181" s="135"/>
      <c r="AA181" s="135"/>
      <c r="AB181" s="135">
        <f t="shared" si="33"/>
        <v>0</v>
      </c>
      <c r="AC181" s="135"/>
      <c r="AD181" s="133"/>
      <c r="AE181" s="133"/>
      <c r="AF181" s="132" t="str">
        <f t="shared" si="31"/>
        <v>Нет инфо</v>
      </c>
      <c r="AG181" s="132" t="str">
        <f t="shared" si="32"/>
        <v>Нет инфо</v>
      </c>
      <c r="AH181" s="2" t="s">
        <v>112</v>
      </c>
      <c r="AI181" s="136">
        <v>45524</v>
      </c>
      <c r="AJ181" s="2" t="s">
        <v>145</v>
      </c>
      <c r="AK181" s="136" t="s">
        <v>18</v>
      </c>
      <c r="AL181" s="136">
        <v>45301</v>
      </c>
      <c r="AM181" s="2" t="s">
        <v>2514</v>
      </c>
      <c r="AN181" s="2"/>
      <c r="AO181" s="2" t="s">
        <v>2427</v>
      </c>
      <c r="AP181" s="2" t="s">
        <v>2427</v>
      </c>
      <c r="AQ181" s="136"/>
    </row>
    <row r="182" spans="1:43" s="115" customFormat="1" ht="12.75" hidden="1" customHeight="1" x14ac:dyDescent="0.2">
      <c r="A182" s="2">
        <v>2211</v>
      </c>
      <c r="B182" s="2" t="s">
        <v>28</v>
      </c>
      <c r="C182" s="2" t="s">
        <v>88</v>
      </c>
      <c r="D182" s="2" t="s">
        <v>3491</v>
      </c>
      <c r="E182" s="2" t="s">
        <v>3489</v>
      </c>
      <c r="F182" s="2" t="s">
        <v>117</v>
      </c>
      <c r="G182" s="2"/>
      <c r="H182" s="132">
        <f>4534*1.75</f>
        <v>7934.5</v>
      </c>
      <c r="I182" s="132">
        <f>4534*1.75</f>
        <v>7934.5</v>
      </c>
      <c r="J182" s="132"/>
      <c r="K182" s="132">
        <v>7934.5</v>
      </c>
      <c r="L182" s="132">
        <f t="shared" si="25"/>
        <v>0</v>
      </c>
      <c r="M182" s="132">
        <f t="shared" si="26"/>
        <v>0</v>
      </c>
      <c r="N182" s="133"/>
      <c r="O182" s="133">
        <f t="shared" si="27"/>
        <v>0</v>
      </c>
      <c r="P182" s="134">
        <v>0</v>
      </c>
      <c r="Q182" s="133"/>
      <c r="R182" s="133"/>
      <c r="S182" s="153">
        <v>0</v>
      </c>
      <c r="T182" s="153">
        <v>0</v>
      </c>
      <c r="U182" s="153">
        <v>0</v>
      </c>
      <c r="V182" s="135"/>
      <c r="W182" s="135"/>
      <c r="X182" s="135"/>
      <c r="Y182" s="135"/>
      <c r="Z182" s="135"/>
      <c r="AA182" s="135"/>
      <c r="AB182" s="135">
        <f t="shared" si="33"/>
        <v>0</v>
      </c>
      <c r="AC182" s="135"/>
      <c r="AD182" s="133"/>
      <c r="AE182" s="133"/>
      <c r="AF182" s="132" t="str">
        <f t="shared" si="31"/>
        <v>Нет инфо</v>
      </c>
      <c r="AG182" s="132" t="str">
        <f t="shared" si="32"/>
        <v>Нет инфо</v>
      </c>
      <c r="AH182" s="2" t="s">
        <v>112</v>
      </c>
      <c r="AI182" s="136">
        <v>45524</v>
      </c>
      <c r="AJ182" s="2" t="s">
        <v>145</v>
      </c>
      <c r="AK182" s="136" t="s">
        <v>18</v>
      </c>
      <c r="AL182" s="136">
        <v>45301</v>
      </c>
      <c r="AM182" s="2" t="s">
        <v>2514</v>
      </c>
      <c r="AN182" s="2"/>
      <c r="AO182" s="2" t="s">
        <v>2427</v>
      </c>
      <c r="AP182" s="2" t="s">
        <v>2427</v>
      </c>
      <c r="AQ182" s="136"/>
    </row>
    <row r="183" spans="1:43" s="115" customFormat="1" ht="12.75" hidden="1" customHeight="1" x14ac:dyDescent="0.2">
      <c r="A183" s="2">
        <v>2212</v>
      </c>
      <c r="B183" s="2" t="s">
        <v>28</v>
      </c>
      <c r="C183" s="2" t="s">
        <v>88</v>
      </c>
      <c r="D183" s="2" t="s">
        <v>3492</v>
      </c>
      <c r="E183" s="2" t="s">
        <v>3490</v>
      </c>
      <c r="F183" s="2" t="s">
        <v>117</v>
      </c>
      <c r="G183" s="2"/>
      <c r="H183" s="132">
        <f>3127*1.75</f>
        <v>5472.25</v>
      </c>
      <c r="I183" s="132">
        <f>3127*1.75</f>
        <v>5472.25</v>
      </c>
      <c r="J183" s="132"/>
      <c r="K183" s="132">
        <v>5472.25</v>
      </c>
      <c r="L183" s="132">
        <f t="shared" si="25"/>
        <v>0</v>
      </c>
      <c r="M183" s="132">
        <f t="shared" si="26"/>
        <v>0</v>
      </c>
      <c r="N183" s="133"/>
      <c r="O183" s="133">
        <f t="shared" si="27"/>
        <v>0</v>
      </c>
      <c r="P183" s="134">
        <v>0</v>
      </c>
      <c r="Q183" s="133"/>
      <c r="R183" s="133"/>
      <c r="S183" s="153">
        <v>0</v>
      </c>
      <c r="T183" s="153">
        <v>0</v>
      </c>
      <c r="U183" s="153">
        <v>0</v>
      </c>
      <c r="V183" s="135"/>
      <c r="W183" s="135"/>
      <c r="X183" s="135"/>
      <c r="Y183" s="135"/>
      <c r="Z183" s="135"/>
      <c r="AA183" s="135"/>
      <c r="AB183" s="135">
        <f t="shared" si="33"/>
        <v>0</v>
      </c>
      <c r="AC183" s="135"/>
      <c r="AD183" s="133"/>
      <c r="AE183" s="133"/>
      <c r="AF183" s="132" t="str">
        <f t="shared" si="31"/>
        <v>Нет инфо</v>
      </c>
      <c r="AG183" s="132" t="str">
        <f t="shared" si="32"/>
        <v>Нет инфо</v>
      </c>
      <c r="AH183" s="2" t="s">
        <v>112</v>
      </c>
      <c r="AI183" s="136">
        <v>45524</v>
      </c>
      <c r="AJ183" s="2" t="s">
        <v>145</v>
      </c>
      <c r="AK183" s="136" t="s">
        <v>18</v>
      </c>
      <c r="AL183" s="136">
        <v>45301</v>
      </c>
      <c r="AM183" s="2" t="s">
        <v>2514</v>
      </c>
      <c r="AN183" s="2"/>
      <c r="AO183" s="2" t="s">
        <v>2427</v>
      </c>
      <c r="AP183" s="2" t="s">
        <v>2427</v>
      </c>
      <c r="AQ183" s="136"/>
    </row>
    <row r="184" spans="1:43" s="115" customFormat="1" ht="12.75" hidden="1" customHeight="1" x14ac:dyDescent="0.2">
      <c r="A184" s="2">
        <v>2213</v>
      </c>
      <c r="B184" s="2" t="s">
        <v>54</v>
      </c>
      <c r="C184" s="2" t="s">
        <v>96</v>
      </c>
      <c r="D184" s="2" t="s">
        <v>3627</v>
      </c>
      <c r="E184" s="2" t="s">
        <v>3628</v>
      </c>
      <c r="F184" s="2" t="s">
        <v>71</v>
      </c>
      <c r="G184" s="2">
        <v>647</v>
      </c>
      <c r="H184" s="132">
        <v>0</v>
      </c>
      <c r="I184" s="132">
        <f>70000+20000+2000</f>
        <v>92000</v>
      </c>
      <c r="J184" s="132"/>
      <c r="K184" s="132">
        <f>10677.966+3050.84</f>
        <v>13728.806</v>
      </c>
      <c r="L184" s="132">
        <f t="shared" si="25"/>
        <v>-13728.806</v>
      </c>
      <c r="M184" s="132">
        <f t="shared" si="26"/>
        <v>78271.194000000003</v>
      </c>
      <c r="N184" s="133"/>
      <c r="O184" s="133">
        <f t="shared" si="27"/>
        <v>-13728.806</v>
      </c>
      <c r="P184" s="134" t="s">
        <v>1993</v>
      </c>
      <c r="Q184" s="133"/>
      <c r="R184" s="133"/>
      <c r="S184" s="153">
        <v>0</v>
      </c>
      <c r="T184" s="153">
        <v>0</v>
      </c>
      <c r="U184" s="153">
        <v>0</v>
      </c>
      <c r="V184" s="135"/>
      <c r="W184" s="135"/>
      <c r="X184" s="135"/>
      <c r="Y184" s="135"/>
      <c r="Z184" s="135"/>
      <c r="AA184" s="135"/>
      <c r="AB184" s="135">
        <f>IF(AJ184="Принят",(J184/1.18-W184-Z184)*0.1,J184/1.18*0.8*0.1)-AA184</f>
        <v>0</v>
      </c>
      <c r="AC184" s="135"/>
      <c r="AD184" s="133"/>
      <c r="AE184" s="133"/>
      <c r="AF184" s="132" t="str">
        <f t="shared" si="31"/>
        <v>Нет инфо</v>
      </c>
      <c r="AG184" s="132" t="str">
        <f t="shared" si="32"/>
        <v>Нет инфо</v>
      </c>
      <c r="AH184" s="2" t="s">
        <v>11</v>
      </c>
      <c r="AI184" s="136"/>
      <c r="AJ184" s="2">
        <v>80</v>
      </c>
      <c r="AK184" s="136" t="s">
        <v>18</v>
      </c>
      <c r="AL184" s="136">
        <v>45303</v>
      </c>
      <c r="AM184" s="2" t="s">
        <v>2788</v>
      </c>
      <c r="AN184" s="2"/>
      <c r="AO184" s="2" t="s">
        <v>3282</v>
      </c>
      <c r="AP184" s="2" t="s">
        <v>3282</v>
      </c>
      <c r="AQ184" s="136"/>
    </row>
    <row r="185" spans="1:43" s="115" customFormat="1" ht="12.75" hidden="1" customHeight="1" x14ac:dyDescent="0.2">
      <c r="A185" s="2">
        <v>2214</v>
      </c>
      <c r="B185" s="2" t="s">
        <v>54</v>
      </c>
      <c r="C185" s="2" t="s">
        <v>96</v>
      </c>
      <c r="D185" s="2" t="s">
        <v>3463</v>
      </c>
      <c r="E185" s="2" t="s">
        <v>3464</v>
      </c>
      <c r="F185" s="2" t="s">
        <v>71</v>
      </c>
      <c r="G185" s="2">
        <v>618</v>
      </c>
      <c r="H185" s="132">
        <v>0</v>
      </c>
      <c r="I185" s="132">
        <f>50000+4000+11961.81</f>
        <v>65961.81</v>
      </c>
      <c r="J185" s="132">
        <f>50000+4000+11961.81</f>
        <v>65961.81</v>
      </c>
      <c r="K185" s="132">
        <f>7627.12+Y185+610.169+11961.811</f>
        <v>65961.81</v>
      </c>
      <c r="L185" s="132">
        <f t="shared" si="25"/>
        <v>-65961.81</v>
      </c>
      <c r="M185" s="132">
        <f t="shared" si="26"/>
        <v>0</v>
      </c>
      <c r="N185" s="133">
        <v>1358</v>
      </c>
      <c r="O185" s="133">
        <f t="shared" si="27"/>
        <v>0</v>
      </c>
      <c r="P185" s="134">
        <v>0</v>
      </c>
      <c r="Q185" s="133"/>
      <c r="R185" s="133"/>
      <c r="S185" s="153">
        <v>0</v>
      </c>
      <c r="T185" s="153">
        <v>0</v>
      </c>
      <c r="U185" s="153">
        <v>0</v>
      </c>
      <c r="V185" s="135"/>
      <c r="W185" s="135"/>
      <c r="X185" s="135"/>
      <c r="Y185" s="135">
        <f>42372.88+3389.83</f>
        <v>45762.71</v>
      </c>
      <c r="Z185" s="135">
        <f>3307.12+223.96</f>
        <v>3531.08</v>
      </c>
      <c r="AA185" s="135">
        <v>0</v>
      </c>
      <c r="AB185" s="140">
        <f>IF(AJ185="Принят",(J185/1.18-W185-Z185)*0.1,J185/1.18*0.8*0.1)-AA185</f>
        <v>5236.8758983050848</v>
      </c>
      <c r="AC185" s="135"/>
      <c r="AD185" s="133"/>
      <c r="AE185" s="133"/>
      <c r="AF185" s="132">
        <f t="shared" si="31"/>
        <v>48.572761413843885</v>
      </c>
      <c r="AG185" s="132" t="str">
        <f t="shared" si="32"/>
        <v>Нет инфо</v>
      </c>
      <c r="AH185" s="2" t="s">
        <v>11</v>
      </c>
      <c r="AI185" s="136">
        <v>45572</v>
      </c>
      <c r="AJ185" s="2" t="s">
        <v>109</v>
      </c>
      <c r="AK185" s="136" t="s">
        <v>18</v>
      </c>
      <c r="AL185" s="136">
        <v>45303</v>
      </c>
      <c r="AM185" s="2" t="s">
        <v>3358</v>
      </c>
      <c r="AN185" s="2"/>
      <c r="AO185" s="2" t="s">
        <v>2766</v>
      </c>
      <c r="AP185" s="2" t="s">
        <v>2766</v>
      </c>
      <c r="AQ185" s="136"/>
    </row>
    <row r="186" spans="1:43" s="115" customFormat="1" ht="12.75" hidden="1" customHeight="1" x14ac:dyDescent="0.2">
      <c r="A186" s="2">
        <v>2215</v>
      </c>
      <c r="B186" s="2" t="s">
        <v>54</v>
      </c>
      <c r="C186" s="2" t="s">
        <v>96</v>
      </c>
      <c r="D186" s="2" t="s">
        <v>3495</v>
      </c>
      <c r="E186" s="2" t="s">
        <v>3494</v>
      </c>
      <c r="F186" s="2" t="s">
        <v>110</v>
      </c>
      <c r="G186" s="2">
        <v>647</v>
      </c>
      <c r="H186" s="132">
        <f>836*1.75</f>
        <v>1463</v>
      </c>
      <c r="I186" s="132">
        <f>836*1.75</f>
        <v>1463</v>
      </c>
      <c r="J186" s="132"/>
      <c r="K186" s="132">
        <v>1463</v>
      </c>
      <c r="L186" s="132">
        <f t="shared" si="25"/>
        <v>0</v>
      </c>
      <c r="M186" s="132">
        <f t="shared" si="26"/>
        <v>0</v>
      </c>
      <c r="N186" s="133"/>
      <c r="O186" s="133">
        <f t="shared" si="27"/>
        <v>0</v>
      </c>
      <c r="P186" s="134">
        <v>0</v>
      </c>
      <c r="Q186" s="133"/>
      <c r="R186" s="133"/>
      <c r="S186" s="153">
        <v>0</v>
      </c>
      <c r="T186" s="153">
        <v>0</v>
      </c>
      <c r="U186" s="153">
        <v>0</v>
      </c>
      <c r="V186" s="135"/>
      <c r="W186" s="135"/>
      <c r="X186" s="135"/>
      <c r="Y186" s="135"/>
      <c r="Z186" s="135"/>
      <c r="AA186" s="135"/>
      <c r="AB186" s="135"/>
      <c r="AC186" s="135"/>
      <c r="AD186" s="133"/>
      <c r="AE186" s="133"/>
      <c r="AF186" s="132" t="str">
        <f t="shared" si="31"/>
        <v>Нет инфо</v>
      </c>
      <c r="AG186" s="132" t="str">
        <f t="shared" si="32"/>
        <v>Нет инфо</v>
      </c>
      <c r="AH186" s="2" t="s">
        <v>112</v>
      </c>
      <c r="AI186" s="136">
        <v>45540</v>
      </c>
      <c r="AJ186" s="2" t="s">
        <v>145</v>
      </c>
      <c r="AK186" s="136" t="s">
        <v>18</v>
      </c>
      <c r="AL186" s="136">
        <v>45309</v>
      </c>
      <c r="AM186" s="2" t="s">
        <v>3288</v>
      </c>
      <c r="AN186" s="2"/>
      <c r="AO186" s="2" t="s">
        <v>3282</v>
      </c>
      <c r="AP186" s="2" t="s">
        <v>3282</v>
      </c>
      <c r="AQ186" s="136"/>
    </row>
    <row r="187" spans="1:43" s="115" customFormat="1" ht="12.75" hidden="1" customHeight="1" x14ac:dyDescent="0.2">
      <c r="A187" s="2">
        <v>2216</v>
      </c>
      <c r="B187" s="2" t="s">
        <v>54</v>
      </c>
      <c r="C187" s="2" t="s">
        <v>96</v>
      </c>
      <c r="D187" s="2" t="s">
        <v>3496</v>
      </c>
      <c r="E187" s="2" t="s">
        <v>3497</v>
      </c>
      <c r="F187" s="2" t="s">
        <v>110</v>
      </c>
      <c r="G187" s="2">
        <v>647</v>
      </c>
      <c r="H187" s="132">
        <f>1439*1.75</f>
        <v>2518.25</v>
      </c>
      <c r="I187" s="132">
        <f>1439*1.75</f>
        <v>2518.25</v>
      </c>
      <c r="J187" s="132"/>
      <c r="K187" s="132">
        <v>2518.25</v>
      </c>
      <c r="L187" s="132">
        <f t="shared" si="25"/>
        <v>0</v>
      </c>
      <c r="M187" s="132">
        <f t="shared" si="26"/>
        <v>0</v>
      </c>
      <c r="N187" s="133"/>
      <c r="O187" s="133">
        <f t="shared" si="27"/>
        <v>0</v>
      </c>
      <c r="P187" s="134">
        <v>0</v>
      </c>
      <c r="Q187" s="133"/>
      <c r="R187" s="133"/>
      <c r="S187" s="153">
        <v>0</v>
      </c>
      <c r="T187" s="153">
        <v>0</v>
      </c>
      <c r="U187" s="153">
        <v>0</v>
      </c>
      <c r="V187" s="135"/>
      <c r="W187" s="135"/>
      <c r="X187" s="135"/>
      <c r="Y187" s="135"/>
      <c r="Z187" s="135"/>
      <c r="AA187" s="135"/>
      <c r="AB187" s="135"/>
      <c r="AC187" s="135"/>
      <c r="AD187" s="133"/>
      <c r="AE187" s="133"/>
      <c r="AF187" s="132" t="str">
        <f t="shared" si="31"/>
        <v>Нет инфо</v>
      </c>
      <c r="AG187" s="132" t="str">
        <f t="shared" si="32"/>
        <v>Нет инфо</v>
      </c>
      <c r="AH187" s="2" t="s">
        <v>112</v>
      </c>
      <c r="AI187" s="136">
        <v>45540</v>
      </c>
      <c r="AJ187" s="2" t="s">
        <v>145</v>
      </c>
      <c r="AK187" s="136" t="s">
        <v>18</v>
      </c>
      <c r="AL187" s="136">
        <v>45309</v>
      </c>
      <c r="AM187" s="2" t="s">
        <v>3288</v>
      </c>
      <c r="AN187" s="2"/>
      <c r="AO187" s="2" t="s">
        <v>3282</v>
      </c>
      <c r="AP187" s="2" t="s">
        <v>3282</v>
      </c>
      <c r="AQ187" s="136"/>
    </row>
    <row r="188" spans="1:43" s="115" customFormat="1" ht="12.75" hidden="1" customHeight="1" x14ac:dyDescent="0.2">
      <c r="A188" s="2">
        <v>2217</v>
      </c>
      <c r="B188" s="2" t="s">
        <v>54</v>
      </c>
      <c r="C188" s="2" t="s">
        <v>96</v>
      </c>
      <c r="D188" s="2" t="s">
        <v>3498</v>
      </c>
      <c r="E188" s="2" t="s">
        <v>3499</v>
      </c>
      <c r="F188" s="2" t="s">
        <v>110</v>
      </c>
      <c r="G188" s="2">
        <v>647</v>
      </c>
      <c r="H188" s="132">
        <f>850*1.75</f>
        <v>1487.5</v>
      </c>
      <c r="I188" s="132">
        <f>850*1.75</f>
        <v>1487.5</v>
      </c>
      <c r="J188" s="132"/>
      <c r="K188" s="132">
        <v>1487.5</v>
      </c>
      <c r="L188" s="132">
        <f t="shared" si="25"/>
        <v>0</v>
      </c>
      <c r="M188" s="132">
        <f t="shared" si="26"/>
        <v>0</v>
      </c>
      <c r="N188" s="133"/>
      <c r="O188" s="133">
        <f t="shared" si="27"/>
        <v>0</v>
      </c>
      <c r="P188" s="134">
        <v>0</v>
      </c>
      <c r="Q188" s="133"/>
      <c r="R188" s="133"/>
      <c r="S188" s="153">
        <v>0</v>
      </c>
      <c r="T188" s="153">
        <v>0</v>
      </c>
      <c r="U188" s="153">
        <v>0</v>
      </c>
      <c r="V188" s="135"/>
      <c r="W188" s="135"/>
      <c r="X188" s="135"/>
      <c r="Y188" s="135"/>
      <c r="Z188" s="135"/>
      <c r="AA188" s="135"/>
      <c r="AB188" s="135"/>
      <c r="AC188" s="135"/>
      <c r="AD188" s="133"/>
      <c r="AE188" s="133"/>
      <c r="AF188" s="132" t="str">
        <f t="shared" si="31"/>
        <v>Нет инфо</v>
      </c>
      <c r="AG188" s="132" t="str">
        <f t="shared" si="32"/>
        <v>Нет инфо</v>
      </c>
      <c r="AH188" s="2" t="s">
        <v>112</v>
      </c>
      <c r="AI188" s="136">
        <v>45540</v>
      </c>
      <c r="AJ188" s="2" t="s">
        <v>145</v>
      </c>
      <c r="AK188" s="136" t="s">
        <v>18</v>
      </c>
      <c r="AL188" s="136">
        <v>45309</v>
      </c>
      <c r="AM188" s="2" t="s">
        <v>3288</v>
      </c>
      <c r="AN188" s="2"/>
      <c r="AO188" s="2" t="s">
        <v>3282</v>
      </c>
      <c r="AP188" s="2" t="s">
        <v>3282</v>
      </c>
      <c r="AQ188" s="136"/>
    </row>
    <row r="189" spans="1:43" s="115" customFormat="1" ht="12.75" hidden="1" customHeight="1" x14ac:dyDescent="0.2">
      <c r="A189" s="2">
        <v>2218</v>
      </c>
      <c r="B189" s="2" t="s">
        <v>54</v>
      </c>
      <c r="C189" s="2" t="s">
        <v>96</v>
      </c>
      <c r="D189" s="2" t="s">
        <v>3501</v>
      </c>
      <c r="E189" s="2" t="s">
        <v>3500</v>
      </c>
      <c r="F189" s="2" t="s">
        <v>110</v>
      </c>
      <c r="G189" s="2">
        <v>647</v>
      </c>
      <c r="H189" s="132">
        <f>851*1.75</f>
        <v>1489.25</v>
      </c>
      <c r="I189" s="132">
        <f>851*1.75</f>
        <v>1489.25</v>
      </c>
      <c r="J189" s="132"/>
      <c r="K189" s="132">
        <v>1489.25</v>
      </c>
      <c r="L189" s="132">
        <f t="shared" si="25"/>
        <v>0</v>
      </c>
      <c r="M189" s="132">
        <f t="shared" si="26"/>
        <v>0</v>
      </c>
      <c r="N189" s="133"/>
      <c r="O189" s="133">
        <f t="shared" si="27"/>
        <v>0</v>
      </c>
      <c r="P189" s="134">
        <v>0</v>
      </c>
      <c r="Q189" s="133"/>
      <c r="R189" s="133"/>
      <c r="S189" s="153">
        <v>0</v>
      </c>
      <c r="T189" s="153">
        <v>0</v>
      </c>
      <c r="U189" s="153">
        <v>0</v>
      </c>
      <c r="V189" s="135"/>
      <c r="W189" s="135"/>
      <c r="X189" s="135"/>
      <c r="Y189" s="135"/>
      <c r="Z189" s="135"/>
      <c r="AA189" s="135"/>
      <c r="AB189" s="135"/>
      <c r="AC189" s="135"/>
      <c r="AD189" s="133"/>
      <c r="AE189" s="133"/>
      <c r="AF189" s="132" t="str">
        <f t="shared" si="31"/>
        <v>Нет инфо</v>
      </c>
      <c r="AG189" s="132" t="str">
        <f t="shared" si="32"/>
        <v>Нет инфо</v>
      </c>
      <c r="AH189" s="2" t="s">
        <v>112</v>
      </c>
      <c r="AI189" s="136">
        <v>45540</v>
      </c>
      <c r="AJ189" s="2" t="s">
        <v>145</v>
      </c>
      <c r="AK189" s="136" t="s">
        <v>18</v>
      </c>
      <c r="AL189" s="136">
        <v>45309</v>
      </c>
      <c r="AM189" s="2" t="s">
        <v>3288</v>
      </c>
      <c r="AN189" s="2"/>
      <c r="AO189" s="2" t="s">
        <v>3282</v>
      </c>
      <c r="AP189" s="2" t="s">
        <v>3282</v>
      </c>
      <c r="AQ189" s="136"/>
    </row>
    <row r="190" spans="1:43" s="115" customFormat="1" ht="12.75" hidden="1" customHeight="1" x14ac:dyDescent="0.2">
      <c r="A190" s="2">
        <v>2219</v>
      </c>
      <c r="B190" s="2" t="s">
        <v>54</v>
      </c>
      <c r="C190" s="2" t="s">
        <v>96</v>
      </c>
      <c r="D190" s="2" t="s">
        <v>3503</v>
      </c>
      <c r="E190" s="2" t="s">
        <v>3502</v>
      </c>
      <c r="F190" s="2" t="s">
        <v>110</v>
      </c>
      <c r="G190" s="2">
        <v>647</v>
      </c>
      <c r="H190" s="132">
        <f>846*1.75</f>
        <v>1480.5</v>
      </c>
      <c r="I190" s="132">
        <f>846*1.75</f>
        <v>1480.5</v>
      </c>
      <c r="J190" s="132"/>
      <c r="K190" s="132">
        <v>1480.5</v>
      </c>
      <c r="L190" s="132">
        <f t="shared" si="25"/>
        <v>0</v>
      </c>
      <c r="M190" s="132">
        <f t="shared" si="26"/>
        <v>0</v>
      </c>
      <c r="N190" s="133"/>
      <c r="O190" s="133">
        <f t="shared" si="27"/>
        <v>0</v>
      </c>
      <c r="P190" s="134">
        <v>0</v>
      </c>
      <c r="Q190" s="133"/>
      <c r="R190" s="133"/>
      <c r="S190" s="153">
        <v>0</v>
      </c>
      <c r="T190" s="153">
        <v>0</v>
      </c>
      <c r="U190" s="153">
        <v>0</v>
      </c>
      <c r="V190" s="135"/>
      <c r="W190" s="135"/>
      <c r="X190" s="135"/>
      <c r="Y190" s="135"/>
      <c r="Z190" s="135"/>
      <c r="AA190" s="135"/>
      <c r="AB190" s="135"/>
      <c r="AC190" s="135"/>
      <c r="AD190" s="133"/>
      <c r="AE190" s="133"/>
      <c r="AF190" s="132" t="str">
        <f t="shared" si="31"/>
        <v>Нет инфо</v>
      </c>
      <c r="AG190" s="132" t="str">
        <f t="shared" si="32"/>
        <v>Нет инфо</v>
      </c>
      <c r="AH190" s="2" t="s">
        <v>112</v>
      </c>
      <c r="AI190" s="136">
        <v>45540</v>
      </c>
      <c r="AJ190" s="2" t="s">
        <v>145</v>
      </c>
      <c r="AK190" s="136" t="s">
        <v>18</v>
      </c>
      <c r="AL190" s="136">
        <v>45309</v>
      </c>
      <c r="AM190" s="2" t="s">
        <v>3288</v>
      </c>
      <c r="AN190" s="2"/>
      <c r="AO190" s="2" t="s">
        <v>3282</v>
      </c>
      <c r="AP190" s="2" t="s">
        <v>3282</v>
      </c>
      <c r="AQ190" s="136"/>
    </row>
    <row r="191" spans="1:43" s="115" customFormat="1" ht="12.75" hidden="1" customHeight="1" x14ac:dyDescent="0.2">
      <c r="A191" s="2">
        <v>2220</v>
      </c>
      <c r="B191" s="2" t="s">
        <v>54</v>
      </c>
      <c r="C191" s="2" t="s">
        <v>96</v>
      </c>
      <c r="D191" s="2" t="s">
        <v>3504</v>
      </c>
      <c r="E191" s="2" t="s">
        <v>3505</v>
      </c>
      <c r="F191" s="2" t="s">
        <v>110</v>
      </c>
      <c r="G191" s="2">
        <v>647</v>
      </c>
      <c r="H191" s="132">
        <f>1442*1.75</f>
        <v>2523.5</v>
      </c>
      <c r="I191" s="132">
        <f>1442*1.75</f>
        <v>2523.5</v>
      </c>
      <c r="J191" s="132"/>
      <c r="K191" s="132">
        <v>2523.5</v>
      </c>
      <c r="L191" s="132">
        <f t="shared" si="25"/>
        <v>0</v>
      </c>
      <c r="M191" s="132">
        <f t="shared" si="26"/>
        <v>0</v>
      </c>
      <c r="N191" s="133"/>
      <c r="O191" s="133">
        <f t="shared" si="27"/>
        <v>0</v>
      </c>
      <c r="P191" s="134">
        <v>0</v>
      </c>
      <c r="Q191" s="133"/>
      <c r="R191" s="133"/>
      <c r="S191" s="153">
        <v>0</v>
      </c>
      <c r="T191" s="153">
        <v>0</v>
      </c>
      <c r="U191" s="153">
        <v>0</v>
      </c>
      <c r="V191" s="135"/>
      <c r="W191" s="135"/>
      <c r="X191" s="135"/>
      <c r="Y191" s="135"/>
      <c r="Z191" s="135"/>
      <c r="AA191" s="135"/>
      <c r="AB191" s="135"/>
      <c r="AC191" s="135"/>
      <c r="AD191" s="133"/>
      <c r="AE191" s="133"/>
      <c r="AF191" s="132" t="str">
        <f t="shared" si="31"/>
        <v>Нет инфо</v>
      </c>
      <c r="AG191" s="132" t="str">
        <f t="shared" si="32"/>
        <v>Нет инфо</v>
      </c>
      <c r="AH191" s="2" t="s">
        <v>112</v>
      </c>
      <c r="AI191" s="136">
        <v>45540</v>
      </c>
      <c r="AJ191" s="2" t="s">
        <v>145</v>
      </c>
      <c r="AK191" s="136" t="s">
        <v>18</v>
      </c>
      <c r="AL191" s="136">
        <v>45309</v>
      </c>
      <c r="AM191" s="2" t="s">
        <v>3288</v>
      </c>
      <c r="AN191" s="2"/>
      <c r="AO191" s="2" t="s">
        <v>3282</v>
      </c>
      <c r="AP191" s="2" t="s">
        <v>3282</v>
      </c>
      <c r="AQ191" s="136"/>
    </row>
    <row r="192" spans="1:43" s="115" customFormat="1" ht="12.75" hidden="1" customHeight="1" x14ac:dyDescent="0.2">
      <c r="A192" s="2">
        <v>2221</v>
      </c>
      <c r="B192" s="2" t="s">
        <v>54</v>
      </c>
      <c r="C192" s="2" t="s">
        <v>96</v>
      </c>
      <c r="D192" s="2" t="s">
        <v>3507</v>
      </c>
      <c r="E192" s="2" t="s">
        <v>3506</v>
      </c>
      <c r="F192" s="2" t="s">
        <v>110</v>
      </c>
      <c r="G192" s="2">
        <v>647</v>
      </c>
      <c r="H192" s="132">
        <f>1724*1.75</f>
        <v>3017</v>
      </c>
      <c r="I192" s="132">
        <f>1724*1.75</f>
        <v>3017</v>
      </c>
      <c r="J192" s="132"/>
      <c r="K192" s="132">
        <v>3017</v>
      </c>
      <c r="L192" s="132">
        <f t="shared" si="25"/>
        <v>0</v>
      </c>
      <c r="M192" s="132">
        <f t="shared" si="26"/>
        <v>0</v>
      </c>
      <c r="N192" s="133"/>
      <c r="O192" s="133">
        <f t="shared" si="27"/>
        <v>0</v>
      </c>
      <c r="P192" s="134">
        <v>0</v>
      </c>
      <c r="Q192" s="133"/>
      <c r="R192" s="133"/>
      <c r="S192" s="153">
        <v>0</v>
      </c>
      <c r="T192" s="153">
        <v>0</v>
      </c>
      <c r="U192" s="153">
        <v>0</v>
      </c>
      <c r="V192" s="135"/>
      <c r="W192" s="135"/>
      <c r="X192" s="135"/>
      <c r="Y192" s="135"/>
      <c r="Z192" s="135"/>
      <c r="AA192" s="135"/>
      <c r="AB192" s="135"/>
      <c r="AC192" s="135"/>
      <c r="AD192" s="133"/>
      <c r="AE192" s="133"/>
      <c r="AF192" s="132" t="str">
        <f t="shared" si="31"/>
        <v>Нет инфо</v>
      </c>
      <c r="AG192" s="132" t="str">
        <f t="shared" si="32"/>
        <v>Нет инфо</v>
      </c>
      <c r="AH192" s="2" t="s">
        <v>112</v>
      </c>
      <c r="AI192" s="136">
        <v>45540</v>
      </c>
      <c r="AJ192" s="2" t="s">
        <v>145</v>
      </c>
      <c r="AK192" s="136" t="s">
        <v>18</v>
      </c>
      <c r="AL192" s="136">
        <v>45309</v>
      </c>
      <c r="AM192" s="2" t="s">
        <v>3288</v>
      </c>
      <c r="AN192" s="2"/>
      <c r="AO192" s="2" t="s">
        <v>3282</v>
      </c>
      <c r="AP192" s="2" t="s">
        <v>3282</v>
      </c>
      <c r="AQ192" s="136"/>
    </row>
    <row r="193" spans="1:43" s="115" customFormat="1" ht="12.75" hidden="1" customHeight="1" x14ac:dyDescent="0.2">
      <c r="A193" s="2">
        <v>2222</v>
      </c>
      <c r="B193" s="2" t="s">
        <v>54</v>
      </c>
      <c r="C193" s="2" t="s">
        <v>96</v>
      </c>
      <c r="D193" s="2" t="s">
        <v>3508</v>
      </c>
      <c r="E193" s="2" t="s">
        <v>3509</v>
      </c>
      <c r="F193" s="2" t="s">
        <v>110</v>
      </c>
      <c r="G193" s="2">
        <v>647</v>
      </c>
      <c r="H193" s="132">
        <f>1882*1.75</f>
        <v>3293.5</v>
      </c>
      <c r="I193" s="132">
        <f>1882*1.75</f>
        <v>3293.5</v>
      </c>
      <c r="J193" s="132"/>
      <c r="K193" s="132">
        <v>3293.5</v>
      </c>
      <c r="L193" s="132">
        <f t="shared" si="25"/>
        <v>0</v>
      </c>
      <c r="M193" s="132">
        <f t="shared" si="26"/>
        <v>0</v>
      </c>
      <c r="N193" s="133"/>
      <c r="O193" s="133">
        <f t="shared" si="27"/>
        <v>0</v>
      </c>
      <c r="P193" s="134">
        <v>0</v>
      </c>
      <c r="Q193" s="133"/>
      <c r="R193" s="133"/>
      <c r="S193" s="153">
        <v>0</v>
      </c>
      <c r="T193" s="153">
        <v>0</v>
      </c>
      <c r="U193" s="153">
        <v>0</v>
      </c>
      <c r="V193" s="135"/>
      <c r="W193" s="135"/>
      <c r="X193" s="135"/>
      <c r="Y193" s="135"/>
      <c r="Z193" s="135"/>
      <c r="AA193" s="135"/>
      <c r="AB193" s="135"/>
      <c r="AC193" s="135"/>
      <c r="AD193" s="133"/>
      <c r="AE193" s="133"/>
      <c r="AF193" s="132" t="str">
        <f t="shared" si="31"/>
        <v>Нет инфо</v>
      </c>
      <c r="AG193" s="132" t="str">
        <f t="shared" si="32"/>
        <v>Нет инфо</v>
      </c>
      <c r="AH193" s="2" t="s">
        <v>112</v>
      </c>
      <c r="AI193" s="136">
        <v>45540</v>
      </c>
      <c r="AJ193" s="2" t="s">
        <v>145</v>
      </c>
      <c r="AK193" s="136" t="s">
        <v>18</v>
      </c>
      <c r="AL193" s="136">
        <v>45309</v>
      </c>
      <c r="AM193" s="2" t="s">
        <v>3288</v>
      </c>
      <c r="AN193" s="2"/>
      <c r="AO193" s="2" t="s">
        <v>3282</v>
      </c>
      <c r="AP193" s="2" t="s">
        <v>3282</v>
      </c>
      <c r="AQ193" s="136"/>
    </row>
    <row r="194" spans="1:43" s="115" customFormat="1" ht="12.75" hidden="1" customHeight="1" x14ac:dyDescent="0.2">
      <c r="A194" s="2">
        <v>2223</v>
      </c>
      <c r="B194" s="2" t="s">
        <v>54</v>
      </c>
      <c r="C194" s="2" t="s">
        <v>96</v>
      </c>
      <c r="D194" s="2" t="s">
        <v>3513</v>
      </c>
      <c r="E194" s="2" t="s">
        <v>3510</v>
      </c>
      <c r="F194" s="2" t="s">
        <v>110</v>
      </c>
      <c r="G194" s="2">
        <v>647</v>
      </c>
      <c r="H194" s="132">
        <f>355*1.75</f>
        <v>621.25</v>
      </c>
      <c r="I194" s="132">
        <f>355*1.75</f>
        <v>621.25</v>
      </c>
      <c r="J194" s="132"/>
      <c r="K194" s="132">
        <v>621.25</v>
      </c>
      <c r="L194" s="132">
        <f t="shared" si="25"/>
        <v>0</v>
      </c>
      <c r="M194" s="132">
        <f t="shared" si="26"/>
        <v>0</v>
      </c>
      <c r="N194" s="133"/>
      <c r="O194" s="133">
        <f t="shared" si="27"/>
        <v>0</v>
      </c>
      <c r="P194" s="134">
        <v>0</v>
      </c>
      <c r="Q194" s="133"/>
      <c r="R194" s="133"/>
      <c r="S194" s="153">
        <v>0</v>
      </c>
      <c r="T194" s="153">
        <v>0</v>
      </c>
      <c r="U194" s="153">
        <v>0</v>
      </c>
      <c r="V194" s="135"/>
      <c r="W194" s="135"/>
      <c r="X194" s="135"/>
      <c r="Y194" s="135"/>
      <c r="Z194" s="135"/>
      <c r="AA194" s="135"/>
      <c r="AB194" s="135"/>
      <c r="AC194" s="135"/>
      <c r="AD194" s="133"/>
      <c r="AE194" s="133"/>
      <c r="AF194" s="132" t="str">
        <f t="shared" si="31"/>
        <v>Нет инфо</v>
      </c>
      <c r="AG194" s="132" t="str">
        <f t="shared" si="32"/>
        <v>Нет инфо</v>
      </c>
      <c r="AH194" s="2" t="s">
        <v>112</v>
      </c>
      <c r="AI194" s="136">
        <v>45540</v>
      </c>
      <c r="AJ194" s="2" t="s">
        <v>145</v>
      </c>
      <c r="AK194" s="136" t="s">
        <v>18</v>
      </c>
      <c r="AL194" s="136">
        <v>45309</v>
      </c>
      <c r="AM194" s="2" t="s">
        <v>3288</v>
      </c>
      <c r="AN194" s="2"/>
      <c r="AO194" s="2" t="s">
        <v>3282</v>
      </c>
      <c r="AP194" s="2" t="s">
        <v>3282</v>
      </c>
      <c r="AQ194" s="136"/>
    </row>
    <row r="195" spans="1:43" s="115" customFormat="1" ht="12.75" hidden="1" customHeight="1" x14ac:dyDescent="0.2">
      <c r="A195" s="2">
        <v>2224</v>
      </c>
      <c r="B195" s="2" t="s">
        <v>54</v>
      </c>
      <c r="C195" s="2" t="s">
        <v>96</v>
      </c>
      <c r="D195" s="2" t="s">
        <v>3514</v>
      </c>
      <c r="E195" s="2" t="s">
        <v>3511</v>
      </c>
      <c r="F195" s="2" t="s">
        <v>110</v>
      </c>
      <c r="G195" s="2">
        <v>647</v>
      </c>
      <c r="H195" s="132">
        <f>351*1.75</f>
        <v>614.25</v>
      </c>
      <c r="I195" s="132">
        <f>351*1.75</f>
        <v>614.25</v>
      </c>
      <c r="J195" s="132"/>
      <c r="K195" s="132">
        <v>614.25</v>
      </c>
      <c r="L195" s="132">
        <f t="shared" si="25"/>
        <v>0</v>
      </c>
      <c r="M195" s="132">
        <f t="shared" si="26"/>
        <v>0</v>
      </c>
      <c r="N195" s="133"/>
      <c r="O195" s="133">
        <f t="shared" si="27"/>
        <v>0</v>
      </c>
      <c r="P195" s="134">
        <v>0</v>
      </c>
      <c r="Q195" s="133"/>
      <c r="R195" s="133"/>
      <c r="S195" s="153">
        <v>0</v>
      </c>
      <c r="T195" s="153">
        <v>0</v>
      </c>
      <c r="U195" s="153">
        <v>0</v>
      </c>
      <c r="V195" s="135"/>
      <c r="W195" s="135"/>
      <c r="X195" s="135"/>
      <c r="Y195" s="135"/>
      <c r="Z195" s="135"/>
      <c r="AA195" s="135"/>
      <c r="AB195" s="135"/>
      <c r="AC195" s="135"/>
      <c r="AD195" s="133"/>
      <c r="AE195" s="133"/>
      <c r="AF195" s="132" t="str">
        <f t="shared" si="31"/>
        <v>Нет инфо</v>
      </c>
      <c r="AG195" s="132" t="str">
        <f t="shared" si="32"/>
        <v>Нет инфо</v>
      </c>
      <c r="AH195" s="2" t="s">
        <v>112</v>
      </c>
      <c r="AI195" s="136">
        <v>45540</v>
      </c>
      <c r="AJ195" s="2" t="s">
        <v>145</v>
      </c>
      <c r="AK195" s="136" t="s">
        <v>18</v>
      </c>
      <c r="AL195" s="136">
        <v>45309</v>
      </c>
      <c r="AM195" s="2" t="s">
        <v>3288</v>
      </c>
      <c r="AN195" s="2"/>
      <c r="AO195" s="2" t="s">
        <v>3282</v>
      </c>
      <c r="AP195" s="2" t="s">
        <v>3282</v>
      </c>
      <c r="AQ195" s="136"/>
    </row>
    <row r="196" spans="1:43" s="115" customFormat="1" ht="12.75" hidden="1" customHeight="1" x14ac:dyDescent="0.2">
      <c r="A196" s="2">
        <v>2225</v>
      </c>
      <c r="B196" s="2" t="s">
        <v>54</v>
      </c>
      <c r="C196" s="2" t="s">
        <v>96</v>
      </c>
      <c r="D196" s="2" t="s">
        <v>3515</v>
      </c>
      <c r="E196" s="2" t="s">
        <v>3512</v>
      </c>
      <c r="F196" s="2" t="s">
        <v>110</v>
      </c>
      <c r="G196" s="2">
        <v>647</v>
      </c>
      <c r="H196" s="132">
        <f>270*1.75</f>
        <v>472.5</v>
      </c>
      <c r="I196" s="132">
        <f>270*1.75</f>
        <v>472.5</v>
      </c>
      <c r="J196" s="132"/>
      <c r="K196" s="132">
        <v>472.5</v>
      </c>
      <c r="L196" s="132">
        <f t="shared" si="25"/>
        <v>0</v>
      </c>
      <c r="M196" s="132">
        <f t="shared" si="26"/>
        <v>0</v>
      </c>
      <c r="N196" s="133"/>
      <c r="O196" s="133">
        <f t="shared" si="27"/>
        <v>0</v>
      </c>
      <c r="P196" s="134">
        <v>0</v>
      </c>
      <c r="Q196" s="133"/>
      <c r="R196" s="133"/>
      <c r="S196" s="153">
        <v>0</v>
      </c>
      <c r="T196" s="153">
        <v>0</v>
      </c>
      <c r="U196" s="153">
        <v>0</v>
      </c>
      <c r="V196" s="135"/>
      <c r="W196" s="135"/>
      <c r="X196" s="135"/>
      <c r="Y196" s="135"/>
      <c r="Z196" s="135"/>
      <c r="AA196" s="135"/>
      <c r="AB196" s="135"/>
      <c r="AC196" s="135"/>
      <c r="AD196" s="133"/>
      <c r="AE196" s="133"/>
      <c r="AF196" s="132" t="str">
        <f t="shared" si="31"/>
        <v>Нет инфо</v>
      </c>
      <c r="AG196" s="132" t="str">
        <f t="shared" si="32"/>
        <v>Нет инфо</v>
      </c>
      <c r="AH196" s="2" t="s">
        <v>112</v>
      </c>
      <c r="AI196" s="136">
        <v>45540</v>
      </c>
      <c r="AJ196" s="2" t="s">
        <v>145</v>
      </c>
      <c r="AK196" s="136" t="s">
        <v>18</v>
      </c>
      <c r="AL196" s="136">
        <v>45309</v>
      </c>
      <c r="AM196" s="2" t="s">
        <v>3288</v>
      </c>
      <c r="AN196" s="2"/>
      <c r="AO196" s="2" t="s">
        <v>3282</v>
      </c>
      <c r="AP196" s="2" t="s">
        <v>3282</v>
      </c>
      <c r="AQ196" s="136"/>
    </row>
    <row r="197" spans="1:43" s="115" customFormat="1" ht="12.75" hidden="1" customHeight="1" x14ac:dyDescent="0.2">
      <c r="A197" s="2">
        <v>2226</v>
      </c>
      <c r="B197" s="2" t="s">
        <v>54</v>
      </c>
      <c r="C197" s="2" t="s">
        <v>96</v>
      </c>
      <c r="D197" s="2" t="s">
        <v>3516</v>
      </c>
      <c r="E197" s="2" t="s">
        <v>3517</v>
      </c>
      <c r="F197" s="2" t="s">
        <v>110</v>
      </c>
      <c r="G197" s="2">
        <v>647</v>
      </c>
      <c r="H197" s="132">
        <f>162*1.75</f>
        <v>283.5</v>
      </c>
      <c r="I197" s="132">
        <f>162*1.75</f>
        <v>283.5</v>
      </c>
      <c r="J197" s="132"/>
      <c r="K197" s="132">
        <v>283.5</v>
      </c>
      <c r="L197" s="132">
        <f t="shared" si="25"/>
        <v>0</v>
      </c>
      <c r="M197" s="132">
        <f t="shared" si="26"/>
        <v>0</v>
      </c>
      <c r="N197" s="133"/>
      <c r="O197" s="133">
        <f t="shared" si="27"/>
        <v>0</v>
      </c>
      <c r="P197" s="134">
        <v>0</v>
      </c>
      <c r="Q197" s="133"/>
      <c r="R197" s="133"/>
      <c r="S197" s="153">
        <v>0</v>
      </c>
      <c r="T197" s="153">
        <v>0</v>
      </c>
      <c r="U197" s="153">
        <v>0</v>
      </c>
      <c r="V197" s="135"/>
      <c r="W197" s="135"/>
      <c r="X197" s="135"/>
      <c r="Y197" s="135"/>
      <c r="Z197" s="135"/>
      <c r="AA197" s="135"/>
      <c r="AB197" s="135"/>
      <c r="AC197" s="135"/>
      <c r="AD197" s="133"/>
      <c r="AE197" s="133"/>
      <c r="AF197" s="132" t="str">
        <f t="shared" si="31"/>
        <v>Нет инфо</v>
      </c>
      <c r="AG197" s="132" t="str">
        <f t="shared" si="32"/>
        <v>Нет инфо</v>
      </c>
      <c r="AH197" s="2" t="s">
        <v>112</v>
      </c>
      <c r="AI197" s="136">
        <v>45540</v>
      </c>
      <c r="AJ197" s="2" t="s">
        <v>145</v>
      </c>
      <c r="AK197" s="136" t="s">
        <v>18</v>
      </c>
      <c r="AL197" s="136">
        <v>45309</v>
      </c>
      <c r="AM197" s="2" t="s">
        <v>3288</v>
      </c>
      <c r="AN197" s="2"/>
      <c r="AO197" s="2" t="s">
        <v>3282</v>
      </c>
      <c r="AP197" s="2" t="s">
        <v>3282</v>
      </c>
      <c r="AQ197" s="136"/>
    </row>
    <row r="198" spans="1:43" s="115" customFormat="1" ht="12.75" hidden="1" customHeight="1" x14ac:dyDescent="0.2">
      <c r="A198" s="2">
        <v>2227</v>
      </c>
      <c r="B198" s="2" t="s">
        <v>54</v>
      </c>
      <c r="C198" s="2" t="s">
        <v>96</v>
      </c>
      <c r="D198" s="2" t="s">
        <v>3518</v>
      </c>
      <c r="E198" s="2" t="s">
        <v>3519</v>
      </c>
      <c r="F198" s="2" t="s">
        <v>110</v>
      </c>
      <c r="G198" s="2">
        <v>647</v>
      </c>
      <c r="H198" s="132">
        <f>269*1.75</f>
        <v>470.75</v>
      </c>
      <c r="I198" s="132">
        <f>269*1.75</f>
        <v>470.75</v>
      </c>
      <c r="J198" s="132"/>
      <c r="K198" s="132">
        <v>470.75</v>
      </c>
      <c r="L198" s="132">
        <f t="shared" si="25"/>
        <v>0</v>
      </c>
      <c r="M198" s="132">
        <f t="shared" si="26"/>
        <v>0</v>
      </c>
      <c r="N198" s="133"/>
      <c r="O198" s="133">
        <f t="shared" si="27"/>
        <v>0</v>
      </c>
      <c r="P198" s="134">
        <v>0</v>
      </c>
      <c r="Q198" s="133"/>
      <c r="R198" s="133"/>
      <c r="S198" s="153">
        <v>0</v>
      </c>
      <c r="T198" s="153">
        <v>0</v>
      </c>
      <c r="U198" s="153">
        <v>0</v>
      </c>
      <c r="V198" s="135"/>
      <c r="W198" s="135"/>
      <c r="X198" s="135"/>
      <c r="Y198" s="135"/>
      <c r="Z198" s="135"/>
      <c r="AA198" s="135"/>
      <c r="AB198" s="135"/>
      <c r="AC198" s="135"/>
      <c r="AD198" s="133"/>
      <c r="AE198" s="133"/>
      <c r="AF198" s="132" t="str">
        <f t="shared" si="31"/>
        <v>Нет инфо</v>
      </c>
      <c r="AG198" s="132" t="str">
        <f t="shared" si="32"/>
        <v>Нет инфо</v>
      </c>
      <c r="AH198" s="2" t="s">
        <v>112</v>
      </c>
      <c r="AI198" s="136">
        <v>45540</v>
      </c>
      <c r="AJ198" s="2" t="s">
        <v>145</v>
      </c>
      <c r="AK198" s="136" t="s">
        <v>18</v>
      </c>
      <c r="AL198" s="136">
        <v>45309</v>
      </c>
      <c r="AM198" s="2" t="s">
        <v>3288</v>
      </c>
      <c r="AN198" s="2"/>
      <c r="AO198" s="2" t="s">
        <v>3282</v>
      </c>
      <c r="AP198" s="2" t="s">
        <v>3282</v>
      </c>
      <c r="AQ198" s="136"/>
    </row>
    <row r="199" spans="1:43" s="115" customFormat="1" ht="12.75" hidden="1" customHeight="1" x14ac:dyDescent="0.2">
      <c r="A199" s="2">
        <v>2228</v>
      </c>
      <c r="B199" s="2" t="s">
        <v>54</v>
      </c>
      <c r="C199" s="2" t="s">
        <v>96</v>
      </c>
      <c r="D199" s="2" t="s">
        <v>3522</v>
      </c>
      <c r="E199" s="2" t="s">
        <v>3520</v>
      </c>
      <c r="F199" s="2" t="s">
        <v>110</v>
      </c>
      <c r="G199" s="2">
        <v>647</v>
      </c>
      <c r="H199" s="132">
        <f>969*1.75</f>
        <v>1695.75</v>
      </c>
      <c r="I199" s="132">
        <f>969*1.75</f>
        <v>1695.75</v>
      </c>
      <c r="J199" s="132"/>
      <c r="K199" s="132">
        <v>1695.75</v>
      </c>
      <c r="L199" s="132">
        <f t="shared" si="25"/>
        <v>0</v>
      </c>
      <c r="M199" s="132">
        <f t="shared" si="26"/>
        <v>0</v>
      </c>
      <c r="N199" s="133"/>
      <c r="O199" s="133">
        <f t="shared" si="27"/>
        <v>0</v>
      </c>
      <c r="P199" s="134">
        <v>0</v>
      </c>
      <c r="Q199" s="133"/>
      <c r="R199" s="133"/>
      <c r="S199" s="153">
        <v>0</v>
      </c>
      <c r="T199" s="153">
        <v>0</v>
      </c>
      <c r="U199" s="153">
        <v>0</v>
      </c>
      <c r="V199" s="135"/>
      <c r="W199" s="135"/>
      <c r="X199" s="135"/>
      <c r="Y199" s="135"/>
      <c r="Z199" s="135"/>
      <c r="AA199" s="135"/>
      <c r="AB199" s="135"/>
      <c r="AC199" s="135"/>
      <c r="AD199" s="133"/>
      <c r="AE199" s="133"/>
      <c r="AF199" s="132" t="str">
        <f t="shared" si="31"/>
        <v>Нет инфо</v>
      </c>
      <c r="AG199" s="132" t="str">
        <f t="shared" si="32"/>
        <v>Нет инфо</v>
      </c>
      <c r="AH199" s="2" t="s">
        <v>112</v>
      </c>
      <c r="AI199" s="136">
        <v>45540</v>
      </c>
      <c r="AJ199" s="2" t="s">
        <v>145</v>
      </c>
      <c r="AK199" s="136" t="s">
        <v>18</v>
      </c>
      <c r="AL199" s="136">
        <v>45309</v>
      </c>
      <c r="AM199" s="2" t="s">
        <v>3288</v>
      </c>
      <c r="AN199" s="2"/>
      <c r="AO199" s="2" t="s">
        <v>3282</v>
      </c>
      <c r="AP199" s="2" t="s">
        <v>3282</v>
      </c>
      <c r="AQ199" s="136"/>
    </row>
    <row r="200" spans="1:43" s="115" customFormat="1" ht="12.75" hidden="1" customHeight="1" x14ac:dyDescent="0.2">
      <c r="A200" s="2">
        <v>2229</v>
      </c>
      <c r="B200" s="2" t="s">
        <v>54</v>
      </c>
      <c r="C200" s="2" t="s">
        <v>96</v>
      </c>
      <c r="D200" s="2" t="s">
        <v>3521</v>
      </c>
      <c r="E200" s="2" t="s">
        <v>3523</v>
      </c>
      <c r="F200" s="2" t="s">
        <v>110</v>
      </c>
      <c r="G200" s="2">
        <v>647</v>
      </c>
      <c r="H200" s="132">
        <f>1077*1.75</f>
        <v>1884.75</v>
      </c>
      <c r="I200" s="132">
        <f>1077*1.75</f>
        <v>1884.75</v>
      </c>
      <c r="J200" s="132"/>
      <c r="K200" s="132">
        <v>1884.75</v>
      </c>
      <c r="L200" s="132">
        <f t="shared" si="25"/>
        <v>0</v>
      </c>
      <c r="M200" s="132">
        <f t="shared" si="26"/>
        <v>0</v>
      </c>
      <c r="N200" s="133"/>
      <c r="O200" s="133">
        <f t="shared" si="27"/>
        <v>0</v>
      </c>
      <c r="P200" s="134">
        <v>0</v>
      </c>
      <c r="Q200" s="133"/>
      <c r="R200" s="133"/>
      <c r="S200" s="153">
        <v>0</v>
      </c>
      <c r="T200" s="153">
        <v>0</v>
      </c>
      <c r="U200" s="153">
        <v>0</v>
      </c>
      <c r="V200" s="135"/>
      <c r="W200" s="135"/>
      <c r="X200" s="135"/>
      <c r="Y200" s="135"/>
      <c r="Z200" s="135"/>
      <c r="AA200" s="135"/>
      <c r="AB200" s="135"/>
      <c r="AC200" s="135"/>
      <c r="AD200" s="133"/>
      <c r="AE200" s="133"/>
      <c r="AF200" s="132" t="str">
        <f t="shared" si="31"/>
        <v>Нет инфо</v>
      </c>
      <c r="AG200" s="132" t="str">
        <f t="shared" si="32"/>
        <v>Нет инфо</v>
      </c>
      <c r="AH200" s="2" t="s">
        <v>112</v>
      </c>
      <c r="AI200" s="136">
        <v>45540</v>
      </c>
      <c r="AJ200" s="2" t="s">
        <v>145</v>
      </c>
      <c r="AK200" s="136" t="s">
        <v>18</v>
      </c>
      <c r="AL200" s="136">
        <v>45309</v>
      </c>
      <c r="AM200" s="2" t="s">
        <v>3288</v>
      </c>
      <c r="AN200" s="2"/>
      <c r="AO200" s="2" t="s">
        <v>3282</v>
      </c>
      <c r="AP200" s="2" t="s">
        <v>3282</v>
      </c>
      <c r="AQ200" s="136"/>
    </row>
    <row r="201" spans="1:43" s="115" customFormat="1" ht="12.75" hidden="1" customHeight="1" x14ac:dyDescent="0.2">
      <c r="A201" s="2">
        <v>2230</v>
      </c>
      <c r="B201" s="2" t="s">
        <v>54</v>
      </c>
      <c r="C201" s="2" t="s">
        <v>96</v>
      </c>
      <c r="D201" s="2" t="s">
        <v>3524</v>
      </c>
      <c r="E201" s="2" t="s">
        <v>3525</v>
      </c>
      <c r="F201" s="2" t="s">
        <v>110</v>
      </c>
      <c r="G201" s="2">
        <v>647</v>
      </c>
      <c r="H201" s="132">
        <f>976*1.75</f>
        <v>1708</v>
      </c>
      <c r="I201" s="132">
        <f>976*1.75</f>
        <v>1708</v>
      </c>
      <c r="J201" s="132"/>
      <c r="K201" s="132">
        <v>1708</v>
      </c>
      <c r="L201" s="132">
        <f t="shared" si="25"/>
        <v>0</v>
      </c>
      <c r="M201" s="132">
        <f t="shared" si="26"/>
        <v>0</v>
      </c>
      <c r="N201" s="133"/>
      <c r="O201" s="133">
        <f t="shared" si="27"/>
        <v>0</v>
      </c>
      <c r="P201" s="134">
        <v>0</v>
      </c>
      <c r="Q201" s="133"/>
      <c r="R201" s="133"/>
      <c r="S201" s="153">
        <v>0</v>
      </c>
      <c r="T201" s="153">
        <v>0</v>
      </c>
      <c r="U201" s="153">
        <v>0</v>
      </c>
      <c r="V201" s="135"/>
      <c r="W201" s="135"/>
      <c r="X201" s="135"/>
      <c r="Y201" s="135"/>
      <c r="Z201" s="135"/>
      <c r="AA201" s="135"/>
      <c r="AB201" s="135"/>
      <c r="AC201" s="135"/>
      <c r="AD201" s="133"/>
      <c r="AE201" s="133"/>
      <c r="AF201" s="132" t="str">
        <f t="shared" si="31"/>
        <v>Нет инфо</v>
      </c>
      <c r="AG201" s="132" t="str">
        <f t="shared" si="32"/>
        <v>Нет инфо</v>
      </c>
      <c r="AH201" s="2" t="s">
        <v>112</v>
      </c>
      <c r="AI201" s="136">
        <v>45540</v>
      </c>
      <c r="AJ201" s="2" t="s">
        <v>145</v>
      </c>
      <c r="AK201" s="136" t="s">
        <v>18</v>
      </c>
      <c r="AL201" s="136">
        <v>45309</v>
      </c>
      <c r="AM201" s="2" t="s">
        <v>3288</v>
      </c>
      <c r="AN201" s="2"/>
      <c r="AO201" s="2" t="s">
        <v>3282</v>
      </c>
      <c r="AP201" s="2" t="s">
        <v>3282</v>
      </c>
      <c r="AQ201" s="136"/>
    </row>
    <row r="202" spans="1:43" s="115" customFormat="1" ht="12.75" hidden="1" customHeight="1" x14ac:dyDescent="0.2">
      <c r="A202" s="2">
        <v>2231</v>
      </c>
      <c r="B202" s="2" t="s">
        <v>54</v>
      </c>
      <c r="C202" s="2" t="s">
        <v>96</v>
      </c>
      <c r="D202" s="2" t="s">
        <v>3526</v>
      </c>
      <c r="E202" s="2" t="s">
        <v>3527</v>
      </c>
      <c r="F202" s="2" t="s">
        <v>110</v>
      </c>
      <c r="G202" s="2">
        <v>647</v>
      </c>
      <c r="H202" s="132">
        <f>976*1.75</f>
        <v>1708</v>
      </c>
      <c r="I202" s="132">
        <f>976*1.75</f>
        <v>1708</v>
      </c>
      <c r="J202" s="132"/>
      <c r="K202" s="132">
        <v>1708</v>
      </c>
      <c r="L202" s="132">
        <f t="shared" si="25"/>
        <v>0</v>
      </c>
      <c r="M202" s="132">
        <f t="shared" si="26"/>
        <v>0</v>
      </c>
      <c r="N202" s="133"/>
      <c r="O202" s="133">
        <f t="shared" si="27"/>
        <v>0</v>
      </c>
      <c r="P202" s="134">
        <v>0</v>
      </c>
      <c r="Q202" s="133"/>
      <c r="R202" s="133"/>
      <c r="S202" s="153">
        <v>0</v>
      </c>
      <c r="T202" s="153">
        <v>0</v>
      </c>
      <c r="U202" s="153">
        <v>0</v>
      </c>
      <c r="V202" s="135"/>
      <c r="W202" s="135"/>
      <c r="X202" s="135"/>
      <c r="Y202" s="135"/>
      <c r="Z202" s="135"/>
      <c r="AA202" s="135"/>
      <c r="AB202" s="135"/>
      <c r="AC202" s="135"/>
      <c r="AD202" s="133"/>
      <c r="AE202" s="133"/>
      <c r="AF202" s="132" t="str">
        <f t="shared" si="31"/>
        <v>Нет инфо</v>
      </c>
      <c r="AG202" s="132" t="str">
        <f t="shared" si="32"/>
        <v>Нет инфо</v>
      </c>
      <c r="AH202" s="2" t="s">
        <v>112</v>
      </c>
      <c r="AI202" s="136">
        <v>45540</v>
      </c>
      <c r="AJ202" s="2" t="s">
        <v>145</v>
      </c>
      <c r="AK202" s="136" t="s">
        <v>18</v>
      </c>
      <c r="AL202" s="136">
        <v>45309</v>
      </c>
      <c r="AM202" s="2" t="s">
        <v>3288</v>
      </c>
      <c r="AN202" s="2"/>
      <c r="AO202" s="2" t="s">
        <v>3282</v>
      </c>
      <c r="AP202" s="2" t="s">
        <v>3282</v>
      </c>
      <c r="AQ202" s="136"/>
    </row>
    <row r="203" spans="1:43" s="115" customFormat="1" ht="12.75" hidden="1" customHeight="1" x14ac:dyDescent="0.2">
      <c r="A203" s="2">
        <v>2232</v>
      </c>
      <c r="B203" s="2" t="s">
        <v>54</v>
      </c>
      <c r="C203" s="2" t="s">
        <v>96</v>
      </c>
      <c r="D203" s="2" t="s">
        <v>3528</v>
      </c>
      <c r="E203" s="2" t="s">
        <v>3529</v>
      </c>
      <c r="F203" s="2" t="s">
        <v>110</v>
      </c>
      <c r="G203" s="2">
        <v>647</v>
      </c>
      <c r="H203" s="132">
        <f>965*1.75</f>
        <v>1688.75</v>
      </c>
      <c r="I203" s="132">
        <f>965*1.75</f>
        <v>1688.75</v>
      </c>
      <c r="J203" s="132"/>
      <c r="K203" s="132">
        <v>1688.75</v>
      </c>
      <c r="L203" s="132">
        <f t="shared" ref="L203:L266" si="35">H203-K203</f>
        <v>0</v>
      </c>
      <c r="M203" s="132">
        <f t="shared" ref="M203:M266" si="36">I203-K203</f>
        <v>0</v>
      </c>
      <c r="N203" s="133"/>
      <c r="O203" s="133">
        <f t="shared" ref="O203:O266" si="37">IF(OR(AJ203="принят",AJ203="Завершено",AJ203="ПриПро"),I203-K203,H203-K203)</f>
        <v>0</v>
      </c>
      <c r="P203" s="134">
        <v>0</v>
      </c>
      <c r="Q203" s="133"/>
      <c r="R203" s="133"/>
      <c r="S203" s="153">
        <v>0</v>
      </c>
      <c r="T203" s="153">
        <v>0</v>
      </c>
      <c r="U203" s="153">
        <v>0</v>
      </c>
      <c r="V203" s="135"/>
      <c r="W203" s="135"/>
      <c r="X203" s="135"/>
      <c r="Y203" s="135"/>
      <c r="Z203" s="135"/>
      <c r="AA203" s="135"/>
      <c r="AB203" s="135"/>
      <c r="AC203" s="135"/>
      <c r="AD203" s="133"/>
      <c r="AE203" s="133"/>
      <c r="AF203" s="132" t="str">
        <f t="shared" si="31"/>
        <v>Нет инфо</v>
      </c>
      <c r="AG203" s="132" t="str">
        <f t="shared" si="32"/>
        <v>Нет инфо</v>
      </c>
      <c r="AH203" s="2" t="s">
        <v>112</v>
      </c>
      <c r="AI203" s="136">
        <v>45540</v>
      </c>
      <c r="AJ203" s="2" t="s">
        <v>145</v>
      </c>
      <c r="AK203" s="136" t="s">
        <v>18</v>
      </c>
      <c r="AL203" s="136">
        <v>45309</v>
      </c>
      <c r="AM203" s="2" t="s">
        <v>3288</v>
      </c>
      <c r="AN203" s="2"/>
      <c r="AO203" s="2" t="s">
        <v>3282</v>
      </c>
      <c r="AP203" s="2" t="s">
        <v>3282</v>
      </c>
      <c r="AQ203" s="136"/>
    </row>
    <row r="204" spans="1:43" s="115" customFormat="1" ht="12.75" hidden="1" customHeight="1" x14ac:dyDescent="0.2">
      <c r="A204" s="2">
        <v>2233</v>
      </c>
      <c r="B204" s="2" t="s">
        <v>54</v>
      </c>
      <c r="C204" s="2" t="s">
        <v>96</v>
      </c>
      <c r="D204" s="2" t="s">
        <v>3530</v>
      </c>
      <c r="E204" s="2" t="s">
        <v>3531</v>
      </c>
      <c r="F204" s="2" t="s">
        <v>110</v>
      </c>
      <c r="G204" s="2">
        <v>618</v>
      </c>
      <c r="H204" s="132">
        <f>723*1.75</f>
        <v>1265.25</v>
      </c>
      <c r="I204" s="132">
        <f>723*1.75</f>
        <v>1265.25</v>
      </c>
      <c r="J204" s="132"/>
      <c r="K204" s="132">
        <v>1265.25</v>
      </c>
      <c r="L204" s="132">
        <f t="shared" si="35"/>
        <v>0</v>
      </c>
      <c r="M204" s="132">
        <f t="shared" si="36"/>
        <v>0</v>
      </c>
      <c r="N204" s="133"/>
      <c r="O204" s="133">
        <f t="shared" si="37"/>
        <v>0</v>
      </c>
      <c r="P204" s="134">
        <v>0</v>
      </c>
      <c r="Q204" s="133"/>
      <c r="R204" s="133"/>
      <c r="S204" s="153">
        <v>0</v>
      </c>
      <c r="T204" s="153">
        <v>0</v>
      </c>
      <c r="U204" s="153">
        <v>0</v>
      </c>
      <c r="V204" s="135"/>
      <c r="W204" s="135"/>
      <c r="X204" s="135"/>
      <c r="Y204" s="135"/>
      <c r="Z204" s="135"/>
      <c r="AA204" s="135"/>
      <c r="AB204" s="135"/>
      <c r="AC204" s="135"/>
      <c r="AD204" s="133"/>
      <c r="AE204" s="133"/>
      <c r="AF204" s="132" t="str">
        <f t="shared" si="31"/>
        <v>Нет инфо</v>
      </c>
      <c r="AG204" s="132" t="str">
        <f t="shared" si="32"/>
        <v>Нет инфо</v>
      </c>
      <c r="AH204" s="2" t="s">
        <v>112</v>
      </c>
      <c r="AI204" s="136">
        <v>45540</v>
      </c>
      <c r="AJ204" s="2" t="s">
        <v>145</v>
      </c>
      <c r="AK204" s="136" t="s">
        <v>18</v>
      </c>
      <c r="AL204" s="136">
        <v>45309</v>
      </c>
      <c r="AM204" s="2" t="s">
        <v>3289</v>
      </c>
      <c r="AN204" s="2"/>
      <c r="AO204" s="2" t="s">
        <v>2766</v>
      </c>
      <c r="AP204" s="2" t="s">
        <v>2766</v>
      </c>
      <c r="AQ204" s="136"/>
    </row>
    <row r="205" spans="1:43" s="115" customFormat="1" ht="12.75" hidden="1" customHeight="1" x14ac:dyDescent="0.2">
      <c r="A205" s="2">
        <v>2234</v>
      </c>
      <c r="B205" s="2" t="s">
        <v>54</v>
      </c>
      <c r="C205" s="2" t="s">
        <v>96</v>
      </c>
      <c r="D205" s="2" t="s">
        <v>3532</v>
      </c>
      <c r="E205" s="2" t="s">
        <v>3534</v>
      </c>
      <c r="F205" s="2" t="s">
        <v>110</v>
      </c>
      <c r="G205" s="2">
        <v>618</v>
      </c>
      <c r="H205" s="132">
        <f>1236*1.75</f>
        <v>2163</v>
      </c>
      <c r="I205" s="132">
        <f>1236*1.75</f>
        <v>2163</v>
      </c>
      <c r="J205" s="132"/>
      <c r="K205" s="132">
        <v>2163</v>
      </c>
      <c r="L205" s="132">
        <f t="shared" si="35"/>
        <v>0</v>
      </c>
      <c r="M205" s="132">
        <f t="shared" si="36"/>
        <v>0</v>
      </c>
      <c r="N205" s="133"/>
      <c r="O205" s="133">
        <f t="shared" si="37"/>
        <v>0</v>
      </c>
      <c r="P205" s="134">
        <v>0</v>
      </c>
      <c r="Q205" s="133"/>
      <c r="R205" s="133"/>
      <c r="S205" s="153">
        <v>0</v>
      </c>
      <c r="T205" s="153">
        <v>0</v>
      </c>
      <c r="U205" s="153">
        <v>0</v>
      </c>
      <c r="V205" s="135"/>
      <c r="W205" s="135"/>
      <c r="X205" s="135"/>
      <c r="Y205" s="135"/>
      <c r="Z205" s="135"/>
      <c r="AA205" s="135"/>
      <c r="AB205" s="135"/>
      <c r="AC205" s="135"/>
      <c r="AD205" s="133"/>
      <c r="AE205" s="133"/>
      <c r="AF205" s="132" t="str">
        <f t="shared" si="31"/>
        <v>Нет инфо</v>
      </c>
      <c r="AG205" s="132" t="str">
        <f t="shared" si="32"/>
        <v>Нет инфо</v>
      </c>
      <c r="AH205" s="2" t="s">
        <v>112</v>
      </c>
      <c r="AI205" s="136">
        <v>45540</v>
      </c>
      <c r="AJ205" s="2" t="s">
        <v>145</v>
      </c>
      <c r="AK205" s="136" t="s">
        <v>18</v>
      </c>
      <c r="AL205" s="136">
        <v>45309</v>
      </c>
      <c r="AM205" s="2" t="s">
        <v>3289</v>
      </c>
      <c r="AN205" s="2"/>
      <c r="AO205" s="2" t="s">
        <v>2766</v>
      </c>
      <c r="AP205" s="2" t="s">
        <v>2766</v>
      </c>
      <c r="AQ205" s="136"/>
    </row>
    <row r="206" spans="1:43" s="115" customFormat="1" ht="12.75" hidden="1" customHeight="1" x14ac:dyDescent="0.2">
      <c r="A206" s="2">
        <v>2235</v>
      </c>
      <c r="B206" s="2" t="s">
        <v>54</v>
      </c>
      <c r="C206" s="2" t="s">
        <v>96</v>
      </c>
      <c r="D206" s="2" t="s">
        <v>3533</v>
      </c>
      <c r="E206" s="2" t="s">
        <v>3535</v>
      </c>
      <c r="F206" s="2" t="s">
        <v>110</v>
      </c>
      <c r="G206" s="2">
        <v>618</v>
      </c>
      <c r="H206" s="132">
        <f>606*1.75</f>
        <v>1060.5</v>
      </c>
      <c r="I206" s="132">
        <f>606*1.75</f>
        <v>1060.5</v>
      </c>
      <c r="J206" s="132"/>
      <c r="K206" s="132">
        <v>1060.5</v>
      </c>
      <c r="L206" s="132">
        <f t="shared" si="35"/>
        <v>0</v>
      </c>
      <c r="M206" s="132">
        <f t="shared" si="36"/>
        <v>0</v>
      </c>
      <c r="N206" s="133"/>
      <c r="O206" s="133">
        <f t="shared" si="37"/>
        <v>0</v>
      </c>
      <c r="P206" s="134">
        <v>0</v>
      </c>
      <c r="Q206" s="133"/>
      <c r="R206" s="133"/>
      <c r="S206" s="153">
        <v>0</v>
      </c>
      <c r="T206" s="153">
        <v>0</v>
      </c>
      <c r="U206" s="153">
        <v>0</v>
      </c>
      <c r="V206" s="135"/>
      <c r="W206" s="135"/>
      <c r="X206" s="135"/>
      <c r="Y206" s="135"/>
      <c r="Z206" s="135"/>
      <c r="AA206" s="135"/>
      <c r="AB206" s="135"/>
      <c r="AC206" s="135"/>
      <c r="AD206" s="133"/>
      <c r="AE206" s="133"/>
      <c r="AF206" s="132" t="str">
        <f t="shared" si="31"/>
        <v>Нет инфо</v>
      </c>
      <c r="AG206" s="132" t="str">
        <f t="shared" si="32"/>
        <v>Нет инфо</v>
      </c>
      <c r="AH206" s="2" t="s">
        <v>112</v>
      </c>
      <c r="AI206" s="136">
        <v>45540</v>
      </c>
      <c r="AJ206" s="2" t="s">
        <v>145</v>
      </c>
      <c r="AK206" s="136" t="s">
        <v>18</v>
      </c>
      <c r="AL206" s="136">
        <v>45309</v>
      </c>
      <c r="AM206" s="2" t="s">
        <v>3289</v>
      </c>
      <c r="AN206" s="2"/>
      <c r="AO206" s="2" t="s">
        <v>2766</v>
      </c>
      <c r="AP206" s="2" t="s">
        <v>2766</v>
      </c>
      <c r="AQ206" s="136"/>
    </row>
    <row r="207" spans="1:43" s="115" customFormat="1" ht="12.75" hidden="1" customHeight="1" x14ac:dyDescent="0.2">
      <c r="A207" s="2">
        <v>2236</v>
      </c>
      <c r="B207" s="2" t="s">
        <v>54</v>
      </c>
      <c r="C207" s="2" t="s">
        <v>96</v>
      </c>
      <c r="D207" s="2" t="s">
        <v>3536</v>
      </c>
      <c r="E207" s="2" t="s">
        <v>3537</v>
      </c>
      <c r="F207" s="2" t="s">
        <v>110</v>
      </c>
      <c r="G207" s="2">
        <v>618</v>
      </c>
      <c r="H207" s="132">
        <f>920*1.75</f>
        <v>1610</v>
      </c>
      <c r="I207" s="132">
        <f>920*1.75</f>
        <v>1610</v>
      </c>
      <c r="J207" s="132"/>
      <c r="K207" s="132">
        <v>1610</v>
      </c>
      <c r="L207" s="132">
        <f t="shared" si="35"/>
        <v>0</v>
      </c>
      <c r="M207" s="132">
        <f t="shared" si="36"/>
        <v>0</v>
      </c>
      <c r="N207" s="133"/>
      <c r="O207" s="133">
        <f t="shared" si="37"/>
        <v>0</v>
      </c>
      <c r="P207" s="134">
        <v>0</v>
      </c>
      <c r="Q207" s="133"/>
      <c r="R207" s="133"/>
      <c r="S207" s="153">
        <v>0</v>
      </c>
      <c r="T207" s="153">
        <v>0</v>
      </c>
      <c r="U207" s="153">
        <v>0</v>
      </c>
      <c r="V207" s="135"/>
      <c r="W207" s="135"/>
      <c r="X207" s="135"/>
      <c r="Y207" s="135"/>
      <c r="Z207" s="135"/>
      <c r="AA207" s="135"/>
      <c r="AB207" s="135"/>
      <c r="AC207" s="135"/>
      <c r="AD207" s="133"/>
      <c r="AE207" s="133"/>
      <c r="AF207" s="132" t="str">
        <f t="shared" si="31"/>
        <v>Нет инфо</v>
      </c>
      <c r="AG207" s="132" t="str">
        <f t="shared" si="32"/>
        <v>Нет инфо</v>
      </c>
      <c r="AH207" s="2" t="s">
        <v>112</v>
      </c>
      <c r="AI207" s="136">
        <v>45540</v>
      </c>
      <c r="AJ207" s="2" t="s">
        <v>145</v>
      </c>
      <c r="AK207" s="136" t="s">
        <v>18</v>
      </c>
      <c r="AL207" s="136">
        <v>45309</v>
      </c>
      <c r="AM207" s="2" t="s">
        <v>3289</v>
      </c>
      <c r="AN207" s="2"/>
      <c r="AO207" s="2" t="s">
        <v>2766</v>
      </c>
      <c r="AP207" s="2" t="s">
        <v>2766</v>
      </c>
      <c r="AQ207" s="136"/>
    </row>
    <row r="208" spans="1:43" s="115" customFormat="1" ht="12.75" hidden="1" customHeight="1" x14ac:dyDescent="0.2">
      <c r="A208" s="2">
        <v>2237</v>
      </c>
      <c r="B208" s="2" t="s">
        <v>54</v>
      </c>
      <c r="C208" s="2" t="s">
        <v>96</v>
      </c>
      <c r="D208" s="2" t="s">
        <v>3532</v>
      </c>
      <c r="E208" s="2" t="s">
        <v>3534</v>
      </c>
      <c r="F208" s="2" t="s">
        <v>71</v>
      </c>
      <c r="G208" s="2">
        <v>618</v>
      </c>
      <c r="H208" s="132">
        <v>0</v>
      </c>
      <c r="I208" s="132">
        <f>50000+12000+684</f>
        <v>62684</v>
      </c>
      <c r="J208" s="132">
        <f>50000+12000+684</f>
        <v>62684</v>
      </c>
      <c r="K208" s="132">
        <f>7627.118+Y208+1830.508+684.4939</f>
        <v>62683.999900000003</v>
      </c>
      <c r="L208" s="132">
        <f t="shared" si="35"/>
        <v>-62683.999900000003</v>
      </c>
      <c r="M208" s="132">
        <f t="shared" si="36"/>
        <v>9.9999997473787516E-5</v>
      </c>
      <c r="N208" s="133">
        <v>1302</v>
      </c>
      <c r="O208" s="133">
        <f t="shared" si="37"/>
        <v>9.9999997473787516E-5</v>
      </c>
      <c r="P208" s="134" t="s">
        <v>1993</v>
      </c>
      <c r="Q208" s="133"/>
      <c r="R208" s="133"/>
      <c r="S208" s="153">
        <v>0</v>
      </c>
      <c r="T208" s="153">
        <v>0</v>
      </c>
      <c r="U208" s="153">
        <v>0</v>
      </c>
      <c r="V208" s="135"/>
      <c r="W208" s="135"/>
      <c r="X208" s="135"/>
      <c r="Y208" s="135">
        <f>42372.88+10169</f>
        <v>52541.88</v>
      </c>
      <c r="Z208" s="135">
        <f>2799.51+454.07</f>
        <v>3253.5800000000004</v>
      </c>
      <c r="AA208" s="135">
        <v>0</v>
      </c>
      <c r="AB208" s="140">
        <f>IF(AJ208="Принят",(J208/1.18-W208-Z208)*0.1,J208/1.18*0.8*0.1)-AA208</f>
        <v>4986.8453898305088</v>
      </c>
      <c r="AC208" s="135"/>
      <c r="AD208" s="133"/>
      <c r="AE208" s="133"/>
      <c r="AF208" s="132">
        <f t="shared" si="31"/>
        <v>48.144393241167435</v>
      </c>
      <c r="AG208" s="132" t="str">
        <f t="shared" si="32"/>
        <v>Нет инфо</v>
      </c>
      <c r="AH208" s="2" t="s">
        <v>11</v>
      </c>
      <c r="AI208" s="136">
        <v>45631</v>
      </c>
      <c r="AJ208" s="2" t="s">
        <v>109</v>
      </c>
      <c r="AK208" s="136" t="s">
        <v>18</v>
      </c>
      <c r="AL208" s="136">
        <v>45303</v>
      </c>
      <c r="AM208" s="2" t="s">
        <v>3358</v>
      </c>
      <c r="AN208" s="2"/>
      <c r="AO208" s="2" t="s">
        <v>2766</v>
      </c>
      <c r="AP208" s="2" t="s">
        <v>2766</v>
      </c>
      <c r="AQ208" s="136"/>
    </row>
    <row r="209" spans="1:43" s="115" customFormat="1" ht="12.75" hidden="1" customHeight="1" x14ac:dyDescent="0.2">
      <c r="A209" s="2">
        <v>2238</v>
      </c>
      <c r="B209" s="2" t="s">
        <v>54</v>
      </c>
      <c r="C209" s="2" t="s">
        <v>96</v>
      </c>
      <c r="D209" s="131" t="s">
        <v>3480</v>
      </c>
      <c r="E209" s="131" t="s">
        <v>3481</v>
      </c>
      <c r="F209" s="2" t="s">
        <v>71</v>
      </c>
      <c r="G209" s="2">
        <v>647</v>
      </c>
      <c r="H209" s="132">
        <v>0</v>
      </c>
      <c r="I209" s="132">
        <f>80000+10000+2000</f>
        <v>92000</v>
      </c>
      <c r="J209" s="132"/>
      <c r="K209" s="132">
        <f>12203.389+1525.423</f>
        <v>13728.812</v>
      </c>
      <c r="L209" s="132">
        <f t="shared" si="35"/>
        <v>-13728.812</v>
      </c>
      <c r="M209" s="132">
        <f t="shared" si="36"/>
        <v>78271.187999999995</v>
      </c>
      <c r="N209" s="133"/>
      <c r="O209" s="133">
        <f t="shared" si="37"/>
        <v>-13728.812</v>
      </c>
      <c r="P209" s="134" t="s">
        <v>1993</v>
      </c>
      <c r="Q209" s="133"/>
      <c r="R209" s="133"/>
      <c r="S209" s="153">
        <v>0</v>
      </c>
      <c r="T209" s="153">
        <v>0</v>
      </c>
      <c r="U209" s="153">
        <v>0</v>
      </c>
      <c r="V209" s="135"/>
      <c r="W209" s="135"/>
      <c r="X209" s="135"/>
      <c r="Y209" s="135"/>
      <c r="Z209" s="135"/>
      <c r="AA209" s="135"/>
      <c r="AB209" s="135">
        <f>IF(AJ209="Принят",(J209/1.18-W209-Z209)*0.1,J209/1.18*0.8*0.1)-AA209</f>
        <v>0</v>
      </c>
      <c r="AC209" s="135"/>
      <c r="AD209" s="133"/>
      <c r="AE209" s="133"/>
      <c r="AF209" s="132" t="str">
        <f t="shared" si="31"/>
        <v>Нет инфо</v>
      </c>
      <c r="AG209" s="132" t="str">
        <f t="shared" si="32"/>
        <v>Нет инфо</v>
      </c>
      <c r="AH209" s="2" t="s">
        <v>11</v>
      </c>
      <c r="AI209" s="136"/>
      <c r="AJ209" s="2">
        <v>80</v>
      </c>
      <c r="AK209" s="136" t="s">
        <v>18</v>
      </c>
      <c r="AL209" s="136">
        <v>45303</v>
      </c>
      <c r="AM209" s="2" t="s">
        <v>3359</v>
      </c>
      <c r="AN209" s="2"/>
      <c r="AO209" s="2" t="s">
        <v>3282</v>
      </c>
      <c r="AP209" s="2" t="s">
        <v>3282</v>
      </c>
      <c r="AQ209" s="136"/>
    </row>
    <row r="210" spans="1:43" s="115" customFormat="1" ht="12.75" hidden="1" customHeight="1" x14ac:dyDescent="0.2">
      <c r="A210" s="2">
        <v>2239</v>
      </c>
      <c r="B210" s="2" t="s">
        <v>54</v>
      </c>
      <c r="C210" s="2" t="s">
        <v>96</v>
      </c>
      <c r="D210" s="131" t="s">
        <v>3478</v>
      </c>
      <c r="E210" s="131" t="s">
        <v>3479</v>
      </c>
      <c r="F210" s="2" t="s">
        <v>71</v>
      </c>
      <c r="G210" s="2">
        <v>647</v>
      </c>
      <c r="H210" s="132">
        <v>0</v>
      </c>
      <c r="I210" s="132">
        <f>10000+40000+23429.4</f>
        <v>73429.399999999994</v>
      </c>
      <c r="J210" s="132">
        <f>10000+40000+23429.4</f>
        <v>73429.399999999994</v>
      </c>
      <c r="K210" s="132">
        <f>1525.423+Y210+6101.694+23429.703</f>
        <v>73429.400000000009</v>
      </c>
      <c r="L210" s="132">
        <f t="shared" si="35"/>
        <v>-73429.400000000009</v>
      </c>
      <c r="M210" s="132">
        <f t="shared" si="36"/>
        <v>0</v>
      </c>
      <c r="N210" s="133">
        <v>1105</v>
      </c>
      <c r="O210" s="133">
        <f t="shared" si="37"/>
        <v>-1.4551915228366852E-11</v>
      </c>
      <c r="P210" s="134" t="s">
        <v>1993</v>
      </c>
      <c r="Q210" s="133"/>
      <c r="R210" s="133"/>
      <c r="S210" s="153">
        <v>0</v>
      </c>
      <c r="T210" s="153">
        <v>0</v>
      </c>
      <c r="U210" s="153">
        <v>0</v>
      </c>
      <c r="V210" s="135"/>
      <c r="W210" s="135"/>
      <c r="X210" s="135"/>
      <c r="Y210" s="135">
        <f>8474.58+33898</f>
        <v>42372.58</v>
      </c>
      <c r="Z210" s="135">
        <f>489.15+1513.58</f>
        <v>2002.73</v>
      </c>
      <c r="AA210" s="135">
        <v>0</v>
      </c>
      <c r="AB210" s="140">
        <f t="shared" ref="AB210:AB212" si="38">IF(AJ210="Принят",(J210/1.18-W210-Z210)*0.1,J210/1.18*0.8*0.1)-AA210</f>
        <v>6022.557508474576</v>
      </c>
      <c r="AC210" s="135"/>
      <c r="AD210" s="133"/>
      <c r="AE210" s="133"/>
      <c r="AF210" s="132">
        <f t="shared" si="31"/>
        <v>66.451945701357459</v>
      </c>
      <c r="AG210" s="132" t="str">
        <f t="shared" si="32"/>
        <v>Нет инфо</v>
      </c>
      <c r="AH210" s="2" t="s">
        <v>11</v>
      </c>
      <c r="AI210" s="136">
        <v>45631</v>
      </c>
      <c r="AJ210" s="2" t="s">
        <v>109</v>
      </c>
      <c r="AK210" s="136" t="s">
        <v>18</v>
      </c>
      <c r="AL210" s="136">
        <v>45303</v>
      </c>
      <c r="AM210" s="2" t="s">
        <v>3359</v>
      </c>
      <c r="AN210" s="2"/>
      <c r="AO210" s="2" t="s">
        <v>3282</v>
      </c>
      <c r="AP210" s="2" t="s">
        <v>3282</v>
      </c>
      <c r="AQ210" s="136"/>
    </row>
    <row r="211" spans="1:43" s="115" customFormat="1" ht="12.75" hidden="1" customHeight="1" x14ac:dyDescent="0.2">
      <c r="A211" s="2">
        <v>2240</v>
      </c>
      <c r="B211" s="2" t="s">
        <v>54</v>
      </c>
      <c r="C211" s="2" t="s">
        <v>96</v>
      </c>
      <c r="D211" s="131" t="s">
        <v>3466</v>
      </c>
      <c r="E211" s="131" t="s">
        <v>3469</v>
      </c>
      <c r="F211" s="2" t="s">
        <v>71</v>
      </c>
      <c r="G211" s="2">
        <v>618</v>
      </c>
      <c r="H211" s="132">
        <v>0</v>
      </c>
      <c r="I211" s="132">
        <f>70000+10000+12000+1569.39</f>
        <v>93569.39</v>
      </c>
      <c r="J211" s="132">
        <f>70000+10000+12000+1569.39</f>
        <v>93569.39</v>
      </c>
      <c r="K211" s="132">
        <f>10677.966+1525.423+Y211+1830.508+1569.883</f>
        <v>93569.39</v>
      </c>
      <c r="L211" s="132">
        <f t="shared" si="35"/>
        <v>-93569.39</v>
      </c>
      <c r="M211" s="132">
        <f t="shared" si="36"/>
        <v>0</v>
      </c>
      <c r="N211" s="133">
        <v>1210</v>
      </c>
      <c r="O211" s="133">
        <f t="shared" si="37"/>
        <v>0</v>
      </c>
      <c r="P211" s="134" t="s">
        <v>1993</v>
      </c>
      <c r="Q211" s="133"/>
      <c r="R211" s="133"/>
      <c r="S211" s="153">
        <v>0</v>
      </c>
      <c r="T211" s="153">
        <v>0</v>
      </c>
      <c r="U211" s="153">
        <v>0</v>
      </c>
      <c r="V211" s="135"/>
      <c r="W211" s="135"/>
      <c r="X211" s="135"/>
      <c r="Y211" s="135">
        <f>59322.03+8474.58+10169</f>
        <v>77965.61</v>
      </c>
      <c r="Z211" s="135">
        <f>3919.32+489.15+454.07</f>
        <v>4862.54</v>
      </c>
      <c r="AA211" s="135">
        <v>0</v>
      </c>
      <c r="AB211" s="140">
        <f t="shared" si="38"/>
        <v>7443.355322033899</v>
      </c>
      <c r="AC211" s="135"/>
      <c r="AD211" s="133"/>
      <c r="AE211" s="133"/>
      <c r="AF211" s="132">
        <f t="shared" si="31"/>
        <v>77.330074380165286</v>
      </c>
      <c r="AG211" s="132" t="str">
        <f t="shared" si="32"/>
        <v>Нет инфо</v>
      </c>
      <c r="AH211" s="2" t="s">
        <v>11</v>
      </c>
      <c r="AI211" s="136">
        <v>45631</v>
      </c>
      <c r="AJ211" s="2" t="s">
        <v>109</v>
      </c>
      <c r="AK211" s="136" t="s">
        <v>18</v>
      </c>
      <c r="AL211" s="136">
        <v>45303</v>
      </c>
      <c r="AM211" s="2" t="s">
        <v>3358</v>
      </c>
      <c r="AN211" s="2"/>
      <c r="AO211" s="2" t="s">
        <v>2766</v>
      </c>
      <c r="AP211" s="2" t="s">
        <v>2766</v>
      </c>
      <c r="AQ211" s="136"/>
    </row>
    <row r="212" spans="1:43" s="115" customFormat="1" ht="12.75" hidden="1" customHeight="1" x14ac:dyDescent="0.2">
      <c r="A212" s="2">
        <v>2241</v>
      </c>
      <c r="B212" s="2" t="s">
        <v>54</v>
      </c>
      <c r="C212" s="2" t="s">
        <v>96</v>
      </c>
      <c r="D212" s="131" t="s">
        <v>3467</v>
      </c>
      <c r="E212" s="131" t="s">
        <v>3470</v>
      </c>
      <c r="F212" s="2" t="s">
        <v>71</v>
      </c>
      <c r="G212" s="2">
        <v>618</v>
      </c>
      <c r="H212" s="132">
        <v>0</v>
      </c>
      <c r="I212" s="132">
        <f>30000+12000+3403.39</f>
        <v>45403.39</v>
      </c>
      <c r="J212" s="132">
        <f>30000+12000+3403.39</f>
        <v>45403.39</v>
      </c>
      <c r="K212" s="132">
        <f>4576.27+Y212+1830.508+3403.882</f>
        <v>45403.39</v>
      </c>
      <c r="L212" s="132">
        <f t="shared" si="35"/>
        <v>-45403.39</v>
      </c>
      <c r="M212" s="132">
        <f t="shared" si="36"/>
        <v>0</v>
      </c>
      <c r="N212" s="133">
        <v>880</v>
      </c>
      <c r="O212" s="133">
        <f t="shared" si="37"/>
        <v>0</v>
      </c>
      <c r="P212" s="134" t="s">
        <v>1993</v>
      </c>
      <c r="Q212" s="133"/>
      <c r="R212" s="133"/>
      <c r="S212" s="153">
        <v>0</v>
      </c>
      <c r="T212" s="153">
        <v>0</v>
      </c>
      <c r="U212" s="153">
        <v>0</v>
      </c>
      <c r="V212" s="135"/>
      <c r="W212" s="135"/>
      <c r="X212" s="135"/>
      <c r="Y212" s="135">
        <f>25423.73+10169</f>
        <v>35592.729999999996</v>
      </c>
      <c r="Z212" s="135">
        <f>1679.71+454.07</f>
        <v>2133.7800000000002</v>
      </c>
      <c r="AA212" s="135">
        <v>0</v>
      </c>
      <c r="AB212" s="140">
        <f t="shared" si="38"/>
        <v>3634.3669152542375</v>
      </c>
      <c r="AC212" s="135"/>
      <c r="AD212" s="133"/>
      <c r="AE212" s="133"/>
      <c r="AF212" s="132">
        <f t="shared" si="31"/>
        <v>51.594761363636366</v>
      </c>
      <c r="AG212" s="132" t="str">
        <f t="shared" si="32"/>
        <v>Нет инфо</v>
      </c>
      <c r="AH212" s="2" t="s">
        <v>11</v>
      </c>
      <c r="AI212" s="136">
        <v>45631</v>
      </c>
      <c r="AJ212" s="2" t="s">
        <v>109</v>
      </c>
      <c r="AK212" s="136" t="s">
        <v>18</v>
      </c>
      <c r="AL212" s="136">
        <v>45303</v>
      </c>
      <c r="AM212" s="2" t="s">
        <v>3358</v>
      </c>
      <c r="AN212" s="2"/>
      <c r="AO212" s="2" t="s">
        <v>2766</v>
      </c>
      <c r="AP212" s="2" t="s">
        <v>2766</v>
      </c>
      <c r="AQ212" s="136"/>
    </row>
    <row r="213" spans="1:43" s="115" customFormat="1" ht="12.75" customHeight="1" x14ac:dyDescent="0.2">
      <c r="A213" s="2">
        <v>2242</v>
      </c>
      <c r="B213" s="2" t="s">
        <v>54</v>
      </c>
      <c r="C213" s="131" t="s">
        <v>50</v>
      </c>
      <c r="D213" s="131" t="s">
        <v>3545</v>
      </c>
      <c r="E213" s="131" t="s">
        <v>2101</v>
      </c>
      <c r="F213" s="2" t="s">
        <v>141</v>
      </c>
      <c r="G213" s="2"/>
      <c r="H213" s="132">
        <v>0</v>
      </c>
      <c r="I213" s="132">
        <f>50000+900</f>
        <v>50900</v>
      </c>
      <c r="J213" s="132"/>
      <c r="K213" s="132">
        <f>7627.118+137.288</f>
        <v>7764.4060000000009</v>
      </c>
      <c r="L213" s="132">
        <f t="shared" si="35"/>
        <v>-7764.4060000000009</v>
      </c>
      <c r="M213" s="132">
        <f t="shared" si="36"/>
        <v>43135.593999999997</v>
      </c>
      <c r="N213" s="133"/>
      <c r="O213" s="133">
        <f t="shared" si="37"/>
        <v>-7764.4060000000009</v>
      </c>
      <c r="P213" s="134" t="s">
        <v>1993</v>
      </c>
      <c r="Q213" s="133"/>
      <c r="R213" s="133"/>
      <c r="S213" s="153">
        <v>0</v>
      </c>
      <c r="T213" s="153">
        <v>0</v>
      </c>
      <c r="U213" s="153">
        <v>0</v>
      </c>
      <c r="V213" s="135"/>
      <c r="W213" s="135"/>
      <c r="X213" s="135"/>
      <c r="Y213" s="135"/>
      <c r="Z213" s="135"/>
      <c r="AA213" s="135"/>
      <c r="AB213" s="135"/>
      <c r="AC213" s="135"/>
      <c r="AD213" s="133"/>
      <c r="AE213" s="133"/>
      <c r="AF213" s="132" t="str">
        <f t="shared" si="31"/>
        <v>Нет инфо</v>
      </c>
      <c r="AG213" s="132" t="str">
        <f t="shared" si="32"/>
        <v>Нет инфо</v>
      </c>
      <c r="AH213" s="2" t="s">
        <v>11</v>
      </c>
      <c r="AI213" s="136"/>
      <c r="AJ213" s="2">
        <v>50</v>
      </c>
      <c r="AK213" s="136" t="s">
        <v>113</v>
      </c>
      <c r="AL213" s="136">
        <v>45308</v>
      </c>
      <c r="AM213" s="2" t="s">
        <v>2198</v>
      </c>
      <c r="AN213" s="2"/>
      <c r="AO213" s="2" t="s">
        <v>338</v>
      </c>
      <c r="AP213" s="2" t="s">
        <v>338</v>
      </c>
      <c r="AQ213" s="136"/>
    </row>
    <row r="214" spans="1:43" s="115" customFormat="1" ht="12.75" customHeight="1" x14ac:dyDescent="0.2">
      <c r="A214" s="2">
        <v>2243</v>
      </c>
      <c r="B214" s="2" t="s">
        <v>54</v>
      </c>
      <c r="C214" s="131" t="s">
        <v>50</v>
      </c>
      <c r="D214" s="131" t="s">
        <v>3546</v>
      </c>
      <c r="E214" s="131" t="s">
        <v>2102</v>
      </c>
      <c r="F214" s="2" t="s">
        <v>141</v>
      </c>
      <c r="G214" s="2"/>
      <c r="H214" s="132">
        <v>0</v>
      </c>
      <c r="I214" s="132">
        <v>50000</v>
      </c>
      <c r="J214" s="132"/>
      <c r="K214" s="132">
        <f t="shared" ref="K214" si="39">7627.118</f>
        <v>7627.1180000000004</v>
      </c>
      <c r="L214" s="132">
        <f t="shared" si="35"/>
        <v>-7627.1180000000004</v>
      </c>
      <c r="M214" s="132">
        <f t="shared" si="36"/>
        <v>42372.881999999998</v>
      </c>
      <c r="N214" s="133"/>
      <c r="O214" s="133">
        <f t="shared" si="37"/>
        <v>-7627.1180000000004</v>
      </c>
      <c r="P214" s="134" t="s">
        <v>1993</v>
      </c>
      <c r="Q214" s="133"/>
      <c r="R214" s="133"/>
      <c r="S214" s="153">
        <v>0</v>
      </c>
      <c r="T214" s="153">
        <v>0</v>
      </c>
      <c r="U214" s="153">
        <v>0</v>
      </c>
      <c r="V214" s="135"/>
      <c r="W214" s="135"/>
      <c r="X214" s="135"/>
      <c r="Y214" s="135"/>
      <c r="Z214" s="135"/>
      <c r="AA214" s="135"/>
      <c r="AB214" s="135"/>
      <c r="AC214" s="135"/>
      <c r="AD214" s="133"/>
      <c r="AE214" s="133"/>
      <c r="AF214" s="132" t="str">
        <f t="shared" si="31"/>
        <v>Нет инфо</v>
      </c>
      <c r="AG214" s="132" t="str">
        <f t="shared" si="32"/>
        <v>Нет инфо</v>
      </c>
      <c r="AH214" s="2" t="s">
        <v>11</v>
      </c>
      <c r="AI214" s="136"/>
      <c r="AJ214" s="2">
        <v>50</v>
      </c>
      <c r="AK214" s="136" t="s">
        <v>113</v>
      </c>
      <c r="AL214" s="136">
        <v>45308</v>
      </c>
      <c r="AM214" s="2" t="s">
        <v>2198</v>
      </c>
      <c r="AN214" s="2"/>
      <c r="AO214" s="2" t="s">
        <v>338</v>
      </c>
      <c r="AP214" s="2" t="s">
        <v>338</v>
      </c>
      <c r="AQ214" s="136"/>
    </row>
    <row r="215" spans="1:43" s="115" customFormat="1" ht="12.75" customHeight="1" x14ac:dyDescent="0.2">
      <c r="A215" s="2">
        <v>2244</v>
      </c>
      <c r="B215" s="2" t="s">
        <v>54</v>
      </c>
      <c r="C215" s="131" t="s">
        <v>50</v>
      </c>
      <c r="D215" s="131" t="s">
        <v>3548</v>
      </c>
      <c r="E215" s="2" t="s">
        <v>2112</v>
      </c>
      <c r="F215" s="2" t="s">
        <v>141</v>
      </c>
      <c r="G215" s="2"/>
      <c r="H215" s="132">
        <v>0</v>
      </c>
      <c r="I215" s="132">
        <f>50000+700</f>
        <v>50700</v>
      </c>
      <c r="J215" s="132"/>
      <c r="K215" s="132">
        <f>7627.118+106.779</f>
        <v>7733.8970000000008</v>
      </c>
      <c r="L215" s="132">
        <f t="shared" si="35"/>
        <v>-7733.8970000000008</v>
      </c>
      <c r="M215" s="132">
        <f t="shared" si="36"/>
        <v>42966.103000000003</v>
      </c>
      <c r="N215" s="133"/>
      <c r="O215" s="133">
        <f t="shared" si="37"/>
        <v>-7733.8970000000008</v>
      </c>
      <c r="P215" s="134" t="s">
        <v>1993</v>
      </c>
      <c r="Q215" s="133"/>
      <c r="R215" s="133"/>
      <c r="S215" s="153">
        <v>0</v>
      </c>
      <c r="T215" s="153">
        <v>0</v>
      </c>
      <c r="U215" s="153">
        <v>0</v>
      </c>
      <c r="V215" s="135"/>
      <c r="W215" s="135"/>
      <c r="X215" s="135"/>
      <c r="Y215" s="135"/>
      <c r="Z215" s="135"/>
      <c r="AA215" s="135"/>
      <c r="AB215" s="135"/>
      <c r="AC215" s="135"/>
      <c r="AD215" s="133"/>
      <c r="AE215" s="133"/>
      <c r="AF215" s="132" t="str">
        <f t="shared" si="31"/>
        <v>Нет инфо</v>
      </c>
      <c r="AG215" s="132" t="str">
        <f t="shared" si="32"/>
        <v>Нет инфо</v>
      </c>
      <c r="AH215" s="2" t="s">
        <v>11</v>
      </c>
      <c r="AI215" s="136"/>
      <c r="AJ215" s="2">
        <v>50</v>
      </c>
      <c r="AK215" s="136" t="s">
        <v>113</v>
      </c>
      <c r="AL215" s="136">
        <v>45308</v>
      </c>
      <c r="AM215" s="2" t="s">
        <v>2198</v>
      </c>
      <c r="AN215" s="2"/>
      <c r="AO215" s="2" t="s">
        <v>338</v>
      </c>
      <c r="AP215" s="2" t="s">
        <v>338</v>
      </c>
      <c r="AQ215" s="136"/>
    </row>
    <row r="216" spans="1:43" s="115" customFormat="1" ht="12.75" customHeight="1" x14ac:dyDescent="0.2">
      <c r="A216" s="2">
        <v>2245</v>
      </c>
      <c r="B216" s="2" t="s">
        <v>54</v>
      </c>
      <c r="C216" s="131" t="s">
        <v>50</v>
      </c>
      <c r="D216" s="131" t="s">
        <v>3547</v>
      </c>
      <c r="E216" s="2" t="s">
        <v>2080</v>
      </c>
      <c r="F216" s="2" t="s">
        <v>141</v>
      </c>
      <c r="G216" s="2"/>
      <c r="H216" s="132">
        <v>0</v>
      </c>
      <c r="I216" s="132">
        <f>50000+800</f>
        <v>50800</v>
      </c>
      <c r="J216" s="132"/>
      <c r="K216" s="132">
        <f>7627.118+122.033</f>
        <v>7749.1510000000007</v>
      </c>
      <c r="L216" s="132">
        <f t="shared" si="35"/>
        <v>-7749.1510000000007</v>
      </c>
      <c r="M216" s="132">
        <f t="shared" si="36"/>
        <v>43050.849000000002</v>
      </c>
      <c r="N216" s="133"/>
      <c r="O216" s="133">
        <f t="shared" si="37"/>
        <v>-7749.1510000000007</v>
      </c>
      <c r="P216" s="134" t="s">
        <v>1993</v>
      </c>
      <c r="Q216" s="133"/>
      <c r="R216" s="133"/>
      <c r="S216" s="153">
        <v>0</v>
      </c>
      <c r="T216" s="153">
        <v>0</v>
      </c>
      <c r="U216" s="153">
        <v>0</v>
      </c>
      <c r="V216" s="135"/>
      <c r="W216" s="135"/>
      <c r="X216" s="135"/>
      <c r="Y216" s="135"/>
      <c r="Z216" s="135"/>
      <c r="AA216" s="135"/>
      <c r="AB216" s="135"/>
      <c r="AC216" s="135"/>
      <c r="AD216" s="133"/>
      <c r="AE216" s="133"/>
      <c r="AF216" s="132" t="str">
        <f t="shared" si="31"/>
        <v>Нет инфо</v>
      </c>
      <c r="AG216" s="132" t="str">
        <f t="shared" si="32"/>
        <v>Нет инфо</v>
      </c>
      <c r="AH216" s="2" t="s">
        <v>11</v>
      </c>
      <c r="AI216" s="136"/>
      <c r="AJ216" s="2">
        <v>50</v>
      </c>
      <c r="AK216" s="136" t="s">
        <v>113</v>
      </c>
      <c r="AL216" s="136">
        <v>45308</v>
      </c>
      <c r="AM216" s="2" t="s">
        <v>2198</v>
      </c>
      <c r="AN216" s="2"/>
      <c r="AO216" s="2" t="s">
        <v>338</v>
      </c>
      <c r="AP216" s="2" t="s">
        <v>338</v>
      </c>
      <c r="AQ216" s="136"/>
    </row>
    <row r="217" spans="1:43" s="115" customFormat="1" ht="12.75" customHeight="1" x14ac:dyDescent="0.2">
      <c r="A217" s="2">
        <v>2246</v>
      </c>
      <c r="B217" s="2" t="s">
        <v>54</v>
      </c>
      <c r="C217" s="131" t="s">
        <v>50</v>
      </c>
      <c r="D217" s="131" t="s">
        <v>3549</v>
      </c>
      <c r="E217" s="2" t="s">
        <v>2113</v>
      </c>
      <c r="F217" s="2" t="s">
        <v>141</v>
      </c>
      <c r="G217" s="2"/>
      <c r="H217" s="132">
        <v>0</v>
      </c>
      <c r="I217" s="132">
        <f>50000+600</f>
        <v>50600</v>
      </c>
      <c r="J217" s="132"/>
      <c r="K217" s="132">
        <f>7627.118+91.525</f>
        <v>7718.643</v>
      </c>
      <c r="L217" s="132">
        <f t="shared" si="35"/>
        <v>-7718.643</v>
      </c>
      <c r="M217" s="132">
        <f t="shared" si="36"/>
        <v>42881.357000000004</v>
      </c>
      <c r="N217" s="133"/>
      <c r="O217" s="133">
        <f t="shared" si="37"/>
        <v>-7718.643</v>
      </c>
      <c r="P217" s="134" t="s">
        <v>1993</v>
      </c>
      <c r="Q217" s="133"/>
      <c r="R217" s="133"/>
      <c r="S217" s="153">
        <v>0</v>
      </c>
      <c r="T217" s="153">
        <v>0</v>
      </c>
      <c r="U217" s="153">
        <v>0</v>
      </c>
      <c r="V217" s="135"/>
      <c r="W217" s="135"/>
      <c r="X217" s="135"/>
      <c r="Y217" s="135"/>
      <c r="Z217" s="135"/>
      <c r="AA217" s="135"/>
      <c r="AB217" s="135"/>
      <c r="AC217" s="135"/>
      <c r="AD217" s="133"/>
      <c r="AE217" s="133"/>
      <c r="AF217" s="132" t="str">
        <f t="shared" si="31"/>
        <v>Нет инфо</v>
      </c>
      <c r="AG217" s="132" t="str">
        <f t="shared" si="32"/>
        <v>Нет инфо</v>
      </c>
      <c r="AH217" s="2" t="s">
        <v>11</v>
      </c>
      <c r="AI217" s="136"/>
      <c r="AJ217" s="2">
        <v>50</v>
      </c>
      <c r="AK217" s="136" t="s">
        <v>113</v>
      </c>
      <c r="AL217" s="136">
        <v>45308</v>
      </c>
      <c r="AM217" s="2" t="s">
        <v>2198</v>
      </c>
      <c r="AN217" s="2"/>
      <c r="AO217" s="2" t="s">
        <v>338</v>
      </c>
      <c r="AP217" s="2" t="s">
        <v>338</v>
      </c>
      <c r="AQ217" s="136"/>
    </row>
    <row r="218" spans="1:43" s="115" customFormat="1" ht="12.75" customHeight="1" x14ac:dyDescent="0.2">
      <c r="A218" s="2">
        <v>2247</v>
      </c>
      <c r="B218" s="2" t="s">
        <v>54</v>
      </c>
      <c r="C218" s="131" t="s">
        <v>50</v>
      </c>
      <c r="D218" s="131" t="s">
        <v>3550</v>
      </c>
      <c r="E218" s="2" t="s">
        <v>2108</v>
      </c>
      <c r="F218" s="2" t="s">
        <v>141</v>
      </c>
      <c r="G218" s="2"/>
      <c r="H218" s="132">
        <v>0</v>
      </c>
      <c r="I218" s="132">
        <f>50000+800</f>
        <v>50800</v>
      </c>
      <c r="J218" s="132"/>
      <c r="K218" s="132">
        <f>7627.118+122.033</f>
        <v>7749.1510000000007</v>
      </c>
      <c r="L218" s="132">
        <f t="shared" si="35"/>
        <v>-7749.1510000000007</v>
      </c>
      <c r="M218" s="132">
        <f t="shared" si="36"/>
        <v>43050.849000000002</v>
      </c>
      <c r="N218" s="133"/>
      <c r="O218" s="133">
        <f t="shared" si="37"/>
        <v>-7749.1510000000007</v>
      </c>
      <c r="P218" s="134" t="s">
        <v>1993</v>
      </c>
      <c r="Q218" s="133"/>
      <c r="R218" s="133"/>
      <c r="S218" s="153">
        <v>0</v>
      </c>
      <c r="T218" s="153">
        <v>0</v>
      </c>
      <c r="U218" s="153">
        <v>0</v>
      </c>
      <c r="V218" s="135"/>
      <c r="W218" s="135"/>
      <c r="X218" s="135"/>
      <c r="Y218" s="135"/>
      <c r="Z218" s="135"/>
      <c r="AA218" s="135"/>
      <c r="AB218" s="135"/>
      <c r="AC218" s="135"/>
      <c r="AD218" s="133"/>
      <c r="AE218" s="133"/>
      <c r="AF218" s="132" t="str">
        <f t="shared" si="31"/>
        <v>Нет инфо</v>
      </c>
      <c r="AG218" s="132" t="str">
        <f t="shared" si="32"/>
        <v>Нет инфо</v>
      </c>
      <c r="AH218" s="2" t="s">
        <v>11</v>
      </c>
      <c r="AI218" s="136"/>
      <c r="AJ218" s="2">
        <v>50</v>
      </c>
      <c r="AK218" s="136" t="s">
        <v>113</v>
      </c>
      <c r="AL218" s="136">
        <v>45308</v>
      </c>
      <c r="AM218" s="2" t="s">
        <v>2198</v>
      </c>
      <c r="AN218" s="2"/>
      <c r="AO218" s="2" t="s">
        <v>338</v>
      </c>
      <c r="AP218" s="2" t="s">
        <v>338</v>
      </c>
      <c r="AQ218" s="136"/>
    </row>
    <row r="219" spans="1:43" s="115" customFormat="1" ht="12.75" hidden="1" customHeight="1" x14ac:dyDescent="0.2">
      <c r="A219" s="2">
        <v>2248</v>
      </c>
      <c r="B219" s="2" t="s">
        <v>28</v>
      </c>
      <c r="C219" s="131" t="s">
        <v>88</v>
      </c>
      <c r="D219" s="131" t="s">
        <v>3389</v>
      </c>
      <c r="E219" s="131" t="s">
        <v>3388</v>
      </c>
      <c r="F219" s="2" t="s">
        <v>117</v>
      </c>
      <c r="G219" s="2"/>
      <c r="H219" s="132">
        <v>2514.75</v>
      </c>
      <c r="I219" s="132">
        <f>1437*1.75</f>
        <v>2514.75</v>
      </c>
      <c r="J219" s="132"/>
      <c r="K219" s="132">
        <v>2514.75</v>
      </c>
      <c r="L219" s="132">
        <f t="shared" si="35"/>
        <v>0</v>
      </c>
      <c r="M219" s="132">
        <f t="shared" si="36"/>
        <v>0</v>
      </c>
      <c r="N219" s="133"/>
      <c r="O219" s="133">
        <f t="shared" si="37"/>
        <v>0</v>
      </c>
      <c r="P219" s="134">
        <v>0</v>
      </c>
      <c r="Q219" s="133"/>
      <c r="R219" s="133"/>
      <c r="S219" s="153">
        <v>0</v>
      </c>
      <c r="T219" s="153">
        <v>0</v>
      </c>
      <c r="U219" s="153">
        <v>0</v>
      </c>
      <c r="V219" s="135"/>
      <c r="W219" s="135"/>
      <c r="X219" s="135"/>
      <c r="Y219" s="135"/>
      <c r="Z219" s="135"/>
      <c r="AA219" s="135"/>
      <c r="AB219" s="135"/>
      <c r="AC219" s="135"/>
      <c r="AD219" s="133"/>
      <c r="AE219" s="133"/>
      <c r="AF219" s="132" t="str">
        <f t="shared" si="31"/>
        <v>Нет инфо</v>
      </c>
      <c r="AG219" s="132" t="str">
        <f t="shared" si="32"/>
        <v>Нет инфо</v>
      </c>
      <c r="AH219" s="2" t="s">
        <v>112</v>
      </c>
      <c r="AI219" s="136">
        <v>45580</v>
      </c>
      <c r="AJ219" s="2" t="s">
        <v>145</v>
      </c>
      <c r="AK219" s="136" t="s">
        <v>18</v>
      </c>
      <c r="AL219" s="136">
        <v>45301</v>
      </c>
      <c r="AM219" s="2" t="s">
        <v>2514</v>
      </c>
      <c r="AN219" s="2"/>
      <c r="AO219" s="2" t="s">
        <v>2427</v>
      </c>
      <c r="AP219" s="2" t="s">
        <v>2427</v>
      </c>
      <c r="AQ219" s="136"/>
    </row>
    <row r="220" spans="1:43" s="115" customFormat="1" ht="12.75" hidden="1" customHeight="1" x14ac:dyDescent="0.2">
      <c r="A220" s="2">
        <v>2249</v>
      </c>
      <c r="B220" s="2" t="s">
        <v>28</v>
      </c>
      <c r="C220" s="131" t="s">
        <v>88</v>
      </c>
      <c r="D220" s="131" t="s">
        <v>3587</v>
      </c>
      <c r="E220" s="131" t="s">
        <v>3586</v>
      </c>
      <c r="F220" s="2" t="s">
        <v>117</v>
      </c>
      <c r="G220" s="2"/>
      <c r="H220" s="132">
        <v>2793.875</v>
      </c>
      <c r="I220" s="132">
        <f>1596.5*1.75</f>
        <v>2793.875</v>
      </c>
      <c r="J220" s="132"/>
      <c r="K220" s="132">
        <v>2793.875</v>
      </c>
      <c r="L220" s="132">
        <f t="shared" si="35"/>
        <v>0</v>
      </c>
      <c r="M220" s="132">
        <f t="shared" si="36"/>
        <v>0</v>
      </c>
      <c r="N220" s="133"/>
      <c r="O220" s="133">
        <f t="shared" si="37"/>
        <v>0</v>
      </c>
      <c r="P220" s="134">
        <v>0</v>
      </c>
      <c r="Q220" s="133"/>
      <c r="R220" s="133"/>
      <c r="S220" s="153">
        <v>0</v>
      </c>
      <c r="T220" s="153">
        <v>0</v>
      </c>
      <c r="U220" s="153">
        <v>0</v>
      </c>
      <c r="V220" s="135"/>
      <c r="W220" s="135"/>
      <c r="X220" s="135"/>
      <c r="Y220" s="135"/>
      <c r="Z220" s="135"/>
      <c r="AA220" s="135"/>
      <c r="AB220" s="135"/>
      <c r="AC220" s="135"/>
      <c r="AD220" s="133"/>
      <c r="AE220" s="133"/>
      <c r="AF220" s="132" t="str">
        <f t="shared" si="31"/>
        <v>Нет инфо</v>
      </c>
      <c r="AG220" s="132" t="str">
        <f t="shared" si="32"/>
        <v>Нет инфо</v>
      </c>
      <c r="AH220" s="2" t="s">
        <v>112</v>
      </c>
      <c r="AI220" s="136">
        <v>45580</v>
      </c>
      <c r="AJ220" s="2" t="s">
        <v>145</v>
      </c>
      <c r="AK220" s="136" t="s">
        <v>18</v>
      </c>
      <c r="AL220" s="136">
        <v>45301</v>
      </c>
      <c r="AM220" s="2" t="s">
        <v>2514</v>
      </c>
      <c r="AN220" s="2"/>
      <c r="AO220" s="2" t="s">
        <v>2427</v>
      </c>
      <c r="AP220" s="2" t="s">
        <v>2427</v>
      </c>
      <c r="AQ220" s="136"/>
    </row>
    <row r="221" spans="1:43" s="115" customFormat="1" ht="12.75" hidden="1" customHeight="1" x14ac:dyDescent="0.2">
      <c r="A221" s="2">
        <v>2250</v>
      </c>
      <c r="B221" s="2" t="s">
        <v>54</v>
      </c>
      <c r="C221" s="2" t="s">
        <v>96</v>
      </c>
      <c r="D221" s="131" t="s">
        <v>3590</v>
      </c>
      <c r="E221" s="131" t="s">
        <v>3591</v>
      </c>
      <c r="F221" s="2" t="s">
        <v>110</v>
      </c>
      <c r="G221" s="2">
        <v>647</v>
      </c>
      <c r="H221" s="132">
        <v>2989</v>
      </c>
      <c r="I221" s="132">
        <f>1708*1.75</f>
        <v>2989</v>
      </c>
      <c r="J221" s="132"/>
      <c r="K221" s="132">
        <v>2989</v>
      </c>
      <c r="L221" s="132">
        <f t="shared" si="35"/>
        <v>0</v>
      </c>
      <c r="M221" s="132">
        <f t="shared" si="36"/>
        <v>0</v>
      </c>
      <c r="N221" s="133"/>
      <c r="O221" s="133">
        <f t="shared" si="37"/>
        <v>0</v>
      </c>
      <c r="P221" s="134">
        <v>0</v>
      </c>
      <c r="Q221" s="133"/>
      <c r="R221" s="133"/>
      <c r="S221" s="153">
        <v>0</v>
      </c>
      <c r="T221" s="153">
        <v>0</v>
      </c>
      <c r="U221" s="153">
        <v>0</v>
      </c>
      <c r="V221" s="135"/>
      <c r="W221" s="135"/>
      <c r="X221" s="135"/>
      <c r="Y221" s="135"/>
      <c r="Z221" s="135"/>
      <c r="AA221" s="135"/>
      <c r="AB221" s="135"/>
      <c r="AC221" s="135"/>
      <c r="AD221" s="133"/>
      <c r="AE221" s="133"/>
      <c r="AF221" s="132" t="str">
        <f t="shared" si="31"/>
        <v>Нет инфо</v>
      </c>
      <c r="AG221" s="132" t="str">
        <f t="shared" si="32"/>
        <v>Нет инфо</v>
      </c>
      <c r="AH221" s="2" t="s">
        <v>112</v>
      </c>
      <c r="AI221" s="136">
        <v>45573</v>
      </c>
      <c r="AJ221" s="2" t="s">
        <v>145</v>
      </c>
      <c r="AK221" s="136" t="s">
        <v>18</v>
      </c>
      <c r="AL221" s="136">
        <v>45309</v>
      </c>
      <c r="AM221" s="2" t="s">
        <v>3288</v>
      </c>
      <c r="AN221" s="2"/>
      <c r="AO221" s="2" t="s">
        <v>3282</v>
      </c>
      <c r="AP221" s="2" t="s">
        <v>3282</v>
      </c>
      <c r="AQ221" s="136"/>
    </row>
    <row r="222" spans="1:43" s="115" customFormat="1" ht="12.75" hidden="1" customHeight="1" x14ac:dyDescent="0.2">
      <c r="A222" s="2">
        <v>2251</v>
      </c>
      <c r="B222" s="2" t="s">
        <v>54</v>
      </c>
      <c r="C222" s="2" t="s">
        <v>96</v>
      </c>
      <c r="D222" s="131" t="s">
        <v>3593</v>
      </c>
      <c r="E222" s="131" t="s">
        <v>3592</v>
      </c>
      <c r="F222" s="2" t="s">
        <v>110</v>
      </c>
      <c r="G222" s="2">
        <v>618</v>
      </c>
      <c r="H222" s="132">
        <v>2304.75</v>
      </c>
      <c r="I222" s="132">
        <f>1317*1.75</f>
        <v>2304.75</v>
      </c>
      <c r="J222" s="132"/>
      <c r="K222" s="132">
        <v>2304.75</v>
      </c>
      <c r="L222" s="132">
        <f t="shared" si="35"/>
        <v>0</v>
      </c>
      <c r="M222" s="132">
        <f t="shared" si="36"/>
        <v>0</v>
      </c>
      <c r="N222" s="133"/>
      <c r="O222" s="133">
        <f t="shared" si="37"/>
        <v>0</v>
      </c>
      <c r="P222" s="134" t="s">
        <v>1993</v>
      </c>
      <c r="Q222" s="133"/>
      <c r="R222" s="133"/>
      <c r="S222" s="153">
        <v>0</v>
      </c>
      <c r="T222" s="153">
        <v>0</v>
      </c>
      <c r="U222" s="153">
        <v>0</v>
      </c>
      <c r="V222" s="135"/>
      <c r="W222" s="135"/>
      <c r="X222" s="135"/>
      <c r="Y222" s="135"/>
      <c r="Z222" s="135"/>
      <c r="AA222" s="135"/>
      <c r="AB222" s="135"/>
      <c r="AC222" s="135"/>
      <c r="AD222" s="133"/>
      <c r="AE222" s="133"/>
      <c r="AF222" s="132" t="str">
        <f t="shared" si="31"/>
        <v>Нет инфо</v>
      </c>
      <c r="AG222" s="132" t="str">
        <f t="shared" si="32"/>
        <v>Нет инфо</v>
      </c>
      <c r="AH222" s="2" t="s">
        <v>112</v>
      </c>
      <c r="AI222" s="136">
        <v>45573</v>
      </c>
      <c r="AJ222" s="2" t="s">
        <v>145</v>
      </c>
      <c r="AK222" s="136" t="s">
        <v>18</v>
      </c>
      <c r="AL222" s="136">
        <v>45309</v>
      </c>
      <c r="AM222" s="2" t="s">
        <v>3289</v>
      </c>
      <c r="AN222" s="2"/>
      <c r="AO222" s="2" t="s">
        <v>2766</v>
      </c>
      <c r="AP222" s="2" t="s">
        <v>2766</v>
      </c>
      <c r="AQ222" s="136"/>
    </row>
    <row r="223" spans="1:43" s="115" customFormat="1" ht="12.75" hidden="1" customHeight="1" x14ac:dyDescent="0.2">
      <c r="A223" s="2">
        <v>2252</v>
      </c>
      <c r="B223" s="2" t="s">
        <v>54</v>
      </c>
      <c r="C223" s="131" t="s">
        <v>96</v>
      </c>
      <c r="D223" s="131" t="s">
        <v>3465</v>
      </c>
      <c r="E223" s="131" t="s">
        <v>3468</v>
      </c>
      <c r="F223" s="2" t="s">
        <v>71</v>
      </c>
      <c r="G223" s="2">
        <v>618</v>
      </c>
      <c r="H223" s="132">
        <v>0</v>
      </c>
      <c r="I223" s="132">
        <f>50000+10000+5000</f>
        <v>65000</v>
      </c>
      <c r="J223" s="132"/>
      <c r="K223" s="132">
        <f>7627.118+1525.423</f>
        <v>9152.5410000000011</v>
      </c>
      <c r="L223" s="132">
        <f t="shared" si="35"/>
        <v>-9152.5410000000011</v>
      </c>
      <c r="M223" s="132">
        <f t="shared" si="36"/>
        <v>55847.459000000003</v>
      </c>
      <c r="N223" s="133"/>
      <c r="O223" s="133">
        <f t="shared" si="37"/>
        <v>-9152.5410000000011</v>
      </c>
      <c r="P223" s="134" t="s">
        <v>1993</v>
      </c>
      <c r="Q223" s="133"/>
      <c r="R223" s="133"/>
      <c r="S223" s="153">
        <v>0</v>
      </c>
      <c r="T223" s="153">
        <v>0</v>
      </c>
      <c r="U223" s="153">
        <v>0</v>
      </c>
      <c r="V223" s="135"/>
      <c r="W223" s="135"/>
      <c r="X223" s="135"/>
      <c r="Y223" s="135"/>
      <c r="Z223" s="135"/>
      <c r="AA223" s="135"/>
      <c r="AB223" s="135">
        <f>IF(AJ223="Принят",(J223/1.18-W223-Z223)*0.1,J223/1.18*0.8*0.1)-AA223</f>
        <v>0</v>
      </c>
      <c r="AC223" s="135"/>
      <c r="AD223" s="133"/>
      <c r="AE223" s="133"/>
      <c r="AF223" s="132" t="str">
        <f t="shared" si="31"/>
        <v>Нет инфо</v>
      </c>
      <c r="AG223" s="132" t="str">
        <f t="shared" si="32"/>
        <v>Нет инфо</v>
      </c>
      <c r="AH223" s="2" t="s">
        <v>11</v>
      </c>
      <c r="AI223" s="136"/>
      <c r="AJ223" s="2">
        <v>60</v>
      </c>
      <c r="AK223" s="136" t="s">
        <v>18</v>
      </c>
      <c r="AL223" s="136">
        <v>45303</v>
      </c>
      <c r="AM223" s="2" t="s">
        <v>3358</v>
      </c>
      <c r="AN223" s="2"/>
      <c r="AO223" s="2" t="s">
        <v>2766</v>
      </c>
      <c r="AP223" s="2" t="s">
        <v>2766</v>
      </c>
      <c r="AQ223" s="136"/>
    </row>
    <row r="224" spans="1:43" s="115" customFormat="1" ht="12.75" hidden="1" customHeight="1" x14ac:dyDescent="0.2">
      <c r="A224" s="2">
        <v>2253</v>
      </c>
      <c r="B224" s="2" t="s">
        <v>54</v>
      </c>
      <c r="C224" s="131" t="s">
        <v>96</v>
      </c>
      <c r="D224" s="131" t="s">
        <v>3590</v>
      </c>
      <c r="E224" s="131" t="s">
        <v>3591</v>
      </c>
      <c r="F224" s="2" t="s">
        <v>71</v>
      </c>
      <c r="G224" s="2">
        <v>647</v>
      </c>
      <c r="H224" s="132">
        <v>0</v>
      </c>
      <c r="I224" s="132">
        <f>50000+30000+4125.96</f>
        <v>84125.96</v>
      </c>
      <c r="J224" s="132">
        <f>50000+30000+4125.96</f>
        <v>84125.96</v>
      </c>
      <c r="K224" s="132">
        <f>7627.118+Y224+4576.27+4125.692</f>
        <v>84125.96</v>
      </c>
      <c r="L224" s="132">
        <f t="shared" si="35"/>
        <v>-84125.96</v>
      </c>
      <c r="M224" s="132">
        <f t="shared" si="36"/>
        <v>0</v>
      </c>
      <c r="N224" s="133">
        <v>1763</v>
      </c>
      <c r="O224" s="133">
        <f t="shared" si="37"/>
        <v>0</v>
      </c>
      <c r="P224" s="134" t="s">
        <v>1993</v>
      </c>
      <c r="Q224" s="133"/>
      <c r="R224" s="133"/>
      <c r="S224" s="153">
        <v>0</v>
      </c>
      <c r="T224" s="153">
        <v>0</v>
      </c>
      <c r="U224" s="153">
        <v>0</v>
      </c>
      <c r="V224" s="135"/>
      <c r="W224" s="135"/>
      <c r="X224" s="135"/>
      <c r="Y224" s="135">
        <f>42372.88+25424</f>
        <v>67796.88</v>
      </c>
      <c r="Z224" s="135">
        <f>2445.73+1135.19</f>
        <v>3580.92</v>
      </c>
      <c r="AA224" s="135">
        <v>0</v>
      </c>
      <c r="AB224" s="140">
        <f>IF(AJ224="Принят",(J224/1.18-W224-Z224)*0.1,J224/1.18*0.8*0.1)-AA224</f>
        <v>6771.2266440677986</v>
      </c>
      <c r="AC224" s="135"/>
      <c r="AD224" s="133"/>
      <c r="AE224" s="133"/>
      <c r="AF224" s="132">
        <f t="shared" si="31"/>
        <v>47.717504254112313</v>
      </c>
      <c r="AG224" s="132" t="str">
        <f t="shared" si="32"/>
        <v>Нет инфо</v>
      </c>
      <c r="AH224" s="2" t="s">
        <v>11</v>
      </c>
      <c r="AI224" s="136">
        <v>45631</v>
      </c>
      <c r="AJ224" s="2" t="s">
        <v>109</v>
      </c>
      <c r="AK224" s="136" t="s">
        <v>18</v>
      </c>
      <c r="AL224" s="136">
        <v>45303</v>
      </c>
      <c r="AM224" s="2" t="s">
        <v>3359</v>
      </c>
      <c r="AN224" s="2"/>
      <c r="AO224" s="2" t="s">
        <v>3282</v>
      </c>
      <c r="AP224" s="2" t="s">
        <v>3282</v>
      </c>
      <c r="AQ224" s="136"/>
    </row>
    <row r="225" spans="1:43" s="115" customFormat="1" ht="12.75" hidden="1" customHeight="1" x14ac:dyDescent="0.2">
      <c r="A225" s="2">
        <v>2254</v>
      </c>
      <c r="B225" s="2" t="s">
        <v>100</v>
      </c>
      <c r="C225" s="131" t="s">
        <v>95</v>
      </c>
      <c r="D225" s="131" t="s">
        <v>3652</v>
      </c>
      <c r="E225" s="131" t="s">
        <v>3604</v>
      </c>
      <c r="F225" s="2" t="s">
        <v>106</v>
      </c>
      <c r="G225" s="2"/>
      <c r="H225" s="132">
        <v>4305</v>
      </c>
      <c r="I225" s="132">
        <f>2460*1.75</f>
        <v>4305</v>
      </c>
      <c r="J225" s="132">
        <f>I225-4305</f>
        <v>0</v>
      </c>
      <c r="K225" s="132">
        <f>656.6949+3648.3051</f>
        <v>4305</v>
      </c>
      <c r="L225" s="132">
        <f t="shared" si="35"/>
        <v>0</v>
      </c>
      <c r="M225" s="132">
        <f t="shared" si="36"/>
        <v>0</v>
      </c>
      <c r="N225" s="133"/>
      <c r="O225" s="133">
        <f t="shared" si="37"/>
        <v>0</v>
      </c>
      <c r="P225" s="134" t="s">
        <v>1993</v>
      </c>
      <c r="Q225" s="133"/>
      <c r="R225" s="133"/>
      <c r="S225" s="153">
        <v>0</v>
      </c>
      <c r="T225" s="153">
        <v>0</v>
      </c>
      <c r="U225" s="153">
        <v>0</v>
      </c>
      <c r="V225" s="135"/>
      <c r="W225" s="135"/>
      <c r="X225" s="135"/>
      <c r="Y225" s="135"/>
      <c r="Z225" s="135"/>
      <c r="AA225" s="135">
        <v>0</v>
      </c>
      <c r="AB225" s="135"/>
      <c r="AC225" s="135"/>
      <c r="AD225" s="133"/>
      <c r="AE225" s="133"/>
      <c r="AF225" s="132" t="str">
        <f t="shared" si="31"/>
        <v>Нет инфо</v>
      </c>
      <c r="AG225" s="132" t="str">
        <f t="shared" si="32"/>
        <v>Нет инфо</v>
      </c>
      <c r="AH225" s="2" t="s">
        <v>112</v>
      </c>
      <c r="AI225" s="136">
        <v>45597</v>
      </c>
      <c r="AJ225" s="2" t="s">
        <v>145</v>
      </c>
      <c r="AK225" s="136" t="s">
        <v>18</v>
      </c>
      <c r="AL225" s="136">
        <v>44676</v>
      </c>
      <c r="AM225" s="2" t="s">
        <v>1534</v>
      </c>
      <c r="AN225" s="2"/>
      <c r="AO225" s="2" t="s">
        <v>317</v>
      </c>
      <c r="AP225" s="2" t="s">
        <v>317</v>
      </c>
      <c r="AQ225" s="136"/>
    </row>
    <row r="226" spans="1:43" s="115" customFormat="1" ht="12.75" hidden="1" customHeight="1" x14ac:dyDescent="0.2">
      <c r="A226" s="2">
        <v>2255</v>
      </c>
      <c r="B226" s="2" t="s">
        <v>54</v>
      </c>
      <c r="C226" s="131" t="s">
        <v>96</v>
      </c>
      <c r="D226" s="131" t="s">
        <v>3507</v>
      </c>
      <c r="E226" s="131" t="s">
        <v>3506</v>
      </c>
      <c r="F226" s="2" t="s">
        <v>71</v>
      </c>
      <c r="G226" s="2">
        <v>647</v>
      </c>
      <c r="H226" s="132">
        <v>0</v>
      </c>
      <c r="I226" s="132">
        <f>30000+5000</f>
        <v>35000</v>
      </c>
      <c r="J226" s="132"/>
      <c r="K226" s="132">
        <f>4576.27</f>
        <v>4576.2700000000004</v>
      </c>
      <c r="L226" s="132">
        <f t="shared" si="35"/>
        <v>-4576.2700000000004</v>
      </c>
      <c r="M226" s="132">
        <f t="shared" si="36"/>
        <v>30423.73</v>
      </c>
      <c r="N226" s="133"/>
      <c r="O226" s="133">
        <f t="shared" si="37"/>
        <v>-4576.2700000000004</v>
      </c>
      <c r="P226" s="134" t="s">
        <v>1993</v>
      </c>
      <c r="Q226" s="133"/>
      <c r="R226" s="133"/>
      <c r="S226" s="153">
        <v>0</v>
      </c>
      <c r="T226" s="153">
        <v>0</v>
      </c>
      <c r="U226" s="153">
        <v>0</v>
      </c>
      <c r="V226" s="135"/>
      <c r="W226" s="135"/>
      <c r="X226" s="135"/>
      <c r="Y226" s="135"/>
      <c r="Z226" s="135"/>
      <c r="AA226" s="135"/>
      <c r="AB226" s="135">
        <f>IF(AJ226="Принят",(J226/1.18-W226-Z226)*0.1,J226/1.18*0.8*0.1)-AA226</f>
        <v>0</v>
      </c>
      <c r="AC226" s="135"/>
      <c r="AD226" s="133"/>
      <c r="AE226" s="133"/>
      <c r="AF226" s="132" t="str">
        <f t="shared" si="31"/>
        <v>Нет инфо</v>
      </c>
      <c r="AG226" s="132" t="str">
        <f t="shared" si="32"/>
        <v>Нет инфо</v>
      </c>
      <c r="AH226" s="2" t="s">
        <v>11</v>
      </c>
      <c r="AI226" s="136"/>
      <c r="AJ226" s="2">
        <v>80</v>
      </c>
      <c r="AK226" s="136" t="s">
        <v>18</v>
      </c>
      <c r="AL226" s="136">
        <v>45303</v>
      </c>
      <c r="AM226" s="2" t="s">
        <v>3359</v>
      </c>
      <c r="AN226" s="2"/>
      <c r="AO226" s="2" t="s">
        <v>3282</v>
      </c>
      <c r="AP226" s="2" t="s">
        <v>3282</v>
      </c>
      <c r="AQ226" s="136"/>
    </row>
    <row r="227" spans="1:43" s="265" customFormat="1" ht="12.75" hidden="1" customHeight="1" x14ac:dyDescent="0.2">
      <c r="A227" s="20">
        <v>2256</v>
      </c>
      <c r="B227" s="20" t="s">
        <v>54</v>
      </c>
      <c r="C227" s="20" t="s">
        <v>96</v>
      </c>
      <c r="D227" s="20" t="s">
        <v>3606</v>
      </c>
      <c r="E227" s="20" t="s">
        <v>3605</v>
      </c>
      <c r="F227" s="20" t="s">
        <v>110</v>
      </c>
      <c r="G227" s="20">
        <v>647</v>
      </c>
      <c r="H227" s="145">
        <v>1638</v>
      </c>
      <c r="I227" s="145">
        <f>936*1.75</f>
        <v>1638</v>
      </c>
      <c r="J227" s="145"/>
      <c r="K227" s="145">
        <f>249.86+1388.14</f>
        <v>1638</v>
      </c>
      <c r="L227" s="145">
        <f t="shared" si="35"/>
        <v>0</v>
      </c>
      <c r="M227" s="145">
        <f t="shared" si="36"/>
        <v>0</v>
      </c>
      <c r="N227" s="261"/>
      <c r="O227" s="261">
        <f t="shared" si="37"/>
        <v>0</v>
      </c>
      <c r="P227" s="262" t="s">
        <v>1993</v>
      </c>
      <c r="Q227" s="261"/>
      <c r="R227" s="261"/>
      <c r="S227" s="263">
        <v>0</v>
      </c>
      <c r="T227" s="263">
        <v>0</v>
      </c>
      <c r="U227" s="263">
        <v>0</v>
      </c>
      <c r="V227" s="264"/>
      <c r="W227" s="264"/>
      <c r="X227" s="264"/>
      <c r="Y227" s="264"/>
      <c r="Z227" s="264"/>
      <c r="AA227" s="264"/>
      <c r="AB227" s="264"/>
      <c r="AC227" s="264"/>
      <c r="AD227" s="261"/>
      <c r="AE227" s="261"/>
      <c r="AF227" s="145" t="str">
        <f t="shared" si="31"/>
        <v>Нет инфо</v>
      </c>
      <c r="AG227" s="145" t="str">
        <f t="shared" si="32"/>
        <v>Нет инфо</v>
      </c>
      <c r="AH227" s="20" t="s">
        <v>112</v>
      </c>
      <c r="AI227" s="139">
        <v>45601</v>
      </c>
      <c r="AJ227" s="20" t="s">
        <v>145</v>
      </c>
      <c r="AK227" s="139" t="s">
        <v>18</v>
      </c>
      <c r="AL227" s="139">
        <v>45309</v>
      </c>
      <c r="AM227" s="20" t="s">
        <v>3288</v>
      </c>
      <c r="AN227" s="20"/>
      <c r="AO227" s="20" t="s">
        <v>3282</v>
      </c>
      <c r="AP227" s="20" t="s">
        <v>3282</v>
      </c>
      <c r="AQ227" s="139"/>
    </row>
    <row r="228" spans="1:43" s="115" customFormat="1" ht="12.75" hidden="1" customHeight="1" x14ac:dyDescent="0.2">
      <c r="A228" s="2">
        <v>2257</v>
      </c>
      <c r="B228" s="2" t="s">
        <v>54</v>
      </c>
      <c r="C228" s="2" t="s">
        <v>96</v>
      </c>
      <c r="D228" s="131" t="s">
        <v>3607</v>
      </c>
      <c r="E228" s="131" t="s">
        <v>3608</v>
      </c>
      <c r="F228" s="2" t="s">
        <v>110</v>
      </c>
      <c r="G228" s="2">
        <v>647</v>
      </c>
      <c r="H228" s="132">
        <v>1624</v>
      </c>
      <c r="I228" s="132">
        <f>928*1.75</f>
        <v>1624</v>
      </c>
      <c r="J228" s="132"/>
      <c r="K228" s="132">
        <f>247.728+1376.272</f>
        <v>1624</v>
      </c>
      <c r="L228" s="132">
        <f t="shared" si="35"/>
        <v>0</v>
      </c>
      <c r="M228" s="132">
        <f t="shared" si="36"/>
        <v>0</v>
      </c>
      <c r="N228" s="133"/>
      <c r="O228" s="133">
        <f t="shared" si="37"/>
        <v>0</v>
      </c>
      <c r="P228" s="134" t="s">
        <v>1993</v>
      </c>
      <c r="Q228" s="133"/>
      <c r="R228" s="133"/>
      <c r="S228" s="153">
        <v>0</v>
      </c>
      <c r="T228" s="153">
        <v>0</v>
      </c>
      <c r="U228" s="153">
        <v>0</v>
      </c>
      <c r="V228" s="135"/>
      <c r="W228" s="135"/>
      <c r="X228" s="135"/>
      <c r="Y228" s="135"/>
      <c r="Z228" s="135"/>
      <c r="AA228" s="135"/>
      <c r="AB228" s="135"/>
      <c r="AC228" s="135"/>
      <c r="AD228" s="133"/>
      <c r="AE228" s="133"/>
      <c r="AF228" s="132" t="str">
        <f t="shared" si="31"/>
        <v>Нет инфо</v>
      </c>
      <c r="AG228" s="132" t="str">
        <f t="shared" si="32"/>
        <v>Нет инфо</v>
      </c>
      <c r="AH228" s="2" t="s">
        <v>112</v>
      </c>
      <c r="AI228" s="136">
        <v>45601</v>
      </c>
      <c r="AJ228" s="2" t="s">
        <v>145</v>
      </c>
      <c r="AK228" s="136" t="s">
        <v>18</v>
      </c>
      <c r="AL228" s="136">
        <v>45309</v>
      </c>
      <c r="AM228" s="2" t="s">
        <v>3288</v>
      </c>
      <c r="AN228" s="2"/>
      <c r="AO228" s="2" t="s">
        <v>3282</v>
      </c>
      <c r="AP228" s="2" t="s">
        <v>3282</v>
      </c>
      <c r="AQ228" s="136"/>
    </row>
    <row r="229" spans="1:43" s="115" customFormat="1" ht="12.75" hidden="1" customHeight="1" x14ac:dyDescent="0.2">
      <c r="A229" s="2">
        <v>2258</v>
      </c>
      <c r="B229" s="2" t="s">
        <v>54</v>
      </c>
      <c r="C229" s="2" t="s">
        <v>96</v>
      </c>
      <c r="D229" s="131" t="s">
        <v>3610</v>
      </c>
      <c r="E229" s="131" t="s">
        <v>3612</v>
      </c>
      <c r="F229" s="2" t="s">
        <v>110</v>
      </c>
      <c r="G229" s="2">
        <v>647</v>
      </c>
      <c r="H229" s="132">
        <v>1323</v>
      </c>
      <c r="I229" s="132">
        <f>756*1.75</f>
        <v>1323</v>
      </c>
      <c r="J229" s="132"/>
      <c r="K229" s="132">
        <f>201.81+1121.19</f>
        <v>1323</v>
      </c>
      <c r="L229" s="132">
        <f t="shared" si="35"/>
        <v>0</v>
      </c>
      <c r="M229" s="132">
        <f t="shared" si="36"/>
        <v>0</v>
      </c>
      <c r="N229" s="133"/>
      <c r="O229" s="133">
        <f t="shared" si="37"/>
        <v>0</v>
      </c>
      <c r="P229" s="134" t="s">
        <v>1993</v>
      </c>
      <c r="Q229" s="133"/>
      <c r="R229" s="133"/>
      <c r="S229" s="153">
        <v>0</v>
      </c>
      <c r="T229" s="153">
        <v>0</v>
      </c>
      <c r="U229" s="153">
        <v>0</v>
      </c>
      <c r="V229" s="135"/>
      <c r="W229" s="135"/>
      <c r="X229" s="135"/>
      <c r="Y229" s="135"/>
      <c r="Z229" s="135"/>
      <c r="AA229" s="135"/>
      <c r="AB229" s="135"/>
      <c r="AC229" s="135"/>
      <c r="AD229" s="133"/>
      <c r="AE229" s="133"/>
      <c r="AF229" s="132" t="str">
        <f t="shared" ref="AF229:AF292" si="40">IF(OR(I229="",I229=0,N229="",N229=0),"Нет инфо",I229/N229)</f>
        <v>Нет инфо</v>
      </c>
      <c r="AG229" s="132" t="str">
        <f t="shared" ref="AG229:AG292" si="41">IF(OR(I229="",I229=0,R229="",R229=0),"Нет инфо",I229/R229)</f>
        <v>Нет инфо</v>
      </c>
      <c r="AH229" s="2" t="s">
        <v>112</v>
      </c>
      <c r="AI229" s="136">
        <v>45601</v>
      </c>
      <c r="AJ229" s="2" t="s">
        <v>145</v>
      </c>
      <c r="AK229" s="136" t="s">
        <v>18</v>
      </c>
      <c r="AL229" s="136">
        <v>45309</v>
      </c>
      <c r="AM229" s="2" t="s">
        <v>3288</v>
      </c>
      <c r="AN229" s="2"/>
      <c r="AO229" s="2" t="s">
        <v>3282</v>
      </c>
      <c r="AP229" s="2" t="s">
        <v>3282</v>
      </c>
      <c r="AQ229" s="136"/>
    </row>
    <row r="230" spans="1:43" s="115" customFormat="1" ht="12.75" hidden="1" customHeight="1" x14ac:dyDescent="0.2">
      <c r="A230" s="2">
        <v>2259</v>
      </c>
      <c r="B230" s="2" t="s">
        <v>54</v>
      </c>
      <c r="C230" s="2" t="s">
        <v>96</v>
      </c>
      <c r="D230" s="131" t="s">
        <v>3611</v>
      </c>
      <c r="E230" s="131" t="s">
        <v>3609</v>
      </c>
      <c r="F230" s="2" t="s">
        <v>110</v>
      </c>
      <c r="G230" s="2">
        <v>647</v>
      </c>
      <c r="H230" s="132">
        <v>1729</v>
      </c>
      <c r="I230" s="132">
        <f>988*1.75</f>
        <v>1729</v>
      </c>
      <c r="J230" s="132"/>
      <c r="K230" s="132">
        <f>263.745+1465.255</f>
        <v>1729</v>
      </c>
      <c r="L230" s="132">
        <f t="shared" si="35"/>
        <v>0</v>
      </c>
      <c r="M230" s="132">
        <f t="shared" si="36"/>
        <v>0</v>
      </c>
      <c r="N230" s="133"/>
      <c r="O230" s="133">
        <f t="shared" si="37"/>
        <v>0</v>
      </c>
      <c r="P230" s="134" t="s">
        <v>1993</v>
      </c>
      <c r="Q230" s="133"/>
      <c r="R230" s="133"/>
      <c r="S230" s="153">
        <v>0</v>
      </c>
      <c r="T230" s="153">
        <v>0</v>
      </c>
      <c r="U230" s="153">
        <v>0</v>
      </c>
      <c r="V230" s="135"/>
      <c r="W230" s="135"/>
      <c r="X230" s="135"/>
      <c r="Y230" s="135"/>
      <c r="Z230" s="135"/>
      <c r="AA230" s="135"/>
      <c r="AB230" s="135"/>
      <c r="AC230" s="135"/>
      <c r="AD230" s="133"/>
      <c r="AE230" s="133"/>
      <c r="AF230" s="132" t="str">
        <f t="shared" si="40"/>
        <v>Нет инфо</v>
      </c>
      <c r="AG230" s="132" t="str">
        <f t="shared" si="41"/>
        <v>Нет инфо</v>
      </c>
      <c r="AH230" s="2" t="s">
        <v>112</v>
      </c>
      <c r="AI230" s="136">
        <v>45601</v>
      </c>
      <c r="AJ230" s="2" t="s">
        <v>145</v>
      </c>
      <c r="AK230" s="136" t="s">
        <v>18</v>
      </c>
      <c r="AL230" s="136">
        <v>45309</v>
      </c>
      <c r="AM230" s="2" t="s">
        <v>3288</v>
      </c>
      <c r="AN230" s="2"/>
      <c r="AO230" s="2" t="s">
        <v>3282</v>
      </c>
      <c r="AP230" s="2" t="s">
        <v>3282</v>
      </c>
      <c r="AQ230" s="136"/>
    </row>
    <row r="231" spans="1:43" s="115" customFormat="1" ht="12.75" hidden="1" customHeight="1" x14ac:dyDescent="0.2">
      <c r="A231" s="2">
        <v>2260</v>
      </c>
      <c r="B231" s="2" t="s">
        <v>54</v>
      </c>
      <c r="C231" s="2" t="s">
        <v>96</v>
      </c>
      <c r="D231" s="131" t="s">
        <v>3614</v>
      </c>
      <c r="E231" s="131" t="s">
        <v>3613</v>
      </c>
      <c r="F231" s="2" t="s">
        <v>110</v>
      </c>
      <c r="G231" s="2">
        <v>647</v>
      </c>
      <c r="H231" s="132">
        <v>1855</v>
      </c>
      <c r="I231" s="132">
        <f>1060*1.75</f>
        <v>1855</v>
      </c>
      <c r="J231" s="132"/>
      <c r="K231" s="132">
        <f>282.966+1572.034</f>
        <v>1855</v>
      </c>
      <c r="L231" s="132">
        <f t="shared" si="35"/>
        <v>0</v>
      </c>
      <c r="M231" s="132">
        <f t="shared" si="36"/>
        <v>0</v>
      </c>
      <c r="N231" s="133"/>
      <c r="O231" s="133">
        <f t="shared" si="37"/>
        <v>0</v>
      </c>
      <c r="P231" s="134" t="s">
        <v>1993</v>
      </c>
      <c r="Q231" s="133"/>
      <c r="R231" s="133"/>
      <c r="S231" s="153">
        <v>0</v>
      </c>
      <c r="T231" s="153">
        <v>0</v>
      </c>
      <c r="U231" s="153">
        <v>0</v>
      </c>
      <c r="V231" s="135"/>
      <c r="W231" s="135"/>
      <c r="X231" s="135"/>
      <c r="Y231" s="135"/>
      <c r="Z231" s="135"/>
      <c r="AA231" s="135"/>
      <c r="AB231" s="135"/>
      <c r="AC231" s="135"/>
      <c r="AD231" s="133"/>
      <c r="AE231" s="133"/>
      <c r="AF231" s="132" t="str">
        <f t="shared" si="40"/>
        <v>Нет инфо</v>
      </c>
      <c r="AG231" s="132" t="str">
        <f t="shared" si="41"/>
        <v>Нет инфо</v>
      </c>
      <c r="AH231" s="2" t="s">
        <v>112</v>
      </c>
      <c r="AI231" s="136">
        <v>45601</v>
      </c>
      <c r="AJ231" s="2" t="s">
        <v>145</v>
      </c>
      <c r="AK231" s="136" t="s">
        <v>18</v>
      </c>
      <c r="AL231" s="136">
        <v>45309</v>
      </c>
      <c r="AM231" s="2" t="s">
        <v>3288</v>
      </c>
      <c r="AN231" s="2"/>
      <c r="AO231" s="2" t="s">
        <v>3282</v>
      </c>
      <c r="AP231" s="2" t="s">
        <v>3282</v>
      </c>
      <c r="AQ231" s="136"/>
    </row>
    <row r="232" spans="1:43" s="115" customFormat="1" ht="12.75" hidden="1" customHeight="1" x14ac:dyDescent="0.2">
      <c r="A232" s="2">
        <v>2261</v>
      </c>
      <c r="B232" s="2" t="s">
        <v>54</v>
      </c>
      <c r="C232" s="2" t="s">
        <v>96</v>
      </c>
      <c r="D232" s="131" t="s">
        <v>3616</v>
      </c>
      <c r="E232" s="131" t="s">
        <v>3615</v>
      </c>
      <c r="F232" s="2" t="s">
        <v>110</v>
      </c>
      <c r="G232" s="2">
        <v>647</v>
      </c>
      <c r="H232" s="132">
        <v>626.5</v>
      </c>
      <c r="I232" s="132">
        <f>358*1.75</f>
        <v>626.5</v>
      </c>
      <c r="J232" s="132"/>
      <c r="K232" s="132">
        <f>95.567+530.933</f>
        <v>626.5</v>
      </c>
      <c r="L232" s="132">
        <f t="shared" si="35"/>
        <v>0</v>
      </c>
      <c r="M232" s="132">
        <f t="shared" si="36"/>
        <v>0</v>
      </c>
      <c r="N232" s="133"/>
      <c r="O232" s="133">
        <f t="shared" si="37"/>
        <v>0</v>
      </c>
      <c r="P232" s="134" t="s">
        <v>1993</v>
      </c>
      <c r="Q232" s="133"/>
      <c r="R232" s="133"/>
      <c r="S232" s="153">
        <v>0</v>
      </c>
      <c r="T232" s="153">
        <v>0</v>
      </c>
      <c r="U232" s="153">
        <v>0</v>
      </c>
      <c r="V232" s="135"/>
      <c r="W232" s="135"/>
      <c r="X232" s="135"/>
      <c r="Y232" s="135"/>
      <c r="Z232" s="135"/>
      <c r="AA232" s="135"/>
      <c r="AB232" s="135"/>
      <c r="AC232" s="135"/>
      <c r="AD232" s="133"/>
      <c r="AE232" s="133"/>
      <c r="AF232" s="132" t="str">
        <f t="shared" si="40"/>
        <v>Нет инфо</v>
      </c>
      <c r="AG232" s="132" t="str">
        <f t="shared" si="41"/>
        <v>Нет инфо</v>
      </c>
      <c r="AH232" s="2" t="s">
        <v>112</v>
      </c>
      <c r="AI232" s="136">
        <v>45601</v>
      </c>
      <c r="AJ232" s="2" t="s">
        <v>145</v>
      </c>
      <c r="AK232" s="136" t="s">
        <v>18</v>
      </c>
      <c r="AL232" s="136">
        <v>45309</v>
      </c>
      <c r="AM232" s="2" t="s">
        <v>3288</v>
      </c>
      <c r="AN232" s="2"/>
      <c r="AO232" s="2" t="s">
        <v>3282</v>
      </c>
      <c r="AP232" s="2" t="s">
        <v>3282</v>
      </c>
      <c r="AQ232" s="136"/>
    </row>
    <row r="233" spans="1:43" s="115" customFormat="1" ht="12.75" hidden="1" customHeight="1" x14ac:dyDescent="0.2">
      <c r="A233" s="2">
        <v>2262</v>
      </c>
      <c r="B233" s="2" t="s">
        <v>54</v>
      </c>
      <c r="C233" s="2" t="s">
        <v>96</v>
      </c>
      <c r="D233" s="131" t="s">
        <v>3617</v>
      </c>
      <c r="E233" s="131" t="s">
        <v>3618</v>
      </c>
      <c r="F233" s="2" t="s">
        <v>110</v>
      </c>
      <c r="G233" s="2">
        <v>647</v>
      </c>
      <c r="H233" s="132">
        <v>1615.25</v>
      </c>
      <c r="I233" s="132">
        <f>923*1.75</f>
        <v>1615.25</v>
      </c>
      <c r="J233" s="132"/>
      <c r="K233" s="132">
        <f>246.394+1368.856</f>
        <v>1615.25</v>
      </c>
      <c r="L233" s="132">
        <f t="shared" si="35"/>
        <v>0</v>
      </c>
      <c r="M233" s="132">
        <f t="shared" si="36"/>
        <v>0</v>
      </c>
      <c r="N233" s="133"/>
      <c r="O233" s="133">
        <f t="shared" si="37"/>
        <v>0</v>
      </c>
      <c r="P233" s="134" t="s">
        <v>1993</v>
      </c>
      <c r="Q233" s="133"/>
      <c r="R233" s="133"/>
      <c r="S233" s="153">
        <v>0</v>
      </c>
      <c r="T233" s="153">
        <v>0</v>
      </c>
      <c r="U233" s="153">
        <v>0</v>
      </c>
      <c r="V233" s="135"/>
      <c r="W233" s="135"/>
      <c r="X233" s="135"/>
      <c r="Y233" s="135"/>
      <c r="Z233" s="135"/>
      <c r="AA233" s="135"/>
      <c r="AB233" s="135"/>
      <c r="AC233" s="135"/>
      <c r="AD233" s="133"/>
      <c r="AE233" s="133"/>
      <c r="AF233" s="132" t="str">
        <f t="shared" si="40"/>
        <v>Нет инфо</v>
      </c>
      <c r="AG233" s="132" t="str">
        <f t="shared" si="41"/>
        <v>Нет инфо</v>
      </c>
      <c r="AH233" s="2" t="s">
        <v>112</v>
      </c>
      <c r="AI233" s="136">
        <v>45601</v>
      </c>
      <c r="AJ233" s="2" t="s">
        <v>145</v>
      </c>
      <c r="AK233" s="136" t="s">
        <v>18</v>
      </c>
      <c r="AL233" s="136">
        <v>45309</v>
      </c>
      <c r="AM233" s="2" t="s">
        <v>3288</v>
      </c>
      <c r="AN233" s="2"/>
      <c r="AO233" s="2" t="s">
        <v>3282</v>
      </c>
      <c r="AP233" s="2" t="s">
        <v>3282</v>
      </c>
      <c r="AQ233" s="136"/>
    </row>
    <row r="234" spans="1:43" s="115" customFormat="1" ht="12.75" hidden="1" customHeight="1" x14ac:dyDescent="0.2">
      <c r="A234" s="2">
        <v>2263</v>
      </c>
      <c r="B234" s="2" t="s">
        <v>54</v>
      </c>
      <c r="C234" s="2" t="s">
        <v>96</v>
      </c>
      <c r="D234" s="2" t="s">
        <v>3619</v>
      </c>
      <c r="E234" s="2" t="s">
        <v>3620</v>
      </c>
      <c r="F234" s="2" t="s">
        <v>110</v>
      </c>
      <c r="G234" s="2">
        <v>647</v>
      </c>
      <c r="H234" s="132">
        <v>1580.25</v>
      </c>
      <c r="I234" s="132">
        <f>903*1.75</f>
        <v>1580.25</v>
      </c>
      <c r="J234" s="132"/>
      <c r="K234" s="132">
        <f>241.055+1339.195</f>
        <v>1580.25</v>
      </c>
      <c r="L234" s="132">
        <f t="shared" si="35"/>
        <v>0</v>
      </c>
      <c r="M234" s="132">
        <f t="shared" si="36"/>
        <v>0</v>
      </c>
      <c r="N234" s="133"/>
      <c r="O234" s="133">
        <f t="shared" si="37"/>
        <v>0</v>
      </c>
      <c r="P234" s="134" t="s">
        <v>1993</v>
      </c>
      <c r="Q234" s="133"/>
      <c r="R234" s="133"/>
      <c r="S234" s="153">
        <v>0</v>
      </c>
      <c r="T234" s="153">
        <v>0</v>
      </c>
      <c r="U234" s="153">
        <v>0</v>
      </c>
      <c r="V234" s="135"/>
      <c r="W234" s="135"/>
      <c r="X234" s="135"/>
      <c r="Y234" s="135"/>
      <c r="Z234" s="135"/>
      <c r="AA234" s="135"/>
      <c r="AB234" s="135"/>
      <c r="AC234" s="135"/>
      <c r="AD234" s="133"/>
      <c r="AE234" s="133"/>
      <c r="AF234" s="132" t="str">
        <f t="shared" si="40"/>
        <v>Нет инфо</v>
      </c>
      <c r="AG234" s="132" t="str">
        <f t="shared" si="41"/>
        <v>Нет инфо</v>
      </c>
      <c r="AH234" s="2" t="s">
        <v>112</v>
      </c>
      <c r="AI234" s="136">
        <v>45601</v>
      </c>
      <c r="AJ234" s="2" t="s">
        <v>145</v>
      </c>
      <c r="AK234" s="136" t="s">
        <v>18</v>
      </c>
      <c r="AL234" s="136">
        <v>45309</v>
      </c>
      <c r="AM234" s="2" t="s">
        <v>3288</v>
      </c>
      <c r="AN234" s="2"/>
      <c r="AO234" s="2" t="s">
        <v>3282</v>
      </c>
      <c r="AP234" s="2" t="s">
        <v>3282</v>
      </c>
      <c r="AQ234" s="136"/>
    </row>
    <row r="235" spans="1:43" s="115" customFormat="1" ht="12.75" hidden="1" customHeight="1" x14ac:dyDescent="0.2">
      <c r="A235" s="2">
        <v>2264</v>
      </c>
      <c r="B235" s="2" t="s">
        <v>54</v>
      </c>
      <c r="C235" s="2" t="s">
        <v>96</v>
      </c>
      <c r="D235" s="131" t="s">
        <v>3622</v>
      </c>
      <c r="E235" s="131" t="s">
        <v>3621</v>
      </c>
      <c r="F235" s="2" t="s">
        <v>110</v>
      </c>
      <c r="G235" s="2">
        <v>618</v>
      </c>
      <c r="H235" s="132">
        <v>861</v>
      </c>
      <c r="I235" s="132">
        <f>492*1.75</f>
        <v>861</v>
      </c>
      <c r="J235" s="132"/>
      <c r="K235" s="132">
        <f>131.338+729.662</f>
        <v>861</v>
      </c>
      <c r="L235" s="132">
        <f t="shared" si="35"/>
        <v>0</v>
      </c>
      <c r="M235" s="132">
        <f t="shared" si="36"/>
        <v>0</v>
      </c>
      <c r="N235" s="133"/>
      <c r="O235" s="133">
        <f t="shared" si="37"/>
        <v>0</v>
      </c>
      <c r="P235" s="134" t="s">
        <v>1993</v>
      </c>
      <c r="Q235" s="133"/>
      <c r="R235" s="133"/>
      <c r="S235" s="153">
        <v>0</v>
      </c>
      <c r="T235" s="153">
        <v>0</v>
      </c>
      <c r="U235" s="153">
        <v>0</v>
      </c>
      <c r="V235" s="135"/>
      <c r="W235" s="135"/>
      <c r="X235" s="135"/>
      <c r="Y235" s="135"/>
      <c r="Z235" s="135"/>
      <c r="AA235" s="135"/>
      <c r="AB235" s="135"/>
      <c r="AC235" s="135"/>
      <c r="AD235" s="133"/>
      <c r="AE235" s="133"/>
      <c r="AF235" s="132" t="str">
        <f t="shared" si="40"/>
        <v>Нет инфо</v>
      </c>
      <c r="AG235" s="132" t="str">
        <f t="shared" si="41"/>
        <v>Нет инфо</v>
      </c>
      <c r="AH235" s="2" t="s">
        <v>112</v>
      </c>
      <c r="AI235" s="136">
        <v>45601</v>
      </c>
      <c r="AJ235" s="2" t="s">
        <v>145</v>
      </c>
      <c r="AK235" s="136" t="s">
        <v>18</v>
      </c>
      <c r="AL235" s="136">
        <v>45309</v>
      </c>
      <c r="AM235" s="2" t="s">
        <v>3289</v>
      </c>
      <c r="AN235" s="2"/>
      <c r="AO235" s="2" t="s">
        <v>2766</v>
      </c>
      <c r="AP235" s="2" t="s">
        <v>2766</v>
      </c>
      <c r="AQ235" s="136"/>
    </row>
    <row r="236" spans="1:43" s="115" customFormat="1" ht="12.75" hidden="1" customHeight="1" x14ac:dyDescent="0.2">
      <c r="A236" s="2">
        <v>2265</v>
      </c>
      <c r="B236" s="2" t="s">
        <v>54</v>
      </c>
      <c r="C236" s="2" t="s">
        <v>96</v>
      </c>
      <c r="D236" s="131" t="s">
        <v>3625</v>
      </c>
      <c r="E236" s="131" t="s">
        <v>3623</v>
      </c>
      <c r="F236" s="2" t="s">
        <v>110</v>
      </c>
      <c r="G236" s="2">
        <v>618</v>
      </c>
      <c r="H236" s="132">
        <v>854</v>
      </c>
      <c r="I236" s="132">
        <f>488*1.75</f>
        <v>854</v>
      </c>
      <c r="J236" s="132"/>
      <c r="K236" s="132">
        <f>130.27+723.73</f>
        <v>854</v>
      </c>
      <c r="L236" s="132">
        <f t="shared" si="35"/>
        <v>0</v>
      </c>
      <c r="M236" s="132">
        <f t="shared" si="36"/>
        <v>0</v>
      </c>
      <c r="N236" s="133"/>
      <c r="O236" s="133">
        <f t="shared" si="37"/>
        <v>0</v>
      </c>
      <c r="P236" s="134" t="s">
        <v>1993</v>
      </c>
      <c r="Q236" s="133"/>
      <c r="R236" s="133"/>
      <c r="S236" s="153">
        <v>0</v>
      </c>
      <c r="T236" s="153">
        <v>0</v>
      </c>
      <c r="U236" s="153">
        <v>0</v>
      </c>
      <c r="V236" s="135"/>
      <c r="W236" s="135"/>
      <c r="X236" s="135"/>
      <c r="Y236" s="135"/>
      <c r="Z236" s="135"/>
      <c r="AA236" s="135"/>
      <c r="AB236" s="135"/>
      <c r="AC236" s="135"/>
      <c r="AD236" s="133"/>
      <c r="AE236" s="133"/>
      <c r="AF236" s="132" t="str">
        <f t="shared" si="40"/>
        <v>Нет инфо</v>
      </c>
      <c r="AG236" s="132" t="str">
        <f t="shared" si="41"/>
        <v>Нет инфо</v>
      </c>
      <c r="AH236" s="2" t="s">
        <v>112</v>
      </c>
      <c r="AI236" s="136">
        <v>45601</v>
      </c>
      <c r="AJ236" s="2" t="s">
        <v>145</v>
      </c>
      <c r="AK236" s="136" t="s">
        <v>18</v>
      </c>
      <c r="AL236" s="136">
        <v>45309</v>
      </c>
      <c r="AM236" s="2" t="s">
        <v>3289</v>
      </c>
      <c r="AN236" s="2"/>
      <c r="AO236" s="2" t="s">
        <v>2766</v>
      </c>
      <c r="AP236" s="2" t="s">
        <v>2766</v>
      </c>
      <c r="AQ236" s="136"/>
    </row>
    <row r="237" spans="1:43" s="115" customFormat="1" ht="12.75" hidden="1" customHeight="1" x14ac:dyDescent="0.2">
      <c r="A237" s="2">
        <v>2266</v>
      </c>
      <c r="B237" s="2" t="s">
        <v>54</v>
      </c>
      <c r="C237" s="2" t="s">
        <v>96</v>
      </c>
      <c r="D237" s="131" t="s">
        <v>3626</v>
      </c>
      <c r="E237" s="131" t="s">
        <v>3624</v>
      </c>
      <c r="F237" s="2" t="s">
        <v>110</v>
      </c>
      <c r="G237" s="2">
        <v>618</v>
      </c>
      <c r="H237" s="132">
        <v>1039.5</v>
      </c>
      <c r="I237" s="132">
        <f>594*1.75</f>
        <v>1039.5</v>
      </c>
      <c r="J237" s="132"/>
      <c r="K237" s="132">
        <f>158.567+880.933</f>
        <v>1039.5</v>
      </c>
      <c r="L237" s="132">
        <f t="shared" si="35"/>
        <v>0</v>
      </c>
      <c r="M237" s="132">
        <f t="shared" si="36"/>
        <v>0</v>
      </c>
      <c r="N237" s="133"/>
      <c r="O237" s="133">
        <f t="shared" si="37"/>
        <v>0</v>
      </c>
      <c r="P237" s="134" t="s">
        <v>1993</v>
      </c>
      <c r="Q237" s="133"/>
      <c r="R237" s="133"/>
      <c r="S237" s="153">
        <v>0</v>
      </c>
      <c r="T237" s="153">
        <v>0</v>
      </c>
      <c r="U237" s="153">
        <v>0</v>
      </c>
      <c r="V237" s="135"/>
      <c r="W237" s="135"/>
      <c r="X237" s="135"/>
      <c r="Y237" s="135"/>
      <c r="Z237" s="135"/>
      <c r="AA237" s="135"/>
      <c r="AB237" s="135"/>
      <c r="AC237" s="135"/>
      <c r="AD237" s="133"/>
      <c r="AE237" s="133"/>
      <c r="AF237" s="132" t="str">
        <f t="shared" si="40"/>
        <v>Нет инфо</v>
      </c>
      <c r="AG237" s="132" t="str">
        <f t="shared" si="41"/>
        <v>Нет инфо</v>
      </c>
      <c r="AH237" s="2" t="s">
        <v>112</v>
      </c>
      <c r="AI237" s="136">
        <v>45601</v>
      </c>
      <c r="AJ237" s="2" t="s">
        <v>145</v>
      </c>
      <c r="AK237" s="136" t="s">
        <v>18</v>
      </c>
      <c r="AL237" s="136">
        <v>45309</v>
      </c>
      <c r="AM237" s="2" t="s">
        <v>3289</v>
      </c>
      <c r="AN237" s="2"/>
      <c r="AO237" s="2" t="s">
        <v>2766</v>
      </c>
      <c r="AP237" s="2" t="s">
        <v>2766</v>
      </c>
      <c r="AQ237" s="136"/>
    </row>
    <row r="238" spans="1:43" s="115" customFormat="1" ht="12.75" hidden="1" customHeight="1" x14ac:dyDescent="0.2">
      <c r="A238" s="2">
        <v>2267</v>
      </c>
      <c r="B238" s="2" t="s">
        <v>54</v>
      </c>
      <c r="C238" s="2" t="s">
        <v>96</v>
      </c>
      <c r="D238" s="131" t="s">
        <v>3616</v>
      </c>
      <c r="E238" s="131" t="s">
        <v>3615</v>
      </c>
      <c r="F238" s="2" t="s">
        <v>71</v>
      </c>
      <c r="G238" s="2">
        <v>647</v>
      </c>
      <c r="H238" s="132">
        <v>0</v>
      </c>
      <c r="I238" s="132">
        <f>20000</f>
        <v>20000</v>
      </c>
      <c r="J238" s="132"/>
      <c r="K238" s="132">
        <f>3050.847</f>
        <v>3050.8470000000002</v>
      </c>
      <c r="L238" s="132">
        <f t="shared" si="35"/>
        <v>-3050.8470000000002</v>
      </c>
      <c r="M238" s="132">
        <f t="shared" si="36"/>
        <v>16949.152999999998</v>
      </c>
      <c r="N238" s="133"/>
      <c r="O238" s="133">
        <f t="shared" si="37"/>
        <v>-3050.8470000000002</v>
      </c>
      <c r="P238" s="134" t="s">
        <v>1993</v>
      </c>
      <c r="Q238" s="133"/>
      <c r="R238" s="133"/>
      <c r="S238" s="153">
        <v>0</v>
      </c>
      <c r="T238" s="153">
        <v>0</v>
      </c>
      <c r="U238" s="153">
        <v>0</v>
      </c>
      <c r="V238" s="135"/>
      <c r="W238" s="135"/>
      <c r="X238" s="135"/>
      <c r="Y238" s="135"/>
      <c r="Z238" s="135"/>
      <c r="AA238" s="135"/>
      <c r="AB238" s="135">
        <f t="shared" ref="AB238:AB239" si="42">IF(AJ238="Принят",(J238/1.18-W238-Z238)*0.1,J238/1.18*0.8*0.1)-AA238</f>
        <v>0</v>
      </c>
      <c r="AC238" s="135"/>
      <c r="AD238" s="133"/>
      <c r="AE238" s="133"/>
      <c r="AF238" s="132" t="str">
        <f t="shared" si="40"/>
        <v>Нет инфо</v>
      </c>
      <c r="AG238" s="132" t="str">
        <f t="shared" si="41"/>
        <v>Нет инфо</v>
      </c>
      <c r="AH238" s="2" t="s">
        <v>11</v>
      </c>
      <c r="AI238" s="136"/>
      <c r="AJ238" s="2">
        <v>50</v>
      </c>
      <c r="AK238" s="136" t="s">
        <v>18</v>
      </c>
      <c r="AL238" s="136">
        <v>45303</v>
      </c>
      <c r="AM238" s="2" t="s">
        <v>3359</v>
      </c>
      <c r="AN238" s="2"/>
      <c r="AO238" s="2" t="s">
        <v>3282</v>
      </c>
      <c r="AP238" s="2" t="s">
        <v>3282</v>
      </c>
      <c r="AQ238" s="136"/>
    </row>
    <row r="239" spans="1:43" s="115" customFormat="1" ht="12.75" hidden="1" customHeight="1" x14ac:dyDescent="0.2">
      <c r="A239" s="2">
        <v>2268</v>
      </c>
      <c r="B239" s="2" t="s">
        <v>54</v>
      </c>
      <c r="C239" s="131" t="s">
        <v>96</v>
      </c>
      <c r="D239" s="131" t="s">
        <v>3530</v>
      </c>
      <c r="E239" s="131" t="s">
        <v>3531</v>
      </c>
      <c r="F239" s="2" t="s">
        <v>71</v>
      </c>
      <c r="G239" s="2">
        <v>618</v>
      </c>
      <c r="H239" s="132">
        <v>0</v>
      </c>
      <c r="I239" s="132">
        <f>23000</f>
        <v>23000</v>
      </c>
      <c r="J239" s="132"/>
      <c r="K239" s="132">
        <f>3508.474</f>
        <v>3508.4740000000002</v>
      </c>
      <c r="L239" s="132">
        <f t="shared" si="35"/>
        <v>-3508.4740000000002</v>
      </c>
      <c r="M239" s="132">
        <f t="shared" si="36"/>
        <v>19491.525999999998</v>
      </c>
      <c r="N239" s="133"/>
      <c r="O239" s="133">
        <f t="shared" si="37"/>
        <v>-3508.4740000000002</v>
      </c>
      <c r="P239" s="134" t="s">
        <v>1993</v>
      </c>
      <c r="Q239" s="133"/>
      <c r="R239" s="133"/>
      <c r="S239" s="153">
        <v>0</v>
      </c>
      <c r="T239" s="153">
        <v>0</v>
      </c>
      <c r="U239" s="153">
        <v>0</v>
      </c>
      <c r="V239" s="135"/>
      <c r="W239" s="135"/>
      <c r="X239" s="135"/>
      <c r="Y239" s="135"/>
      <c r="Z239" s="135"/>
      <c r="AA239" s="135"/>
      <c r="AB239" s="135">
        <f t="shared" si="42"/>
        <v>0</v>
      </c>
      <c r="AC239" s="135"/>
      <c r="AD239" s="133"/>
      <c r="AE239" s="133"/>
      <c r="AF239" s="132" t="str">
        <f t="shared" si="40"/>
        <v>Нет инфо</v>
      </c>
      <c r="AG239" s="132" t="str">
        <f t="shared" si="41"/>
        <v>Нет инфо</v>
      </c>
      <c r="AH239" s="2" t="s">
        <v>11</v>
      </c>
      <c r="AI239" s="136"/>
      <c r="AJ239" s="2">
        <v>50</v>
      </c>
      <c r="AK239" s="136" t="s">
        <v>18</v>
      </c>
      <c r="AL239" s="136">
        <v>45303</v>
      </c>
      <c r="AM239" s="2" t="s">
        <v>3358</v>
      </c>
      <c r="AN239" s="2"/>
      <c r="AO239" s="2" t="s">
        <v>2766</v>
      </c>
      <c r="AP239" s="2" t="s">
        <v>2766</v>
      </c>
      <c r="AQ239" s="136"/>
    </row>
    <row r="240" spans="1:43" s="115" customFormat="1" ht="12.75" customHeight="1" x14ac:dyDescent="0.2">
      <c r="A240" s="2">
        <v>2269</v>
      </c>
      <c r="B240" s="2" t="s">
        <v>54</v>
      </c>
      <c r="C240" s="131" t="s">
        <v>50</v>
      </c>
      <c r="D240" s="131" t="s">
        <v>3633</v>
      </c>
      <c r="E240" s="131" t="s">
        <v>2119</v>
      </c>
      <c r="F240" s="2" t="s">
        <v>141</v>
      </c>
      <c r="G240" s="2"/>
      <c r="H240" s="132">
        <v>0</v>
      </c>
      <c r="I240" s="132">
        <f>500</f>
        <v>500</v>
      </c>
      <c r="J240" s="132"/>
      <c r="K240" s="132">
        <f>76.27</f>
        <v>76.27</v>
      </c>
      <c r="L240" s="132">
        <f t="shared" si="35"/>
        <v>-76.27</v>
      </c>
      <c r="M240" s="132">
        <f t="shared" si="36"/>
        <v>423.73</v>
      </c>
      <c r="N240" s="133"/>
      <c r="O240" s="133">
        <f t="shared" si="37"/>
        <v>-76.27</v>
      </c>
      <c r="P240" s="134" t="s">
        <v>1993</v>
      </c>
      <c r="Q240" s="133"/>
      <c r="R240" s="133"/>
      <c r="S240" s="153">
        <v>0</v>
      </c>
      <c r="T240" s="153">
        <v>0</v>
      </c>
      <c r="U240" s="153">
        <v>0</v>
      </c>
      <c r="V240" s="135"/>
      <c r="W240" s="135"/>
      <c r="X240" s="135"/>
      <c r="Y240" s="135"/>
      <c r="Z240" s="135"/>
      <c r="AA240" s="135"/>
      <c r="AB240" s="135"/>
      <c r="AC240" s="135"/>
      <c r="AD240" s="133"/>
      <c r="AE240" s="133"/>
      <c r="AF240" s="132" t="str">
        <f t="shared" si="40"/>
        <v>Нет инфо</v>
      </c>
      <c r="AG240" s="132" t="str">
        <f t="shared" si="41"/>
        <v>Нет инфо</v>
      </c>
      <c r="AH240" s="2" t="s">
        <v>11</v>
      </c>
      <c r="AI240" s="136"/>
      <c r="AJ240" s="2">
        <v>15</v>
      </c>
      <c r="AK240" s="136" t="s">
        <v>113</v>
      </c>
      <c r="AL240" s="136">
        <v>45308</v>
      </c>
      <c r="AM240" s="2" t="s">
        <v>2198</v>
      </c>
      <c r="AN240" s="2"/>
      <c r="AO240" s="2" t="s">
        <v>338</v>
      </c>
      <c r="AP240" s="2" t="s">
        <v>338</v>
      </c>
      <c r="AQ240" s="136"/>
    </row>
    <row r="241" spans="1:43" s="115" customFormat="1" ht="12.75" customHeight="1" x14ac:dyDescent="0.2">
      <c r="A241" s="2">
        <v>2270</v>
      </c>
      <c r="B241" s="2" t="s">
        <v>54</v>
      </c>
      <c r="C241" s="2" t="s">
        <v>50</v>
      </c>
      <c r="D241" s="2" t="s">
        <v>3634</v>
      </c>
      <c r="E241" s="2" t="s">
        <v>2118</v>
      </c>
      <c r="F241" s="2" t="s">
        <v>141</v>
      </c>
      <c r="G241" s="2"/>
      <c r="H241" s="132">
        <v>0</v>
      </c>
      <c r="I241" s="132">
        <v>500</v>
      </c>
      <c r="J241" s="132"/>
      <c r="K241" s="132"/>
      <c r="L241" s="132">
        <f t="shared" si="35"/>
        <v>0</v>
      </c>
      <c r="M241" s="132">
        <f t="shared" si="36"/>
        <v>500</v>
      </c>
      <c r="N241" s="133"/>
      <c r="O241" s="133">
        <f t="shared" si="37"/>
        <v>0</v>
      </c>
      <c r="P241" s="134" t="s">
        <v>1993</v>
      </c>
      <c r="Q241" s="133"/>
      <c r="R241" s="133"/>
      <c r="S241" s="153">
        <v>0</v>
      </c>
      <c r="T241" s="153">
        <v>0</v>
      </c>
      <c r="U241" s="153">
        <v>0</v>
      </c>
      <c r="V241" s="135"/>
      <c r="W241" s="135"/>
      <c r="X241" s="135"/>
      <c r="Y241" s="135"/>
      <c r="Z241" s="135"/>
      <c r="AA241" s="135"/>
      <c r="AB241" s="135"/>
      <c r="AC241" s="135"/>
      <c r="AD241" s="133"/>
      <c r="AE241" s="133"/>
      <c r="AF241" s="132" t="str">
        <f t="shared" si="40"/>
        <v>Нет инфо</v>
      </c>
      <c r="AG241" s="132" t="str">
        <f t="shared" si="41"/>
        <v>Нет инфо</v>
      </c>
      <c r="AH241" s="2" t="s">
        <v>11</v>
      </c>
      <c r="AI241" s="136"/>
      <c r="AJ241" s="2">
        <v>15</v>
      </c>
      <c r="AK241" s="136" t="s">
        <v>113</v>
      </c>
      <c r="AL241" s="136">
        <v>45308</v>
      </c>
      <c r="AM241" s="2" t="s">
        <v>2198</v>
      </c>
      <c r="AN241" s="2"/>
      <c r="AO241" s="2" t="s">
        <v>338</v>
      </c>
      <c r="AP241" s="2" t="s">
        <v>338</v>
      </c>
      <c r="AQ241" s="136"/>
    </row>
    <row r="242" spans="1:43" s="115" customFormat="1" ht="12.75" hidden="1" customHeight="1" x14ac:dyDescent="0.2">
      <c r="A242" s="2">
        <v>2271</v>
      </c>
      <c r="B242" s="2" t="s">
        <v>54</v>
      </c>
      <c r="C242" s="131" t="s">
        <v>96</v>
      </c>
      <c r="D242" s="131" t="s">
        <v>3674</v>
      </c>
      <c r="E242" s="131" t="s">
        <v>3675</v>
      </c>
      <c r="F242" s="2" t="s">
        <v>110</v>
      </c>
      <c r="G242" s="2">
        <v>647</v>
      </c>
      <c r="H242" s="132">
        <v>1501.5</v>
      </c>
      <c r="I242" s="132">
        <f>858*1.75</f>
        <v>1501.5</v>
      </c>
      <c r="J242" s="132"/>
      <c r="K242" s="132">
        <v>1501.5</v>
      </c>
      <c r="L242" s="132">
        <f t="shared" si="35"/>
        <v>0</v>
      </c>
      <c r="M242" s="132">
        <f t="shared" si="36"/>
        <v>0</v>
      </c>
      <c r="N242" s="133"/>
      <c r="O242" s="133">
        <f t="shared" si="37"/>
        <v>0</v>
      </c>
      <c r="P242" s="134" t="s">
        <v>1993</v>
      </c>
      <c r="Q242" s="133"/>
      <c r="R242" s="133"/>
      <c r="S242" s="153">
        <v>0</v>
      </c>
      <c r="T242" s="153">
        <v>0</v>
      </c>
      <c r="U242" s="153">
        <v>0</v>
      </c>
      <c r="V242" s="135"/>
      <c r="W242" s="135"/>
      <c r="X242" s="135"/>
      <c r="Y242" s="135"/>
      <c r="Z242" s="135"/>
      <c r="AA242" s="135"/>
      <c r="AB242" s="135"/>
      <c r="AC242" s="135"/>
      <c r="AD242" s="133"/>
      <c r="AE242" s="133"/>
      <c r="AF242" s="132" t="str">
        <f t="shared" si="40"/>
        <v>Нет инфо</v>
      </c>
      <c r="AG242" s="132" t="str">
        <f t="shared" si="41"/>
        <v>Нет инфо</v>
      </c>
      <c r="AH242" s="2" t="s">
        <v>112</v>
      </c>
      <c r="AI242" s="136">
        <v>45637</v>
      </c>
      <c r="AJ242" s="2" t="s">
        <v>145</v>
      </c>
      <c r="AK242" s="136" t="s">
        <v>18</v>
      </c>
      <c r="AL242" s="136">
        <v>45309</v>
      </c>
      <c r="AM242" s="2" t="s">
        <v>3288</v>
      </c>
      <c r="AN242" s="2"/>
      <c r="AO242" s="2" t="s">
        <v>3282</v>
      </c>
      <c r="AP242" s="2" t="s">
        <v>3282</v>
      </c>
      <c r="AQ242" s="136"/>
    </row>
    <row r="243" spans="1:43" s="115" customFormat="1" ht="12.75" hidden="1" customHeight="1" x14ac:dyDescent="0.2">
      <c r="A243" s="2">
        <v>2272</v>
      </c>
      <c r="B243" s="2" t="s">
        <v>54</v>
      </c>
      <c r="C243" s="131" t="s">
        <v>96</v>
      </c>
      <c r="D243" s="131" t="s">
        <v>3676</v>
      </c>
      <c r="E243" s="131" t="s">
        <v>3677</v>
      </c>
      <c r="F243" s="2" t="s">
        <v>110</v>
      </c>
      <c r="G243" s="2">
        <v>647</v>
      </c>
      <c r="H243" s="132">
        <v>2408</v>
      </c>
      <c r="I243" s="132">
        <f>1376*1.75</f>
        <v>2408</v>
      </c>
      <c r="J243" s="132"/>
      <c r="K243" s="132">
        <v>2408</v>
      </c>
      <c r="L243" s="132">
        <f t="shared" si="35"/>
        <v>0</v>
      </c>
      <c r="M243" s="132">
        <f t="shared" si="36"/>
        <v>0</v>
      </c>
      <c r="N243" s="133"/>
      <c r="O243" s="133">
        <f t="shared" si="37"/>
        <v>0</v>
      </c>
      <c r="P243" s="134" t="s">
        <v>1993</v>
      </c>
      <c r="Q243" s="133"/>
      <c r="R243" s="133"/>
      <c r="S243" s="153">
        <v>0</v>
      </c>
      <c r="T243" s="153">
        <v>0</v>
      </c>
      <c r="U243" s="153">
        <v>0</v>
      </c>
      <c r="V243" s="135"/>
      <c r="W243" s="135"/>
      <c r="X243" s="135"/>
      <c r="Y243" s="135"/>
      <c r="Z243" s="135"/>
      <c r="AA243" s="135"/>
      <c r="AB243" s="135"/>
      <c r="AC243" s="135"/>
      <c r="AD243" s="133"/>
      <c r="AE243" s="133"/>
      <c r="AF243" s="132" t="str">
        <f t="shared" si="40"/>
        <v>Нет инфо</v>
      </c>
      <c r="AG243" s="132" t="str">
        <f t="shared" si="41"/>
        <v>Нет инфо</v>
      </c>
      <c r="AH243" s="2" t="s">
        <v>112</v>
      </c>
      <c r="AI243" s="136">
        <v>45637</v>
      </c>
      <c r="AJ243" s="2" t="s">
        <v>145</v>
      </c>
      <c r="AK243" s="136" t="s">
        <v>18</v>
      </c>
      <c r="AL243" s="136">
        <v>45309</v>
      </c>
      <c r="AM243" s="2" t="s">
        <v>3288</v>
      </c>
      <c r="AN243" s="2"/>
      <c r="AO243" s="2" t="s">
        <v>3282</v>
      </c>
      <c r="AP243" s="2" t="s">
        <v>3282</v>
      </c>
      <c r="AQ243" s="136"/>
    </row>
    <row r="244" spans="1:43" s="115" customFormat="1" ht="12.75" hidden="1" customHeight="1" x14ac:dyDescent="0.2">
      <c r="A244" s="2">
        <v>2273</v>
      </c>
      <c r="B244" s="2" t="s">
        <v>54</v>
      </c>
      <c r="C244" s="131" t="s">
        <v>96</v>
      </c>
      <c r="D244" s="131" t="s">
        <v>3678</v>
      </c>
      <c r="E244" s="131" t="s">
        <v>3679</v>
      </c>
      <c r="F244" s="2" t="s">
        <v>110</v>
      </c>
      <c r="G244" s="2">
        <v>647</v>
      </c>
      <c r="H244" s="132">
        <v>1053.5</v>
      </c>
      <c r="I244" s="132">
        <f>602*1.75</f>
        <v>1053.5</v>
      </c>
      <c r="J244" s="132"/>
      <c r="K244" s="132">
        <v>1053.5</v>
      </c>
      <c r="L244" s="132">
        <f t="shared" si="35"/>
        <v>0</v>
      </c>
      <c r="M244" s="132">
        <f t="shared" si="36"/>
        <v>0</v>
      </c>
      <c r="N244" s="133"/>
      <c r="O244" s="133">
        <f t="shared" si="37"/>
        <v>0</v>
      </c>
      <c r="P244" s="134" t="s">
        <v>1993</v>
      </c>
      <c r="Q244" s="133"/>
      <c r="R244" s="133"/>
      <c r="S244" s="153">
        <v>0</v>
      </c>
      <c r="T244" s="153">
        <v>0</v>
      </c>
      <c r="U244" s="153">
        <v>0</v>
      </c>
      <c r="V244" s="135"/>
      <c r="W244" s="135"/>
      <c r="X244" s="135"/>
      <c r="Y244" s="135"/>
      <c r="Z244" s="135"/>
      <c r="AA244" s="135"/>
      <c r="AB244" s="135"/>
      <c r="AC244" s="135"/>
      <c r="AD244" s="133"/>
      <c r="AE244" s="133"/>
      <c r="AF244" s="132" t="str">
        <f t="shared" si="40"/>
        <v>Нет инфо</v>
      </c>
      <c r="AG244" s="132" t="str">
        <f t="shared" si="41"/>
        <v>Нет инфо</v>
      </c>
      <c r="AH244" s="2" t="s">
        <v>112</v>
      </c>
      <c r="AI244" s="136">
        <v>45637</v>
      </c>
      <c r="AJ244" s="2" t="s">
        <v>145</v>
      </c>
      <c r="AK244" s="136" t="s">
        <v>18</v>
      </c>
      <c r="AL244" s="136">
        <v>45309</v>
      </c>
      <c r="AM244" s="2" t="s">
        <v>3288</v>
      </c>
      <c r="AN244" s="2"/>
      <c r="AO244" s="2" t="s">
        <v>3282</v>
      </c>
      <c r="AP244" s="2" t="s">
        <v>3282</v>
      </c>
      <c r="AQ244" s="136"/>
    </row>
    <row r="245" spans="1:43" s="115" customFormat="1" ht="12.75" hidden="1" customHeight="1" x14ac:dyDescent="0.2">
      <c r="A245" s="2">
        <v>2274</v>
      </c>
      <c r="B245" s="2" t="s">
        <v>54</v>
      </c>
      <c r="C245" s="131" t="s">
        <v>96</v>
      </c>
      <c r="D245" s="131" t="s">
        <v>3680</v>
      </c>
      <c r="E245" s="131" t="s">
        <v>3681</v>
      </c>
      <c r="F245" s="2" t="s">
        <v>110</v>
      </c>
      <c r="G245" s="2">
        <v>647</v>
      </c>
      <c r="H245" s="132">
        <v>1841</v>
      </c>
      <c r="I245" s="132">
        <f>1052*1.75</f>
        <v>1841</v>
      </c>
      <c r="J245" s="132"/>
      <c r="K245" s="132">
        <v>1841</v>
      </c>
      <c r="L245" s="132">
        <f t="shared" si="35"/>
        <v>0</v>
      </c>
      <c r="M245" s="132">
        <f t="shared" si="36"/>
        <v>0</v>
      </c>
      <c r="N245" s="133"/>
      <c r="O245" s="133">
        <f t="shared" si="37"/>
        <v>0</v>
      </c>
      <c r="P245" s="134" t="s">
        <v>1993</v>
      </c>
      <c r="Q245" s="133"/>
      <c r="R245" s="133"/>
      <c r="S245" s="153">
        <v>0</v>
      </c>
      <c r="T245" s="153">
        <v>0</v>
      </c>
      <c r="U245" s="153">
        <v>0</v>
      </c>
      <c r="V245" s="135"/>
      <c r="W245" s="135"/>
      <c r="X245" s="135"/>
      <c r="Y245" s="135"/>
      <c r="Z245" s="135"/>
      <c r="AA245" s="135"/>
      <c r="AB245" s="135"/>
      <c r="AC245" s="135"/>
      <c r="AD245" s="133"/>
      <c r="AE245" s="133"/>
      <c r="AF245" s="132" t="str">
        <f t="shared" si="40"/>
        <v>Нет инфо</v>
      </c>
      <c r="AG245" s="132" t="str">
        <f t="shared" si="41"/>
        <v>Нет инфо</v>
      </c>
      <c r="AH245" s="2" t="s">
        <v>112</v>
      </c>
      <c r="AI245" s="136">
        <v>45637</v>
      </c>
      <c r="AJ245" s="2" t="s">
        <v>145</v>
      </c>
      <c r="AK245" s="136" t="s">
        <v>18</v>
      </c>
      <c r="AL245" s="136">
        <v>45309</v>
      </c>
      <c r="AM245" s="2" t="s">
        <v>3288</v>
      </c>
      <c r="AN245" s="2"/>
      <c r="AO245" s="2" t="s">
        <v>3282</v>
      </c>
      <c r="AP245" s="2" t="s">
        <v>3282</v>
      </c>
      <c r="AQ245" s="136"/>
    </row>
    <row r="246" spans="1:43" s="115" customFormat="1" ht="12.75" hidden="1" customHeight="1" x14ac:dyDescent="0.2">
      <c r="A246" s="2">
        <v>2275</v>
      </c>
      <c r="B246" s="2" t="s">
        <v>54</v>
      </c>
      <c r="C246" s="131" t="s">
        <v>96</v>
      </c>
      <c r="D246" s="131" t="s">
        <v>3682</v>
      </c>
      <c r="E246" s="131" t="s">
        <v>3683</v>
      </c>
      <c r="F246" s="2" t="s">
        <v>110</v>
      </c>
      <c r="G246" s="2">
        <v>647</v>
      </c>
      <c r="H246" s="132">
        <v>465.5</v>
      </c>
      <c r="I246" s="132">
        <f>266*1.75</f>
        <v>465.5</v>
      </c>
      <c r="J246" s="132"/>
      <c r="K246" s="132">
        <v>465.5</v>
      </c>
      <c r="L246" s="132">
        <f t="shared" si="35"/>
        <v>0</v>
      </c>
      <c r="M246" s="132">
        <f t="shared" si="36"/>
        <v>0</v>
      </c>
      <c r="N246" s="133"/>
      <c r="O246" s="133">
        <f t="shared" si="37"/>
        <v>0</v>
      </c>
      <c r="P246" s="134" t="s">
        <v>1993</v>
      </c>
      <c r="Q246" s="133"/>
      <c r="R246" s="133"/>
      <c r="S246" s="153">
        <v>0</v>
      </c>
      <c r="T246" s="153">
        <v>0</v>
      </c>
      <c r="U246" s="153">
        <v>0</v>
      </c>
      <c r="V246" s="135"/>
      <c r="W246" s="135"/>
      <c r="X246" s="135"/>
      <c r="Y246" s="135"/>
      <c r="Z246" s="135"/>
      <c r="AA246" s="135"/>
      <c r="AB246" s="135"/>
      <c r="AC246" s="135"/>
      <c r="AD246" s="133"/>
      <c r="AE246" s="133"/>
      <c r="AF246" s="132" t="str">
        <f t="shared" si="40"/>
        <v>Нет инфо</v>
      </c>
      <c r="AG246" s="132" t="str">
        <f t="shared" si="41"/>
        <v>Нет инфо</v>
      </c>
      <c r="AH246" s="2" t="s">
        <v>112</v>
      </c>
      <c r="AI246" s="136">
        <v>45637</v>
      </c>
      <c r="AJ246" s="2" t="s">
        <v>145</v>
      </c>
      <c r="AK246" s="136" t="s">
        <v>18</v>
      </c>
      <c r="AL246" s="136">
        <v>45309</v>
      </c>
      <c r="AM246" s="2" t="s">
        <v>3288</v>
      </c>
      <c r="AN246" s="2"/>
      <c r="AO246" s="2" t="s">
        <v>3282</v>
      </c>
      <c r="AP246" s="2" t="s">
        <v>3282</v>
      </c>
      <c r="AQ246" s="136"/>
    </row>
    <row r="247" spans="1:43" s="115" customFormat="1" ht="12.75" hidden="1" customHeight="1" x14ac:dyDescent="0.2">
      <c r="A247" s="2">
        <v>2276</v>
      </c>
      <c r="B247" s="2" t="s">
        <v>54</v>
      </c>
      <c r="C247" s="131" t="s">
        <v>96</v>
      </c>
      <c r="D247" s="131" t="s">
        <v>3684</v>
      </c>
      <c r="E247" s="131" t="s">
        <v>3685</v>
      </c>
      <c r="F247" s="2" t="s">
        <v>110</v>
      </c>
      <c r="G247" s="2">
        <v>647</v>
      </c>
      <c r="H247" s="132">
        <v>418.25</v>
      </c>
      <c r="I247" s="132">
        <f>239*1.75</f>
        <v>418.25</v>
      </c>
      <c r="J247" s="132"/>
      <c r="K247" s="132">
        <v>418.25</v>
      </c>
      <c r="L247" s="132">
        <f t="shared" si="35"/>
        <v>0</v>
      </c>
      <c r="M247" s="132">
        <f t="shared" si="36"/>
        <v>0</v>
      </c>
      <c r="N247" s="133"/>
      <c r="O247" s="133">
        <f t="shared" si="37"/>
        <v>0</v>
      </c>
      <c r="P247" s="134" t="s">
        <v>1993</v>
      </c>
      <c r="Q247" s="133"/>
      <c r="R247" s="133"/>
      <c r="S247" s="153">
        <v>0</v>
      </c>
      <c r="T247" s="153">
        <v>0</v>
      </c>
      <c r="U247" s="153">
        <v>0</v>
      </c>
      <c r="V247" s="135"/>
      <c r="W247" s="135"/>
      <c r="X247" s="135"/>
      <c r="Y247" s="135"/>
      <c r="Z247" s="135"/>
      <c r="AA247" s="135"/>
      <c r="AB247" s="135"/>
      <c r="AC247" s="135"/>
      <c r="AD247" s="133"/>
      <c r="AE247" s="133"/>
      <c r="AF247" s="132" t="str">
        <f t="shared" si="40"/>
        <v>Нет инфо</v>
      </c>
      <c r="AG247" s="132" t="str">
        <f t="shared" si="41"/>
        <v>Нет инфо</v>
      </c>
      <c r="AH247" s="2" t="s">
        <v>112</v>
      </c>
      <c r="AI247" s="136">
        <v>45637</v>
      </c>
      <c r="AJ247" s="2" t="s">
        <v>145</v>
      </c>
      <c r="AK247" s="136" t="s">
        <v>18</v>
      </c>
      <c r="AL247" s="136">
        <v>45309</v>
      </c>
      <c r="AM247" s="2" t="s">
        <v>3288</v>
      </c>
      <c r="AN247" s="2"/>
      <c r="AO247" s="2" t="s">
        <v>3282</v>
      </c>
      <c r="AP247" s="2" t="s">
        <v>3282</v>
      </c>
      <c r="AQ247" s="136"/>
    </row>
    <row r="248" spans="1:43" s="115" customFormat="1" ht="12.75" hidden="1" customHeight="1" x14ac:dyDescent="0.2">
      <c r="A248" s="2">
        <v>2277</v>
      </c>
      <c r="B248" s="2" t="s">
        <v>54</v>
      </c>
      <c r="C248" s="131" t="s">
        <v>96</v>
      </c>
      <c r="D248" s="131" t="s">
        <v>3686</v>
      </c>
      <c r="E248" s="131" t="s">
        <v>3687</v>
      </c>
      <c r="F248" s="2" t="s">
        <v>110</v>
      </c>
      <c r="G248" s="2">
        <v>647</v>
      </c>
      <c r="H248" s="132">
        <v>439.25</v>
      </c>
      <c r="I248" s="132">
        <f>251*1.75</f>
        <v>439.25</v>
      </c>
      <c r="J248" s="132"/>
      <c r="K248" s="132">
        <v>439.25</v>
      </c>
      <c r="L248" s="132">
        <f t="shared" si="35"/>
        <v>0</v>
      </c>
      <c r="M248" s="132">
        <f t="shared" si="36"/>
        <v>0</v>
      </c>
      <c r="N248" s="133"/>
      <c r="O248" s="133">
        <f t="shared" si="37"/>
        <v>0</v>
      </c>
      <c r="P248" s="134" t="s">
        <v>1993</v>
      </c>
      <c r="Q248" s="133"/>
      <c r="R248" s="133"/>
      <c r="S248" s="153">
        <v>0</v>
      </c>
      <c r="T248" s="153">
        <v>0</v>
      </c>
      <c r="U248" s="153">
        <v>0</v>
      </c>
      <c r="V248" s="135"/>
      <c r="W248" s="135"/>
      <c r="X248" s="135"/>
      <c r="Y248" s="135"/>
      <c r="Z248" s="135"/>
      <c r="AA248" s="135"/>
      <c r="AB248" s="135"/>
      <c r="AC248" s="135"/>
      <c r="AD248" s="133"/>
      <c r="AE248" s="133"/>
      <c r="AF248" s="132" t="str">
        <f t="shared" si="40"/>
        <v>Нет инфо</v>
      </c>
      <c r="AG248" s="132" t="str">
        <f t="shared" si="41"/>
        <v>Нет инфо</v>
      </c>
      <c r="AH248" s="2" t="s">
        <v>112</v>
      </c>
      <c r="AI248" s="136">
        <v>45637</v>
      </c>
      <c r="AJ248" s="2" t="s">
        <v>145</v>
      </c>
      <c r="AK248" s="136" t="s">
        <v>18</v>
      </c>
      <c r="AL248" s="136">
        <v>45309</v>
      </c>
      <c r="AM248" s="2" t="s">
        <v>3288</v>
      </c>
      <c r="AN248" s="2"/>
      <c r="AO248" s="2" t="s">
        <v>3282</v>
      </c>
      <c r="AP248" s="2" t="s">
        <v>3282</v>
      </c>
      <c r="AQ248" s="136"/>
    </row>
    <row r="249" spans="1:43" s="115" customFormat="1" ht="12.75" hidden="1" customHeight="1" x14ac:dyDescent="0.2">
      <c r="A249" s="2">
        <v>2278</v>
      </c>
      <c r="B249" s="2" t="s">
        <v>54</v>
      </c>
      <c r="C249" s="131" t="s">
        <v>96</v>
      </c>
      <c r="D249" s="131" t="s">
        <v>3688</v>
      </c>
      <c r="E249" s="131" t="s">
        <v>3689</v>
      </c>
      <c r="F249" s="2" t="s">
        <v>110</v>
      </c>
      <c r="G249" s="2">
        <v>647</v>
      </c>
      <c r="H249" s="132">
        <v>749</v>
      </c>
      <c r="I249" s="132">
        <f>428*1.75</f>
        <v>749</v>
      </c>
      <c r="J249" s="132"/>
      <c r="K249" s="132">
        <v>749</v>
      </c>
      <c r="L249" s="132">
        <f t="shared" si="35"/>
        <v>0</v>
      </c>
      <c r="M249" s="132">
        <f t="shared" si="36"/>
        <v>0</v>
      </c>
      <c r="N249" s="133"/>
      <c r="O249" s="133">
        <f t="shared" si="37"/>
        <v>0</v>
      </c>
      <c r="P249" s="134" t="s">
        <v>1993</v>
      </c>
      <c r="Q249" s="133"/>
      <c r="R249" s="133"/>
      <c r="S249" s="153">
        <v>0</v>
      </c>
      <c r="T249" s="153">
        <v>0</v>
      </c>
      <c r="U249" s="153">
        <v>0</v>
      </c>
      <c r="V249" s="135"/>
      <c r="W249" s="135"/>
      <c r="X249" s="135"/>
      <c r="Y249" s="135"/>
      <c r="Z249" s="135"/>
      <c r="AA249" s="135"/>
      <c r="AB249" s="135"/>
      <c r="AC249" s="135"/>
      <c r="AD249" s="133"/>
      <c r="AE249" s="133"/>
      <c r="AF249" s="132" t="str">
        <f t="shared" si="40"/>
        <v>Нет инфо</v>
      </c>
      <c r="AG249" s="132" t="str">
        <f t="shared" si="41"/>
        <v>Нет инфо</v>
      </c>
      <c r="AH249" s="2" t="s">
        <v>112</v>
      </c>
      <c r="AI249" s="136">
        <v>45637</v>
      </c>
      <c r="AJ249" s="2" t="s">
        <v>145</v>
      </c>
      <c r="AK249" s="136" t="s">
        <v>18</v>
      </c>
      <c r="AL249" s="136">
        <v>45309</v>
      </c>
      <c r="AM249" s="2" t="s">
        <v>3288</v>
      </c>
      <c r="AN249" s="2"/>
      <c r="AO249" s="2" t="s">
        <v>3282</v>
      </c>
      <c r="AP249" s="2" t="s">
        <v>3282</v>
      </c>
      <c r="AQ249" s="136"/>
    </row>
    <row r="250" spans="1:43" s="115" customFormat="1" ht="12.75" hidden="1" customHeight="1" x14ac:dyDescent="0.2">
      <c r="A250" s="2">
        <v>2279</v>
      </c>
      <c r="B250" s="2" t="s">
        <v>54</v>
      </c>
      <c r="C250" s="131" t="s">
        <v>96</v>
      </c>
      <c r="D250" s="131" t="s">
        <v>3692</v>
      </c>
      <c r="E250" s="131" t="s">
        <v>3693</v>
      </c>
      <c r="F250" s="2" t="s">
        <v>110</v>
      </c>
      <c r="G250" s="2">
        <v>647</v>
      </c>
      <c r="H250" s="132">
        <v>705.25</v>
      </c>
      <c r="I250" s="132">
        <f>403*1.75</f>
        <v>705.25</v>
      </c>
      <c r="J250" s="132"/>
      <c r="K250" s="132">
        <v>705.25</v>
      </c>
      <c r="L250" s="132">
        <f t="shared" si="35"/>
        <v>0</v>
      </c>
      <c r="M250" s="132">
        <f t="shared" si="36"/>
        <v>0</v>
      </c>
      <c r="N250" s="133"/>
      <c r="O250" s="133">
        <f t="shared" si="37"/>
        <v>0</v>
      </c>
      <c r="P250" s="134" t="s">
        <v>1993</v>
      </c>
      <c r="Q250" s="133"/>
      <c r="R250" s="133"/>
      <c r="S250" s="153">
        <v>0</v>
      </c>
      <c r="T250" s="153">
        <v>0</v>
      </c>
      <c r="U250" s="153">
        <v>0</v>
      </c>
      <c r="V250" s="135"/>
      <c r="W250" s="135"/>
      <c r="X250" s="135"/>
      <c r="Y250" s="135"/>
      <c r="Z250" s="135"/>
      <c r="AA250" s="135"/>
      <c r="AB250" s="135"/>
      <c r="AC250" s="135"/>
      <c r="AD250" s="133"/>
      <c r="AE250" s="133"/>
      <c r="AF250" s="132" t="str">
        <f t="shared" si="40"/>
        <v>Нет инфо</v>
      </c>
      <c r="AG250" s="132" t="str">
        <f t="shared" si="41"/>
        <v>Нет инфо</v>
      </c>
      <c r="AH250" s="2" t="s">
        <v>112</v>
      </c>
      <c r="AI250" s="136">
        <v>45637</v>
      </c>
      <c r="AJ250" s="2" t="s">
        <v>145</v>
      </c>
      <c r="AK250" s="136" t="s">
        <v>18</v>
      </c>
      <c r="AL250" s="136">
        <v>45309</v>
      </c>
      <c r="AM250" s="2" t="s">
        <v>3288</v>
      </c>
      <c r="AN250" s="2"/>
      <c r="AO250" s="2" t="s">
        <v>3282</v>
      </c>
      <c r="AP250" s="2" t="s">
        <v>3282</v>
      </c>
      <c r="AQ250" s="136"/>
    </row>
    <row r="251" spans="1:43" s="115" customFormat="1" ht="12.75" hidden="1" customHeight="1" x14ac:dyDescent="0.2">
      <c r="A251" s="2">
        <v>2280</v>
      </c>
      <c r="B251" s="2" t="s">
        <v>54</v>
      </c>
      <c r="C251" s="131" t="s">
        <v>96</v>
      </c>
      <c r="D251" s="131" t="s">
        <v>3694</v>
      </c>
      <c r="E251" s="131" t="s">
        <v>3695</v>
      </c>
      <c r="F251" s="2" t="s">
        <v>110</v>
      </c>
      <c r="G251" s="2">
        <v>647</v>
      </c>
      <c r="H251" s="132">
        <v>1746.5</v>
      </c>
      <c r="I251" s="132">
        <f>998*1.75</f>
        <v>1746.5</v>
      </c>
      <c r="J251" s="132"/>
      <c r="K251" s="132">
        <v>1746.5</v>
      </c>
      <c r="L251" s="132">
        <f t="shared" si="35"/>
        <v>0</v>
      </c>
      <c r="M251" s="132">
        <f t="shared" si="36"/>
        <v>0</v>
      </c>
      <c r="N251" s="133"/>
      <c r="O251" s="133">
        <f t="shared" si="37"/>
        <v>0</v>
      </c>
      <c r="P251" s="134" t="s">
        <v>1993</v>
      </c>
      <c r="Q251" s="133"/>
      <c r="R251" s="133"/>
      <c r="S251" s="153">
        <v>0</v>
      </c>
      <c r="T251" s="153">
        <v>0</v>
      </c>
      <c r="U251" s="153">
        <v>0</v>
      </c>
      <c r="V251" s="135"/>
      <c r="W251" s="135"/>
      <c r="X251" s="135"/>
      <c r="Y251" s="135"/>
      <c r="Z251" s="135"/>
      <c r="AA251" s="135"/>
      <c r="AB251" s="135"/>
      <c r="AC251" s="135"/>
      <c r="AD251" s="133"/>
      <c r="AE251" s="133"/>
      <c r="AF251" s="132" t="str">
        <f t="shared" si="40"/>
        <v>Нет инфо</v>
      </c>
      <c r="AG251" s="132" t="str">
        <f t="shared" si="41"/>
        <v>Нет инфо</v>
      </c>
      <c r="AH251" s="2" t="s">
        <v>112</v>
      </c>
      <c r="AI251" s="136">
        <v>45637</v>
      </c>
      <c r="AJ251" s="2" t="s">
        <v>145</v>
      </c>
      <c r="AK251" s="136" t="s">
        <v>18</v>
      </c>
      <c r="AL251" s="136">
        <v>45309</v>
      </c>
      <c r="AM251" s="2" t="s">
        <v>3288</v>
      </c>
      <c r="AN251" s="2"/>
      <c r="AO251" s="2" t="s">
        <v>3282</v>
      </c>
      <c r="AP251" s="2" t="s">
        <v>3282</v>
      </c>
      <c r="AQ251" s="136"/>
    </row>
    <row r="252" spans="1:43" s="115" customFormat="1" ht="12.75" hidden="1" customHeight="1" x14ac:dyDescent="0.2">
      <c r="A252" s="2">
        <v>2281</v>
      </c>
      <c r="B252" s="2" t="s">
        <v>54</v>
      </c>
      <c r="C252" s="2" t="s">
        <v>96</v>
      </c>
      <c r="D252" s="2" t="s">
        <v>3696</v>
      </c>
      <c r="E252" s="2" t="s">
        <v>3697</v>
      </c>
      <c r="F252" s="2" t="s">
        <v>110</v>
      </c>
      <c r="G252" s="2">
        <v>647</v>
      </c>
      <c r="H252" s="132">
        <v>1846.25</v>
      </c>
      <c r="I252" s="132">
        <f>1055*1.75</f>
        <v>1846.25</v>
      </c>
      <c r="J252" s="132"/>
      <c r="K252" s="132">
        <v>1846.25</v>
      </c>
      <c r="L252" s="132">
        <f t="shared" si="35"/>
        <v>0</v>
      </c>
      <c r="M252" s="132">
        <f t="shared" si="36"/>
        <v>0</v>
      </c>
      <c r="N252" s="133"/>
      <c r="O252" s="133">
        <f t="shared" si="37"/>
        <v>0</v>
      </c>
      <c r="P252" s="134" t="s">
        <v>1993</v>
      </c>
      <c r="Q252" s="133"/>
      <c r="R252" s="133"/>
      <c r="S252" s="153">
        <v>0</v>
      </c>
      <c r="T252" s="153">
        <v>0</v>
      </c>
      <c r="U252" s="153">
        <v>0</v>
      </c>
      <c r="V252" s="135"/>
      <c r="W252" s="135"/>
      <c r="X252" s="135"/>
      <c r="Y252" s="135"/>
      <c r="Z252" s="135"/>
      <c r="AA252" s="135"/>
      <c r="AB252" s="135"/>
      <c r="AC252" s="135"/>
      <c r="AD252" s="133"/>
      <c r="AE252" s="133"/>
      <c r="AF252" s="132" t="str">
        <f t="shared" si="40"/>
        <v>Нет инфо</v>
      </c>
      <c r="AG252" s="132" t="str">
        <f t="shared" si="41"/>
        <v>Нет инфо</v>
      </c>
      <c r="AH252" s="2" t="s">
        <v>112</v>
      </c>
      <c r="AI252" s="136">
        <v>45637</v>
      </c>
      <c r="AJ252" s="2" t="s">
        <v>145</v>
      </c>
      <c r="AK252" s="136" t="s">
        <v>18</v>
      </c>
      <c r="AL252" s="136">
        <v>45309</v>
      </c>
      <c r="AM252" s="2" t="s">
        <v>3288</v>
      </c>
      <c r="AN252" s="2"/>
      <c r="AO252" s="2" t="s">
        <v>3282</v>
      </c>
      <c r="AP252" s="2" t="s">
        <v>3282</v>
      </c>
      <c r="AQ252" s="136"/>
    </row>
    <row r="253" spans="1:43" s="115" customFormat="1" ht="12.75" hidden="1" customHeight="1" x14ac:dyDescent="0.2">
      <c r="A253" s="2">
        <v>2282</v>
      </c>
      <c r="B253" s="2" t="s">
        <v>54</v>
      </c>
      <c r="C253" s="131" t="s">
        <v>96</v>
      </c>
      <c r="D253" s="131" t="s">
        <v>3698</v>
      </c>
      <c r="E253" s="131" t="s">
        <v>3699</v>
      </c>
      <c r="F253" s="2" t="s">
        <v>110</v>
      </c>
      <c r="G253" s="2">
        <v>618</v>
      </c>
      <c r="H253" s="132">
        <v>1148</v>
      </c>
      <c r="I253" s="132">
        <f>656*1.75</f>
        <v>1148</v>
      </c>
      <c r="J253" s="132"/>
      <c r="K253" s="132">
        <v>1148</v>
      </c>
      <c r="L253" s="132">
        <f t="shared" si="35"/>
        <v>0</v>
      </c>
      <c r="M253" s="132">
        <f t="shared" si="36"/>
        <v>0</v>
      </c>
      <c r="N253" s="133"/>
      <c r="O253" s="133">
        <f t="shared" si="37"/>
        <v>0</v>
      </c>
      <c r="P253" s="134" t="s">
        <v>1993</v>
      </c>
      <c r="Q253" s="133"/>
      <c r="R253" s="133"/>
      <c r="S253" s="153">
        <v>0</v>
      </c>
      <c r="T253" s="153">
        <v>0</v>
      </c>
      <c r="U253" s="153">
        <v>0</v>
      </c>
      <c r="V253" s="135"/>
      <c r="W253" s="135"/>
      <c r="X253" s="135"/>
      <c r="Y253" s="135"/>
      <c r="Z253" s="135"/>
      <c r="AA253" s="135"/>
      <c r="AB253" s="135"/>
      <c r="AC253" s="135"/>
      <c r="AD253" s="133"/>
      <c r="AE253" s="133"/>
      <c r="AF253" s="132" t="str">
        <f t="shared" si="40"/>
        <v>Нет инфо</v>
      </c>
      <c r="AG253" s="132" t="str">
        <f t="shared" si="41"/>
        <v>Нет инфо</v>
      </c>
      <c r="AH253" s="2" t="s">
        <v>112</v>
      </c>
      <c r="AI253" s="136">
        <v>45637</v>
      </c>
      <c r="AJ253" s="2" t="s">
        <v>145</v>
      </c>
      <c r="AK253" s="136" t="s">
        <v>18</v>
      </c>
      <c r="AL253" s="136">
        <v>45309</v>
      </c>
      <c r="AM253" s="2" t="s">
        <v>3289</v>
      </c>
      <c r="AN253" s="2"/>
      <c r="AO253" s="2" t="s">
        <v>2766</v>
      </c>
      <c r="AP253" s="2" t="s">
        <v>2766</v>
      </c>
      <c r="AQ253" s="136"/>
    </row>
    <row r="254" spans="1:43" s="115" customFormat="1" ht="12.75" hidden="1" customHeight="1" x14ac:dyDescent="0.2">
      <c r="A254" s="2">
        <v>2283</v>
      </c>
      <c r="B254" s="2" t="s">
        <v>54</v>
      </c>
      <c r="C254" s="131" t="s">
        <v>96</v>
      </c>
      <c r="D254" s="131" t="s">
        <v>3700</v>
      </c>
      <c r="E254" s="131" t="s">
        <v>3703</v>
      </c>
      <c r="F254" s="2" t="s">
        <v>110</v>
      </c>
      <c r="G254" s="2">
        <v>618</v>
      </c>
      <c r="H254" s="132">
        <v>171.5</v>
      </c>
      <c r="I254" s="132">
        <f>98*1.75</f>
        <v>171.5</v>
      </c>
      <c r="J254" s="132"/>
      <c r="K254" s="132">
        <v>171.5</v>
      </c>
      <c r="L254" s="132">
        <f t="shared" si="35"/>
        <v>0</v>
      </c>
      <c r="M254" s="132">
        <f t="shared" si="36"/>
        <v>0</v>
      </c>
      <c r="N254" s="133"/>
      <c r="O254" s="133">
        <f t="shared" si="37"/>
        <v>0</v>
      </c>
      <c r="P254" s="134" t="s">
        <v>1993</v>
      </c>
      <c r="Q254" s="133"/>
      <c r="R254" s="133"/>
      <c r="S254" s="153">
        <v>0</v>
      </c>
      <c r="T254" s="153">
        <v>0</v>
      </c>
      <c r="U254" s="153">
        <v>0</v>
      </c>
      <c r="V254" s="135"/>
      <c r="W254" s="135"/>
      <c r="X254" s="135"/>
      <c r="Y254" s="135"/>
      <c r="Z254" s="135"/>
      <c r="AA254" s="135"/>
      <c r="AB254" s="135"/>
      <c r="AC254" s="135"/>
      <c r="AD254" s="133"/>
      <c r="AE254" s="133"/>
      <c r="AF254" s="132" t="str">
        <f t="shared" si="40"/>
        <v>Нет инфо</v>
      </c>
      <c r="AG254" s="132" t="str">
        <f t="shared" si="41"/>
        <v>Нет инфо</v>
      </c>
      <c r="AH254" s="2" t="s">
        <v>112</v>
      </c>
      <c r="AI254" s="136">
        <v>45637</v>
      </c>
      <c r="AJ254" s="2" t="s">
        <v>145</v>
      </c>
      <c r="AK254" s="136" t="s">
        <v>18</v>
      </c>
      <c r="AL254" s="136">
        <v>45309</v>
      </c>
      <c r="AM254" s="2" t="s">
        <v>3289</v>
      </c>
      <c r="AN254" s="2"/>
      <c r="AO254" s="2" t="s">
        <v>2766</v>
      </c>
      <c r="AP254" s="2" t="s">
        <v>2766</v>
      </c>
      <c r="AQ254" s="136"/>
    </row>
    <row r="255" spans="1:43" s="115" customFormat="1" ht="12.75" hidden="1" customHeight="1" x14ac:dyDescent="0.2">
      <c r="A255" s="2">
        <v>2284</v>
      </c>
      <c r="B255" s="2" t="s">
        <v>54</v>
      </c>
      <c r="C255" s="131" t="s">
        <v>96</v>
      </c>
      <c r="D255" s="131" t="s">
        <v>3701</v>
      </c>
      <c r="E255" s="131" t="s">
        <v>3702</v>
      </c>
      <c r="F255" s="2" t="s">
        <v>110</v>
      </c>
      <c r="G255" s="2">
        <v>618</v>
      </c>
      <c r="H255" s="132">
        <v>364</v>
      </c>
      <c r="I255" s="132">
        <f>208*1.75</f>
        <v>364</v>
      </c>
      <c r="J255" s="132"/>
      <c r="K255" s="132">
        <v>364</v>
      </c>
      <c r="L255" s="132">
        <f t="shared" si="35"/>
        <v>0</v>
      </c>
      <c r="M255" s="132">
        <f t="shared" si="36"/>
        <v>0</v>
      </c>
      <c r="N255" s="133"/>
      <c r="O255" s="133">
        <f t="shared" si="37"/>
        <v>0</v>
      </c>
      <c r="P255" s="134" t="s">
        <v>1993</v>
      </c>
      <c r="Q255" s="133"/>
      <c r="R255" s="133"/>
      <c r="S255" s="153">
        <v>0</v>
      </c>
      <c r="T255" s="153">
        <v>0</v>
      </c>
      <c r="U255" s="153">
        <v>0</v>
      </c>
      <c r="V255" s="135"/>
      <c r="W255" s="135"/>
      <c r="X255" s="135"/>
      <c r="Y255" s="135"/>
      <c r="Z255" s="135"/>
      <c r="AA255" s="135"/>
      <c r="AB255" s="135"/>
      <c r="AC255" s="135"/>
      <c r="AD255" s="133"/>
      <c r="AE255" s="133"/>
      <c r="AF255" s="132" t="str">
        <f t="shared" si="40"/>
        <v>Нет инфо</v>
      </c>
      <c r="AG255" s="132" t="str">
        <f t="shared" si="41"/>
        <v>Нет инфо</v>
      </c>
      <c r="AH255" s="2" t="s">
        <v>112</v>
      </c>
      <c r="AI255" s="136">
        <v>45637</v>
      </c>
      <c r="AJ255" s="2" t="s">
        <v>145</v>
      </c>
      <c r="AK255" s="136" t="s">
        <v>18</v>
      </c>
      <c r="AL255" s="136">
        <v>45309</v>
      </c>
      <c r="AM255" s="2" t="s">
        <v>3289</v>
      </c>
      <c r="AN255" s="2"/>
      <c r="AO255" s="2" t="s">
        <v>2766</v>
      </c>
      <c r="AP255" s="2" t="s">
        <v>2766</v>
      </c>
      <c r="AQ255" s="136"/>
    </row>
    <row r="256" spans="1:43" s="115" customFormat="1" ht="12.75" hidden="1" customHeight="1" x14ac:dyDescent="0.2">
      <c r="A256" s="2">
        <v>2285</v>
      </c>
      <c r="B256" s="2" t="s">
        <v>54</v>
      </c>
      <c r="C256" s="131" t="s">
        <v>96</v>
      </c>
      <c r="D256" s="131" t="s">
        <v>3704</v>
      </c>
      <c r="E256" s="131" t="s">
        <v>3705</v>
      </c>
      <c r="F256" s="2" t="s">
        <v>110</v>
      </c>
      <c r="G256" s="2">
        <v>618</v>
      </c>
      <c r="H256" s="132">
        <v>2296</v>
      </c>
      <c r="I256" s="132">
        <f>1312*1.75</f>
        <v>2296</v>
      </c>
      <c r="J256" s="132"/>
      <c r="K256" s="132">
        <v>2296</v>
      </c>
      <c r="L256" s="132">
        <f t="shared" si="35"/>
        <v>0</v>
      </c>
      <c r="M256" s="132">
        <f t="shared" si="36"/>
        <v>0</v>
      </c>
      <c r="N256" s="133"/>
      <c r="O256" s="133">
        <f t="shared" si="37"/>
        <v>0</v>
      </c>
      <c r="P256" s="134" t="s">
        <v>1993</v>
      </c>
      <c r="Q256" s="133"/>
      <c r="R256" s="133"/>
      <c r="S256" s="153">
        <v>0</v>
      </c>
      <c r="T256" s="153">
        <v>0</v>
      </c>
      <c r="U256" s="153">
        <v>0</v>
      </c>
      <c r="V256" s="135"/>
      <c r="W256" s="135"/>
      <c r="X256" s="135"/>
      <c r="Y256" s="135"/>
      <c r="Z256" s="135"/>
      <c r="AA256" s="135"/>
      <c r="AB256" s="135"/>
      <c r="AC256" s="135"/>
      <c r="AD256" s="133"/>
      <c r="AE256" s="133"/>
      <c r="AF256" s="132" t="str">
        <f t="shared" si="40"/>
        <v>Нет инфо</v>
      </c>
      <c r="AG256" s="132" t="str">
        <f t="shared" si="41"/>
        <v>Нет инфо</v>
      </c>
      <c r="AH256" s="2" t="s">
        <v>112</v>
      </c>
      <c r="AI256" s="136">
        <v>45637</v>
      </c>
      <c r="AJ256" s="2" t="s">
        <v>145</v>
      </c>
      <c r="AK256" s="136" t="s">
        <v>18</v>
      </c>
      <c r="AL256" s="136">
        <v>45309</v>
      </c>
      <c r="AM256" s="2" t="s">
        <v>3289</v>
      </c>
      <c r="AN256" s="2"/>
      <c r="AO256" s="2" t="s">
        <v>2766</v>
      </c>
      <c r="AP256" s="2" t="s">
        <v>2766</v>
      </c>
      <c r="AQ256" s="136"/>
    </row>
    <row r="257" spans="1:43" s="115" customFormat="1" ht="12.75" hidden="1" customHeight="1" x14ac:dyDescent="0.2">
      <c r="A257" s="2">
        <v>2286</v>
      </c>
      <c r="B257" s="2" t="s">
        <v>54</v>
      </c>
      <c r="C257" s="131" t="s">
        <v>96</v>
      </c>
      <c r="D257" s="131" t="s">
        <v>3706</v>
      </c>
      <c r="E257" s="131" t="s">
        <v>3707</v>
      </c>
      <c r="F257" s="2" t="s">
        <v>110</v>
      </c>
      <c r="G257" s="2">
        <v>618</v>
      </c>
      <c r="H257" s="132">
        <v>2409.75</v>
      </c>
      <c r="I257" s="132">
        <f>1377*1.75</f>
        <v>2409.75</v>
      </c>
      <c r="J257" s="132"/>
      <c r="K257" s="132">
        <v>2409.75</v>
      </c>
      <c r="L257" s="132">
        <f t="shared" si="35"/>
        <v>0</v>
      </c>
      <c r="M257" s="132">
        <f t="shared" si="36"/>
        <v>0</v>
      </c>
      <c r="N257" s="133"/>
      <c r="O257" s="133">
        <f t="shared" si="37"/>
        <v>0</v>
      </c>
      <c r="P257" s="134" t="s">
        <v>1993</v>
      </c>
      <c r="Q257" s="133"/>
      <c r="R257" s="133"/>
      <c r="S257" s="153">
        <v>0</v>
      </c>
      <c r="T257" s="153">
        <v>0</v>
      </c>
      <c r="U257" s="153">
        <v>0</v>
      </c>
      <c r="V257" s="135"/>
      <c r="W257" s="135"/>
      <c r="X257" s="135"/>
      <c r="Y257" s="135"/>
      <c r="Z257" s="135"/>
      <c r="AA257" s="135"/>
      <c r="AB257" s="135"/>
      <c r="AC257" s="135"/>
      <c r="AD257" s="133"/>
      <c r="AE257" s="133"/>
      <c r="AF257" s="132" t="str">
        <f t="shared" si="40"/>
        <v>Нет инфо</v>
      </c>
      <c r="AG257" s="132" t="str">
        <f t="shared" si="41"/>
        <v>Нет инфо</v>
      </c>
      <c r="AH257" s="2" t="s">
        <v>112</v>
      </c>
      <c r="AI257" s="136">
        <v>45637</v>
      </c>
      <c r="AJ257" s="2" t="s">
        <v>145</v>
      </c>
      <c r="AK257" s="136" t="s">
        <v>18</v>
      </c>
      <c r="AL257" s="136">
        <v>45309</v>
      </c>
      <c r="AM257" s="2" t="s">
        <v>3289</v>
      </c>
      <c r="AN257" s="2"/>
      <c r="AO257" s="2" t="s">
        <v>2766</v>
      </c>
      <c r="AP257" s="2" t="s">
        <v>2766</v>
      </c>
      <c r="AQ257" s="136"/>
    </row>
    <row r="258" spans="1:43" s="115" customFormat="1" ht="12.75" hidden="1" customHeight="1" x14ac:dyDescent="0.2">
      <c r="A258" s="2">
        <v>2287</v>
      </c>
      <c r="B258" s="2" t="s">
        <v>54</v>
      </c>
      <c r="C258" s="131" t="s">
        <v>96</v>
      </c>
      <c r="D258" s="131" t="s">
        <v>3427</v>
      </c>
      <c r="E258" s="131" t="s">
        <v>3428</v>
      </c>
      <c r="F258" s="2" t="s">
        <v>71</v>
      </c>
      <c r="G258" s="2"/>
      <c r="H258" s="132">
        <v>0</v>
      </c>
      <c r="I258" s="132">
        <f>15000</f>
        <v>15000</v>
      </c>
      <c r="J258" s="132"/>
      <c r="K258" s="132"/>
      <c r="L258" s="132">
        <f t="shared" si="35"/>
        <v>0</v>
      </c>
      <c r="M258" s="132">
        <f t="shared" si="36"/>
        <v>15000</v>
      </c>
      <c r="N258" s="133"/>
      <c r="O258" s="133">
        <f t="shared" si="37"/>
        <v>0</v>
      </c>
      <c r="P258" s="134" t="s">
        <v>1993</v>
      </c>
      <c r="Q258" s="133"/>
      <c r="R258" s="133"/>
      <c r="S258" s="153">
        <v>0</v>
      </c>
      <c r="T258" s="153">
        <v>0</v>
      </c>
      <c r="U258" s="153">
        <v>0</v>
      </c>
      <c r="V258" s="135"/>
      <c r="W258" s="135"/>
      <c r="X258" s="135"/>
      <c r="Y258" s="135"/>
      <c r="Z258" s="135"/>
      <c r="AA258" s="135"/>
      <c r="AB258" s="135">
        <f t="shared" ref="AB258:AB263" si="43">IF(AJ258="Принят",(J258/1.18-W258-Z258)*0.1,J258/1.18*0.8*0.1)-AA258</f>
        <v>0</v>
      </c>
      <c r="AC258" s="135"/>
      <c r="AD258" s="133"/>
      <c r="AE258" s="133"/>
      <c r="AF258" s="132" t="str">
        <f t="shared" si="40"/>
        <v>Нет инфо</v>
      </c>
      <c r="AG258" s="132" t="str">
        <f t="shared" si="41"/>
        <v>Нет инфо</v>
      </c>
      <c r="AH258" s="2" t="s">
        <v>11</v>
      </c>
      <c r="AI258" s="136"/>
      <c r="AJ258" s="2">
        <v>50</v>
      </c>
      <c r="AK258" s="136" t="s">
        <v>18</v>
      </c>
      <c r="AL258" s="136">
        <v>45303</v>
      </c>
      <c r="AM258" s="2" t="s">
        <v>3359</v>
      </c>
      <c r="AN258" s="2"/>
      <c r="AO258" s="2" t="s">
        <v>3282</v>
      </c>
      <c r="AP258" s="2" t="s">
        <v>3282</v>
      </c>
      <c r="AQ258" s="136"/>
    </row>
    <row r="259" spans="1:43" s="115" customFormat="1" ht="12.75" hidden="1" customHeight="1" x14ac:dyDescent="0.2">
      <c r="A259" s="2">
        <v>2288</v>
      </c>
      <c r="B259" s="2" t="s">
        <v>54</v>
      </c>
      <c r="C259" s="131" t="s">
        <v>96</v>
      </c>
      <c r="D259" s="131" t="s">
        <v>3429</v>
      </c>
      <c r="E259" s="131" t="s">
        <v>3431</v>
      </c>
      <c r="F259" s="2" t="s">
        <v>71</v>
      </c>
      <c r="G259" s="2"/>
      <c r="H259" s="132">
        <v>0</v>
      </c>
      <c r="I259" s="132">
        <v>15000</v>
      </c>
      <c r="J259" s="132"/>
      <c r="K259" s="132"/>
      <c r="L259" s="132">
        <f t="shared" si="35"/>
        <v>0</v>
      </c>
      <c r="M259" s="132">
        <f t="shared" si="36"/>
        <v>15000</v>
      </c>
      <c r="N259" s="133"/>
      <c r="O259" s="133">
        <f t="shared" si="37"/>
        <v>0</v>
      </c>
      <c r="P259" s="134" t="s">
        <v>1993</v>
      </c>
      <c r="Q259" s="133"/>
      <c r="R259" s="133"/>
      <c r="S259" s="153">
        <v>0</v>
      </c>
      <c r="T259" s="153">
        <v>0</v>
      </c>
      <c r="U259" s="153">
        <v>0</v>
      </c>
      <c r="V259" s="135"/>
      <c r="W259" s="135"/>
      <c r="X259" s="135"/>
      <c r="Y259" s="135"/>
      <c r="Z259" s="135"/>
      <c r="AA259" s="135"/>
      <c r="AB259" s="135">
        <f t="shared" si="43"/>
        <v>0</v>
      </c>
      <c r="AC259" s="135"/>
      <c r="AD259" s="133"/>
      <c r="AE259" s="133"/>
      <c r="AF259" s="132" t="str">
        <f t="shared" si="40"/>
        <v>Нет инфо</v>
      </c>
      <c r="AG259" s="132" t="str">
        <f t="shared" si="41"/>
        <v>Нет инфо</v>
      </c>
      <c r="AH259" s="2" t="s">
        <v>11</v>
      </c>
      <c r="AI259" s="136"/>
      <c r="AJ259" s="2">
        <v>60</v>
      </c>
      <c r="AK259" s="136" t="s">
        <v>18</v>
      </c>
      <c r="AL259" s="136">
        <v>45303</v>
      </c>
      <c r="AM259" s="2" t="s">
        <v>3359</v>
      </c>
      <c r="AN259" s="2"/>
      <c r="AO259" s="2" t="s">
        <v>3282</v>
      </c>
      <c r="AP259" s="2" t="s">
        <v>3282</v>
      </c>
      <c r="AQ259" s="136"/>
    </row>
    <row r="260" spans="1:43" s="115" customFormat="1" ht="12.75" hidden="1" customHeight="1" x14ac:dyDescent="0.2">
      <c r="A260" s="2">
        <v>2289</v>
      </c>
      <c r="B260" s="2" t="s">
        <v>54</v>
      </c>
      <c r="C260" s="131" t="s">
        <v>96</v>
      </c>
      <c r="D260" s="131" t="s">
        <v>3704</v>
      </c>
      <c r="E260" s="131" t="s">
        <v>3705</v>
      </c>
      <c r="F260" s="2" t="s">
        <v>71</v>
      </c>
      <c r="G260" s="2"/>
      <c r="H260" s="132">
        <v>0</v>
      </c>
      <c r="I260" s="132">
        <f>17000</f>
        <v>17000</v>
      </c>
      <c r="J260" s="132"/>
      <c r="K260" s="132"/>
      <c r="L260" s="132">
        <f t="shared" si="35"/>
        <v>0</v>
      </c>
      <c r="M260" s="132">
        <f t="shared" si="36"/>
        <v>17000</v>
      </c>
      <c r="N260" s="133"/>
      <c r="O260" s="133">
        <f t="shared" si="37"/>
        <v>0</v>
      </c>
      <c r="P260" s="134" t="s">
        <v>1993</v>
      </c>
      <c r="Q260" s="133"/>
      <c r="R260" s="133"/>
      <c r="S260" s="153">
        <v>0</v>
      </c>
      <c r="T260" s="153">
        <v>0</v>
      </c>
      <c r="U260" s="153">
        <v>0</v>
      </c>
      <c r="V260" s="135"/>
      <c r="W260" s="135"/>
      <c r="X260" s="135"/>
      <c r="Y260" s="135"/>
      <c r="Z260" s="135"/>
      <c r="AA260" s="135"/>
      <c r="AB260" s="135">
        <f t="shared" si="43"/>
        <v>0</v>
      </c>
      <c r="AC260" s="135"/>
      <c r="AD260" s="133"/>
      <c r="AE260" s="133"/>
      <c r="AF260" s="132" t="str">
        <f t="shared" si="40"/>
        <v>Нет инфо</v>
      </c>
      <c r="AG260" s="132" t="str">
        <f t="shared" si="41"/>
        <v>Нет инфо</v>
      </c>
      <c r="AH260" s="2" t="s">
        <v>11</v>
      </c>
      <c r="AI260" s="136"/>
      <c r="AJ260" s="2">
        <v>70</v>
      </c>
      <c r="AK260" s="136" t="s">
        <v>18</v>
      </c>
      <c r="AL260" s="136">
        <v>45303</v>
      </c>
      <c r="AM260" s="2" t="s">
        <v>3358</v>
      </c>
      <c r="AN260" s="2"/>
      <c r="AO260" s="2" t="s">
        <v>2766</v>
      </c>
      <c r="AP260" s="2" t="s">
        <v>2766</v>
      </c>
      <c r="AQ260" s="136"/>
    </row>
    <row r="261" spans="1:43" s="115" customFormat="1" ht="12.75" hidden="1" customHeight="1" x14ac:dyDescent="0.2">
      <c r="A261" s="2">
        <v>2290</v>
      </c>
      <c r="B261" s="2" t="s">
        <v>54</v>
      </c>
      <c r="C261" s="131" t="s">
        <v>96</v>
      </c>
      <c r="D261" s="131" t="s">
        <v>3442</v>
      </c>
      <c r="E261" s="131" t="s">
        <v>3447</v>
      </c>
      <c r="F261" s="2" t="s">
        <v>71</v>
      </c>
      <c r="G261" s="2"/>
      <c r="H261" s="132">
        <v>0</v>
      </c>
      <c r="I261" s="132">
        <f>5000</f>
        <v>5000</v>
      </c>
      <c r="J261" s="132"/>
      <c r="K261" s="132"/>
      <c r="L261" s="132">
        <f t="shared" si="35"/>
        <v>0</v>
      </c>
      <c r="M261" s="132">
        <f t="shared" si="36"/>
        <v>5000</v>
      </c>
      <c r="N261" s="133"/>
      <c r="O261" s="133">
        <f t="shared" si="37"/>
        <v>0</v>
      </c>
      <c r="P261" s="134" t="s">
        <v>1993</v>
      </c>
      <c r="Q261" s="133"/>
      <c r="R261" s="133"/>
      <c r="S261" s="153">
        <v>0</v>
      </c>
      <c r="T261" s="153">
        <v>0</v>
      </c>
      <c r="U261" s="153">
        <v>0</v>
      </c>
      <c r="V261" s="135"/>
      <c r="W261" s="135"/>
      <c r="X261" s="135"/>
      <c r="Y261" s="135"/>
      <c r="Z261" s="135"/>
      <c r="AA261" s="135"/>
      <c r="AB261" s="135">
        <f t="shared" si="43"/>
        <v>0</v>
      </c>
      <c r="AC261" s="135"/>
      <c r="AD261" s="133"/>
      <c r="AE261" s="133"/>
      <c r="AF261" s="132" t="str">
        <f t="shared" si="40"/>
        <v>Нет инфо</v>
      </c>
      <c r="AG261" s="132" t="str">
        <f t="shared" si="41"/>
        <v>Нет инфо</v>
      </c>
      <c r="AH261" s="2" t="s">
        <v>11</v>
      </c>
      <c r="AI261" s="136"/>
      <c r="AJ261" s="2">
        <v>80</v>
      </c>
      <c r="AK261" s="136" t="s">
        <v>18</v>
      </c>
      <c r="AL261" s="136">
        <v>45303</v>
      </c>
      <c r="AM261" s="2" t="s">
        <v>3359</v>
      </c>
      <c r="AN261" s="2"/>
      <c r="AO261" s="2" t="s">
        <v>3282</v>
      </c>
      <c r="AP261" s="2" t="s">
        <v>3282</v>
      </c>
      <c r="AQ261" s="136"/>
    </row>
    <row r="262" spans="1:43" s="115" customFormat="1" ht="12.75" hidden="1" customHeight="1" x14ac:dyDescent="0.2">
      <c r="A262" s="2">
        <v>2291</v>
      </c>
      <c r="B262" s="2" t="s">
        <v>54</v>
      </c>
      <c r="C262" s="131" t="s">
        <v>96</v>
      </c>
      <c r="D262" s="131" t="s">
        <v>3443</v>
      </c>
      <c r="E262" s="131" t="s">
        <v>3448</v>
      </c>
      <c r="F262" s="2" t="s">
        <v>71</v>
      </c>
      <c r="G262" s="2"/>
      <c r="H262" s="132">
        <v>0</v>
      </c>
      <c r="I262" s="132">
        <f>5000</f>
        <v>5000</v>
      </c>
      <c r="J262" s="132"/>
      <c r="K262" s="132"/>
      <c r="L262" s="132">
        <f t="shared" si="35"/>
        <v>0</v>
      </c>
      <c r="M262" s="132">
        <f t="shared" si="36"/>
        <v>5000</v>
      </c>
      <c r="N262" s="133"/>
      <c r="O262" s="133">
        <f t="shared" si="37"/>
        <v>0</v>
      </c>
      <c r="P262" s="134" t="s">
        <v>1993</v>
      </c>
      <c r="Q262" s="133"/>
      <c r="R262" s="133"/>
      <c r="S262" s="153">
        <v>0</v>
      </c>
      <c r="T262" s="153">
        <v>0</v>
      </c>
      <c r="U262" s="153">
        <v>0</v>
      </c>
      <c r="V262" s="135"/>
      <c r="W262" s="135"/>
      <c r="X262" s="135"/>
      <c r="Y262" s="135"/>
      <c r="Z262" s="135"/>
      <c r="AA262" s="135"/>
      <c r="AB262" s="135">
        <f t="shared" si="43"/>
        <v>0</v>
      </c>
      <c r="AC262" s="135"/>
      <c r="AD262" s="133"/>
      <c r="AE262" s="133"/>
      <c r="AF262" s="132" t="str">
        <f t="shared" si="40"/>
        <v>Нет инфо</v>
      </c>
      <c r="AG262" s="132" t="str">
        <f t="shared" si="41"/>
        <v>Нет инфо</v>
      </c>
      <c r="AH262" s="2" t="s">
        <v>11</v>
      </c>
      <c r="AI262" s="136"/>
      <c r="AJ262" s="2">
        <v>80</v>
      </c>
      <c r="AK262" s="136" t="s">
        <v>18</v>
      </c>
      <c r="AL262" s="136">
        <v>45303</v>
      </c>
      <c r="AM262" s="2" t="s">
        <v>3359</v>
      </c>
      <c r="AN262" s="2"/>
      <c r="AO262" s="2" t="s">
        <v>3282</v>
      </c>
      <c r="AP262" s="2" t="s">
        <v>3282</v>
      </c>
      <c r="AQ262" s="136"/>
    </row>
    <row r="263" spans="1:43" s="115" customFormat="1" ht="12.75" hidden="1" customHeight="1" x14ac:dyDescent="0.2">
      <c r="A263" s="2">
        <v>2292</v>
      </c>
      <c r="B263" s="2" t="s">
        <v>54</v>
      </c>
      <c r="C263" s="131" t="s">
        <v>96</v>
      </c>
      <c r="D263" s="131" t="s">
        <v>3445</v>
      </c>
      <c r="E263" s="131" t="s">
        <v>3450</v>
      </c>
      <c r="F263" s="2" t="s">
        <v>71</v>
      </c>
      <c r="G263" s="2"/>
      <c r="H263" s="132">
        <v>0</v>
      </c>
      <c r="I263" s="132">
        <f>5000</f>
        <v>5000</v>
      </c>
      <c r="J263" s="132"/>
      <c r="K263" s="132"/>
      <c r="L263" s="132">
        <f t="shared" si="35"/>
        <v>0</v>
      </c>
      <c r="M263" s="132">
        <f t="shared" si="36"/>
        <v>5000</v>
      </c>
      <c r="N263" s="133"/>
      <c r="O263" s="133">
        <f t="shared" si="37"/>
        <v>0</v>
      </c>
      <c r="P263" s="134" t="s">
        <v>1993</v>
      </c>
      <c r="Q263" s="133"/>
      <c r="R263" s="133"/>
      <c r="S263" s="153">
        <v>0</v>
      </c>
      <c r="T263" s="153">
        <v>0</v>
      </c>
      <c r="U263" s="153">
        <v>0</v>
      </c>
      <c r="V263" s="135"/>
      <c r="W263" s="135"/>
      <c r="X263" s="135"/>
      <c r="Y263" s="135"/>
      <c r="Z263" s="135"/>
      <c r="AA263" s="135"/>
      <c r="AB263" s="135">
        <f t="shared" si="43"/>
        <v>0</v>
      </c>
      <c r="AC263" s="135"/>
      <c r="AD263" s="133"/>
      <c r="AE263" s="133"/>
      <c r="AF263" s="132" t="str">
        <f t="shared" si="40"/>
        <v>Нет инфо</v>
      </c>
      <c r="AG263" s="132" t="str">
        <f t="shared" si="41"/>
        <v>Нет инфо</v>
      </c>
      <c r="AH263" s="2" t="s">
        <v>11</v>
      </c>
      <c r="AI263" s="136"/>
      <c r="AJ263" s="2">
        <v>80</v>
      </c>
      <c r="AK263" s="136" t="s">
        <v>18</v>
      </c>
      <c r="AL263" s="136">
        <v>45303</v>
      </c>
      <c r="AM263" s="2" t="s">
        <v>3359</v>
      </c>
      <c r="AN263" s="2"/>
      <c r="AO263" s="2" t="s">
        <v>3282</v>
      </c>
      <c r="AP263" s="2" t="s">
        <v>3282</v>
      </c>
      <c r="AQ263" s="136"/>
    </row>
    <row r="264" spans="1:43" s="115" customFormat="1" ht="12.75" customHeight="1" x14ac:dyDescent="0.2">
      <c r="A264" s="2">
        <v>2293</v>
      </c>
      <c r="B264" s="2" t="s">
        <v>54</v>
      </c>
      <c r="C264" s="131" t="s">
        <v>50</v>
      </c>
      <c r="D264" s="131" t="s">
        <v>3731</v>
      </c>
      <c r="E264" s="131" t="s">
        <v>2116</v>
      </c>
      <c r="F264" s="2" t="s">
        <v>141</v>
      </c>
      <c r="G264" s="2"/>
      <c r="H264" s="132">
        <v>0</v>
      </c>
      <c r="I264" s="132">
        <f>600</f>
        <v>600</v>
      </c>
      <c r="J264" s="132"/>
      <c r="K264" s="132"/>
      <c r="L264" s="132">
        <f t="shared" si="35"/>
        <v>0</v>
      </c>
      <c r="M264" s="132">
        <f t="shared" si="36"/>
        <v>600</v>
      </c>
      <c r="N264" s="133"/>
      <c r="O264" s="133">
        <f t="shared" si="37"/>
        <v>0</v>
      </c>
      <c r="P264" s="134" t="s">
        <v>1993</v>
      </c>
      <c r="Q264" s="133"/>
      <c r="R264" s="133"/>
      <c r="S264" s="153">
        <v>0</v>
      </c>
      <c r="T264" s="153">
        <v>0</v>
      </c>
      <c r="U264" s="153">
        <v>0</v>
      </c>
      <c r="V264" s="135"/>
      <c r="W264" s="135"/>
      <c r="X264" s="135"/>
      <c r="Y264" s="135"/>
      <c r="Z264" s="135"/>
      <c r="AA264" s="135"/>
      <c r="AB264" s="135"/>
      <c r="AC264" s="135"/>
      <c r="AD264" s="133"/>
      <c r="AE264" s="133"/>
      <c r="AF264" s="132" t="str">
        <f t="shared" si="40"/>
        <v>Нет инфо</v>
      </c>
      <c r="AG264" s="132" t="str">
        <f t="shared" si="41"/>
        <v>Нет инфо</v>
      </c>
      <c r="AH264" s="2" t="s">
        <v>11</v>
      </c>
      <c r="AI264" s="136"/>
      <c r="AJ264" s="2">
        <v>10</v>
      </c>
      <c r="AK264" s="136" t="s">
        <v>113</v>
      </c>
      <c r="AL264" s="136">
        <v>45308</v>
      </c>
      <c r="AM264" s="2" t="s">
        <v>2198</v>
      </c>
      <c r="AN264" s="2"/>
      <c r="AO264" s="2" t="s">
        <v>338</v>
      </c>
      <c r="AP264" s="2" t="s">
        <v>338</v>
      </c>
      <c r="AQ264" s="136"/>
    </row>
    <row r="265" spans="1:43" s="115" customFormat="1" ht="12.75" hidden="1" customHeight="1" x14ac:dyDescent="0.2">
      <c r="A265" s="2">
        <v>2294</v>
      </c>
      <c r="B265" s="2" t="s">
        <v>100</v>
      </c>
      <c r="C265" s="131" t="s">
        <v>95</v>
      </c>
      <c r="D265" s="131" t="s">
        <v>3652</v>
      </c>
      <c r="E265" s="131" t="s">
        <v>3604</v>
      </c>
      <c r="F265" s="2" t="s">
        <v>90</v>
      </c>
      <c r="G265" s="2" t="s">
        <v>3789</v>
      </c>
      <c r="H265" s="132">
        <v>114561</v>
      </c>
      <c r="I265" s="132"/>
      <c r="J265" s="132"/>
      <c r="K265" s="132"/>
      <c r="L265" s="132">
        <f t="shared" si="35"/>
        <v>114561</v>
      </c>
      <c r="M265" s="132">
        <f t="shared" si="36"/>
        <v>0</v>
      </c>
      <c r="N265" s="133"/>
      <c r="O265" s="133">
        <f t="shared" si="37"/>
        <v>114561</v>
      </c>
      <c r="P265" s="134" t="s">
        <v>1993</v>
      </c>
      <c r="Q265" s="133"/>
      <c r="R265" s="133"/>
      <c r="S265" s="153">
        <v>0</v>
      </c>
      <c r="T265" s="153">
        <v>0</v>
      </c>
      <c r="U265" s="153">
        <v>0</v>
      </c>
      <c r="V265" s="135"/>
      <c r="W265" s="135"/>
      <c r="X265" s="135"/>
      <c r="Y265" s="135"/>
      <c r="Z265" s="135"/>
      <c r="AA265" s="135"/>
      <c r="AB265" s="135"/>
      <c r="AC265" s="135"/>
      <c r="AD265" s="133"/>
      <c r="AE265" s="133"/>
      <c r="AF265" s="132" t="str">
        <f t="shared" si="40"/>
        <v>Нет инфо</v>
      </c>
      <c r="AG265" s="132" t="str">
        <f t="shared" si="41"/>
        <v>Нет инфо</v>
      </c>
      <c r="AH265" s="2" t="s">
        <v>11</v>
      </c>
      <c r="AI265" s="136"/>
      <c r="AJ265" s="2"/>
      <c r="AK265" s="136" t="s">
        <v>18</v>
      </c>
      <c r="AL265" s="136">
        <v>44676</v>
      </c>
      <c r="AM265" s="2" t="s">
        <v>1534</v>
      </c>
      <c r="AN265" s="2"/>
      <c r="AO265" s="2" t="s">
        <v>317</v>
      </c>
      <c r="AP265" s="2" t="s">
        <v>317</v>
      </c>
      <c r="AQ265" s="136"/>
    </row>
    <row r="266" spans="1:43" s="115" customFormat="1" ht="12.75" hidden="1" customHeight="1" x14ac:dyDescent="0.2">
      <c r="A266" s="2">
        <v>2295</v>
      </c>
      <c r="B266" s="2"/>
      <c r="C266" s="131"/>
      <c r="D266" s="131"/>
      <c r="E266" s="131"/>
      <c r="F266" s="2"/>
      <c r="G266" s="2"/>
      <c r="H266" s="132">
        <v>0</v>
      </c>
      <c r="I266" s="132"/>
      <c r="J266" s="132"/>
      <c r="K266" s="132"/>
      <c r="L266" s="132">
        <f t="shared" si="35"/>
        <v>0</v>
      </c>
      <c r="M266" s="132">
        <f t="shared" si="36"/>
        <v>0</v>
      </c>
      <c r="N266" s="133"/>
      <c r="O266" s="133">
        <f t="shared" si="37"/>
        <v>0</v>
      </c>
      <c r="P266" s="134"/>
      <c r="Q266" s="133"/>
      <c r="R266" s="133"/>
      <c r="S266" s="153">
        <v>0</v>
      </c>
      <c r="T266" s="153">
        <v>0</v>
      </c>
      <c r="U266" s="153">
        <v>0</v>
      </c>
      <c r="V266" s="135"/>
      <c r="W266" s="135"/>
      <c r="X266" s="135"/>
      <c r="Y266" s="135"/>
      <c r="Z266" s="135"/>
      <c r="AA266" s="135"/>
      <c r="AB266" s="135"/>
      <c r="AC266" s="135"/>
      <c r="AD266" s="133"/>
      <c r="AE266" s="133"/>
      <c r="AF266" s="132" t="str">
        <f t="shared" si="40"/>
        <v>Нет инфо</v>
      </c>
      <c r="AG266" s="132" t="str">
        <f t="shared" si="41"/>
        <v>Нет инфо</v>
      </c>
      <c r="AH266" s="2"/>
      <c r="AI266" s="136"/>
      <c r="AJ266" s="2"/>
      <c r="AK266" s="136"/>
      <c r="AL266" s="136"/>
      <c r="AM266" s="2"/>
      <c r="AN266" s="2"/>
      <c r="AO266" s="2"/>
      <c r="AP266" s="2"/>
      <c r="AQ266" s="136"/>
    </row>
    <row r="267" spans="1:43" s="115" customFormat="1" ht="12.75" hidden="1" customHeight="1" x14ac:dyDescent="0.2">
      <c r="A267" s="2">
        <v>2296</v>
      </c>
      <c r="B267" s="2"/>
      <c r="C267" s="131"/>
      <c r="D267" s="131"/>
      <c r="E267" s="131"/>
      <c r="F267" s="2"/>
      <c r="G267" s="2"/>
      <c r="H267" s="132">
        <v>0</v>
      </c>
      <c r="I267" s="132"/>
      <c r="J267" s="132"/>
      <c r="K267" s="132"/>
      <c r="L267" s="132">
        <f t="shared" ref="L267:L330" si="44">H267-K267</f>
        <v>0</v>
      </c>
      <c r="M267" s="132">
        <f t="shared" ref="M267:M330" si="45">I267-K267</f>
        <v>0</v>
      </c>
      <c r="N267" s="133"/>
      <c r="O267" s="133">
        <f t="shared" ref="O267:O330" si="46">IF(OR(AJ267="принят",AJ267="Завершено",AJ267="ПриПро"),I267-K267,H267-K267)</f>
        <v>0</v>
      </c>
      <c r="P267" s="134"/>
      <c r="Q267" s="133"/>
      <c r="R267" s="133"/>
      <c r="S267" s="153">
        <v>0</v>
      </c>
      <c r="T267" s="153">
        <v>0</v>
      </c>
      <c r="U267" s="153">
        <v>0</v>
      </c>
      <c r="V267" s="135"/>
      <c r="W267" s="135"/>
      <c r="X267" s="135"/>
      <c r="Y267" s="135"/>
      <c r="Z267" s="135"/>
      <c r="AA267" s="135"/>
      <c r="AB267" s="135"/>
      <c r="AC267" s="135"/>
      <c r="AD267" s="133"/>
      <c r="AE267" s="133"/>
      <c r="AF267" s="132" t="str">
        <f t="shared" si="40"/>
        <v>Нет инфо</v>
      </c>
      <c r="AG267" s="132" t="str">
        <f t="shared" si="41"/>
        <v>Нет инфо</v>
      </c>
      <c r="AH267" s="2"/>
      <c r="AI267" s="136"/>
      <c r="AJ267" s="2"/>
      <c r="AK267" s="136"/>
      <c r="AL267" s="136"/>
      <c r="AM267" s="2"/>
      <c r="AN267" s="2"/>
      <c r="AO267" s="2"/>
      <c r="AP267" s="2"/>
      <c r="AQ267" s="136"/>
    </row>
    <row r="268" spans="1:43" s="115" customFormat="1" ht="12.75" hidden="1" customHeight="1" x14ac:dyDescent="0.2">
      <c r="A268" s="2">
        <v>2297</v>
      </c>
      <c r="B268" s="2"/>
      <c r="C268" s="131"/>
      <c r="D268" s="131"/>
      <c r="E268" s="131"/>
      <c r="F268" s="2"/>
      <c r="G268" s="2"/>
      <c r="H268" s="132">
        <v>0</v>
      </c>
      <c r="I268" s="132"/>
      <c r="J268" s="132"/>
      <c r="K268" s="132"/>
      <c r="L268" s="132">
        <f t="shared" si="44"/>
        <v>0</v>
      </c>
      <c r="M268" s="132">
        <f t="shared" si="45"/>
        <v>0</v>
      </c>
      <c r="N268" s="133"/>
      <c r="O268" s="133">
        <f t="shared" si="46"/>
        <v>0</v>
      </c>
      <c r="P268" s="134"/>
      <c r="Q268" s="133"/>
      <c r="R268" s="133"/>
      <c r="S268" s="153">
        <v>0</v>
      </c>
      <c r="T268" s="153">
        <v>0</v>
      </c>
      <c r="U268" s="153">
        <v>0</v>
      </c>
      <c r="V268" s="135"/>
      <c r="W268" s="135"/>
      <c r="X268" s="135"/>
      <c r="Y268" s="135"/>
      <c r="Z268" s="135"/>
      <c r="AA268" s="135"/>
      <c r="AB268" s="135"/>
      <c r="AC268" s="135"/>
      <c r="AD268" s="133"/>
      <c r="AE268" s="133"/>
      <c r="AF268" s="132" t="str">
        <f t="shared" si="40"/>
        <v>Нет инфо</v>
      </c>
      <c r="AG268" s="132" t="str">
        <f t="shared" si="41"/>
        <v>Нет инфо</v>
      </c>
      <c r="AH268" s="2"/>
      <c r="AI268" s="136"/>
      <c r="AJ268" s="2"/>
      <c r="AK268" s="136"/>
      <c r="AL268" s="136"/>
      <c r="AM268" s="2"/>
      <c r="AN268" s="2"/>
      <c r="AO268" s="2"/>
      <c r="AP268" s="2"/>
      <c r="AQ268" s="136"/>
    </row>
    <row r="269" spans="1:43" s="115" customFormat="1" ht="12.75" hidden="1" customHeight="1" x14ac:dyDescent="0.2">
      <c r="A269" s="2">
        <v>2298</v>
      </c>
      <c r="B269" s="2"/>
      <c r="C269" s="131"/>
      <c r="D269" s="131"/>
      <c r="E269" s="131"/>
      <c r="F269" s="2"/>
      <c r="G269" s="2"/>
      <c r="H269" s="132">
        <v>0</v>
      </c>
      <c r="I269" s="132"/>
      <c r="J269" s="132"/>
      <c r="K269" s="132"/>
      <c r="L269" s="132">
        <f t="shared" si="44"/>
        <v>0</v>
      </c>
      <c r="M269" s="132">
        <f t="shared" si="45"/>
        <v>0</v>
      </c>
      <c r="N269" s="133"/>
      <c r="O269" s="133">
        <f t="shared" si="46"/>
        <v>0</v>
      </c>
      <c r="P269" s="134"/>
      <c r="Q269" s="133"/>
      <c r="R269" s="133"/>
      <c r="S269" s="153">
        <v>0</v>
      </c>
      <c r="T269" s="153">
        <v>0</v>
      </c>
      <c r="U269" s="153">
        <v>0</v>
      </c>
      <c r="V269" s="135"/>
      <c r="W269" s="135"/>
      <c r="X269" s="135"/>
      <c r="Y269" s="135"/>
      <c r="Z269" s="135"/>
      <c r="AA269" s="135"/>
      <c r="AB269" s="135"/>
      <c r="AC269" s="135"/>
      <c r="AD269" s="133"/>
      <c r="AE269" s="133"/>
      <c r="AF269" s="132" t="str">
        <f t="shared" si="40"/>
        <v>Нет инфо</v>
      </c>
      <c r="AG269" s="132" t="str">
        <f t="shared" si="41"/>
        <v>Нет инфо</v>
      </c>
      <c r="AH269" s="2"/>
      <c r="AI269" s="136"/>
      <c r="AJ269" s="2"/>
      <c r="AK269" s="136"/>
      <c r="AL269" s="136"/>
      <c r="AM269" s="2"/>
      <c r="AN269" s="2"/>
      <c r="AO269" s="2"/>
      <c r="AP269" s="2"/>
      <c r="AQ269" s="136"/>
    </row>
    <row r="270" spans="1:43" s="115" customFormat="1" ht="12.75" hidden="1" customHeight="1" x14ac:dyDescent="0.2">
      <c r="A270" s="2">
        <v>2299</v>
      </c>
      <c r="B270" s="2"/>
      <c r="C270" s="131"/>
      <c r="D270" s="131"/>
      <c r="E270" s="131"/>
      <c r="F270" s="2"/>
      <c r="G270" s="2"/>
      <c r="H270" s="132">
        <v>0</v>
      </c>
      <c r="I270" s="132"/>
      <c r="J270" s="132"/>
      <c r="K270" s="132"/>
      <c r="L270" s="132">
        <f t="shared" si="44"/>
        <v>0</v>
      </c>
      <c r="M270" s="132">
        <f t="shared" si="45"/>
        <v>0</v>
      </c>
      <c r="N270" s="133"/>
      <c r="O270" s="133">
        <f t="shared" si="46"/>
        <v>0</v>
      </c>
      <c r="P270" s="134"/>
      <c r="Q270" s="133"/>
      <c r="R270" s="133"/>
      <c r="S270" s="153">
        <v>0</v>
      </c>
      <c r="T270" s="153">
        <v>0</v>
      </c>
      <c r="U270" s="153">
        <v>0</v>
      </c>
      <c r="V270" s="135"/>
      <c r="W270" s="135"/>
      <c r="X270" s="135"/>
      <c r="Y270" s="135"/>
      <c r="Z270" s="135"/>
      <c r="AA270" s="135"/>
      <c r="AB270" s="135"/>
      <c r="AC270" s="135"/>
      <c r="AD270" s="133"/>
      <c r="AE270" s="133"/>
      <c r="AF270" s="132" t="str">
        <f t="shared" si="40"/>
        <v>Нет инфо</v>
      </c>
      <c r="AG270" s="132" t="str">
        <f t="shared" si="41"/>
        <v>Нет инфо</v>
      </c>
      <c r="AH270" s="2"/>
      <c r="AI270" s="136"/>
      <c r="AJ270" s="2"/>
      <c r="AK270" s="136"/>
      <c r="AL270" s="136"/>
      <c r="AM270" s="2"/>
      <c r="AN270" s="2"/>
      <c r="AO270" s="2"/>
      <c r="AP270" s="2"/>
      <c r="AQ270" s="136"/>
    </row>
    <row r="271" spans="1:43" s="115" customFormat="1" ht="12.75" hidden="1" customHeight="1" x14ac:dyDescent="0.2">
      <c r="A271" s="2">
        <v>2300</v>
      </c>
      <c r="B271" s="2"/>
      <c r="C271" s="131"/>
      <c r="D271" s="131"/>
      <c r="E271" s="131"/>
      <c r="F271" s="2"/>
      <c r="G271" s="2"/>
      <c r="H271" s="132">
        <v>0</v>
      </c>
      <c r="I271" s="132"/>
      <c r="J271" s="132"/>
      <c r="K271" s="132"/>
      <c r="L271" s="132">
        <f t="shared" si="44"/>
        <v>0</v>
      </c>
      <c r="M271" s="132">
        <f t="shared" si="45"/>
        <v>0</v>
      </c>
      <c r="N271" s="133"/>
      <c r="O271" s="133">
        <f t="shared" si="46"/>
        <v>0</v>
      </c>
      <c r="P271" s="134"/>
      <c r="Q271" s="133"/>
      <c r="R271" s="133"/>
      <c r="S271" s="153">
        <v>0</v>
      </c>
      <c r="T271" s="153">
        <v>0</v>
      </c>
      <c r="U271" s="153">
        <v>0</v>
      </c>
      <c r="V271" s="135"/>
      <c r="W271" s="135"/>
      <c r="X271" s="135"/>
      <c r="Y271" s="135"/>
      <c r="Z271" s="135"/>
      <c r="AA271" s="135"/>
      <c r="AB271" s="135"/>
      <c r="AC271" s="135"/>
      <c r="AD271" s="133"/>
      <c r="AE271" s="133"/>
      <c r="AF271" s="132" t="str">
        <f t="shared" si="40"/>
        <v>Нет инфо</v>
      </c>
      <c r="AG271" s="132" t="str">
        <f t="shared" si="41"/>
        <v>Нет инфо</v>
      </c>
      <c r="AH271" s="2"/>
      <c r="AI271" s="136"/>
      <c r="AJ271" s="2"/>
      <c r="AK271" s="136"/>
      <c r="AL271" s="136"/>
      <c r="AM271" s="2"/>
      <c r="AN271" s="2"/>
      <c r="AO271" s="2"/>
      <c r="AP271" s="2"/>
      <c r="AQ271" s="136"/>
    </row>
    <row r="272" spans="1:43" s="115" customFormat="1" ht="12.75" hidden="1" customHeight="1" x14ac:dyDescent="0.2">
      <c r="A272" s="2">
        <v>2301</v>
      </c>
      <c r="B272" s="2"/>
      <c r="C272" s="131"/>
      <c r="D272" s="131"/>
      <c r="E272" s="131"/>
      <c r="F272" s="2"/>
      <c r="G272" s="2"/>
      <c r="H272" s="132">
        <v>0</v>
      </c>
      <c r="I272" s="132"/>
      <c r="J272" s="132"/>
      <c r="K272" s="132"/>
      <c r="L272" s="132">
        <f t="shared" si="44"/>
        <v>0</v>
      </c>
      <c r="M272" s="132">
        <f t="shared" si="45"/>
        <v>0</v>
      </c>
      <c r="N272" s="133"/>
      <c r="O272" s="133">
        <f t="shared" si="46"/>
        <v>0</v>
      </c>
      <c r="P272" s="134"/>
      <c r="Q272" s="133"/>
      <c r="R272" s="133"/>
      <c r="S272" s="153">
        <v>0</v>
      </c>
      <c r="T272" s="153">
        <v>0</v>
      </c>
      <c r="U272" s="153">
        <v>0</v>
      </c>
      <c r="V272" s="135"/>
      <c r="W272" s="135"/>
      <c r="X272" s="135"/>
      <c r="Y272" s="135"/>
      <c r="Z272" s="135"/>
      <c r="AA272" s="135"/>
      <c r="AB272" s="135"/>
      <c r="AC272" s="135"/>
      <c r="AD272" s="133"/>
      <c r="AE272" s="133"/>
      <c r="AF272" s="132" t="str">
        <f t="shared" si="40"/>
        <v>Нет инфо</v>
      </c>
      <c r="AG272" s="132" t="str">
        <f t="shared" si="41"/>
        <v>Нет инфо</v>
      </c>
      <c r="AH272" s="2"/>
      <c r="AI272" s="136"/>
      <c r="AJ272" s="2"/>
      <c r="AK272" s="136"/>
      <c r="AL272" s="136"/>
      <c r="AM272" s="2"/>
      <c r="AN272" s="2"/>
      <c r="AO272" s="2"/>
      <c r="AP272" s="2"/>
      <c r="AQ272" s="136"/>
    </row>
    <row r="273" spans="1:43" s="115" customFormat="1" ht="12.75" hidden="1" customHeight="1" x14ac:dyDescent="0.2">
      <c r="A273" s="2">
        <v>2302</v>
      </c>
      <c r="B273" s="2"/>
      <c r="C273" s="131"/>
      <c r="D273" s="131"/>
      <c r="E273" s="131"/>
      <c r="F273" s="2"/>
      <c r="G273" s="2"/>
      <c r="H273" s="132">
        <v>0</v>
      </c>
      <c r="I273" s="132"/>
      <c r="J273" s="132"/>
      <c r="K273" s="132"/>
      <c r="L273" s="132">
        <f t="shared" si="44"/>
        <v>0</v>
      </c>
      <c r="M273" s="132">
        <f t="shared" si="45"/>
        <v>0</v>
      </c>
      <c r="N273" s="133"/>
      <c r="O273" s="133">
        <f t="shared" si="46"/>
        <v>0</v>
      </c>
      <c r="P273" s="134"/>
      <c r="Q273" s="133"/>
      <c r="R273" s="133"/>
      <c r="S273" s="153">
        <v>0</v>
      </c>
      <c r="T273" s="153">
        <v>0</v>
      </c>
      <c r="U273" s="153">
        <v>0</v>
      </c>
      <c r="V273" s="135"/>
      <c r="W273" s="135"/>
      <c r="X273" s="135"/>
      <c r="Y273" s="135"/>
      <c r="Z273" s="135"/>
      <c r="AA273" s="135"/>
      <c r="AB273" s="135"/>
      <c r="AC273" s="135"/>
      <c r="AD273" s="133"/>
      <c r="AE273" s="133"/>
      <c r="AF273" s="132" t="str">
        <f t="shared" si="40"/>
        <v>Нет инфо</v>
      </c>
      <c r="AG273" s="132" t="str">
        <f t="shared" si="41"/>
        <v>Нет инфо</v>
      </c>
      <c r="AH273" s="2"/>
      <c r="AI273" s="136"/>
      <c r="AJ273" s="2"/>
      <c r="AK273" s="136"/>
      <c r="AL273" s="136"/>
      <c r="AM273" s="2"/>
      <c r="AN273" s="2"/>
      <c r="AO273" s="2"/>
      <c r="AP273" s="2"/>
      <c r="AQ273" s="136"/>
    </row>
    <row r="274" spans="1:43" s="115" customFormat="1" ht="12.75" hidden="1" customHeight="1" x14ac:dyDescent="0.2">
      <c r="A274" s="2">
        <v>2303</v>
      </c>
      <c r="B274" s="2"/>
      <c r="C274" s="131"/>
      <c r="D274" s="131"/>
      <c r="E274" s="131"/>
      <c r="F274" s="2"/>
      <c r="G274" s="2"/>
      <c r="H274" s="132">
        <v>0</v>
      </c>
      <c r="I274" s="132"/>
      <c r="J274" s="132"/>
      <c r="K274" s="132"/>
      <c r="L274" s="132">
        <f t="shared" si="44"/>
        <v>0</v>
      </c>
      <c r="M274" s="132">
        <f t="shared" si="45"/>
        <v>0</v>
      </c>
      <c r="N274" s="133"/>
      <c r="O274" s="133">
        <f t="shared" si="46"/>
        <v>0</v>
      </c>
      <c r="P274" s="134"/>
      <c r="Q274" s="133"/>
      <c r="R274" s="133"/>
      <c r="S274" s="153">
        <v>0</v>
      </c>
      <c r="T274" s="153">
        <v>0</v>
      </c>
      <c r="U274" s="153">
        <v>0</v>
      </c>
      <c r="V274" s="135"/>
      <c r="W274" s="135"/>
      <c r="X274" s="135"/>
      <c r="Y274" s="135"/>
      <c r="Z274" s="135"/>
      <c r="AA274" s="135"/>
      <c r="AB274" s="135"/>
      <c r="AC274" s="135"/>
      <c r="AD274" s="133"/>
      <c r="AE274" s="133"/>
      <c r="AF274" s="132" t="str">
        <f t="shared" si="40"/>
        <v>Нет инфо</v>
      </c>
      <c r="AG274" s="132" t="str">
        <f t="shared" si="41"/>
        <v>Нет инфо</v>
      </c>
      <c r="AH274" s="2"/>
      <c r="AI274" s="136"/>
      <c r="AJ274" s="2"/>
      <c r="AK274" s="136"/>
      <c r="AL274" s="136"/>
      <c r="AM274" s="2"/>
      <c r="AN274" s="2"/>
      <c r="AO274" s="2"/>
      <c r="AP274" s="2"/>
      <c r="AQ274" s="136"/>
    </row>
    <row r="275" spans="1:43" s="115" customFormat="1" ht="12.75" hidden="1" customHeight="1" x14ac:dyDescent="0.2">
      <c r="A275" s="2">
        <v>2304</v>
      </c>
      <c r="B275" s="2"/>
      <c r="C275" s="131"/>
      <c r="D275" s="131"/>
      <c r="E275" s="131"/>
      <c r="F275" s="2"/>
      <c r="G275" s="2"/>
      <c r="H275" s="132">
        <v>0</v>
      </c>
      <c r="I275" s="132"/>
      <c r="J275" s="132"/>
      <c r="K275" s="132"/>
      <c r="L275" s="132">
        <f t="shared" si="44"/>
        <v>0</v>
      </c>
      <c r="M275" s="132">
        <f t="shared" si="45"/>
        <v>0</v>
      </c>
      <c r="N275" s="133"/>
      <c r="O275" s="133">
        <f t="shared" si="46"/>
        <v>0</v>
      </c>
      <c r="P275" s="134"/>
      <c r="Q275" s="133"/>
      <c r="R275" s="133"/>
      <c r="S275" s="153">
        <v>0</v>
      </c>
      <c r="T275" s="153">
        <v>0</v>
      </c>
      <c r="U275" s="153">
        <v>0</v>
      </c>
      <c r="V275" s="135"/>
      <c r="W275" s="135"/>
      <c r="X275" s="135"/>
      <c r="Y275" s="135"/>
      <c r="Z275" s="135"/>
      <c r="AA275" s="135"/>
      <c r="AB275" s="135"/>
      <c r="AC275" s="135"/>
      <c r="AD275" s="133"/>
      <c r="AE275" s="133"/>
      <c r="AF275" s="132" t="str">
        <f t="shared" si="40"/>
        <v>Нет инфо</v>
      </c>
      <c r="AG275" s="132" t="str">
        <f t="shared" si="41"/>
        <v>Нет инфо</v>
      </c>
      <c r="AH275" s="2"/>
      <c r="AI275" s="136"/>
      <c r="AJ275" s="2"/>
      <c r="AK275" s="136"/>
      <c r="AL275" s="136"/>
      <c r="AM275" s="2"/>
      <c r="AN275" s="2"/>
      <c r="AO275" s="2"/>
      <c r="AP275" s="2"/>
      <c r="AQ275" s="136"/>
    </row>
    <row r="276" spans="1:43" s="115" customFormat="1" ht="12.75" hidden="1" customHeight="1" x14ac:dyDescent="0.2">
      <c r="A276" s="2">
        <v>2305</v>
      </c>
      <c r="B276" s="2"/>
      <c r="C276" s="131"/>
      <c r="D276" s="131"/>
      <c r="E276" s="131"/>
      <c r="F276" s="2"/>
      <c r="G276" s="2"/>
      <c r="H276" s="132">
        <v>0</v>
      </c>
      <c r="I276" s="132"/>
      <c r="J276" s="132"/>
      <c r="K276" s="132"/>
      <c r="L276" s="132">
        <f t="shared" si="44"/>
        <v>0</v>
      </c>
      <c r="M276" s="132">
        <f t="shared" si="45"/>
        <v>0</v>
      </c>
      <c r="N276" s="133"/>
      <c r="O276" s="133">
        <f t="shared" si="46"/>
        <v>0</v>
      </c>
      <c r="P276" s="134"/>
      <c r="Q276" s="133"/>
      <c r="R276" s="133"/>
      <c r="S276" s="153">
        <v>0</v>
      </c>
      <c r="T276" s="153">
        <v>0</v>
      </c>
      <c r="U276" s="153">
        <v>0</v>
      </c>
      <c r="V276" s="135"/>
      <c r="W276" s="135"/>
      <c r="X276" s="135"/>
      <c r="Y276" s="135"/>
      <c r="Z276" s="135"/>
      <c r="AA276" s="135"/>
      <c r="AB276" s="135"/>
      <c r="AC276" s="135"/>
      <c r="AD276" s="133"/>
      <c r="AE276" s="133"/>
      <c r="AF276" s="132" t="str">
        <f t="shared" si="40"/>
        <v>Нет инфо</v>
      </c>
      <c r="AG276" s="132" t="str">
        <f t="shared" si="41"/>
        <v>Нет инфо</v>
      </c>
      <c r="AH276" s="2"/>
      <c r="AI276" s="136"/>
      <c r="AJ276" s="2"/>
      <c r="AK276" s="136"/>
      <c r="AL276" s="136"/>
      <c r="AM276" s="2"/>
      <c r="AN276" s="2"/>
      <c r="AO276" s="2"/>
      <c r="AP276" s="2"/>
      <c r="AQ276" s="136"/>
    </row>
    <row r="277" spans="1:43" s="115" customFormat="1" ht="12.75" hidden="1" customHeight="1" x14ac:dyDescent="0.2">
      <c r="A277" s="2">
        <v>2306</v>
      </c>
      <c r="B277" s="2"/>
      <c r="C277" s="131"/>
      <c r="D277" s="131"/>
      <c r="E277" s="131"/>
      <c r="F277" s="2"/>
      <c r="G277" s="2"/>
      <c r="H277" s="132">
        <v>0</v>
      </c>
      <c r="I277" s="132"/>
      <c r="J277" s="132"/>
      <c r="K277" s="132"/>
      <c r="L277" s="132">
        <f t="shared" si="44"/>
        <v>0</v>
      </c>
      <c r="M277" s="132">
        <f t="shared" si="45"/>
        <v>0</v>
      </c>
      <c r="N277" s="133"/>
      <c r="O277" s="133">
        <f t="shared" si="46"/>
        <v>0</v>
      </c>
      <c r="P277" s="134"/>
      <c r="Q277" s="133"/>
      <c r="R277" s="133"/>
      <c r="S277" s="153">
        <v>0</v>
      </c>
      <c r="T277" s="153">
        <v>0</v>
      </c>
      <c r="U277" s="153">
        <v>0</v>
      </c>
      <c r="V277" s="135"/>
      <c r="W277" s="135"/>
      <c r="X277" s="135"/>
      <c r="Y277" s="135"/>
      <c r="Z277" s="135"/>
      <c r="AA277" s="135"/>
      <c r="AB277" s="135"/>
      <c r="AC277" s="135"/>
      <c r="AD277" s="133"/>
      <c r="AE277" s="133"/>
      <c r="AF277" s="132" t="str">
        <f t="shared" si="40"/>
        <v>Нет инфо</v>
      </c>
      <c r="AG277" s="132" t="str">
        <f t="shared" si="41"/>
        <v>Нет инфо</v>
      </c>
      <c r="AH277" s="2"/>
      <c r="AI277" s="136"/>
      <c r="AJ277" s="2"/>
      <c r="AK277" s="136"/>
      <c r="AL277" s="136"/>
      <c r="AM277" s="2"/>
      <c r="AN277" s="2"/>
      <c r="AO277" s="2"/>
      <c r="AP277" s="2"/>
      <c r="AQ277" s="136"/>
    </row>
    <row r="278" spans="1:43" s="115" customFormat="1" ht="12.75" hidden="1" customHeight="1" x14ac:dyDescent="0.2">
      <c r="A278" s="2">
        <v>2307</v>
      </c>
      <c r="B278" s="2"/>
      <c r="C278" s="131"/>
      <c r="D278" s="131"/>
      <c r="E278" s="131"/>
      <c r="F278" s="2"/>
      <c r="G278" s="2"/>
      <c r="H278" s="132">
        <v>0</v>
      </c>
      <c r="I278" s="132"/>
      <c r="J278" s="132"/>
      <c r="K278" s="132"/>
      <c r="L278" s="132">
        <f t="shared" si="44"/>
        <v>0</v>
      </c>
      <c r="M278" s="132">
        <f t="shared" si="45"/>
        <v>0</v>
      </c>
      <c r="N278" s="133"/>
      <c r="O278" s="133">
        <f t="shared" si="46"/>
        <v>0</v>
      </c>
      <c r="P278" s="134"/>
      <c r="Q278" s="133"/>
      <c r="R278" s="133"/>
      <c r="S278" s="153">
        <v>0</v>
      </c>
      <c r="T278" s="153">
        <v>0</v>
      </c>
      <c r="U278" s="153">
        <v>0</v>
      </c>
      <c r="V278" s="135"/>
      <c r="W278" s="135"/>
      <c r="X278" s="135"/>
      <c r="Y278" s="135"/>
      <c r="Z278" s="135"/>
      <c r="AA278" s="135"/>
      <c r="AB278" s="135"/>
      <c r="AC278" s="135"/>
      <c r="AD278" s="133"/>
      <c r="AE278" s="133"/>
      <c r="AF278" s="132" t="str">
        <f t="shared" si="40"/>
        <v>Нет инфо</v>
      </c>
      <c r="AG278" s="132" t="str">
        <f t="shared" si="41"/>
        <v>Нет инфо</v>
      </c>
      <c r="AH278" s="2"/>
      <c r="AI278" s="136"/>
      <c r="AJ278" s="2"/>
      <c r="AK278" s="136"/>
      <c r="AL278" s="136"/>
      <c r="AM278" s="2"/>
      <c r="AN278" s="2"/>
      <c r="AO278" s="2"/>
      <c r="AP278" s="2"/>
      <c r="AQ278" s="136"/>
    </row>
    <row r="279" spans="1:43" s="115" customFormat="1" ht="12.75" hidden="1" customHeight="1" x14ac:dyDescent="0.2">
      <c r="A279" s="2">
        <v>2308</v>
      </c>
      <c r="B279" s="2"/>
      <c r="C279" s="131"/>
      <c r="D279" s="131"/>
      <c r="E279" s="131"/>
      <c r="F279" s="2"/>
      <c r="G279" s="2"/>
      <c r="H279" s="132">
        <v>0</v>
      </c>
      <c r="I279" s="132"/>
      <c r="J279" s="132"/>
      <c r="K279" s="132"/>
      <c r="L279" s="132">
        <f t="shared" si="44"/>
        <v>0</v>
      </c>
      <c r="M279" s="132">
        <f t="shared" si="45"/>
        <v>0</v>
      </c>
      <c r="N279" s="133"/>
      <c r="O279" s="133">
        <f t="shared" si="46"/>
        <v>0</v>
      </c>
      <c r="P279" s="134"/>
      <c r="Q279" s="133"/>
      <c r="R279" s="133"/>
      <c r="S279" s="153">
        <v>0</v>
      </c>
      <c r="T279" s="153">
        <v>0</v>
      </c>
      <c r="U279" s="153">
        <v>0</v>
      </c>
      <c r="V279" s="135"/>
      <c r="W279" s="135"/>
      <c r="X279" s="135"/>
      <c r="Y279" s="135"/>
      <c r="Z279" s="135"/>
      <c r="AA279" s="135"/>
      <c r="AB279" s="135"/>
      <c r="AC279" s="135"/>
      <c r="AD279" s="133"/>
      <c r="AE279" s="133"/>
      <c r="AF279" s="132" t="str">
        <f t="shared" si="40"/>
        <v>Нет инфо</v>
      </c>
      <c r="AG279" s="132" t="str">
        <f t="shared" si="41"/>
        <v>Нет инфо</v>
      </c>
      <c r="AH279" s="2"/>
      <c r="AI279" s="136"/>
      <c r="AJ279" s="2"/>
      <c r="AK279" s="136"/>
      <c r="AL279" s="136"/>
      <c r="AM279" s="2"/>
      <c r="AN279" s="2"/>
      <c r="AO279" s="2"/>
      <c r="AP279" s="2"/>
      <c r="AQ279" s="136"/>
    </row>
    <row r="280" spans="1:43" s="115" customFormat="1" ht="12.75" hidden="1" customHeight="1" x14ac:dyDescent="0.2">
      <c r="A280" s="2">
        <v>2309</v>
      </c>
      <c r="B280" s="2"/>
      <c r="C280" s="131"/>
      <c r="D280" s="131"/>
      <c r="E280" s="131"/>
      <c r="F280" s="2"/>
      <c r="G280" s="2"/>
      <c r="H280" s="132">
        <v>0</v>
      </c>
      <c r="I280" s="132"/>
      <c r="J280" s="132"/>
      <c r="K280" s="132"/>
      <c r="L280" s="132">
        <f t="shared" si="44"/>
        <v>0</v>
      </c>
      <c r="M280" s="132">
        <f t="shared" si="45"/>
        <v>0</v>
      </c>
      <c r="N280" s="133"/>
      <c r="O280" s="133">
        <f t="shared" si="46"/>
        <v>0</v>
      </c>
      <c r="P280" s="134"/>
      <c r="Q280" s="133"/>
      <c r="R280" s="133"/>
      <c r="S280" s="153">
        <v>0</v>
      </c>
      <c r="T280" s="153">
        <v>0</v>
      </c>
      <c r="U280" s="153">
        <v>0</v>
      </c>
      <c r="V280" s="135"/>
      <c r="W280" s="135"/>
      <c r="X280" s="135"/>
      <c r="Y280" s="135"/>
      <c r="Z280" s="135"/>
      <c r="AA280" s="135"/>
      <c r="AB280" s="135"/>
      <c r="AC280" s="135"/>
      <c r="AD280" s="133"/>
      <c r="AE280" s="133"/>
      <c r="AF280" s="132" t="str">
        <f t="shared" si="40"/>
        <v>Нет инфо</v>
      </c>
      <c r="AG280" s="132" t="str">
        <f t="shared" si="41"/>
        <v>Нет инфо</v>
      </c>
      <c r="AH280" s="2"/>
      <c r="AI280" s="136"/>
      <c r="AJ280" s="2"/>
      <c r="AK280" s="136"/>
      <c r="AL280" s="136"/>
      <c r="AM280" s="2"/>
      <c r="AN280" s="2"/>
      <c r="AO280" s="2"/>
      <c r="AP280" s="2"/>
      <c r="AQ280" s="136"/>
    </row>
    <row r="281" spans="1:43" s="115" customFormat="1" ht="12.75" hidden="1" customHeight="1" x14ac:dyDescent="0.2">
      <c r="A281" s="2">
        <v>2310</v>
      </c>
      <c r="B281" s="2"/>
      <c r="C281" s="131"/>
      <c r="D281" s="131"/>
      <c r="E281" s="131"/>
      <c r="F281" s="2"/>
      <c r="G281" s="2"/>
      <c r="H281" s="132">
        <v>0</v>
      </c>
      <c r="I281" s="132"/>
      <c r="J281" s="132"/>
      <c r="K281" s="132"/>
      <c r="L281" s="132">
        <f t="shared" si="44"/>
        <v>0</v>
      </c>
      <c r="M281" s="132">
        <f t="shared" si="45"/>
        <v>0</v>
      </c>
      <c r="N281" s="133"/>
      <c r="O281" s="133">
        <f t="shared" si="46"/>
        <v>0</v>
      </c>
      <c r="P281" s="134"/>
      <c r="Q281" s="133"/>
      <c r="R281" s="133"/>
      <c r="S281" s="153">
        <v>0</v>
      </c>
      <c r="T281" s="153">
        <v>0</v>
      </c>
      <c r="U281" s="153">
        <v>0</v>
      </c>
      <c r="V281" s="135"/>
      <c r="W281" s="135"/>
      <c r="X281" s="135"/>
      <c r="Y281" s="135"/>
      <c r="Z281" s="135"/>
      <c r="AA281" s="135"/>
      <c r="AB281" s="135"/>
      <c r="AC281" s="135"/>
      <c r="AD281" s="133"/>
      <c r="AE281" s="133"/>
      <c r="AF281" s="132" t="str">
        <f t="shared" si="40"/>
        <v>Нет инфо</v>
      </c>
      <c r="AG281" s="132" t="str">
        <f t="shared" si="41"/>
        <v>Нет инфо</v>
      </c>
      <c r="AH281" s="2"/>
      <c r="AI281" s="136"/>
      <c r="AJ281" s="2"/>
      <c r="AK281" s="136"/>
      <c r="AL281" s="136"/>
      <c r="AM281" s="2"/>
      <c r="AN281" s="2"/>
      <c r="AO281" s="2"/>
      <c r="AP281" s="2"/>
      <c r="AQ281" s="136"/>
    </row>
    <row r="282" spans="1:43" s="115" customFormat="1" ht="12.75" hidden="1" customHeight="1" x14ac:dyDescent="0.2">
      <c r="A282" s="2">
        <v>2311</v>
      </c>
      <c r="B282" s="2"/>
      <c r="C282" s="131"/>
      <c r="D282" s="131"/>
      <c r="E282" s="131"/>
      <c r="F282" s="2"/>
      <c r="G282" s="2"/>
      <c r="H282" s="132">
        <v>0</v>
      </c>
      <c r="I282" s="132"/>
      <c r="J282" s="132"/>
      <c r="K282" s="132"/>
      <c r="L282" s="132">
        <f t="shared" si="44"/>
        <v>0</v>
      </c>
      <c r="M282" s="132">
        <f t="shared" si="45"/>
        <v>0</v>
      </c>
      <c r="N282" s="133"/>
      <c r="O282" s="133">
        <f t="shared" si="46"/>
        <v>0</v>
      </c>
      <c r="P282" s="134"/>
      <c r="Q282" s="133"/>
      <c r="R282" s="133"/>
      <c r="S282" s="153">
        <v>0</v>
      </c>
      <c r="T282" s="153">
        <v>0</v>
      </c>
      <c r="U282" s="153">
        <v>0</v>
      </c>
      <c r="V282" s="135"/>
      <c r="W282" s="135"/>
      <c r="X282" s="135"/>
      <c r="Y282" s="135"/>
      <c r="Z282" s="135"/>
      <c r="AA282" s="135"/>
      <c r="AB282" s="135"/>
      <c r="AC282" s="135"/>
      <c r="AD282" s="133"/>
      <c r="AE282" s="133"/>
      <c r="AF282" s="132" t="str">
        <f t="shared" si="40"/>
        <v>Нет инфо</v>
      </c>
      <c r="AG282" s="132" t="str">
        <f t="shared" si="41"/>
        <v>Нет инфо</v>
      </c>
      <c r="AH282" s="2"/>
      <c r="AI282" s="136"/>
      <c r="AJ282" s="2"/>
      <c r="AK282" s="136"/>
      <c r="AL282" s="136"/>
      <c r="AM282" s="2"/>
      <c r="AN282" s="2"/>
      <c r="AO282" s="2"/>
      <c r="AP282" s="2"/>
      <c r="AQ282" s="136"/>
    </row>
    <row r="283" spans="1:43" s="115" customFormat="1" ht="12.75" hidden="1" customHeight="1" x14ac:dyDescent="0.2">
      <c r="A283" s="2">
        <v>2312</v>
      </c>
      <c r="B283" s="2"/>
      <c r="C283" s="131"/>
      <c r="D283" s="131"/>
      <c r="E283" s="131"/>
      <c r="F283" s="2"/>
      <c r="G283" s="2"/>
      <c r="H283" s="132">
        <v>0</v>
      </c>
      <c r="I283" s="132"/>
      <c r="J283" s="132"/>
      <c r="K283" s="132"/>
      <c r="L283" s="132">
        <f t="shared" si="44"/>
        <v>0</v>
      </c>
      <c r="M283" s="132">
        <f t="shared" si="45"/>
        <v>0</v>
      </c>
      <c r="N283" s="133"/>
      <c r="O283" s="133">
        <f t="shared" si="46"/>
        <v>0</v>
      </c>
      <c r="P283" s="134"/>
      <c r="Q283" s="133"/>
      <c r="R283" s="133"/>
      <c r="S283" s="153">
        <v>0</v>
      </c>
      <c r="T283" s="153">
        <v>0</v>
      </c>
      <c r="U283" s="153">
        <v>0</v>
      </c>
      <c r="V283" s="135"/>
      <c r="W283" s="135"/>
      <c r="X283" s="135"/>
      <c r="Y283" s="135"/>
      <c r="Z283" s="135"/>
      <c r="AA283" s="135"/>
      <c r="AB283" s="135"/>
      <c r="AC283" s="135"/>
      <c r="AD283" s="133"/>
      <c r="AE283" s="133"/>
      <c r="AF283" s="132" t="str">
        <f t="shared" si="40"/>
        <v>Нет инфо</v>
      </c>
      <c r="AG283" s="132" t="str">
        <f t="shared" si="41"/>
        <v>Нет инфо</v>
      </c>
      <c r="AH283" s="2"/>
      <c r="AI283" s="136"/>
      <c r="AJ283" s="2"/>
      <c r="AK283" s="136"/>
      <c r="AL283" s="136"/>
      <c r="AM283" s="2"/>
      <c r="AN283" s="2"/>
      <c r="AO283" s="2"/>
      <c r="AP283" s="2"/>
      <c r="AQ283" s="136"/>
    </row>
    <row r="284" spans="1:43" s="115" customFormat="1" ht="12.75" hidden="1" customHeight="1" x14ac:dyDescent="0.2">
      <c r="A284" s="2">
        <v>2313</v>
      </c>
      <c r="B284" s="2"/>
      <c r="C284" s="131"/>
      <c r="D284" s="131"/>
      <c r="E284" s="131"/>
      <c r="F284" s="2"/>
      <c r="G284" s="2"/>
      <c r="H284" s="132">
        <v>0</v>
      </c>
      <c r="I284" s="132"/>
      <c r="J284" s="132"/>
      <c r="K284" s="132"/>
      <c r="L284" s="132">
        <f t="shared" si="44"/>
        <v>0</v>
      </c>
      <c r="M284" s="132">
        <f t="shared" si="45"/>
        <v>0</v>
      </c>
      <c r="N284" s="133"/>
      <c r="O284" s="133">
        <f t="shared" si="46"/>
        <v>0</v>
      </c>
      <c r="P284" s="134"/>
      <c r="Q284" s="133"/>
      <c r="R284" s="133"/>
      <c r="S284" s="153">
        <v>0</v>
      </c>
      <c r="T284" s="153">
        <v>0</v>
      </c>
      <c r="U284" s="153">
        <v>0</v>
      </c>
      <c r="V284" s="135"/>
      <c r="W284" s="135"/>
      <c r="X284" s="135"/>
      <c r="Y284" s="135"/>
      <c r="Z284" s="135"/>
      <c r="AA284" s="135"/>
      <c r="AB284" s="135"/>
      <c r="AC284" s="135"/>
      <c r="AD284" s="133"/>
      <c r="AE284" s="133"/>
      <c r="AF284" s="132" t="str">
        <f t="shared" si="40"/>
        <v>Нет инфо</v>
      </c>
      <c r="AG284" s="132" t="str">
        <f t="shared" si="41"/>
        <v>Нет инфо</v>
      </c>
      <c r="AH284" s="2"/>
      <c r="AI284" s="136"/>
      <c r="AJ284" s="2"/>
      <c r="AK284" s="136"/>
      <c r="AL284" s="136"/>
      <c r="AM284" s="2"/>
      <c r="AN284" s="2"/>
      <c r="AO284" s="2"/>
      <c r="AP284" s="2"/>
      <c r="AQ284" s="136"/>
    </row>
    <row r="285" spans="1:43" s="115" customFormat="1" ht="12.75" hidden="1" customHeight="1" x14ac:dyDescent="0.2">
      <c r="A285" s="2">
        <v>2314</v>
      </c>
      <c r="B285" s="2"/>
      <c r="C285" s="131"/>
      <c r="D285" s="131"/>
      <c r="E285" s="131"/>
      <c r="F285" s="2"/>
      <c r="G285" s="2"/>
      <c r="H285" s="132">
        <v>0</v>
      </c>
      <c r="I285" s="132"/>
      <c r="J285" s="132"/>
      <c r="K285" s="132"/>
      <c r="L285" s="132">
        <f t="shared" si="44"/>
        <v>0</v>
      </c>
      <c r="M285" s="132">
        <f t="shared" si="45"/>
        <v>0</v>
      </c>
      <c r="N285" s="133"/>
      <c r="O285" s="133">
        <f t="shared" si="46"/>
        <v>0</v>
      </c>
      <c r="P285" s="134"/>
      <c r="Q285" s="133"/>
      <c r="R285" s="133"/>
      <c r="S285" s="153">
        <v>0</v>
      </c>
      <c r="T285" s="153">
        <v>0</v>
      </c>
      <c r="U285" s="153">
        <v>0</v>
      </c>
      <c r="V285" s="135"/>
      <c r="W285" s="135"/>
      <c r="X285" s="135"/>
      <c r="Y285" s="135"/>
      <c r="Z285" s="135"/>
      <c r="AA285" s="135"/>
      <c r="AB285" s="135"/>
      <c r="AC285" s="135"/>
      <c r="AD285" s="133"/>
      <c r="AE285" s="133"/>
      <c r="AF285" s="132" t="str">
        <f t="shared" si="40"/>
        <v>Нет инфо</v>
      </c>
      <c r="AG285" s="132" t="str">
        <f t="shared" si="41"/>
        <v>Нет инфо</v>
      </c>
      <c r="AH285" s="2"/>
      <c r="AI285" s="136"/>
      <c r="AJ285" s="2"/>
      <c r="AK285" s="136"/>
      <c r="AL285" s="136"/>
      <c r="AM285" s="2"/>
      <c r="AN285" s="2"/>
      <c r="AO285" s="2"/>
      <c r="AP285" s="2"/>
      <c r="AQ285" s="136"/>
    </row>
    <row r="286" spans="1:43" s="115" customFormat="1" ht="12.75" hidden="1" customHeight="1" x14ac:dyDescent="0.2">
      <c r="A286" s="2">
        <v>2315</v>
      </c>
      <c r="B286" s="2"/>
      <c r="C286" s="131"/>
      <c r="D286" s="131"/>
      <c r="E286" s="131"/>
      <c r="F286" s="2"/>
      <c r="G286" s="2"/>
      <c r="H286" s="132">
        <v>0</v>
      </c>
      <c r="I286" s="132"/>
      <c r="J286" s="132"/>
      <c r="K286" s="132"/>
      <c r="L286" s="132">
        <f t="shared" si="44"/>
        <v>0</v>
      </c>
      <c r="M286" s="132">
        <f t="shared" si="45"/>
        <v>0</v>
      </c>
      <c r="N286" s="133"/>
      <c r="O286" s="133">
        <f t="shared" si="46"/>
        <v>0</v>
      </c>
      <c r="P286" s="134"/>
      <c r="Q286" s="133"/>
      <c r="R286" s="133"/>
      <c r="S286" s="153">
        <v>0</v>
      </c>
      <c r="T286" s="153">
        <v>0</v>
      </c>
      <c r="U286" s="153">
        <v>0</v>
      </c>
      <c r="V286" s="135"/>
      <c r="W286" s="135"/>
      <c r="X286" s="135"/>
      <c r="Y286" s="135"/>
      <c r="Z286" s="135"/>
      <c r="AA286" s="135"/>
      <c r="AB286" s="135"/>
      <c r="AC286" s="135"/>
      <c r="AD286" s="133"/>
      <c r="AE286" s="133"/>
      <c r="AF286" s="132" t="str">
        <f t="shared" si="40"/>
        <v>Нет инфо</v>
      </c>
      <c r="AG286" s="132" t="str">
        <f t="shared" si="41"/>
        <v>Нет инфо</v>
      </c>
      <c r="AH286" s="2"/>
      <c r="AI286" s="136"/>
      <c r="AJ286" s="2"/>
      <c r="AK286" s="136"/>
      <c r="AL286" s="136"/>
      <c r="AM286" s="2"/>
      <c r="AN286" s="2"/>
      <c r="AO286" s="2"/>
      <c r="AP286" s="2"/>
      <c r="AQ286" s="136"/>
    </row>
    <row r="287" spans="1:43" s="115" customFormat="1" ht="12.75" hidden="1" customHeight="1" x14ac:dyDescent="0.2">
      <c r="A287" s="2">
        <v>2316</v>
      </c>
      <c r="B287" s="2"/>
      <c r="C287" s="131"/>
      <c r="D287" s="131"/>
      <c r="E287" s="131"/>
      <c r="F287" s="2"/>
      <c r="G287" s="2"/>
      <c r="H287" s="132">
        <v>0</v>
      </c>
      <c r="I287" s="132"/>
      <c r="J287" s="132"/>
      <c r="K287" s="132"/>
      <c r="L287" s="132">
        <f t="shared" si="44"/>
        <v>0</v>
      </c>
      <c r="M287" s="132">
        <f t="shared" si="45"/>
        <v>0</v>
      </c>
      <c r="N287" s="133"/>
      <c r="O287" s="133">
        <f t="shared" si="46"/>
        <v>0</v>
      </c>
      <c r="P287" s="134"/>
      <c r="Q287" s="133"/>
      <c r="R287" s="133"/>
      <c r="S287" s="153">
        <v>0</v>
      </c>
      <c r="T287" s="153">
        <v>0</v>
      </c>
      <c r="U287" s="153">
        <v>0</v>
      </c>
      <c r="V287" s="135"/>
      <c r="W287" s="135"/>
      <c r="X287" s="135"/>
      <c r="Y287" s="135"/>
      <c r="Z287" s="135"/>
      <c r="AA287" s="135"/>
      <c r="AB287" s="135"/>
      <c r="AC287" s="135"/>
      <c r="AD287" s="133"/>
      <c r="AE287" s="133"/>
      <c r="AF287" s="132" t="str">
        <f t="shared" si="40"/>
        <v>Нет инфо</v>
      </c>
      <c r="AG287" s="132" t="str">
        <f t="shared" si="41"/>
        <v>Нет инфо</v>
      </c>
      <c r="AH287" s="2"/>
      <c r="AI287" s="136"/>
      <c r="AJ287" s="2"/>
      <c r="AK287" s="136"/>
      <c r="AL287" s="136"/>
      <c r="AM287" s="2"/>
      <c r="AN287" s="2"/>
      <c r="AO287" s="2"/>
      <c r="AP287" s="2"/>
      <c r="AQ287" s="136"/>
    </row>
    <row r="288" spans="1:43" s="115" customFormat="1" ht="12.75" hidden="1" customHeight="1" x14ac:dyDescent="0.2">
      <c r="A288" s="2">
        <v>2317</v>
      </c>
      <c r="B288" s="2"/>
      <c r="C288" s="131"/>
      <c r="D288" s="131"/>
      <c r="E288" s="131"/>
      <c r="F288" s="2"/>
      <c r="G288" s="2"/>
      <c r="H288" s="132">
        <v>0</v>
      </c>
      <c r="I288" s="132"/>
      <c r="J288" s="132"/>
      <c r="K288" s="132"/>
      <c r="L288" s="132">
        <f t="shared" si="44"/>
        <v>0</v>
      </c>
      <c r="M288" s="132">
        <f t="shared" si="45"/>
        <v>0</v>
      </c>
      <c r="N288" s="133"/>
      <c r="O288" s="133">
        <f t="shared" si="46"/>
        <v>0</v>
      </c>
      <c r="P288" s="134"/>
      <c r="Q288" s="133"/>
      <c r="R288" s="133"/>
      <c r="S288" s="153">
        <v>0</v>
      </c>
      <c r="T288" s="153">
        <v>0</v>
      </c>
      <c r="U288" s="153">
        <v>0</v>
      </c>
      <c r="V288" s="135"/>
      <c r="W288" s="135"/>
      <c r="X288" s="135"/>
      <c r="Y288" s="135"/>
      <c r="Z288" s="135"/>
      <c r="AA288" s="135"/>
      <c r="AB288" s="135"/>
      <c r="AC288" s="135"/>
      <c r="AD288" s="133"/>
      <c r="AE288" s="133"/>
      <c r="AF288" s="132" t="str">
        <f t="shared" si="40"/>
        <v>Нет инфо</v>
      </c>
      <c r="AG288" s="132" t="str">
        <f t="shared" si="41"/>
        <v>Нет инфо</v>
      </c>
      <c r="AH288" s="2"/>
      <c r="AI288" s="136"/>
      <c r="AJ288" s="2"/>
      <c r="AK288" s="136"/>
      <c r="AL288" s="136"/>
      <c r="AM288" s="2"/>
      <c r="AN288" s="2"/>
      <c r="AO288" s="2"/>
      <c r="AP288" s="2"/>
      <c r="AQ288" s="136"/>
    </row>
    <row r="289" spans="1:43" s="115" customFormat="1" ht="12.75" hidden="1" customHeight="1" x14ac:dyDescent="0.2">
      <c r="A289" s="2">
        <v>2318</v>
      </c>
      <c r="B289" s="2"/>
      <c r="C289" s="131"/>
      <c r="D289" s="131"/>
      <c r="E289" s="131"/>
      <c r="F289" s="2"/>
      <c r="G289" s="2"/>
      <c r="H289" s="132">
        <v>0</v>
      </c>
      <c r="I289" s="132"/>
      <c r="J289" s="132"/>
      <c r="K289" s="132"/>
      <c r="L289" s="132">
        <f t="shared" si="44"/>
        <v>0</v>
      </c>
      <c r="M289" s="132">
        <f t="shared" si="45"/>
        <v>0</v>
      </c>
      <c r="N289" s="133"/>
      <c r="O289" s="133">
        <f t="shared" si="46"/>
        <v>0</v>
      </c>
      <c r="P289" s="134"/>
      <c r="Q289" s="133"/>
      <c r="R289" s="133"/>
      <c r="S289" s="153">
        <v>0</v>
      </c>
      <c r="T289" s="153">
        <v>0</v>
      </c>
      <c r="U289" s="153">
        <v>0</v>
      </c>
      <c r="V289" s="135"/>
      <c r="W289" s="135"/>
      <c r="X289" s="135"/>
      <c r="Y289" s="135"/>
      <c r="Z289" s="135"/>
      <c r="AA289" s="135"/>
      <c r="AB289" s="135"/>
      <c r="AC289" s="135"/>
      <c r="AD289" s="133"/>
      <c r="AE289" s="133"/>
      <c r="AF289" s="132" t="str">
        <f t="shared" si="40"/>
        <v>Нет инфо</v>
      </c>
      <c r="AG289" s="132" t="str">
        <f t="shared" si="41"/>
        <v>Нет инфо</v>
      </c>
      <c r="AH289" s="2"/>
      <c r="AI289" s="136"/>
      <c r="AJ289" s="2"/>
      <c r="AK289" s="136"/>
      <c r="AL289" s="136"/>
      <c r="AM289" s="2"/>
      <c r="AN289" s="2"/>
      <c r="AO289" s="2"/>
      <c r="AP289" s="2"/>
      <c r="AQ289" s="136"/>
    </row>
    <row r="290" spans="1:43" s="115" customFormat="1" ht="12.75" hidden="1" customHeight="1" x14ac:dyDescent="0.2">
      <c r="A290" s="2">
        <v>2319</v>
      </c>
      <c r="B290" s="2"/>
      <c r="C290" s="131"/>
      <c r="D290" s="131"/>
      <c r="E290" s="131"/>
      <c r="F290" s="2"/>
      <c r="G290" s="2"/>
      <c r="H290" s="132">
        <v>0</v>
      </c>
      <c r="I290" s="132"/>
      <c r="J290" s="132"/>
      <c r="K290" s="132"/>
      <c r="L290" s="132">
        <f t="shared" si="44"/>
        <v>0</v>
      </c>
      <c r="M290" s="132">
        <f t="shared" si="45"/>
        <v>0</v>
      </c>
      <c r="N290" s="133"/>
      <c r="O290" s="133">
        <f t="shared" si="46"/>
        <v>0</v>
      </c>
      <c r="P290" s="134"/>
      <c r="Q290" s="133"/>
      <c r="R290" s="133"/>
      <c r="S290" s="153">
        <v>0</v>
      </c>
      <c r="T290" s="153">
        <v>0</v>
      </c>
      <c r="U290" s="153">
        <v>0</v>
      </c>
      <c r="V290" s="135"/>
      <c r="W290" s="135"/>
      <c r="X290" s="135"/>
      <c r="Y290" s="135"/>
      <c r="Z290" s="135"/>
      <c r="AA290" s="135"/>
      <c r="AB290" s="135"/>
      <c r="AC290" s="135"/>
      <c r="AD290" s="133"/>
      <c r="AE290" s="133"/>
      <c r="AF290" s="132" t="str">
        <f t="shared" si="40"/>
        <v>Нет инфо</v>
      </c>
      <c r="AG290" s="132" t="str">
        <f t="shared" si="41"/>
        <v>Нет инфо</v>
      </c>
      <c r="AH290" s="2"/>
      <c r="AI290" s="136"/>
      <c r="AJ290" s="2"/>
      <c r="AK290" s="136"/>
      <c r="AL290" s="136"/>
      <c r="AM290" s="2"/>
      <c r="AN290" s="2"/>
      <c r="AO290" s="2"/>
      <c r="AP290" s="2"/>
      <c r="AQ290" s="136"/>
    </row>
    <row r="291" spans="1:43" s="115" customFormat="1" ht="12.75" hidden="1" customHeight="1" x14ac:dyDescent="0.2">
      <c r="A291" s="2">
        <v>2320</v>
      </c>
      <c r="B291" s="2"/>
      <c r="C291" s="131"/>
      <c r="D291" s="131"/>
      <c r="E291" s="131"/>
      <c r="F291" s="2"/>
      <c r="G291" s="2"/>
      <c r="H291" s="132">
        <v>0</v>
      </c>
      <c r="I291" s="132"/>
      <c r="J291" s="132"/>
      <c r="K291" s="132"/>
      <c r="L291" s="132">
        <f t="shared" si="44"/>
        <v>0</v>
      </c>
      <c r="M291" s="132">
        <f t="shared" si="45"/>
        <v>0</v>
      </c>
      <c r="N291" s="133"/>
      <c r="O291" s="133">
        <f t="shared" si="46"/>
        <v>0</v>
      </c>
      <c r="P291" s="134"/>
      <c r="Q291" s="133"/>
      <c r="R291" s="133"/>
      <c r="S291" s="153">
        <v>0</v>
      </c>
      <c r="T291" s="153">
        <v>0</v>
      </c>
      <c r="U291" s="153">
        <v>0</v>
      </c>
      <c r="V291" s="135"/>
      <c r="W291" s="135"/>
      <c r="X291" s="135"/>
      <c r="Y291" s="135"/>
      <c r="Z291" s="135"/>
      <c r="AA291" s="135"/>
      <c r="AB291" s="135"/>
      <c r="AC291" s="135"/>
      <c r="AD291" s="133"/>
      <c r="AE291" s="133"/>
      <c r="AF291" s="132" t="str">
        <f t="shared" si="40"/>
        <v>Нет инфо</v>
      </c>
      <c r="AG291" s="132" t="str">
        <f t="shared" si="41"/>
        <v>Нет инфо</v>
      </c>
      <c r="AH291" s="2"/>
      <c r="AI291" s="136"/>
      <c r="AJ291" s="2"/>
      <c r="AK291" s="136"/>
      <c r="AL291" s="136"/>
      <c r="AM291" s="2"/>
      <c r="AN291" s="2"/>
      <c r="AO291" s="2"/>
      <c r="AP291" s="2"/>
      <c r="AQ291" s="136"/>
    </row>
    <row r="292" spans="1:43" s="115" customFormat="1" ht="12.75" hidden="1" customHeight="1" x14ac:dyDescent="0.2">
      <c r="A292" s="2">
        <v>2321</v>
      </c>
      <c r="B292" s="2"/>
      <c r="C292" s="131"/>
      <c r="D292" s="131"/>
      <c r="E292" s="131"/>
      <c r="F292" s="2"/>
      <c r="G292" s="2"/>
      <c r="H292" s="132">
        <v>0</v>
      </c>
      <c r="I292" s="132"/>
      <c r="J292" s="132"/>
      <c r="K292" s="132"/>
      <c r="L292" s="132">
        <f t="shared" si="44"/>
        <v>0</v>
      </c>
      <c r="M292" s="132">
        <f t="shared" si="45"/>
        <v>0</v>
      </c>
      <c r="N292" s="133"/>
      <c r="O292" s="133">
        <f t="shared" si="46"/>
        <v>0</v>
      </c>
      <c r="P292" s="134"/>
      <c r="Q292" s="133"/>
      <c r="R292" s="133"/>
      <c r="S292" s="153">
        <v>0</v>
      </c>
      <c r="T292" s="153">
        <v>0</v>
      </c>
      <c r="U292" s="153">
        <v>0</v>
      </c>
      <c r="V292" s="135"/>
      <c r="W292" s="135"/>
      <c r="X292" s="135"/>
      <c r="Y292" s="135"/>
      <c r="Z292" s="135"/>
      <c r="AA292" s="135"/>
      <c r="AB292" s="135"/>
      <c r="AC292" s="135"/>
      <c r="AD292" s="133"/>
      <c r="AE292" s="133"/>
      <c r="AF292" s="132" t="str">
        <f t="shared" si="40"/>
        <v>Нет инфо</v>
      </c>
      <c r="AG292" s="132" t="str">
        <f t="shared" si="41"/>
        <v>Нет инфо</v>
      </c>
      <c r="AH292" s="2"/>
      <c r="AI292" s="136"/>
      <c r="AJ292" s="2"/>
      <c r="AK292" s="136"/>
      <c r="AL292" s="136"/>
      <c r="AM292" s="2"/>
      <c r="AN292" s="2"/>
      <c r="AO292" s="2"/>
      <c r="AP292" s="2"/>
      <c r="AQ292" s="136"/>
    </row>
    <row r="293" spans="1:43" s="115" customFormat="1" ht="12.75" hidden="1" customHeight="1" x14ac:dyDescent="0.2">
      <c r="A293" s="2">
        <v>2322</v>
      </c>
      <c r="B293" s="2"/>
      <c r="C293" s="131"/>
      <c r="D293" s="131"/>
      <c r="E293" s="131"/>
      <c r="F293" s="2"/>
      <c r="G293" s="2"/>
      <c r="H293" s="132">
        <v>0</v>
      </c>
      <c r="I293" s="132"/>
      <c r="J293" s="132"/>
      <c r="K293" s="132"/>
      <c r="L293" s="132">
        <f t="shared" si="44"/>
        <v>0</v>
      </c>
      <c r="M293" s="132">
        <f t="shared" si="45"/>
        <v>0</v>
      </c>
      <c r="N293" s="133"/>
      <c r="O293" s="133">
        <f t="shared" si="46"/>
        <v>0</v>
      </c>
      <c r="P293" s="134"/>
      <c r="Q293" s="133"/>
      <c r="R293" s="133"/>
      <c r="S293" s="153">
        <v>0</v>
      </c>
      <c r="T293" s="153">
        <v>0</v>
      </c>
      <c r="U293" s="153">
        <v>0</v>
      </c>
      <c r="V293" s="135"/>
      <c r="W293" s="135"/>
      <c r="X293" s="135"/>
      <c r="Y293" s="135"/>
      <c r="Z293" s="135"/>
      <c r="AA293" s="135"/>
      <c r="AB293" s="135"/>
      <c r="AC293" s="135"/>
      <c r="AD293" s="133"/>
      <c r="AE293" s="133"/>
      <c r="AF293" s="132" t="str">
        <f t="shared" ref="AF293:AF356" si="47">IF(OR(I293="",I293=0,N293="",N293=0),"Нет инфо",I293/N293)</f>
        <v>Нет инфо</v>
      </c>
      <c r="AG293" s="132" t="str">
        <f t="shared" ref="AG293:AG356" si="48">IF(OR(I293="",I293=0,R293="",R293=0),"Нет инфо",I293/R293)</f>
        <v>Нет инфо</v>
      </c>
      <c r="AH293" s="2"/>
      <c r="AI293" s="136"/>
      <c r="AJ293" s="2"/>
      <c r="AK293" s="136"/>
      <c r="AL293" s="136"/>
      <c r="AM293" s="2"/>
      <c r="AN293" s="2"/>
      <c r="AO293" s="2"/>
      <c r="AP293" s="2"/>
      <c r="AQ293" s="136"/>
    </row>
    <row r="294" spans="1:43" s="115" customFormat="1" ht="12.75" hidden="1" customHeight="1" x14ac:dyDescent="0.2">
      <c r="A294" s="2">
        <v>2323</v>
      </c>
      <c r="B294" s="2"/>
      <c r="C294" s="131"/>
      <c r="D294" s="131"/>
      <c r="E294" s="131"/>
      <c r="F294" s="2"/>
      <c r="G294" s="2"/>
      <c r="H294" s="132">
        <v>0</v>
      </c>
      <c r="I294" s="132"/>
      <c r="J294" s="132"/>
      <c r="K294" s="132"/>
      <c r="L294" s="132">
        <f t="shared" si="44"/>
        <v>0</v>
      </c>
      <c r="M294" s="132">
        <f t="shared" si="45"/>
        <v>0</v>
      </c>
      <c r="N294" s="133"/>
      <c r="O294" s="133">
        <f t="shared" si="46"/>
        <v>0</v>
      </c>
      <c r="P294" s="134"/>
      <c r="Q294" s="133"/>
      <c r="R294" s="133"/>
      <c r="S294" s="153">
        <v>0</v>
      </c>
      <c r="T294" s="153">
        <v>0</v>
      </c>
      <c r="U294" s="153">
        <v>0</v>
      </c>
      <c r="V294" s="135"/>
      <c r="W294" s="135"/>
      <c r="X294" s="135"/>
      <c r="Y294" s="135"/>
      <c r="Z294" s="135"/>
      <c r="AA294" s="135"/>
      <c r="AB294" s="135"/>
      <c r="AC294" s="135"/>
      <c r="AD294" s="133"/>
      <c r="AE294" s="133"/>
      <c r="AF294" s="132" t="str">
        <f t="shared" si="47"/>
        <v>Нет инфо</v>
      </c>
      <c r="AG294" s="132" t="str">
        <f t="shared" si="48"/>
        <v>Нет инфо</v>
      </c>
      <c r="AH294" s="2"/>
      <c r="AI294" s="136"/>
      <c r="AJ294" s="2"/>
      <c r="AK294" s="136"/>
      <c r="AL294" s="136"/>
      <c r="AM294" s="2"/>
      <c r="AN294" s="2"/>
      <c r="AO294" s="2"/>
      <c r="AP294" s="2"/>
      <c r="AQ294" s="136"/>
    </row>
    <row r="295" spans="1:43" s="115" customFormat="1" ht="12.75" hidden="1" customHeight="1" x14ac:dyDescent="0.2">
      <c r="A295" s="2">
        <v>2324</v>
      </c>
      <c r="B295" s="2"/>
      <c r="C295" s="131"/>
      <c r="D295" s="131"/>
      <c r="E295" s="131"/>
      <c r="F295" s="2"/>
      <c r="G295" s="2"/>
      <c r="H295" s="132">
        <v>0</v>
      </c>
      <c r="I295" s="132"/>
      <c r="J295" s="132"/>
      <c r="K295" s="132"/>
      <c r="L295" s="132">
        <f t="shared" si="44"/>
        <v>0</v>
      </c>
      <c r="M295" s="132">
        <f t="shared" si="45"/>
        <v>0</v>
      </c>
      <c r="N295" s="133"/>
      <c r="O295" s="133">
        <f t="shared" si="46"/>
        <v>0</v>
      </c>
      <c r="P295" s="134"/>
      <c r="Q295" s="133"/>
      <c r="R295" s="133"/>
      <c r="S295" s="153">
        <v>0</v>
      </c>
      <c r="T295" s="153">
        <v>0</v>
      </c>
      <c r="U295" s="153">
        <v>0</v>
      </c>
      <c r="V295" s="135"/>
      <c r="W295" s="135"/>
      <c r="X295" s="135"/>
      <c r="Y295" s="135"/>
      <c r="Z295" s="135"/>
      <c r="AA295" s="135"/>
      <c r="AB295" s="135"/>
      <c r="AC295" s="135"/>
      <c r="AD295" s="133"/>
      <c r="AE295" s="133"/>
      <c r="AF295" s="132" t="str">
        <f t="shared" si="47"/>
        <v>Нет инфо</v>
      </c>
      <c r="AG295" s="132" t="str">
        <f t="shared" si="48"/>
        <v>Нет инфо</v>
      </c>
      <c r="AH295" s="2"/>
      <c r="AI295" s="136"/>
      <c r="AJ295" s="2"/>
      <c r="AK295" s="136"/>
      <c r="AL295" s="136"/>
      <c r="AM295" s="2"/>
      <c r="AN295" s="2"/>
      <c r="AO295" s="2"/>
      <c r="AP295" s="2"/>
      <c r="AQ295" s="136"/>
    </row>
    <row r="296" spans="1:43" s="115" customFormat="1" ht="12.75" hidden="1" customHeight="1" x14ac:dyDescent="0.2">
      <c r="A296" s="2">
        <v>2325</v>
      </c>
      <c r="B296" s="2"/>
      <c r="C296" s="131"/>
      <c r="D296" s="131"/>
      <c r="E296" s="131"/>
      <c r="F296" s="2"/>
      <c r="G296" s="2"/>
      <c r="H296" s="132">
        <v>0</v>
      </c>
      <c r="I296" s="132"/>
      <c r="J296" s="132"/>
      <c r="K296" s="132"/>
      <c r="L296" s="132">
        <f t="shared" si="44"/>
        <v>0</v>
      </c>
      <c r="M296" s="132">
        <f t="shared" si="45"/>
        <v>0</v>
      </c>
      <c r="N296" s="133"/>
      <c r="O296" s="133">
        <f t="shared" si="46"/>
        <v>0</v>
      </c>
      <c r="P296" s="134"/>
      <c r="Q296" s="133"/>
      <c r="R296" s="133"/>
      <c r="S296" s="153">
        <v>0</v>
      </c>
      <c r="T296" s="153">
        <v>0</v>
      </c>
      <c r="U296" s="153">
        <v>0</v>
      </c>
      <c r="V296" s="135"/>
      <c r="W296" s="135"/>
      <c r="X296" s="135"/>
      <c r="Y296" s="135"/>
      <c r="Z296" s="135"/>
      <c r="AA296" s="135"/>
      <c r="AB296" s="135"/>
      <c r="AC296" s="135"/>
      <c r="AD296" s="133"/>
      <c r="AE296" s="133"/>
      <c r="AF296" s="132" t="str">
        <f t="shared" si="47"/>
        <v>Нет инфо</v>
      </c>
      <c r="AG296" s="132" t="str">
        <f t="shared" si="48"/>
        <v>Нет инфо</v>
      </c>
      <c r="AH296" s="2"/>
      <c r="AI296" s="136"/>
      <c r="AJ296" s="2"/>
      <c r="AK296" s="136"/>
      <c r="AL296" s="136"/>
      <c r="AM296" s="2"/>
      <c r="AN296" s="2"/>
      <c r="AO296" s="2"/>
      <c r="AP296" s="2"/>
      <c r="AQ296" s="136"/>
    </row>
    <row r="297" spans="1:43" s="115" customFormat="1" ht="12.75" hidden="1" customHeight="1" x14ac:dyDescent="0.2">
      <c r="A297" s="2">
        <v>2326</v>
      </c>
      <c r="B297" s="2"/>
      <c r="C297" s="131"/>
      <c r="D297" s="131"/>
      <c r="E297" s="131"/>
      <c r="F297" s="2"/>
      <c r="G297" s="2"/>
      <c r="H297" s="132">
        <v>0</v>
      </c>
      <c r="I297" s="132"/>
      <c r="J297" s="132"/>
      <c r="K297" s="132"/>
      <c r="L297" s="132">
        <f t="shared" si="44"/>
        <v>0</v>
      </c>
      <c r="M297" s="132">
        <f t="shared" si="45"/>
        <v>0</v>
      </c>
      <c r="N297" s="133"/>
      <c r="O297" s="133">
        <f t="shared" si="46"/>
        <v>0</v>
      </c>
      <c r="P297" s="134"/>
      <c r="Q297" s="133"/>
      <c r="R297" s="133"/>
      <c r="S297" s="153">
        <v>0</v>
      </c>
      <c r="T297" s="153">
        <v>0</v>
      </c>
      <c r="U297" s="153">
        <v>0</v>
      </c>
      <c r="V297" s="135"/>
      <c r="W297" s="135"/>
      <c r="X297" s="135"/>
      <c r="Y297" s="135"/>
      <c r="Z297" s="135"/>
      <c r="AA297" s="135"/>
      <c r="AB297" s="135"/>
      <c r="AC297" s="135"/>
      <c r="AD297" s="133"/>
      <c r="AE297" s="133"/>
      <c r="AF297" s="132" t="str">
        <f t="shared" si="47"/>
        <v>Нет инфо</v>
      </c>
      <c r="AG297" s="132" t="str">
        <f t="shared" si="48"/>
        <v>Нет инфо</v>
      </c>
      <c r="AH297" s="2"/>
      <c r="AI297" s="136"/>
      <c r="AJ297" s="2"/>
      <c r="AK297" s="136"/>
      <c r="AL297" s="136"/>
      <c r="AM297" s="2"/>
      <c r="AN297" s="2"/>
      <c r="AO297" s="2"/>
      <c r="AP297" s="2"/>
      <c r="AQ297" s="136"/>
    </row>
    <row r="298" spans="1:43" s="115" customFormat="1" ht="12.75" hidden="1" customHeight="1" x14ac:dyDescent="0.2">
      <c r="A298" s="2">
        <v>2327</v>
      </c>
      <c r="B298" s="2"/>
      <c r="C298" s="131"/>
      <c r="D298" s="131"/>
      <c r="E298" s="131"/>
      <c r="F298" s="2"/>
      <c r="G298" s="2"/>
      <c r="H298" s="132">
        <v>0</v>
      </c>
      <c r="I298" s="132"/>
      <c r="J298" s="132"/>
      <c r="K298" s="132"/>
      <c r="L298" s="132">
        <f t="shared" si="44"/>
        <v>0</v>
      </c>
      <c r="M298" s="132">
        <f t="shared" si="45"/>
        <v>0</v>
      </c>
      <c r="N298" s="133"/>
      <c r="O298" s="133">
        <f t="shared" si="46"/>
        <v>0</v>
      </c>
      <c r="P298" s="134"/>
      <c r="Q298" s="133"/>
      <c r="R298" s="133"/>
      <c r="S298" s="153">
        <v>0</v>
      </c>
      <c r="T298" s="153">
        <v>0</v>
      </c>
      <c r="U298" s="153">
        <v>0</v>
      </c>
      <c r="V298" s="135"/>
      <c r="W298" s="135"/>
      <c r="X298" s="135"/>
      <c r="Y298" s="135"/>
      <c r="Z298" s="135"/>
      <c r="AA298" s="135"/>
      <c r="AB298" s="135"/>
      <c r="AC298" s="135"/>
      <c r="AD298" s="133"/>
      <c r="AE298" s="133"/>
      <c r="AF298" s="132" t="str">
        <f t="shared" si="47"/>
        <v>Нет инфо</v>
      </c>
      <c r="AG298" s="132" t="str">
        <f t="shared" si="48"/>
        <v>Нет инфо</v>
      </c>
      <c r="AH298" s="2"/>
      <c r="AI298" s="136"/>
      <c r="AJ298" s="2"/>
      <c r="AK298" s="136"/>
      <c r="AL298" s="136"/>
      <c r="AM298" s="2"/>
      <c r="AN298" s="2"/>
      <c r="AO298" s="2"/>
      <c r="AP298" s="2"/>
      <c r="AQ298" s="136"/>
    </row>
    <row r="299" spans="1:43" s="115" customFormat="1" ht="12.75" hidden="1" customHeight="1" x14ac:dyDescent="0.2">
      <c r="A299" s="2">
        <v>2328</v>
      </c>
      <c r="B299" s="2"/>
      <c r="C299" s="131"/>
      <c r="D299" s="131"/>
      <c r="E299" s="131"/>
      <c r="F299" s="2"/>
      <c r="G299" s="2"/>
      <c r="H299" s="132">
        <v>0</v>
      </c>
      <c r="I299" s="132"/>
      <c r="J299" s="132"/>
      <c r="K299" s="132"/>
      <c r="L299" s="132">
        <f t="shared" si="44"/>
        <v>0</v>
      </c>
      <c r="M299" s="132">
        <f t="shared" si="45"/>
        <v>0</v>
      </c>
      <c r="N299" s="133"/>
      <c r="O299" s="133">
        <f t="shared" si="46"/>
        <v>0</v>
      </c>
      <c r="P299" s="134"/>
      <c r="Q299" s="133"/>
      <c r="R299" s="133"/>
      <c r="S299" s="153">
        <v>0</v>
      </c>
      <c r="T299" s="153">
        <v>0</v>
      </c>
      <c r="U299" s="153">
        <v>0</v>
      </c>
      <c r="V299" s="135"/>
      <c r="W299" s="135"/>
      <c r="X299" s="135"/>
      <c r="Y299" s="135"/>
      <c r="Z299" s="135"/>
      <c r="AA299" s="135"/>
      <c r="AB299" s="135"/>
      <c r="AC299" s="135"/>
      <c r="AD299" s="133"/>
      <c r="AE299" s="133"/>
      <c r="AF299" s="132" t="str">
        <f t="shared" si="47"/>
        <v>Нет инфо</v>
      </c>
      <c r="AG299" s="132" t="str">
        <f t="shared" si="48"/>
        <v>Нет инфо</v>
      </c>
      <c r="AH299" s="2"/>
      <c r="AI299" s="136"/>
      <c r="AJ299" s="2"/>
      <c r="AK299" s="136"/>
      <c r="AL299" s="136"/>
      <c r="AM299" s="2"/>
      <c r="AN299" s="2"/>
      <c r="AO299" s="2"/>
      <c r="AP299" s="2"/>
      <c r="AQ299" s="136"/>
    </row>
    <row r="300" spans="1:43" s="115" customFormat="1" ht="12.75" hidden="1" customHeight="1" x14ac:dyDescent="0.2">
      <c r="A300" s="2">
        <v>2329</v>
      </c>
      <c r="B300" s="2"/>
      <c r="C300" s="131"/>
      <c r="D300" s="131"/>
      <c r="E300" s="131"/>
      <c r="F300" s="2"/>
      <c r="G300" s="2"/>
      <c r="H300" s="132">
        <v>0</v>
      </c>
      <c r="I300" s="132"/>
      <c r="J300" s="132"/>
      <c r="K300" s="132"/>
      <c r="L300" s="132">
        <f t="shared" si="44"/>
        <v>0</v>
      </c>
      <c r="M300" s="132">
        <f t="shared" si="45"/>
        <v>0</v>
      </c>
      <c r="N300" s="133"/>
      <c r="O300" s="133">
        <f t="shared" si="46"/>
        <v>0</v>
      </c>
      <c r="P300" s="134"/>
      <c r="Q300" s="133"/>
      <c r="R300" s="133"/>
      <c r="S300" s="153">
        <v>0</v>
      </c>
      <c r="T300" s="153">
        <v>0</v>
      </c>
      <c r="U300" s="153">
        <v>0</v>
      </c>
      <c r="V300" s="135"/>
      <c r="W300" s="135"/>
      <c r="X300" s="135"/>
      <c r="Y300" s="135"/>
      <c r="Z300" s="135"/>
      <c r="AA300" s="135"/>
      <c r="AB300" s="135"/>
      <c r="AC300" s="135"/>
      <c r="AD300" s="133"/>
      <c r="AE300" s="133"/>
      <c r="AF300" s="132" t="str">
        <f t="shared" si="47"/>
        <v>Нет инфо</v>
      </c>
      <c r="AG300" s="132" t="str">
        <f t="shared" si="48"/>
        <v>Нет инфо</v>
      </c>
      <c r="AH300" s="2"/>
      <c r="AI300" s="136"/>
      <c r="AJ300" s="2"/>
      <c r="AK300" s="136"/>
      <c r="AL300" s="136"/>
      <c r="AM300" s="2"/>
      <c r="AN300" s="2"/>
      <c r="AO300" s="2"/>
      <c r="AP300" s="2"/>
      <c r="AQ300" s="136"/>
    </row>
    <row r="301" spans="1:43" s="115" customFormat="1" ht="12.75" hidden="1" customHeight="1" x14ac:dyDescent="0.2">
      <c r="A301" s="2">
        <v>2330</v>
      </c>
      <c r="B301" s="2"/>
      <c r="C301" s="131"/>
      <c r="D301" s="131"/>
      <c r="E301" s="131"/>
      <c r="F301" s="2"/>
      <c r="G301" s="2"/>
      <c r="H301" s="132">
        <v>0</v>
      </c>
      <c r="I301" s="132"/>
      <c r="J301" s="132"/>
      <c r="K301" s="132"/>
      <c r="L301" s="132">
        <f t="shared" si="44"/>
        <v>0</v>
      </c>
      <c r="M301" s="132">
        <f t="shared" si="45"/>
        <v>0</v>
      </c>
      <c r="N301" s="133"/>
      <c r="O301" s="133">
        <f t="shared" si="46"/>
        <v>0</v>
      </c>
      <c r="P301" s="134"/>
      <c r="Q301" s="133"/>
      <c r="R301" s="133"/>
      <c r="S301" s="153">
        <v>0</v>
      </c>
      <c r="T301" s="153">
        <v>0</v>
      </c>
      <c r="U301" s="153">
        <v>0</v>
      </c>
      <c r="V301" s="135"/>
      <c r="W301" s="135"/>
      <c r="X301" s="135"/>
      <c r="Y301" s="135"/>
      <c r="Z301" s="135"/>
      <c r="AA301" s="135"/>
      <c r="AB301" s="135"/>
      <c r="AC301" s="135"/>
      <c r="AD301" s="133"/>
      <c r="AE301" s="133"/>
      <c r="AF301" s="132" t="str">
        <f t="shared" si="47"/>
        <v>Нет инфо</v>
      </c>
      <c r="AG301" s="132" t="str">
        <f t="shared" si="48"/>
        <v>Нет инфо</v>
      </c>
      <c r="AH301" s="2"/>
      <c r="AI301" s="136"/>
      <c r="AJ301" s="2"/>
      <c r="AK301" s="136"/>
      <c r="AL301" s="136"/>
      <c r="AM301" s="2"/>
      <c r="AN301" s="2"/>
      <c r="AO301" s="2"/>
      <c r="AP301" s="2"/>
      <c r="AQ301" s="136"/>
    </row>
    <row r="302" spans="1:43" s="115" customFormat="1" ht="12.75" hidden="1" customHeight="1" x14ac:dyDescent="0.2">
      <c r="A302" s="2">
        <v>2331</v>
      </c>
      <c r="B302" s="2"/>
      <c r="C302" s="131"/>
      <c r="D302" s="131"/>
      <c r="E302" s="131"/>
      <c r="F302" s="2"/>
      <c r="G302" s="2"/>
      <c r="H302" s="132">
        <v>0</v>
      </c>
      <c r="I302" s="132"/>
      <c r="J302" s="132"/>
      <c r="K302" s="132"/>
      <c r="L302" s="132">
        <f t="shared" si="44"/>
        <v>0</v>
      </c>
      <c r="M302" s="132">
        <f t="shared" si="45"/>
        <v>0</v>
      </c>
      <c r="N302" s="133"/>
      <c r="O302" s="133">
        <f t="shared" si="46"/>
        <v>0</v>
      </c>
      <c r="P302" s="134"/>
      <c r="Q302" s="133"/>
      <c r="R302" s="133"/>
      <c r="S302" s="153">
        <v>0</v>
      </c>
      <c r="T302" s="153">
        <v>0</v>
      </c>
      <c r="U302" s="153">
        <v>0</v>
      </c>
      <c r="V302" s="135"/>
      <c r="W302" s="135"/>
      <c r="X302" s="135"/>
      <c r="Y302" s="135"/>
      <c r="Z302" s="135"/>
      <c r="AA302" s="135"/>
      <c r="AB302" s="135"/>
      <c r="AC302" s="135"/>
      <c r="AD302" s="133"/>
      <c r="AE302" s="133"/>
      <c r="AF302" s="132" t="str">
        <f t="shared" si="47"/>
        <v>Нет инфо</v>
      </c>
      <c r="AG302" s="132" t="str">
        <f t="shared" si="48"/>
        <v>Нет инфо</v>
      </c>
      <c r="AH302" s="2"/>
      <c r="AI302" s="136"/>
      <c r="AJ302" s="2"/>
      <c r="AK302" s="136"/>
      <c r="AL302" s="136"/>
      <c r="AM302" s="2"/>
      <c r="AN302" s="2"/>
      <c r="AO302" s="2"/>
      <c r="AP302" s="2"/>
      <c r="AQ302" s="136"/>
    </row>
    <row r="303" spans="1:43" s="115" customFormat="1" ht="12.75" hidden="1" customHeight="1" x14ac:dyDescent="0.2">
      <c r="A303" s="2">
        <v>2332</v>
      </c>
      <c r="B303" s="2"/>
      <c r="C303" s="131"/>
      <c r="D303" s="131"/>
      <c r="E303" s="131"/>
      <c r="F303" s="2"/>
      <c r="G303" s="2"/>
      <c r="H303" s="132">
        <v>0</v>
      </c>
      <c r="I303" s="132"/>
      <c r="J303" s="132"/>
      <c r="K303" s="132"/>
      <c r="L303" s="132">
        <f t="shared" si="44"/>
        <v>0</v>
      </c>
      <c r="M303" s="132">
        <f t="shared" si="45"/>
        <v>0</v>
      </c>
      <c r="N303" s="133"/>
      <c r="O303" s="133">
        <f t="shared" si="46"/>
        <v>0</v>
      </c>
      <c r="P303" s="134"/>
      <c r="Q303" s="133"/>
      <c r="R303" s="133"/>
      <c r="S303" s="153">
        <v>0</v>
      </c>
      <c r="T303" s="153">
        <v>0</v>
      </c>
      <c r="U303" s="153">
        <v>0</v>
      </c>
      <c r="V303" s="135"/>
      <c r="W303" s="135"/>
      <c r="X303" s="135"/>
      <c r="Y303" s="135"/>
      <c r="Z303" s="135"/>
      <c r="AA303" s="135"/>
      <c r="AB303" s="135"/>
      <c r="AC303" s="135"/>
      <c r="AD303" s="133"/>
      <c r="AE303" s="133"/>
      <c r="AF303" s="132" t="str">
        <f t="shared" si="47"/>
        <v>Нет инфо</v>
      </c>
      <c r="AG303" s="132" t="str">
        <f t="shared" si="48"/>
        <v>Нет инфо</v>
      </c>
      <c r="AH303" s="2"/>
      <c r="AI303" s="136"/>
      <c r="AJ303" s="2"/>
      <c r="AK303" s="136"/>
      <c r="AL303" s="136"/>
      <c r="AM303" s="2"/>
      <c r="AN303" s="2"/>
      <c r="AO303" s="2"/>
      <c r="AP303" s="2"/>
      <c r="AQ303" s="136"/>
    </row>
    <row r="304" spans="1:43" s="115" customFormat="1" ht="12.75" hidden="1" customHeight="1" x14ac:dyDescent="0.2">
      <c r="A304" s="2">
        <v>2333</v>
      </c>
      <c r="B304" s="2"/>
      <c r="C304" s="131"/>
      <c r="D304" s="131"/>
      <c r="E304" s="131"/>
      <c r="F304" s="2"/>
      <c r="G304" s="2"/>
      <c r="H304" s="132">
        <v>0</v>
      </c>
      <c r="I304" s="132"/>
      <c r="J304" s="132"/>
      <c r="K304" s="132"/>
      <c r="L304" s="132">
        <f t="shared" si="44"/>
        <v>0</v>
      </c>
      <c r="M304" s="132">
        <f t="shared" si="45"/>
        <v>0</v>
      </c>
      <c r="N304" s="133"/>
      <c r="O304" s="133">
        <f t="shared" si="46"/>
        <v>0</v>
      </c>
      <c r="P304" s="134"/>
      <c r="Q304" s="133"/>
      <c r="R304" s="133"/>
      <c r="S304" s="153">
        <v>0</v>
      </c>
      <c r="T304" s="153">
        <v>0</v>
      </c>
      <c r="U304" s="153">
        <v>0</v>
      </c>
      <c r="V304" s="135"/>
      <c r="W304" s="135"/>
      <c r="X304" s="135"/>
      <c r="Y304" s="135"/>
      <c r="Z304" s="135"/>
      <c r="AA304" s="135"/>
      <c r="AB304" s="135"/>
      <c r="AC304" s="135"/>
      <c r="AD304" s="133"/>
      <c r="AE304" s="133"/>
      <c r="AF304" s="132" t="str">
        <f t="shared" si="47"/>
        <v>Нет инфо</v>
      </c>
      <c r="AG304" s="132" t="str">
        <f t="shared" si="48"/>
        <v>Нет инфо</v>
      </c>
      <c r="AH304" s="2"/>
      <c r="AI304" s="136"/>
      <c r="AJ304" s="2"/>
      <c r="AK304" s="136"/>
      <c r="AL304" s="136"/>
      <c r="AM304" s="2"/>
      <c r="AN304" s="2"/>
      <c r="AO304" s="2"/>
      <c r="AP304" s="2"/>
      <c r="AQ304" s="136"/>
    </row>
    <row r="305" spans="1:43" s="115" customFormat="1" ht="12.75" hidden="1" customHeight="1" x14ac:dyDescent="0.2">
      <c r="A305" s="2">
        <v>2334</v>
      </c>
      <c r="B305" s="2"/>
      <c r="C305" s="131"/>
      <c r="D305" s="131"/>
      <c r="E305" s="131"/>
      <c r="F305" s="2"/>
      <c r="G305" s="2"/>
      <c r="H305" s="132">
        <v>0</v>
      </c>
      <c r="I305" s="132"/>
      <c r="J305" s="132"/>
      <c r="K305" s="132"/>
      <c r="L305" s="132">
        <f t="shared" si="44"/>
        <v>0</v>
      </c>
      <c r="M305" s="132">
        <f t="shared" si="45"/>
        <v>0</v>
      </c>
      <c r="N305" s="133"/>
      <c r="O305" s="133">
        <f t="shared" si="46"/>
        <v>0</v>
      </c>
      <c r="P305" s="134"/>
      <c r="Q305" s="133"/>
      <c r="R305" s="133"/>
      <c r="S305" s="153">
        <v>0</v>
      </c>
      <c r="T305" s="153">
        <v>0</v>
      </c>
      <c r="U305" s="153">
        <v>0</v>
      </c>
      <c r="V305" s="135"/>
      <c r="W305" s="135"/>
      <c r="X305" s="135"/>
      <c r="Y305" s="135"/>
      <c r="Z305" s="135"/>
      <c r="AA305" s="135"/>
      <c r="AB305" s="135"/>
      <c r="AC305" s="135"/>
      <c r="AD305" s="133"/>
      <c r="AE305" s="133"/>
      <c r="AF305" s="132" t="str">
        <f t="shared" si="47"/>
        <v>Нет инфо</v>
      </c>
      <c r="AG305" s="132" t="str">
        <f t="shared" si="48"/>
        <v>Нет инфо</v>
      </c>
      <c r="AH305" s="2"/>
      <c r="AI305" s="136"/>
      <c r="AJ305" s="2"/>
      <c r="AK305" s="136"/>
      <c r="AL305" s="136"/>
      <c r="AM305" s="2"/>
      <c r="AN305" s="2"/>
      <c r="AO305" s="2"/>
      <c r="AP305" s="2"/>
      <c r="AQ305" s="136"/>
    </row>
    <row r="306" spans="1:43" s="115" customFormat="1" ht="12.75" hidden="1" customHeight="1" x14ac:dyDescent="0.2">
      <c r="A306" s="2">
        <v>2335</v>
      </c>
      <c r="B306" s="2"/>
      <c r="C306" s="131"/>
      <c r="D306" s="131"/>
      <c r="E306" s="131"/>
      <c r="F306" s="2"/>
      <c r="G306" s="2"/>
      <c r="H306" s="132">
        <v>0</v>
      </c>
      <c r="I306" s="132"/>
      <c r="J306" s="132"/>
      <c r="K306" s="132"/>
      <c r="L306" s="132">
        <f t="shared" si="44"/>
        <v>0</v>
      </c>
      <c r="M306" s="132">
        <f t="shared" si="45"/>
        <v>0</v>
      </c>
      <c r="N306" s="133"/>
      <c r="O306" s="133">
        <f t="shared" si="46"/>
        <v>0</v>
      </c>
      <c r="P306" s="134"/>
      <c r="Q306" s="133"/>
      <c r="R306" s="133"/>
      <c r="S306" s="153">
        <v>0</v>
      </c>
      <c r="T306" s="153">
        <v>0</v>
      </c>
      <c r="U306" s="153">
        <v>0</v>
      </c>
      <c r="V306" s="135"/>
      <c r="W306" s="135"/>
      <c r="X306" s="135"/>
      <c r="Y306" s="135"/>
      <c r="Z306" s="135"/>
      <c r="AA306" s="135"/>
      <c r="AB306" s="135"/>
      <c r="AC306" s="135"/>
      <c r="AD306" s="133"/>
      <c r="AE306" s="133"/>
      <c r="AF306" s="132" t="str">
        <f t="shared" si="47"/>
        <v>Нет инфо</v>
      </c>
      <c r="AG306" s="132" t="str">
        <f t="shared" si="48"/>
        <v>Нет инфо</v>
      </c>
      <c r="AH306" s="2"/>
      <c r="AI306" s="136"/>
      <c r="AJ306" s="2"/>
      <c r="AK306" s="136"/>
      <c r="AL306" s="136"/>
      <c r="AM306" s="2"/>
      <c r="AN306" s="2"/>
      <c r="AO306" s="2"/>
      <c r="AP306" s="2"/>
      <c r="AQ306" s="136"/>
    </row>
    <row r="307" spans="1:43" s="115" customFormat="1" ht="12.75" hidden="1" customHeight="1" x14ac:dyDescent="0.2">
      <c r="A307" s="2">
        <v>2336</v>
      </c>
      <c r="B307" s="2"/>
      <c r="C307" s="131"/>
      <c r="D307" s="131"/>
      <c r="E307" s="131"/>
      <c r="F307" s="2"/>
      <c r="G307" s="2"/>
      <c r="H307" s="132">
        <v>0</v>
      </c>
      <c r="I307" s="132"/>
      <c r="J307" s="132"/>
      <c r="K307" s="132"/>
      <c r="L307" s="132">
        <f t="shared" si="44"/>
        <v>0</v>
      </c>
      <c r="M307" s="132">
        <f t="shared" si="45"/>
        <v>0</v>
      </c>
      <c r="N307" s="133"/>
      <c r="O307" s="133">
        <f t="shared" si="46"/>
        <v>0</v>
      </c>
      <c r="P307" s="134"/>
      <c r="Q307" s="133"/>
      <c r="R307" s="133"/>
      <c r="S307" s="153">
        <v>0</v>
      </c>
      <c r="T307" s="153">
        <v>0</v>
      </c>
      <c r="U307" s="153">
        <v>0</v>
      </c>
      <c r="V307" s="135"/>
      <c r="W307" s="135"/>
      <c r="X307" s="135"/>
      <c r="Y307" s="135"/>
      <c r="Z307" s="135"/>
      <c r="AA307" s="135"/>
      <c r="AB307" s="135"/>
      <c r="AC307" s="135"/>
      <c r="AD307" s="133"/>
      <c r="AE307" s="133"/>
      <c r="AF307" s="132" t="str">
        <f t="shared" si="47"/>
        <v>Нет инфо</v>
      </c>
      <c r="AG307" s="132" t="str">
        <f t="shared" si="48"/>
        <v>Нет инфо</v>
      </c>
      <c r="AH307" s="2"/>
      <c r="AI307" s="136"/>
      <c r="AJ307" s="2"/>
      <c r="AK307" s="136"/>
      <c r="AL307" s="136"/>
      <c r="AM307" s="2"/>
      <c r="AN307" s="2"/>
      <c r="AO307" s="2"/>
      <c r="AP307" s="2"/>
      <c r="AQ307" s="136"/>
    </row>
    <row r="308" spans="1:43" s="115" customFormat="1" ht="12.75" hidden="1" customHeight="1" x14ac:dyDescent="0.2">
      <c r="A308" s="2">
        <v>2337</v>
      </c>
      <c r="B308" s="2"/>
      <c r="C308" s="131"/>
      <c r="D308" s="131"/>
      <c r="E308" s="131"/>
      <c r="F308" s="2"/>
      <c r="G308" s="2"/>
      <c r="H308" s="132">
        <v>0</v>
      </c>
      <c r="I308" s="132"/>
      <c r="J308" s="132"/>
      <c r="K308" s="132"/>
      <c r="L308" s="132">
        <f t="shared" si="44"/>
        <v>0</v>
      </c>
      <c r="M308" s="132">
        <f t="shared" si="45"/>
        <v>0</v>
      </c>
      <c r="N308" s="133"/>
      <c r="O308" s="133">
        <f t="shared" si="46"/>
        <v>0</v>
      </c>
      <c r="P308" s="134"/>
      <c r="Q308" s="133"/>
      <c r="R308" s="133"/>
      <c r="S308" s="153">
        <v>0</v>
      </c>
      <c r="T308" s="153">
        <v>0</v>
      </c>
      <c r="U308" s="153">
        <v>0</v>
      </c>
      <c r="V308" s="135"/>
      <c r="W308" s="135"/>
      <c r="X308" s="135"/>
      <c r="Y308" s="135"/>
      <c r="Z308" s="135"/>
      <c r="AA308" s="135"/>
      <c r="AB308" s="135"/>
      <c r="AC308" s="135"/>
      <c r="AD308" s="133"/>
      <c r="AE308" s="133"/>
      <c r="AF308" s="132" t="str">
        <f t="shared" si="47"/>
        <v>Нет инфо</v>
      </c>
      <c r="AG308" s="132" t="str">
        <f t="shared" si="48"/>
        <v>Нет инфо</v>
      </c>
      <c r="AH308" s="2"/>
      <c r="AI308" s="136"/>
      <c r="AJ308" s="2"/>
      <c r="AK308" s="136"/>
      <c r="AL308" s="136"/>
      <c r="AM308" s="2"/>
      <c r="AN308" s="2"/>
      <c r="AO308" s="2"/>
      <c r="AP308" s="2"/>
      <c r="AQ308" s="136"/>
    </row>
    <row r="309" spans="1:43" s="115" customFormat="1" ht="12.75" hidden="1" customHeight="1" x14ac:dyDescent="0.2">
      <c r="A309" s="2">
        <v>2338</v>
      </c>
      <c r="B309" s="2"/>
      <c r="C309" s="131"/>
      <c r="D309" s="131"/>
      <c r="E309" s="131"/>
      <c r="F309" s="2"/>
      <c r="G309" s="2"/>
      <c r="H309" s="132">
        <v>0</v>
      </c>
      <c r="I309" s="132"/>
      <c r="J309" s="132"/>
      <c r="K309" s="132"/>
      <c r="L309" s="132">
        <f t="shared" si="44"/>
        <v>0</v>
      </c>
      <c r="M309" s="132">
        <f t="shared" si="45"/>
        <v>0</v>
      </c>
      <c r="N309" s="133"/>
      <c r="O309" s="133">
        <f t="shared" si="46"/>
        <v>0</v>
      </c>
      <c r="P309" s="134"/>
      <c r="Q309" s="133"/>
      <c r="R309" s="133"/>
      <c r="S309" s="153">
        <v>0</v>
      </c>
      <c r="T309" s="153">
        <v>0</v>
      </c>
      <c r="U309" s="153">
        <v>0</v>
      </c>
      <c r="V309" s="135"/>
      <c r="W309" s="135"/>
      <c r="X309" s="135"/>
      <c r="Y309" s="135"/>
      <c r="Z309" s="135"/>
      <c r="AA309" s="135"/>
      <c r="AB309" s="135"/>
      <c r="AC309" s="135"/>
      <c r="AD309" s="133"/>
      <c r="AE309" s="133"/>
      <c r="AF309" s="132" t="str">
        <f t="shared" si="47"/>
        <v>Нет инфо</v>
      </c>
      <c r="AG309" s="132" t="str">
        <f t="shared" si="48"/>
        <v>Нет инфо</v>
      </c>
      <c r="AH309" s="2"/>
      <c r="AI309" s="136"/>
      <c r="AJ309" s="2"/>
      <c r="AK309" s="136"/>
      <c r="AL309" s="136"/>
      <c r="AM309" s="2"/>
      <c r="AN309" s="2"/>
      <c r="AO309" s="2"/>
      <c r="AP309" s="2"/>
      <c r="AQ309" s="136"/>
    </row>
    <row r="310" spans="1:43" s="115" customFormat="1" ht="12.75" hidden="1" customHeight="1" x14ac:dyDescent="0.2">
      <c r="A310" s="2">
        <v>2339</v>
      </c>
      <c r="B310" s="2"/>
      <c r="C310" s="131"/>
      <c r="D310" s="131"/>
      <c r="E310" s="131"/>
      <c r="F310" s="2"/>
      <c r="G310" s="2"/>
      <c r="H310" s="132">
        <v>0</v>
      </c>
      <c r="I310" s="132"/>
      <c r="J310" s="132"/>
      <c r="K310" s="132"/>
      <c r="L310" s="132">
        <f t="shared" si="44"/>
        <v>0</v>
      </c>
      <c r="M310" s="132">
        <f t="shared" si="45"/>
        <v>0</v>
      </c>
      <c r="N310" s="133"/>
      <c r="O310" s="133">
        <f t="shared" si="46"/>
        <v>0</v>
      </c>
      <c r="P310" s="134"/>
      <c r="Q310" s="133"/>
      <c r="R310" s="133"/>
      <c r="S310" s="153">
        <v>0</v>
      </c>
      <c r="T310" s="153">
        <v>0</v>
      </c>
      <c r="U310" s="153">
        <v>0</v>
      </c>
      <c r="V310" s="135"/>
      <c r="W310" s="135"/>
      <c r="X310" s="135"/>
      <c r="Y310" s="135"/>
      <c r="Z310" s="135"/>
      <c r="AA310" s="135"/>
      <c r="AB310" s="135"/>
      <c r="AC310" s="135"/>
      <c r="AD310" s="133"/>
      <c r="AE310" s="133"/>
      <c r="AF310" s="132" t="str">
        <f t="shared" si="47"/>
        <v>Нет инфо</v>
      </c>
      <c r="AG310" s="132" t="str">
        <f t="shared" si="48"/>
        <v>Нет инфо</v>
      </c>
      <c r="AH310" s="2"/>
      <c r="AI310" s="136"/>
      <c r="AJ310" s="2"/>
      <c r="AK310" s="136"/>
      <c r="AL310" s="136"/>
      <c r="AM310" s="2"/>
      <c r="AN310" s="2"/>
      <c r="AO310" s="2"/>
      <c r="AP310" s="2"/>
      <c r="AQ310" s="136"/>
    </row>
    <row r="311" spans="1:43" s="115" customFormat="1" ht="12.75" hidden="1" customHeight="1" x14ac:dyDescent="0.2">
      <c r="A311" s="2">
        <v>2340</v>
      </c>
      <c r="B311" s="2"/>
      <c r="C311" s="131"/>
      <c r="D311" s="131"/>
      <c r="E311" s="131"/>
      <c r="F311" s="2"/>
      <c r="G311" s="2"/>
      <c r="H311" s="132">
        <v>0</v>
      </c>
      <c r="I311" s="132"/>
      <c r="J311" s="132"/>
      <c r="K311" s="132"/>
      <c r="L311" s="132">
        <f t="shared" si="44"/>
        <v>0</v>
      </c>
      <c r="M311" s="132">
        <f t="shared" si="45"/>
        <v>0</v>
      </c>
      <c r="N311" s="133"/>
      <c r="O311" s="133">
        <f t="shared" si="46"/>
        <v>0</v>
      </c>
      <c r="P311" s="134"/>
      <c r="Q311" s="133"/>
      <c r="R311" s="133"/>
      <c r="S311" s="153">
        <v>0</v>
      </c>
      <c r="T311" s="153">
        <v>0</v>
      </c>
      <c r="U311" s="153">
        <v>0</v>
      </c>
      <c r="V311" s="135"/>
      <c r="W311" s="135"/>
      <c r="X311" s="135"/>
      <c r="Y311" s="135"/>
      <c r="Z311" s="135"/>
      <c r="AA311" s="135"/>
      <c r="AB311" s="135"/>
      <c r="AC311" s="135"/>
      <c r="AD311" s="133"/>
      <c r="AE311" s="133"/>
      <c r="AF311" s="132" t="str">
        <f t="shared" si="47"/>
        <v>Нет инфо</v>
      </c>
      <c r="AG311" s="132" t="str">
        <f t="shared" si="48"/>
        <v>Нет инфо</v>
      </c>
      <c r="AH311" s="2"/>
      <c r="AI311" s="136"/>
      <c r="AJ311" s="2"/>
      <c r="AK311" s="136"/>
      <c r="AL311" s="136"/>
      <c r="AM311" s="2"/>
      <c r="AN311" s="2"/>
      <c r="AO311" s="2"/>
      <c r="AP311" s="2"/>
      <c r="AQ311" s="136"/>
    </row>
    <row r="312" spans="1:43" s="115" customFormat="1" ht="12.75" hidden="1" customHeight="1" x14ac:dyDescent="0.2">
      <c r="A312" s="2">
        <v>2341</v>
      </c>
      <c r="B312" s="2"/>
      <c r="C312" s="131"/>
      <c r="D312" s="131"/>
      <c r="E312" s="131"/>
      <c r="F312" s="2"/>
      <c r="G312" s="2"/>
      <c r="H312" s="132">
        <v>0</v>
      </c>
      <c r="I312" s="132"/>
      <c r="J312" s="132"/>
      <c r="K312" s="132"/>
      <c r="L312" s="132">
        <f t="shared" si="44"/>
        <v>0</v>
      </c>
      <c r="M312" s="132">
        <f t="shared" si="45"/>
        <v>0</v>
      </c>
      <c r="N312" s="133"/>
      <c r="O312" s="133">
        <f t="shared" si="46"/>
        <v>0</v>
      </c>
      <c r="P312" s="134"/>
      <c r="Q312" s="133"/>
      <c r="R312" s="133"/>
      <c r="S312" s="153">
        <v>0</v>
      </c>
      <c r="T312" s="153">
        <v>0</v>
      </c>
      <c r="U312" s="153">
        <v>0</v>
      </c>
      <c r="V312" s="135"/>
      <c r="W312" s="135"/>
      <c r="X312" s="135"/>
      <c r="Y312" s="135"/>
      <c r="Z312" s="135"/>
      <c r="AA312" s="135"/>
      <c r="AB312" s="135"/>
      <c r="AC312" s="135"/>
      <c r="AD312" s="133"/>
      <c r="AE312" s="133"/>
      <c r="AF312" s="132" t="str">
        <f t="shared" si="47"/>
        <v>Нет инфо</v>
      </c>
      <c r="AG312" s="132" t="str">
        <f t="shared" si="48"/>
        <v>Нет инфо</v>
      </c>
      <c r="AH312" s="2"/>
      <c r="AI312" s="136"/>
      <c r="AJ312" s="2"/>
      <c r="AK312" s="136"/>
      <c r="AL312" s="136"/>
      <c r="AM312" s="2"/>
      <c r="AN312" s="2"/>
      <c r="AO312" s="2"/>
      <c r="AP312" s="2"/>
      <c r="AQ312" s="136"/>
    </row>
    <row r="313" spans="1:43" s="115" customFormat="1" ht="12.75" hidden="1" customHeight="1" x14ac:dyDescent="0.2">
      <c r="A313" s="2">
        <v>2342</v>
      </c>
      <c r="B313" s="2"/>
      <c r="C313" s="131"/>
      <c r="D313" s="131"/>
      <c r="E313" s="131"/>
      <c r="F313" s="2"/>
      <c r="G313" s="2"/>
      <c r="H313" s="132">
        <v>0</v>
      </c>
      <c r="I313" s="132"/>
      <c r="J313" s="132"/>
      <c r="K313" s="132"/>
      <c r="L313" s="132">
        <f t="shared" si="44"/>
        <v>0</v>
      </c>
      <c r="M313" s="132">
        <f t="shared" si="45"/>
        <v>0</v>
      </c>
      <c r="N313" s="133"/>
      <c r="O313" s="133">
        <f t="shared" si="46"/>
        <v>0</v>
      </c>
      <c r="P313" s="134"/>
      <c r="Q313" s="133"/>
      <c r="R313" s="133"/>
      <c r="S313" s="153">
        <v>0</v>
      </c>
      <c r="T313" s="153">
        <v>0</v>
      </c>
      <c r="U313" s="153">
        <v>0</v>
      </c>
      <c r="V313" s="135"/>
      <c r="W313" s="135"/>
      <c r="X313" s="135"/>
      <c r="Y313" s="135"/>
      <c r="Z313" s="135"/>
      <c r="AA313" s="135"/>
      <c r="AB313" s="135"/>
      <c r="AC313" s="135"/>
      <c r="AD313" s="133"/>
      <c r="AE313" s="133"/>
      <c r="AF313" s="132" t="str">
        <f t="shared" si="47"/>
        <v>Нет инфо</v>
      </c>
      <c r="AG313" s="132" t="str">
        <f t="shared" si="48"/>
        <v>Нет инфо</v>
      </c>
      <c r="AH313" s="2"/>
      <c r="AI313" s="136"/>
      <c r="AJ313" s="2"/>
      <c r="AK313" s="136"/>
      <c r="AL313" s="136"/>
      <c r="AM313" s="2"/>
      <c r="AN313" s="2"/>
      <c r="AO313" s="2"/>
      <c r="AP313" s="2"/>
      <c r="AQ313" s="136"/>
    </row>
    <row r="314" spans="1:43" s="115" customFormat="1" ht="12.75" hidden="1" customHeight="1" x14ac:dyDescent="0.2">
      <c r="A314" s="2">
        <v>2343</v>
      </c>
      <c r="B314" s="2"/>
      <c r="C314" s="131"/>
      <c r="D314" s="131"/>
      <c r="E314" s="131"/>
      <c r="F314" s="2"/>
      <c r="G314" s="2"/>
      <c r="H314" s="132">
        <v>0</v>
      </c>
      <c r="I314" s="132"/>
      <c r="J314" s="132"/>
      <c r="K314" s="132"/>
      <c r="L314" s="132">
        <f t="shared" si="44"/>
        <v>0</v>
      </c>
      <c r="M314" s="132">
        <f t="shared" si="45"/>
        <v>0</v>
      </c>
      <c r="N314" s="133"/>
      <c r="O314" s="133">
        <f t="shared" si="46"/>
        <v>0</v>
      </c>
      <c r="P314" s="134"/>
      <c r="Q314" s="133"/>
      <c r="R314" s="133"/>
      <c r="S314" s="153">
        <v>0</v>
      </c>
      <c r="T314" s="153">
        <v>0</v>
      </c>
      <c r="U314" s="153">
        <v>0</v>
      </c>
      <c r="V314" s="135"/>
      <c r="W314" s="135"/>
      <c r="X314" s="135"/>
      <c r="Y314" s="135"/>
      <c r="Z314" s="135"/>
      <c r="AA314" s="135"/>
      <c r="AB314" s="135"/>
      <c r="AC314" s="135"/>
      <c r="AD314" s="133"/>
      <c r="AE314" s="133"/>
      <c r="AF314" s="132" t="str">
        <f t="shared" si="47"/>
        <v>Нет инфо</v>
      </c>
      <c r="AG314" s="132" t="str">
        <f t="shared" si="48"/>
        <v>Нет инфо</v>
      </c>
      <c r="AH314" s="2"/>
      <c r="AI314" s="136"/>
      <c r="AJ314" s="2"/>
      <c r="AK314" s="136"/>
      <c r="AL314" s="136"/>
      <c r="AM314" s="2"/>
      <c r="AN314" s="2"/>
      <c r="AO314" s="2"/>
      <c r="AP314" s="2"/>
      <c r="AQ314" s="136"/>
    </row>
    <row r="315" spans="1:43" s="115" customFormat="1" ht="12.75" hidden="1" customHeight="1" x14ac:dyDescent="0.2">
      <c r="A315" s="2">
        <v>2344</v>
      </c>
      <c r="B315" s="2"/>
      <c r="C315" s="131"/>
      <c r="D315" s="131"/>
      <c r="E315" s="131"/>
      <c r="F315" s="2"/>
      <c r="G315" s="2"/>
      <c r="H315" s="132">
        <v>0</v>
      </c>
      <c r="I315" s="132"/>
      <c r="J315" s="132"/>
      <c r="K315" s="132"/>
      <c r="L315" s="132">
        <f t="shared" si="44"/>
        <v>0</v>
      </c>
      <c r="M315" s="132">
        <f t="shared" si="45"/>
        <v>0</v>
      </c>
      <c r="N315" s="133"/>
      <c r="O315" s="133">
        <f t="shared" si="46"/>
        <v>0</v>
      </c>
      <c r="P315" s="134"/>
      <c r="Q315" s="133"/>
      <c r="R315" s="133"/>
      <c r="S315" s="153">
        <v>0</v>
      </c>
      <c r="T315" s="153">
        <v>0</v>
      </c>
      <c r="U315" s="153">
        <v>0</v>
      </c>
      <c r="V315" s="135"/>
      <c r="W315" s="135"/>
      <c r="X315" s="135"/>
      <c r="Y315" s="135"/>
      <c r="Z315" s="135"/>
      <c r="AA315" s="135"/>
      <c r="AB315" s="135"/>
      <c r="AC315" s="135"/>
      <c r="AD315" s="133"/>
      <c r="AE315" s="133"/>
      <c r="AF315" s="132" t="str">
        <f t="shared" si="47"/>
        <v>Нет инфо</v>
      </c>
      <c r="AG315" s="132" t="str">
        <f t="shared" si="48"/>
        <v>Нет инфо</v>
      </c>
      <c r="AH315" s="2"/>
      <c r="AI315" s="136"/>
      <c r="AJ315" s="2"/>
      <c r="AK315" s="136"/>
      <c r="AL315" s="136"/>
      <c r="AM315" s="2"/>
      <c r="AN315" s="2"/>
      <c r="AO315" s="2"/>
      <c r="AP315" s="2"/>
      <c r="AQ315" s="136"/>
    </row>
    <row r="316" spans="1:43" s="115" customFormat="1" ht="12.75" hidden="1" customHeight="1" x14ac:dyDescent="0.2">
      <c r="A316" s="2">
        <v>2345</v>
      </c>
      <c r="B316" s="2"/>
      <c r="C316" s="131"/>
      <c r="D316" s="131"/>
      <c r="E316" s="131"/>
      <c r="F316" s="2"/>
      <c r="G316" s="2"/>
      <c r="H316" s="132">
        <v>0</v>
      </c>
      <c r="I316" s="132"/>
      <c r="J316" s="132"/>
      <c r="K316" s="132"/>
      <c r="L316" s="132">
        <f t="shared" si="44"/>
        <v>0</v>
      </c>
      <c r="M316" s="132">
        <f t="shared" si="45"/>
        <v>0</v>
      </c>
      <c r="N316" s="133"/>
      <c r="O316" s="133">
        <f t="shared" si="46"/>
        <v>0</v>
      </c>
      <c r="P316" s="134"/>
      <c r="Q316" s="133"/>
      <c r="R316" s="133"/>
      <c r="S316" s="153">
        <v>0</v>
      </c>
      <c r="T316" s="153">
        <v>0</v>
      </c>
      <c r="U316" s="153">
        <v>0</v>
      </c>
      <c r="V316" s="135"/>
      <c r="W316" s="135"/>
      <c r="X316" s="135"/>
      <c r="Y316" s="135"/>
      <c r="Z316" s="135"/>
      <c r="AA316" s="135"/>
      <c r="AB316" s="135"/>
      <c r="AC316" s="135"/>
      <c r="AD316" s="133"/>
      <c r="AE316" s="133"/>
      <c r="AF316" s="132" t="str">
        <f t="shared" si="47"/>
        <v>Нет инфо</v>
      </c>
      <c r="AG316" s="132" t="str">
        <f t="shared" si="48"/>
        <v>Нет инфо</v>
      </c>
      <c r="AH316" s="2"/>
      <c r="AI316" s="136"/>
      <c r="AJ316" s="2"/>
      <c r="AK316" s="136"/>
      <c r="AL316" s="136"/>
      <c r="AM316" s="2"/>
      <c r="AN316" s="2"/>
      <c r="AO316" s="2"/>
      <c r="AP316" s="2"/>
      <c r="AQ316" s="136"/>
    </row>
    <row r="317" spans="1:43" s="115" customFormat="1" ht="12.75" hidden="1" customHeight="1" x14ac:dyDescent="0.2">
      <c r="A317" s="2">
        <v>2346</v>
      </c>
      <c r="B317" s="2"/>
      <c r="C317" s="131"/>
      <c r="D317" s="131"/>
      <c r="E317" s="131"/>
      <c r="F317" s="2"/>
      <c r="G317" s="2"/>
      <c r="H317" s="132">
        <v>0</v>
      </c>
      <c r="I317" s="132"/>
      <c r="J317" s="132"/>
      <c r="K317" s="132"/>
      <c r="L317" s="132">
        <f t="shared" si="44"/>
        <v>0</v>
      </c>
      <c r="M317" s="132">
        <f t="shared" si="45"/>
        <v>0</v>
      </c>
      <c r="N317" s="133"/>
      <c r="O317" s="133">
        <f t="shared" si="46"/>
        <v>0</v>
      </c>
      <c r="P317" s="134"/>
      <c r="Q317" s="133"/>
      <c r="R317" s="133"/>
      <c r="S317" s="153">
        <v>0</v>
      </c>
      <c r="T317" s="153">
        <v>0</v>
      </c>
      <c r="U317" s="153">
        <v>0</v>
      </c>
      <c r="V317" s="135"/>
      <c r="W317" s="135"/>
      <c r="X317" s="135"/>
      <c r="Y317" s="135"/>
      <c r="Z317" s="135"/>
      <c r="AA317" s="135"/>
      <c r="AB317" s="135"/>
      <c r="AC317" s="135"/>
      <c r="AD317" s="133"/>
      <c r="AE317" s="133"/>
      <c r="AF317" s="132" t="str">
        <f t="shared" si="47"/>
        <v>Нет инфо</v>
      </c>
      <c r="AG317" s="132" t="str">
        <f t="shared" si="48"/>
        <v>Нет инфо</v>
      </c>
      <c r="AH317" s="2"/>
      <c r="AI317" s="136"/>
      <c r="AJ317" s="2"/>
      <c r="AK317" s="136"/>
      <c r="AL317" s="136"/>
      <c r="AM317" s="2"/>
      <c r="AN317" s="2"/>
      <c r="AO317" s="2"/>
      <c r="AP317" s="2"/>
      <c r="AQ317" s="136"/>
    </row>
    <row r="318" spans="1:43" s="115" customFormat="1" ht="12.75" hidden="1" customHeight="1" x14ac:dyDescent="0.2">
      <c r="A318" s="2">
        <v>2347</v>
      </c>
      <c r="B318" s="2"/>
      <c r="C318" s="131"/>
      <c r="D318" s="131"/>
      <c r="E318" s="131"/>
      <c r="F318" s="2"/>
      <c r="G318" s="2"/>
      <c r="H318" s="132">
        <v>0</v>
      </c>
      <c r="I318" s="132"/>
      <c r="J318" s="132"/>
      <c r="K318" s="132"/>
      <c r="L318" s="132">
        <f t="shared" si="44"/>
        <v>0</v>
      </c>
      <c r="M318" s="132">
        <f t="shared" si="45"/>
        <v>0</v>
      </c>
      <c r="N318" s="133"/>
      <c r="O318" s="133">
        <f t="shared" si="46"/>
        <v>0</v>
      </c>
      <c r="P318" s="134"/>
      <c r="Q318" s="133"/>
      <c r="R318" s="133"/>
      <c r="S318" s="153">
        <v>0</v>
      </c>
      <c r="T318" s="153">
        <v>0</v>
      </c>
      <c r="U318" s="153">
        <v>0</v>
      </c>
      <c r="V318" s="135"/>
      <c r="W318" s="135"/>
      <c r="X318" s="135"/>
      <c r="Y318" s="135"/>
      <c r="Z318" s="135"/>
      <c r="AA318" s="135"/>
      <c r="AB318" s="135"/>
      <c r="AC318" s="135"/>
      <c r="AD318" s="133"/>
      <c r="AE318" s="133"/>
      <c r="AF318" s="132" t="str">
        <f t="shared" si="47"/>
        <v>Нет инфо</v>
      </c>
      <c r="AG318" s="132" t="str">
        <f t="shared" si="48"/>
        <v>Нет инфо</v>
      </c>
      <c r="AH318" s="2"/>
      <c r="AI318" s="136"/>
      <c r="AJ318" s="2"/>
      <c r="AK318" s="136"/>
      <c r="AL318" s="136"/>
      <c r="AM318" s="2"/>
      <c r="AN318" s="2"/>
      <c r="AO318" s="2"/>
      <c r="AP318" s="2"/>
      <c r="AQ318" s="136"/>
    </row>
    <row r="319" spans="1:43" s="115" customFormat="1" ht="12.75" hidden="1" customHeight="1" x14ac:dyDescent="0.2">
      <c r="A319" s="2">
        <v>2348</v>
      </c>
      <c r="B319" s="2"/>
      <c r="C319" s="131"/>
      <c r="D319" s="131"/>
      <c r="E319" s="131"/>
      <c r="F319" s="2"/>
      <c r="G319" s="2"/>
      <c r="H319" s="132">
        <v>0</v>
      </c>
      <c r="I319" s="132"/>
      <c r="J319" s="132"/>
      <c r="K319" s="132"/>
      <c r="L319" s="132">
        <f t="shared" si="44"/>
        <v>0</v>
      </c>
      <c r="M319" s="132">
        <f t="shared" si="45"/>
        <v>0</v>
      </c>
      <c r="N319" s="133"/>
      <c r="O319" s="133">
        <f t="shared" si="46"/>
        <v>0</v>
      </c>
      <c r="P319" s="134"/>
      <c r="Q319" s="133"/>
      <c r="R319" s="133"/>
      <c r="S319" s="153">
        <v>0</v>
      </c>
      <c r="T319" s="153">
        <v>0</v>
      </c>
      <c r="U319" s="153">
        <v>0</v>
      </c>
      <c r="V319" s="135"/>
      <c r="W319" s="135"/>
      <c r="X319" s="135"/>
      <c r="Y319" s="135"/>
      <c r="Z319" s="135"/>
      <c r="AA319" s="135"/>
      <c r="AB319" s="135"/>
      <c r="AC319" s="135"/>
      <c r="AD319" s="133"/>
      <c r="AE319" s="133"/>
      <c r="AF319" s="132" t="str">
        <f t="shared" si="47"/>
        <v>Нет инфо</v>
      </c>
      <c r="AG319" s="132" t="str">
        <f t="shared" si="48"/>
        <v>Нет инфо</v>
      </c>
      <c r="AH319" s="2"/>
      <c r="AI319" s="136"/>
      <c r="AJ319" s="2"/>
      <c r="AK319" s="136"/>
      <c r="AL319" s="136"/>
      <c r="AM319" s="2"/>
      <c r="AN319" s="2"/>
      <c r="AO319" s="2"/>
      <c r="AP319" s="2"/>
      <c r="AQ319" s="136"/>
    </row>
    <row r="320" spans="1:43" s="115" customFormat="1" ht="12.75" hidden="1" customHeight="1" x14ac:dyDescent="0.2">
      <c r="A320" s="2">
        <v>2349</v>
      </c>
      <c r="B320" s="2"/>
      <c r="C320" s="131"/>
      <c r="D320" s="131"/>
      <c r="E320" s="131"/>
      <c r="F320" s="2"/>
      <c r="G320" s="2"/>
      <c r="H320" s="132">
        <v>0</v>
      </c>
      <c r="I320" s="132"/>
      <c r="J320" s="132"/>
      <c r="K320" s="132"/>
      <c r="L320" s="132">
        <f t="shared" si="44"/>
        <v>0</v>
      </c>
      <c r="M320" s="132">
        <f t="shared" si="45"/>
        <v>0</v>
      </c>
      <c r="N320" s="133"/>
      <c r="O320" s="133">
        <f t="shared" si="46"/>
        <v>0</v>
      </c>
      <c r="P320" s="134"/>
      <c r="Q320" s="133"/>
      <c r="R320" s="133"/>
      <c r="S320" s="153">
        <v>0</v>
      </c>
      <c r="T320" s="153">
        <v>0</v>
      </c>
      <c r="U320" s="153">
        <v>0</v>
      </c>
      <c r="V320" s="135"/>
      <c r="W320" s="135"/>
      <c r="X320" s="135"/>
      <c r="Y320" s="135"/>
      <c r="Z320" s="135"/>
      <c r="AA320" s="135"/>
      <c r="AB320" s="135"/>
      <c r="AC320" s="135"/>
      <c r="AD320" s="133"/>
      <c r="AE320" s="133"/>
      <c r="AF320" s="132" t="str">
        <f t="shared" si="47"/>
        <v>Нет инфо</v>
      </c>
      <c r="AG320" s="132" t="str">
        <f t="shared" si="48"/>
        <v>Нет инфо</v>
      </c>
      <c r="AH320" s="2"/>
      <c r="AI320" s="136"/>
      <c r="AJ320" s="2"/>
      <c r="AK320" s="136"/>
      <c r="AL320" s="136"/>
      <c r="AM320" s="2"/>
      <c r="AN320" s="2"/>
      <c r="AO320" s="2"/>
      <c r="AP320" s="2"/>
      <c r="AQ320" s="136"/>
    </row>
    <row r="321" spans="1:43" s="115" customFormat="1" ht="12.75" hidden="1" customHeight="1" x14ac:dyDescent="0.2">
      <c r="A321" s="2">
        <v>2350</v>
      </c>
      <c r="B321" s="2"/>
      <c r="C321" s="131"/>
      <c r="D321" s="131"/>
      <c r="E321" s="131"/>
      <c r="F321" s="2"/>
      <c r="G321" s="2"/>
      <c r="H321" s="132">
        <v>0</v>
      </c>
      <c r="I321" s="132"/>
      <c r="J321" s="132"/>
      <c r="K321" s="132"/>
      <c r="L321" s="132">
        <f t="shared" si="44"/>
        <v>0</v>
      </c>
      <c r="M321" s="132">
        <f t="shared" si="45"/>
        <v>0</v>
      </c>
      <c r="N321" s="133"/>
      <c r="O321" s="133">
        <f t="shared" si="46"/>
        <v>0</v>
      </c>
      <c r="P321" s="134"/>
      <c r="Q321" s="133"/>
      <c r="R321" s="133"/>
      <c r="S321" s="153">
        <v>0</v>
      </c>
      <c r="T321" s="153">
        <v>0</v>
      </c>
      <c r="U321" s="153">
        <v>0</v>
      </c>
      <c r="V321" s="135"/>
      <c r="W321" s="135"/>
      <c r="X321" s="135"/>
      <c r="Y321" s="135"/>
      <c r="Z321" s="135"/>
      <c r="AA321" s="135"/>
      <c r="AB321" s="135"/>
      <c r="AC321" s="135"/>
      <c r="AD321" s="133"/>
      <c r="AE321" s="133"/>
      <c r="AF321" s="132" t="str">
        <f t="shared" si="47"/>
        <v>Нет инфо</v>
      </c>
      <c r="AG321" s="132" t="str">
        <f t="shared" si="48"/>
        <v>Нет инфо</v>
      </c>
      <c r="AH321" s="2"/>
      <c r="AI321" s="136"/>
      <c r="AJ321" s="2"/>
      <c r="AK321" s="136"/>
      <c r="AL321" s="136"/>
      <c r="AM321" s="2"/>
      <c r="AN321" s="2"/>
      <c r="AO321" s="2"/>
      <c r="AP321" s="2"/>
      <c r="AQ321" s="136"/>
    </row>
    <row r="322" spans="1:43" s="115" customFormat="1" ht="12.75" hidden="1" customHeight="1" x14ac:dyDescent="0.2">
      <c r="A322" s="2">
        <v>2351</v>
      </c>
      <c r="B322" s="2"/>
      <c r="C322" s="131"/>
      <c r="D322" s="131"/>
      <c r="E322" s="131"/>
      <c r="F322" s="2"/>
      <c r="G322" s="2"/>
      <c r="H322" s="132">
        <v>0</v>
      </c>
      <c r="I322" s="132"/>
      <c r="J322" s="132"/>
      <c r="K322" s="132"/>
      <c r="L322" s="132">
        <f t="shared" si="44"/>
        <v>0</v>
      </c>
      <c r="M322" s="132">
        <f t="shared" si="45"/>
        <v>0</v>
      </c>
      <c r="N322" s="133"/>
      <c r="O322" s="133">
        <f t="shared" si="46"/>
        <v>0</v>
      </c>
      <c r="P322" s="134"/>
      <c r="Q322" s="133"/>
      <c r="R322" s="133"/>
      <c r="S322" s="153">
        <v>0</v>
      </c>
      <c r="T322" s="153">
        <v>0</v>
      </c>
      <c r="U322" s="153">
        <v>0</v>
      </c>
      <c r="V322" s="135"/>
      <c r="W322" s="135"/>
      <c r="X322" s="135"/>
      <c r="Y322" s="135"/>
      <c r="Z322" s="135"/>
      <c r="AA322" s="135"/>
      <c r="AB322" s="135"/>
      <c r="AC322" s="135"/>
      <c r="AD322" s="133"/>
      <c r="AE322" s="133"/>
      <c r="AF322" s="132" t="str">
        <f t="shared" si="47"/>
        <v>Нет инфо</v>
      </c>
      <c r="AG322" s="132" t="str">
        <f t="shared" si="48"/>
        <v>Нет инфо</v>
      </c>
      <c r="AH322" s="2"/>
      <c r="AI322" s="136"/>
      <c r="AJ322" s="2"/>
      <c r="AK322" s="136"/>
      <c r="AL322" s="136"/>
      <c r="AM322" s="2"/>
      <c r="AN322" s="2"/>
      <c r="AO322" s="2"/>
      <c r="AP322" s="2"/>
      <c r="AQ322" s="136"/>
    </row>
    <row r="323" spans="1:43" s="115" customFormat="1" ht="12.75" hidden="1" customHeight="1" x14ac:dyDescent="0.2">
      <c r="A323" s="2">
        <v>2352</v>
      </c>
      <c r="B323" s="2"/>
      <c r="C323" s="131"/>
      <c r="D323" s="131"/>
      <c r="E323" s="131"/>
      <c r="F323" s="2"/>
      <c r="G323" s="2"/>
      <c r="H323" s="132">
        <v>0</v>
      </c>
      <c r="I323" s="132"/>
      <c r="J323" s="132"/>
      <c r="K323" s="132"/>
      <c r="L323" s="132">
        <f t="shared" si="44"/>
        <v>0</v>
      </c>
      <c r="M323" s="132">
        <f t="shared" si="45"/>
        <v>0</v>
      </c>
      <c r="N323" s="133"/>
      <c r="O323" s="133">
        <f t="shared" si="46"/>
        <v>0</v>
      </c>
      <c r="P323" s="134"/>
      <c r="Q323" s="133"/>
      <c r="R323" s="133"/>
      <c r="S323" s="153">
        <v>0</v>
      </c>
      <c r="T323" s="153">
        <v>0</v>
      </c>
      <c r="U323" s="153">
        <v>0</v>
      </c>
      <c r="V323" s="135"/>
      <c r="W323" s="135"/>
      <c r="X323" s="135"/>
      <c r="Y323" s="135"/>
      <c r="Z323" s="135"/>
      <c r="AA323" s="135"/>
      <c r="AB323" s="135"/>
      <c r="AC323" s="135"/>
      <c r="AD323" s="133"/>
      <c r="AE323" s="133"/>
      <c r="AF323" s="132" t="str">
        <f t="shared" si="47"/>
        <v>Нет инфо</v>
      </c>
      <c r="AG323" s="132" t="str">
        <f t="shared" si="48"/>
        <v>Нет инфо</v>
      </c>
      <c r="AH323" s="2"/>
      <c r="AI323" s="136"/>
      <c r="AJ323" s="2"/>
      <c r="AK323" s="136"/>
      <c r="AL323" s="136"/>
      <c r="AM323" s="2"/>
      <c r="AN323" s="2"/>
      <c r="AO323" s="2"/>
      <c r="AP323" s="2"/>
      <c r="AQ323" s="136"/>
    </row>
    <row r="324" spans="1:43" s="115" customFormat="1" ht="12.75" hidden="1" customHeight="1" x14ac:dyDescent="0.2">
      <c r="A324" s="2">
        <v>2353</v>
      </c>
      <c r="B324" s="2"/>
      <c r="C324" s="131"/>
      <c r="D324" s="131"/>
      <c r="E324" s="131"/>
      <c r="F324" s="2"/>
      <c r="G324" s="2"/>
      <c r="H324" s="132">
        <v>0</v>
      </c>
      <c r="I324" s="132"/>
      <c r="J324" s="132"/>
      <c r="K324" s="132"/>
      <c r="L324" s="132">
        <f t="shared" si="44"/>
        <v>0</v>
      </c>
      <c r="M324" s="132">
        <f t="shared" si="45"/>
        <v>0</v>
      </c>
      <c r="N324" s="133"/>
      <c r="O324" s="133">
        <f t="shared" si="46"/>
        <v>0</v>
      </c>
      <c r="P324" s="134"/>
      <c r="Q324" s="133"/>
      <c r="R324" s="133"/>
      <c r="S324" s="153">
        <v>0</v>
      </c>
      <c r="T324" s="153">
        <v>0</v>
      </c>
      <c r="U324" s="153">
        <v>0</v>
      </c>
      <c r="V324" s="135"/>
      <c r="W324" s="135"/>
      <c r="X324" s="135"/>
      <c r="Y324" s="135"/>
      <c r="Z324" s="135"/>
      <c r="AA324" s="135"/>
      <c r="AB324" s="135"/>
      <c r="AC324" s="135"/>
      <c r="AD324" s="133"/>
      <c r="AE324" s="133"/>
      <c r="AF324" s="132" t="str">
        <f t="shared" si="47"/>
        <v>Нет инфо</v>
      </c>
      <c r="AG324" s="132" t="str">
        <f t="shared" si="48"/>
        <v>Нет инфо</v>
      </c>
      <c r="AH324" s="2"/>
      <c r="AI324" s="136"/>
      <c r="AJ324" s="2"/>
      <c r="AK324" s="136"/>
      <c r="AL324" s="136"/>
      <c r="AM324" s="2"/>
      <c r="AN324" s="2"/>
      <c r="AO324" s="2"/>
      <c r="AP324" s="2"/>
      <c r="AQ324" s="136"/>
    </row>
    <row r="325" spans="1:43" s="115" customFormat="1" ht="12.75" hidden="1" customHeight="1" x14ac:dyDescent="0.2">
      <c r="A325" s="2">
        <v>2354</v>
      </c>
      <c r="B325" s="2"/>
      <c r="C325" s="131"/>
      <c r="D325" s="131"/>
      <c r="E325" s="131"/>
      <c r="F325" s="2"/>
      <c r="G325" s="2"/>
      <c r="H325" s="132">
        <v>0</v>
      </c>
      <c r="I325" s="132"/>
      <c r="J325" s="132"/>
      <c r="K325" s="132"/>
      <c r="L325" s="132">
        <f t="shared" si="44"/>
        <v>0</v>
      </c>
      <c r="M325" s="132">
        <f t="shared" si="45"/>
        <v>0</v>
      </c>
      <c r="N325" s="133"/>
      <c r="O325" s="133">
        <f t="shared" si="46"/>
        <v>0</v>
      </c>
      <c r="P325" s="134"/>
      <c r="Q325" s="133"/>
      <c r="R325" s="133"/>
      <c r="S325" s="153">
        <v>0</v>
      </c>
      <c r="T325" s="153">
        <v>0</v>
      </c>
      <c r="U325" s="153">
        <v>0</v>
      </c>
      <c r="V325" s="135"/>
      <c r="W325" s="135"/>
      <c r="X325" s="135"/>
      <c r="Y325" s="135"/>
      <c r="Z325" s="135"/>
      <c r="AA325" s="135"/>
      <c r="AB325" s="135"/>
      <c r="AC325" s="135"/>
      <c r="AD325" s="133"/>
      <c r="AE325" s="133"/>
      <c r="AF325" s="132" t="str">
        <f t="shared" si="47"/>
        <v>Нет инфо</v>
      </c>
      <c r="AG325" s="132" t="str">
        <f t="shared" si="48"/>
        <v>Нет инфо</v>
      </c>
      <c r="AH325" s="2"/>
      <c r="AI325" s="136"/>
      <c r="AJ325" s="2"/>
      <c r="AK325" s="136"/>
      <c r="AL325" s="136"/>
      <c r="AM325" s="2"/>
      <c r="AN325" s="2"/>
      <c r="AO325" s="2"/>
      <c r="AP325" s="2"/>
      <c r="AQ325" s="136"/>
    </row>
    <row r="326" spans="1:43" s="115" customFormat="1" ht="12.75" hidden="1" customHeight="1" x14ac:dyDescent="0.2">
      <c r="A326" s="2">
        <v>2355</v>
      </c>
      <c r="B326" s="2"/>
      <c r="C326" s="131"/>
      <c r="D326" s="131"/>
      <c r="E326" s="131"/>
      <c r="F326" s="2"/>
      <c r="G326" s="2"/>
      <c r="H326" s="132">
        <v>0</v>
      </c>
      <c r="I326" s="132"/>
      <c r="J326" s="132"/>
      <c r="K326" s="132"/>
      <c r="L326" s="132">
        <f t="shared" si="44"/>
        <v>0</v>
      </c>
      <c r="M326" s="132">
        <f t="shared" si="45"/>
        <v>0</v>
      </c>
      <c r="N326" s="133"/>
      <c r="O326" s="133">
        <f t="shared" si="46"/>
        <v>0</v>
      </c>
      <c r="P326" s="134"/>
      <c r="Q326" s="133"/>
      <c r="R326" s="133"/>
      <c r="S326" s="153">
        <v>0</v>
      </c>
      <c r="T326" s="153">
        <v>0</v>
      </c>
      <c r="U326" s="153">
        <v>0</v>
      </c>
      <c r="V326" s="135"/>
      <c r="W326" s="135"/>
      <c r="X326" s="135"/>
      <c r="Y326" s="135"/>
      <c r="Z326" s="135"/>
      <c r="AA326" s="135"/>
      <c r="AB326" s="135"/>
      <c r="AC326" s="135"/>
      <c r="AD326" s="133"/>
      <c r="AE326" s="133"/>
      <c r="AF326" s="132" t="str">
        <f t="shared" si="47"/>
        <v>Нет инфо</v>
      </c>
      <c r="AG326" s="132" t="str">
        <f t="shared" si="48"/>
        <v>Нет инфо</v>
      </c>
      <c r="AH326" s="2"/>
      <c r="AI326" s="136"/>
      <c r="AJ326" s="2"/>
      <c r="AK326" s="136"/>
      <c r="AL326" s="136"/>
      <c r="AM326" s="2"/>
      <c r="AN326" s="2"/>
      <c r="AO326" s="2"/>
      <c r="AP326" s="2"/>
      <c r="AQ326" s="136"/>
    </row>
    <row r="327" spans="1:43" s="115" customFormat="1" ht="12.75" hidden="1" customHeight="1" x14ac:dyDescent="0.2">
      <c r="A327" s="2">
        <v>2356</v>
      </c>
      <c r="B327" s="2"/>
      <c r="C327" s="131"/>
      <c r="D327" s="131"/>
      <c r="E327" s="131"/>
      <c r="F327" s="2"/>
      <c r="G327" s="2"/>
      <c r="H327" s="132">
        <v>0</v>
      </c>
      <c r="I327" s="132"/>
      <c r="J327" s="132"/>
      <c r="K327" s="132"/>
      <c r="L327" s="132">
        <f t="shared" si="44"/>
        <v>0</v>
      </c>
      <c r="M327" s="132">
        <f t="shared" si="45"/>
        <v>0</v>
      </c>
      <c r="N327" s="133"/>
      <c r="O327" s="133">
        <f t="shared" si="46"/>
        <v>0</v>
      </c>
      <c r="P327" s="134"/>
      <c r="Q327" s="133"/>
      <c r="R327" s="133"/>
      <c r="S327" s="153">
        <v>0</v>
      </c>
      <c r="T327" s="153">
        <v>0</v>
      </c>
      <c r="U327" s="153">
        <v>0</v>
      </c>
      <c r="V327" s="135"/>
      <c r="W327" s="135"/>
      <c r="X327" s="135"/>
      <c r="Y327" s="135"/>
      <c r="Z327" s="135"/>
      <c r="AA327" s="135"/>
      <c r="AB327" s="135"/>
      <c r="AC327" s="135"/>
      <c r="AD327" s="133"/>
      <c r="AE327" s="133"/>
      <c r="AF327" s="132" t="str">
        <f t="shared" si="47"/>
        <v>Нет инфо</v>
      </c>
      <c r="AG327" s="132" t="str">
        <f t="shared" si="48"/>
        <v>Нет инфо</v>
      </c>
      <c r="AH327" s="2"/>
      <c r="AI327" s="136"/>
      <c r="AJ327" s="2"/>
      <c r="AK327" s="136"/>
      <c r="AL327" s="136"/>
      <c r="AM327" s="2"/>
      <c r="AN327" s="2"/>
      <c r="AO327" s="2"/>
      <c r="AP327" s="2"/>
      <c r="AQ327" s="136"/>
    </row>
    <row r="328" spans="1:43" s="115" customFormat="1" ht="12.75" hidden="1" customHeight="1" x14ac:dyDescent="0.2">
      <c r="A328" s="2">
        <v>2357</v>
      </c>
      <c r="B328" s="2"/>
      <c r="C328" s="131"/>
      <c r="D328" s="131"/>
      <c r="E328" s="131"/>
      <c r="F328" s="2"/>
      <c r="G328" s="2"/>
      <c r="H328" s="132">
        <v>0</v>
      </c>
      <c r="I328" s="132"/>
      <c r="J328" s="132"/>
      <c r="K328" s="132"/>
      <c r="L328" s="132">
        <f t="shared" si="44"/>
        <v>0</v>
      </c>
      <c r="M328" s="132">
        <f t="shared" si="45"/>
        <v>0</v>
      </c>
      <c r="N328" s="133"/>
      <c r="O328" s="133">
        <f t="shared" si="46"/>
        <v>0</v>
      </c>
      <c r="P328" s="134"/>
      <c r="Q328" s="133"/>
      <c r="R328" s="133"/>
      <c r="S328" s="153">
        <v>0</v>
      </c>
      <c r="T328" s="153">
        <v>0</v>
      </c>
      <c r="U328" s="153">
        <v>0</v>
      </c>
      <c r="V328" s="135"/>
      <c r="W328" s="135"/>
      <c r="X328" s="135"/>
      <c r="Y328" s="135"/>
      <c r="Z328" s="135"/>
      <c r="AA328" s="135"/>
      <c r="AB328" s="135"/>
      <c r="AC328" s="135"/>
      <c r="AD328" s="133"/>
      <c r="AE328" s="133"/>
      <c r="AF328" s="132" t="str">
        <f t="shared" si="47"/>
        <v>Нет инфо</v>
      </c>
      <c r="AG328" s="132" t="str">
        <f t="shared" si="48"/>
        <v>Нет инфо</v>
      </c>
      <c r="AH328" s="2"/>
      <c r="AI328" s="136"/>
      <c r="AJ328" s="2"/>
      <c r="AK328" s="136"/>
      <c r="AL328" s="136"/>
      <c r="AM328" s="2"/>
      <c r="AN328" s="2"/>
      <c r="AO328" s="2"/>
      <c r="AP328" s="2"/>
      <c r="AQ328" s="136"/>
    </row>
    <row r="329" spans="1:43" s="115" customFormat="1" ht="12.75" hidden="1" customHeight="1" x14ac:dyDescent="0.2">
      <c r="A329" s="2">
        <v>2358</v>
      </c>
      <c r="B329" s="2"/>
      <c r="C329" s="131"/>
      <c r="D329" s="131"/>
      <c r="E329" s="131"/>
      <c r="F329" s="2"/>
      <c r="G329" s="2"/>
      <c r="H329" s="132">
        <v>0</v>
      </c>
      <c r="I329" s="132"/>
      <c r="J329" s="132"/>
      <c r="K329" s="132"/>
      <c r="L329" s="132">
        <f t="shared" si="44"/>
        <v>0</v>
      </c>
      <c r="M329" s="132">
        <f t="shared" si="45"/>
        <v>0</v>
      </c>
      <c r="N329" s="133"/>
      <c r="O329" s="133">
        <f t="shared" si="46"/>
        <v>0</v>
      </c>
      <c r="P329" s="134"/>
      <c r="Q329" s="133"/>
      <c r="R329" s="133"/>
      <c r="S329" s="153">
        <v>0</v>
      </c>
      <c r="T329" s="153">
        <v>0</v>
      </c>
      <c r="U329" s="153">
        <v>0</v>
      </c>
      <c r="V329" s="135"/>
      <c r="W329" s="135"/>
      <c r="X329" s="135"/>
      <c r="Y329" s="135"/>
      <c r="Z329" s="135"/>
      <c r="AA329" s="135"/>
      <c r="AB329" s="135"/>
      <c r="AC329" s="135"/>
      <c r="AD329" s="133"/>
      <c r="AE329" s="133"/>
      <c r="AF329" s="132" t="str">
        <f t="shared" si="47"/>
        <v>Нет инфо</v>
      </c>
      <c r="AG329" s="132" t="str">
        <f t="shared" si="48"/>
        <v>Нет инфо</v>
      </c>
      <c r="AH329" s="2"/>
      <c r="AI329" s="136"/>
      <c r="AJ329" s="2"/>
      <c r="AK329" s="136"/>
      <c r="AL329" s="136"/>
      <c r="AM329" s="2"/>
      <c r="AN329" s="2"/>
      <c r="AO329" s="2"/>
      <c r="AP329" s="2"/>
      <c r="AQ329" s="136"/>
    </row>
    <row r="330" spans="1:43" s="115" customFormat="1" ht="12.75" hidden="1" customHeight="1" x14ac:dyDescent="0.2">
      <c r="A330" s="2">
        <v>2359</v>
      </c>
      <c r="B330" s="2"/>
      <c r="C330" s="131"/>
      <c r="D330" s="131"/>
      <c r="E330" s="131"/>
      <c r="F330" s="2"/>
      <c r="G330" s="2"/>
      <c r="H330" s="132">
        <v>0</v>
      </c>
      <c r="I330" s="132"/>
      <c r="J330" s="132"/>
      <c r="K330" s="132"/>
      <c r="L330" s="132">
        <f t="shared" si="44"/>
        <v>0</v>
      </c>
      <c r="M330" s="132">
        <f t="shared" si="45"/>
        <v>0</v>
      </c>
      <c r="N330" s="133"/>
      <c r="O330" s="133">
        <f t="shared" si="46"/>
        <v>0</v>
      </c>
      <c r="P330" s="134"/>
      <c r="Q330" s="133"/>
      <c r="R330" s="133"/>
      <c r="S330" s="153">
        <v>0</v>
      </c>
      <c r="T330" s="153">
        <v>0</v>
      </c>
      <c r="U330" s="153">
        <v>0</v>
      </c>
      <c r="V330" s="135"/>
      <c r="W330" s="135"/>
      <c r="X330" s="135"/>
      <c r="Y330" s="135"/>
      <c r="Z330" s="135"/>
      <c r="AA330" s="135"/>
      <c r="AB330" s="135"/>
      <c r="AC330" s="135"/>
      <c r="AD330" s="133"/>
      <c r="AE330" s="133"/>
      <c r="AF330" s="132" t="str">
        <f t="shared" si="47"/>
        <v>Нет инфо</v>
      </c>
      <c r="AG330" s="132" t="str">
        <f t="shared" si="48"/>
        <v>Нет инфо</v>
      </c>
      <c r="AH330" s="2"/>
      <c r="AI330" s="136"/>
      <c r="AJ330" s="2"/>
      <c r="AK330" s="136"/>
      <c r="AL330" s="136"/>
      <c r="AM330" s="2"/>
      <c r="AN330" s="2"/>
      <c r="AO330" s="2"/>
      <c r="AP330" s="2"/>
      <c r="AQ330" s="136"/>
    </row>
    <row r="331" spans="1:43" s="115" customFormat="1" ht="12.75" hidden="1" customHeight="1" x14ac:dyDescent="0.2">
      <c r="A331" s="2">
        <v>2360</v>
      </c>
      <c r="B331" s="2"/>
      <c r="C331" s="131"/>
      <c r="D331" s="131"/>
      <c r="E331" s="131"/>
      <c r="F331" s="2"/>
      <c r="G331" s="2"/>
      <c r="H331" s="132">
        <v>0</v>
      </c>
      <c r="I331" s="132"/>
      <c r="J331" s="132"/>
      <c r="K331" s="132"/>
      <c r="L331" s="132">
        <f t="shared" ref="L331:L394" si="49">H331-K331</f>
        <v>0</v>
      </c>
      <c r="M331" s="132">
        <f t="shared" ref="M331:M394" si="50">I331-K331</f>
        <v>0</v>
      </c>
      <c r="N331" s="133"/>
      <c r="O331" s="133">
        <f t="shared" ref="O331:O394" si="51">IF(OR(AJ331="принят",AJ331="Завершено",AJ331="ПриПро"),I331-K331,H331-K331)</f>
        <v>0</v>
      </c>
      <c r="P331" s="134"/>
      <c r="Q331" s="133"/>
      <c r="R331" s="133"/>
      <c r="S331" s="153">
        <v>0</v>
      </c>
      <c r="T331" s="153">
        <v>0</v>
      </c>
      <c r="U331" s="153">
        <v>0</v>
      </c>
      <c r="V331" s="135"/>
      <c r="W331" s="135"/>
      <c r="X331" s="135"/>
      <c r="Y331" s="135"/>
      <c r="Z331" s="135"/>
      <c r="AA331" s="135"/>
      <c r="AB331" s="135"/>
      <c r="AC331" s="135"/>
      <c r="AD331" s="133"/>
      <c r="AE331" s="133"/>
      <c r="AF331" s="132" t="str">
        <f t="shared" si="47"/>
        <v>Нет инфо</v>
      </c>
      <c r="AG331" s="132" t="str">
        <f t="shared" si="48"/>
        <v>Нет инфо</v>
      </c>
      <c r="AH331" s="2"/>
      <c r="AI331" s="136"/>
      <c r="AJ331" s="2"/>
      <c r="AK331" s="136"/>
      <c r="AL331" s="136"/>
      <c r="AM331" s="2"/>
      <c r="AN331" s="2"/>
      <c r="AO331" s="2"/>
      <c r="AP331" s="2"/>
      <c r="AQ331" s="136"/>
    </row>
    <row r="332" spans="1:43" s="115" customFormat="1" ht="12.75" hidden="1" customHeight="1" x14ac:dyDescent="0.2">
      <c r="A332" s="2">
        <v>2361</v>
      </c>
      <c r="B332" s="2"/>
      <c r="C332" s="131"/>
      <c r="D332" s="131"/>
      <c r="E332" s="131"/>
      <c r="F332" s="2"/>
      <c r="G332" s="2"/>
      <c r="H332" s="132">
        <v>0</v>
      </c>
      <c r="I332" s="132"/>
      <c r="J332" s="132"/>
      <c r="K332" s="132"/>
      <c r="L332" s="132">
        <f t="shared" si="49"/>
        <v>0</v>
      </c>
      <c r="M332" s="132">
        <f t="shared" si="50"/>
        <v>0</v>
      </c>
      <c r="N332" s="133"/>
      <c r="O332" s="133">
        <f t="shared" si="51"/>
        <v>0</v>
      </c>
      <c r="P332" s="134"/>
      <c r="Q332" s="133"/>
      <c r="R332" s="133"/>
      <c r="S332" s="153">
        <v>0</v>
      </c>
      <c r="T332" s="153">
        <v>0</v>
      </c>
      <c r="U332" s="153">
        <v>0</v>
      </c>
      <c r="V332" s="135"/>
      <c r="W332" s="135"/>
      <c r="X332" s="135"/>
      <c r="Y332" s="135"/>
      <c r="Z332" s="135"/>
      <c r="AA332" s="135"/>
      <c r="AB332" s="135"/>
      <c r="AC332" s="135"/>
      <c r="AD332" s="133"/>
      <c r="AE332" s="133"/>
      <c r="AF332" s="132" t="str">
        <f t="shared" si="47"/>
        <v>Нет инфо</v>
      </c>
      <c r="AG332" s="132" t="str">
        <f t="shared" si="48"/>
        <v>Нет инфо</v>
      </c>
      <c r="AH332" s="2"/>
      <c r="AI332" s="136"/>
      <c r="AJ332" s="2"/>
      <c r="AK332" s="136"/>
      <c r="AL332" s="136"/>
      <c r="AM332" s="2"/>
      <c r="AN332" s="2"/>
      <c r="AO332" s="2"/>
      <c r="AP332" s="2"/>
      <c r="AQ332" s="136"/>
    </row>
    <row r="333" spans="1:43" s="115" customFormat="1" ht="12.75" hidden="1" customHeight="1" x14ac:dyDescent="0.2">
      <c r="A333" s="2">
        <v>2362</v>
      </c>
      <c r="B333" s="2"/>
      <c r="C333" s="131"/>
      <c r="D333" s="131"/>
      <c r="E333" s="131"/>
      <c r="F333" s="2"/>
      <c r="G333" s="2"/>
      <c r="H333" s="132">
        <v>0</v>
      </c>
      <c r="I333" s="132"/>
      <c r="J333" s="132"/>
      <c r="K333" s="132"/>
      <c r="L333" s="132">
        <f t="shared" si="49"/>
        <v>0</v>
      </c>
      <c r="M333" s="132">
        <f t="shared" si="50"/>
        <v>0</v>
      </c>
      <c r="N333" s="133"/>
      <c r="O333" s="133">
        <f t="shared" si="51"/>
        <v>0</v>
      </c>
      <c r="P333" s="134"/>
      <c r="Q333" s="133"/>
      <c r="R333" s="133"/>
      <c r="S333" s="153">
        <v>0</v>
      </c>
      <c r="T333" s="153">
        <v>0</v>
      </c>
      <c r="U333" s="153">
        <v>0</v>
      </c>
      <c r="V333" s="135"/>
      <c r="W333" s="135"/>
      <c r="X333" s="135"/>
      <c r="Y333" s="135"/>
      <c r="Z333" s="135"/>
      <c r="AA333" s="135"/>
      <c r="AB333" s="135"/>
      <c r="AC333" s="135"/>
      <c r="AD333" s="133"/>
      <c r="AE333" s="133"/>
      <c r="AF333" s="132" t="str">
        <f t="shared" si="47"/>
        <v>Нет инфо</v>
      </c>
      <c r="AG333" s="132" t="str">
        <f t="shared" si="48"/>
        <v>Нет инфо</v>
      </c>
      <c r="AH333" s="2"/>
      <c r="AI333" s="136"/>
      <c r="AJ333" s="2"/>
      <c r="AK333" s="136"/>
      <c r="AL333" s="136"/>
      <c r="AM333" s="2"/>
      <c r="AN333" s="2"/>
      <c r="AO333" s="2"/>
      <c r="AP333" s="2"/>
      <c r="AQ333" s="136"/>
    </row>
    <row r="334" spans="1:43" s="115" customFormat="1" ht="12.75" hidden="1" customHeight="1" x14ac:dyDescent="0.2">
      <c r="A334" s="2">
        <v>2363</v>
      </c>
      <c r="B334" s="2"/>
      <c r="C334" s="131"/>
      <c r="D334" s="131"/>
      <c r="E334" s="131"/>
      <c r="F334" s="2"/>
      <c r="G334" s="2"/>
      <c r="H334" s="132">
        <v>0</v>
      </c>
      <c r="I334" s="132"/>
      <c r="J334" s="132"/>
      <c r="K334" s="132"/>
      <c r="L334" s="132">
        <f t="shared" si="49"/>
        <v>0</v>
      </c>
      <c r="M334" s="132">
        <f t="shared" si="50"/>
        <v>0</v>
      </c>
      <c r="N334" s="133"/>
      <c r="O334" s="133">
        <f t="shared" si="51"/>
        <v>0</v>
      </c>
      <c r="P334" s="134"/>
      <c r="Q334" s="133"/>
      <c r="R334" s="133"/>
      <c r="S334" s="153">
        <v>0</v>
      </c>
      <c r="T334" s="153">
        <v>0</v>
      </c>
      <c r="U334" s="153">
        <v>0</v>
      </c>
      <c r="V334" s="135"/>
      <c r="W334" s="135"/>
      <c r="X334" s="135"/>
      <c r="Y334" s="135"/>
      <c r="Z334" s="135"/>
      <c r="AA334" s="135"/>
      <c r="AB334" s="135"/>
      <c r="AC334" s="135"/>
      <c r="AD334" s="133"/>
      <c r="AE334" s="133"/>
      <c r="AF334" s="132" t="str">
        <f t="shared" si="47"/>
        <v>Нет инфо</v>
      </c>
      <c r="AG334" s="132" t="str">
        <f t="shared" si="48"/>
        <v>Нет инфо</v>
      </c>
      <c r="AH334" s="2"/>
      <c r="AI334" s="136"/>
      <c r="AJ334" s="2"/>
      <c r="AK334" s="136"/>
      <c r="AL334" s="136"/>
      <c r="AM334" s="2"/>
      <c r="AN334" s="2"/>
      <c r="AO334" s="2"/>
      <c r="AP334" s="2"/>
      <c r="AQ334" s="136"/>
    </row>
    <row r="335" spans="1:43" s="115" customFormat="1" ht="12.75" hidden="1" customHeight="1" x14ac:dyDescent="0.2">
      <c r="A335" s="2">
        <v>2364</v>
      </c>
      <c r="B335" s="2"/>
      <c r="C335" s="131"/>
      <c r="D335" s="131"/>
      <c r="E335" s="131"/>
      <c r="F335" s="2"/>
      <c r="G335" s="2"/>
      <c r="H335" s="132">
        <v>0</v>
      </c>
      <c r="I335" s="132"/>
      <c r="J335" s="132"/>
      <c r="K335" s="132"/>
      <c r="L335" s="132">
        <f t="shared" si="49"/>
        <v>0</v>
      </c>
      <c r="M335" s="132">
        <f t="shared" si="50"/>
        <v>0</v>
      </c>
      <c r="N335" s="133"/>
      <c r="O335" s="133">
        <f t="shared" si="51"/>
        <v>0</v>
      </c>
      <c r="P335" s="134"/>
      <c r="Q335" s="133"/>
      <c r="R335" s="133"/>
      <c r="S335" s="153">
        <v>0</v>
      </c>
      <c r="T335" s="153">
        <v>0</v>
      </c>
      <c r="U335" s="153">
        <v>0</v>
      </c>
      <c r="V335" s="135"/>
      <c r="W335" s="135"/>
      <c r="X335" s="135"/>
      <c r="Y335" s="135"/>
      <c r="Z335" s="135"/>
      <c r="AA335" s="135"/>
      <c r="AB335" s="135"/>
      <c r="AC335" s="135"/>
      <c r="AD335" s="133"/>
      <c r="AE335" s="133"/>
      <c r="AF335" s="132" t="str">
        <f t="shared" si="47"/>
        <v>Нет инфо</v>
      </c>
      <c r="AG335" s="132" t="str">
        <f t="shared" si="48"/>
        <v>Нет инфо</v>
      </c>
      <c r="AH335" s="2"/>
      <c r="AI335" s="136"/>
      <c r="AJ335" s="2"/>
      <c r="AK335" s="136"/>
      <c r="AL335" s="136"/>
      <c r="AM335" s="2"/>
      <c r="AN335" s="2"/>
      <c r="AO335" s="2"/>
      <c r="AP335" s="2"/>
      <c r="AQ335" s="136"/>
    </row>
    <row r="336" spans="1:43" s="115" customFormat="1" ht="12.75" hidden="1" customHeight="1" x14ac:dyDescent="0.2">
      <c r="A336" s="2">
        <v>2365</v>
      </c>
      <c r="B336" s="2"/>
      <c r="C336" s="131"/>
      <c r="D336" s="131"/>
      <c r="E336" s="131"/>
      <c r="F336" s="2"/>
      <c r="G336" s="2"/>
      <c r="H336" s="132">
        <v>0</v>
      </c>
      <c r="I336" s="132"/>
      <c r="J336" s="132"/>
      <c r="K336" s="132"/>
      <c r="L336" s="132">
        <f t="shared" si="49"/>
        <v>0</v>
      </c>
      <c r="M336" s="132">
        <f t="shared" si="50"/>
        <v>0</v>
      </c>
      <c r="N336" s="133"/>
      <c r="O336" s="133">
        <f t="shared" si="51"/>
        <v>0</v>
      </c>
      <c r="P336" s="134"/>
      <c r="Q336" s="133"/>
      <c r="R336" s="133"/>
      <c r="S336" s="153">
        <v>0</v>
      </c>
      <c r="T336" s="153">
        <v>0</v>
      </c>
      <c r="U336" s="153">
        <v>0</v>
      </c>
      <c r="V336" s="135"/>
      <c r="W336" s="135"/>
      <c r="X336" s="135"/>
      <c r="Y336" s="135"/>
      <c r="Z336" s="135"/>
      <c r="AA336" s="135"/>
      <c r="AB336" s="135"/>
      <c r="AC336" s="135"/>
      <c r="AD336" s="133"/>
      <c r="AE336" s="133"/>
      <c r="AF336" s="132" t="str">
        <f t="shared" si="47"/>
        <v>Нет инфо</v>
      </c>
      <c r="AG336" s="132" t="str">
        <f t="shared" si="48"/>
        <v>Нет инфо</v>
      </c>
      <c r="AH336" s="2"/>
      <c r="AI336" s="136"/>
      <c r="AJ336" s="2"/>
      <c r="AK336" s="136"/>
      <c r="AL336" s="136"/>
      <c r="AM336" s="2"/>
      <c r="AN336" s="2"/>
      <c r="AO336" s="2"/>
      <c r="AP336" s="2"/>
      <c r="AQ336" s="136"/>
    </row>
    <row r="337" spans="1:43" s="115" customFormat="1" ht="12.75" hidden="1" customHeight="1" x14ac:dyDescent="0.2">
      <c r="A337" s="2">
        <v>2366</v>
      </c>
      <c r="B337" s="2"/>
      <c r="C337" s="131"/>
      <c r="D337" s="131"/>
      <c r="E337" s="131"/>
      <c r="F337" s="2"/>
      <c r="G337" s="2"/>
      <c r="H337" s="132">
        <v>0</v>
      </c>
      <c r="I337" s="132"/>
      <c r="J337" s="132"/>
      <c r="K337" s="132"/>
      <c r="L337" s="132">
        <f t="shared" si="49"/>
        <v>0</v>
      </c>
      <c r="M337" s="132">
        <f t="shared" si="50"/>
        <v>0</v>
      </c>
      <c r="N337" s="133"/>
      <c r="O337" s="133">
        <f t="shared" si="51"/>
        <v>0</v>
      </c>
      <c r="P337" s="134"/>
      <c r="Q337" s="133"/>
      <c r="R337" s="133"/>
      <c r="S337" s="153">
        <v>0</v>
      </c>
      <c r="T337" s="153">
        <v>0</v>
      </c>
      <c r="U337" s="153">
        <v>0</v>
      </c>
      <c r="V337" s="135"/>
      <c r="W337" s="135"/>
      <c r="X337" s="135"/>
      <c r="Y337" s="135"/>
      <c r="Z337" s="135"/>
      <c r="AA337" s="135"/>
      <c r="AB337" s="135"/>
      <c r="AC337" s="135"/>
      <c r="AD337" s="133"/>
      <c r="AE337" s="133"/>
      <c r="AF337" s="132" t="str">
        <f t="shared" si="47"/>
        <v>Нет инфо</v>
      </c>
      <c r="AG337" s="132" t="str">
        <f t="shared" si="48"/>
        <v>Нет инфо</v>
      </c>
      <c r="AH337" s="2"/>
      <c r="AI337" s="136"/>
      <c r="AJ337" s="2"/>
      <c r="AK337" s="136"/>
      <c r="AL337" s="136"/>
      <c r="AM337" s="2"/>
      <c r="AN337" s="2"/>
      <c r="AO337" s="2"/>
      <c r="AP337" s="2"/>
      <c r="AQ337" s="136"/>
    </row>
    <row r="338" spans="1:43" s="115" customFormat="1" ht="12.75" hidden="1" customHeight="1" x14ac:dyDescent="0.2">
      <c r="A338" s="2">
        <v>2367</v>
      </c>
      <c r="B338" s="2"/>
      <c r="C338" s="131"/>
      <c r="D338" s="131"/>
      <c r="E338" s="131"/>
      <c r="F338" s="2"/>
      <c r="G338" s="2"/>
      <c r="H338" s="132">
        <v>0</v>
      </c>
      <c r="I338" s="132"/>
      <c r="J338" s="132"/>
      <c r="K338" s="132"/>
      <c r="L338" s="132">
        <f t="shared" si="49"/>
        <v>0</v>
      </c>
      <c r="M338" s="132">
        <f t="shared" si="50"/>
        <v>0</v>
      </c>
      <c r="N338" s="133"/>
      <c r="O338" s="133">
        <f t="shared" si="51"/>
        <v>0</v>
      </c>
      <c r="P338" s="134"/>
      <c r="Q338" s="133"/>
      <c r="R338" s="133"/>
      <c r="S338" s="153">
        <v>0</v>
      </c>
      <c r="T338" s="153">
        <v>0</v>
      </c>
      <c r="U338" s="153">
        <v>0</v>
      </c>
      <c r="V338" s="135"/>
      <c r="W338" s="135"/>
      <c r="X338" s="135"/>
      <c r="Y338" s="135"/>
      <c r="Z338" s="135"/>
      <c r="AA338" s="135"/>
      <c r="AB338" s="135"/>
      <c r="AC338" s="135"/>
      <c r="AD338" s="133"/>
      <c r="AE338" s="133"/>
      <c r="AF338" s="132" t="str">
        <f t="shared" si="47"/>
        <v>Нет инфо</v>
      </c>
      <c r="AG338" s="132" t="str">
        <f t="shared" si="48"/>
        <v>Нет инфо</v>
      </c>
      <c r="AH338" s="2"/>
      <c r="AI338" s="136"/>
      <c r="AJ338" s="2"/>
      <c r="AK338" s="136"/>
      <c r="AL338" s="136"/>
      <c r="AM338" s="2"/>
      <c r="AN338" s="2"/>
      <c r="AO338" s="2"/>
      <c r="AP338" s="2"/>
      <c r="AQ338" s="136"/>
    </row>
    <row r="339" spans="1:43" s="115" customFormat="1" ht="12.75" hidden="1" customHeight="1" x14ac:dyDescent="0.2">
      <c r="A339" s="2">
        <v>2368</v>
      </c>
      <c r="B339" s="2"/>
      <c r="C339" s="131"/>
      <c r="D339" s="131"/>
      <c r="E339" s="131"/>
      <c r="F339" s="2"/>
      <c r="G339" s="2"/>
      <c r="H339" s="132">
        <v>0</v>
      </c>
      <c r="I339" s="132"/>
      <c r="J339" s="132"/>
      <c r="K339" s="132"/>
      <c r="L339" s="132">
        <f t="shared" si="49"/>
        <v>0</v>
      </c>
      <c r="M339" s="132">
        <f t="shared" si="50"/>
        <v>0</v>
      </c>
      <c r="N339" s="133"/>
      <c r="O339" s="133">
        <f t="shared" si="51"/>
        <v>0</v>
      </c>
      <c r="P339" s="134"/>
      <c r="Q339" s="133"/>
      <c r="R339" s="133"/>
      <c r="S339" s="153">
        <v>0</v>
      </c>
      <c r="T339" s="153">
        <v>0</v>
      </c>
      <c r="U339" s="153">
        <v>0</v>
      </c>
      <c r="V339" s="135"/>
      <c r="W339" s="135"/>
      <c r="X339" s="135"/>
      <c r="Y339" s="135"/>
      <c r="Z339" s="135"/>
      <c r="AA339" s="135"/>
      <c r="AB339" s="135"/>
      <c r="AC339" s="135"/>
      <c r="AD339" s="133"/>
      <c r="AE339" s="133"/>
      <c r="AF339" s="132" t="str">
        <f t="shared" si="47"/>
        <v>Нет инфо</v>
      </c>
      <c r="AG339" s="132" t="str">
        <f t="shared" si="48"/>
        <v>Нет инфо</v>
      </c>
      <c r="AH339" s="2"/>
      <c r="AI339" s="136"/>
      <c r="AJ339" s="2"/>
      <c r="AK339" s="136"/>
      <c r="AL339" s="136"/>
      <c r="AM339" s="2"/>
      <c r="AN339" s="2"/>
      <c r="AO339" s="2"/>
      <c r="AP339" s="2"/>
      <c r="AQ339" s="136"/>
    </row>
    <row r="340" spans="1:43" s="115" customFormat="1" ht="12.75" hidden="1" customHeight="1" x14ac:dyDescent="0.2">
      <c r="A340" s="2">
        <v>2369</v>
      </c>
      <c r="B340" s="2"/>
      <c r="C340" s="131"/>
      <c r="D340" s="131"/>
      <c r="E340" s="131"/>
      <c r="F340" s="2"/>
      <c r="G340" s="2"/>
      <c r="H340" s="132">
        <v>0</v>
      </c>
      <c r="I340" s="132"/>
      <c r="J340" s="132"/>
      <c r="K340" s="132"/>
      <c r="L340" s="132">
        <f t="shared" si="49"/>
        <v>0</v>
      </c>
      <c r="M340" s="132">
        <f t="shared" si="50"/>
        <v>0</v>
      </c>
      <c r="N340" s="133"/>
      <c r="O340" s="133">
        <f t="shared" si="51"/>
        <v>0</v>
      </c>
      <c r="P340" s="134"/>
      <c r="Q340" s="133"/>
      <c r="R340" s="133"/>
      <c r="S340" s="153">
        <v>0</v>
      </c>
      <c r="T340" s="153">
        <v>0</v>
      </c>
      <c r="U340" s="153">
        <v>0</v>
      </c>
      <c r="V340" s="135"/>
      <c r="W340" s="135"/>
      <c r="X340" s="135"/>
      <c r="Y340" s="135"/>
      <c r="Z340" s="135"/>
      <c r="AA340" s="135"/>
      <c r="AB340" s="135"/>
      <c r="AC340" s="135"/>
      <c r="AD340" s="133"/>
      <c r="AE340" s="133"/>
      <c r="AF340" s="132" t="str">
        <f t="shared" si="47"/>
        <v>Нет инфо</v>
      </c>
      <c r="AG340" s="132" t="str">
        <f t="shared" si="48"/>
        <v>Нет инфо</v>
      </c>
      <c r="AH340" s="2"/>
      <c r="AI340" s="136"/>
      <c r="AJ340" s="2"/>
      <c r="AK340" s="136"/>
      <c r="AL340" s="136"/>
      <c r="AM340" s="2"/>
      <c r="AN340" s="2"/>
      <c r="AO340" s="2"/>
      <c r="AP340" s="2"/>
      <c r="AQ340" s="136"/>
    </row>
    <row r="341" spans="1:43" s="115" customFormat="1" ht="12.75" hidden="1" customHeight="1" x14ac:dyDescent="0.2">
      <c r="A341" s="2">
        <v>2370</v>
      </c>
      <c r="B341" s="2"/>
      <c r="C341" s="131"/>
      <c r="D341" s="131"/>
      <c r="E341" s="131"/>
      <c r="F341" s="2"/>
      <c r="G341" s="2"/>
      <c r="H341" s="132">
        <v>0</v>
      </c>
      <c r="I341" s="132"/>
      <c r="J341" s="132"/>
      <c r="K341" s="132"/>
      <c r="L341" s="132">
        <f t="shared" si="49"/>
        <v>0</v>
      </c>
      <c r="M341" s="132">
        <f t="shared" si="50"/>
        <v>0</v>
      </c>
      <c r="N341" s="133"/>
      <c r="O341" s="133">
        <f t="shared" si="51"/>
        <v>0</v>
      </c>
      <c r="P341" s="134"/>
      <c r="Q341" s="133"/>
      <c r="R341" s="133"/>
      <c r="S341" s="153">
        <v>0</v>
      </c>
      <c r="T341" s="153">
        <v>0</v>
      </c>
      <c r="U341" s="153">
        <v>0</v>
      </c>
      <c r="V341" s="135"/>
      <c r="W341" s="135"/>
      <c r="X341" s="135"/>
      <c r="Y341" s="135"/>
      <c r="Z341" s="135"/>
      <c r="AA341" s="135"/>
      <c r="AB341" s="135"/>
      <c r="AC341" s="135"/>
      <c r="AD341" s="133"/>
      <c r="AE341" s="133"/>
      <c r="AF341" s="132" t="str">
        <f t="shared" si="47"/>
        <v>Нет инфо</v>
      </c>
      <c r="AG341" s="132" t="str">
        <f t="shared" si="48"/>
        <v>Нет инфо</v>
      </c>
      <c r="AH341" s="2"/>
      <c r="AI341" s="136"/>
      <c r="AJ341" s="2"/>
      <c r="AK341" s="136"/>
      <c r="AL341" s="136"/>
      <c r="AM341" s="2"/>
      <c r="AN341" s="2"/>
      <c r="AO341" s="2"/>
      <c r="AP341" s="2"/>
      <c r="AQ341" s="136"/>
    </row>
    <row r="342" spans="1:43" s="115" customFormat="1" ht="12.75" hidden="1" customHeight="1" x14ac:dyDescent="0.2">
      <c r="A342" s="2">
        <v>2371</v>
      </c>
      <c r="B342" s="2"/>
      <c r="C342" s="131"/>
      <c r="D342" s="131"/>
      <c r="E342" s="131"/>
      <c r="F342" s="2"/>
      <c r="G342" s="2"/>
      <c r="H342" s="132">
        <v>0</v>
      </c>
      <c r="I342" s="132"/>
      <c r="J342" s="132"/>
      <c r="K342" s="132"/>
      <c r="L342" s="132">
        <f t="shared" si="49"/>
        <v>0</v>
      </c>
      <c r="M342" s="132">
        <f t="shared" si="50"/>
        <v>0</v>
      </c>
      <c r="N342" s="133"/>
      <c r="O342" s="133">
        <f t="shared" si="51"/>
        <v>0</v>
      </c>
      <c r="P342" s="134"/>
      <c r="Q342" s="133"/>
      <c r="R342" s="133"/>
      <c r="S342" s="153">
        <v>0</v>
      </c>
      <c r="T342" s="153">
        <v>0</v>
      </c>
      <c r="U342" s="153">
        <v>0</v>
      </c>
      <c r="V342" s="135"/>
      <c r="W342" s="135"/>
      <c r="X342" s="135"/>
      <c r="Y342" s="135"/>
      <c r="Z342" s="135"/>
      <c r="AA342" s="135"/>
      <c r="AB342" s="135"/>
      <c r="AC342" s="135"/>
      <c r="AD342" s="133"/>
      <c r="AE342" s="133"/>
      <c r="AF342" s="132" t="str">
        <f t="shared" si="47"/>
        <v>Нет инфо</v>
      </c>
      <c r="AG342" s="132" t="str">
        <f t="shared" si="48"/>
        <v>Нет инфо</v>
      </c>
      <c r="AH342" s="2"/>
      <c r="AI342" s="136"/>
      <c r="AJ342" s="2"/>
      <c r="AK342" s="136"/>
      <c r="AL342" s="136"/>
      <c r="AM342" s="2"/>
      <c r="AN342" s="2"/>
      <c r="AO342" s="2"/>
      <c r="AP342" s="2"/>
      <c r="AQ342" s="136"/>
    </row>
    <row r="343" spans="1:43" s="115" customFormat="1" ht="12.75" hidden="1" customHeight="1" x14ac:dyDescent="0.2">
      <c r="A343" s="2">
        <v>2372</v>
      </c>
      <c r="B343" s="2"/>
      <c r="C343" s="131"/>
      <c r="D343" s="131"/>
      <c r="E343" s="131"/>
      <c r="F343" s="2"/>
      <c r="G343" s="2"/>
      <c r="H343" s="132">
        <v>0</v>
      </c>
      <c r="I343" s="132"/>
      <c r="J343" s="132"/>
      <c r="K343" s="132"/>
      <c r="L343" s="132">
        <f t="shared" si="49"/>
        <v>0</v>
      </c>
      <c r="M343" s="132">
        <f t="shared" si="50"/>
        <v>0</v>
      </c>
      <c r="N343" s="133"/>
      <c r="O343" s="133">
        <f t="shared" si="51"/>
        <v>0</v>
      </c>
      <c r="P343" s="134"/>
      <c r="Q343" s="133"/>
      <c r="R343" s="133"/>
      <c r="S343" s="153">
        <v>0</v>
      </c>
      <c r="T343" s="153">
        <v>0</v>
      </c>
      <c r="U343" s="153">
        <v>0</v>
      </c>
      <c r="V343" s="135"/>
      <c r="W343" s="135"/>
      <c r="X343" s="135"/>
      <c r="Y343" s="135"/>
      <c r="Z343" s="135"/>
      <c r="AA343" s="135"/>
      <c r="AB343" s="135"/>
      <c r="AC343" s="135"/>
      <c r="AD343" s="133"/>
      <c r="AE343" s="133"/>
      <c r="AF343" s="132" t="str">
        <f t="shared" si="47"/>
        <v>Нет инфо</v>
      </c>
      <c r="AG343" s="132" t="str">
        <f t="shared" si="48"/>
        <v>Нет инфо</v>
      </c>
      <c r="AH343" s="2"/>
      <c r="AI343" s="136"/>
      <c r="AJ343" s="2"/>
      <c r="AK343" s="136"/>
      <c r="AL343" s="136"/>
      <c r="AM343" s="2"/>
      <c r="AN343" s="2"/>
      <c r="AO343" s="2"/>
      <c r="AP343" s="2"/>
      <c r="AQ343" s="136"/>
    </row>
    <row r="344" spans="1:43" s="115" customFormat="1" ht="12.75" hidden="1" customHeight="1" x14ac:dyDescent="0.2">
      <c r="A344" s="2">
        <v>2373</v>
      </c>
      <c r="B344" s="2"/>
      <c r="C344" s="131"/>
      <c r="D344" s="131"/>
      <c r="E344" s="131"/>
      <c r="F344" s="2"/>
      <c r="G344" s="2"/>
      <c r="H344" s="132">
        <v>0</v>
      </c>
      <c r="I344" s="132"/>
      <c r="J344" s="132"/>
      <c r="K344" s="132"/>
      <c r="L344" s="132">
        <f t="shared" si="49"/>
        <v>0</v>
      </c>
      <c r="M344" s="132">
        <f t="shared" si="50"/>
        <v>0</v>
      </c>
      <c r="N344" s="133"/>
      <c r="O344" s="133">
        <f t="shared" si="51"/>
        <v>0</v>
      </c>
      <c r="P344" s="134"/>
      <c r="Q344" s="133"/>
      <c r="R344" s="133"/>
      <c r="S344" s="153">
        <v>0</v>
      </c>
      <c r="T344" s="153">
        <v>0</v>
      </c>
      <c r="U344" s="153">
        <v>0</v>
      </c>
      <c r="V344" s="135"/>
      <c r="W344" s="135"/>
      <c r="X344" s="135"/>
      <c r="Y344" s="135"/>
      <c r="Z344" s="135"/>
      <c r="AA344" s="135"/>
      <c r="AB344" s="135"/>
      <c r="AC344" s="135"/>
      <c r="AD344" s="133"/>
      <c r="AE344" s="133"/>
      <c r="AF344" s="132" t="str">
        <f t="shared" si="47"/>
        <v>Нет инфо</v>
      </c>
      <c r="AG344" s="132" t="str">
        <f t="shared" si="48"/>
        <v>Нет инфо</v>
      </c>
      <c r="AH344" s="2"/>
      <c r="AI344" s="136"/>
      <c r="AJ344" s="2"/>
      <c r="AK344" s="136"/>
      <c r="AL344" s="136"/>
      <c r="AM344" s="2"/>
      <c r="AN344" s="2"/>
      <c r="AO344" s="2"/>
      <c r="AP344" s="2"/>
      <c r="AQ344" s="136"/>
    </row>
    <row r="345" spans="1:43" s="115" customFormat="1" ht="12.75" hidden="1" customHeight="1" x14ac:dyDescent="0.2">
      <c r="A345" s="2">
        <v>2374</v>
      </c>
      <c r="B345" s="2"/>
      <c r="C345" s="131"/>
      <c r="D345" s="131"/>
      <c r="E345" s="131"/>
      <c r="F345" s="2"/>
      <c r="G345" s="2"/>
      <c r="H345" s="132">
        <v>0</v>
      </c>
      <c r="I345" s="132"/>
      <c r="J345" s="132"/>
      <c r="K345" s="132"/>
      <c r="L345" s="132">
        <f t="shared" si="49"/>
        <v>0</v>
      </c>
      <c r="M345" s="132">
        <f t="shared" si="50"/>
        <v>0</v>
      </c>
      <c r="N345" s="133"/>
      <c r="O345" s="133">
        <f t="shared" si="51"/>
        <v>0</v>
      </c>
      <c r="P345" s="134"/>
      <c r="Q345" s="133"/>
      <c r="R345" s="133"/>
      <c r="S345" s="153">
        <v>0</v>
      </c>
      <c r="T345" s="153">
        <v>0</v>
      </c>
      <c r="U345" s="153">
        <v>0</v>
      </c>
      <c r="V345" s="135"/>
      <c r="W345" s="135"/>
      <c r="X345" s="135"/>
      <c r="Y345" s="135"/>
      <c r="Z345" s="135"/>
      <c r="AA345" s="135"/>
      <c r="AB345" s="135"/>
      <c r="AC345" s="135"/>
      <c r="AD345" s="133"/>
      <c r="AE345" s="133"/>
      <c r="AF345" s="132" t="str">
        <f t="shared" si="47"/>
        <v>Нет инфо</v>
      </c>
      <c r="AG345" s="132" t="str">
        <f t="shared" si="48"/>
        <v>Нет инфо</v>
      </c>
      <c r="AH345" s="2"/>
      <c r="AI345" s="136"/>
      <c r="AJ345" s="2"/>
      <c r="AK345" s="136"/>
      <c r="AL345" s="136"/>
      <c r="AM345" s="2"/>
      <c r="AN345" s="2"/>
      <c r="AO345" s="2"/>
      <c r="AP345" s="2"/>
      <c r="AQ345" s="136"/>
    </row>
    <row r="346" spans="1:43" s="115" customFormat="1" ht="12.75" hidden="1" customHeight="1" x14ac:dyDescent="0.2">
      <c r="A346" s="2">
        <v>2375</v>
      </c>
      <c r="B346" s="2"/>
      <c r="C346" s="131"/>
      <c r="D346" s="131"/>
      <c r="E346" s="131"/>
      <c r="F346" s="2"/>
      <c r="G346" s="2"/>
      <c r="H346" s="132">
        <v>0</v>
      </c>
      <c r="I346" s="132"/>
      <c r="J346" s="132"/>
      <c r="K346" s="132"/>
      <c r="L346" s="132">
        <f t="shared" si="49"/>
        <v>0</v>
      </c>
      <c r="M346" s="132">
        <f t="shared" si="50"/>
        <v>0</v>
      </c>
      <c r="N346" s="133"/>
      <c r="O346" s="133">
        <f t="shared" si="51"/>
        <v>0</v>
      </c>
      <c r="P346" s="134"/>
      <c r="Q346" s="133"/>
      <c r="R346" s="133"/>
      <c r="S346" s="153">
        <v>0</v>
      </c>
      <c r="T346" s="153">
        <v>0</v>
      </c>
      <c r="U346" s="153">
        <v>0</v>
      </c>
      <c r="V346" s="135"/>
      <c r="W346" s="135"/>
      <c r="X346" s="135"/>
      <c r="Y346" s="135"/>
      <c r="Z346" s="135"/>
      <c r="AA346" s="135"/>
      <c r="AB346" s="135"/>
      <c r="AC346" s="135"/>
      <c r="AD346" s="133"/>
      <c r="AE346" s="133"/>
      <c r="AF346" s="132" t="str">
        <f t="shared" si="47"/>
        <v>Нет инфо</v>
      </c>
      <c r="AG346" s="132" t="str">
        <f t="shared" si="48"/>
        <v>Нет инфо</v>
      </c>
      <c r="AH346" s="2"/>
      <c r="AI346" s="136"/>
      <c r="AJ346" s="2"/>
      <c r="AK346" s="136"/>
      <c r="AL346" s="136"/>
      <c r="AM346" s="2"/>
      <c r="AN346" s="2"/>
      <c r="AO346" s="2"/>
      <c r="AP346" s="2"/>
      <c r="AQ346" s="136"/>
    </row>
    <row r="347" spans="1:43" s="115" customFormat="1" ht="12.75" hidden="1" customHeight="1" x14ac:dyDescent="0.2">
      <c r="A347" s="2">
        <v>2376</v>
      </c>
      <c r="B347" s="2"/>
      <c r="C347" s="131"/>
      <c r="D347" s="131"/>
      <c r="E347" s="131"/>
      <c r="F347" s="2"/>
      <c r="G347" s="2"/>
      <c r="H347" s="132">
        <v>0</v>
      </c>
      <c r="I347" s="132"/>
      <c r="J347" s="132"/>
      <c r="K347" s="132"/>
      <c r="L347" s="132">
        <f t="shared" si="49"/>
        <v>0</v>
      </c>
      <c r="M347" s="132">
        <f t="shared" si="50"/>
        <v>0</v>
      </c>
      <c r="N347" s="133"/>
      <c r="O347" s="133">
        <f t="shared" si="51"/>
        <v>0</v>
      </c>
      <c r="P347" s="134"/>
      <c r="Q347" s="133"/>
      <c r="R347" s="133"/>
      <c r="S347" s="153">
        <v>0</v>
      </c>
      <c r="T347" s="153">
        <v>0</v>
      </c>
      <c r="U347" s="153">
        <v>0</v>
      </c>
      <c r="V347" s="135"/>
      <c r="W347" s="135"/>
      <c r="X347" s="135"/>
      <c r="Y347" s="135"/>
      <c r="Z347" s="135"/>
      <c r="AA347" s="135"/>
      <c r="AB347" s="135"/>
      <c r="AC347" s="135"/>
      <c r="AD347" s="133"/>
      <c r="AE347" s="133"/>
      <c r="AF347" s="132" t="str">
        <f t="shared" si="47"/>
        <v>Нет инфо</v>
      </c>
      <c r="AG347" s="132" t="str">
        <f t="shared" si="48"/>
        <v>Нет инфо</v>
      </c>
      <c r="AH347" s="2"/>
      <c r="AI347" s="136"/>
      <c r="AJ347" s="2"/>
      <c r="AK347" s="136"/>
      <c r="AL347" s="136"/>
      <c r="AM347" s="2"/>
      <c r="AN347" s="2"/>
      <c r="AO347" s="2"/>
      <c r="AP347" s="2"/>
      <c r="AQ347" s="136"/>
    </row>
    <row r="348" spans="1:43" s="115" customFormat="1" ht="12.75" hidden="1" customHeight="1" x14ac:dyDescent="0.2">
      <c r="A348" s="2">
        <v>2377</v>
      </c>
      <c r="B348" s="2"/>
      <c r="C348" s="131"/>
      <c r="D348" s="131"/>
      <c r="E348" s="131"/>
      <c r="F348" s="2"/>
      <c r="G348" s="2"/>
      <c r="H348" s="132">
        <v>0</v>
      </c>
      <c r="I348" s="132"/>
      <c r="J348" s="132"/>
      <c r="K348" s="132"/>
      <c r="L348" s="132">
        <f t="shared" si="49"/>
        <v>0</v>
      </c>
      <c r="M348" s="132">
        <f t="shared" si="50"/>
        <v>0</v>
      </c>
      <c r="N348" s="133"/>
      <c r="O348" s="133">
        <f t="shared" si="51"/>
        <v>0</v>
      </c>
      <c r="P348" s="134"/>
      <c r="Q348" s="133"/>
      <c r="R348" s="133"/>
      <c r="S348" s="153">
        <v>0</v>
      </c>
      <c r="T348" s="153">
        <v>0</v>
      </c>
      <c r="U348" s="153">
        <v>0</v>
      </c>
      <c r="V348" s="135"/>
      <c r="W348" s="135"/>
      <c r="X348" s="135"/>
      <c r="Y348" s="135"/>
      <c r="Z348" s="135"/>
      <c r="AA348" s="135"/>
      <c r="AB348" s="135"/>
      <c r="AC348" s="135"/>
      <c r="AD348" s="133"/>
      <c r="AE348" s="133"/>
      <c r="AF348" s="132" t="str">
        <f t="shared" si="47"/>
        <v>Нет инфо</v>
      </c>
      <c r="AG348" s="132" t="str">
        <f t="shared" si="48"/>
        <v>Нет инфо</v>
      </c>
      <c r="AH348" s="2"/>
      <c r="AI348" s="136"/>
      <c r="AJ348" s="2"/>
      <c r="AK348" s="136"/>
      <c r="AL348" s="136"/>
      <c r="AM348" s="2"/>
      <c r="AN348" s="2"/>
      <c r="AO348" s="2"/>
      <c r="AP348" s="2"/>
      <c r="AQ348" s="136"/>
    </row>
    <row r="349" spans="1:43" s="115" customFormat="1" ht="12.75" hidden="1" customHeight="1" x14ac:dyDescent="0.2">
      <c r="A349" s="2">
        <v>2378</v>
      </c>
      <c r="B349" s="2"/>
      <c r="C349" s="131"/>
      <c r="D349" s="131"/>
      <c r="E349" s="131"/>
      <c r="F349" s="2"/>
      <c r="G349" s="2"/>
      <c r="H349" s="132">
        <v>0</v>
      </c>
      <c r="I349" s="132"/>
      <c r="J349" s="132"/>
      <c r="K349" s="132"/>
      <c r="L349" s="132">
        <f t="shared" si="49"/>
        <v>0</v>
      </c>
      <c r="M349" s="132">
        <f t="shared" si="50"/>
        <v>0</v>
      </c>
      <c r="N349" s="133"/>
      <c r="O349" s="133">
        <f t="shared" si="51"/>
        <v>0</v>
      </c>
      <c r="P349" s="134"/>
      <c r="Q349" s="133"/>
      <c r="R349" s="133"/>
      <c r="S349" s="153">
        <v>0</v>
      </c>
      <c r="T349" s="153">
        <v>0</v>
      </c>
      <c r="U349" s="153">
        <v>0</v>
      </c>
      <c r="V349" s="135"/>
      <c r="W349" s="135"/>
      <c r="X349" s="135"/>
      <c r="Y349" s="135"/>
      <c r="Z349" s="135"/>
      <c r="AA349" s="135"/>
      <c r="AB349" s="135"/>
      <c r="AC349" s="135"/>
      <c r="AD349" s="133"/>
      <c r="AE349" s="133"/>
      <c r="AF349" s="132" t="str">
        <f t="shared" si="47"/>
        <v>Нет инфо</v>
      </c>
      <c r="AG349" s="132" t="str">
        <f t="shared" si="48"/>
        <v>Нет инфо</v>
      </c>
      <c r="AH349" s="2"/>
      <c r="AI349" s="136"/>
      <c r="AJ349" s="2"/>
      <c r="AK349" s="136"/>
      <c r="AL349" s="136"/>
      <c r="AM349" s="2"/>
      <c r="AN349" s="2"/>
      <c r="AO349" s="2"/>
      <c r="AP349" s="2"/>
      <c r="AQ349" s="136"/>
    </row>
    <row r="350" spans="1:43" s="115" customFormat="1" ht="12.75" hidden="1" customHeight="1" x14ac:dyDescent="0.2">
      <c r="A350" s="2">
        <v>2379</v>
      </c>
      <c r="B350" s="2"/>
      <c r="C350" s="131"/>
      <c r="D350" s="131"/>
      <c r="E350" s="131"/>
      <c r="F350" s="2"/>
      <c r="G350" s="2"/>
      <c r="H350" s="132">
        <v>0</v>
      </c>
      <c r="I350" s="132"/>
      <c r="J350" s="132"/>
      <c r="K350" s="132"/>
      <c r="L350" s="132">
        <f t="shared" si="49"/>
        <v>0</v>
      </c>
      <c r="M350" s="132">
        <f t="shared" si="50"/>
        <v>0</v>
      </c>
      <c r="N350" s="133"/>
      <c r="O350" s="133">
        <f t="shared" si="51"/>
        <v>0</v>
      </c>
      <c r="P350" s="134"/>
      <c r="Q350" s="133"/>
      <c r="R350" s="133"/>
      <c r="S350" s="153">
        <v>0</v>
      </c>
      <c r="T350" s="153">
        <v>0</v>
      </c>
      <c r="U350" s="153">
        <v>0</v>
      </c>
      <c r="V350" s="135"/>
      <c r="W350" s="135"/>
      <c r="X350" s="135"/>
      <c r="Y350" s="135"/>
      <c r="Z350" s="135"/>
      <c r="AA350" s="135"/>
      <c r="AB350" s="135"/>
      <c r="AC350" s="135"/>
      <c r="AD350" s="133"/>
      <c r="AE350" s="133"/>
      <c r="AF350" s="132" t="str">
        <f t="shared" si="47"/>
        <v>Нет инфо</v>
      </c>
      <c r="AG350" s="132" t="str">
        <f t="shared" si="48"/>
        <v>Нет инфо</v>
      </c>
      <c r="AH350" s="2"/>
      <c r="AI350" s="136"/>
      <c r="AJ350" s="2"/>
      <c r="AK350" s="136"/>
      <c r="AL350" s="136"/>
      <c r="AM350" s="2"/>
      <c r="AN350" s="2"/>
      <c r="AO350" s="2"/>
      <c r="AP350" s="2"/>
      <c r="AQ350" s="136"/>
    </row>
    <row r="351" spans="1:43" s="115" customFormat="1" ht="12.75" hidden="1" customHeight="1" x14ac:dyDescent="0.2">
      <c r="A351" s="2">
        <v>2380</v>
      </c>
      <c r="B351" s="2"/>
      <c r="C351" s="131"/>
      <c r="D351" s="131"/>
      <c r="E351" s="131"/>
      <c r="F351" s="2"/>
      <c r="G351" s="2"/>
      <c r="H351" s="132">
        <v>0</v>
      </c>
      <c r="I351" s="132"/>
      <c r="J351" s="132"/>
      <c r="K351" s="132"/>
      <c r="L351" s="132">
        <f t="shared" si="49"/>
        <v>0</v>
      </c>
      <c r="M351" s="132">
        <f t="shared" si="50"/>
        <v>0</v>
      </c>
      <c r="N351" s="133"/>
      <c r="O351" s="133">
        <f t="shared" si="51"/>
        <v>0</v>
      </c>
      <c r="P351" s="134"/>
      <c r="Q351" s="133"/>
      <c r="R351" s="133"/>
      <c r="S351" s="153">
        <v>0</v>
      </c>
      <c r="T351" s="153">
        <v>0</v>
      </c>
      <c r="U351" s="153">
        <v>0</v>
      </c>
      <c r="V351" s="135"/>
      <c r="W351" s="135"/>
      <c r="X351" s="135"/>
      <c r="Y351" s="135"/>
      <c r="Z351" s="135"/>
      <c r="AA351" s="135"/>
      <c r="AB351" s="135"/>
      <c r="AC351" s="135"/>
      <c r="AD351" s="133"/>
      <c r="AE351" s="133"/>
      <c r="AF351" s="132" t="str">
        <f t="shared" si="47"/>
        <v>Нет инфо</v>
      </c>
      <c r="AG351" s="132" t="str">
        <f t="shared" si="48"/>
        <v>Нет инфо</v>
      </c>
      <c r="AH351" s="2"/>
      <c r="AI351" s="136"/>
      <c r="AJ351" s="2"/>
      <c r="AK351" s="136"/>
      <c r="AL351" s="136"/>
      <c r="AM351" s="2"/>
      <c r="AN351" s="2"/>
      <c r="AO351" s="2"/>
      <c r="AP351" s="2"/>
      <c r="AQ351" s="136"/>
    </row>
    <row r="352" spans="1:43" s="115" customFormat="1" ht="12.75" hidden="1" customHeight="1" x14ac:dyDescent="0.2">
      <c r="A352" s="2">
        <v>2381</v>
      </c>
      <c r="B352" s="2"/>
      <c r="C352" s="131"/>
      <c r="D352" s="131"/>
      <c r="E352" s="131"/>
      <c r="F352" s="2"/>
      <c r="G352" s="2"/>
      <c r="H352" s="132">
        <v>0</v>
      </c>
      <c r="I352" s="132"/>
      <c r="J352" s="132"/>
      <c r="K352" s="132"/>
      <c r="L352" s="132">
        <f t="shared" si="49"/>
        <v>0</v>
      </c>
      <c r="M352" s="132">
        <f t="shared" si="50"/>
        <v>0</v>
      </c>
      <c r="N352" s="133"/>
      <c r="O352" s="133">
        <f t="shared" si="51"/>
        <v>0</v>
      </c>
      <c r="P352" s="134"/>
      <c r="Q352" s="133"/>
      <c r="R352" s="133"/>
      <c r="S352" s="153">
        <v>0</v>
      </c>
      <c r="T352" s="153">
        <v>0</v>
      </c>
      <c r="U352" s="153">
        <v>0</v>
      </c>
      <c r="V352" s="135"/>
      <c r="W352" s="135"/>
      <c r="X352" s="135"/>
      <c r="Y352" s="135"/>
      <c r="Z352" s="135"/>
      <c r="AA352" s="135"/>
      <c r="AB352" s="135"/>
      <c r="AC352" s="135"/>
      <c r="AD352" s="133"/>
      <c r="AE352" s="133"/>
      <c r="AF352" s="132" t="str">
        <f t="shared" si="47"/>
        <v>Нет инфо</v>
      </c>
      <c r="AG352" s="132" t="str">
        <f t="shared" si="48"/>
        <v>Нет инфо</v>
      </c>
      <c r="AH352" s="2"/>
      <c r="AI352" s="136"/>
      <c r="AJ352" s="2"/>
      <c r="AK352" s="136"/>
      <c r="AL352" s="136"/>
      <c r="AM352" s="2"/>
      <c r="AN352" s="2"/>
      <c r="AO352" s="2"/>
      <c r="AP352" s="2"/>
      <c r="AQ352" s="136"/>
    </row>
    <row r="353" spans="1:43" s="115" customFormat="1" ht="12.75" hidden="1" customHeight="1" x14ac:dyDescent="0.2">
      <c r="A353" s="2">
        <v>2382</v>
      </c>
      <c r="B353" s="2"/>
      <c r="C353" s="131"/>
      <c r="D353" s="131"/>
      <c r="E353" s="131"/>
      <c r="F353" s="2"/>
      <c r="G353" s="2"/>
      <c r="H353" s="132">
        <v>0</v>
      </c>
      <c r="I353" s="132"/>
      <c r="J353" s="132"/>
      <c r="K353" s="132"/>
      <c r="L353" s="132">
        <f t="shared" si="49"/>
        <v>0</v>
      </c>
      <c r="M353" s="132">
        <f t="shared" si="50"/>
        <v>0</v>
      </c>
      <c r="N353" s="133"/>
      <c r="O353" s="133">
        <f t="shared" si="51"/>
        <v>0</v>
      </c>
      <c r="P353" s="134"/>
      <c r="Q353" s="133"/>
      <c r="R353" s="133"/>
      <c r="S353" s="153">
        <v>0</v>
      </c>
      <c r="T353" s="153">
        <v>0</v>
      </c>
      <c r="U353" s="153">
        <v>0</v>
      </c>
      <c r="V353" s="135"/>
      <c r="W353" s="135"/>
      <c r="X353" s="135"/>
      <c r="Y353" s="135"/>
      <c r="Z353" s="135"/>
      <c r="AA353" s="135"/>
      <c r="AB353" s="135"/>
      <c r="AC353" s="135"/>
      <c r="AD353" s="133"/>
      <c r="AE353" s="133"/>
      <c r="AF353" s="132" t="str">
        <f t="shared" si="47"/>
        <v>Нет инфо</v>
      </c>
      <c r="AG353" s="132" t="str">
        <f t="shared" si="48"/>
        <v>Нет инфо</v>
      </c>
      <c r="AH353" s="2"/>
      <c r="AI353" s="136"/>
      <c r="AJ353" s="2"/>
      <c r="AK353" s="136"/>
      <c r="AL353" s="136"/>
      <c r="AM353" s="2"/>
      <c r="AN353" s="2"/>
      <c r="AO353" s="2"/>
      <c r="AP353" s="2"/>
      <c r="AQ353" s="136"/>
    </row>
    <row r="354" spans="1:43" s="115" customFormat="1" ht="12.75" hidden="1" customHeight="1" x14ac:dyDescent="0.2">
      <c r="A354" s="2">
        <v>2383</v>
      </c>
      <c r="B354" s="2"/>
      <c r="C354" s="131"/>
      <c r="D354" s="131"/>
      <c r="E354" s="131"/>
      <c r="F354" s="2"/>
      <c r="G354" s="2"/>
      <c r="H354" s="132">
        <v>0</v>
      </c>
      <c r="I354" s="132"/>
      <c r="J354" s="132"/>
      <c r="K354" s="132"/>
      <c r="L354" s="132">
        <f t="shared" si="49"/>
        <v>0</v>
      </c>
      <c r="M354" s="132">
        <f t="shared" si="50"/>
        <v>0</v>
      </c>
      <c r="N354" s="133"/>
      <c r="O354" s="133">
        <f t="shared" si="51"/>
        <v>0</v>
      </c>
      <c r="P354" s="134"/>
      <c r="Q354" s="133"/>
      <c r="R354" s="133"/>
      <c r="S354" s="153">
        <v>0</v>
      </c>
      <c r="T354" s="153">
        <v>0</v>
      </c>
      <c r="U354" s="153">
        <v>0</v>
      </c>
      <c r="V354" s="135"/>
      <c r="W354" s="135"/>
      <c r="X354" s="135"/>
      <c r="Y354" s="135"/>
      <c r="Z354" s="135"/>
      <c r="AA354" s="135"/>
      <c r="AB354" s="135"/>
      <c r="AC354" s="135"/>
      <c r="AD354" s="133"/>
      <c r="AE354" s="133"/>
      <c r="AF354" s="132" t="str">
        <f t="shared" si="47"/>
        <v>Нет инфо</v>
      </c>
      <c r="AG354" s="132" t="str">
        <f t="shared" si="48"/>
        <v>Нет инфо</v>
      </c>
      <c r="AH354" s="2"/>
      <c r="AI354" s="136"/>
      <c r="AJ354" s="2"/>
      <c r="AK354" s="136"/>
      <c r="AL354" s="136"/>
      <c r="AM354" s="2"/>
      <c r="AN354" s="2"/>
      <c r="AO354" s="2"/>
      <c r="AP354" s="2"/>
      <c r="AQ354" s="136"/>
    </row>
    <row r="355" spans="1:43" s="115" customFormat="1" ht="12.75" hidden="1" customHeight="1" x14ac:dyDescent="0.2">
      <c r="A355" s="2">
        <v>2384</v>
      </c>
      <c r="B355" s="2"/>
      <c r="C355" s="131"/>
      <c r="D355" s="131"/>
      <c r="E355" s="131"/>
      <c r="F355" s="2"/>
      <c r="G355" s="2"/>
      <c r="H355" s="132">
        <v>0</v>
      </c>
      <c r="I355" s="132"/>
      <c r="J355" s="132"/>
      <c r="K355" s="132"/>
      <c r="L355" s="132">
        <f t="shared" si="49"/>
        <v>0</v>
      </c>
      <c r="M355" s="132">
        <f t="shared" si="50"/>
        <v>0</v>
      </c>
      <c r="N355" s="133"/>
      <c r="O355" s="133">
        <f t="shared" si="51"/>
        <v>0</v>
      </c>
      <c r="P355" s="134"/>
      <c r="Q355" s="133"/>
      <c r="R355" s="133"/>
      <c r="S355" s="153">
        <v>0</v>
      </c>
      <c r="T355" s="153">
        <v>0</v>
      </c>
      <c r="U355" s="153">
        <v>0</v>
      </c>
      <c r="V355" s="135"/>
      <c r="W355" s="135"/>
      <c r="X355" s="135"/>
      <c r="Y355" s="135"/>
      <c r="Z355" s="135"/>
      <c r="AA355" s="135"/>
      <c r="AB355" s="135"/>
      <c r="AC355" s="135"/>
      <c r="AD355" s="133"/>
      <c r="AE355" s="133"/>
      <c r="AF355" s="132" t="str">
        <f t="shared" si="47"/>
        <v>Нет инфо</v>
      </c>
      <c r="AG355" s="132" t="str">
        <f t="shared" si="48"/>
        <v>Нет инфо</v>
      </c>
      <c r="AH355" s="2"/>
      <c r="AI355" s="136"/>
      <c r="AJ355" s="2"/>
      <c r="AK355" s="136"/>
      <c r="AL355" s="136"/>
      <c r="AM355" s="2"/>
      <c r="AN355" s="2"/>
      <c r="AO355" s="2"/>
      <c r="AP355" s="2"/>
      <c r="AQ355" s="136"/>
    </row>
    <row r="356" spans="1:43" s="115" customFormat="1" ht="12.75" hidden="1" customHeight="1" x14ac:dyDescent="0.2">
      <c r="A356" s="2">
        <v>2385</v>
      </c>
      <c r="B356" s="2"/>
      <c r="C356" s="131"/>
      <c r="D356" s="131"/>
      <c r="E356" s="131"/>
      <c r="F356" s="2"/>
      <c r="G356" s="2"/>
      <c r="H356" s="132">
        <v>0</v>
      </c>
      <c r="I356" s="132"/>
      <c r="J356" s="132"/>
      <c r="K356" s="132"/>
      <c r="L356" s="132">
        <f t="shared" si="49"/>
        <v>0</v>
      </c>
      <c r="M356" s="132">
        <f t="shared" si="50"/>
        <v>0</v>
      </c>
      <c r="N356" s="133"/>
      <c r="O356" s="133">
        <f t="shared" si="51"/>
        <v>0</v>
      </c>
      <c r="P356" s="134"/>
      <c r="Q356" s="133"/>
      <c r="R356" s="133"/>
      <c r="S356" s="153">
        <v>0</v>
      </c>
      <c r="T356" s="153">
        <v>0</v>
      </c>
      <c r="U356" s="153">
        <v>0</v>
      </c>
      <c r="V356" s="135"/>
      <c r="W356" s="135"/>
      <c r="X356" s="135"/>
      <c r="Y356" s="135"/>
      <c r="Z356" s="135"/>
      <c r="AA356" s="135"/>
      <c r="AB356" s="135"/>
      <c r="AC356" s="135"/>
      <c r="AD356" s="133"/>
      <c r="AE356" s="133"/>
      <c r="AF356" s="132" t="str">
        <f t="shared" si="47"/>
        <v>Нет инфо</v>
      </c>
      <c r="AG356" s="132" t="str">
        <f t="shared" si="48"/>
        <v>Нет инфо</v>
      </c>
      <c r="AH356" s="2"/>
      <c r="AI356" s="136"/>
      <c r="AJ356" s="2"/>
      <c r="AK356" s="136"/>
      <c r="AL356" s="136"/>
      <c r="AM356" s="2"/>
      <c r="AN356" s="2"/>
      <c r="AO356" s="2"/>
      <c r="AP356" s="2"/>
      <c r="AQ356" s="136"/>
    </row>
    <row r="357" spans="1:43" s="115" customFormat="1" ht="12.75" hidden="1" customHeight="1" x14ac:dyDescent="0.2">
      <c r="A357" s="2">
        <v>2386</v>
      </c>
      <c r="B357" s="2"/>
      <c r="C357" s="131"/>
      <c r="D357" s="131"/>
      <c r="E357" s="131"/>
      <c r="F357" s="2"/>
      <c r="G357" s="2"/>
      <c r="H357" s="132">
        <v>0</v>
      </c>
      <c r="I357" s="132"/>
      <c r="J357" s="132"/>
      <c r="K357" s="132"/>
      <c r="L357" s="132">
        <f t="shared" si="49"/>
        <v>0</v>
      </c>
      <c r="M357" s="132">
        <f t="shared" si="50"/>
        <v>0</v>
      </c>
      <c r="N357" s="133"/>
      <c r="O357" s="133">
        <f t="shared" si="51"/>
        <v>0</v>
      </c>
      <c r="P357" s="134"/>
      <c r="Q357" s="133"/>
      <c r="R357" s="133"/>
      <c r="S357" s="153">
        <v>0</v>
      </c>
      <c r="T357" s="153">
        <v>0</v>
      </c>
      <c r="U357" s="153">
        <v>0</v>
      </c>
      <c r="V357" s="135"/>
      <c r="W357" s="135"/>
      <c r="X357" s="135"/>
      <c r="Y357" s="135"/>
      <c r="Z357" s="135"/>
      <c r="AA357" s="135"/>
      <c r="AB357" s="135"/>
      <c r="AC357" s="135"/>
      <c r="AD357" s="133"/>
      <c r="AE357" s="133"/>
      <c r="AF357" s="132" t="str">
        <f t="shared" ref="AF357:AF420" si="52">IF(OR(I357="",I357=0,N357="",N357=0),"Нет инфо",I357/N357)</f>
        <v>Нет инфо</v>
      </c>
      <c r="AG357" s="132" t="str">
        <f t="shared" ref="AG357:AG420" si="53">IF(OR(I357="",I357=0,R357="",R357=0),"Нет инфо",I357/R357)</f>
        <v>Нет инфо</v>
      </c>
      <c r="AH357" s="2"/>
      <c r="AI357" s="136"/>
      <c r="AJ357" s="2"/>
      <c r="AK357" s="136"/>
      <c r="AL357" s="136"/>
      <c r="AM357" s="2"/>
      <c r="AN357" s="2"/>
      <c r="AO357" s="2"/>
      <c r="AP357" s="2"/>
      <c r="AQ357" s="136"/>
    </row>
    <row r="358" spans="1:43" s="115" customFormat="1" ht="12.75" hidden="1" customHeight="1" x14ac:dyDescent="0.2">
      <c r="A358" s="2">
        <v>2387</v>
      </c>
      <c r="B358" s="2"/>
      <c r="C358" s="131"/>
      <c r="D358" s="131"/>
      <c r="E358" s="131"/>
      <c r="F358" s="2"/>
      <c r="G358" s="2"/>
      <c r="H358" s="132">
        <v>0</v>
      </c>
      <c r="I358" s="132"/>
      <c r="J358" s="132"/>
      <c r="K358" s="132"/>
      <c r="L358" s="132">
        <f t="shared" si="49"/>
        <v>0</v>
      </c>
      <c r="M358" s="132">
        <f t="shared" si="50"/>
        <v>0</v>
      </c>
      <c r="N358" s="133"/>
      <c r="O358" s="133">
        <f t="shared" si="51"/>
        <v>0</v>
      </c>
      <c r="P358" s="134"/>
      <c r="Q358" s="133"/>
      <c r="R358" s="133"/>
      <c r="S358" s="153">
        <v>0</v>
      </c>
      <c r="T358" s="153">
        <v>0</v>
      </c>
      <c r="U358" s="153">
        <v>0</v>
      </c>
      <c r="V358" s="135"/>
      <c r="W358" s="135"/>
      <c r="X358" s="135"/>
      <c r="Y358" s="135"/>
      <c r="Z358" s="135"/>
      <c r="AA358" s="135"/>
      <c r="AB358" s="135"/>
      <c r="AC358" s="135"/>
      <c r="AD358" s="133"/>
      <c r="AE358" s="133"/>
      <c r="AF358" s="132" t="str">
        <f t="shared" si="52"/>
        <v>Нет инфо</v>
      </c>
      <c r="AG358" s="132" t="str">
        <f t="shared" si="53"/>
        <v>Нет инфо</v>
      </c>
      <c r="AH358" s="2"/>
      <c r="AI358" s="136"/>
      <c r="AJ358" s="2"/>
      <c r="AK358" s="136"/>
      <c r="AL358" s="136"/>
      <c r="AM358" s="2"/>
      <c r="AN358" s="2"/>
      <c r="AO358" s="2"/>
      <c r="AP358" s="2"/>
      <c r="AQ358" s="136"/>
    </row>
    <row r="359" spans="1:43" s="115" customFormat="1" ht="12.75" hidden="1" customHeight="1" x14ac:dyDescent="0.2">
      <c r="A359" s="2">
        <v>2388</v>
      </c>
      <c r="B359" s="2"/>
      <c r="C359" s="131"/>
      <c r="D359" s="131"/>
      <c r="E359" s="131"/>
      <c r="F359" s="2"/>
      <c r="G359" s="2"/>
      <c r="H359" s="132">
        <v>0</v>
      </c>
      <c r="I359" s="132"/>
      <c r="J359" s="132"/>
      <c r="K359" s="132"/>
      <c r="L359" s="132">
        <f t="shared" si="49"/>
        <v>0</v>
      </c>
      <c r="M359" s="132">
        <f t="shared" si="50"/>
        <v>0</v>
      </c>
      <c r="N359" s="133"/>
      <c r="O359" s="133">
        <f t="shared" si="51"/>
        <v>0</v>
      </c>
      <c r="P359" s="134"/>
      <c r="Q359" s="133"/>
      <c r="R359" s="133"/>
      <c r="S359" s="153">
        <v>0</v>
      </c>
      <c r="T359" s="153">
        <v>0</v>
      </c>
      <c r="U359" s="153">
        <v>0</v>
      </c>
      <c r="V359" s="135"/>
      <c r="W359" s="135"/>
      <c r="X359" s="135"/>
      <c r="Y359" s="135"/>
      <c r="Z359" s="135"/>
      <c r="AA359" s="135"/>
      <c r="AB359" s="135"/>
      <c r="AC359" s="135"/>
      <c r="AD359" s="133"/>
      <c r="AE359" s="133"/>
      <c r="AF359" s="132" t="str">
        <f t="shared" si="52"/>
        <v>Нет инфо</v>
      </c>
      <c r="AG359" s="132" t="str">
        <f t="shared" si="53"/>
        <v>Нет инфо</v>
      </c>
      <c r="AH359" s="2"/>
      <c r="AI359" s="136"/>
      <c r="AJ359" s="2"/>
      <c r="AK359" s="136"/>
      <c r="AL359" s="136"/>
      <c r="AM359" s="2"/>
      <c r="AN359" s="2"/>
      <c r="AO359" s="2"/>
      <c r="AP359" s="2"/>
      <c r="AQ359" s="136"/>
    </row>
    <row r="360" spans="1:43" s="115" customFormat="1" ht="12.75" hidden="1" customHeight="1" x14ac:dyDescent="0.2">
      <c r="A360" s="2">
        <v>2389</v>
      </c>
      <c r="B360" s="2"/>
      <c r="C360" s="131"/>
      <c r="D360" s="131"/>
      <c r="E360" s="131"/>
      <c r="F360" s="2"/>
      <c r="G360" s="2"/>
      <c r="H360" s="132">
        <v>0</v>
      </c>
      <c r="I360" s="132"/>
      <c r="J360" s="132"/>
      <c r="K360" s="132"/>
      <c r="L360" s="132">
        <f t="shared" si="49"/>
        <v>0</v>
      </c>
      <c r="M360" s="132">
        <f t="shared" si="50"/>
        <v>0</v>
      </c>
      <c r="N360" s="133"/>
      <c r="O360" s="133">
        <f t="shared" si="51"/>
        <v>0</v>
      </c>
      <c r="P360" s="134"/>
      <c r="Q360" s="133"/>
      <c r="R360" s="133"/>
      <c r="S360" s="153">
        <v>0</v>
      </c>
      <c r="T360" s="153">
        <v>0</v>
      </c>
      <c r="U360" s="153">
        <v>0</v>
      </c>
      <c r="V360" s="135"/>
      <c r="W360" s="135"/>
      <c r="X360" s="135"/>
      <c r="Y360" s="135"/>
      <c r="Z360" s="135"/>
      <c r="AA360" s="135"/>
      <c r="AB360" s="135"/>
      <c r="AC360" s="135"/>
      <c r="AD360" s="133"/>
      <c r="AE360" s="133"/>
      <c r="AF360" s="132" t="str">
        <f t="shared" si="52"/>
        <v>Нет инфо</v>
      </c>
      <c r="AG360" s="132" t="str">
        <f t="shared" si="53"/>
        <v>Нет инфо</v>
      </c>
      <c r="AH360" s="2"/>
      <c r="AI360" s="136"/>
      <c r="AJ360" s="2"/>
      <c r="AK360" s="136"/>
      <c r="AL360" s="136"/>
      <c r="AM360" s="2"/>
      <c r="AN360" s="2"/>
      <c r="AO360" s="2"/>
      <c r="AP360" s="2"/>
      <c r="AQ360" s="136"/>
    </row>
    <row r="361" spans="1:43" s="115" customFormat="1" ht="12.75" hidden="1" customHeight="1" x14ac:dyDescent="0.2">
      <c r="A361" s="2">
        <v>2390</v>
      </c>
      <c r="B361" s="2"/>
      <c r="C361" s="131"/>
      <c r="D361" s="131"/>
      <c r="E361" s="131"/>
      <c r="F361" s="2"/>
      <c r="G361" s="2"/>
      <c r="H361" s="132">
        <v>0</v>
      </c>
      <c r="I361" s="132"/>
      <c r="J361" s="132"/>
      <c r="K361" s="132"/>
      <c r="L361" s="132">
        <f t="shared" si="49"/>
        <v>0</v>
      </c>
      <c r="M361" s="132">
        <f t="shared" si="50"/>
        <v>0</v>
      </c>
      <c r="N361" s="133"/>
      <c r="O361" s="133">
        <f t="shared" si="51"/>
        <v>0</v>
      </c>
      <c r="P361" s="134"/>
      <c r="Q361" s="133"/>
      <c r="R361" s="133"/>
      <c r="S361" s="153">
        <v>0</v>
      </c>
      <c r="T361" s="153">
        <v>0</v>
      </c>
      <c r="U361" s="153">
        <v>0</v>
      </c>
      <c r="V361" s="135"/>
      <c r="W361" s="135"/>
      <c r="X361" s="135"/>
      <c r="Y361" s="135"/>
      <c r="Z361" s="135"/>
      <c r="AA361" s="135"/>
      <c r="AB361" s="135"/>
      <c r="AC361" s="135"/>
      <c r="AD361" s="133"/>
      <c r="AE361" s="133"/>
      <c r="AF361" s="132" t="str">
        <f t="shared" si="52"/>
        <v>Нет инфо</v>
      </c>
      <c r="AG361" s="132" t="str">
        <f t="shared" si="53"/>
        <v>Нет инфо</v>
      </c>
      <c r="AH361" s="2"/>
      <c r="AI361" s="136"/>
      <c r="AJ361" s="2"/>
      <c r="AK361" s="136"/>
      <c r="AL361" s="136"/>
      <c r="AM361" s="2"/>
      <c r="AN361" s="2"/>
      <c r="AO361" s="2"/>
      <c r="AP361" s="2"/>
      <c r="AQ361" s="136"/>
    </row>
    <row r="362" spans="1:43" s="115" customFormat="1" ht="12.75" hidden="1" customHeight="1" x14ac:dyDescent="0.2">
      <c r="A362" s="2">
        <v>2391</v>
      </c>
      <c r="B362" s="2"/>
      <c r="C362" s="131"/>
      <c r="D362" s="131"/>
      <c r="E362" s="131"/>
      <c r="F362" s="2"/>
      <c r="G362" s="2"/>
      <c r="H362" s="132">
        <v>0</v>
      </c>
      <c r="I362" s="132"/>
      <c r="J362" s="132"/>
      <c r="K362" s="132"/>
      <c r="L362" s="132">
        <f t="shared" si="49"/>
        <v>0</v>
      </c>
      <c r="M362" s="132">
        <f t="shared" si="50"/>
        <v>0</v>
      </c>
      <c r="N362" s="133"/>
      <c r="O362" s="133">
        <f t="shared" si="51"/>
        <v>0</v>
      </c>
      <c r="P362" s="134"/>
      <c r="Q362" s="133"/>
      <c r="R362" s="133"/>
      <c r="S362" s="153">
        <v>0</v>
      </c>
      <c r="T362" s="153">
        <v>0</v>
      </c>
      <c r="U362" s="153">
        <v>0</v>
      </c>
      <c r="V362" s="135"/>
      <c r="W362" s="135"/>
      <c r="X362" s="135"/>
      <c r="Y362" s="135"/>
      <c r="Z362" s="135"/>
      <c r="AA362" s="135"/>
      <c r="AB362" s="135"/>
      <c r="AC362" s="135"/>
      <c r="AD362" s="133"/>
      <c r="AE362" s="133"/>
      <c r="AF362" s="132" t="str">
        <f t="shared" si="52"/>
        <v>Нет инфо</v>
      </c>
      <c r="AG362" s="132" t="str">
        <f t="shared" si="53"/>
        <v>Нет инфо</v>
      </c>
      <c r="AH362" s="2"/>
      <c r="AI362" s="136"/>
      <c r="AJ362" s="2"/>
      <c r="AK362" s="136"/>
      <c r="AL362" s="136"/>
      <c r="AM362" s="2"/>
      <c r="AN362" s="2"/>
      <c r="AO362" s="2"/>
      <c r="AP362" s="2"/>
      <c r="AQ362" s="136"/>
    </row>
    <row r="363" spans="1:43" s="115" customFormat="1" ht="12.75" hidden="1" customHeight="1" x14ac:dyDescent="0.2">
      <c r="A363" s="2">
        <v>2392</v>
      </c>
      <c r="B363" s="2"/>
      <c r="C363" s="131"/>
      <c r="D363" s="131"/>
      <c r="E363" s="131"/>
      <c r="F363" s="2"/>
      <c r="G363" s="2"/>
      <c r="H363" s="132">
        <v>0</v>
      </c>
      <c r="I363" s="132"/>
      <c r="J363" s="132"/>
      <c r="K363" s="132"/>
      <c r="L363" s="132">
        <f t="shared" si="49"/>
        <v>0</v>
      </c>
      <c r="M363" s="132">
        <f t="shared" si="50"/>
        <v>0</v>
      </c>
      <c r="N363" s="133"/>
      <c r="O363" s="133">
        <f t="shared" si="51"/>
        <v>0</v>
      </c>
      <c r="P363" s="134"/>
      <c r="Q363" s="133"/>
      <c r="R363" s="133"/>
      <c r="S363" s="153">
        <v>0</v>
      </c>
      <c r="T363" s="153">
        <v>0</v>
      </c>
      <c r="U363" s="153">
        <v>0</v>
      </c>
      <c r="V363" s="135"/>
      <c r="W363" s="135"/>
      <c r="X363" s="135"/>
      <c r="Y363" s="135"/>
      <c r="Z363" s="135"/>
      <c r="AA363" s="135"/>
      <c r="AB363" s="135"/>
      <c r="AC363" s="135"/>
      <c r="AD363" s="133"/>
      <c r="AE363" s="133"/>
      <c r="AF363" s="132" t="str">
        <f t="shared" si="52"/>
        <v>Нет инфо</v>
      </c>
      <c r="AG363" s="132" t="str">
        <f t="shared" si="53"/>
        <v>Нет инфо</v>
      </c>
      <c r="AH363" s="2"/>
      <c r="AI363" s="136"/>
      <c r="AJ363" s="2"/>
      <c r="AK363" s="136"/>
      <c r="AL363" s="136"/>
      <c r="AM363" s="2"/>
      <c r="AN363" s="2"/>
      <c r="AO363" s="2"/>
      <c r="AP363" s="2"/>
      <c r="AQ363" s="136"/>
    </row>
    <row r="364" spans="1:43" s="115" customFormat="1" ht="12.75" hidden="1" customHeight="1" x14ac:dyDescent="0.2">
      <c r="A364" s="2">
        <v>2393</v>
      </c>
      <c r="B364" s="2"/>
      <c r="C364" s="131"/>
      <c r="D364" s="131"/>
      <c r="E364" s="131"/>
      <c r="F364" s="2"/>
      <c r="G364" s="2"/>
      <c r="H364" s="132">
        <v>0</v>
      </c>
      <c r="I364" s="132"/>
      <c r="J364" s="132"/>
      <c r="K364" s="132"/>
      <c r="L364" s="132">
        <f t="shared" si="49"/>
        <v>0</v>
      </c>
      <c r="M364" s="132">
        <f t="shared" si="50"/>
        <v>0</v>
      </c>
      <c r="N364" s="133"/>
      <c r="O364" s="133">
        <f t="shared" si="51"/>
        <v>0</v>
      </c>
      <c r="P364" s="134"/>
      <c r="Q364" s="133"/>
      <c r="R364" s="133"/>
      <c r="S364" s="153">
        <v>0</v>
      </c>
      <c r="T364" s="153">
        <v>0</v>
      </c>
      <c r="U364" s="153">
        <v>0</v>
      </c>
      <c r="V364" s="135"/>
      <c r="W364" s="135"/>
      <c r="X364" s="135"/>
      <c r="Y364" s="135"/>
      <c r="Z364" s="135"/>
      <c r="AA364" s="135"/>
      <c r="AB364" s="135"/>
      <c r="AC364" s="135"/>
      <c r="AD364" s="133"/>
      <c r="AE364" s="133"/>
      <c r="AF364" s="132" t="str">
        <f t="shared" si="52"/>
        <v>Нет инфо</v>
      </c>
      <c r="AG364" s="132" t="str">
        <f t="shared" si="53"/>
        <v>Нет инфо</v>
      </c>
      <c r="AH364" s="2"/>
      <c r="AI364" s="136"/>
      <c r="AJ364" s="2"/>
      <c r="AK364" s="136"/>
      <c r="AL364" s="136"/>
      <c r="AM364" s="2"/>
      <c r="AN364" s="2"/>
      <c r="AO364" s="2"/>
      <c r="AP364" s="2"/>
      <c r="AQ364" s="136"/>
    </row>
    <row r="365" spans="1:43" s="115" customFormat="1" ht="12.75" hidden="1" customHeight="1" x14ac:dyDescent="0.2">
      <c r="A365" s="2">
        <v>2394</v>
      </c>
      <c r="B365" s="2"/>
      <c r="C365" s="131"/>
      <c r="D365" s="131"/>
      <c r="E365" s="131"/>
      <c r="F365" s="2"/>
      <c r="G365" s="2"/>
      <c r="H365" s="132">
        <v>0</v>
      </c>
      <c r="I365" s="132"/>
      <c r="J365" s="132"/>
      <c r="K365" s="132"/>
      <c r="L365" s="132">
        <f t="shared" si="49"/>
        <v>0</v>
      </c>
      <c r="M365" s="132">
        <f t="shared" si="50"/>
        <v>0</v>
      </c>
      <c r="N365" s="133"/>
      <c r="O365" s="133">
        <f t="shared" si="51"/>
        <v>0</v>
      </c>
      <c r="P365" s="134"/>
      <c r="Q365" s="133"/>
      <c r="R365" s="133"/>
      <c r="S365" s="153">
        <v>0</v>
      </c>
      <c r="T365" s="153">
        <v>0</v>
      </c>
      <c r="U365" s="153">
        <v>0</v>
      </c>
      <c r="V365" s="135"/>
      <c r="W365" s="135"/>
      <c r="X365" s="135"/>
      <c r="Y365" s="135"/>
      <c r="Z365" s="135"/>
      <c r="AA365" s="135"/>
      <c r="AB365" s="135"/>
      <c r="AC365" s="135"/>
      <c r="AD365" s="133"/>
      <c r="AE365" s="133"/>
      <c r="AF365" s="132" t="str">
        <f t="shared" si="52"/>
        <v>Нет инфо</v>
      </c>
      <c r="AG365" s="132" t="str">
        <f t="shared" si="53"/>
        <v>Нет инфо</v>
      </c>
      <c r="AH365" s="2"/>
      <c r="AI365" s="136"/>
      <c r="AJ365" s="2"/>
      <c r="AK365" s="136"/>
      <c r="AL365" s="136"/>
      <c r="AM365" s="2"/>
      <c r="AN365" s="2"/>
      <c r="AO365" s="2"/>
      <c r="AP365" s="2"/>
      <c r="AQ365" s="136"/>
    </row>
    <row r="366" spans="1:43" s="115" customFormat="1" ht="12.75" hidden="1" customHeight="1" x14ac:dyDescent="0.2">
      <c r="A366" s="2">
        <v>2395</v>
      </c>
      <c r="B366" s="2"/>
      <c r="C366" s="131"/>
      <c r="D366" s="131"/>
      <c r="E366" s="131"/>
      <c r="F366" s="2"/>
      <c r="G366" s="2"/>
      <c r="H366" s="132">
        <v>0</v>
      </c>
      <c r="I366" s="132"/>
      <c r="J366" s="132"/>
      <c r="K366" s="132"/>
      <c r="L366" s="132">
        <f t="shared" si="49"/>
        <v>0</v>
      </c>
      <c r="M366" s="132">
        <f t="shared" si="50"/>
        <v>0</v>
      </c>
      <c r="N366" s="133"/>
      <c r="O366" s="133">
        <f t="shared" si="51"/>
        <v>0</v>
      </c>
      <c r="P366" s="134"/>
      <c r="Q366" s="133"/>
      <c r="R366" s="133"/>
      <c r="S366" s="153">
        <v>0</v>
      </c>
      <c r="T366" s="153">
        <v>0</v>
      </c>
      <c r="U366" s="153">
        <v>0</v>
      </c>
      <c r="V366" s="135"/>
      <c r="W366" s="135"/>
      <c r="X366" s="135"/>
      <c r="Y366" s="135"/>
      <c r="Z366" s="135"/>
      <c r="AA366" s="135"/>
      <c r="AB366" s="135"/>
      <c r="AC366" s="135"/>
      <c r="AD366" s="133"/>
      <c r="AE366" s="133"/>
      <c r="AF366" s="132" t="str">
        <f t="shared" si="52"/>
        <v>Нет инфо</v>
      </c>
      <c r="AG366" s="132" t="str">
        <f t="shared" si="53"/>
        <v>Нет инфо</v>
      </c>
      <c r="AH366" s="2"/>
      <c r="AI366" s="136"/>
      <c r="AJ366" s="2"/>
      <c r="AK366" s="136"/>
      <c r="AL366" s="136"/>
      <c r="AM366" s="2"/>
      <c r="AN366" s="2"/>
      <c r="AO366" s="2"/>
      <c r="AP366" s="2"/>
      <c r="AQ366" s="136"/>
    </row>
    <row r="367" spans="1:43" s="115" customFormat="1" ht="12.75" hidden="1" customHeight="1" x14ac:dyDescent="0.2">
      <c r="A367" s="2">
        <v>2396</v>
      </c>
      <c r="B367" s="2"/>
      <c r="C367" s="131"/>
      <c r="D367" s="131"/>
      <c r="E367" s="131"/>
      <c r="F367" s="2"/>
      <c r="G367" s="2"/>
      <c r="H367" s="132">
        <v>0</v>
      </c>
      <c r="I367" s="132"/>
      <c r="J367" s="132"/>
      <c r="K367" s="132"/>
      <c r="L367" s="132">
        <f t="shared" si="49"/>
        <v>0</v>
      </c>
      <c r="M367" s="132">
        <f t="shared" si="50"/>
        <v>0</v>
      </c>
      <c r="N367" s="133"/>
      <c r="O367" s="133">
        <f t="shared" si="51"/>
        <v>0</v>
      </c>
      <c r="P367" s="134"/>
      <c r="Q367" s="133"/>
      <c r="R367" s="133"/>
      <c r="S367" s="153">
        <v>0</v>
      </c>
      <c r="T367" s="153">
        <v>0</v>
      </c>
      <c r="U367" s="153">
        <v>0</v>
      </c>
      <c r="V367" s="135"/>
      <c r="W367" s="135"/>
      <c r="X367" s="135"/>
      <c r="Y367" s="135"/>
      <c r="Z367" s="135"/>
      <c r="AA367" s="135"/>
      <c r="AB367" s="135"/>
      <c r="AC367" s="135"/>
      <c r="AD367" s="133"/>
      <c r="AE367" s="133"/>
      <c r="AF367" s="132" t="str">
        <f t="shared" si="52"/>
        <v>Нет инфо</v>
      </c>
      <c r="AG367" s="132" t="str">
        <f t="shared" si="53"/>
        <v>Нет инфо</v>
      </c>
      <c r="AH367" s="2"/>
      <c r="AI367" s="136"/>
      <c r="AJ367" s="2"/>
      <c r="AK367" s="136"/>
      <c r="AL367" s="136"/>
      <c r="AM367" s="2"/>
      <c r="AN367" s="2"/>
      <c r="AO367" s="2"/>
      <c r="AP367" s="2"/>
      <c r="AQ367" s="136"/>
    </row>
    <row r="368" spans="1:43" s="115" customFormat="1" ht="12.75" hidden="1" customHeight="1" x14ac:dyDescent="0.2">
      <c r="A368" s="2">
        <v>2397</v>
      </c>
      <c r="B368" s="2"/>
      <c r="C368" s="131"/>
      <c r="D368" s="131"/>
      <c r="E368" s="131"/>
      <c r="F368" s="2"/>
      <c r="G368" s="2"/>
      <c r="H368" s="132">
        <v>0</v>
      </c>
      <c r="I368" s="132"/>
      <c r="J368" s="132"/>
      <c r="K368" s="132"/>
      <c r="L368" s="132">
        <f t="shared" si="49"/>
        <v>0</v>
      </c>
      <c r="M368" s="132">
        <f t="shared" si="50"/>
        <v>0</v>
      </c>
      <c r="N368" s="133"/>
      <c r="O368" s="133">
        <f t="shared" si="51"/>
        <v>0</v>
      </c>
      <c r="P368" s="134"/>
      <c r="Q368" s="133"/>
      <c r="R368" s="133"/>
      <c r="S368" s="153">
        <v>0</v>
      </c>
      <c r="T368" s="153">
        <v>0</v>
      </c>
      <c r="U368" s="153">
        <v>0</v>
      </c>
      <c r="V368" s="135"/>
      <c r="W368" s="135"/>
      <c r="X368" s="135"/>
      <c r="Y368" s="135"/>
      <c r="Z368" s="135"/>
      <c r="AA368" s="135"/>
      <c r="AB368" s="135"/>
      <c r="AC368" s="135"/>
      <c r="AD368" s="133"/>
      <c r="AE368" s="133"/>
      <c r="AF368" s="132" t="str">
        <f t="shared" si="52"/>
        <v>Нет инфо</v>
      </c>
      <c r="AG368" s="132" t="str">
        <f t="shared" si="53"/>
        <v>Нет инфо</v>
      </c>
      <c r="AH368" s="2"/>
      <c r="AI368" s="136"/>
      <c r="AJ368" s="2"/>
      <c r="AK368" s="136"/>
      <c r="AL368" s="136"/>
      <c r="AM368" s="2"/>
      <c r="AN368" s="2"/>
      <c r="AO368" s="2"/>
      <c r="AP368" s="2"/>
      <c r="AQ368" s="136"/>
    </row>
    <row r="369" spans="1:43" s="115" customFormat="1" ht="12.75" hidden="1" customHeight="1" x14ac:dyDescent="0.2">
      <c r="A369" s="2">
        <v>2398</v>
      </c>
      <c r="B369" s="2"/>
      <c r="C369" s="131"/>
      <c r="D369" s="131"/>
      <c r="E369" s="131"/>
      <c r="F369" s="2"/>
      <c r="G369" s="2"/>
      <c r="H369" s="132">
        <v>0</v>
      </c>
      <c r="I369" s="132"/>
      <c r="J369" s="132"/>
      <c r="K369" s="132"/>
      <c r="L369" s="132">
        <f t="shared" si="49"/>
        <v>0</v>
      </c>
      <c r="M369" s="132">
        <f t="shared" si="50"/>
        <v>0</v>
      </c>
      <c r="N369" s="133"/>
      <c r="O369" s="133">
        <f t="shared" si="51"/>
        <v>0</v>
      </c>
      <c r="P369" s="134"/>
      <c r="Q369" s="133"/>
      <c r="R369" s="133"/>
      <c r="S369" s="153">
        <v>0</v>
      </c>
      <c r="T369" s="153">
        <v>0</v>
      </c>
      <c r="U369" s="153">
        <v>0</v>
      </c>
      <c r="V369" s="135"/>
      <c r="W369" s="135"/>
      <c r="X369" s="135"/>
      <c r="Y369" s="135"/>
      <c r="Z369" s="135"/>
      <c r="AA369" s="135"/>
      <c r="AB369" s="135"/>
      <c r="AC369" s="135"/>
      <c r="AD369" s="133"/>
      <c r="AE369" s="133"/>
      <c r="AF369" s="132" t="str">
        <f t="shared" si="52"/>
        <v>Нет инфо</v>
      </c>
      <c r="AG369" s="132" t="str">
        <f t="shared" si="53"/>
        <v>Нет инфо</v>
      </c>
      <c r="AH369" s="2"/>
      <c r="AI369" s="136"/>
      <c r="AJ369" s="2"/>
      <c r="AK369" s="136"/>
      <c r="AL369" s="136"/>
      <c r="AM369" s="2"/>
      <c r="AN369" s="2"/>
      <c r="AO369" s="2"/>
      <c r="AP369" s="2"/>
      <c r="AQ369" s="136"/>
    </row>
    <row r="370" spans="1:43" s="115" customFormat="1" ht="12.75" hidden="1" customHeight="1" x14ac:dyDescent="0.2">
      <c r="A370" s="2">
        <v>2399</v>
      </c>
      <c r="B370" s="2"/>
      <c r="C370" s="131"/>
      <c r="D370" s="131"/>
      <c r="E370" s="131"/>
      <c r="F370" s="2"/>
      <c r="G370" s="2"/>
      <c r="H370" s="132">
        <v>0</v>
      </c>
      <c r="I370" s="132"/>
      <c r="J370" s="132"/>
      <c r="K370" s="132"/>
      <c r="L370" s="132">
        <f t="shared" si="49"/>
        <v>0</v>
      </c>
      <c r="M370" s="132">
        <f t="shared" si="50"/>
        <v>0</v>
      </c>
      <c r="N370" s="133"/>
      <c r="O370" s="133">
        <f t="shared" si="51"/>
        <v>0</v>
      </c>
      <c r="P370" s="134"/>
      <c r="Q370" s="133"/>
      <c r="R370" s="133"/>
      <c r="S370" s="153">
        <v>0</v>
      </c>
      <c r="T370" s="153">
        <v>0</v>
      </c>
      <c r="U370" s="153">
        <v>0</v>
      </c>
      <c r="V370" s="135"/>
      <c r="W370" s="135"/>
      <c r="X370" s="135"/>
      <c r="Y370" s="135"/>
      <c r="Z370" s="135"/>
      <c r="AA370" s="135"/>
      <c r="AB370" s="135"/>
      <c r="AC370" s="135"/>
      <c r="AD370" s="133"/>
      <c r="AE370" s="133"/>
      <c r="AF370" s="132" t="str">
        <f t="shared" si="52"/>
        <v>Нет инфо</v>
      </c>
      <c r="AG370" s="132" t="str">
        <f t="shared" si="53"/>
        <v>Нет инфо</v>
      </c>
      <c r="AH370" s="2"/>
      <c r="AI370" s="136"/>
      <c r="AJ370" s="2"/>
      <c r="AK370" s="136"/>
      <c r="AL370" s="136"/>
      <c r="AM370" s="2"/>
      <c r="AN370" s="2"/>
      <c r="AO370" s="2"/>
      <c r="AP370" s="2"/>
      <c r="AQ370" s="136"/>
    </row>
    <row r="371" spans="1:43" s="115" customFormat="1" ht="12.75" hidden="1" customHeight="1" x14ac:dyDescent="0.2">
      <c r="A371" s="2">
        <v>2400</v>
      </c>
      <c r="B371" s="2"/>
      <c r="C371" s="131"/>
      <c r="D371" s="131"/>
      <c r="E371" s="131"/>
      <c r="F371" s="2"/>
      <c r="G371" s="2"/>
      <c r="H371" s="132">
        <v>0</v>
      </c>
      <c r="I371" s="132"/>
      <c r="J371" s="132"/>
      <c r="K371" s="132"/>
      <c r="L371" s="132">
        <f t="shared" si="49"/>
        <v>0</v>
      </c>
      <c r="M371" s="132">
        <f t="shared" si="50"/>
        <v>0</v>
      </c>
      <c r="N371" s="133"/>
      <c r="O371" s="133">
        <f t="shared" si="51"/>
        <v>0</v>
      </c>
      <c r="P371" s="134"/>
      <c r="Q371" s="133"/>
      <c r="R371" s="133"/>
      <c r="S371" s="153">
        <v>0</v>
      </c>
      <c r="T371" s="153">
        <v>0</v>
      </c>
      <c r="U371" s="153">
        <v>0</v>
      </c>
      <c r="V371" s="135"/>
      <c r="W371" s="135"/>
      <c r="X371" s="135"/>
      <c r="Y371" s="135"/>
      <c r="Z371" s="135"/>
      <c r="AA371" s="135"/>
      <c r="AB371" s="135"/>
      <c r="AC371" s="135"/>
      <c r="AD371" s="133"/>
      <c r="AE371" s="133"/>
      <c r="AF371" s="132" t="str">
        <f t="shared" si="52"/>
        <v>Нет инфо</v>
      </c>
      <c r="AG371" s="132" t="str">
        <f t="shared" si="53"/>
        <v>Нет инфо</v>
      </c>
      <c r="AH371" s="2"/>
      <c r="AI371" s="136"/>
      <c r="AJ371" s="2"/>
      <c r="AK371" s="136"/>
      <c r="AL371" s="136"/>
      <c r="AM371" s="2"/>
      <c r="AN371" s="2"/>
      <c r="AO371" s="2"/>
      <c r="AP371" s="2"/>
      <c r="AQ371" s="136"/>
    </row>
    <row r="372" spans="1:43" s="115" customFormat="1" ht="12.75" hidden="1" customHeight="1" x14ac:dyDescent="0.2">
      <c r="A372" s="2">
        <v>2401</v>
      </c>
      <c r="B372" s="2"/>
      <c r="C372" s="131"/>
      <c r="D372" s="131"/>
      <c r="E372" s="131"/>
      <c r="F372" s="2"/>
      <c r="G372" s="2"/>
      <c r="H372" s="132">
        <v>0</v>
      </c>
      <c r="I372" s="132"/>
      <c r="J372" s="132"/>
      <c r="K372" s="132"/>
      <c r="L372" s="132">
        <f t="shared" si="49"/>
        <v>0</v>
      </c>
      <c r="M372" s="132">
        <f t="shared" si="50"/>
        <v>0</v>
      </c>
      <c r="N372" s="133"/>
      <c r="O372" s="133">
        <f t="shared" si="51"/>
        <v>0</v>
      </c>
      <c r="P372" s="134"/>
      <c r="Q372" s="133"/>
      <c r="R372" s="133"/>
      <c r="S372" s="153">
        <v>0</v>
      </c>
      <c r="T372" s="153">
        <v>0</v>
      </c>
      <c r="U372" s="153">
        <v>0</v>
      </c>
      <c r="V372" s="135"/>
      <c r="W372" s="135"/>
      <c r="X372" s="135"/>
      <c r="Y372" s="135"/>
      <c r="Z372" s="135"/>
      <c r="AA372" s="135"/>
      <c r="AB372" s="135"/>
      <c r="AC372" s="135"/>
      <c r="AD372" s="133"/>
      <c r="AE372" s="133"/>
      <c r="AF372" s="132" t="str">
        <f t="shared" si="52"/>
        <v>Нет инфо</v>
      </c>
      <c r="AG372" s="132" t="str">
        <f t="shared" si="53"/>
        <v>Нет инфо</v>
      </c>
      <c r="AH372" s="2"/>
      <c r="AI372" s="136"/>
      <c r="AJ372" s="2"/>
      <c r="AK372" s="136"/>
      <c r="AL372" s="136"/>
      <c r="AM372" s="2"/>
      <c r="AN372" s="2"/>
      <c r="AO372" s="2"/>
      <c r="AP372" s="2"/>
      <c r="AQ372" s="136"/>
    </row>
    <row r="373" spans="1:43" s="115" customFormat="1" ht="12.75" hidden="1" customHeight="1" x14ac:dyDescent="0.2">
      <c r="A373" s="2">
        <v>2402</v>
      </c>
      <c r="B373" s="2"/>
      <c r="C373" s="131"/>
      <c r="D373" s="131"/>
      <c r="E373" s="131"/>
      <c r="F373" s="2"/>
      <c r="G373" s="2"/>
      <c r="H373" s="132">
        <v>0</v>
      </c>
      <c r="I373" s="132"/>
      <c r="J373" s="132"/>
      <c r="K373" s="132"/>
      <c r="L373" s="132">
        <f t="shared" si="49"/>
        <v>0</v>
      </c>
      <c r="M373" s="132">
        <f t="shared" si="50"/>
        <v>0</v>
      </c>
      <c r="N373" s="133"/>
      <c r="O373" s="133">
        <f t="shared" si="51"/>
        <v>0</v>
      </c>
      <c r="P373" s="134"/>
      <c r="Q373" s="133"/>
      <c r="R373" s="133"/>
      <c r="S373" s="153">
        <v>0</v>
      </c>
      <c r="T373" s="153">
        <v>0</v>
      </c>
      <c r="U373" s="153">
        <v>0</v>
      </c>
      <c r="V373" s="135"/>
      <c r="W373" s="135"/>
      <c r="X373" s="135"/>
      <c r="Y373" s="135"/>
      <c r="Z373" s="135"/>
      <c r="AA373" s="135"/>
      <c r="AB373" s="135"/>
      <c r="AC373" s="135"/>
      <c r="AD373" s="133"/>
      <c r="AE373" s="133"/>
      <c r="AF373" s="132" t="str">
        <f t="shared" si="52"/>
        <v>Нет инфо</v>
      </c>
      <c r="AG373" s="132" t="str">
        <f t="shared" si="53"/>
        <v>Нет инфо</v>
      </c>
      <c r="AH373" s="2"/>
      <c r="AI373" s="136"/>
      <c r="AJ373" s="2"/>
      <c r="AK373" s="136"/>
      <c r="AL373" s="136"/>
      <c r="AM373" s="2"/>
      <c r="AN373" s="2"/>
      <c r="AO373" s="2"/>
      <c r="AP373" s="2"/>
      <c r="AQ373" s="136"/>
    </row>
    <row r="374" spans="1:43" s="115" customFormat="1" ht="12.75" hidden="1" customHeight="1" x14ac:dyDescent="0.2">
      <c r="A374" s="2">
        <v>2403</v>
      </c>
      <c r="B374" s="2"/>
      <c r="C374" s="131"/>
      <c r="D374" s="131"/>
      <c r="E374" s="131"/>
      <c r="F374" s="2"/>
      <c r="G374" s="2"/>
      <c r="H374" s="132">
        <v>0</v>
      </c>
      <c r="I374" s="132"/>
      <c r="J374" s="132"/>
      <c r="K374" s="132"/>
      <c r="L374" s="132">
        <f t="shared" si="49"/>
        <v>0</v>
      </c>
      <c r="M374" s="132">
        <f t="shared" si="50"/>
        <v>0</v>
      </c>
      <c r="N374" s="133"/>
      <c r="O374" s="133">
        <f t="shared" si="51"/>
        <v>0</v>
      </c>
      <c r="P374" s="134"/>
      <c r="Q374" s="133"/>
      <c r="R374" s="133"/>
      <c r="S374" s="153">
        <v>0</v>
      </c>
      <c r="T374" s="153">
        <v>0</v>
      </c>
      <c r="U374" s="153">
        <v>0</v>
      </c>
      <c r="V374" s="135"/>
      <c r="W374" s="135"/>
      <c r="X374" s="135"/>
      <c r="Y374" s="135"/>
      <c r="Z374" s="135"/>
      <c r="AA374" s="135"/>
      <c r="AB374" s="135"/>
      <c r="AC374" s="135"/>
      <c r="AD374" s="133"/>
      <c r="AE374" s="133"/>
      <c r="AF374" s="132" t="str">
        <f t="shared" si="52"/>
        <v>Нет инфо</v>
      </c>
      <c r="AG374" s="132" t="str">
        <f t="shared" si="53"/>
        <v>Нет инфо</v>
      </c>
      <c r="AH374" s="2"/>
      <c r="AI374" s="136"/>
      <c r="AJ374" s="2"/>
      <c r="AK374" s="136"/>
      <c r="AL374" s="136"/>
      <c r="AM374" s="2"/>
      <c r="AN374" s="2"/>
      <c r="AO374" s="2"/>
      <c r="AP374" s="2"/>
      <c r="AQ374" s="136"/>
    </row>
    <row r="375" spans="1:43" s="115" customFormat="1" ht="12.75" hidden="1" customHeight="1" x14ac:dyDescent="0.2">
      <c r="A375" s="2">
        <v>2404</v>
      </c>
      <c r="B375" s="2"/>
      <c r="C375" s="131"/>
      <c r="D375" s="131"/>
      <c r="E375" s="131"/>
      <c r="F375" s="2"/>
      <c r="G375" s="2"/>
      <c r="H375" s="132">
        <v>0</v>
      </c>
      <c r="I375" s="132"/>
      <c r="J375" s="132"/>
      <c r="K375" s="132"/>
      <c r="L375" s="132">
        <f t="shared" si="49"/>
        <v>0</v>
      </c>
      <c r="M375" s="132">
        <f t="shared" si="50"/>
        <v>0</v>
      </c>
      <c r="N375" s="133"/>
      <c r="O375" s="133">
        <f t="shared" si="51"/>
        <v>0</v>
      </c>
      <c r="P375" s="134"/>
      <c r="Q375" s="133"/>
      <c r="R375" s="133"/>
      <c r="S375" s="153">
        <v>0</v>
      </c>
      <c r="T375" s="153">
        <v>0</v>
      </c>
      <c r="U375" s="153">
        <v>0</v>
      </c>
      <c r="V375" s="135"/>
      <c r="W375" s="135"/>
      <c r="X375" s="135"/>
      <c r="Y375" s="135"/>
      <c r="Z375" s="135"/>
      <c r="AA375" s="135"/>
      <c r="AB375" s="135"/>
      <c r="AC375" s="135"/>
      <c r="AD375" s="133"/>
      <c r="AE375" s="133"/>
      <c r="AF375" s="132" t="str">
        <f t="shared" si="52"/>
        <v>Нет инфо</v>
      </c>
      <c r="AG375" s="132" t="str">
        <f t="shared" si="53"/>
        <v>Нет инфо</v>
      </c>
      <c r="AH375" s="2"/>
      <c r="AI375" s="136"/>
      <c r="AJ375" s="2"/>
      <c r="AK375" s="136"/>
      <c r="AL375" s="136"/>
      <c r="AM375" s="2"/>
      <c r="AN375" s="2"/>
      <c r="AO375" s="2"/>
      <c r="AP375" s="2"/>
      <c r="AQ375" s="136"/>
    </row>
    <row r="376" spans="1:43" s="115" customFormat="1" ht="12.75" hidden="1" customHeight="1" x14ac:dyDescent="0.2">
      <c r="A376" s="2">
        <v>2405</v>
      </c>
      <c r="B376" s="2"/>
      <c r="C376" s="131"/>
      <c r="D376" s="131"/>
      <c r="E376" s="131"/>
      <c r="F376" s="2"/>
      <c r="G376" s="2"/>
      <c r="H376" s="132">
        <v>0</v>
      </c>
      <c r="I376" s="132"/>
      <c r="J376" s="132"/>
      <c r="K376" s="132"/>
      <c r="L376" s="132">
        <f t="shared" si="49"/>
        <v>0</v>
      </c>
      <c r="M376" s="132">
        <f t="shared" si="50"/>
        <v>0</v>
      </c>
      <c r="N376" s="133"/>
      <c r="O376" s="133">
        <f t="shared" si="51"/>
        <v>0</v>
      </c>
      <c r="P376" s="134"/>
      <c r="Q376" s="133"/>
      <c r="R376" s="133"/>
      <c r="S376" s="153">
        <v>0</v>
      </c>
      <c r="T376" s="153">
        <v>0</v>
      </c>
      <c r="U376" s="153">
        <v>0</v>
      </c>
      <c r="V376" s="135"/>
      <c r="W376" s="135"/>
      <c r="X376" s="135"/>
      <c r="Y376" s="135"/>
      <c r="Z376" s="135"/>
      <c r="AA376" s="135"/>
      <c r="AB376" s="135"/>
      <c r="AC376" s="135"/>
      <c r="AD376" s="133"/>
      <c r="AE376" s="133"/>
      <c r="AF376" s="132" t="str">
        <f t="shared" si="52"/>
        <v>Нет инфо</v>
      </c>
      <c r="AG376" s="132" t="str">
        <f t="shared" si="53"/>
        <v>Нет инфо</v>
      </c>
      <c r="AH376" s="2"/>
      <c r="AI376" s="136"/>
      <c r="AJ376" s="2"/>
      <c r="AK376" s="136"/>
      <c r="AL376" s="136"/>
      <c r="AM376" s="2"/>
      <c r="AN376" s="2"/>
      <c r="AO376" s="2"/>
      <c r="AP376" s="2"/>
      <c r="AQ376" s="136"/>
    </row>
    <row r="377" spans="1:43" s="115" customFormat="1" ht="12.75" hidden="1" customHeight="1" x14ac:dyDescent="0.2">
      <c r="A377" s="2">
        <v>2406</v>
      </c>
      <c r="B377" s="2"/>
      <c r="C377" s="131"/>
      <c r="D377" s="131"/>
      <c r="E377" s="131"/>
      <c r="F377" s="2"/>
      <c r="G377" s="2"/>
      <c r="H377" s="132">
        <v>0</v>
      </c>
      <c r="I377" s="132"/>
      <c r="J377" s="132"/>
      <c r="K377" s="132"/>
      <c r="L377" s="132">
        <f t="shared" si="49"/>
        <v>0</v>
      </c>
      <c r="M377" s="132">
        <f t="shared" si="50"/>
        <v>0</v>
      </c>
      <c r="N377" s="133"/>
      <c r="O377" s="133">
        <f t="shared" si="51"/>
        <v>0</v>
      </c>
      <c r="P377" s="134"/>
      <c r="Q377" s="133"/>
      <c r="R377" s="133"/>
      <c r="S377" s="153">
        <v>0</v>
      </c>
      <c r="T377" s="153">
        <v>0</v>
      </c>
      <c r="U377" s="153">
        <v>0</v>
      </c>
      <c r="V377" s="135"/>
      <c r="W377" s="135"/>
      <c r="X377" s="135"/>
      <c r="Y377" s="135"/>
      <c r="Z377" s="135"/>
      <c r="AA377" s="135"/>
      <c r="AB377" s="135"/>
      <c r="AC377" s="135"/>
      <c r="AD377" s="133"/>
      <c r="AE377" s="133"/>
      <c r="AF377" s="132" t="str">
        <f t="shared" si="52"/>
        <v>Нет инфо</v>
      </c>
      <c r="AG377" s="132" t="str">
        <f t="shared" si="53"/>
        <v>Нет инфо</v>
      </c>
      <c r="AH377" s="2"/>
      <c r="AI377" s="136"/>
      <c r="AJ377" s="2"/>
      <c r="AK377" s="136"/>
      <c r="AL377" s="136"/>
      <c r="AM377" s="2"/>
      <c r="AN377" s="2"/>
      <c r="AO377" s="2"/>
      <c r="AP377" s="2"/>
      <c r="AQ377" s="136"/>
    </row>
    <row r="378" spans="1:43" s="115" customFormat="1" ht="12.75" hidden="1" customHeight="1" x14ac:dyDescent="0.2">
      <c r="A378" s="2">
        <v>2407</v>
      </c>
      <c r="B378" s="2"/>
      <c r="C378" s="131"/>
      <c r="D378" s="131"/>
      <c r="E378" s="131"/>
      <c r="F378" s="2"/>
      <c r="G378" s="2"/>
      <c r="H378" s="132">
        <v>0</v>
      </c>
      <c r="I378" s="132"/>
      <c r="J378" s="132"/>
      <c r="K378" s="132"/>
      <c r="L378" s="132">
        <f t="shared" si="49"/>
        <v>0</v>
      </c>
      <c r="M378" s="132">
        <f t="shared" si="50"/>
        <v>0</v>
      </c>
      <c r="N378" s="133"/>
      <c r="O378" s="133">
        <f t="shared" si="51"/>
        <v>0</v>
      </c>
      <c r="P378" s="134"/>
      <c r="Q378" s="133"/>
      <c r="R378" s="133"/>
      <c r="S378" s="153">
        <v>0</v>
      </c>
      <c r="T378" s="153">
        <v>0</v>
      </c>
      <c r="U378" s="153">
        <v>0</v>
      </c>
      <c r="V378" s="135"/>
      <c r="W378" s="135"/>
      <c r="X378" s="135"/>
      <c r="Y378" s="135"/>
      <c r="Z378" s="135"/>
      <c r="AA378" s="135"/>
      <c r="AB378" s="135"/>
      <c r="AC378" s="135"/>
      <c r="AD378" s="133"/>
      <c r="AE378" s="133"/>
      <c r="AF378" s="132" t="str">
        <f t="shared" si="52"/>
        <v>Нет инфо</v>
      </c>
      <c r="AG378" s="132" t="str">
        <f t="shared" si="53"/>
        <v>Нет инфо</v>
      </c>
      <c r="AH378" s="2"/>
      <c r="AI378" s="136"/>
      <c r="AJ378" s="2"/>
      <c r="AK378" s="136"/>
      <c r="AL378" s="136"/>
      <c r="AM378" s="2"/>
      <c r="AN378" s="2"/>
      <c r="AO378" s="2"/>
      <c r="AP378" s="2"/>
      <c r="AQ378" s="136"/>
    </row>
    <row r="379" spans="1:43" s="115" customFormat="1" ht="12.75" hidden="1" customHeight="1" x14ac:dyDescent="0.2">
      <c r="A379" s="2">
        <v>2408</v>
      </c>
      <c r="B379" s="2"/>
      <c r="C379" s="131"/>
      <c r="D379" s="131"/>
      <c r="E379" s="131"/>
      <c r="F379" s="2"/>
      <c r="G379" s="2"/>
      <c r="H379" s="132">
        <v>0</v>
      </c>
      <c r="I379" s="132"/>
      <c r="J379" s="132"/>
      <c r="K379" s="132"/>
      <c r="L379" s="132">
        <f t="shared" si="49"/>
        <v>0</v>
      </c>
      <c r="M379" s="132">
        <f t="shared" si="50"/>
        <v>0</v>
      </c>
      <c r="N379" s="133"/>
      <c r="O379" s="133">
        <f t="shared" si="51"/>
        <v>0</v>
      </c>
      <c r="P379" s="134"/>
      <c r="Q379" s="133"/>
      <c r="R379" s="133"/>
      <c r="S379" s="153">
        <v>0</v>
      </c>
      <c r="T379" s="153">
        <v>0</v>
      </c>
      <c r="U379" s="153">
        <v>0</v>
      </c>
      <c r="V379" s="135"/>
      <c r="W379" s="135"/>
      <c r="X379" s="135"/>
      <c r="Y379" s="135"/>
      <c r="Z379" s="135"/>
      <c r="AA379" s="135"/>
      <c r="AB379" s="135"/>
      <c r="AC379" s="135"/>
      <c r="AD379" s="133"/>
      <c r="AE379" s="133"/>
      <c r="AF379" s="132" t="str">
        <f t="shared" si="52"/>
        <v>Нет инфо</v>
      </c>
      <c r="AG379" s="132" t="str">
        <f t="shared" si="53"/>
        <v>Нет инфо</v>
      </c>
      <c r="AH379" s="2"/>
      <c r="AI379" s="136"/>
      <c r="AJ379" s="2"/>
      <c r="AK379" s="136"/>
      <c r="AL379" s="136"/>
      <c r="AM379" s="2"/>
      <c r="AN379" s="2"/>
      <c r="AO379" s="2"/>
      <c r="AP379" s="2"/>
      <c r="AQ379" s="136"/>
    </row>
    <row r="380" spans="1:43" s="115" customFormat="1" ht="12.75" hidden="1" customHeight="1" x14ac:dyDescent="0.2">
      <c r="A380" s="2">
        <v>2409</v>
      </c>
      <c r="B380" s="2"/>
      <c r="C380" s="131"/>
      <c r="D380" s="131"/>
      <c r="E380" s="131"/>
      <c r="F380" s="2"/>
      <c r="G380" s="2"/>
      <c r="H380" s="132">
        <v>0</v>
      </c>
      <c r="I380" s="132"/>
      <c r="J380" s="132"/>
      <c r="K380" s="132"/>
      <c r="L380" s="132">
        <f t="shared" si="49"/>
        <v>0</v>
      </c>
      <c r="M380" s="132">
        <f t="shared" si="50"/>
        <v>0</v>
      </c>
      <c r="N380" s="133"/>
      <c r="O380" s="133">
        <f t="shared" si="51"/>
        <v>0</v>
      </c>
      <c r="P380" s="134"/>
      <c r="Q380" s="133"/>
      <c r="R380" s="133"/>
      <c r="S380" s="153">
        <v>0</v>
      </c>
      <c r="T380" s="153">
        <v>0</v>
      </c>
      <c r="U380" s="153">
        <v>0</v>
      </c>
      <c r="V380" s="135"/>
      <c r="W380" s="135"/>
      <c r="X380" s="135"/>
      <c r="Y380" s="135"/>
      <c r="Z380" s="135"/>
      <c r="AA380" s="135"/>
      <c r="AB380" s="135"/>
      <c r="AC380" s="135"/>
      <c r="AD380" s="133"/>
      <c r="AE380" s="133"/>
      <c r="AF380" s="132" t="str">
        <f t="shared" si="52"/>
        <v>Нет инфо</v>
      </c>
      <c r="AG380" s="132" t="str">
        <f t="shared" si="53"/>
        <v>Нет инфо</v>
      </c>
      <c r="AH380" s="2"/>
      <c r="AI380" s="136"/>
      <c r="AJ380" s="2"/>
      <c r="AK380" s="136"/>
      <c r="AL380" s="136"/>
      <c r="AM380" s="2"/>
      <c r="AN380" s="2"/>
      <c r="AO380" s="2"/>
      <c r="AP380" s="2"/>
      <c r="AQ380" s="136"/>
    </row>
    <row r="381" spans="1:43" s="115" customFormat="1" ht="12.75" hidden="1" customHeight="1" x14ac:dyDescent="0.2">
      <c r="A381" s="2">
        <v>2410</v>
      </c>
      <c r="B381" s="2"/>
      <c r="C381" s="131"/>
      <c r="D381" s="131"/>
      <c r="E381" s="131"/>
      <c r="F381" s="2"/>
      <c r="G381" s="2"/>
      <c r="H381" s="132">
        <v>0</v>
      </c>
      <c r="I381" s="132"/>
      <c r="J381" s="132"/>
      <c r="K381" s="132"/>
      <c r="L381" s="132">
        <f t="shared" si="49"/>
        <v>0</v>
      </c>
      <c r="M381" s="132">
        <f t="shared" si="50"/>
        <v>0</v>
      </c>
      <c r="N381" s="133"/>
      <c r="O381" s="133">
        <f t="shared" si="51"/>
        <v>0</v>
      </c>
      <c r="P381" s="134"/>
      <c r="Q381" s="133"/>
      <c r="R381" s="133"/>
      <c r="S381" s="153">
        <v>0</v>
      </c>
      <c r="T381" s="153">
        <v>0</v>
      </c>
      <c r="U381" s="153">
        <v>0</v>
      </c>
      <c r="V381" s="135"/>
      <c r="W381" s="135"/>
      <c r="X381" s="135"/>
      <c r="Y381" s="135"/>
      <c r="Z381" s="135"/>
      <c r="AA381" s="135"/>
      <c r="AB381" s="135"/>
      <c r="AC381" s="135"/>
      <c r="AD381" s="133"/>
      <c r="AE381" s="133"/>
      <c r="AF381" s="132" t="str">
        <f t="shared" si="52"/>
        <v>Нет инфо</v>
      </c>
      <c r="AG381" s="132" t="str">
        <f t="shared" si="53"/>
        <v>Нет инфо</v>
      </c>
      <c r="AH381" s="2"/>
      <c r="AI381" s="136"/>
      <c r="AJ381" s="2"/>
      <c r="AK381" s="136"/>
      <c r="AL381" s="136"/>
      <c r="AM381" s="2"/>
      <c r="AN381" s="2"/>
      <c r="AO381" s="2"/>
      <c r="AP381" s="2"/>
      <c r="AQ381" s="136"/>
    </row>
    <row r="382" spans="1:43" s="115" customFormat="1" ht="12.75" hidden="1" customHeight="1" x14ac:dyDescent="0.2">
      <c r="A382" s="2">
        <v>2411</v>
      </c>
      <c r="B382" s="2"/>
      <c r="C382" s="131"/>
      <c r="D382" s="131"/>
      <c r="E382" s="131"/>
      <c r="F382" s="2"/>
      <c r="G382" s="2"/>
      <c r="H382" s="132">
        <v>0</v>
      </c>
      <c r="I382" s="132"/>
      <c r="J382" s="132"/>
      <c r="K382" s="132"/>
      <c r="L382" s="132">
        <f t="shared" si="49"/>
        <v>0</v>
      </c>
      <c r="M382" s="132">
        <f t="shared" si="50"/>
        <v>0</v>
      </c>
      <c r="N382" s="133"/>
      <c r="O382" s="133">
        <f t="shared" si="51"/>
        <v>0</v>
      </c>
      <c r="P382" s="134"/>
      <c r="Q382" s="133"/>
      <c r="R382" s="133"/>
      <c r="S382" s="153">
        <v>0</v>
      </c>
      <c r="T382" s="153">
        <v>0</v>
      </c>
      <c r="U382" s="153">
        <v>0</v>
      </c>
      <c r="V382" s="135"/>
      <c r="W382" s="135"/>
      <c r="X382" s="135"/>
      <c r="Y382" s="135"/>
      <c r="Z382" s="135"/>
      <c r="AA382" s="135"/>
      <c r="AB382" s="135"/>
      <c r="AC382" s="135"/>
      <c r="AD382" s="133"/>
      <c r="AE382" s="133"/>
      <c r="AF382" s="132" t="str">
        <f t="shared" si="52"/>
        <v>Нет инфо</v>
      </c>
      <c r="AG382" s="132" t="str">
        <f t="shared" si="53"/>
        <v>Нет инфо</v>
      </c>
      <c r="AH382" s="2"/>
      <c r="AI382" s="136"/>
      <c r="AJ382" s="2"/>
      <c r="AK382" s="136"/>
      <c r="AL382" s="136"/>
      <c r="AM382" s="2"/>
      <c r="AN382" s="2"/>
      <c r="AO382" s="2"/>
      <c r="AP382" s="2"/>
      <c r="AQ382" s="136"/>
    </row>
    <row r="383" spans="1:43" s="115" customFormat="1" ht="12.75" hidden="1" customHeight="1" x14ac:dyDescent="0.2">
      <c r="A383" s="2">
        <v>2412</v>
      </c>
      <c r="B383" s="2"/>
      <c r="C383" s="131"/>
      <c r="D383" s="131"/>
      <c r="E383" s="131"/>
      <c r="F383" s="2"/>
      <c r="G383" s="2"/>
      <c r="H383" s="132">
        <v>0</v>
      </c>
      <c r="I383" s="132"/>
      <c r="J383" s="132"/>
      <c r="K383" s="132"/>
      <c r="L383" s="132">
        <f t="shared" si="49"/>
        <v>0</v>
      </c>
      <c r="M383" s="132">
        <f t="shared" si="50"/>
        <v>0</v>
      </c>
      <c r="N383" s="133"/>
      <c r="O383" s="133">
        <f t="shared" si="51"/>
        <v>0</v>
      </c>
      <c r="P383" s="134"/>
      <c r="Q383" s="133"/>
      <c r="R383" s="133"/>
      <c r="S383" s="153">
        <v>0</v>
      </c>
      <c r="T383" s="153">
        <v>0</v>
      </c>
      <c r="U383" s="153">
        <v>0</v>
      </c>
      <c r="V383" s="135"/>
      <c r="W383" s="135"/>
      <c r="X383" s="135"/>
      <c r="Y383" s="135"/>
      <c r="Z383" s="135"/>
      <c r="AA383" s="135"/>
      <c r="AB383" s="135"/>
      <c r="AC383" s="135"/>
      <c r="AD383" s="133"/>
      <c r="AE383" s="133"/>
      <c r="AF383" s="132" t="str">
        <f t="shared" si="52"/>
        <v>Нет инфо</v>
      </c>
      <c r="AG383" s="132" t="str">
        <f t="shared" si="53"/>
        <v>Нет инфо</v>
      </c>
      <c r="AH383" s="2"/>
      <c r="AI383" s="136"/>
      <c r="AJ383" s="2"/>
      <c r="AK383" s="136"/>
      <c r="AL383" s="136"/>
      <c r="AM383" s="2"/>
      <c r="AN383" s="2"/>
      <c r="AO383" s="2"/>
      <c r="AP383" s="2"/>
      <c r="AQ383" s="136"/>
    </row>
    <row r="384" spans="1:43" s="115" customFormat="1" ht="12.75" hidden="1" customHeight="1" x14ac:dyDescent="0.2">
      <c r="A384" s="2">
        <v>2413</v>
      </c>
      <c r="B384" s="2"/>
      <c r="C384" s="131"/>
      <c r="D384" s="131"/>
      <c r="E384" s="131"/>
      <c r="F384" s="2"/>
      <c r="G384" s="2"/>
      <c r="H384" s="132">
        <v>0</v>
      </c>
      <c r="I384" s="132"/>
      <c r="J384" s="132"/>
      <c r="K384" s="132"/>
      <c r="L384" s="132">
        <f t="shared" si="49"/>
        <v>0</v>
      </c>
      <c r="M384" s="132">
        <f t="shared" si="50"/>
        <v>0</v>
      </c>
      <c r="N384" s="133"/>
      <c r="O384" s="133">
        <f t="shared" si="51"/>
        <v>0</v>
      </c>
      <c r="P384" s="134"/>
      <c r="Q384" s="133"/>
      <c r="R384" s="133"/>
      <c r="S384" s="153">
        <v>0</v>
      </c>
      <c r="T384" s="153">
        <v>0</v>
      </c>
      <c r="U384" s="153">
        <v>0</v>
      </c>
      <c r="V384" s="135"/>
      <c r="W384" s="135"/>
      <c r="X384" s="135"/>
      <c r="Y384" s="135"/>
      <c r="Z384" s="135"/>
      <c r="AA384" s="135"/>
      <c r="AB384" s="135"/>
      <c r="AC384" s="135"/>
      <c r="AD384" s="133"/>
      <c r="AE384" s="133"/>
      <c r="AF384" s="132" t="str">
        <f t="shared" si="52"/>
        <v>Нет инфо</v>
      </c>
      <c r="AG384" s="132" t="str">
        <f t="shared" si="53"/>
        <v>Нет инфо</v>
      </c>
      <c r="AH384" s="2"/>
      <c r="AI384" s="136"/>
      <c r="AJ384" s="2"/>
      <c r="AK384" s="136"/>
      <c r="AL384" s="136"/>
      <c r="AM384" s="2"/>
      <c r="AN384" s="2"/>
      <c r="AO384" s="2"/>
      <c r="AP384" s="2"/>
      <c r="AQ384" s="136"/>
    </row>
    <row r="385" spans="1:43" s="115" customFormat="1" ht="12.75" hidden="1" customHeight="1" x14ac:dyDescent="0.2">
      <c r="A385" s="2">
        <v>2414</v>
      </c>
      <c r="B385" s="2"/>
      <c r="C385" s="131"/>
      <c r="D385" s="131"/>
      <c r="E385" s="131"/>
      <c r="F385" s="2"/>
      <c r="G385" s="2"/>
      <c r="H385" s="132">
        <v>0</v>
      </c>
      <c r="I385" s="132"/>
      <c r="J385" s="132"/>
      <c r="K385" s="132"/>
      <c r="L385" s="132">
        <f t="shared" si="49"/>
        <v>0</v>
      </c>
      <c r="M385" s="132">
        <f t="shared" si="50"/>
        <v>0</v>
      </c>
      <c r="N385" s="133"/>
      <c r="O385" s="133">
        <f t="shared" si="51"/>
        <v>0</v>
      </c>
      <c r="P385" s="134"/>
      <c r="Q385" s="133"/>
      <c r="R385" s="133"/>
      <c r="S385" s="153">
        <v>0</v>
      </c>
      <c r="T385" s="153">
        <v>0</v>
      </c>
      <c r="U385" s="153">
        <v>0</v>
      </c>
      <c r="V385" s="135"/>
      <c r="W385" s="135"/>
      <c r="X385" s="135"/>
      <c r="Y385" s="135"/>
      <c r="Z385" s="135"/>
      <c r="AA385" s="135"/>
      <c r="AB385" s="135"/>
      <c r="AC385" s="135"/>
      <c r="AD385" s="133"/>
      <c r="AE385" s="133"/>
      <c r="AF385" s="132" t="str">
        <f t="shared" si="52"/>
        <v>Нет инфо</v>
      </c>
      <c r="AG385" s="132" t="str">
        <f t="shared" si="53"/>
        <v>Нет инфо</v>
      </c>
      <c r="AH385" s="2"/>
      <c r="AI385" s="136"/>
      <c r="AJ385" s="2"/>
      <c r="AK385" s="136"/>
      <c r="AL385" s="136"/>
      <c r="AM385" s="2"/>
      <c r="AN385" s="2"/>
      <c r="AO385" s="2"/>
      <c r="AP385" s="2"/>
      <c r="AQ385" s="136"/>
    </row>
    <row r="386" spans="1:43" s="115" customFormat="1" ht="12.75" hidden="1" customHeight="1" x14ac:dyDescent="0.2">
      <c r="A386" s="2">
        <v>2415</v>
      </c>
      <c r="B386" s="2"/>
      <c r="C386" s="131"/>
      <c r="D386" s="131"/>
      <c r="E386" s="131"/>
      <c r="F386" s="2"/>
      <c r="G386" s="2"/>
      <c r="H386" s="132">
        <v>0</v>
      </c>
      <c r="I386" s="132"/>
      <c r="J386" s="132"/>
      <c r="K386" s="132"/>
      <c r="L386" s="132">
        <f t="shared" si="49"/>
        <v>0</v>
      </c>
      <c r="M386" s="132">
        <f t="shared" si="50"/>
        <v>0</v>
      </c>
      <c r="N386" s="133"/>
      <c r="O386" s="133">
        <f t="shared" si="51"/>
        <v>0</v>
      </c>
      <c r="P386" s="134"/>
      <c r="Q386" s="133"/>
      <c r="R386" s="133"/>
      <c r="S386" s="153">
        <v>0</v>
      </c>
      <c r="T386" s="153">
        <v>0</v>
      </c>
      <c r="U386" s="153">
        <v>0</v>
      </c>
      <c r="V386" s="135"/>
      <c r="W386" s="135"/>
      <c r="X386" s="135"/>
      <c r="Y386" s="135"/>
      <c r="Z386" s="135"/>
      <c r="AA386" s="135"/>
      <c r="AB386" s="135"/>
      <c r="AC386" s="135"/>
      <c r="AD386" s="133"/>
      <c r="AE386" s="133"/>
      <c r="AF386" s="132" t="str">
        <f t="shared" si="52"/>
        <v>Нет инфо</v>
      </c>
      <c r="AG386" s="132" t="str">
        <f t="shared" si="53"/>
        <v>Нет инфо</v>
      </c>
      <c r="AH386" s="2"/>
      <c r="AI386" s="136"/>
      <c r="AJ386" s="2"/>
      <c r="AK386" s="136"/>
      <c r="AL386" s="136"/>
      <c r="AM386" s="2"/>
      <c r="AN386" s="2"/>
      <c r="AO386" s="2"/>
      <c r="AP386" s="2"/>
      <c r="AQ386" s="136"/>
    </row>
    <row r="387" spans="1:43" s="115" customFormat="1" ht="12.75" hidden="1" customHeight="1" x14ac:dyDescent="0.2">
      <c r="A387" s="2">
        <v>2416</v>
      </c>
      <c r="B387" s="2"/>
      <c r="C387" s="131"/>
      <c r="D387" s="131"/>
      <c r="E387" s="131"/>
      <c r="F387" s="2"/>
      <c r="G387" s="2"/>
      <c r="H387" s="132">
        <v>0</v>
      </c>
      <c r="I387" s="132"/>
      <c r="J387" s="132"/>
      <c r="K387" s="132"/>
      <c r="L387" s="132">
        <f t="shared" si="49"/>
        <v>0</v>
      </c>
      <c r="M387" s="132">
        <f t="shared" si="50"/>
        <v>0</v>
      </c>
      <c r="N387" s="133"/>
      <c r="O387" s="133">
        <f t="shared" si="51"/>
        <v>0</v>
      </c>
      <c r="P387" s="134"/>
      <c r="Q387" s="133"/>
      <c r="R387" s="133"/>
      <c r="S387" s="153">
        <v>0</v>
      </c>
      <c r="T387" s="153">
        <v>0</v>
      </c>
      <c r="U387" s="153">
        <v>0</v>
      </c>
      <c r="V387" s="135"/>
      <c r="W387" s="135"/>
      <c r="X387" s="135"/>
      <c r="Y387" s="135"/>
      <c r="Z387" s="135"/>
      <c r="AA387" s="135"/>
      <c r="AB387" s="135"/>
      <c r="AC387" s="135"/>
      <c r="AD387" s="133"/>
      <c r="AE387" s="133"/>
      <c r="AF387" s="132" t="str">
        <f t="shared" si="52"/>
        <v>Нет инфо</v>
      </c>
      <c r="AG387" s="132" t="str">
        <f t="shared" si="53"/>
        <v>Нет инфо</v>
      </c>
      <c r="AH387" s="2"/>
      <c r="AI387" s="136"/>
      <c r="AJ387" s="2"/>
      <c r="AK387" s="136"/>
      <c r="AL387" s="136"/>
      <c r="AM387" s="2"/>
      <c r="AN387" s="2"/>
      <c r="AO387" s="2"/>
      <c r="AP387" s="2"/>
      <c r="AQ387" s="136"/>
    </row>
    <row r="388" spans="1:43" s="115" customFormat="1" ht="12.75" hidden="1" customHeight="1" x14ac:dyDescent="0.2">
      <c r="A388" s="2">
        <v>2417</v>
      </c>
      <c r="B388" s="2"/>
      <c r="C388" s="131"/>
      <c r="D388" s="131"/>
      <c r="E388" s="131"/>
      <c r="F388" s="2"/>
      <c r="G388" s="2"/>
      <c r="H388" s="132">
        <v>0</v>
      </c>
      <c r="I388" s="132"/>
      <c r="J388" s="132"/>
      <c r="K388" s="132"/>
      <c r="L388" s="132">
        <f t="shared" si="49"/>
        <v>0</v>
      </c>
      <c r="M388" s="132">
        <f t="shared" si="50"/>
        <v>0</v>
      </c>
      <c r="N388" s="133"/>
      <c r="O388" s="133">
        <f t="shared" si="51"/>
        <v>0</v>
      </c>
      <c r="P388" s="134"/>
      <c r="Q388" s="133"/>
      <c r="R388" s="133"/>
      <c r="S388" s="153">
        <v>0</v>
      </c>
      <c r="T388" s="153">
        <v>0</v>
      </c>
      <c r="U388" s="153">
        <v>0</v>
      </c>
      <c r="V388" s="135"/>
      <c r="W388" s="135"/>
      <c r="X388" s="135"/>
      <c r="Y388" s="135"/>
      <c r="Z388" s="135"/>
      <c r="AA388" s="135"/>
      <c r="AB388" s="135"/>
      <c r="AC388" s="135"/>
      <c r="AD388" s="133"/>
      <c r="AE388" s="133"/>
      <c r="AF388" s="132" t="str">
        <f t="shared" si="52"/>
        <v>Нет инфо</v>
      </c>
      <c r="AG388" s="132" t="str">
        <f t="shared" si="53"/>
        <v>Нет инфо</v>
      </c>
      <c r="AH388" s="2"/>
      <c r="AI388" s="136"/>
      <c r="AJ388" s="2"/>
      <c r="AK388" s="136"/>
      <c r="AL388" s="136"/>
      <c r="AM388" s="2"/>
      <c r="AN388" s="2"/>
      <c r="AO388" s="2"/>
      <c r="AP388" s="2"/>
      <c r="AQ388" s="136"/>
    </row>
    <row r="389" spans="1:43" s="115" customFormat="1" ht="12.75" hidden="1" customHeight="1" x14ac:dyDescent="0.2">
      <c r="A389" s="2">
        <v>2418</v>
      </c>
      <c r="B389" s="2"/>
      <c r="C389" s="131"/>
      <c r="D389" s="131"/>
      <c r="E389" s="131"/>
      <c r="F389" s="2"/>
      <c r="G389" s="2"/>
      <c r="H389" s="132">
        <v>0</v>
      </c>
      <c r="I389" s="132"/>
      <c r="J389" s="132"/>
      <c r="K389" s="132"/>
      <c r="L389" s="132">
        <f t="shared" si="49"/>
        <v>0</v>
      </c>
      <c r="M389" s="132">
        <f t="shared" si="50"/>
        <v>0</v>
      </c>
      <c r="N389" s="133"/>
      <c r="O389" s="133">
        <f t="shared" si="51"/>
        <v>0</v>
      </c>
      <c r="P389" s="134"/>
      <c r="Q389" s="133"/>
      <c r="R389" s="133"/>
      <c r="S389" s="153">
        <v>0</v>
      </c>
      <c r="T389" s="153">
        <v>0</v>
      </c>
      <c r="U389" s="153">
        <v>0</v>
      </c>
      <c r="V389" s="135"/>
      <c r="W389" s="135"/>
      <c r="X389" s="135"/>
      <c r="Y389" s="135"/>
      <c r="Z389" s="135"/>
      <c r="AA389" s="135"/>
      <c r="AB389" s="135"/>
      <c r="AC389" s="135"/>
      <c r="AD389" s="133"/>
      <c r="AE389" s="133"/>
      <c r="AF389" s="132" t="str">
        <f t="shared" si="52"/>
        <v>Нет инфо</v>
      </c>
      <c r="AG389" s="132" t="str">
        <f t="shared" si="53"/>
        <v>Нет инфо</v>
      </c>
      <c r="AH389" s="2"/>
      <c r="AI389" s="136"/>
      <c r="AJ389" s="2"/>
      <c r="AK389" s="136"/>
      <c r="AL389" s="136"/>
      <c r="AM389" s="2"/>
      <c r="AN389" s="2"/>
      <c r="AO389" s="2"/>
      <c r="AP389" s="2"/>
      <c r="AQ389" s="136"/>
    </row>
    <row r="390" spans="1:43" s="115" customFormat="1" ht="12.75" hidden="1" customHeight="1" x14ac:dyDescent="0.2">
      <c r="A390" s="2">
        <v>2419</v>
      </c>
      <c r="B390" s="2"/>
      <c r="C390" s="131"/>
      <c r="D390" s="131"/>
      <c r="E390" s="131"/>
      <c r="F390" s="2"/>
      <c r="G390" s="2"/>
      <c r="H390" s="132">
        <v>0</v>
      </c>
      <c r="I390" s="132"/>
      <c r="J390" s="132"/>
      <c r="K390" s="132"/>
      <c r="L390" s="132">
        <f t="shared" si="49"/>
        <v>0</v>
      </c>
      <c r="M390" s="132">
        <f t="shared" si="50"/>
        <v>0</v>
      </c>
      <c r="N390" s="133"/>
      <c r="O390" s="133">
        <f t="shared" si="51"/>
        <v>0</v>
      </c>
      <c r="P390" s="134"/>
      <c r="Q390" s="133"/>
      <c r="R390" s="133"/>
      <c r="S390" s="153">
        <v>0</v>
      </c>
      <c r="T390" s="153">
        <v>0</v>
      </c>
      <c r="U390" s="153">
        <v>0</v>
      </c>
      <c r="V390" s="135"/>
      <c r="W390" s="135"/>
      <c r="X390" s="135"/>
      <c r="Y390" s="135"/>
      <c r="Z390" s="135"/>
      <c r="AA390" s="135"/>
      <c r="AB390" s="135"/>
      <c r="AC390" s="135"/>
      <c r="AD390" s="133"/>
      <c r="AE390" s="133"/>
      <c r="AF390" s="132" t="str">
        <f t="shared" si="52"/>
        <v>Нет инфо</v>
      </c>
      <c r="AG390" s="132" t="str">
        <f t="shared" si="53"/>
        <v>Нет инфо</v>
      </c>
      <c r="AH390" s="2"/>
      <c r="AI390" s="136"/>
      <c r="AJ390" s="2"/>
      <c r="AK390" s="136"/>
      <c r="AL390" s="136"/>
      <c r="AM390" s="2"/>
      <c r="AN390" s="2"/>
      <c r="AO390" s="2"/>
      <c r="AP390" s="2"/>
      <c r="AQ390" s="136"/>
    </row>
    <row r="391" spans="1:43" s="115" customFormat="1" ht="12.75" hidden="1" customHeight="1" x14ac:dyDescent="0.2">
      <c r="A391" s="2">
        <v>2420</v>
      </c>
      <c r="B391" s="2"/>
      <c r="C391" s="131"/>
      <c r="D391" s="131"/>
      <c r="E391" s="131"/>
      <c r="F391" s="2"/>
      <c r="G391" s="2"/>
      <c r="H391" s="132">
        <v>0</v>
      </c>
      <c r="I391" s="132"/>
      <c r="J391" s="132"/>
      <c r="K391" s="132"/>
      <c r="L391" s="132">
        <f t="shared" si="49"/>
        <v>0</v>
      </c>
      <c r="M391" s="132">
        <f t="shared" si="50"/>
        <v>0</v>
      </c>
      <c r="N391" s="133"/>
      <c r="O391" s="133">
        <f t="shared" si="51"/>
        <v>0</v>
      </c>
      <c r="P391" s="134"/>
      <c r="Q391" s="133"/>
      <c r="R391" s="133"/>
      <c r="S391" s="153">
        <v>0</v>
      </c>
      <c r="T391" s="153">
        <v>0</v>
      </c>
      <c r="U391" s="153">
        <v>0</v>
      </c>
      <c r="V391" s="135"/>
      <c r="W391" s="135"/>
      <c r="X391" s="135"/>
      <c r="Y391" s="135"/>
      <c r="Z391" s="135"/>
      <c r="AA391" s="135"/>
      <c r="AB391" s="135"/>
      <c r="AC391" s="135"/>
      <c r="AD391" s="133"/>
      <c r="AE391" s="133"/>
      <c r="AF391" s="132" t="str">
        <f t="shared" si="52"/>
        <v>Нет инфо</v>
      </c>
      <c r="AG391" s="132" t="str">
        <f t="shared" si="53"/>
        <v>Нет инфо</v>
      </c>
      <c r="AH391" s="2"/>
      <c r="AI391" s="136"/>
      <c r="AJ391" s="2"/>
      <c r="AK391" s="136"/>
      <c r="AL391" s="136"/>
      <c r="AM391" s="2"/>
      <c r="AN391" s="2"/>
      <c r="AO391" s="2"/>
      <c r="AP391" s="2"/>
      <c r="AQ391" s="136"/>
    </row>
    <row r="392" spans="1:43" s="115" customFormat="1" ht="12.75" hidden="1" customHeight="1" x14ac:dyDescent="0.2">
      <c r="A392" s="2">
        <v>2421</v>
      </c>
      <c r="B392" s="2"/>
      <c r="C392" s="131"/>
      <c r="D392" s="131"/>
      <c r="E392" s="131"/>
      <c r="F392" s="2"/>
      <c r="G392" s="2"/>
      <c r="H392" s="132">
        <v>0</v>
      </c>
      <c r="I392" s="132"/>
      <c r="J392" s="132"/>
      <c r="K392" s="132"/>
      <c r="L392" s="132">
        <f t="shared" si="49"/>
        <v>0</v>
      </c>
      <c r="M392" s="132">
        <f t="shared" si="50"/>
        <v>0</v>
      </c>
      <c r="N392" s="133"/>
      <c r="O392" s="133">
        <f t="shared" si="51"/>
        <v>0</v>
      </c>
      <c r="P392" s="134"/>
      <c r="Q392" s="133"/>
      <c r="R392" s="133"/>
      <c r="S392" s="153">
        <v>0</v>
      </c>
      <c r="T392" s="153">
        <v>0</v>
      </c>
      <c r="U392" s="153">
        <v>0</v>
      </c>
      <c r="V392" s="135"/>
      <c r="W392" s="135"/>
      <c r="X392" s="135"/>
      <c r="Y392" s="135"/>
      <c r="Z392" s="135"/>
      <c r="AA392" s="135"/>
      <c r="AB392" s="135"/>
      <c r="AC392" s="135"/>
      <c r="AD392" s="133"/>
      <c r="AE392" s="133"/>
      <c r="AF392" s="132" t="str">
        <f t="shared" si="52"/>
        <v>Нет инфо</v>
      </c>
      <c r="AG392" s="132" t="str">
        <f t="shared" si="53"/>
        <v>Нет инфо</v>
      </c>
      <c r="AH392" s="2"/>
      <c r="AI392" s="136"/>
      <c r="AJ392" s="2"/>
      <c r="AK392" s="136"/>
      <c r="AL392" s="136"/>
      <c r="AM392" s="2"/>
      <c r="AN392" s="2"/>
      <c r="AO392" s="2"/>
      <c r="AP392" s="2"/>
      <c r="AQ392" s="136"/>
    </row>
    <row r="393" spans="1:43" s="115" customFormat="1" ht="12.75" hidden="1" customHeight="1" x14ac:dyDescent="0.2">
      <c r="A393" s="2">
        <v>2422</v>
      </c>
      <c r="B393" s="2"/>
      <c r="C393" s="131"/>
      <c r="D393" s="131"/>
      <c r="E393" s="131"/>
      <c r="F393" s="2"/>
      <c r="G393" s="2"/>
      <c r="H393" s="132">
        <v>0</v>
      </c>
      <c r="I393" s="132"/>
      <c r="J393" s="132"/>
      <c r="K393" s="132"/>
      <c r="L393" s="132">
        <f t="shared" si="49"/>
        <v>0</v>
      </c>
      <c r="M393" s="132">
        <f t="shared" si="50"/>
        <v>0</v>
      </c>
      <c r="N393" s="133"/>
      <c r="O393" s="133">
        <f t="shared" si="51"/>
        <v>0</v>
      </c>
      <c r="P393" s="134"/>
      <c r="Q393" s="133"/>
      <c r="R393" s="133"/>
      <c r="S393" s="153">
        <v>0</v>
      </c>
      <c r="T393" s="153">
        <v>0</v>
      </c>
      <c r="U393" s="153">
        <v>0</v>
      </c>
      <c r="V393" s="135"/>
      <c r="W393" s="135"/>
      <c r="X393" s="135"/>
      <c r="Y393" s="135"/>
      <c r="Z393" s="135"/>
      <c r="AA393" s="135"/>
      <c r="AB393" s="135"/>
      <c r="AC393" s="135"/>
      <c r="AD393" s="133"/>
      <c r="AE393" s="133"/>
      <c r="AF393" s="132" t="str">
        <f t="shared" si="52"/>
        <v>Нет инфо</v>
      </c>
      <c r="AG393" s="132" t="str">
        <f t="shared" si="53"/>
        <v>Нет инфо</v>
      </c>
      <c r="AH393" s="2"/>
      <c r="AI393" s="136"/>
      <c r="AJ393" s="2"/>
      <c r="AK393" s="136"/>
      <c r="AL393" s="136"/>
      <c r="AM393" s="2"/>
      <c r="AN393" s="2"/>
      <c r="AO393" s="2"/>
      <c r="AP393" s="2"/>
      <c r="AQ393" s="136"/>
    </row>
    <row r="394" spans="1:43" s="115" customFormat="1" ht="12.75" hidden="1" customHeight="1" x14ac:dyDescent="0.2">
      <c r="A394" s="2">
        <v>2423</v>
      </c>
      <c r="B394" s="2"/>
      <c r="C394" s="131"/>
      <c r="D394" s="131"/>
      <c r="E394" s="131"/>
      <c r="F394" s="2"/>
      <c r="G394" s="2"/>
      <c r="H394" s="132">
        <v>0</v>
      </c>
      <c r="I394" s="132"/>
      <c r="J394" s="132"/>
      <c r="K394" s="132"/>
      <c r="L394" s="132">
        <f t="shared" si="49"/>
        <v>0</v>
      </c>
      <c r="M394" s="132">
        <f t="shared" si="50"/>
        <v>0</v>
      </c>
      <c r="N394" s="133"/>
      <c r="O394" s="133">
        <f t="shared" si="51"/>
        <v>0</v>
      </c>
      <c r="P394" s="134"/>
      <c r="Q394" s="133"/>
      <c r="R394" s="133"/>
      <c r="S394" s="153">
        <v>0</v>
      </c>
      <c r="T394" s="153">
        <v>0</v>
      </c>
      <c r="U394" s="153">
        <v>0</v>
      </c>
      <c r="V394" s="135"/>
      <c r="W394" s="135"/>
      <c r="X394" s="135"/>
      <c r="Y394" s="135"/>
      <c r="Z394" s="135"/>
      <c r="AA394" s="135"/>
      <c r="AB394" s="135"/>
      <c r="AC394" s="135"/>
      <c r="AD394" s="133"/>
      <c r="AE394" s="133"/>
      <c r="AF394" s="132" t="str">
        <f t="shared" si="52"/>
        <v>Нет инфо</v>
      </c>
      <c r="AG394" s="132" t="str">
        <f t="shared" si="53"/>
        <v>Нет инфо</v>
      </c>
      <c r="AH394" s="2"/>
      <c r="AI394" s="136"/>
      <c r="AJ394" s="2"/>
      <c r="AK394" s="136"/>
      <c r="AL394" s="136"/>
      <c r="AM394" s="2"/>
      <c r="AN394" s="2"/>
      <c r="AO394" s="2"/>
      <c r="AP394" s="2"/>
      <c r="AQ394" s="136"/>
    </row>
    <row r="395" spans="1:43" s="115" customFormat="1" ht="12.75" hidden="1" customHeight="1" x14ac:dyDescent="0.2">
      <c r="A395" s="2">
        <v>2424</v>
      </c>
      <c r="B395" s="2"/>
      <c r="C395" s="131"/>
      <c r="D395" s="131"/>
      <c r="E395" s="131"/>
      <c r="F395" s="2"/>
      <c r="G395" s="2"/>
      <c r="H395" s="132">
        <v>0</v>
      </c>
      <c r="I395" s="132"/>
      <c r="J395" s="132"/>
      <c r="K395" s="132"/>
      <c r="L395" s="132">
        <f t="shared" ref="L395:L458" si="54">H395-K395</f>
        <v>0</v>
      </c>
      <c r="M395" s="132">
        <f t="shared" ref="M395:M458" si="55">I395-K395</f>
        <v>0</v>
      </c>
      <c r="N395" s="133"/>
      <c r="O395" s="133">
        <f t="shared" ref="O395:O458" si="56">IF(OR(AJ395="принят",AJ395="Завершено",AJ395="ПриПро"),I395-K395,H395-K395)</f>
        <v>0</v>
      </c>
      <c r="P395" s="134"/>
      <c r="Q395" s="133"/>
      <c r="R395" s="133"/>
      <c r="S395" s="153">
        <v>0</v>
      </c>
      <c r="T395" s="153">
        <v>0</v>
      </c>
      <c r="U395" s="153">
        <v>0</v>
      </c>
      <c r="V395" s="135"/>
      <c r="W395" s="135"/>
      <c r="X395" s="135"/>
      <c r="Y395" s="135"/>
      <c r="Z395" s="135"/>
      <c r="AA395" s="135"/>
      <c r="AB395" s="135"/>
      <c r="AC395" s="135"/>
      <c r="AD395" s="133"/>
      <c r="AE395" s="133"/>
      <c r="AF395" s="132" t="str">
        <f t="shared" si="52"/>
        <v>Нет инфо</v>
      </c>
      <c r="AG395" s="132" t="str">
        <f t="shared" si="53"/>
        <v>Нет инфо</v>
      </c>
      <c r="AH395" s="2"/>
      <c r="AI395" s="136"/>
      <c r="AJ395" s="2"/>
      <c r="AK395" s="136"/>
      <c r="AL395" s="136"/>
      <c r="AM395" s="2"/>
      <c r="AN395" s="2"/>
      <c r="AO395" s="2"/>
      <c r="AP395" s="2"/>
      <c r="AQ395" s="136"/>
    </row>
    <row r="396" spans="1:43" s="115" customFormat="1" ht="12.75" hidden="1" customHeight="1" x14ac:dyDescent="0.2">
      <c r="A396" s="2">
        <v>2425</v>
      </c>
      <c r="B396" s="2"/>
      <c r="C396" s="131"/>
      <c r="D396" s="131"/>
      <c r="E396" s="131"/>
      <c r="F396" s="2"/>
      <c r="G396" s="2"/>
      <c r="H396" s="132">
        <v>0</v>
      </c>
      <c r="I396" s="132"/>
      <c r="J396" s="132"/>
      <c r="K396" s="132"/>
      <c r="L396" s="132">
        <f t="shared" si="54"/>
        <v>0</v>
      </c>
      <c r="M396" s="132">
        <f t="shared" si="55"/>
        <v>0</v>
      </c>
      <c r="N396" s="133"/>
      <c r="O396" s="133">
        <f t="shared" si="56"/>
        <v>0</v>
      </c>
      <c r="P396" s="134"/>
      <c r="Q396" s="133"/>
      <c r="R396" s="133"/>
      <c r="S396" s="153">
        <v>0</v>
      </c>
      <c r="T396" s="153">
        <v>0</v>
      </c>
      <c r="U396" s="153">
        <v>0</v>
      </c>
      <c r="V396" s="135"/>
      <c r="W396" s="135"/>
      <c r="X396" s="135"/>
      <c r="Y396" s="135"/>
      <c r="Z396" s="135"/>
      <c r="AA396" s="135"/>
      <c r="AB396" s="135"/>
      <c r="AC396" s="135"/>
      <c r="AD396" s="133"/>
      <c r="AE396" s="133"/>
      <c r="AF396" s="132" t="str">
        <f t="shared" si="52"/>
        <v>Нет инфо</v>
      </c>
      <c r="AG396" s="132" t="str">
        <f t="shared" si="53"/>
        <v>Нет инфо</v>
      </c>
      <c r="AH396" s="2"/>
      <c r="AI396" s="136"/>
      <c r="AJ396" s="2"/>
      <c r="AK396" s="136"/>
      <c r="AL396" s="136"/>
      <c r="AM396" s="2"/>
      <c r="AN396" s="2"/>
      <c r="AO396" s="2"/>
      <c r="AP396" s="2"/>
      <c r="AQ396" s="136"/>
    </row>
    <row r="397" spans="1:43" s="115" customFormat="1" ht="12.75" hidden="1" customHeight="1" x14ac:dyDescent="0.2">
      <c r="A397" s="2">
        <v>2426</v>
      </c>
      <c r="B397" s="2"/>
      <c r="C397" s="131"/>
      <c r="D397" s="131"/>
      <c r="E397" s="131"/>
      <c r="F397" s="2"/>
      <c r="G397" s="2"/>
      <c r="H397" s="132">
        <v>0</v>
      </c>
      <c r="I397" s="132"/>
      <c r="J397" s="132"/>
      <c r="K397" s="132"/>
      <c r="L397" s="132">
        <f t="shared" si="54"/>
        <v>0</v>
      </c>
      <c r="M397" s="132">
        <f t="shared" si="55"/>
        <v>0</v>
      </c>
      <c r="N397" s="133"/>
      <c r="O397" s="133">
        <f t="shared" si="56"/>
        <v>0</v>
      </c>
      <c r="P397" s="134"/>
      <c r="Q397" s="133"/>
      <c r="R397" s="133"/>
      <c r="S397" s="153">
        <v>0</v>
      </c>
      <c r="T397" s="153">
        <v>0</v>
      </c>
      <c r="U397" s="153">
        <v>0</v>
      </c>
      <c r="V397" s="135"/>
      <c r="W397" s="135"/>
      <c r="X397" s="135"/>
      <c r="Y397" s="135"/>
      <c r="Z397" s="135"/>
      <c r="AA397" s="135"/>
      <c r="AB397" s="135"/>
      <c r="AC397" s="135"/>
      <c r="AD397" s="133"/>
      <c r="AE397" s="133"/>
      <c r="AF397" s="132" t="str">
        <f t="shared" si="52"/>
        <v>Нет инфо</v>
      </c>
      <c r="AG397" s="132" t="str">
        <f t="shared" si="53"/>
        <v>Нет инфо</v>
      </c>
      <c r="AH397" s="2"/>
      <c r="AI397" s="136"/>
      <c r="AJ397" s="2"/>
      <c r="AK397" s="136"/>
      <c r="AL397" s="136"/>
      <c r="AM397" s="2"/>
      <c r="AN397" s="2"/>
      <c r="AO397" s="2"/>
      <c r="AP397" s="2"/>
      <c r="AQ397" s="136"/>
    </row>
    <row r="398" spans="1:43" s="115" customFormat="1" ht="12.75" hidden="1" customHeight="1" x14ac:dyDescent="0.2">
      <c r="A398" s="2">
        <v>2427</v>
      </c>
      <c r="B398" s="2"/>
      <c r="C398" s="131"/>
      <c r="D398" s="131"/>
      <c r="E398" s="131"/>
      <c r="F398" s="2"/>
      <c r="G398" s="2"/>
      <c r="H398" s="132">
        <v>0</v>
      </c>
      <c r="I398" s="132"/>
      <c r="J398" s="132"/>
      <c r="K398" s="132"/>
      <c r="L398" s="132">
        <f t="shared" si="54"/>
        <v>0</v>
      </c>
      <c r="M398" s="132">
        <f t="shared" si="55"/>
        <v>0</v>
      </c>
      <c r="N398" s="133"/>
      <c r="O398" s="133">
        <f t="shared" si="56"/>
        <v>0</v>
      </c>
      <c r="P398" s="134"/>
      <c r="Q398" s="133"/>
      <c r="R398" s="133"/>
      <c r="S398" s="153">
        <v>0</v>
      </c>
      <c r="T398" s="153">
        <v>0</v>
      </c>
      <c r="U398" s="153">
        <v>0</v>
      </c>
      <c r="V398" s="135"/>
      <c r="W398" s="135"/>
      <c r="X398" s="135"/>
      <c r="Y398" s="135"/>
      <c r="Z398" s="135"/>
      <c r="AA398" s="135"/>
      <c r="AB398" s="135"/>
      <c r="AC398" s="135"/>
      <c r="AD398" s="133"/>
      <c r="AE398" s="133"/>
      <c r="AF398" s="132" t="str">
        <f t="shared" si="52"/>
        <v>Нет инфо</v>
      </c>
      <c r="AG398" s="132" t="str">
        <f t="shared" si="53"/>
        <v>Нет инфо</v>
      </c>
      <c r="AH398" s="2"/>
      <c r="AI398" s="136"/>
      <c r="AJ398" s="2"/>
      <c r="AK398" s="136"/>
      <c r="AL398" s="136"/>
      <c r="AM398" s="2"/>
      <c r="AN398" s="2"/>
      <c r="AO398" s="2"/>
      <c r="AP398" s="2"/>
      <c r="AQ398" s="136"/>
    </row>
    <row r="399" spans="1:43" s="115" customFormat="1" ht="12.75" hidden="1" customHeight="1" x14ac:dyDescent="0.2">
      <c r="A399" s="2">
        <v>2428</v>
      </c>
      <c r="B399" s="2"/>
      <c r="C399" s="131"/>
      <c r="D399" s="131"/>
      <c r="E399" s="131"/>
      <c r="F399" s="2"/>
      <c r="G399" s="2"/>
      <c r="H399" s="132">
        <v>0</v>
      </c>
      <c r="I399" s="132"/>
      <c r="J399" s="132"/>
      <c r="K399" s="132"/>
      <c r="L399" s="132">
        <f t="shared" si="54"/>
        <v>0</v>
      </c>
      <c r="M399" s="132">
        <f t="shared" si="55"/>
        <v>0</v>
      </c>
      <c r="N399" s="133"/>
      <c r="O399" s="133">
        <f t="shared" si="56"/>
        <v>0</v>
      </c>
      <c r="P399" s="134"/>
      <c r="Q399" s="133"/>
      <c r="R399" s="133"/>
      <c r="S399" s="153">
        <v>0</v>
      </c>
      <c r="T399" s="153">
        <v>0</v>
      </c>
      <c r="U399" s="153">
        <v>0</v>
      </c>
      <c r="V399" s="135"/>
      <c r="W399" s="135"/>
      <c r="X399" s="135"/>
      <c r="Y399" s="135"/>
      <c r="Z399" s="135"/>
      <c r="AA399" s="135"/>
      <c r="AB399" s="135"/>
      <c r="AC399" s="135"/>
      <c r="AD399" s="133"/>
      <c r="AE399" s="133"/>
      <c r="AF399" s="132" t="str">
        <f t="shared" si="52"/>
        <v>Нет инфо</v>
      </c>
      <c r="AG399" s="132" t="str">
        <f t="shared" si="53"/>
        <v>Нет инфо</v>
      </c>
      <c r="AH399" s="2"/>
      <c r="AI399" s="136"/>
      <c r="AJ399" s="2"/>
      <c r="AK399" s="136"/>
      <c r="AL399" s="136"/>
      <c r="AM399" s="2"/>
      <c r="AN399" s="2"/>
      <c r="AO399" s="2"/>
      <c r="AP399" s="2"/>
      <c r="AQ399" s="136"/>
    </row>
    <row r="400" spans="1:43" s="115" customFormat="1" ht="12.75" hidden="1" customHeight="1" x14ac:dyDescent="0.2">
      <c r="A400" s="2">
        <v>2429</v>
      </c>
      <c r="B400" s="2"/>
      <c r="C400" s="131"/>
      <c r="D400" s="131"/>
      <c r="E400" s="131"/>
      <c r="F400" s="2"/>
      <c r="G400" s="2"/>
      <c r="H400" s="132">
        <v>0</v>
      </c>
      <c r="I400" s="132"/>
      <c r="J400" s="132"/>
      <c r="K400" s="132"/>
      <c r="L400" s="132">
        <f t="shared" si="54"/>
        <v>0</v>
      </c>
      <c r="M400" s="132">
        <f t="shared" si="55"/>
        <v>0</v>
      </c>
      <c r="N400" s="133"/>
      <c r="O400" s="133">
        <f t="shared" si="56"/>
        <v>0</v>
      </c>
      <c r="P400" s="134"/>
      <c r="Q400" s="133"/>
      <c r="R400" s="133"/>
      <c r="S400" s="153">
        <v>0</v>
      </c>
      <c r="T400" s="153">
        <v>0</v>
      </c>
      <c r="U400" s="153">
        <v>0</v>
      </c>
      <c r="V400" s="135"/>
      <c r="W400" s="135"/>
      <c r="X400" s="135"/>
      <c r="Y400" s="135"/>
      <c r="Z400" s="135"/>
      <c r="AA400" s="135"/>
      <c r="AB400" s="135"/>
      <c r="AC400" s="135"/>
      <c r="AD400" s="133"/>
      <c r="AE400" s="133"/>
      <c r="AF400" s="132" t="str">
        <f t="shared" si="52"/>
        <v>Нет инфо</v>
      </c>
      <c r="AG400" s="132" t="str">
        <f t="shared" si="53"/>
        <v>Нет инфо</v>
      </c>
      <c r="AH400" s="2"/>
      <c r="AI400" s="136"/>
      <c r="AJ400" s="2"/>
      <c r="AK400" s="136"/>
      <c r="AL400" s="136"/>
      <c r="AM400" s="2"/>
      <c r="AN400" s="2"/>
      <c r="AO400" s="2"/>
      <c r="AP400" s="2"/>
      <c r="AQ400" s="136"/>
    </row>
    <row r="401" spans="1:43" s="115" customFormat="1" ht="12.75" hidden="1" customHeight="1" x14ac:dyDescent="0.2">
      <c r="A401" s="2">
        <v>2430</v>
      </c>
      <c r="B401" s="2"/>
      <c r="C401" s="131"/>
      <c r="D401" s="131"/>
      <c r="E401" s="131"/>
      <c r="F401" s="2"/>
      <c r="G401" s="2"/>
      <c r="H401" s="132">
        <v>0</v>
      </c>
      <c r="I401" s="132"/>
      <c r="J401" s="132"/>
      <c r="K401" s="132"/>
      <c r="L401" s="132">
        <f t="shared" si="54"/>
        <v>0</v>
      </c>
      <c r="M401" s="132">
        <f t="shared" si="55"/>
        <v>0</v>
      </c>
      <c r="N401" s="133"/>
      <c r="O401" s="133">
        <f t="shared" si="56"/>
        <v>0</v>
      </c>
      <c r="P401" s="134"/>
      <c r="Q401" s="133"/>
      <c r="R401" s="133"/>
      <c r="S401" s="153">
        <v>0</v>
      </c>
      <c r="T401" s="153">
        <v>0</v>
      </c>
      <c r="U401" s="153">
        <v>0</v>
      </c>
      <c r="V401" s="135"/>
      <c r="W401" s="135"/>
      <c r="X401" s="135"/>
      <c r="Y401" s="135"/>
      <c r="Z401" s="135"/>
      <c r="AA401" s="135"/>
      <c r="AB401" s="135"/>
      <c r="AC401" s="135"/>
      <c r="AD401" s="133"/>
      <c r="AE401" s="133"/>
      <c r="AF401" s="132" t="str">
        <f t="shared" si="52"/>
        <v>Нет инфо</v>
      </c>
      <c r="AG401" s="132" t="str">
        <f t="shared" si="53"/>
        <v>Нет инфо</v>
      </c>
      <c r="AH401" s="2"/>
      <c r="AI401" s="136"/>
      <c r="AJ401" s="2"/>
      <c r="AK401" s="136"/>
      <c r="AL401" s="136"/>
      <c r="AM401" s="2"/>
      <c r="AN401" s="2"/>
      <c r="AO401" s="2"/>
      <c r="AP401" s="2"/>
      <c r="AQ401" s="136"/>
    </row>
    <row r="402" spans="1:43" s="115" customFormat="1" ht="12.75" hidden="1" customHeight="1" x14ac:dyDescent="0.2">
      <c r="A402" s="2">
        <v>2431</v>
      </c>
      <c r="B402" s="2"/>
      <c r="C402" s="131"/>
      <c r="D402" s="131"/>
      <c r="E402" s="131"/>
      <c r="F402" s="2"/>
      <c r="G402" s="2"/>
      <c r="H402" s="132">
        <v>0</v>
      </c>
      <c r="I402" s="132"/>
      <c r="J402" s="132"/>
      <c r="K402" s="132"/>
      <c r="L402" s="132">
        <f t="shared" si="54"/>
        <v>0</v>
      </c>
      <c r="M402" s="132">
        <f t="shared" si="55"/>
        <v>0</v>
      </c>
      <c r="N402" s="133"/>
      <c r="O402" s="133">
        <f t="shared" si="56"/>
        <v>0</v>
      </c>
      <c r="P402" s="134"/>
      <c r="Q402" s="133"/>
      <c r="R402" s="133"/>
      <c r="S402" s="153">
        <v>0</v>
      </c>
      <c r="T402" s="153">
        <v>0</v>
      </c>
      <c r="U402" s="153">
        <v>0</v>
      </c>
      <c r="V402" s="135"/>
      <c r="W402" s="135"/>
      <c r="X402" s="135"/>
      <c r="Y402" s="135"/>
      <c r="Z402" s="135"/>
      <c r="AA402" s="135"/>
      <c r="AB402" s="135"/>
      <c r="AC402" s="135"/>
      <c r="AD402" s="133"/>
      <c r="AE402" s="133"/>
      <c r="AF402" s="132" t="str">
        <f t="shared" si="52"/>
        <v>Нет инфо</v>
      </c>
      <c r="AG402" s="132" t="str">
        <f t="shared" si="53"/>
        <v>Нет инфо</v>
      </c>
      <c r="AH402" s="2"/>
      <c r="AI402" s="136"/>
      <c r="AJ402" s="2"/>
      <c r="AK402" s="136"/>
      <c r="AL402" s="136"/>
      <c r="AM402" s="2"/>
      <c r="AN402" s="2"/>
      <c r="AO402" s="2"/>
      <c r="AP402" s="2"/>
      <c r="AQ402" s="136"/>
    </row>
    <row r="403" spans="1:43" s="115" customFormat="1" ht="12.75" hidden="1" customHeight="1" x14ac:dyDescent="0.2">
      <c r="A403" s="2">
        <v>2432</v>
      </c>
      <c r="B403" s="2"/>
      <c r="C403" s="131"/>
      <c r="D403" s="131"/>
      <c r="E403" s="131"/>
      <c r="F403" s="2"/>
      <c r="G403" s="2"/>
      <c r="H403" s="132">
        <v>0</v>
      </c>
      <c r="I403" s="132"/>
      <c r="J403" s="132"/>
      <c r="K403" s="132"/>
      <c r="L403" s="132">
        <f t="shared" si="54"/>
        <v>0</v>
      </c>
      <c r="M403" s="132">
        <f t="shared" si="55"/>
        <v>0</v>
      </c>
      <c r="N403" s="133"/>
      <c r="O403" s="133">
        <f t="shared" si="56"/>
        <v>0</v>
      </c>
      <c r="P403" s="134"/>
      <c r="Q403" s="133"/>
      <c r="R403" s="133"/>
      <c r="S403" s="153">
        <v>0</v>
      </c>
      <c r="T403" s="153">
        <v>0</v>
      </c>
      <c r="U403" s="153">
        <v>0</v>
      </c>
      <c r="V403" s="135"/>
      <c r="W403" s="135"/>
      <c r="X403" s="135"/>
      <c r="Y403" s="135"/>
      <c r="Z403" s="135"/>
      <c r="AA403" s="135"/>
      <c r="AB403" s="135"/>
      <c r="AC403" s="135"/>
      <c r="AD403" s="133"/>
      <c r="AE403" s="133"/>
      <c r="AF403" s="132" t="str">
        <f t="shared" si="52"/>
        <v>Нет инфо</v>
      </c>
      <c r="AG403" s="132" t="str">
        <f t="shared" si="53"/>
        <v>Нет инфо</v>
      </c>
      <c r="AH403" s="2"/>
      <c r="AI403" s="136"/>
      <c r="AJ403" s="2"/>
      <c r="AK403" s="136"/>
      <c r="AL403" s="136"/>
      <c r="AM403" s="2"/>
      <c r="AN403" s="2"/>
      <c r="AO403" s="2"/>
      <c r="AP403" s="2"/>
      <c r="AQ403" s="136"/>
    </row>
    <row r="404" spans="1:43" s="115" customFormat="1" ht="12.75" hidden="1" customHeight="1" x14ac:dyDescent="0.2">
      <c r="A404" s="2">
        <v>2433</v>
      </c>
      <c r="B404" s="2"/>
      <c r="C404" s="131"/>
      <c r="D404" s="131"/>
      <c r="E404" s="131"/>
      <c r="F404" s="2"/>
      <c r="G404" s="2"/>
      <c r="H404" s="132">
        <v>0</v>
      </c>
      <c r="I404" s="132"/>
      <c r="J404" s="132"/>
      <c r="K404" s="132"/>
      <c r="L404" s="132">
        <f t="shared" si="54"/>
        <v>0</v>
      </c>
      <c r="M404" s="132">
        <f t="shared" si="55"/>
        <v>0</v>
      </c>
      <c r="N404" s="133"/>
      <c r="O404" s="133">
        <f t="shared" si="56"/>
        <v>0</v>
      </c>
      <c r="P404" s="134"/>
      <c r="Q404" s="133"/>
      <c r="R404" s="133"/>
      <c r="S404" s="153">
        <v>0</v>
      </c>
      <c r="T404" s="153">
        <v>0</v>
      </c>
      <c r="U404" s="153">
        <v>0</v>
      </c>
      <c r="V404" s="135"/>
      <c r="W404" s="135"/>
      <c r="X404" s="135"/>
      <c r="Y404" s="135"/>
      <c r="Z404" s="135"/>
      <c r="AA404" s="135"/>
      <c r="AB404" s="135"/>
      <c r="AC404" s="135"/>
      <c r="AD404" s="133"/>
      <c r="AE404" s="133"/>
      <c r="AF404" s="132" t="str">
        <f t="shared" si="52"/>
        <v>Нет инфо</v>
      </c>
      <c r="AG404" s="132" t="str">
        <f t="shared" si="53"/>
        <v>Нет инфо</v>
      </c>
      <c r="AH404" s="2"/>
      <c r="AI404" s="136"/>
      <c r="AJ404" s="2"/>
      <c r="AK404" s="136"/>
      <c r="AL404" s="136"/>
      <c r="AM404" s="2"/>
      <c r="AN404" s="2"/>
      <c r="AO404" s="2"/>
      <c r="AP404" s="2"/>
      <c r="AQ404" s="136"/>
    </row>
    <row r="405" spans="1:43" s="115" customFormat="1" ht="12.75" hidden="1" customHeight="1" x14ac:dyDescent="0.2">
      <c r="A405" s="2">
        <v>2434</v>
      </c>
      <c r="B405" s="2"/>
      <c r="C405" s="131"/>
      <c r="D405" s="131"/>
      <c r="E405" s="131"/>
      <c r="F405" s="2"/>
      <c r="G405" s="2"/>
      <c r="H405" s="132">
        <v>0</v>
      </c>
      <c r="I405" s="132"/>
      <c r="J405" s="132"/>
      <c r="K405" s="132"/>
      <c r="L405" s="132">
        <f t="shared" si="54"/>
        <v>0</v>
      </c>
      <c r="M405" s="132">
        <f t="shared" si="55"/>
        <v>0</v>
      </c>
      <c r="N405" s="133"/>
      <c r="O405" s="133">
        <f t="shared" si="56"/>
        <v>0</v>
      </c>
      <c r="P405" s="134"/>
      <c r="Q405" s="133"/>
      <c r="R405" s="133"/>
      <c r="S405" s="153">
        <v>0</v>
      </c>
      <c r="T405" s="153">
        <v>0</v>
      </c>
      <c r="U405" s="153">
        <v>0</v>
      </c>
      <c r="V405" s="135"/>
      <c r="W405" s="135"/>
      <c r="X405" s="135"/>
      <c r="Y405" s="135"/>
      <c r="Z405" s="135"/>
      <c r="AA405" s="135"/>
      <c r="AB405" s="135"/>
      <c r="AC405" s="135"/>
      <c r="AD405" s="133"/>
      <c r="AE405" s="133"/>
      <c r="AF405" s="132" t="str">
        <f t="shared" si="52"/>
        <v>Нет инфо</v>
      </c>
      <c r="AG405" s="132" t="str">
        <f t="shared" si="53"/>
        <v>Нет инфо</v>
      </c>
      <c r="AH405" s="2"/>
      <c r="AI405" s="136"/>
      <c r="AJ405" s="2"/>
      <c r="AK405" s="136"/>
      <c r="AL405" s="136"/>
      <c r="AM405" s="2"/>
      <c r="AN405" s="2"/>
      <c r="AO405" s="2"/>
      <c r="AP405" s="2"/>
      <c r="AQ405" s="136"/>
    </row>
    <row r="406" spans="1:43" s="115" customFormat="1" ht="12.75" hidden="1" customHeight="1" x14ac:dyDescent="0.2">
      <c r="A406" s="2">
        <v>2435</v>
      </c>
      <c r="B406" s="2"/>
      <c r="C406" s="131"/>
      <c r="D406" s="131"/>
      <c r="E406" s="131"/>
      <c r="F406" s="2"/>
      <c r="G406" s="2"/>
      <c r="H406" s="132">
        <v>0</v>
      </c>
      <c r="I406" s="132"/>
      <c r="J406" s="132"/>
      <c r="K406" s="132"/>
      <c r="L406" s="132">
        <f t="shared" si="54"/>
        <v>0</v>
      </c>
      <c r="M406" s="132">
        <f t="shared" si="55"/>
        <v>0</v>
      </c>
      <c r="N406" s="133"/>
      <c r="O406" s="133">
        <f t="shared" si="56"/>
        <v>0</v>
      </c>
      <c r="P406" s="134"/>
      <c r="Q406" s="133"/>
      <c r="R406" s="133"/>
      <c r="S406" s="153">
        <v>0</v>
      </c>
      <c r="T406" s="153">
        <v>0</v>
      </c>
      <c r="U406" s="153">
        <v>0</v>
      </c>
      <c r="V406" s="135"/>
      <c r="W406" s="135"/>
      <c r="X406" s="135"/>
      <c r="Y406" s="135"/>
      <c r="Z406" s="135"/>
      <c r="AA406" s="135"/>
      <c r="AB406" s="135"/>
      <c r="AC406" s="135"/>
      <c r="AD406" s="133"/>
      <c r="AE406" s="133"/>
      <c r="AF406" s="132" t="str">
        <f t="shared" si="52"/>
        <v>Нет инфо</v>
      </c>
      <c r="AG406" s="132" t="str">
        <f t="shared" si="53"/>
        <v>Нет инфо</v>
      </c>
      <c r="AH406" s="2"/>
      <c r="AI406" s="136"/>
      <c r="AJ406" s="2"/>
      <c r="AK406" s="136"/>
      <c r="AL406" s="136"/>
      <c r="AM406" s="2"/>
      <c r="AN406" s="2"/>
      <c r="AO406" s="2"/>
      <c r="AP406" s="2"/>
      <c r="AQ406" s="136"/>
    </row>
    <row r="407" spans="1:43" s="115" customFormat="1" ht="12.75" hidden="1" customHeight="1" x14ac:dyDescent="0.2">
      <c r="A407" s="2">
        <v>2436</v>
      </c>
      <c r="B407" s="2"/>
      <c r="C407" s="131"/>
      <c r="D407" s="131"/>
      <c r="E407" s="131"/>
      <c r="F407" s="2"/>
      <c r="G407" s="2"/>
      <c r="H407" s="132">
        <v>0</v>
      </c>
      <c r="I407" s="132"/>
      <c r="J407" s="132"/>
      <c r="K407" s="132"/>
      <c r="L407" s="132">
        <f t="shared" si="54"/>
        <v>0</v>
      </c>
      <c r="M407" s="132">
        <f t="shared" si="55"/>
        <v>0</v>
      </c>
      <c r="N407" s="133"/>
      <c r="O407" s="133">
        <f t="shared" si="56"/>
        <v>0</v>
      </c>
      <c r="P407" s="134"/>
      <c r="Q407" s="133"/>
      <c r="R407" s="133"/>
      <c r="S407" s="153">
        <v>0</v>
      </c>
      <c r="T407" s="153">
        <v>0</v>
      </c>
      <c r="U407" s="153">
        <v>0</v>
      </c>
      <c r="V407" s="135"/>
      <c r="W407" s="135"/>
      <c r="X407" s="135"/>
      <c r="Y407" s="135"/>
      <c r="Z407" s="135"/>
      <c r="AA407" s="135"/>
      <c r="AB407" s="135"/>
      <c r="AC407" s="135"/>
      <c r="AD407" s="133"/>
      <c r="AE407" s="133"/>
      <c r="AF407" s="132" t="str">
        <f t="shared" si="52"/>
        <v>Нет инфо</v>
      </c>
      <c r="AG407" s="132" t="str">
        <f t="shared" si="53"/>
        <v>Нет инфо</v>
      </c>
      <c r="AH407" s="2"/>
      <c r="AI407" s="136"/>
      <c r="AJ407" s="2"/>
      <c r="AK407" s="136"/>
      <c r="AL407" s="136"/>
      <c r="AM407" s="2"/>
      <c r="AN407" s="2"/>
      <c r="AO407" s="2"/>
      <c r="AP407" s="2"/>
      <c r="AQ407" s="136"/>
    </row>
    <row r="408" spans="1:43" s="115" customFormat="1" ht="12.75" hidden="1" customHeight="1" x14ac:dyDescent="0.2">
      <c r="A408" s="2">
        <v>2437</v>
      </c>
      <c r="B408" s="2"/>
      <c r="C408" s="131"/>
      <c r="D408" s="131"/>
      <c r="E408" s="131"/>
      <c r="F408" s="2"/>
      <c r="G408" s="2"/>
      <c r="H408" s="132">
        <v>0</v>
      </c>
      <c r="I408" s="132"/>
      <c r="J408" s="132"/>
      <c r="K408" s="132"/>
      <c r="L408" s="132">
        <f t="shared" si="54"/>
        <v>0</v>
      </c>
      <c r="M408" s="132">
        <f t="shared" si="55"/>
        <v>0</v>
      </c>
      <c r="N408" s="133"/>
      <c r="O408" s="133">
        <f t="shared" si="56"/>
        <v>0</v>
      </c>
      <c r="P408" s="134"/>
      <c r="Q408" s="133"/>
      <c r="R408" s="133"/>
      <c r="S408" s="153">
        <v>0</v>
      </c>
      <c r="T408" s="153">
        <v>0</v>
      </c>
      <c r="U408" s="153">
        <v>0</v>
      </c>
      <c r="V408" s="135"/>
      <c r="W408" s="135"/>
      <c r="X408" s="135"/>
      <c r="Y408" s="135"/>
      <c r="Z408" s="135"/>
      <c r="AA408" s="135"/>
      <c r="AB408" s="135"/>
      <c r="AC408" s="135"/>
      <c r="AD408" s="133"/>
      <c r="AE408" s="133"/>
      <c r="AF408" s="132" t="str">
        <f t="shared" si="52"/>
        <v>Нет инфо</v>
      </c>
      <c r="AG408" s="132" t="str">
        <f t="shared" si="53"/>
        <v>Нет инфо</v>
      </c>
      <c r="AH408" s="2"/>
      <c r="AI408" s="136"/>
      <c r="AJ408" s="2"/>
      <c r="AK408" s="136"/>
      <c r="AL408" s="136"/>
      <c r="AM408" s="2"/>
      <c r="AN408" s="2"/>
      <c r="AO408" s="2"/>
      <c r="AP408" s="2"/>
      <c r="AQ408" s="136"/>
    </row>
    <row r="409" spans="1:43" s="115" customFormat="1" ht="12.75" hidden="1" customHeight="1" x14ac:dyDescent="0.2">
      <c r="A409" s="2">
        <v>2438</v>
      </c>
      <c r="B409" s="2"/>
      <c r="C409" s="131"/>
      <c r="D409" s="131"/>
      <c r="E409" s="131"/>
      <c r="F409" s="2"/>
      <c r="G409" s="2"/>
      <c r="H409" s="132">
        <v>0</v>
      </c>
      <c r="I409" s="132"/>
      <c r="J409" s="132"/>
      <c r="K409" s="132"/>
      <c r="L409" s="132">
        <f t="shared" si="54"/>
        <v>0</v>
      </c>
      <c r="M409" s="132">
        <f t="shared" si="55"/>
        <v>0</v>
      </c>
      <c r="N409" s="133"/>
      <c r="O409" s="133">
        <f t="shared" si="56"/>
        <v>0</v>
      </c>
      <c r="P409" s="134"/>
      <c r="Q409" s="133"/>
      <c r="R409" s="133"/>
      <c r="S409" s="153">
        <v>0</v>
      </c>
      <c r="T409" s="153">
        <v>0</v>
      </c>
      <c r="U409" s="153">
        <v>0</v>
      </c>
      <c r="V409" s="135"/>
      <c r="W409" s="135"/>
      <c r="X409" s="135"/>
      <c r="Y409" s="135"/>
      <c r="Z409" s="135"/>
      <c r="AA409" s="135"/>
      <c r="AB409" s="135"/>
      <c r="AC409" s="135"/>
      <c r="AD409" s="133"/>
      <c r="AE409" s="133"/>
      <c r="AF409" s="132" t="str">
        <f t="shared" si="52"/>
        <v>Нет инфо</v>
      </c>
      <c r="AG409" s="132" t="str">
        <f t="shared" si="53"/>
        <v>Нет инфо</v>
      </c>
      <c r="AH409" s="2"/>
      <c r="AI409" s="136"/>
      <c r="AJ409" s="2"/>
      <c r="AK409" s="136"/>
      <c r="AL409" s="136"/>
      <c r="AM409" s="2"/>
      <c r="AN409" s="2"/>
      <c r="AO409" s="2"/>
      <c r="AP409" s="2"/>
      <c r="AQ409" s="136"/>
    </row>
    <row r="410" spans="1:43" s="115" customFormat="1" ht="12.75" hidden="1" customHeight="1" x14ac:dyDescent="0.2">
      <c r="A410" s="2">
        <v>2439</v>
      </c>
      <c r="B410" s="2"/>
      <c r="C410" s="131"/>
      <c r="D410" s="131"/>
      <c r="E410" s="131"/>
      <c r="F410" s="2"/>
      <c r="G410" s="2"/>
      <c r="H410" s="132">
        <v>0</v>
      </c>
      <c r="I410" s="132"/>
      <c r="J410" s="132"/>
      <c r="K410" s="132"/>
      <c r="L410" s="132">
        <f t="shared" si="54"/>
        <v>0</v>
      </c>
      <c r="M410" s="132">
        <f t="shared" si="55"/>
        <v>0</v>
      </c>
      <c r="N410" s="133"/>
      <c r="O410" s="133">
        <f t="shared" si="56"/>
        <v>0</v>
      </c>
      <c r="P410" s="134"/>
      <c r="Q410" s="133"/>
      <c r="R410" s="133"/>
      <c r="S410" s="153">
        <v>0</v>
      </c>
      <c r="T410" s="153">
        <v>0</v>
      </c>
      <c r="U410" s="153">
        <v>0</v>
      </c>
      <c r="V410" s="135"/>
      <c r="W410" s="135"/>
      <c r="X410" s="135"/>
      <c r="Y410" s="135"/>
      <c r="Z410" s="135"/>
      <c r="AA410" s="135"/>
      <c r="AB410" s="135"/>
      <c r="AC410" s="135"/>
      <c r="AD410" s="133"/>
      <c r="AE410" s="133"/>
      <c r="AF410" s="132" t="str">
        <f t="shared" si="52"/>
        <v>Нет инфо</v>
      </c>
      <c r="AG410" s="132" t="str">
        <f t="shared" si="53"/>
        <v>Нет инфо</v>
      </c>
      <c r="AH410" s="2"/>
      <c r="AI410" s="136"/>
      <c r="AJ410" s="2"/>
      <c r="AK410" s="136"/>
      <c r="AL410" s="136"/>
      <c r="AM410" s="2"/>
      <c r="AN410" s="2"/>
      <c r="AO410" s="2"/>
      <c r="AP410" s="2"/>
      <c r="AQ410" s="136"/>
    </row>
    <row r="411" spans="1:43" s="115" customFormat="1" ht="12.75" hidden="1" customHeight="1" x14ac:dyDescent="0.2">
      <c r="A411" s="2">
        <v>2440</v>
      </c>
      <c r="B411" s="2"/>
      <c r="C411" s="131"/>
      <c r="D411" s="131"/>
      <c r="E411" s="131"/>
      <c r="F411" s="2"/>
      <c r="G411" s="2"/>
      <c r="H411" s="132">
        <v>0</v>
      </c>
      <c r="I411" s="132"/>
      <c r="J411" s="132"/>
      <c r="K411" s="132"/>
      <c r="L411" s="132">
        <f t="shared" si="54"/>
        <v>0</v>
      </c>
      <c r="M411" s="132">
        <f t="shared" si="55"/>
        <v>0</v>
      </c>
      <c r="N411" s="133"/>
      <c r="O411" s="133">
        <f t="shared" si="56"/>
        <v>0</v>
      </c>
      <c r="P411" s="134"/>
      <c r="Q411" s="133"/>
      <c r="R411" s="133"/>
      <c r="S411" s="153">
        <v>0</v>
      </c>
      <c r="T411" s="153">
        <v>0</v>
      </c>
      <c r="U411" s="153">
        <v>0</v>
      </c>
      <c r="V411" s="135"/>
      <c r="W411" s="135"/>
      <c r="X411" s="135"/>
      <c r="Y411" s="135"/>
      <c r="Z411" s="135"/>
      <c r="AA411" s="135"/>
      <c r="AB411" s="135"/>
      <c r="AC411" s="135"/>
      <c r="AD411" s="133"/>
      <c r="AE411" s="133"/>
      <c r="AF411" s="132" t="str">
        <f t="shared" si="52"/>
        <v>Нет инфо</v>
      </c>
      <c r="AG411" s="132" t="str">
        <f t="shared" si="53"/>
        <v>Нет инфо</v>
      </c>
      <c r="AH411" s="2"/>
      <c r="AI411" s="136"/>
      <c r="AJ411" s="2"/>
      <c r="AK411" s="136"/>
      <c r="AL411" s="136"/>
      <c r="AM411" s="2"/>
      <c r="AN411" s="2"/>
      <c r="AO411" s="2"/>
      <c r="AP411" s="2"/>
      <c r="AQ411" s="136"/>
    </row>
    <row r="412" spans="1:43" s="115" customFormat="1" ht="12.75" hidden="1" customHeight="1" x14ac:dyDescent="0.2">
      <c r="A412" s="2">
        <v>2441</v>
      </c>
      <c r="B412" s="2"/>
      <c r="C412" s="131"/>
      <c r="D412" s="131"/>
      <c r="E412" s="131"/>
      <c r="F412" s="2"/>
      <c r="G412" s="2"/>
      <c r="H412" s="132">
        <v>0</v>
      </c>
      <c r="I412" s="132"/>
      <c r="J412" s="132"/>
      <c r="K412" s="132"/>
      <c r="L412" s="132">
        <f t="shared" si="54"/>
        <v>0</v>
      </c>
      <c r="M412" s="132">
        <f t="shared" si="55"/>
        <v>0</v>
      </c>
      <c r="N412" s="133"/>
      <c r="O412" s="133">
        <f t="shared" si="56"/>
        <v>0</v>
      </c>
      <c r="P412" s="134"/>
      <c r="Q412" s="133"/>
      <c r="R412" s="133"/>
      <c r="S412" s="153">
        <v>0</v>
      </c>
      <c r="T412" s="153">
        <v>0</v>
      </c>
      <c r="U412" s="153">
        <v>0</v>
      </c>
      <c r="V412" s="135"/>
      <c r="W412" s="135"/>
      <c r="X412" s="135"/>
      <c r="Y412" s="135"/>
      <c r="Z412" s="135"/>
      <c r="AA412" s="135"/>
      <c r="AB412" s="135"/>
      <c r="AC412" s="135"/>
      <c r="AD412" s="133"/>
      <c r="AE412" s="133"/>
      <c r="AF412" s="132" t="str">
        <f t="shared" si="52"/>
        <v>Нет инфо</v>
      </c>
      <c r="AG412" s="132" t="str">
        <f t="shared" si="53"/>
        <v>Нет инфо</v>
      </c>
      <c r="AH412" s="2"/>
      <c r="AI412" s="136"/>
      <c r="AJ412" s="2"/>
      <c r="AK412" s="136"/>
      <c r="AL412" s="136"/>
      <c r="AM412" s="2"/>
      <c r="AN412" s="2"/>
      <c r="AO412" s="2"/>
      <c r="AP412" s="2"/>
      <c r="AQ412" s="136"/>
    </row>
    <row r="413" spans="1:43" s="115" customFormat="1" ht="12.75" hidden="1" customHeight="1" x14ac:dyDescent="0.2">
      <c r="A413" s="2">
        <v>2442</v>
      </c>
      <c r="B413" s="2"/>
      <c r="C413" s="131"/>
      <c r="D413" s="131"/>
      <c r="E413" s="131"/>
      <c r="F413" s="2"/>
      <c r="G413" s="2"/>
      <c r="H413" s="132">
        <v>0</v>
      </c>
      <c r="I413" s="132"/>
      <c r="J413" s="132"/>
      <c r="K413" s="132"/>
      <c r="L413" s="132">
        <f t="shared" si="54"/>
        <v>0</v>
      </c>
      <c r="M413" s="132">
        <f t="shared" si="55"/>
        <v>0</v>
      </c>
      <c r="N413" s="133"/>
      <c r="O413" s="133">
        <f t="shared" si="56"/>
        <v>0</v>
      </c>
      <c r="P413" s="134"/>
      <c r="Q413" s="133"/>
      <c r="R413" s="133"/>
      <c r="S413" s="153">
        <v>0</v>
      </c>
      <c r="T413" s="153">
        <v>0</v>
      </c>
      <c r="U413" s="153">
        <v>0</v>
      </c>
      <c r="V413" s="135"/>
      <c r="W413" s="135"/>
      <c r="X413" s="135"/>
      <c r="Y413" s="135"/>
      <c r="Z413" s="135"/>
      <c r="AA413" s="135"/>
      <c r="AB413" s="135"/>
      <c r="AC413" s="135"/>
      <c r="AD413" s="133"/>
      <c r="AE413" s="133"/>
      <c r="AF413" s="132" t="str">
        <f t="shared" si="52"/>
        <v>Нет инфо</v>
      </c>
      <c r="AG413" s="132" t="str">
        <f t="shared" si="53"/>
        <v>Нет инфо</v>
      </c>
      <c r="AH413" s="2"/>
      <c r="AI413" s="136"/>
      <c r="AJ413" s="2"/>
      <c r="AK413" s="136"/>
      <c r="AL413" s="136"/>
      <c r="AM413" s="2"/>
      <c r="AN413" s="2"/>
      <c r="AO413" s="2"/>
      <c r="AP413" s="2"/>
      <c r="AQ413" s="136"/>
    </row>
    <row r="414" spans="1:43" s="115" customFormat="1" ht="12.75" hidden="1" customHeight="1" x14ac:dyDescent="0.2">
      <c r="A414" s="2">
        <v>2443</v>
      </c>
      <c r="B414" s="2"/>
      <c r="C414" s="131"/>
      <c r="D414" s="131"/>
      <c r="E414" s="131"/>
      <c r="F414" s="2"/>
      <c r="G414" s="2"/>
      <c r="H414" s="132">
        <v>0</v>
      </c>
      <c r="I414" s="132"/>
      <c r="J414" s="132"/>
      <c r="K414" s="132"/>
      <c r="L414" s="132">
        <f t="shared" si="54"/>
        <v>0</v>
      </c>
      <c r="M414" s="132">
        <f t="shared" si="55"/>
        <v>0</v>
      </c>
      <c r="N414" s="133"/>
      <c r="O414" s="133">
        <f t="shared" si="56"/>
        <v>0</v>
      </c>
      <c r="P414" s="134"/>
      <c r="Q414" s="133"/>
      <c r="R414" s="133"/>
      <c r="S414" s="153">
        <v>0</v>
      </c>
      <c r="T414" s="153">
        <v>0</v>
      </c>
      <c r="U414" s="153">
        <v>0</v>
      </c>
      <c r="V414" s="135"/>
      <c r="W414" s="135"/>
      <c r="X414" s="135"/>
      <c r="Y414" s="135"/>
      <c r="Z414" s="135"/>
      <c r="AA414" s="135"/>
      <c r="AB414" s="135"/>
      <c r="AC414" s="135"/>
      <c r="AD414" s="133"/>
      <c r="AE414" s="133"/>
      <c r="AF414" s="132" t="str">
        <f t="shared" si="52"/>
        <v>Нет инфо</v>
      </c>
      <c r="AG414" s="132" t="str">
        <f t="shared" si="53"/>
        <v>Нет инфо</v>
      </c>
      <c r="AH414" s="2"/>
      <c r="AI414" s="136"/>
      <c r="AJ414" s="2"/>
      <c r="AK414" s="136"/>
      <c r="AL414" s="136"/>
      <c r="AM414" s="2"/>
      <c r="AN414" s="2"/>
      <c r="AO414" s="2"/>
      <c r="AP414" s="2"/>
      <c r="AQ414" s="136"/>
    </row>
    <row r="415" spans="1:43" s="115" customFormat="1" ht="12.75" hidden="1" customHeight="1" x14ac:dyDescent="0.2">
      <c r="A415" s="2">
        <v>2444</v>
      </c>
      <c r="B415" s="2"/>
      <c r="C415" s="131"/>
      <c r="D415" s="131"/>
      <c r="E415" s="131"/>
      <c r="F415" s="2"/>
      <c r="G415" s="2"/>
      <c r="H415" s="132">
        <v>0</v>
      </c>
      <c r="I415" s="132"/>
      <c r="J415" s="132"/>
      <c r="K415" s="132"/>
      <c r="L415" s="132">
        <f t="shared" si="54"/>
        <v>0</v>
      </c>
      <c r="M415" s="132">
        <f t="shared" si="55"/>
        <v>0</v>
      </c>
      <c r="N415" s="133"/>
      <c r="O415" s="133">
        <f t="shared" si="56"/>
        <v>0</v>
      </c>
      <c r="P415" s="134"/>
      <c r="Q415" s="133"/>
      <c r="R415" s="133"/>
      <c r="S415" s="153">
        <v>0</v>
      </c>
      <c r="T415" s="153">
        <v>0</v>
      </c>
      <c r="U415" s="153">
        <v>0</v>
      </c>
      <c r="V415" s="135"/>
      <c r="W415" s="135"/>
      <c r="X415" s="135"/>
      <c r="Y415" s="135"/>
      <c r="Z415" s="135"/>
      <c r="AA415" s="135"/>
      <c r="AB415" s="135"/>
      <c r="AC415" s="135"/>
      <c r="AD415" s="133"/>
      <c r="AE415" s="133"/>
      <c r="AF415" s="132" t="str">
        <f t="shared" si="52"/>
        <v>Нет инфо</v>
      </c>
      <c r="AG415" s="132" t="str">
        <f t="shared" si="53"/>
        <v>Нет инфо</v>
      </c>
      <c r="AH415" s="2"/>
      <c r="AI415" s="136"/>
      <c r="AJ415" s="2"/>
      <c r="AK415" s="136"/>
      <c r="AL415" s="136"/>
      <c r="AM415" s="2"/>
      <c r="AN415" s="2"/>
      <c r="AO415" s="2"/>
      <c r="AP415" s="2"/>
      <c r="AQ415" s="136"/>
    </row>
    <row r="416" spans="1:43" s="115" customFormat="1" ht="12.75" hidden="1" customHeight="1" x14ac:dyDescent="0.2">
      <c r="A416" s="2">
        <v>2445</v>
      </c>
      <c r="B416" s="2"/>
      <c r="C416" s="131"/>
      <c r="D416" s="131"/>
      <c r="E416" s="131"/>
      <c r="F416" s="2"/>
      <c r="G416" s="2"/>
      <c r="H416" s="132">
        <v>0</v>
      </c>
      <c r="I416" s="132"/>
      <c r="J416" s="132"/>
      <c r="K416" s="132"/>
      <c r="L416" s="132">
        <f t="shared" si="54"/>
        <v>0</v>
      </c>
      <c r="M416" s="132">
        <f t="shared" si="55"/>
        <v>0</v>
      </c>
      <c r="N416" s="133"/>
      <c r="O416" s="133">
        <f t="shared" si="56"/>
        <v>0</v>
      </c>
      <c r="P416" s="134"/>
      <c r="Q416" s="133"/>
      <c r="R416" s="133"/>
      <c r="S416" s="153">
        <v>0</v>
      </c>
      <c r="T416" s="153">
        <v>0</v>
      </c>
      <c r="U416" s="153">
        <v>0</v>
      </c>
      <c r="V416" s="135"/>
      <c r="W416" s="135"/>
      <c r="X416" s="135"/>
      <c r="Y416" s="135"/>
      <c r="Z416" s="135"/>
      <c r="AA416" s="135"/>
      <c r="AB416" s="135"/>
      <c r="AC416" s="135"/>
      <c r="AD416" s="133"/>
      <c r="AE416" s="133"/>
      <c r="AF416" s="132" t="str">
        <f t="shared" si="52"/>
        <v>Нет инфо</v>
      </c>
      <c r="AG416" s="132" t="str">
        <f t="shared" si="53"/>
        <v>Нет инфо</v>
      </c>
      <c r="AH416" s="2"/>
      <c r="AI416" s="136"/>
      <c r="AJ416" s="2"/>
      <c r="AK416" s="136"/>
      <c r="AL416" s="136"/>
      <c r="AM416" s="2"/>
      <c r="AN416" s="2"/>
      <c r="AO416" s="2"/>
      <c r="AP416" s="2"/>
      <c r="AQ416" s="136"/>
    </row>
    <row r="417" spans="1:43" s="115" customFormat="1" ht="12.75" hidden="1" customHeight="1" x14ac:dyDescent="0.2">
      <c r="A417" s="2">
        <v>2446</v>
      </c>
      <c r="B417" s="2"/>
      <c r="C417" s="131"/>
      <c r="D417" s="131"/>
      <c r="E417" s="131"/>
      <c r="F417" s="2"/>
      <c r="G417" s="2"/>
      <c r="H417" s="132">
        <v>0</v>
      </c>
      <c r="I417" s="132"/>
      <c r="J417" s="132"/>
      <c r="K417" s="132"/>
      <c r="L417" s="132">
        <f t="shared" si="54"/>
        <v>0</v>
      </c>
      <c r="M417" s="132">
        <f t="shared" si="55"/>
        <v>0</v>
      </c>
      <c r="N417" s="133"/>
      <c r="O417" s="133">
        <f t="shared" si="56"/>
        <v>0</v>
      </c>
      <c r="P417" s="134"/>
      <c r="Q417" s="133"/>
      <c r="R417" s="133"/>
      <c r="S417" s="153">
        <v>0</v>
      </c>
      <c r="T417" s="153">
        <v>0</v>
      </c>
      <c r="U417" s="153">
        <v>0</v>
      </c>
      <c r="V417" s="135"/>
      <c r="W417" s="135"/>
      <c r="X417" s="135"/>
      <c r="Y417" s="135"/>
      <c r="Z417" s="135"/>
      <c r="AA417" s="135"/>
      <c r="AB417" s="135"/>
      <c r="AC417" s="135"/>
      <c r="AD417" s="133"/>
      <c r="AE417" s="133"/>
      <c r="AF417" s="132" t="str">
        <f t="shared" si="52"/>
        <v>Нет инфо</v>
      </c>
      <c r="AG417" s="132" t="str">
        <f t="shared" si="53"/>
        <v>Нет инфо</v>
      </c>
      <c r="AH417" s="2"/>
      <c r="AI417" s="136"/>
      <c r="AJ417" s="2"/>
      <c r="AK417" s="136"/>
      <c r="AL417" s="136"/>
      <c r="AM417" s="2"/>
      <c r="AN417" s="2"/>
      <c r="AO417" s="2"/>
      <c r="AP417" s="2"/>
      <c r="AQ417" s="136"/>
    </row>
    <row r="418" spans="1:43" s="115" customFormat="1" ht="12.75" hidden="1" customHeight="1" x14ac:dyDescent="0.2">
      <c r="A418" s="2">
        <v>2447</v>
      </c>
      <c r="B418" s="2"/>
      <c r="C418" s="131"/>
      <c r="D418" s="131"/>
      <c r="E418" s="131"/>
      <c r="F418" s="2"/>
      <c r="G418" s="2"/>
      <c r="H418" s="132">
        <v>0</v>
      </c>
      <c r="I418" s="132"/>
      <c r="J418" s="132"/>
      <c r="K418" s="132"/>
      <c r="L418" s="132">
        <f t="shared" si="54"/>
        <v>0</v>
      </c>
      <c r="M418" s="132">
        <f t="shared" si="55"/>
        <v>0</v>
      </c>
      <c r="N418" s="133"/>
      <c r="O418" s="133">
        <f t="shared" si="56"/>
        <v>0</v>
      </c>
      <c r="P418" s="134"/>
      <c r="Q418" s="133"/>
      <c r="R418" s="133"/>
      <c r="S418" s="153">
        <v>0</v>
      </c>
      <c r="T418" s="153">
        <v>0</v>
      </c>
      <c r="U418" s="153">
        <v>0</v>
      </c>
      <c r="V418" s="135"/>
      <c r="W418" s="135"/>
      <c r="X418" s="135"/>
      <c r="Y418" s="135"/>
      <c r="Z418" s="135"/>
      <c r="AA418" s="135"/>
      <c r="AB418" s="135"/>
      <c r="AC418" s="135"/>
      <c r="AD418" s="133"/>
      <c r="AE418" s="133"/>
      <c r="AF418" s="132" t="str">
        <f t="shared" si="52"/>
        <v>Нет инфо</v>
      </c>
      <c r="AG418" s="132" t="str">
        <f t="shared" si="53"/>
        <v>Нет инфо</v>
      </c>
      <c r="AH418" s="2"/>
      <c r="AI418" s="136"/>
      <c r="AJ418" s="2"/>
      <c r="AK418" s="136"/>
      <c r="AL418" s="136"/>
      <c r="AM418" s="2"/>
      <c r="AN418" s="2"/>
      <c r="AO418" s="2"/>
      <c r="AP418" s="2"/>
      <c r="AQ418" s="136"/>
    </row>
    <row r="419" spans="1:43" s="115" customFormat="1" ht="12.75" hidden="1" customHeight="1" x14ac:dyDescent="0.2">
      <c r="A419" s="2">
        <v>2448</v>
      </c>
      <c r="B419" s="2"/>
      <c r="C419" s="131"/>
      <c r="D419" s="131"/>
      <c r="E419" s="131"/>
      <c r="F419" s="2"/>
      <c r="G419" s="2"/>
      <c r="H419" s="132">
        <v>0</v>
      </c>
      <c r="I419" s="132"/>
      <c r="J419" s="132"/>
      <c r="K419" s="132"/>
      <c r="L419" s="132">
        <f t="shared" si="54"/>
        <v>0</v>
      </c>
      <c r="M419" s="132">
        <f t="shared" si="55"/>
        <v>0</v>
      </c>
      <c r="N419" s="133"/>
      <c r="O419" s="133">
        <f t="shared" si="56"/>
        <v>0</v>
      </c>
      <c r="P419" s="134"/>
      <c r="Q419" s="133"/>
      <c r="R419" s="133"/>
      <c r="S419" s="153">
        <v>0</v>
      </c>
      <c r="T419" s="153">
        <v>0</v>
      </c>
      <c r="U419" s="153">
        <v>0</v>
      </c>
      <c r="V419" s="135"/>
      <c r="W419" s="135"/>
      <c r="X419" s="135"/>
      <c r="Y419" s="135"/>
      <c r="Z419" s="135"/>
      <c r="AA419" s="135"/>
      <c r="AB419" s="135"/>
      <c r="AC419" s="135"/>
      <c r="AD419" s="133"/>
      <c r="AE419" s="133"/>
      <c r="AF419" s="132" t="str">
        <f t="shared" si="52"/>
        <v>Нет инфо</v>
      </c>
      <c r="AG419" s="132" t="str">
        <f t="shared" si="53"/>
        <v>Нет инфо</v>
      </c>
      <c r="AH419" s="2"/>
      <c r="AI419" s="136"/>
      <c r="AJ419" s="2"/>
      <c r="AK419" s="136"/>
      <c r="AL419" s="136"/>
      <c r="AM419" s="2"/>
      <c r="AN419" s="2"/>
      <c r="AO419" s="2"/>
      <c r="AP419" s="2"/>
      <c r="AQ419" s="136"/>
    </row>
    <row r="420" spans="1:43" s="115" customFormat="1" ht="12.75" hidden="1" customHeight="1" x14ac:dyDescent="0.2">
      <c r="A420" s="2">
        <v>2449</v>
      </c>
      <c r="B420" s="2"/>
      <c r="C420" s="131"/>
      <c r="D420" s="131"/>
      <c r="E420" s="131"/>
      <c r="F420" s="2"/>
      <c r="G420" s="2"/>
      <c r="H420" s="132">
        <v>0</v>
      </c>
      <c r="I420" s="132"/>
      <c r="J420" s="132"/>
      <c r="K420" s="132"/>
      <c r="L420" s="132">
        <f t="shared" si="54"/>
        <v>0</v>
      </c>
      <c r="M420" s="132">
        <f t="shared" si="55"/>
        <v>0</v>
      </c>
      <c r="N420" s="133"/>
      <c r="O420" s="133">
        <f t="shared" si="56"/>
        <v>0</v>
      </c>
      <c r="P420" s="134"/>
      <c r="Q420" s="133"/>
      <c r="R420" s="133"/>
      <c r="S420" s="153">
        <v>0</v>
      </c>
      <c r="T420" s="153">
        <v>0</v>
      </c>
      <c r="U420" s="153">
        <v>0</v>
      </c>
      <c r="V420" s="135"/>
      <c r="W420" s="135"/>
      <c r="X420" s="135"/>
      <c r="Y420" s="135"/>
      <c r="Z420" s="135"/>
      <c r="AA420" s="135"/>
      <c r="AB420" s="135"/>
      <c r="AC420" s="135"/>
      <c r="AD420" s="133"/>
      <c r="AE420" s="133"/>
      <c r="AF420" s="132" t="str">
        <f t="shared" si="52"/>
        <v>Нет инфо</v>
      </c>
      <c r="AG420" s="132" t="str">
        <f t="shared" si="53"/>
        <v>Нет инфо</v>
      </c>
      <c r="AH420" s="2"/>
      <c r="AI420" s="136"/>
      <c r="AJ420" s="2"/>
      <c r="AK420" s="136"/>
      <c r="AL420" s="136"/>
      <c r="AM420" s="2"/>
      <c r="AN420" s="2"/>
      <c r="AO420" s="2"/>
      <c r="AP420" s="2"/>
      <c r="AQ420" s="136"/>
    </row>
    <row r="421" spans="1:43" s="115" customFormat="1" ht="12.75" hidden="1" customHeight="1" x14ac:dyDescent="0.2">
      <c r="A421" s="2">
        <v>2450</v>
      </c>
      <c r="B421" s="2"/>
      <c r="C421" s="131"/>
      <c r="D421" s="131"/>
      <c r="E421" s="131"/>
      <c r="F421" s="2"/>
      <c r="G421" s="2"/>
      <c r="H421" s="132">
        <v>0</v>
      </c>
      <c r="I421" s="132"/>
      <c r="J421" s="132"/>
      <c r="K421" s="132"/>
      <c r="L421" s="132">
        <f t="shared" si="54"/>
        <v>0</v>
      </c>
      <c r="M421" s="132">
        <f t="shared" si="55"/>
        <v>0</v>
      </c>
      <c r="N421" s="133"/>
      <c r="O421" s="133">
        <f t="shared" si="56"/>
        <v>0</v>
      </c>
      <c r="P421" s="134"/>
      <c r="Q421" s="133"/>
      <c r="R421" s="133"/>
      <c r="S421" s="153">
        <v>0</v>
      </c>
      <c r="T421" s="153">
        <v>0</v>
      </c>
      <c r="U421" s="153">
        <v>0</v>
      </c>
      <c r="V421" s="135"/>
      <c r="W421" s="135"/>
      <c r="X421" s="135"/>
      <c r="Y421" s="135"/>
      <c r="Z421" s="135"/>
      <c r="AA421" s="135"/>
      <c r="AB421" s="135"/>
      <c r="AC421" s="135"/>
      <c r="AD421" s="133"/>
      <c r="AE421" s="133"/>
      <c r="AF421" s="132" t="str">
        <f t="shared" ref="AF421:AF484" si="57">IF(OR(I421="",I421=0,N421="",N421=0),"Нет инфо",I421/N421)</f>
        <v>Нет инфо</v>
      </c>
      <c r="AG421" s="132" t="str">
        <f t="shared" ref="AG421:AG484" si="58">IF(OR(I421="",I421=0,R421="",R421=0),"Нет инфо",I421/R421)</f>
        <v>Нет инфо</v>
      </c>
      <c r="AH421" s="2"/>
      <c r="AI421" s="136"/>
      <c r="AJ421" s="2"/>
      <c r="AK421" s="136"/>
      <c r="AL421" s="136"/>
      <c r="AM421" s="2"/>
      <c r="AN421" s="2"/>
      <c r="AO421" s="2"/>
      <c r="AP421" s="2"/>
      <c r="AQ421" s="136"/>
    </row>
    <row r="422" spans="1:43" s="115" customFormat="1" ht="12.75" hidden="1" customHeight="1" x14ac:dyDescent="0.2">
      <c r="A422" s="2">
        <v>2451</v>
      </c>
      <c r="B422" s="2"/>
      <c r="C422" s="131"/>
      <c r="D422" s="131"/>
      <c r="E422" s="131"/>
      <c r="F422" s="2"/>
      <c r="G422" s="2"/>
      <c r="H422" s="132">
        <v>0</v>
      </c>
      <c r="I422" s="132"/>
      <c r="J422" s="132"/>
      <c r="K422" s="132"/>
      <c r="L422" s="132">
        <f t="shared" si="54"/>
        <v>0</v>
      </c>
      <c r="M422" s="132">
        <f t="shared" si="55"/>
        <v>0</v>
      </c>
      <c r="N422" s="133"/>
      <c r="O422" s="133">
        <f t="shared" si="56"/>
        <v>0</v>
      </c>
      <c r="P422" s="134"/>
      <c r="Q422" s="133"/>
      <c r="R422" s="133"/>
      <c r="S422" s="153">
        <v>0</v>
      </c>
      <c r="T422" s="153">
        <v>0</v>
      </c>
      <c r="U422" s="153">
        <v>0</v>
      </c>
      <c r="V422" s="135"/>
      <c r="W422" s="135"/>
      <c r="X422" s="135"/>
      <c r="Y422" s="135"/>
      <c r="Z422" s="135"/>
      <c r="AA422" s="135"/>
      <c r="AB422" s="135"/>
      <c r="AC422" s="135"/>
      <c r="AD422" s="133"/>
      <c r="AE422" s="133"/>
      <c r="AF422" s="132" t="str">
        <f t="shared" si="57"/>
        <v>Нет инфо</v>
      </c>
      <c r="AG422" s="132" t="str">
        <f t="shared" si="58"/>
        <v>Нет инфо</v>
      </c>
      <c r="AH422" s="2"/>
      <c r="AI422" s="136"/>
      <c r="AJ422" s="2"/>
      <c r="AK422" s="136"/>
      <c r="AL422" s="136"/>
      <c r="AM422" s="2"/>
      <c r="AN422" s="2"/>
      <c r="AO422" s="2"/>
      <c r="AP422" s="2"/>
      <c r="AQ422" s="136"/>
    </row>
    <row r="423" spans="1:43" s="115" customFormat="1" ht="12.75" hidden="1" customHeight="1" x14ac:dyDescent="0.2">
      <c r="A423" s="2">
        <v>2452</v>
      </c>
      <c r="B423" s="2"/>
      <c r="C423" s="131"/>
      <c r="D423" s="131"/>
      <c r="E423" s="131"/>
      <c r="F423" s="2"/>
      <c r="G423" s="2"/>
      <c r="H423" s="132">
        <v>0</v>
      </c>
      <c r="I423" s="132"/>
      <c r="J423" s="132"/>
      <c r="K423" s="132"/>
      <c r="L423" s="132">
        <f t="shared" si="54"/>
        <v>0</v>
      </c>
      <c r="M423" s="132">
        <f t="shared" si="55"/>
        <v>0</v>
      </c>
      <c r="N423" s="133"/>
      <c r="O423" s="133">
        <f t="shared" si="56"/>
        <v>0</v>
      </c>
      <c r="P423" s="134"/>
      <c r="Q423" s="133"/>
      <c r="R423" s="133"/>
      <c r="S423" s="153">
        <v>0</v>
      </c>
      <c r="T423" s="153">
        <v>0</v>
      </c>
      <c r="U423" s="153">
        <v>0</v>
      </c>
      <c r="V423" s="135"/>
      <c r="W423" s="135"/>
      <c r="X423" s="135"/>
      <c r="Y423" s="135"/>
      <c r="Z423" s="135"/>
      <c r="AA423" s="135"/>
      <c r="AB423" s="135"/>
      <c r="AC423" s="135"/>
      <c r="AD423" s="133"/>
      <c r="AE423" s="133"/>
      <c r="AF423" s="132" t="str">
        <f t="shared" si="57"/>
        <v>Нет инфо</v>
      </c>
      <c r="AG423" s="132" t="str">
        <f t="shared" si="58"/>
        <v>Нет инфо</v>
      </c>
      <c r="AH423" s="2"/>
      <c r="AI423" s="136"/>
      <c r="AJ423" s="2"/>
      <c r="AK423" s="136"/>
      <c r="AL423" s="136"/>
      <c r="AM423" s="2"/>
      <c r="AN423" s="2"/>
      <c r="AO423" s="2"/>
      <c r="AP423" s="2"/>
      <c r="AQ423" s="136"/>
    </row>
    <row r="424" spans="1:43" s="115" customFormat="1" ht="12.75" hidden="1" customHeight="1" x14ac:dyDescent="0.2">
      <c r="A424" s="2">
        <v>2453</v>
      </c>
      <c r="B424" s="2"/>
      <c r="C424" s="131"/>
      <c r="D424" s="131"/>
      <c r="E424" s="131"/>
      <c r="F424" s="2"/>
      <c r="G424" s="2"/>
      <c r="H424" s="132">
        <v>0</v>
      </c>
      <c r="I424" s="132"/>
      <c r="J424" s="132"/>
      <c r="K424" s="132"/>
      <c r="L424" s="132">
        <f t="shared" si="54"/>
        <v>0</v>
      </c>
      <c r="M424" s="132">
        <f t="shared" si="55"/>
        <v>0</v>
      </c>
      <c r="N424" s="133"/>
      <c r="O424" s="133">
        <f t="shared" si="56"/>
        <v>0</v>
      </c>
      <c r="P424" s="134"/>
      <c r="Q424" s="133"/>
      <c r="R424" s="133"/>
      <c r="S424" s="153">
        <v>0</v>
      </c>
      <c r="T424" s="153">
        <v>0</v>
      </c>
      <c r="U424" s="153">
        <v>0</v>
      </c>
      <c r="V424" s="135"/>
      <c r="W424" s="135"/>
      <c r="X424" s="135"/>
      <c r="Y424" s="135"/>
      <c r="Z424" s="135"/>
      <c r="AA424" s="135"/>
      <c r="AB424" s="135"/>
      <c r="AC424" s="135"/>
      <c r="AD424" s="133"/>
      <c r="AE424" s="133"/>
      <c r="AF424" s="132" t="str">
        <f t="shared" si="57"/>
        <v>Нет инфо</v>
      </c>
      <c r="AG424" s="132" t="str">
        <f t="shared" si="58"/>
        <v>Нет инфо</v>
      </c>
      <c r="AH424" s="2"/>
      <c r="AI424" s="136"/>
      <c r="AJ424" s="2"/>
      <c r="AK424" s="136"/>
      <c r="AL424" s="136"/>
      <c r="AM424" s="2"/>
      <c r="AN424" s="2"/>
      <c r="AO424" s="2"/>
      <c r="AP424" s="2"/>
      <c r="AQ424" s="136"/>
    </row>
    <row r="425" spans="1:43" s="115" customFormat="1" ht="12.75" hidden="1" customHeight="1" x14ac:dyDescent="0.2">
      <c r="A425" s="2">
        <v>2454</v>
      </c>
      <c r="B425" s="2"/>
      <c r="C425" s="131"/>
      <c r="D425" s="131"/>
      <c r="E425" s="131"/>
      <c r="F425" s="2"/>
      <c r="G425" s="2"/>
      <c r="H425" s="132">
        <v>0</v>
      </c>
      <c r="I425" s="132"/>
      <c r="J425" s="132"/>
      <c r="K425" s="132"/>
      <c r="L425" s="132">
        <f t="shared" si="54"/>
        <v>0</v>
      </c>
      <c r="M425" s="132">
        <f t="shared" si="55"/>
        <v>0</v>
      </c>
      <c r="N425" s="133"/>
      <c r="O425" s="133">
        <f t="shared" si="56"/>
        <v>0</v>
      </c>
      <c r="P425" s="134"/>
      <c r="Q425" s="133"/>
      <c r="R425" s="133"/>
      <c r="S425" s="153">
        <v>0</v>
      </c>
      <c r="T425" s="153">
        <v>0</v>
      </c>
      <c r="U425" s="153">
        <v>0</v>
      </c>
      <c r="V425" s="135"/>
      <c r="W425" s="135"/>
      <c r="X425" s="135"/>
      <c r="Y425" s="135"/>
      <c r="Z425" s="135"/>
      <c r="AA425" s="135"/>
      <c r="AB425" s="135"/>
      <c r="AC425" s="135"/>
      <c r="AD425" s="133"/>
      <c r="AE425" s="133"/>
      <c r="AF425" s="132" t="str">
        <f t="shared" si="57"/>
        <v>Нет инфо</v>
      </c>
      <c r="AG425" s="132" t="str">
        <f t="shared" si="58"/>
        <v>Нет инфо</v>
      </c>
      <c r="AH425" s="2"/>
      <c r="AI425" s="136"/>
      <c r="AJ425" s="2"/>
      <c r="AK425" s="136"/>
      <c r="AL425" s="136"/>
      <c r="AM425" s="2"/>
      <c r="AN425" s="2"/>
      <c r="AO425" s="2"/>
      <c r="AP425" s="2"/>
      <c r="AQ425" s="136"/>
    </row>
    <row r="426" spans="1:43" s="115" customFormat="1" ht="12.75" hidden="1" customHeight="1" x14ac:dyDescent="0.2">
      <c r="A426" s="2">
        <v>2455</v>
      </c>
      <c r="B426" s="2"/>
      <c r="C426" s="131"/>
      <c r="D426" s="131"/>
      <c r="E426" s="131"/>
      <c r="F426" s="2"/>
      <c r="G426" s="2"/>
      <c r="H426" s="132">
        <v>0</v>
      </c>
      <c r="I426" s="132"/>
      <c r="J426" s="132"/>
      <c r="K426" s="132"/>
      <c r="L426" s="132">
        <f t="shared" si="54"/>
        <v>0</v>
      </c>
      <c r="M426" s="132">
        <f t="shared" si="55"/>
        <v>0</v>
      </c>
      <c r="N426" s="133"/>
      <c r="O426" s="133">
        <f t="shared" si="56"/>
        <v>0</v>
      </c>
      <c r="P426" s="134"/>
      <c r="Q426" s="133"/>
      <c r="R426" s="133"/>
      <c r="S426" s="153">
        <v>0</v>
      </c>
      <c r="T426" s="153">
        <v>0</v>
      </c>
      <c r="U426" s="153">
        <v>0</v>
      </c>
      <c r="V426" s="135"/>
      <c r="W426" s="135"/>
      <c r="X426" s="135"/>
      <c r="Y426" s="135"/>
      <c r="Z426" s="135"/>
      <c r="AA426" s="135"/>
      <c r="AB426" s="135"/>
      <c r="AC426" s="135"/>
      <c r="AD426" s="133"/>
      <c r="AE426" s="133"/>
      <c r="AF426" s="132" t="str">
        <f t="shared" si="57"/>
        <v>Нет инфо</v>
      </c>
      <c r="AG426" s="132" t="str">
        <f t="shared" si="58"/>
        <v>Нет инфо</v>
      </c>
      <c r="AH426" s="2"/>
      <c r="AI426" s="136"/>
      <c r="AJ426" s="2"/>
      <c r="AK426" s="136"/>
      <c r="AL426" s="136"/>
      <c r="AM426" s="2"/>
      <c r="AN426" s="2"/>
      <c r="AO426" s="2"/>
      <c r="AP426" s="2"/>
      <c r="AQ426" s="136"/>
    </row>
    <row r="427" spans="1:43" s="115" customFormat="1" ht="12.75" hidden="1" customHeight="1" x14ac:dyDescent="0.2">
      <c r="A427" s="2">
        <v>2456</v>
      </c>
      <c r="B427" s="2"/>
      <c r="C427" s="131"/>
      <c r="D427" s="131"/>
      <c r="E427" s="131"/>
      <c r="F427" s="2"/>
      <c r="G427" s="2"/>
      <c r="H427" s="132">
        <v>0</v>
      </c>
      <c r="I427" s="132"/>
      <c r="J427" s="132"/>
      <c r="K427" s="132"/>
      <c r="L427" s="132">
        <f t="shared" si="54"/>
        <v>0</v>
      </c>
      <c r="M427" s="132">
        <f t="shared" si="55"/>
        <v>0</v>
      </c>
      <c r="N427" s="133"/>
      <c r="O427" s="133">
        <f t="shared" si="56"/>
        <v>0</v>
      </c>
      <c r="P427" s="134"/>
      <c r="Q427" s="133"/>
      <c r="R427" s="133"/>
      <c r="S427" s="153">
        <v>0</v>
      </c>
      <c r="T427" s="153">
        <v>0</v>
      </c>
      <c r="U427" s="153">
        <v>0</v>
      </c>
      <c r="V427" s="135"/>
      <c r="W427" s="135"/>
      <c r="X427" s="135"/>
      <c r="Y427" s="135"/>
      <c r="Z427" s="135"/>
      <c r="AA427" s="135"/>
      <c r="AB427" s="135"/>
      <c r="AC427" s="135"/>
      <c r="AD427" s="133"/>
      <c r="AE427" s="133"/>
      <c r="AF427" s="132" t="str">
        <f t="shared" si="57"/>
        <v>Нет инфо</v>
      </c>
      <c r="AG427" s="132" t="str">
        <f t="shared" si="58"/>
        <v>Нет инфо</v>
      </c>
      <c r="AH427" s="2"/>
      <c r="AI427" s="136"/>
      <c r="AJ427" s="2"/>
      <c r="AK427" s="136"/>
      <c r="AL427" s="136"/>
      <c r="AM427" s="2"/>
      <c r="AN427" s="2"/>
      <c r="AO427" s="2"/>
      <c r="AP427" s="2"/>
      <c r="AQ427" s="136"/>
    </row>
    <row r="428" spans="1:43" s="115" customFormat="1" ht="12.75" hidden="1" customHeight="1" x14ac:dyDescent="0.2">
      <c r="A428" s="2">
        <v>2457</v>
      </c>
      <c r="B428" s="2"/>
      <c r="C428" s="131"/>
      <c r="D428" s="131"/>
      <c r="E428" s="131"/>
      <c r="F428" s="2"/>
      <c r="G428" s="2"/>
      <c r="H428" s="132">
        <v>0</v>
      </c>
      <c r="I428" s="132"/>
      <c r="J428" s="132"/>
      <c r="K428" s="132"/>
      <c r="L428" s="132">
        <f t="shared" si="54"/>
        <v>0</v>
      </c>
      <c r="M428" s="132">
        <f t="shared" si="55"/>
        <v>0</v>
      </c>
      <c r="N428" s="133"/>
      <c r="O428" s="133">
        <f t="shared" si="56"/>
        <v>0</v>
      </c>
      <c r="P428" s="134"/>
      <c r="Q428" s="133"/>
      <c r="R428" s="133"/>
      <c r="S428" s="153">
        <v>0</v>
      </c>
      <c r="T428" s="153">
        <v>0</v>
      </c>
      <c r="U428" s="153">
        <v>0</v>
      </c>
      <c r="V428" s="135"/>
      <c r="W428" s="135"/>
      <c r="X428" s="135"/>
      <c r="Y428" s="135"/>
      <c r="Z428" s="135"/>
      <c r="AA428" s="135"/>
      <c r="AB428" s="135"/>
      <c r="AC428" s="135"/>
      <c r="AD428" s="133"/>
      <c r="AE428" s="133"/>
      <c r="AF428" s="132" t="str">
        <f t="shared" si="57"/>
        <v>Нет инфо</v>
      </c>
      <c r="AG428" s="132" t="str">
        <f t="shared" si="58"/>
        <v>Нет инфо</v>
      </c>
      <c r="AH428" s="2"/>
      <c r="AI428" s="136"/>
      <c r="AJ428" s="2"/>
      <c r="AK428" s="136"/>
      <c r="AL428" s="136"/>
      <c r="AM428" s="2"/>
      <c r="AN428" s="2"/>
      <c r="AO428" s="2"/>
      <c r="AP428" s="2"/>
      <c r="AQ428" s="136"/>
    </row>
    <row r="429" spans="1:43" s="115" customFormat="1" ht="12.75" hidden="1" customHeight="1" x14ac:dyDescent="0.2">
      <c r="A429" s="2">
        <v>2458</v>
      </c>
      <c r="B429" s="2"/>
      <c r="C429" s="131"/>
      <c r="D429" s="131"/>
      <c r="E429" s="131"/>
      <c r="F429" s="2"/>
      <c r="G429" s="2"/>
      <c r="H429" s="132">
        <v>0</v>
      </c>
      <c r="I429" s="132"/>
      <c r="J429" s="132"/>
      <c r="K429" s="132"/>
      <c r="L429" s="132">
        <f t="shared" si="54"/>
        <v>0</v>
      </c>
      <c r="M429" s="132">
        <f t="shared" si="55"/>
        <v>0</v>
      </c>
      <c r="N429" s="133"/>
      <c r="O429" s="133">
        <f t="shared" si="56"/>
        <v>0</v>
      </c>
      <c r="P429" s="134"/>
      <c r="Q429" s="133"/>
      <c r="R429" s="133"/>
      <c r="S429" s="153">
        <v>0</v>
      </c>
      <c r="T429" s="153">
        <v>0</v>
      </c>
      <c r="U429" s="153">
        <v>0</v>
      </c>
      <c r="V429" s="135"/>
      <c r="W429" s="135"/>
      <c r="X429" s="135"/>
      <c r="Y429" s="135"/>
      <c r="Z429" s="135"/>
      <c r="AA429" s="135"/>
      <c r="AB429" s="135"/>
      <c r="AC429" s="135"/>
      <c r="AD429" s="133"/>
      <c r="AE429" s="133"/>
      <c r="AF429" s="132" t="str">
        <f t="shared" si="57"/>
        <v>Нет инфо</v>
      </c>
      <c r="AG429" s="132" t="str">
        <f t="shared" si="58"/>
        <v>Нет инфо</v>
      </c>
      <c r="AH429" s="2"/>
      <c r="AI429" s="136"/>
      <c r="AJ429" s="2"/>
      <c r="AK429" s="136"/>
      <c r="AL429" s="136"/>
      <c r="AM429" s="2"/>
      <c r="AN429" s="2"/>
      <c r="AO429" s="2"/>
      <c r="AP429" s="2"/>
      <c r="AQ429" s="136"/>
    </row>
    <row r="430" spans="1:43" s="115" customFormat="1" ht="12.75" hidden="1" customHeight="1" x14ac:dyDescent="0.2">
      <c r="A430" s="2">
        <v>2459</v>
      </c>
      <c r="B430" s="2"/>
      <c r="C430" s="131"/>
      <c r="D430" s="131"/>
      <c r="E430" s="131"/>
      <c r="F430" s="2"/>
      <c r="G430" s="2"/>
      <c r="H430" s="132">
        <v>0</v>
      </c>
      <c r="I430" s="132"/>
      <c r="J430" s="132"/>
      <c r="K430" s="132"/>
      <c r="L430" s="132">
        <f t="shared" si="54"/>
        <v>0</v>
      </c>
      <c r="M430" s="132">
        <f t="shared" si="55"/>
        <v>0</v>
      </c>
      <c r="N430" s="133"/>
      <c r="O430" s="133">
        <f t="shared" si="56"/>
        <v>0</v>
      </c>
      <c r="P430" s="134"/>
      <c r="Q430" s="133"/>
      <c r="R430" s="133"/>
      <c r="S430" s="153">
        <v>0</v>
      </c>
      <c r="T430" s="153">
        <v>0</v>
      </c>
      <c r="U430" s="153">
        <v>0</v>
      </c>
      <c r="V430" s="135"/>
      <c r="W430" s="135"/>
      <c r="X430" s="135"/>
      <c r="Y430" s="135"/>
      <c r="Z430" s="135"/>
      <c r="AA430" s="135"/>
      <c r="AB430" s="135"/>
      <c r="AC430" s="135"/>
      <c r="AD430" s="133"/>
      <c r="AE430" s="133"/>
      <c r="AF430" s="132" t="str">
        <f t="shared" si="57"/>
        <v>Нет инфо</v>
      </c>
      <c r="AG430" s="132" t="str">
        <f t="shared" si="58"/>
        <v>Нет инфо</v>
      </c>
      <c r="AH430" s="2"/>
      <c r="AI430" s="136"/>
      <c r="AJ430" s="2"/>
      <c r="AK430" s="136"/>
      <c r="AL430" s="136"/>
      <c r="AM430" s="2"/>
      <c r="AN430" s="2"/>
      <c r="AO430" s="2"/>
      <c r="AP430" s="2"/>
      <c r="AQ430" s="136"/>
    </row>
    <row r="431" spans="1:43" s="115" customFormat="1" ht="12.75" hidden="1" customHeight="1" x14ac:dyDescent="0.2">
      <c r="A431" s="2">
        <v>2460</v>
      </c>
      <c r="B431" s="2"/>
      <c r="C431" s="131"/>
      <c r="D431" s="131"/>
      <c r="E431" s="131"/>
      <c r="F431" s="2"/>
      <c r="G431" s="2"/>
      <c r="H431" s="132">
        <v>0</v>
      </c>
      <c r="I431" s="132"/>
      <c r="J431" s="132"/>
      <c r="K431" s="132"/>
      <c r="L431" s="132">
        <f t="shared" si="54"/>
        <v>0</v>
      </c>
      <c r="M431" s="132">
        <f t="shared" si="55"/>
        <v>0</v>
      </c>
      <c r="N431" s="133"/>
      <c r="O431" s="133">
        <f t="shared" si="56"/>
        <v>0</v>
      </c>
      <c r="P431" s="134"/>
      <c r="Q431" s="133"/>
      <c r="R431" s="133"/>
      <c r="S431" s="153">
        <v>0</v>
      </c>
      <c r="T431" s="153">
        <v>0</v>
      </c>
      <c r="U431" s="153">
        <v>0</v>
      </c>
      <c r="V431" s="135"/>
      <c r="W431" s="135"/>
      <c r="X431" s="135"/>
      <c r="Y431" s="135"/>
      <c r="Z431" s="135"/>
      <c r="AA431" s="135"/>
      <c r="AB431" s="135"/>
      <c r="AC431" s="135"/>
      <c r="AD431" s="133"/>
      <c r="AE431" s="133"/>
      <c r="AF431" s="132" t="str">
        <f t="shared" si="57"/>
        <v>Нет инфо</v>
      </c>
      <c r="AG431" s="132" t="str">
        <f t="shared" si="58"/>
        <v>Нет инфо</v>
      </c>
      <c r="AH431" s="2"/>
      <c r="AI431" s="136"/>
      <c r="AJ431" s="2"/>
      <c r="AK431" s="136"/>
      <c r="AL431" s="136"/>
      <c r="AM431" s="2"/>
      <c r="AN431" s="2"/>
      <c r="AO431" s="2"/>
      <c r="AP431" s="2"/>
      <c r="AQ431" s="136"/>
    </row>
    <row r="432" spans="1:43" s="115" customFormat="1" ht="12.75" hidden="1" customHeight="1" x14ac:dyDescent="0.2">
      <c r="A432" s="2">
        <v>2461</v>
      </c>
      <c r="B432" s="2"/>
      <c r="C432" s="131"/>
      <c r="D432" s="131"/>
      <c r="E432" s="131"/>
      <c r="F432" s="2"/>
      <c r="G432" s="2"/>
      <c r="H432" s="132">
        <v>0</v>
      </c>
      <c r="I432" s="132"/>
      <c r="J432" s="132"/>
      <c r="K432" s="132"/>
      <c r="L432" s="132">
        <f t="shared" si="54"/>
        <v>0</v>
      </c>
      <c r="M432" s="132">
        <f t="shared" si="55"/>
        <v>0</v>
      </c>
      <c r="N432" s="133"/>
      <c r="O432" s="133">
        <f t="shared" si="56"/>
        <v>0</v>
      </c>
      <c r="P432" s="134"/>
      <c r="Q432" s="133"/>
      <c r="R432" s="133"/>
      <c r="S432" s="153">
        <v>0</v>
      </c>
      <c r="T432" s="153">
        <v>0</v>
      </c>
      <c r="U432" s="153">
        <v>0</v>
      </c>
      <c r="V432" s="135"/>
      <c r="W432" s="135"/>
      <c r="X432" s="135"/>
      <c r="Y432" s="135"/>
      <c r="Z432" s="135"/>
      <c r="AA432" s="135"/>
      <c r="AB432" s="135"/>
      <c r="AC432" s="135"/>
      <c r="AD432" s="133"/>
      <c r="AE432" s="133"/>
      <c r="AF432" s="132" t="str">
        <f t="shared" si="57"/>
        <v>Нет инфо</v>
      </c>
      <c r="AG432" s="132" t="str">
        <f t="shared" si="58"/>
        <v>Нет инфо</v>
      </c>
      <c r="AH432" s="2"/>
      <c r="AI432" s="136"/>
      <c r="AJ432" s="2"/>
      <c r="AK432" s="136"/>
      <c r="AL432" s="136"/>
      <c r="AM432" s="2"/>
      <c r="AN432" s="2"/>
      <c r="AO432" s="2"/>
      <c r="AP432" s="2"/>
      <c r="AQ432" s="136"/>
    </row>
    <row r="433" spans="1:43" s="115" customFormat="1" ht="12.75" hidden="1" customHeight="1" x14ac:dyDescent="0.2">
      <c r="A433" s="2">
        <v>2462</v>
      </c>
      <c r="B433" s="2"/>
      <c r="C433" s="131"/>
      <c r="D433" s="131"/>
      <c r="E433" s="131"/>
      <c r="F433" s="2"/>
      <c r="G433" s="2"/>
      <c r="H433" s="132">
        <v>0</v>
      </c>
      <c r="I433" s="132"/>
      <c r="J433" s="132"/>
      <c r="K433" s="132"/>
      <c r="L433" s="132">
        <f t="shared" si="54"/>
        <v>0</v>
      </c>
      <c r="M433" s="132">
        <f t="shared" si="55"/>
        <v>0</v>
      </c>
      <c r="N433" s="133"/>
      <c r="O433" s="133">
        <f t="shared" si="56"/>
        <v>0</v>
      </c>
      <c r="P433" s="134"/>
      <c r="Q433" s="133"/>
      <c r="R433" s="133"/>
      <c r="S433" s="153">
        <v>0</v>
      </c>
      <c r="T433" s="153">
        <v>0</v>
      </c>
      <c r="U433" s="153">
        <v>0</v>
      </c>
      <c r="V433" s="135"/>
      <c r="W433" s="135"/>
      <c r="X433" s="135"/>
      <c r="Y433" s="135"/>
      <c r="Z433" s="135"/>
      <c r="AA433" s="135"/>
      <c r="AB433" s="135"/>
      <c r="AC433" s="135"/>
      <c r="AD433" s="133"/>
      <c r="AE433" s="133"/>
      <c r="AF433" s="132" t="str">
        <f t="shared" si="57"/>
        <v>Нет инфо</v>
      </c>
      <c r="AG433" s="132" t="str">
        <f t="shared" si="58"/>
        <v>Нет инфо</v>
      </c>
      <c r="AH433" s="2"/>
      <c r="AI433" s="136"/>
      <c r="AJ433" s="2"/>
      <c r="AK433" s="136"/>
      <c r="AL433" s="136"/>
      <c r="AM433" s="2"/>
      <c r="AN433" s="2"/>
      <c r="AO433" s="2"/>
      <c r="AP433" s="2"/>
      <c r="AQ433" s="136"/>
    </row>
    <row r="434" spans="1:43" s="115" customFormat="1" ht="12.75" hidden="1" customHeight="1" x14ac:dyDescent="0.2">
      <c r="A434" s="2">
        <v>2463</v>
      </c>
      <c r="B434" s="2"/>
      <c r="C434" s="131"/>
      <c r="D434" s="131"/>
      <c r="E434" s="131"/>
      <c r="F434" s="2"/>
      <c r="G434" s="2"/>
      <c r="H434" s="132">
        <v>0</v>
      </c>
      <c r="I434" s="132"/>
      <c r="J434" s="132"/>
      <c r="K434" s="132"/>
      <c r="L434" s="132">
        <f t="shared" si="54"/>
        <v>0</v>
      </c>
      <c r="M434" s="132">
        <f t="shared" si="55"/>
        <v>0</v>
      </c>
      <c r="N434" s="133"/>
      <c r="O434" s="133">
        <f t="shared" si="56"/>
        <v>0</v>
      </c>
      <c r="P434" s="134"/>
      <c r="Q434" s="133"/>
      <c r="R434" s="133"/>
      <c r="S434" s="153">
        <v>0</v>
      </c>
      <c r="T434" s="153">
        <v>0</v>
      </c>
      <c r="U434" s="153">
        <v>0</v>
      </c>
      <c r="V434" s="135"/>
      <c r="W434" s="135"/>
      <c r="X434" s="135"/>
      <c r="Y434" s="135"/>
      <c r="Z434" s="135"/>
      <c r="AA434" s="135"/>
      <c r="AB434" s="135"/>
      <c r="AC434" s="135"/>
      <c r="AD434" s="133"/>
      <c r="AE434" s="133"/>
      <c r="AF434" s="132" t="str">
        <f t="shared" si="57"/>
        <v>Нет инфо</v>
      </c>
      <c r="AG434" s="132" t="str">
        <f t="shared" si="58"/>
        <v>Нет инфо</v>
      </c>
      <c r="AH434" s="2"/>
      <c r="AI434" s="136"/>
      <c r="AJ434" s="2"/>
      <c r="AK434" s="136"/>
      <c r="AL434" s="136"/>
      <c r="AM434" s="2"/>
      <c r="AN434" s="2"/>
      <c r="AO434" s="2"/>
      <c r="AP434" s="2"/>
      <c r="AQ434" s="136"/>
    </row>
    <row r="435" spans="1:43" s="115" customFormat="1" ht="12.75" hidden="1" customHeight="1" x14ac:dyDescent="0.2">
      <c r="A435" s="2">
        <v>2464</v>
      </c>
      <c r="B435" s="2"/>
      <c r="C435" s="131"/>
      <c r="D435" s="131"/>
      <c r="E435" s="131"/>
      <c r="F435" s="2"/>
      <c r="G435" s="2"/>
      <c r="H435" s="132">
        <v>0</v>
      </c>
      <c r="I435" s="132"/>
      <c r="J435" s="132"/>
      <c r="K435" s="132"/>
      <c r="L435" s="132">
        <f t="shared" si="54"/>
        <v>0</v>
      </c>
      <c r="M435" s="132">
        <f t="shared" si="55"/>
        <v>0</v>
      </c>
      <c r="N435" s="133"/>
      <c r="O435" s="133">
        <f t="shared" si="56"/>
        <v>0</v>
      </c>
      <c r="P435" s="134"/>
      <c r="Q435" s="133"/>
      <c r="R435" s="133"/>
      <c r="S435" s="153">
        <v>0</v>
      </c>
      <c r="T435" s="153">
        <v>0</v>
      </c>
      <c r="U435" s="153">
        <v>0</v>
      </c>
      <c r="V435" s="135"/>
      <c r="W435" s="135"/>
      <c r="X435" s="135"/>
      <c r="Y435" s="135"/>
      <c r="Z435" s="135"/>
      <c r="AA435" s="135"/>
      <c r="AB435" s="135"/>
      <c r="AC435" s="135"/>
      <c r="AD435" s="133"/>
      <c r="AE435" s="133"/>
      <c r="AF435" s="132" t="str">
        <f t="shared" si="57"/>
        <v>Нет инфо</v>
      </c>
      <c r="AG435" s="132" t="str">
        <f t="shared" si="58"/>
        <v>Нет инфо</v>
      </c>
      <c r="AH435" s="2"/>
      <c r="AI435" s="136"/>
      <c r="AJ435" s="2"/>
      <c r="AK435" s="136"/>
      <c r="AL435" s="136"/>
      <c r="AM435" s="2"/>
      <c r="AN435" s="2"/>
      <c r="AO435" s="2"/>
      <c r="AP435" s="2"/>
      <c r="AQ435" s="136"/>
    </row>
    <row r="436" spans="1:43" s="115" customFormat="1" ht="12.75" hidden="1" customHeight="1" x14ac:dyDescent="0.2">
      <c r="A436" s="2">
        <v>2465</v>
      </c>
      <c r="B436" s="2"/>
      <c r="C436" s="131"/>
      <c r="D436" s="131"/>
      <c r="E436" s="131"/>
      <c r="F436" s="2"/>
      <c r="G436" s="2"/>
      <c r="H436" s="132">
        <v>0</v>
      </c>
      <c r="I436" s="132"/>
      <c r="J436" s="132"/>
      <c r="K436" s="132"/>
      <c r="L436" s="132">
        <f t="shared" si="54"/>
        <v>0</v>
      </c>
      <c r="M436" s="132">
        <f t="shared" si="55"/>
        <v>0</v>
      </c>
      <c r="N436" s="133"/>
      <c r="O436" s="133">
        <f t="shared" si="56"/>
        <v>0</v>
      </c>
      <c r="P436" s="134"/>
      <c r="Q436" s="133"/>
      <c r="R436" s="133"/>
      <c r="S436" s="153">
        <v>0</v>
      </c>
      <c r="T436" s="153">
        <v>0</v>
      </c>
      <c r="U436" s="153">
        <v>0</v>
      </c>
      <c r="V436" s="135"/>
      <c r="W436" s="135"/>
      <c r="X436" s="135"/>
      <c r="Y436" s="135"/>
      <c r="Z436" s="135"/>
      <c r="AA436" s="135"/>
      <c r="AB436" s="135"/>
      <c r="AC436" s="135"/>
      <c r="AD436" s="133"/>
      <c r="AE436" s="133"/>
      <c r="AF436" s="132" t="str">
        <f t="shared" si="57"/>
        <v>Нет инфо</v>
      </c>
      <c r="AG436" s="132" t="str">
        <f t="shared" si="58"/>
        <v>Нет инфо</v>
      </c>
      <c r="AH436" s="2"/>
      <c r="AI436" s="136"/>
      <c r="AJ436" s="2"/>
      <c r="AK436" s="136"/>
      <c r="AL436" s="136"/>
      <c r="AM436" s="2"/>
      <c r="AN436" s="2"/>
      <c r="AO436" s="2"/>
      <c r="AP436" s="2"/>
      <c r="AQ436" s="136"/>
    </row>
    <row r="437" spans="1:43" s="115" customFormat="1" ht="12.75" hidden="1" customHeight="1" x14ac:dyDescent="0.2">
      <c r="A437" s="2">
        <v>2466</v>
      </c>
      <c r="B437" s="2"/>
      <c r="C437" s="131"/>
      <c r="D437" s="131"/>
      <c r="E437" s="131"/>
      <c r="F437" s="2"/>
      <c r="G437" s="2"/>
      <c r="H437" s="132">
        <v>0</v>
      </c>
      <c r="I437" s="132"/>
      <c r="J437" s="132"/>
      <c r="K437" s="132"/>
      <c r="L437" s="132">
        <f t="shared" si="54"/>
        <v>0</v>
      </c>
      <c r="M437" s="132">
        <f t="shared" si="55"/>
        <v>0</v>
      </c>
      <c r="N437" s="133"/>
      <c r="O437" s="133">
        <f t="shared" si="56"/>
        <v>0</v>
      </c>
      <c r="P437" s="134"/>
      <c r="Q437" s="133"/>
      <c r="R437" s="133"/>
      <c r="S437" s="153">
        <v>0</v>
      </c>
      <c r="T437" s="153">
        <v>0</v>
      </c>
      <c r="U437" s="153">
        <v>0</v>
      </c>
      <c r="V437" s="135"/>
      <c r="W437" s="135"/>
      <c r="X437" s="135"/>
      <c r="Y437" s="135"/>
      <c r="Z437" s="135"/>
      <c r="AA437" s="135"/>
      <c r="AB437" s="135"/>
      <c r="AC437" s="135"/>
      <c r="AD437" s="133"/>
      <c r="AE437" s="133"/>
      <c r="AF437" s="132" t="str">
        <f t="shared" si="57"/>
        <v>Нет инфо</v>
      </c>
      <c r="AG437" s="132" t="str">
        <f t="shared" si="58"/>
        <v>Нет инфо</v>
      </c>
      <c r="AH437" s="2"/>
      <c r="AI437" s="136"/>
      <c r="AJ437" s="2"/>
      <c r="AK437" s="136"/>
      <c r="AL437" s="136"/>
      <c r="AM437" s="2"/>
      <c r="AN437" s="2"/>
      <c r="AO437" s="2"/>
      <c r="AP437" s="2"/>
      <c r="AQ437" s="136"/>
    </row>
    <row r="438" spans="1:43" s="115" customFormat="1" ht="12.75" hidden="1" customHeight="1" x14ac:dyDescent="0.2">
      <c r="A438" s="2">
        <v>2467</v>
      </c>
      <c r="B438" s="2"/>
      <c r="C438" s="131"/>
      <c r="D438" s="131"/>
      <c r="E438" s="131"/>
      <c r="F438" s="2"/>
      <c r="G438" s="2"/>
      <c r="H438" s="132">
        <v>0</v>
      </c>
      <c r="I438" s="132"/>
      <c r="J438" s="132"/>
      <c r="K438" s="132"/>
      <c r="L438" s="132">
        <f t="shared" si="54"/>
        <v>0</v>
      </c>
      <c r="M438" s="132">
        <f t="shared" si="55"/>
        <v>0</v>
      </c>
      <c r="N438" s="133"/>
      <c r="O438" s="133">
        <f t="shared" si="56"/>
        <v>0</v>
      </c>
      <c r="P438" s="134"/>
      <c r="Q438" s="133"/>
      <c r="R438" s="133"/>
      <c r="S438" s="153">
        <v>0</v>
      </c>
      <c r="T438" s="153">
        <v>0</v>
      </c>
      <c r="U438" s="153">
        <v>0</v>
      </c>
      <c r="V438" s="135"/>
      <c r="W438" s="135"/>
      <c r="X438" s="135"/>
      <c r="Y438" s="135"/>
      <c r="Z438" s="135"/>
      <c r="AA438" s="135"/>
      <c r="AB438" s="135"/>
      <c r="AC438" s="135"/>
      <c r="AD438" s="133"/>
      <c r="AE438" s="133"/>
      <c r="AF438" s="132" t="str">
        <f t="shared" si="57"/>
        <v>Нет инфо</v>
      </c>
      <c r="AG438" s="132" t="str">
        <f t="shared" si="58"/>
        <v>Нет инфо</v>
      </c>
      <c r="AH438" s="2"/>
      <c r="AI438" s="136"/>
      <c r="AJ438" s="2"/>
      <c r="AK438" s="136"/>
      <c r="AL438" s="136"/>
      <c r="AM438" s="2"/>
      <c r="AN438" s="2"/>
      <c r="AO438" s="2"/>
      <c r="AP438" s="2"/>
      <c r="AQ438" s="136"/>
    </row>
    <row r="439" spans="1:43" s="115" customFormat="1" ht="12.75" hidden="1" customHeight="1" x14ac:dyDescent="0.2">
      <c r="A439" s="2">
        <v>2468</v>
      </c>
      <c r="B439" s="2"/>
      <c r="C439" s="131"/>
      <c r="D439" s="131"/>
      <c r="E439" s="131"/>
      <c r="F439" s="2"/>
      <c r="G439" s="2"/>
      <c r="H439" s="132">
        <v>0</v>
      </c>
      <c r="I439" s="132"/>
      <c r="J439" s="132"/>
      <c r="K439" s="132"/>
      <c r="L439" s="132">
        <f t="shared" si="54"/>
        <v>0</v>
      </c>
      <c r="M439" s="132">
        <f t="shared" si="55"/>
        <v>0</v>
      </c>
      <c r="N439" s="133"/>
      <c r="O439" s="133">
        <f t="shared" si="56"/>
        <v>0</v>
      </c>
      <c r="P439" s="134"/>
      <c r="Q439" s="133"/>
      <c r="R439" s="133"/>
      <c r="S439" s="153">
        <v>0</v>
      </c>
      <c r="T439" s="153">
        <v>0</v>
      </c>
      <c r="U439" s="153">
        <v>0</v>
      </c>
      <c r="V439" s="135"/>
      <c r="W439" s="135"/>
      <c r="X439" s="135"/>
      <c r="Y439" s="135"/>
      <c r="Z439" s="135"/>
      <c r="AA439" s="135"/>
      <c r="AB439" s="135"/>
      <c r="AC439" s="135"/>
      <c r="AD439" s="133"/>
      <c r="AE439" s="133"/>
      <c r="AF439" s="132" t="str">
        <f t="shared" si="57"/>
        <v>Нет инфо</v>
      </c>
      <c r="AG439" s="132" t="str">
        <f t="shared" si="58"/>
        <v>Нет инфо</v>
      </c>
      <c r="AH439" s="2"/>
      <c r="AI439" s="136"/>
      <c r="AJ439" s="2"/>
      <c r="AK439" s="136"/>
      <c r="AL439" s="136"/>
      <c r="AM439" s="2"/>
      <c r="AN439" s="2"/>
      <c r="AO439" s="2"/>
      <c r="AP439" s="2"/>
      <c r="AQ439" s="136"/>
    </row>
    <row r="440" spans="1:43" s="115" customFormat="1" ht="12.75" hidden="1" customHeight="1" x14ac:dyDescent="0.2">
      <c r="A440" s="2">
        <v>2469</v>
      </c>
      <c r="B440" s="2"/>
      <c r="C440" s="131"/>
      <c r="D440" s="131"/>
      <c r="E440" s="131"/>
      <c r="F440" s="2"/>
      <c r="G440" s="2"/>
      <c r="H440" s="132">
        <v>0</v>
      </c>
      <c r="I440" s="132"/>
      <c r="J440" s="132"/>
      <c r="K440" s="132"/>
      <c r="L440" s="132">
        <f t="shared" si="54"/>
        <v>0</v>
      </c>
      <c r="M440" s="132">
        <f t="shared" si="55"/>
        <v>0</v>
      </c>
      <c r="N440" s="133"/>
      <c r="O440" s="133">
        <f t="shared" si="56"/>
        <v>0</v>
      </c>
      <c r="P440" s="134"/>
      <c r="Q440" s="133"/>
      <c r="R440" s="133"/>
      <c r="S440" s="153">
        <v>0</v>
      </c>
      <c r="T440" s="153">
        <v>0</v>
      </c>
      <c r="U440" s="153">
        <v>0</v>
      </c>
      <c r="V440" s="135"/>
      <c r="W440" s="135"/>
      <c r="X440" s="135"/>
      <c r="Y440" s="135"/>
      <c r="Z440" s="135"/>
      <c r="AA440" s="135"/>
      <c r="AB440" s="135"/>
      <c r="AC440" s="135"/>
      <c r="AD440" s="133"/>
      <c r="AE440" s="133"/>
      <c r="AF440" s="132" t="str">
        <f t="shared" si="57"/>
        <v>Нет инфо</v>
      </c>
      <c r="AG440" s="132" t="str">
        <f t="shared" si="58"/>
        <v>Нет инфо</v>
      </c>
      <c r="AH440" s="2"/>
      <c r="AI440" s="136"/>
      <c r="AJ440" s="2"/>
      <c r="AK440" s="136"/>
      <c r="AL440" s="136"/>
      <c r="AM440" s="2"/>
      <c r="AN440" s="2"/>
      <c r="AO440" s="2"/>
      <c r="AP440" s="2"/>
      <c r="AQ440" s="136"/>
    </row>
    <row r="441" spans="1:43" s="115" customFormat="1" ht="12.75" hidden="1" customHeight="1" x14ac:dyDescent="0.2">
      <c r="A441" s="2">
        <v>2470</v>
      </c>
      <c r="B441" s="2"/>
      <c r="C441" s="131"/>
      <c r="D441" s="131"/>
      <c r="E441" s="131"/>
      <c r="F441" s="2"/>
      <c r="G441" s="2"/>
      <c r="H441" s="132">
        <v>0</v>
      </c>
      <c r="I441" s="132"/>
      <c r="J441" s="132"/>
      <c r="K441" s="132"/>
      <c r="L441" s="132">
        <f t="shared" si="54"/>
        <v>0</v>
      </c>
      <c r="M441" s="132">
        <f t="shared" si="55"/>
        <v>0</v>
      </c>
      <c r="N441" s="133"/>
      <c r="O441" s="133">
        <f t="shared" si="56"/>
        <v>0</v>
      </c>
      <c r="P441" s="134"/>
      <c r="Q441" s="133"/>
      <c r="R441" s="133"/>
      <c r="S441" s="153">
        <v>0</v>
      </c>
      <c r="T441" s="153">
        <v>0</v>
      </c>
      <c r="U441" s="153">
        <v>0</v>
      </c>
      <c r="V441" s="135"/>
      <c r="W441" s="135"/>
      <c r="X441" s="135"/>
      <c r="Y441" s="135"/>
      <c r="Z441" s="135"/>
      <c r="AA441" s="135"/>
      <c r="AB441" s="135"/>
      <c r="AC441" s="135"/>
      <c r="AD441" s="133"/>
      <c r="AE441" s="133"/>
      <c r="AF441" s="132" t="str">
        <f t="shared" si="57"/>
        <v>Нет инфо</v>
      </c>
      <c r="AG441" s="132" t="str">
        <f t="shared" si="58"/>
        <v>Нет инфо</v>
      </c>
      <c r="AH441" s="2"/>
      <c r="AI441" s="136"/>
      <c r="AJ441" s="2"/>
      <c r="AK441" s="136"/>
      <c r="AL441" s="136"/>
      <c r="AM441" s="2"/>
      <c r="AN441" s="2"/>
      <c r="AO441" s="2"/>
      <c r="AP441" s="2"/>
      <c r="AQ441" s="136"/>
    </row>
    <row r="442" spans="1:43" s="115" customFormat="1" ht="12.75" hidden="1" customHeight="1" x14ac:dyDescent="0.2">
      <c r="A442" s="2">
        <v>2471</v>
      </c>
      <c r="B442" s="2"/>
      <c r="C442" s="131"/>
      <c r="D442" s="131"/>
      <c r="E442" s="131"/>
      <c r="F442" s="2"/>
      <c r="G442" s="2"/>
      <c r="H442" s="132">
        <v>0</v>
      </c>
      <c r="I442" s="132"/>
      <c r="J442" s="132"/>
      <c r="K442" s="132"/>
      <c r="L442" s="132">
        <f t="shared" si="54"/>
        <v>0</v>
      </c>
      <c r="M442" s="132">
        <f t="shared" si="55"/>
        <v>0</v>
      </c>
      <c r="N442" s="133"/>
      <c r="O442" s="133">
        <f t="shared" si="56"/>
        <v>0</v>
      </c>
      <c r="P442" s="134"/>
      <c r="Q442" s="133"/>
      <c r="R442" s="133"/>
      <c r="S442" s="153">
        <v>0</v>
      </c>
      <c r="T442" s="153">
        <v>0</v>
      </c>
      <c r="U442" s="153">
        <v>0</v>
      </c>
      <c r="V442" s="135"/>
      <c r="W442" s="135"/>
      <c r="X442" s="135"/>
      <c r="Y442" s="135"/>
      <c r="Z442" s="135"/>
      <c r="AA442" s="135"/>
      <c r="AB442" s="135"/>
      <c r="AC442" s="135"/>
      <c r="AD442" s="133"/>
      <c r="AE442" s="133"/>
      <c r="AF442" s="132" t="str">
        <f t="shared" si="57"/>
        <v>Нет инфо</v>
      </c>
      <c r="AG442" s="132" t="str">
        <f t="shared" si="58"/>
        <v>Нет инфо</v>
      </c>
      <c r="AH442" s="2"/>
      <c r="AI442" s="136"/>
      <c r="AJ442" s="2"/>
      <c r="AK442" s="136"/>
      <c r="AL442" s="136"/>
      <c r="AM442" s="2"/>
      <c r="AN442" s="2"/>
      <c r="AO442" s="2"/>
      <c r="AP442" s="2"/>
      <c r="AQ442" s="136"/>
    </row>
    <row r="443" spans="1:43" s="115" customFormat="1" ht="12.75" hidden="1" customHeight="1" x14ac:dyDescent="0.2">
      <c r="A443" s="2">
        <v>2472</v>
      </c>
      <c r="B443" s="2"/>
      <c r="C443" s="131"/>
      <c r="D443" s="131"/>
      <c r="E443" s="131"/>
      <c r="F443" s="2"/>
      <c r="G443" s="2"/>
      <c r="H443" s="132">
        <v>0</v>
      </c>
      <c r="I443" s="132"/>
      <c r="J443" s="132"/>
      <c r="K443" s="132"/>
      <c r="L443" s="132">
        <f t="shared" si="54"/>
        <v>0</v>
      </c>
      <c r="M443" s="132">
        <f t="shared" si="55"/>
        <v>0</v>
      </c>
      <c r="N443" s="133"/>
      <c r="O443" s="133">
        <f t="shared" si="56"/>
        <v>0</v>
      </c>
      <c r="P443" s="134"/>
      <c r="Q443" s="133"/>
      <c r="R443" s="133"/>
      <c r="S443" s="153">
        <v>0</v>
      </c>
      <c r="T443" s="153">
        <v>0</v>
      </c>
      <c r="U443" s="153">
        <v>0</v>
      </c>
      <c r="V443" s="135"/>
      <c r="W443" s="135"/>
      <c r="X443" s="135"/>
      <c r="Y443" s="135"/>
      <c r="Z443" s="135"/>
      <c r="AA443" s="135"/>
      <c r="AB443" s="135"/>
      <c r="AC443" s="135"/>
      <c r="AD443" s="133"/>
      <c r="AE443" s="133"/>
      <c r="AF443" s="132" t="str">
        <f t="shared" si="57"/>
        <v>Нет инфо</v>
      </c>
      <c r="AG443" s="132" t="str">
        <f t="shared" si="58"/>
        <v>Нет инфо</v>
      </c>
      <c r="AH443" s="2"/>
      <c r="AI443" s="136"/>
      <c r="AJ443" s="2"/>
      <c r="AK443" s="136"/>
      <c r="AL443" s="136"/>
      <c r="AM443" s="2"/>
      <c r="AN443" s="2"/>
      <c r="AO443" s="2"/>
      <c r="AP443" s="2"/>
      <c r="AQ443" s="136"/>
    </row>
    <row r="444" spans="1:43" s="115" customFormat="1" ht="12.75" hidden="1" customHeight="1" x14ac:dyDescent="0.2">
      <c r="A444" s="2">
        <v>2473</v>
      </c>
      <c r="B444" s="2"/>
      <c r="C444" s="131"/>
      <c r="D444" s="131"/>
      <c r="E444" s="131"/>
      <c r="F444" s="2"/>
      <c r="G444" s="2"/>
      <c r="H444" s="132">
        <v>0</v>
      </c>
      <c r="I444" s="132"/>
      <c r="J444" s="132"/>
      <c r="K444" s="132"/>
      <c r="L444" s="132">
        <f t="shared" si="54"/>
        <v>0</v>
      </c>
      <c r="M444" s="132">
        <f t="shared" si="55"/>
        <v>0</v>
      </c>
      <c r="N444" s="133"/>
      <c r="O444" s="133">
        <f t="shared" si="56"/>
        <v>0</v>
      </c>
      <c r="P444" s="134"/>
      <c r="Q444" s="133"/>
      <c r="R444" s="133"/>
      <c r="S444" s="153">
        <v>0</v>
      </c>
      <c r="T444" s="153">
        <v>0</v>
      </c>
      <c r="U444" s="153">
        <v>0</v>
      </c>
      <c r="V444" s="135"/>
      <c r="W444" s="135"/>
      <c r="X444" s="135"/>
      <c r="Y444" s="135"/>
      <c r="Z444" s="135"/>
      <c r="AA444" s="135"/>
      <c r="AB444" s="135"/>
      <c r="AC444" s="135"/>
      <c r="AD444" s="133"/>
      <c r="AE444" s="133"/>
      <c r="AF444" s="132" t="str">
        <f t="shared" si="57"/>
        <v>Нет инфо</v>
      </c>
      <c r="AG444" s="132" t="str">
        <f t="shared" si="58"/>
        <v>Нет инфо</v>
      </c>
      <c r="AH444" s="2"/>
      <c r="AI444" s="136"/>
      <c r="AJ444" s="2"/>
      <c r="AK444" s="136"/>
      <c r="AL444" s="136"/>
      <c r="AM444" s="2"/>
      <c r="AN444" s="2"/>
      <c r="AO444" s="2"/>
      <c r="AP444" s="2"/>
      <c r="AQ444" s="136"/>
    </row>
    <row r="445" spans="1:43" s="115" customFormat="1" ht="12.75" hidden="1" customHeight="1" x14ac:dyDescent="0.2">
      <c r="A445" s="2">
        <v>2474</v>
      </c>
      <c r="B445" s="2"/>
      <c r="C445" s="131"/>
      <c r="D445" s="131"/>
      <c r="E445" s="131"/>
      <c r="F445" s="2"/>
      <c r="G445" s="2"/>
      <c r="H445" s="132">
        <v>0</v>
      </c>
      <c r="I445" s="132"/>
      <c r="J445" s="132"/>
      <c r="K445" s="132"/>
      <c r="L445" s="132">
        <f t="shared" si="54"/>
        <v>0</v>
      </c>
      <c r="M445" s="132">
        <f t="shared" si="55"/>
        <v>0</v>
      </c>
      <c r="N445" s="133"/>
      <c r="O445" s="133">
        <f t="shared" si="56"/>
        <v>0</v>
      </c>
      <c r="P445" s="134"/>
      <c r="Q445" s="133"/>
      <c r="R445" s="133"/>
      <c r="S445" s="153">
        <v>0</v>
      </c>
      <c r="T445" s="153">
        <v>0</v>
      </c>
      <c r="U445" s="153">
        <v>0</v>
      </c>
      <c r="V445" s="135"/>
      <c r="W445" s="135"/>
      <c r="X445" s="135"/>
      <c r="Y445" s="135"/>
      <c r="Z445" s="135"/>
      <c r="AA445" s="135"/>
      <c r="AB445" s="135"/>
      <c r="AC445" s="135"/>
      <c r="AD445" s="133"/>
      <c r="AE445" s="133"/>
      <c r="AF445" s="132" t="str">
        <f t="shared" si="57"/>
        <v>Нет инфо</v>
      </c>
      <c r="AG445" s="132" t="str">
        <f t="shared" si="58"/>
        <v>Нет инфо</v>
      </c>
      <c r="AH445" s="2"/>
      <c r="AI445" s="136"/>
      <c r="AJ445" s="2"/>
      <c r="AK445" s="136"/>
      <c r="AL445" s="136"/>
      <c r="AM445" s="2"/>
      <c r="AN445" s="2"/>
      <c r="AO445" s="2"/>
      <c r="AP445" s="2"/>
      <c r="AQ445" s="136"/>
    </row>
    <row r="446" spans="1:43" s="115" customFormat="1" ht="12.75" hidden="1" customHeight="1" x14ac:dyDescent="0.2">
      <c r="A446" s="2">
        <v>2475</v>
      </c>
      <c r="B446" s="2"/>
      <c r="C446" s="131"/>
      <c r="D446" s="131"/>
      <c r="E446" s="131"/>
      <c r="F446" s="2"/>
      <c r="G446" s="2"/>
      <c r="H446" s="132">
        <v>0</v>
      </c>
      <c r="I446" s="132"/>
      <c r="J446" s="132"/>
      <c r="K446" s="132"/>
      <c r="L446" s="132">
        <f t="shared" si="54"/>
        <v>0</v>
      </c>
      <c r="M446" s="132">
        <f t="shared" si="55"/>
        <v>0</v>
      </c>
      <c r="N446" s="133"/>
      <c r="O446" s="133">
        <f t="shared" si="56"/>
        <v>0</v>
      </c>
      <c r="P446" s="134"/>
      <c r="Q446" s="133"/>
      <c r="R446" s="133"/>
      <c r="S446" s="153">
        <v>0</v>
      </c>
      <c r="T446" s="153">
        <v>0</v>
      </c>
      <c r="U446" s="153">
        <v>0</v>
      </c>
      <c r="V446" s="135"/>
      <c r="W446" s="135"/>
      <c r="X446" s="135"/>
      <c r="Y446" s="135"/>
      <c r="Z446" s="135"/>
      <c r="AA446" s="135"/>
      <c r="AB446" s="135"/>
      <c r="AC446" s="135"/>
      <c r="AD446" s="133"/>
      <c r="AE446" s="133"/>
      <c r="AF446" s="132" t="str">
        <f t="shared" si="57"/>
        <v>Нет инфо</v>
      </c>
      <c r="AG446" s="132" t="str">
        <f t="shared" si="58"/>
        <v>Нет инфо</v>
      </c>
      <c r="AH446" s="2"/>
      <c r="AI446" s="136"/>
      <c r="AJ446" s="2"/>
      <c r="AK446" s="136"/>
      <c r="AL446" s="136"/>
      <c r="AM446" s="2"/>
      <c r="AN446" s="2"/>
      <c r="AO446" s="2"/>
      <c r="AP446" s="2"/>
      <c r="AQ446" s="136"/>
    </row>
    <row r="447" spans="1:43" s="115" customFormat="1" ht="12.75" hidden="1" customHeight="1" x14ac:dyDescent="0.2">
      <c r="A447" s="2">
        <v>2476</v>
      </c>
      <c r="B447" s="2"/>
      <c r="C447" s="131"/>
      <c r="D447" s="131"/>
      <c r="E447" s="131"/>
      <c r="F447" s="2"/>
      <c r="G447" s="2"/>
      <c r="H447" s="132">
        <v>0</v>
      </c>
      <c r="I447" s="132"/>
      <c r="J447" s="132"/>
      <c r="K447" s="132"/>
      <c r="L447" s="132">
        <f t="shared" si="54"/>
        <v>0</v>
      </c>
      <c r="M447" s="132">
        <f t="shared" si="55"/>
        <v>0</v>
      </c>
      <c r="N447" s="133"/>
      <c r="O447" s="133">
        <f t="shared" si="56"/>
        <v>0</v>
      </c>
      <c r="P447" s="134"/>
      <c r="Q447" s="133"/>
      <c r="R447" s="133"/>
      <c r="S447" s="153">
        <v>0</v>
      </c>
      <c r="T447" s="153">
        <v>0</v>
      </c>
      <c r="U447" s="153">
        <v>0</v>
      </c>
      <c r="V447" s="135"/>
      <c r="W447" s="135"/>
      <c r="X447" s="135"/>
      <c r="Y447" s="135"/>
      <c r="Z447" s="135"/>
      <c r="AA447" s="135"/>
      <c r="AB447" s="135"/>
      <c r="AC447" s="135"/>
      <c r="AD447" s="133"/>
      <c r="AE447" s="133"/>
      <c r="AF447" s="132" t="str">
        <f t="shared" si="57"/>
        <v>Нет инфо</v>
      </c>
      <c r="AG447" s="132" t="str">
        <f t="shared" si="58"/>
        <v>Нет инфо</v>
      </c>
      <c r="AH447" s="2"/>
      <c r="AI447" s="136"/>
      <c r="AJ447" s="2"/>
      <c r="AK447" s="136"/>
      <c r="AL447" s="136"/>
      <c r="AM447" s="2"/>
      <c r="AN447" s="2"/>
      <c r="AO447" s="2"/>
      <c r="AP447" s="2"/>
      <c r="AQ447" s="136"/>
    </row>
    <row r="448" spans="1:43" s="115" customFormat="1" ht="12.75" hidden="1" customHeight="1" x14ac:dyDescent="0.2">
      <c r="A448" s="2">
        <v>2477</v>
      </c>
      <c r="B448" s="2"/>
      <c r="C448" s="131"/>
      <c r="D448" s="131"/>
      <c r="E448" s="131"/>
      <c r="F448" s="2"/>
      <c r="G448" s="2"/>
      <c r="H448" s="132">
        <v>0</v>
      </c>
      <c r="I448" s="132"/>
      <c r="J448" s="132"/>
      <c r="K448" s="132"/>
      <c r="L448" s="132">
        <f t="shared" si="54"/>
        <v>0</v>
      </c>
      <c r="M448" s="132">
        <f t="shared" si="55"/>
        <v>0</v>
      </c>
      <c r="N448" s="133"/>
      <c r="O448" s="133">
        <f t="shared" si="56"/>
        <v>0</v>
      </c>
      <c r="P448" s="134"/>
      <c r="Q448" s="133"/>
      <c r="R448" s="133"/>
      <c r="S448" s="153">
        <v>0</v>
      </c>
      <c r="T448" s="153">
        <v>0</v>
      </c>
      <c r="U448" s="153">
        <v>0</v>
      </c>
      <c r="V448" s="135"/>
      <c r="W448" s="135"/>
      <c r="X448" s="135"/>
      <c r="Y448" s="135"/>
      <c r="Z448" s="135"/>
      <c r="AA448" s="135"/>
      <c r="AB448" s="135"/>
      <c r="AC448" s="135"/>
      <c r="AD448" s="133"/>
      <c r="AE448" s="133"/>
      <c r="AF448" s="132" t="str">
        <f t="shared" si="57"/>
        <v>Нет инфо</v>
      </c>
      <c r="AG448" s="132" t="str">
        <f t="shared" si="58"/>
        <v>Нет инфо</v>
      </c>
      <c r="AH448" s="2"/>
      <c r="AI448" s="136"/>
      <c r="AJ448" s="2"/>
      <c r="AK448" s="136"/>
      <c r="AL448" s="136"/>
      <c r="AM448" s="2"/>
      <c r="AN448" s="2"/>
      <c r="AO448" s="2"/>
      <c r="AP448" s="2"/>
      <c r="AQ448" s="136"/>
    </row>
    <row r="449" spans="1:43" s="115" customFormat="1" ht="12.75" hidden="1" customHeight="1" x14ac:dyDescent="0.2">
      <c r="A449" s="2">
        <v>2478</v>
      </c>
      <c r="B449" s="2"/>
      <c r="C449" s="131"/>
      <c r="D449" s="131"/>
      <c r="E449" s="131"/>
      <c r="F449" s="2"/>
      <c r="G449" s="2"/>
      <c r="H449" s="132">
        <v>0</v>
      </c>
      <c r="I449" s="132"/>
      <c r="J449" s="132"/>
      <c r="K449" s="132"/>
      <c r="L449" s="132">
        <f t="shared" si="54"/>
        <v>0</v>
      </c>
      <c r="M449" s="132">
        <f t="shared" si="55"/>
        <v>0</v>
      </c>
      <c r="N449" s="133"/>
      <c r="O449" s="133">
        <f t="shared" si="56"/>
        <v>0</v>
      </c>
      <c r="P449" s="134"/>
      <c r="Q449" s="133"/>
      <c r="R449" s="133"/>
      <c r="S449" s="153">
        <v>0</v>
      </c>
      <c r="T449" s="153">
        <v>0</v>
      </c>
      <c r="U449" s="153">
        <v>0</v>
      </c>
      <c r="V449" s="135"/>
      <c r="W449" s="135"/>
      <c r="X449" s="135"/>
      <c r="Y449" s="135"/>
      <c r="Z449" s="135"/>
      <c r="AA449" s="135"/>
      <c r="AB449" s="135"/>
      <c r="AC449" s="135"/>
      <c r="AD449" s="133"/>
      <c r="AE449" s="133"/>
      <c r="AF449" s="132" t="str">
        <f t="shared" si="57"/>
        <v>Нет инфо</v>
      </c>
      <c r="AG449" s="132" t="str">
        <f t="shared" si="58"/>
        <v>Нет инфо</v>
      </c>
      <c r="AH449" s="2"/>
      <c r="AI449" s="136"/>
      <c r="AJ449" s="2"/>
      <c r="AK449" s="136"/>
      <c r="AL449" s="136"/>
      <c r="AM449" s="2"/>
      <c r="AN449" s="2"/>
      <c r="AO449" s="2"/>
      <c r="AP449" s="2"/>
      <c r="AQ449" s="136"/>
    </row>
    <row r="450" spans="1:43" s="115" customFormat="1" ht="12.75" hidden="1" customHeight="1" x14ac:dyDescent="0.2">
      <c r="A450" s="2">
        <v>2479</v>
      </c>
      <c r="B450" s="2"/>
      <c r="C450" s="131"/>
      <c r="D450" s="131"/>
      <c r="E450" s="131"/>
      <c r="F450" s="2"/>
      <c r="G450" s="2"/>
      <c r="H450" s="132">
        <v>0</v>
      </c>
      <c r="I450" s="132"/>
      <c r="J450" s="132"/>
      <c r="K450" s="132"/>
      <c r="L450" s="132">
        <f t="shared" si="54"/>
        <v>0</v>
      </c>
      <c r="M450" s="132">
        <f t="shared" si="55"/>
        <v>0</v>
      </c>
      <c r="N450" s="133"/>
      <c r="O450" s="133">
        <f t="shared" si="56"/>
        <v>0</v>
      </c>
      <c r="P450" s="134"/>
      <c r="Q450" s="133"/>
      <c r="R450" s="133"/>
      <c r="S450" s="153">
        <v>0</v>
      </c>
      <c r="T450" s="153">
        <v>0</v>
      </c>
      <c r="U450" s="153">
        <v>0</v>
      </c>
      <c r="V450" s="135"/>
      <c r="W450" s="135"/>
      <c r="X450" s="135"/>
      <c r="Y450" s="135"/>
      <c r="Z450" s="135"/>
      <c r="AA450" s="135"/>
      <c r="AB450" s="135"/>
      <c r="AC450" s="135"/>
      <c r="AD450" s="133"/>
      <c r="AE450" s="133"/>
      <c r="AF450" s="132" t="str">
        <f t="shared" si="57"/>
        <v>Нет инфо</v>
      </c>
      <c r="AG450" s="132" t="str">
        <f t="shared" si="58"/>
        <v>Нет инфо</v>
      </c>
      <c r="AH450" s="2"/>
      <c r="AI450" s="136"/>
      <c r="AJ450" s="2"/>
      <c r="AK450" s="136"/>
      <c r="AL450" s="136"/>
      <c r="AM450" s="2"/>
      <c r="AN450" s="2"/>
      <c r="AO450" s="2"/>
      <c r="AP450" s="2"/>
      <c r="AQ450" s="136"/>
    </row>
    <row r="451" spans="1:43" s="115" customFormat="1" ht="12.75" hidden="1" customHeight="1" x14ac:dyDescent="0.2">
      <c r="A451" s="2">
        <v>2480</v>
      </c>
      <c r="B451" s="2"/>
      <c r="C451" s="131"/>
      <c r="D451" s="131"/>
      <c r="E451" s="131"/>
      <c r="F451" s="2"/>
      <c r="G451" s="2"/>
      <c r="H451" s="132">
        <v>0</v>
      </c>
      <c r="I451" s="132"/>
      <c r="J451" s="132"/>
      <c r="K451" s="132"/>
      <c r="L451" s="132">
        <f t="shared" si="54"/>
        <v>0</v>
      </c>
      <c r="M451" s="132">
        <f t="shared" si="55"/>
        <v>0</v>
      </c>
      <c r="N451" s="133"/>
      <c r="O451" s="133">
        <f t="shared" si="56"/>
        <v>0</v>
      </c>
      <c r="P451" s="134"/>
      <c r="Q451" s="133"/>
      <c r="R451" s="133"/>
      <c r="S451" s="153">
        <v>0</v>
      </c>
      <c r="T451" s="153">
        <v>0</v>
      </c>
      <c r="U451" s="153">
        <v>0</v>
      </c>
      <c r="V451" s="135"/>
      <c r="W451" s="135"/>
      <c r="X451" s="135"/>
      <c r="Y451" s="135"/>
      <c r="Z451" s="135"/>
      <c r="AA451" s="135"/>
      <c r="AB451" s="135"/>
      <c r="AC451" s="135"/>
      <c r="AD451" s="133"/>
      <c r="AE451" s="133"/>
      <c r="AF451" s="132" t="str">
        <f t="shared" si="57"/>
        <v>Нет инфо</v>
      </c>
      <c r="AG451" s="132" t="str">
        <f t="shared" si="58"/>
        <v>Нет инфо</v>
      </c>
      <c r="AH451" s="2"/>
      <c r="AI451" s="136"/>
      <c r="AJ451" s="2"/>
      <c r="AK451" s="136"/>
      <c r="AL451" s="136"/>
      <c r="AM451" s="2"/>
      <c r="AN451" s="2"/>
      <c r="AO451" s="2"/>
      <c r="AP451" s="2"/>
      <c r="AQ451" s="136"/>
    </row>
    <row r="452" spans="1:43" s="115" customFormat="1" ht="12.75" hidden="1" customHeight="1" x14ac:dyDescent="0.2">
      <c r="A452" s="2">
        <v>2481</v>
      </c>
      <c r="B452" s="2"/>
      <c r="C452" s="131"/>
      <c r="D452" s="131"/>
      <c r="E452" s="131"/>
      <c r="F452" s="2"/>
      <c r="G452" s="2"/>
      <c r="H452" s="132">
        <v>0</v>
      </c>
      <c r="I452" s="132"/>
      <c r="J452" s="132"/>
      <c r="K452" s="132"/>
      <c r="L452" s="132">
        <f t="shared" si="54"/>
        <v>0</v>
      </c>
      <c r="M452" s="132">
        <f t="shared" si="55"/>
        <v>0</v>
      </c>
      <c r="N452" s="133"/>
      <c r="O452" s="133">
        <f t="shared" si="56"/>
        <v>0</v>
      </c>
      <c r="P452" s="134"/>
      <c r="Q452" s="133"/>
      <c r="R452" s="133"/>
      <c r="S452" s="153">
        <v>0</v>
      </c>
      <c r="T452" s="153">
        <v>0</v>
      </c>
      <c r="U452" s="153">
        <v>0</v>
      </c>
      <c r="V452" s="135"/>
      <c r="W452" s="135"/>
      <c r="X452" s="135"/>
      <c r="Y452" s="135"/>
      <c r="Z452" s="135"/>
      <c r="AA452" s="135"/>
      <c r="AB452" s="135"/>
      <c r="AC452" s="135"/>
      <c r="AD452" s="133"/>
      <c r="AE452" s="133"/>
      <c r="AF452" s="132" t="str">
        <f t="shared" si="57"/>
        <v>Нет инфо</v>
      </c>
      <c r="AG452" s="132" t="str">
        <f t="shared" si="58"/>
        <v>Нет инфо</v>
      </c>
      <c r="AH452" s="2"/>
      <c r="AI452" s="136"/>
      <c r="AJ452" s="2"/>
      <c r="AK452" s="136"/>
      <c r="AL452" s="136"/>
      <c r="AM452" s="2"/>
      <c r="AN452" s="2"/>
      <c r="AO452" s="2"/>
      <c r="AP452" s="2"/>
      <c r="AQ452" s="136"/>
    </row>
    <row r="453" spans="1:43" s="115" customFormat="1" ht="12.75" hidden="1" customHeight="1" x14ac:dyDescent="0.2">
      <c r="A453" s="2">
        <v>2482</v>
      </c>
      <c r="B453" s="2"/>
      <c r="C453" s="131"/>
      <c r="D453" s="131"/>
      <c r="E453" s="131"/>
      <c r="F453" s="2"/>
      <c r="G453" s="2"/>
      <c r="H453" s="132">
        <v>0</v>
      </c>
      <c r="I453" s="132"/>
      <c r="J453" s="132"/>
      <c r="K453" s="132"/>
      <c r="L453" s="132">
        <f t="shared" si="54"/>
        <v>0</v>
      </c>
      <c r="M453" s="132">
        <f t="shared" si="55"/>
        <v>0</v>
      </c>
      <c r="N453" s="133"/>
      <c r="O453" s="133">
        <f t="shared" si="56"/>
        <v>0</v>
      </c>
      <c r="P453" s="134"/>
      <c r="Q453" s="133"/>
      <c r="R453" s="133"/>
      <c r="S453" s="153">
        <v>0</v>
      </c>
      <c r="T453" s="153">
        <v>0</v>
      </c>
      <c r="U453" s="153">
        <v>0</v>
      </c>
      <c r="V453" s="135"/>
      <c r="W453" s="135"/>
      <c r="X453" s="135"/>
      <c r="Y453" s="135"/>
      <c r="Z453" s="135"/>
      <c r="AA453" s="135"/>
      <c r="AB453" s="135"/>
      <c r="AC453" s="135"/>
      <c r="AD453" s="133"/>
      <c r="AE453" s="133"/>
      <c r="AF453" s="132" t="str">
        <f t="shared" si="57"/>
        <v>Нет инфо</v>
      </c>
      <c r="AG453" s="132" t="str">
        <f t="shared" si="58"/>
        <v>Нет инфо</v>
      </c>
      <c r="AH453" s="2"/>
      <c r="AI453" s="136"/>
      <c r="AJ453" s="2"/>
      <c r="AK453" s="136"/>
      <c r="AL453" s="136"/>
      <c r="AM453" s="2"/>
      <c r="AN453" s="2"/>
      <c r="AO453" s="2"/>
      <c r="AP453" s="2"/>
      <c r="AQ453" s="136"/>
    </row>
    <row r="454" spans="1:43" s="115" customFormat="1" ht="12.75" hidden="1" customHeight="1" x14ac:dyDescent="0.2">
      <c r="A454" s="2">
        <v>2483</v>
      </c>
      <c r="B454" s="2"/>
      <c r="C454" s="131"/>
      <c r="D454" s="131"/>
      <c r="E454" s="131"/>
      <c r="F454" s="2"/>
      <c r="G454" s="2"/>
      <c r="H454" s="132">
        <v>0</v>
      </c>
      <c r="I454" s="132"/>
      <c r="J454" s="132"/>
      <c r="K454" s="132"/>
      <c r="L454" s="132">
        <f t="shared" si="54"/>
        <v>0</v>
      </c>
      <c r="M454" s="132">
        <f t="shared" si="55"/>
        <v>0</v>
      </c>
      <c r="N454" s="133"/>
      <c r="O454" s="133">
        <f t="shared" si="56"/>
        <v>0</v>
      </c>
      <c r="P454" s="134"/>
      <c r="Q454" s="133"/>
      <c r="R454" s="133"/>
      <c r="S454" s="153">
        <v>0</v>
      </c>
      <c r="T454" s="153">
        <v>0</v>
      </c>
      <c r="U454" s="153">
        <v>0</v>
      </c>
      <c r="V454" s="135"/>
      <c r="W454" s="135"/>
      <c r="X454" s="135"/>
      <c r="Y454" s="135"/>
      <c r="Z454" s="135"/>
      <c r="AA454" s="135"/>
      <c r="AB454" s="135"/>
      <c r="AC454" s="135"/>
      <c r="AD454" s="133"/>
      <c r="AE454" s="133"/>
      <c r="AF454" s="132" t="str">
        <f t="shared" si="57"/>
        <v>Нет инфо</v>
      </c>
      <c r="AG454" s="132" t="str">
        <f t="shared" si="58"/>
        <v>Нет инфо</v>
      </c>
      <c r="AH454" s="2"/>
      <c r="AI454" s="136"/>
      <c r="AJ454" s="2"/>
      <c r="AK454" s="136"/>
      <c r="AL454" s="136"/>
      <c r="AM454" s="2"/>
      <c r="AN454" s="2"/>
      <c r="AO454" s="2"/>
      <c r="AP454" s="2"/>
      <c r="AQ454" s="136"/>
    </row>
    <row r="455" spans="1:43" s="115" customFormat="1" ht="12.75" hidden="1" customHeight="1" x14ac:dyDescent="0.2">
      <c r="A455" s="2">
        <v>2484</v>
      </c>
      <c r="B455" s="2"/>
      <c r="C455" s="131"/>
      <c r="D455" s="131"/>
      <c r="E455" s="131"/>
      <c r="F455" s="2"/>
      <c r="G455" s="2"/>
      <c r="H455" s="132">
        <v>0</v>
      </c>
      <c r="I455" s="132"/>
      <c r="J455" s="132"/>
      <c r="K455" s="132"/>
      <c r="L455" s="132">
        <f t="shared" si="54"/>
        <v>0</v>
      </c>
      <c r="M455" s="132">
        <f t="shared" si="55"/>
        <v>0</v>
      </c>
      <c r="N455" s="133"/>
      <c r="O455" s="133">
        <f t="shared" si="56"/>
        <v>0</v>
      </c>
      <c r="P455" s="134"/>
      <c r="Q455" s="133"/>
      <c r="R455" s="133"/>
      <c r="S455" s="153">
        <v>0</v>
      </c>
      <c r="T455" s="153">
        <v>0</v>
      </c>
      <c r="U455" s="153">
        <v>0</v>
      </c>
      <c r="V455" s="135"/>
      <c r="W455" s="135"/>
      <c r="X455" s="135"/>
      <c r="Y455" s="135"/>
      <c r="Z455" s="135"/>
      <c r="AA455" s="135"/>
      <c r="AB455" s="135"/>
      <c r="AC455" s="135"/>
      <c r="AD455" s="133"/>
      <c r="AE455" s="133"/>
      <c r="AF455" s="132" t="str">
        <f t="shared" si="57"/>
        <v>Нет инфо</v>
      </c>
      <c r="AG455" s="132" t="str">
        <f t="shared" si="58"/>
        <v>Нет инфо</v>
      </c>
      <c r="AH455" s="2"/>
      <c r="AI455" s="136"/>
      <c r="AJ455" s="2"/>
      <c r="AK455" s="136"/>
      <c r="AL455" s="136"/>
      <c r="AM455" s="2"/>
      <c r="AN455" s="2"/>
      <c r="AO455" s="2"/>
      <c r="AP455" s="2"/>
      <c r="AQ455" s="136"/>
    </row>
    <row r="456" spans="1:43" s="115" customFormat="1" ht="12.75" hidden="1" customHeight="1" x14ac:dyDescent="0.2">
      <c r="A456" s="2">
        <v>2485</v>
      </c>
      <c r="B456" s="2"/>
      <c r="C456" s="131"/>
      <c r="D456" s="131"/>
      <c r="E456" s="131"/>
      <c r="F456" s="2"/>
      <c r="G456" s="2"/>
      <c r="H456" s="132">
        <v>0</v>
      </c>
      <c r="I456" s="132"/>
      <c r="J456" s="132"/>
      <c r="K456" s="132"/>
      <c r="L456" s="132">
        <f t="shared" si="54"/>
        <v>0</v>
      </c>
      <c r="M456" s="132">
        <f t="shared" si="55"/>
        <v>0</v>
      </c>
      <c r="N456" s="133"/>
      <c r="O456" s="133">
        <f t="shared" si="56"/>
        <v>0</v>
      </c>
      <c r="P456" s="134"/>
      <c r="Q456" s="133"/>
      <c r="R456" s="133"/>
      <c r="S456" s="153">
        <v>0</v>
      </c>
      <c r="T456" s="153">
        <v>0</v>
      </c>
      <c r="U456" s="153">
        <v>0</v>
      </c>
      <c r="V456" s="135"/>
      <c r="W456" s="135"/>
      <c r="X456" s="135"/>
      <c r="Y456" s="135"/>
      <c r="Z456" s="135"/>
      <c r="AA456" s="135"/>
      <c r="AB456" s="135"/>
      <c r="AC456" s="135"/>
      <c r="AD456" s="133"/>
      <c r="AE456" s="133"/>
      <c r="AF456" s="132" t="str">
        <f t="shared" si="57"/>
        <v>Нет инфо</v>
      </c>
      <c r="AG456" s="132" t="str">
        <f t="shared" si="58"/>
        <v>Нет инфо</v>
      </c>
      <c r="AH456" s="2"/>
      <c r="AI456" s="136"/>
      <c r="AJ456" s="2"/>
      <c r="AK456" s="136"/>
      <c r="AL456" s="136"/>
      <c r="AM456" s="2"/>
      <c r="AN456" s="2"/>
      <c r="AO456" s="2"/>
      <c r="AP456" s="2"/>
      <c r="AQ456" s="136"/>
    </row>
    <row r="457" spans="1:43" s="115" customFormat="1" ht="12.75" hidden="1" customHeight="1" x14ac:dyDescent="0.2">
      <c r="A457" s="2">
        <v>2486</v>
      </c>
      <c r="B457" s="2"/>
      <c r="C457" s="131"/>
      <c r="D457" s="131"/>
      <c r="E457" s="131"/>
      <c r="F457" s="2"/>
      <c r="G457" s="2"/>
      <c r="H457" s="132">
        <v>0</v>
      </c>
      <c r="I457" s="132"/>
      <c r="J457" s="132"/>
      <c r="K457" s="132"/>
      <c r="L457" s="132">
        <f t="shared" si="54"/>
        <v>0</v>
      </c>
      <c r="M457" s="132">
        <f t="shared" si="55"/>
        <v>0</v>
      </c>
      <c r="N457" s="133"/>
      <c r="O457" s="133">
        <f t="shared" si="56"/>
        <v>0</v>
      </c>
      <c r="P457" s="134"/>
      <c r="Q457" s="133"/>
      <c r="R457" s="133"/>
      <c r="S457" s="153">
        <v>0</v>
      </c>
      <c r="T457" s="153">
        <v>0</v>
      </c>
      <c r="U457" s="153">
        <v>0</v>
      </c>
      <c r="V457" s="135"/>
      <c r="W457" s="135"/>
      <c r="X457" s="135"/>
      <c r="Y457" s="135"/>
      <c r="Z457" s="135"/>
      <c r="AA457" s="135"/>
      <c r="AB457" s="135"/>
      <c r="AC457" s="135"/>
      <c r="AD457" s="133"/>
      <c r="AE457" s="133"/>
      <c r="AF457" s="132" t="str">
        <f t="shared" si="57"/>
        <v>Нет инфо</v>
      </c>
      <c r="AG457" s="132" t="str">
        <f t="shared" si="58"/>
        <v>Нет инфо</v>
      </c>
      <c r="AH457" s="2"/>
      <c r="AI457" s="136"/>
      <c r="AJ457" s="2"/>
      <c r="AK457" s="136"/>
      <c r="AL457" s="136"/>
      <c r="AM457" s="2"/>
      <c r="AN457" s="2"/>
      <c r="AO457" s="2"/>
      <c r="AP457" s="2"/>
      <c r="AQ457" s="136"/>
    </row>
    <row r="458" spans="1:43" s="115" customFormat="1" ht="12.75" hidden="1" customHeight="1" x14ac:dyDescent="0.2">
      <c r="A458" s="2">
        <v>2487</v>
      </c>
      <c r="B458" s="2"/>
      <c r="C458" s="131"/>
      <c r="D458" s="131"/>
      <c r="E458" s="131"/>
      <c r="F458" s="2"/>
      <c r="G458" s="2"/>
      <c r="H458" s="132">
        <v>0</v>
      </c>
      <c r="I458" s="132"/>
      <c r="J458" s="132"/>
      <c r="K458" s="132"/>
      <c r="L458" s="132">
        <f t="shared" si="54"/>
        <v>0</v>
      </c>
      <c r="M458" s="132">
        <f t="shared" si="55"/>
        <v>0</v>
      </c>
      <c r="N458" s="133"/>
      <c r="O458" s="133">
        <f t="shared" si="56"/>
        <v>0</v>
      </c>
      <c r="P458" s="134"/>
      <c r="Q458" s="133"/>
      <c r="R458" s="133"/>
      <c r="S458" s="153">
        <v>0</v>
      </c>
      <c r="T458" s="153">
        <v>0</v>
      </c>
      <c r="U458" s="153">
        <v>0</v>
      </c>
      <c r="V458" s="135"/>
      <c r="W458" s="135"/>
      <c r="X458" s="135"/>
      <c r="Y458" s="135"/>
      <c r="Z458" s="135"/>
      <c r="AA458" s="135"/>
      <c r="AB458" s="135"/>
      <c r="AC458" s="135"/>
      <c r="AD458" s="133"/>
      <c r="AE458" s="133"/>
      <c r="AF458" s="132" t="str">
        <f t="shared" si="57"/>
        <v>Нет инфо</v>
      </c>
      <c r="AG458" s="132" t="str">
        <f t="shared" si="58"/>
        <v>Нет инфо</v>
      </c>
      <c r="AH458" s="2"/>
      <c r="AI458" s="136"/>
      <c r="AJ458" s="2"/>
      <c r="AK458" s="136"/>
      <c r="AL458" s="136"/>
      <c r="AM458" s="2"/>
      <c r="AN458" s="2"/>
      <c r="AO458" s="2"/>
      <c r="AP458" s="2"/>
      <c r="AQ458" s="136"/>
    </row>
    <row r="459" spans="1:43" s="115" customFormat="1" ht="12.75" hidden="1" customHeight="1" x14ac:dyDescent="0.2">
      <c r="A459" s="2">
        <v>2488</v>
      </c>
      <c r="B459" s="2"/>
      <c r="C459" s="131"/>
      <c r="D459" s="131"/>
      <c r="E459" s="131"/>
      <c r="F459" s="2"/>
      <c r="G459" s="2"/>
      <c r="H459" s="132">
        <v>0</v>
      </c>
      <c r="I459" s="132"/>
      <c r="J459" s="132"/>
      <c r="K459" s="132"/>
      <c r="L459" s="132">
        <f t="shared" ref="L459:L522" si="59">H459-K459</f>
        <v>0</v>
      </c>
      <c r="M459" s="132">
        <f t="shared" ref="M459:M522" si="60">I459-K459</f>
        <v>0</v>
      </c>
      <c r="N459" s="133"/>
      <c r="O459" s="133">
        <f t="shared" ref="O459:O522" si="61">IF(OR(AJ459="принят",AJ459="Завершено",AJ459="ПриПро"),I459-K459,H459-K459)</f>
        <v>0</v>
      </c>
      <c r="P459" s="134"/>
      <c r="Q459" s="133"/>
      <c r="R459" s="133"/>
      <c r="S459" s="153">
        <v>0</v>
      </c>
      <c r="T459" s="153">
        <v>0</v>
      </c>
      <c r="U459" s="153">
        <v>0</v>
      </c>
      <c r="V459" s="135"/>
      <c r="W459" s="135"/>
      <c r="X459" s="135"/>
      <c r="Y459" s="135"/>
      <c r="Z459" s="135"/>
      <c r="AA459" s="135"/>
      <c r="AB459" s="135"/>
      <c r="AC459" s="135"/>
      <c r="AD459" s="133"/>
      <c r="AE459" s="133"/>
      <c r="AF459" s="132" t="str">
        <f t="shared" si="57"/>
        <v>Нет инфо</v>
      </c>
      <c r="AG459" s="132" t="str">
        <f t="shared" si="58"/>
        <v>Нет инфо</v>
      </c>
      <c r="AH459" s="2"/>
      <c r="AI459" s="136"/>
      <c r="AJ459" s="2"/>
      <c r="AK459" s="136"/>
      <c r="AL459" s="136"/>
      <c r="AM459" s="2"/>
      <c r="AN459" s="2"/>
      <c r="AO459" s="2"/>
      <c r="AP459" s="2"/>
      <c r="AQ459" s="136"/>
    </row>
    <row r="460" spans="1:43" s="115" customFormat="1" ht="12.75" hidden="1" customHeight="1" x14ac:dyDescent="0.2">
      <c r="A460" s="2">
        <v>2489</v>
      </c>
      <c r="B460" s="2"/>
      <c r="C460" s="131"/>
      <c r="D460" s="131"/>
      <c r="E460" s="131"/>
      <c r="F460" s="2"/>
      <c r="G460" s="2"/>
      <c r="H460" s="132">
        <v>0</v>
      </c>
      <c r="I460" s="132"/>
      <c r="J460" s="132"/>
      <c r="K460" s="132"/>
      <c r="L460" s="132">
        <f t="shared" si="59"/>
        <v>0</v>
      </c>
      <c r="M460" s="132">
        <f t="shared" si="60"/>
        <v>0</v>
      </c>
      <c r="N460" s="133"/>
      <c r="O460" s="133">
        <f t="shared" si="61"/>
        <v>0</v>
      </c>
      <c r="P460" s="134"/>
      <c r="Q460" s="133"/>
      <c r="R460" s="133"/>
      <c r="S460" s="153">
        <v>0</v>
      </c>
      <c r="T460" s="153">
        <v>0</v>
      </c>
      <c r="U460" s="153">
        <v>0</v>
      </c>
      <c r="V460" s="135"/>
      <c r="W460" s="135"/>
      <c r="X460" s="135"/>
      <c r="Y460" s="135"/>
      <c r="Z460" s="135"/>
      <c r="AA460" s="135"/>
      <c r="AB460" s="135"/>
      <c r="AC460" s="135"/>
      <c r="AD460" s="133"/>
      <c r="AE460" s="133"/>
      <c r="AF460" s="132" t="str">
        <f t="shared" si="57"/>
        <v>Нет инфо</v>
      </c>
      <c r="AG460" s="132" t="str">
        <f t="shared" si="58"/>
        <v>Нет инфо</v>
      </c>
      <c r="AH460" s="2"/>
      <c r="AI460" s="136"/>
      <c r="AJ460" s="2"/>
      <c r="AK460" s="136"/>
      <c r="AL460" s="136"/>
      <c r="AM460" s="2"/>
      <c r="AN460" s="2"/>
      <c r="AO460" s="2"/>
      <c r="AP460" s="2"/>
      <c r="AQ460" s="136"/>
    </row>
    <row r="461" spans="1:43" s="115" customFormat="1" ht="12.75" hidden="1" customHeight="1" x14ac:dyDescent="0.2">
      <c r="A461" s="2">
        <v>2490</v>
      </c>
      <c r="B461" s="2"/>
      <c r="C461" s="131"/>
      <c r="D461" s="131"/>
      <c r="E461" s="131"/>
      <c r="F461" s="2"/>
      <c r="G461" s="2"/>
      <c r="H461" s="132">
        <v>0</v>
      </c>
      <c r="I461" s="132"/>
      <c r="J461" s="132"/>
      <c r="K461" s="132"/>
      <c r="L461" s="132">
        <f t="shared" si="59"/>
        <v>0</v>
      </c>
      <c r="M461" s="132">
        <f t="shared" si="60"/>
        <v>0</v>
      </c>
      <c r="N461" s="133"/>
      <c r="O461" s="133">
        <f t="shared" si="61"/>
        <v>0</v>
      </c>
      <c r="P461" s="134"/>
      <c r="Q461" s="133"/>
      <c r="R461" s="133"/>
      <c r="S461" s="153">
        <v>0</v>
      </c>
      <c r="T461" s="153">
        <v>0</v>
      </c>
      <c r="U461" s="153">
        <v>0</v>
      </c>
      <c r="V461" s="135"/>
      <c r="W461" s="135"/>
      <c r="X461" s="135"/>
      <c r="Y461" s="135"/>
      <c r="Z461" s="135"/>
      <c r="AA461" s="135"/>
      <c r="AB461" s="135"/>
      <c r="AC461" s="135"/>
      <c r="AD461" s="133"/>
      <c r="AE461" s="133"/>
      <c r="AF461" s="132" t="str">
        <f t="shared" si="57"/>
        <v>Нет инфо</v>
      </c>
      <c r="AG461" s="132" t="str">
        <f t="shared" si="58"/>
        <v>Нет инфо</v>
      </c>
      <c r="AH461" s="2"/>
      <c r="AI461" s="136"/>
      <c r="AJ461" s="2"/>
      <c r="AK461" s="136"/>
      <c r="AL461" s="136"/>
      <c r="AM461" s="2"/>
      <c r="AN461" s="2"/>
      <c r="AO461" s="2"/>
      <c r="AP461" s="2"/>
      <c r="AQ461" s="136"/>
    </row>
    <row r="462" spans="1:43" s="115" customFormat="1" ht="12.75" hidden="1" customHeight="1" x14ac:dyDescent="0.2">
      <c r="A462" s="2">
        <v>2491</v>
      </c>
      <c r="B462" s="2"/>
      <c r="C462" s="131"/>
      <c r="D462" s="131"/>
      <c r="E462" s="131"/>
      <c r="F462" s="2"/>
      <c r="G462" s="2"/>
      <c r="H462" s="132">
        <v>0</v>
      </c>
      <c r="I462" s="132"/>
      <c r="J462" s="132"/>
      <c r="K462" s="132"/>
      <c r="L462" s="132">
        <f t="shared" si="59"/>
        <v>0</v>
      </c>
      <c r="M462" s="132">
        <f t="shared" si="60"/>
        <v>0</v>
      </c>
      <c r="N462" s="133"/>
      <c r="O462" s="133">
        <f t="shared" si="61"/>
        <v>0</v>
      </c>
      <c r="P462" s="134"/>
      <c r="Q462" s="133"/>
      <c r="R462" s="133"/>
      <c r="S462" s="153">
        <v>0</v>
      </c>
      <c r="T462" s="153">
        <v>0</v>
      </c>
      <c r="U462" s="153">
        <v>0</v>
      </c>
      <c r="V462" s="135"/>
      <c r="W462" s="135"/>
      <c r="X462" s="135"/>
      <c r="Y462" s="135"/>
      <c r="Z462" s="135"/>
      <c r="AA462" s="135"/>
      <c r="AB462" s="135"/>
      <c r="AC462" s="135"/>
      <c r="AD462" s="133"/>
      <c r="AE462" s="133"/>
      <c r="AF462" s="132" t="str">
        <f t="shared" si="57"/>
        <v>Нет инфо</v>
      </c>
      <c r="AG462" s="132" t="str">
        <f t="shared" si="58"/>
        <v>Нет инфо</v>
      </c>
      <c r="AH462" s="2"/>
      <c r="AI462" s="136"/>
      <c r="AJ462" s="2"/>
      <c r="AK462" s="136"/>
      <c r="AL462" s="136"/>
      <c r="AM462" s="2"/>
      <c r="AN462" s="2"/>
      <c r="AO462" s="2"/>
      <c r="AP462" s="2"/>
      <c r="AQ462" s="136"/>
    </row>
    <row r="463" spans="1:43" s="115" customFormat="1" ht="12.75" hidden="1" customHeight="1" x14ac:dyDescent="0.2">
      <c r="A463" s="2">
        <v>2492</v>
      </c>
      <c r="B463" s="2"/>
      <c r="C463" s="131"/>
      <c r="D463" s="131"/>
      <c r="E463" s="131"/>
      <c r="F463" s="2"/>
      <c r="G463" s="2"/>
      <c r="H463" s="132">
        <v>0</v>
      </c>
      <c r="I463" s="132"/>
      <c r="J463" s="132"/>
      <c r="K463" s="132"/>
      <c r="L463" s="132">
        <f t="shared" si="59"/>
        <v>0</v>
      </c>
      <c r="M463" s="132">
        <f t="shared" si="60"/>
        <v>0</v>
      </c>
      <c r="N463" s="133"/>
      <c r="O463" s="133">
        <f t="shared" si="61"/>
        <v>0</v>
      </c>
      <c r="P463" s="134"/>
      <c r="Q463" s="133"/>
      <c r="R463" s="133"/>
      <c r="S463" s="153">
        <v>0</v>
      </c>
      <c r="T463" s="153">
        <v>0</v>
      </c>
      <c r="U463" s="153">
        <v>0</v>
      </c>
      <c r="V463" s="135"/>
      <c r="W463" s="135"/>
      <c r="X463" s="135"/>
      <c r="Y463" s="135"/>
      <c r="Z463" s="135"/>
      <c r="AA463" s="135"/>
      <c r="AB463" s="135"/>
      <c r="AC463" s="135"/>
      <c r="AD463" s="133"/>
      <c r="AE463" s="133"/>
      <c r="AF463" s="132" t="str">
        <f t="shared" si="57"/>
        <v>Нет инфо</v>
      </c>
      <c r="AG463" s="132" t="str">
        <f t="shared" si="58"/>
        <v>Нет инфо</v>
      </c>
      <c r="AH463" s="2"/>
      <c r="AI463" s="136"/>
      <c r="AJ463" s="2"/>
      <c r="AK463" s="136"/>
      <c r="AL463" s="136"/>
      <c r="AM463" s="2"/>
      <c r="AN463" s="2"/>
      <c r="AO463" s="2"/>
      <c r="AP463" s="2"/>
      <c r="AQ463" s="136"/>
    </row>
    <row r="464" spans="1:43" s="115" customFormat="1" ht="12.75" hidden="1" customHeight="1" x14ac:dyDescent="0.2">
      <c r="A464" s="2">
        <v>2493</v>
      </c>
      <c r="B464" s="2"/>
      <c r="C464" s="131"/>
      <c r="D464" s="131"/>
      <c r="E464" s="131"/>
      <c r="F464" s="2"/>
      <c r="G464" s="2"/>
      <c r="H464" s="132">
        <v>0</v>
      </c>
      <c r="I464" s="132"/>
      <c r="J464" s="132"/>
      <c r="K464" s="132"/>
      <c r="L464" s="132">
        <f t="shared" si="59"/>
        <v>0</v>
      </c>
      <c r="M464" s="132">
        <f t="shared" si="60"/>
        <v>0</v>
      </c>
      <c r="N464" s="133"/>
      <c r="O464" s="133">
        <f t="shared" si="61"/>
        <v>0</v>
      </c>
      <c r="P464" s="134"/>
      <c r="Q464" s="133"/>
      <c r="R464" s="133"/>
      <c r="S464" s="153">
        <v>0</v>
      </c>
      <c r="T464" s="153">
        <v>0</v>
      </c>
      <c r="U464" s="153">
        <v>0</v>
      </c>
      <c r="V464" s="135"/>
      <c r="W464" s="135"/>
      <c r="X464" s="135"/>
      <c r="Y464" s="135"/>
      <c r="Z464" s="135"/>
      <c r="AA464" s="135"/>
      <c r="AB464" s="135"/>
      <c r="AC464" s="135"/>
      <c r="AD464" s="133"/>
      <c r="AE464" s="133"/>
      <c r="AF464" s="132" t="str">
        <f t="shared" si="57"/>
        <v>Нет инфо</v>
      </c>
      <c r="AG464" s="132" t="str">
        <f t="shared" si="58"/>
        <v>Нет инфо</v>
      </c>
      <c r="AH464" s="2"/>
      <c r="AI464" s="136"/>
      <c r="AJ464" s="2"/>
      <c r="AK464" s="136"/>
      <c r="AL464" s="136"/>
      <c r="AM464" s="2"/>
      <c r="AN464" s="2"/>
      <c r="AO464" s="2"/>
      <c r="AP464" s="2"/>
      <c r="AQ464" s="136"/>
    </row>
    <row r="465" spans="1:43" s="115" customFormat="1" ht="12.75" hidden="1" customHeight="1" x14ac:dyDescent="0.2">
      <c r="A465" s="2">
        <v>2494</v>
      </c>
      <c r="B465" s="2"/>
      <c r="C465" s="131"/>
      <c r="D465" s="131"/>
      <c r="E465" s="131"/>
      <c r="F465" s="2"/>
      <c r="G465" s="2"/>
      <c r="H465" s="132">
        <v>0</v>
      </c>
      <c r="I465" s="132"/>
      <c r="J465" s="132"/>
      <c r="K465" s="132"/>
      <c r="L465" s="132">
        <f t="shared" si="59"/>
        <v>0</v>
      </c>
      <c r="M465" s="132">
        <f t="shared" si="60"/>
        <v>0</v>
      </c>
      <c r="N465" s="133"/>
      <c r="O465" s="133">
        <f t="shared" si="61"/>
        <v>0</v>
      </c>
      <c r="P465" s="134"/>
      <c r="Q465" s="133"/>
      <c r="R465" s="133"/>
      <c r="S465" s="153">
        <v>0</v>
      </c>
      <c r="T465" s="153">
        <v>0</v>
      </c>
      <c r="U465" s="153">
        <v>0</v>
      </c>
      <c r="V465" s="135"/>
      <c r="W465" s="135"/>
      <c r="X465" s="135"/>
      <c r="Y465" s="135"/>
      <c r="Z465" s="135"/>
      <c r="AA465" s="135"/>
      <c r="AB465" s="135"/>
      <c r="AC465" s="135"/>
      <c r="AD465" s="133"/>
      <c r="AE465" s="133"/>
      <c r="AF465" s="132" t="str">
        <f t="shared" si="57"/>
        <v>Нет инфо</v>
      </c>
      <c r="AG465" s="132" t="str">
        <f t="shared" si="58"/>
        <v>Нет инфо</v>
      </c>
      <c r="AH465" s="2"/>
      <c r="AI465" s="136"/>
      <c r="AJ465" s="2"/>
      <c r="AK465" s="136"/>
      <c r="AL465" s="136"/>
      <c r="AM465" s="2"/>
      <c r="AN465" s="2"/>
      <c r="AO465" s="2"/>
      <c r="AP465" s="2"/>
      <c r="AQ465" s="136"/>
    </row>
    <row r="466" spans="1:43" s="115" customFormat="1" ht="12.75" hidden="1" customHeight="1" x14ac:dyDescent="0.2">
      <c r="A466" s="2">
        <v>2495</v>
      </c>
      <c r="B466" s="2"/>
      <c r="C466" s="131"/>
      <c r="D466" s="131"/>
      <c r="E466" s="131"/>
      <c r="F466" s="2"/>
      <c r="G466" s="2"/>
      <c r="H466" s="132">
        <v>0</v>
      </c>
      <c r="I466" s="132"/>
      <c r="J466" s="132"/>
      <c r="K466" s="132"/>
      <c r="L466" s="132">
        <f t="shared" si="59"/>
        <v>0</v>
      </c>
      <c r="M466" s="132">
        <f t="shared" si="60"/>
        <v>0</v>
      </c>
      <c r="N466" s="133"/>
      <c r="O466" s="133">
        <f t="shared" si="61"/>
        <v>0</v>
      </c>
      <c r="P466" s="134"/>
      <c r="Q466" s="133"/>
      <c r="R466" s="133"/>
      <c r="S466" s="153">
        <v>0</v>
      </c>
      <c r="T466" s="153">
        <v>0</v>
      </c>
      <c r="U466" s="153">
        <v>0</v>
      </c>
      <c r="V466" s="135"/>
      <c r="W466" s="135"/>
      <c r="X466" s="135"/>
      <c r="Y466" s="135"/>
      <c r="Z466" s="135"/>
      <c r="AA466" s="135"/>
      <c r="AB466" s="135"/>
      <c r="AC466" s="135"/>
      <c r="AD466" s="133"/>
      <c r="AE466" s="133"/>
      <c r="AF466" s="132" t="str">
        <f t="shared" si="57"/>
        <v>Нет инфо</v>
      </c>
      <c r="AG466" s="132" t="str">
        <f t="shared" si="58"/>
        <v>Нет инфо</v>
      </c>
      <c r="AH466" s="2"/>
      <c r="AI466" s="136"/>
      <c r="AJ466" s="2"/>
      <c r="AK466" s="136"/>
      <c r="AL466" s="136"/>
      <c r="AM466" s="2"/>
      <c r="AN466" s="2"/>
      <c r="AO466" s="2"/>
      <c r="AP466" s="2"/>
      <c r="AQ466" s="136"/>
    </row>
    <row r="467" spans="1:43" s="115" customFormat="1" ht="12.75" hidden="1" customHeight="1" x14ac:dyDescent="0.2">
      <c r="A467" s="2">
        <v>2496</v>
      </c>
      <c r="B467" s="2"/>
      <c r="C467" s="131"/>
      <c r="D467" s="131"/>
      <c r="E467" s="131"/>
      <c r="F467" s="2"/>
      <c r="G467" s="2"/>
      <c r="H467" s="132">
        <v>0</v>
      </c>
      <c r="I467" s="132"/>
      <c r="J467" s="132"/>
      <c r="K467" s="132"/>
      <c r="L467" s="132">
        <f t="shared" si="59"/>
        <v>0</v>
      </c>
      <c r="M467" s="132">
        <f t="shared" si="60"/>
        <v>0</v>
      </c>
      <c r="N467" s="133"/>
      <c r="O467" s="133">
        <f t="shared" si="61"/>
        <v>0</v>
      </c>
      <c r="P467" s="134"/>
      <c r="Q467" s="133"/>
      <c r="R467" s="133"/>
      <c r="S467" s="153">
        <v>0</v>
      </c>
      <c r="T467" s="153">
        <v>0</v>
      </c>
      <c r="U467" s="153">
        <v>0</v>
      </c>
      <c r="V467" s="135"/>
      <c r="W467" s="135"/>
      <c r="X467" s="135"/>
      <c r="Y467" s="135"/>
      <c r="Z467" s="135"/>
      <c r="AA467" s="135"/>
      <c r="AB467" s="135"/>
      <c r="AC467" s="135"/>
      <c r="AD467" s="133"/>
      <c r="AE467" s="133"/>
      <c r="AF467" s="132" t="str">
        <f t="shared" si="57"/>
        <v>Нет инфо</v>
      </c>
      <c r="AG467" s="132" t="str">
        <f t="shared" si="58"/>
        <v>Нет инфо</v>
      </c>
      <c r="AH467" s="2"/>
      <c r="AI467" s="136"/>
      <c r="AJ467" s="2"/>
      <c r="AK467" s="136"/>
      <c r="AL467" s="136"/>
      <c r="AM467" s="2"/>
      <c r="AN467" s="2"/>
      <c r="AO467" s="2"/>
      <c r="AP467" s="2"/>
      <c r="AQ467" s="136"/>
    </row>
    <row r="468" spans="1:43" s="115" customFormat="1" ht="12.75" hidden="1" customHeight="1" x14ac:dyDescent="0.2">
      <c r="A468" s="2">
        <v>2497</v>
      </c>
      <c r="B468" s="2"/>
      <c r="C468" s="131"/>
      <c r="D468" s="131"/>
      <c r="E468" s="131"/>
      <c r="F468" s="2"/>
      <c r="G468" s="2"/>
      <c r="H468" s="132">
        <v>0</v>
      </c>
      <c r="I468" s="132"/>
      <c r="J468" s="132"/>
      <c r="K468" s="132"/>
      <c r="L468" s="132">
        <f t="shared" si="59"/>
        <v>0</v>
      </c>
      <c r="M468" s="132">
        <f t="shared" si="60"/>
        <v>0</v>
      </c>
      <c r="N468" s="133"/>
      <c r="O468" s="133">
        <f t="shared" si="61"/>
        <v>0</v>
      </c>
      <c r="P468" s="134"/>
      <c r="Q468" s="133"/>
      <c r="R468" s="133"/>
      <c r="S468" s="153">
        <v>0</v>
      </c>
      <c r="T468" s="153">
        <v>0</v>
      </c>
      <c r="U468" s="153">
        <v>0</v>
      </c>
      <c r="V468" s="135"/>
      <c r="W468" s="135"/>
      <c r="X468" s="135"/>
      <c r="Y468" s="135"/>
      <c r="Z468" s="135"/>
      <c r="AA468" s="135"/>
      <c r="AB468" s="135"/>
      <c r="AC468" s="135"/>
      <c r="AD468" s="133"/>
      <c r="AE468" s="133"/>
      <c r="AF468" s="132" t="str">
        <f t="shared" si="57"/>
        <v>Нет инфо</v>
      </c>
      <c r="AG468" s="132" t="str">
        <f t="shared" si="58"/>
        <v>Нет инфо</v>
      </c>
      <c r="AH468" s="2"/>
      <c r="AI468" s="136"/>
      <c r="AJ468" s="2"/>
      <c r="AK468" s="136"/>
      <c r="AL468" s="136"/>
      <c r="AM468" s="2"/>
      <c r="AN468" s="2"/>
      <c r="AO468" s="2"/>
      <c r="AP468" s="2"/>
      <c r="AQ468" s="136"/>
    </row>
    <row r="469" spans="1:43" s="115" customFormat="1" ht="12.75" hidden="1" customHeight="1" x14ac:dyDescent="0.2">
      <c r="A469" s="2">
        <v>2498</v>
      </c>
      <c r="B469" s="2"/>
      <c r="C469" s="131"/>
      <c r="D469" s="131"/>
      <c r="E469" s="131"/>
      <c r="F469" s="2"/>
      <c r="G469" s="2"/>
      <c r="H469" s="132">
        <v>0</v>
      </c>
      <c r="I469" s="132"/>
      <c r="J469" s="132"/>
      <c r="K469" s="132"/>
      <c r="L469" s="132">
        <f t="shared" si="59"/>
        <v>0</v>
      </c>
      <c r="M469" s="132">
        <f t="shared" si="60"/>
        <v>0</v>
      </c>
      <c r="N469" s="133"/>
      <c r="O469" s="133">
        <f t="shared" si="61"/>
        <v>0</v>
      </c>
      <c r="P469" s="134"/>
      <c r="Q469" s="133"/>
      <c r="R469" s="133"/>
      <c r="S469" s="153">
        <v>0</v>
      </c>
      <c r="T469" s="153">
        <v>0</v>
      </c>
      <c r="U469" s="153">
        <v>0</v>
      </c>
      <c r="V469" s="135"/>
      <c r="W469" s="135"/>
      <c r="X469" s="135"/>
      <c r="Y469" s="135"/>
      <c r="Z469" s="135"/>
      <c r="AA469" s="135"/>
      <c r="AB469" s="135"/>
      <c r="AC469" s="135"/>
      <c r="AD469" s="133"/>
      <c r="AE469" s="133"/>
      <c r="AF469" s="132" t="str">
        <f t="shared" si="57"/>
        <v>Нет инфо</v>
      </c>
      <c r="AG469" s="132" t="str">
        <f t="shared" si="58"/>
        <v>Нет инфо</v>
      </c>
      <c r="AH469" s="2"/>
      <c r="AI469" s="136"/>
      <c r="AJ469" s="2"/>
      <c r="AK469" s="136"/>
      <c r="AL469" s="136"/>
      <c r="AM469" s="2"/>
      <c r="AN469" s="2"/>
      <c r="AO469" s="2"/>
      <c r="AP469" s="2"/>
      <c r="AQ469" s="136"/>
    </row>
    <row r="470" spans="1:43" s="115" customFormat="1" ht="12.75" hidden="1" customHeight="1" x14ac:dyDescent="0.2">
      <c r="A470" s="2">
        <v>2499</v>
      </c>
      <c r="B470" s="2"/>
      <c r="C470" s="131"/>
      <c r="D470" s="131"/>
      <c r="E470" s="131"/>
      <c r="F470" s="2"/>
      <c r="G470" s="2"/>
      <c r="H470" s="132">
        <v>0</v>
      </c>
      <c r="I470" s="132"/>
      <c r="J470" s="132"/>
      <c r="K470" s="132"/>
      <c r="L470" s="132">
        <f t="shared" si="59"/>
        <v>0</v>
      </c>
      <c r="M470" s="132">
        <f t="shared" si="60"/>
        <v>0</v>
      </c>
      <c r="N470" s="133"/>
      <c r="O470" s="133">
        <f t="shared" si="61"/>
        <v>0</v>
      </c>
      <c r="P470" s="134"/>
      <c r="Q470" s="133"/>
      <c r="R470" s="133"/>
      <c r="S470" s="153">
        <v>0</v>
      </c>
      <c r="T470" s="153">
        <v>0</v>
      </c>
      <c r="U470" s="153">
        <v>0</v>
      </c>
      <c r="V470" s="135"/>
      <c r="W470" s="135"/>
      <c r="X470" s="135"/>
      <c r="Y470" s="135"/>
      <c r="Z470" s="135"/>
      <c r="AA470" s="135"/>
      <c r="AB470" s="135"/>
      <c r="AC470" s="135"/>
      <c r="AD470" s="133"/>
      <c r="AE470" s="133"/>
      <c r="AF470" s="132" t="str">
        <f t="shared" si="57"/>
        <v>Нет инфо</v>
      </c>
      <c r="AG470" s="132" t="str">
        <f t="shared" si="58"/>
        <v>Нет инфо</v>
      </c>
      <c r="AH470" s="2"/>
      <c r="AI470" s="136"/>
      <c r="AJ470" s="2"/>
      <c r="AK470" s="136"/>
      <c r="AL470" s="136"/>
      <c r="AM470" s="2"/>
      <c r="AN470" s="2"/>
      <c r="AO470" s="2"/>
      <c r="AP470" s="2"/>
      <c r="AQ470" s="136"/>
    </row>
    <row r="471" spans="1:43" s="115" customFormat="1" ht="12.75" hidden="1" customHeight="1" x14ac:dyDescent="0.2">
      <c r="A471" s="2">
        <v>2500</v>
      </c>
      <c r="B471" s="2"/>
      <c r="C471" s="131"/>
      <c r="D471" s="131"/>
      <c r="E471" s="131"/>
      <c r="F471" s="2"/>
      <c r="G471" s="2"/>
      <c r="H471" s="132">
        <v>0</v>
      </c>
      <c r="I471" s="132"/>
      <c r="J471" s="132"/>
      <c r="K471" s="132"/>
      <c r="L471" s="132">
        <f t="shared" si="59"/>
        <v>0</v>
      </c>
      <c r="M471" s="132">
        <f t="shared" si="60"/>
        <v>0</v>
      </c>
      <c r="N471" s="133"/>
      <c r="O471" s="133">
        <f t="shared" si="61"/>
        <v>0</v>
      </c>
      <c r="P471" s="134"/>
      <c r="Q471" s="133"/>
      <c r="R471" s="133"/>
      <c r="S471" s="153">
        <v>0</v>
      </c>
      <c r="T471" s="153">
        <v>0</v>
      </c>
      <c r="U471" s="153">
        <v>0</v>
      </c>
      <c r="V471" s="135"/>
      <c r="W471" s="135"/>
      <c r="X471" s="135"/>
      <c r="Y471" s="135"/>
      <c r="Z471" s="135"/>
      <c r="AA471" s="135"/>
      <c r="AB471" s="135"/>
      <c r="AC471" s="135"/>
      <c r="AD471" s="133"/>
      <c r="AE471" s="133"/>
      <c r="AF471" s="132" t="str">
        <f t="shared" si="57"/>
        <v>Нет инфо</v>
      </c>
      <c r="AG471" s="132" t="str">
        <f t="shared" si="58"/>
        <v>Нет инфо</v>
      </c>
      <c r="AH471" s="2"/>
      <c r="AI471" s="136"/>
      <c r="AJ471" s="2"/>
      <c r="AK471" s="136"/>
      <c r="AL471" s="136"/>
      <c r="AM471" s="2"/>
      <c r="AN471" s="2"/>
      <c r="AO471" s="2"/>
      <c r="AP471" s="2"/>
      <c r="AQ471" s="136"/>
    </row>
    <row r="472" spans="1:43" s="115" customFormat="1" ht="12.75" hidden="1" customHeight="1" x14ac:dyDescent="0.2">
      <c r="A472" s="2">
        <v>2501</v>
      </c>
      <c r="B472" s="2"/>
      <c r="C472" s="131"/>
      <c r="D472" s="131"/>
      <c r="E472" s="131"/>
      <c r="F472" s="2"/>
      <c r="G472" s="2"/>
      <c r="H472" s="132">
        <v>0</v>
      </c>
      <c r="I472" s="132"/>
      <c r="J472" s="132"/>
      <c r="K472" s="132"/>
      <c r="L472" s="132">
        <f t="shared" si="59"/>
        <v>0</v>
      </c>
      <c r="M472" s="132">
        <f t="shared" si="60"/>
        <v>0</v>
      </c>
      <c r="N472" s="133"/>
      <c r="O472" s="133">
        <f t="shared" si="61"/>
        <v>0</v>
      </c>
      <c r="P472" s="134"/>
      <c r="Q472" s="133"/>
      <c r="R472" s="133"/>
      <c r="S472" s="153">
        <v>0</v>
      </c>
      <c r="T472" s="153">
        <v>0</v>
      </c>
      <c r="U472" s="153">
        <v>0</v>
      </c>
      <c r="V472" s="135"/>
      <c r="W472" s="135"/>
      <c r="X472" s="135"/>
      <c r="Y472" s="135"/>
      <c r="Z472" s="135"/>
      <c r="AA472" s="135"/>
      <c r="AB472" s="135"/>
      <c r="AC472" s="135"/>
      <c r="AD472" s="133"/>
      <c r="AE472" s="133"/>
      <c r="AF472" s="132" t="str">
        <f t="shared" si="57"/>
        <v>Нет инфо</v>
      </c>
      <c r="AG472" s="132" t="str">
        <f t="shared" si="58"/>
        <v>Нет инфо</v>
      </c>
      <c r="AH472" s="2"/>
      <c r="AI472" s="136"/>
      <c r="AJ472" s="2"/>
      <c r="AK472" s="136"/>
      <c r="AL472" s="136"/>
      <c r="AM472" s="2"/>
      <c r="AN472" s="2"/>
      <c r="AO472" s="2"/>
      <c r="AP472" s="2"/>
      <c r="AQ472" s="136"/>
    </row>
    <row r="473" spans="1:43" s="115" customFormat="1" ht="12.75" hidden="1" customHeight="1" x14ac:dyDescent="0.2">
      <c r="A473" s="2">
        <v>2502</v>
      </c>
      <c r="B473" s="2"/>
      <c r="C473" s="131"/>
      <c r="D473" s="131"/>
      <c r="E473" s="131"/>
      <c r="F473" s="2"/>
      <c r="G473" s="2"/>
      <c r="H473" s="132">
        <v>0</v>
      </c>
      <c r="I473" s="132"/>
      <c r="J473" s="132"/>
      <c r="K473" s="132"/>
      <c r="L473" s="132">
        <f t="shared" si="59"/>
        <v>0</v>
      </c>
      <c r="M473" s="132">
        <f t="shared" si="60"/>
        <v>0</v>
      </c>
      <c r="N473" s="133"/>
      <c r="O473" s="133">
        <f t="shared" si="61"/>
        <v>0</v>
      </c>
      <c r="P473" s="134"/>
      <c r="Q473" s="133"/>
      <c r="R473" s="133"/>
      <c r="S473" s="153">
        <v>0</v>
      </c>
      <c r="T473" s="153">
        <v>0</v>
      </c>
      <c r="U473" s="153">
        <v>0</v>
      </c>
      <c r="V473" s="135"/>
      <c r="W473" s="135"/>
      <c r="X473" s="135"/>
      <c r="Y473" s="135"/>
      <c r="Z473" s="135"/>
      <c r="AA473" s="135"/>
      <c r="AB473" s="135"/>
      <c r="AC473" s="135"/>
      <c r="AD473" s="133"/>
      <c r="AE473" s="133"/>
      <c r="AF473" s="132" t="str">
        <f t="shared" si="57"/>
        <v>Нет инфо</v>
      </c>
      <c r="AG473" s="132" t="str">
        <f t="shared" si="58"/>
        <v>Нет инфо</v>
      </c>
      <c r="AH473" s="2"/>
      <c r="AI473" s="136"/>
      <c r="AJ473" s="2"/>
      <c r="AK473" s="136"/>
      <c r="AL473" s="136"/>
      <c r="AM473" s="2"/>
      <c r="AN473" s="2"/>
      <c r="AO473" s="2"/>
      <c r="AP473" s="2"/>
      <c r="AQ473" s="136"/>
    </row>
    <row r="474" spans="1:43" s="115" customFormat="1" ht="12.75" hidden="1" customHeight="1" x14ac:dyDescent="0.2">
      <c r="A474" s="2">
        <v>2503</v>
      </c>
      <c r="B474" s="2"/>
      <c r="C474" s="131"/>
      <c r="D474" s="131"/>
      <c r="E474" s="131"/>
      <c r="F474" s="2"/>
      <c r="G474" s="2"/>
      <c r="H474" s="132">
        <v>0</v>
      </c>
      <c r="I474" s="132"/>
      <c r="J474" s="132"/>
      <c r="K474" s="132"/>
      <c r="L474" s="132">
        <f t="shared" si="59"/>
        <v>0</v>
      </c>
      <c r="M474" s="132">
        <f t="shared" si="60"/>
        <v>0</v>
      </c>
      <c r="N474" s="133"/>
      <c r="O474" s="133">
        <f t="shared" si="61"/>
        <v>0</v>
      </c>
      <c r="P474" s="134"/>
      <c r="Q474" s="133"/>
      <c r="R474" s="133"/>
      <c r="S474" s="153">
        <v>0</v>
      </c>
      <c r="T474" s="153">
        <v>0</v>
      </c>
      <c r="U474" s="153">
        <v>0</v>
      </c>
      <c r="V474" s="135"/>
      <c r="W474" s="135"/>
      <c r="X474" s="135"/>
      <c r="Y474" s="135"/>
      <c r="Z474" s="135"/>
      <c r="AA474" s="135"/>
      <c r="AB474" s="135"/>
      <c r="AC474" s="135"/>
      <c r="AD474" s="133"/>
      <c r="AE474" s="133"/>
      <c r="AF474" s="132" t="str">
        <f t="shared" si="57"/>
        <v>Нет инфо</v>
      </c>
      <c r="AG474" s="132" t="str">
        <f t="shared" si="58"/>
        <v>Нет инфо</v>
      </c>
      <c r="AH474" s="2"/>
      <c r="AI474" s="136"/>
      <c r="AJ474" s="2"/>
      <c r="AK474" s="136"/>
      <c r="AL474" s="136"/>
      <c r="AM474" s="2"/>
      <c r="AN474" s="2"/>
      <c r="AO474" s="2"/>
      <c r="AP474" s="2"/>
      <c r="AQ474" s="136"/>
    </row>
    <row r="475" spans="1:43" s="115" customFormat="1" ht="12.75" hidden="1" customHeight="1" x14ac:dyDescent="0.2">
      <c r="A475" s="2">
        <v>2504</v>
      </c>
      <c r="B475" s="2"/>
      <c r="C475" s="131"/>
      <c r="D475" s="131"/>
      <c r="E475" s="131"/>
      <c r="F475" s="2"/>
      <c r="G475" s="2"/>
      <c r="H475" s="132">
        <v>0</v>
      </c>
      <c r="I475" s="132"/>
      <c r="J475" s="132"/>
      <c r="K475" s="132"/>
      <c r="L475" s="132">
        <f t="shared" si="59"/>
        <v>0</v>
      </c>
      <c r="M475" s="132">
        <f t="shared" si="60"/>
        <v>0</v>
      </c>
      <c r="N475" s="133"/>
      <c r="O475" s="133">
        <f t="shared" si="61"/>
        <v>0</v>
      </c>
      <c r="P475" s="134"/>
      <c r="Q475" s="133"/>
      <c r="R475" s="133"/>
      <c r="S475" s="153">
        <v>0</v>
      </c>
      <c r="T475" s="153">
        <v>0</v>
      </c>
      <c r="U475" s="153">
        <v>0</v>
      </c>
      <c r="V475" s="135"/>
      <c r="W475" s="135"/>
      <c r="X475" s="135"/>
      <c r="Y475" s="135"/>
      <c r="Z475" s="135"/>
      <c r="AA475" s="135"/>
      <c r="AB475" s="135"/>
      <c r="AC475" s="135"/>
      <c r="AD475" s="133"/>
      <c r="AE475" s="133"/>
      <c r="AF475" s="132" t="str">
        <f t="shared" si="57"/>
        <v>Нет инфо</v>
      </c>
      <c r="AG475" s="132" t="str">
        <f t="shared" si="58"/>
        <v>Нет инфо</v>
      </c>
      <c r="AH475" s="2"/>
      <c r="AI475" s="136"/>
      <c r="AJ475" s="2"/>
      <c r="AK475" s="136"/>
      <c r="AL475" s="136"/>
      <c r="AM475" s="2"/>
      <c r="AN475" s="2"/>
      <c r="AO475" s="2"/>
      <c r="AP475" s="2"/>
      <c r="AQ475" s="136"/>
    </row>
    <row r="476" spans="1:43" s="115" customFormat="1" ht="12.75" hidden="1" customHeight="1" x14ac:dyDescent="0.2">
      <c r="A476" s="2">
        <v>2505</v>
      </c>
      <c r="B476" s="2"/>
      <c r="C476" s="131"/>
      <c r="D476" s="131"/>
      <c r="E476" s="131"/>
      <c r="F476" s="2"/>
      <c r="G476" s="2"/>
      <c r="H476" s="132">
        <v>0</v>
      </c>
      <c r="I476" s="132"/>
      <c r="J476" s="132"/>
      <c r="K476" s="132"/>
      <c r="L476" s="132">
        <f t="shared" si="59"/>
        <v>0</v>
      </c>
      <c r="M476" s="132">
        <f t="shared" si="60"/>
        <v>0</v>
      </c>
      <c r="N476" s="133"/>
      <c r="O476" s="133">
        <f t="shared" si="61"/>
        <v>0</v>
      </c>
      <c r="P476" s="134"/>
      <c r="Q476" s="133"/>
      <c r="R476" s="133"/>
      <c r="S476" s="153">
        <v>0</v>
      </c>
      <c r="T476" s="153">
        <v>0</v>
      </c>
      <c r="U476" s="153">
        <v>0</v>
      </c>
      <c r="V476" s="135"/>
      <c r="W476" s="135"/>
      <c r="X476" s="135"/>
      <c r="Y476" s="135"/>
      <c r="Z476" s="135"/>
      <c r="AA476" s="135"/>
      <c r="AB476" s="135"/>
      <c r="AC476" s="135"/>
      <c r="AD476" s="133"/>
      <c r="AE476" s="133"/>
      <c r="AF476" s="132" t="str">
        <f t="shared" si="57"/>
        <v>Нет инфо</v>
      </c>
      <c r="AG476" s="132" t="str">
        <f t="shared" si="58"/>
        <v>Нет инфо</v>
      </c>
      <c r="AH476" s="2"/>
      <c r="AI476" s="136"/>
      <c r="AJ476" s="2"/>
      <c r="AK476" s="136"/>
      <c r="AL476" s="136"/>
      <c r="AM476" s="2"/>
      <c r="AN476" s="2"/>
      <c r="AO476" s="2"/>
      <c r="AP476" s="2"/>
      <c r="AQ476" s="136"/>
    </row>
    <row r="477" spans="1:43" s="115" customFormat="1" ht="12.75" hidden="1" customHeight="1" x14ac:dyDescent="0.2">
      <c r="A477" s="2">
        <v>2506</v>
      </c>
      <c r="B477" s="2"/>
      <c r="C477" s="131"/>
      <c r="D477" s="131"/>
      <c r="E477" s="131"/>
      <c r="F477" s="2"/>
      <c r="G477" s="2"/>
      <c r="H477" s="132">
        <v>0</v>
      </c>
      <c r="I477" s="132"/>
      <c r="J477" s="132"/>
      <c r="K477" s="132"/>
      <c r="L477" s="132">
        <f t="shared" si="59"/>
        <v>0</v>
      </c>
      <c r="M477" s="132">
        <f t="shared" si="60"/>
        <v>0</v>
      </c>
      <c r="N477" s="133"/>
      <c r="O477" s="133">
        <f t="shared" si="61"/>
        <v>0</v>
      </c>
      <c r="P477" s="134"/>
      <c r="Q477" s="133"/>
      <c r="R477" s="133"/>
      <c r="S477" s="153">
        <v>0</v>
      </c>
      <c r="T477" s="153">
        <v>0</v>
      </c>
      <c r="U477" s="153">
        <v>0</v>
      </c>
      <c r="V477" s="135"/>
      <c r="W477" s="135"/>
      <c r="X477" s="135"/>
      <c r="Y477" s="135"/>
      <c r="Z477" s="135"/>
      <c r="AA477" s="135"/>
      <c r="AB477" s="135"/>
      <c r="AC477" s="135"/>
      <c r="AD477" s="133"/>
      <c r="AE477" s="133"/>
      <c r="AF477" s="132" t="str">
        <f t="shared" si="57"/>
        <v>Нет инфо</v>
      </c>
      <c r="AG477" s="132" t="str">
        <f t="shared" si="58"/>
        <v>Нет инфо</v>
      </c>
      <c r="AH477" s="2"/>
      <c r="AI477" s="136"/>
      <c r="AJ477" s="2"/>
      <c r="AK477" s="136"/>
      <c r="AL477" s="136"/>
      <c r="AM477" s="2"/>
      <c r="AN477" s="2"/>
      <c r="AO477" s="2"/>
      <c r="AP477" s="2"/>
      <c r="AQ477" s="136"/>
    </row>
    <row r="478" spans="1:43" s="115" customFormat="1" ht="12.75" hidden="1" customHeight="1" x14ac:dyDescent="0.2">
      <c r="A478" s="2">
        <v>2507</v>
      </c>
      <c r="B478" s="2"/>
      <c r="C478" s="131"/>
      <c r="D478" s="131"/>
      <c r="E478" s="131"/>
      <c r="F478" s="2"/>
      <c r="G478" s="2"/>
      <c r="H478" s="132">
        <v>0</v>
      </c>
      <c r="I478" s="132"/>
      <c r="J478" s="132"/>
      <c r="K478" s="132"/>
      <c r="L478" s="132">
        <f t="shared" si="59"/>
        <v>0</v>
      </c>
      <c r="M478" s="132">
        <f t="shared" si="60"/>
        <v>0</v>
      </c>
      <c r="N478" s="133"/>
      <c r="O478" s="133">
        <f t="shared" si="61"/>
        <v>0</v>
      </c>
      <c r="P478" s="134"/>
      <c r="Q478" s="133"/>
      <c r="R478" s="133"/>
      <c r="S478" s="153">
        <v>0</v>
      </c>
      <c r="T478" s="153">
        <v>0</v>
      </c>
      <c r="U478" s="153">
        <v>0</v>
      </c>
      <c r="V478" s="135"/>
      <c r="W478" s="135"/>
      <c r="X478" s="135"/>
      <c r="Y478" s="135"/>
      <c r="Z478" s="135"/>
      <c r="AA478" s="135"/>
      <c r="AB478" s="135"/>
      <c r="AC478" s="135"/>
      <c r="AD478" s="133"/>
      <c r="AE478" s="133"/>
      <c r="AF478" s="132" t="str">
        <f t="shared" si="57"/>
        <v>Нет инфо</v>
      </c>
      <c r="AG478" s="132" t="str">
        <f t="shared" si="58"/>
        <v>Нет инфо</v>
      </c>
      <c r="AH478" s="2"/>
      <c r="AI478" s="136"/>
      <c r="AJ478" s="2"/>
      <c r="AK478" s="136"/>
      <c r="AL478" s="136"/>
      <c r="AM478" s="2"/>
      <c r="AN478" s="2"/>
      <c r="AO478" s="2"/>
      <c r="AP478" s="2"/>
      <c r="AQ478" s="136"/>
    </row>
    <row r="479" spans="1:43" s="115" customFormat="1" ht="12.75" hidden="1" customHeight="1" x14ac:dyDescent="0.2">
      <c r="A479" s="2">
        <v>2508</v>
      </c>
      <c r="B479" s="2"/>
      <c r="C479" s="131"/>
      <c r="D479" s="131"/>
      <c r="E479" s="131"/>
      <c r="F479" s="2"/>
      <c r="G479" s="2"/>
      <c r="H479" s="132">
        <v>0</v>
      </c>
      <c r="I479" s="132"/>
      <c r="J479" s="132"/>
      <c r="K479" s="132"/>
      <c r="L479" s="132">
        <f t="shared" si="59"/>
        <v>0</v>
      </c>
      <c r="M479" s="132">
        <f t="shared" si="60"/>
        <v>0</v>
      </c>
      <c r="N479" s="133"/>
      <c r="O479" s="133">
        <f t="shared" si="61"/>
        <v>0</v>
      </c>
      <c r="P479" s="134"/>
      <c r="Q479" s="133"/>
      <c r="R479" s="133"/>
      <c r="S479" s="153">
        <v>0</v>
      </c>
      <c r="T479" s="153">
        <v>0</v>
      </c>
      <c r="U479" s="153">
        <v>0</v>
      </c>
      <c r="V479" s="135"/>
      <c r="W479" s="135"/>
      <c r="X479" s="135"/>
      <c r="Y479" s="135"/>
      <c r="Z479" s="135"/>
      <c r="AA479" s="135"/>
      <c r="AB479" s="135"/>
      <c r="AC479" s="135"/>
      <c r="AD479" s="133"/>
      <c r="AE479" s="133"/>
      <c r="AF479" s="132" t="str">
        <f t="shared" si="57"/>
        <v>Нет инфо</v>
      </c>
      <c r="AG479" s="132" t="str">
        <f t="shared" si="58"/>
        <v>Нет инфо</v>
      </c>
      <c r="AH479" s="2"/>
      <c r="AI479" s="136"/>
      <c r="AJ479" s="2"/>
      <c r="AK479" s="136"/>
      <c r="AL479" s="136"/>
      <c r="AM479" s="2"/>
      <c r="AN479" s="2"/>
      <c r="AO479" s="2"/>
      <c r="AP479" s="2"/>
      <c r="AQ479" s="136"/>
    </row>
    <row r="480" spans="1:43" s="115" customFormat="1" ht="12.75" hidden="1" customHeight="1" x14ac:dyDescent="0.2">
      <c r="A480" s="2">
        <v>2509</v>
      </c>
      <c r="B480" s="2"/>
      <c r="C480" s="131"/>
      <c r="D480" s="131"/>
      <c r="E480" s="131"/>
      <c r="F480" s="2"/>
      <c r="G480" s="2"/>
      <c r="H480" s="132">
        <v>0</v>
      </c>
      <c r="I480" s="132"/>
      <c r="J480" s="132"/>
      <c r="K480" s="132"/>
      <c r="L480" s="132">
        <f t="shared" si="59"/>
        <v>0</v>
      </c>
      <c r="M480" s="132">
        <f t="shared" si="60"/>
        <v>0</v>
      </c>
      <c r="N480" s="133"/>
      <c r="O480" s="133">
        <f t="shared" si="61"/>
        <v>0</v>
      </c>
      <c r="P480" s="134"/>
      <c r="Q480" s="133"/>
      <c r="R480" s="133"/>
      <c r="S480" s="153">
        <v>0</v>
      </c>
      <c r="T480" s="153">
        <v>0</v>
      </c>
      <c r="U480" s="153">
        <v>0</v>
      </c>
      <c r="V480" s="135"/>
      <c r="W480" s="135"/>
      <c r="X480" s="135"/>
      <c r="Y480" s="135"/>
      <c r="Z480" s="135"/>
      <c r="AA480" s="135"/>
      <c r="AB480" s="135"/>
      <c r="AC480" s="135"/>
      <c r="AD480" s="133"/>
      <c r="AE480" s="133"/>
      <c r="AF480" s="132" t="str">
        <f t="shared" si="57"/>
        <v>Нет инфо</v>
      </c>
      <c r="AG480" s="132" t="str">
        <f t="shared" si="58"/>
        <v>Нет инфо</v>
      </c>
      <c r="AH480" s="2"/>
      <c r="AI480" s="136"/>
      <c r="AJ480" s="2"/>
      <c r="AK480" s="136"/>
      <c r="AL480" s="136"/>
      <c r="AM480" s="2"/>
      <c r="AN480" s="2"/>
      <c r="AO480" s="2"/>
      <c r="AP480" s="2"/>
      <c r="AQ480" s="136"/>
    </row>
    <row r="481" spans="1:43" s="115" customFormat="1" ht="12.75" hidden="1" customHeight="1" x14ac:dyDescent="0.2">
      <c r="A481" s="2">
        <v>2510</v>
      </c>
      <c r="B481" s="2"/>
      <c r="C481" s="131"/>
      <c r="D481" s="131"/>
      <c r="E481" s="131"/>
      <c r="F481" s="2"/>
      <c r="G481" s="2"/>
      <c r="H481" s="132">
        <v>0</v>
      </c>
      <c r="I481" s="132"/>
      <c r="J481" s="132"/>
      <c r="K481" s="132"/>
      <c r="L481" s="132">
        <f t="shared" si="59"/>
        <v>0</v>
      </c>
      <c r="M481" s="132">
        <f t="shared" si="60"/>
        <v>0</v>
      </c>
      <c r="N481" s="133"/>
      <c r="O481" s="133">
        <f t="shared" si="61"/>
        <v>0</v>
      </c>
      <c r="P481" s="134"/>
      <c r="Q481" s="133"/>
      <c r="R481" s="133"/>
      <c r="S481" s="153">
        <v>0</v>
      </c>
      <c r="T481" s="153">
        <v>0</v>
      </c>
      <c r="U481" s="153">
        <v>0</v>
      </c>
      <c r="V481" s="135"/>
      <c r="W481" s="135"/>
      <c r="X481" s="135"/>
      <c r="Y481" s="135"/>
      <c r="Z481" s="135"/>
      <c r="AA481" s="135"/>
      <c r="AB481" s="135"/>
      <c r="AC481" s="135"/>
      <c r="AD481" s="133"/>
      <c r="AE481" s="133"/>
      <c r="AF481" s="132" t="str">
        <f t="shared" si="57"/>
        <v>Нет инфо</v>
      </c>
      <c r="AG481" s="132" t="str">
        <f t="shared" si="58"/>
        <v>Нет инфо</v>
      </c>
      <c r="AH481" s="2"/>
      <c r="AI481" s="136"/>
      <c r="AJ481" s="2"/>
      <c r="AK481" s="136"/>
      <c r="AL481" s="136"/>
      <c r="AM481" s="2"/>
      <c r="AN481" s="2"/>
      <c r="AO481" s="2"/>
      <c r="AP481" s="2"/>
      <c r="AQ481" s="136"/>
    </row>
    <row r="482" spans="1:43" s="115" customFormat="1" ht="12.75" hidden="1" customHeight="1" x14ac:dyDescent="0.2">
      <c r="A482" s="2">
        <v>2511</v>
      </c>
      <c r="B482" s="2"/>
      <c r="C482" s="131"/>
      <c r="D482" s="131"/>
      <c r="E482" s="131"/>
      <c r="F482" s="2"/>
      <c r="G482" s="2"/>
      <c r="H482" s="132">
        <v>0</v>
      </c>
      <c r="I482" s="132"/>
      <c r="J482" s="132"/>
      <c r="K482" s="132"/>
      <c r="L482" s="132">
        <f t="shared" si="59"/>
        <v>0</v>
      </c>
      <c r="M482" s="132">
        <f t="shared" si="60"/>
        <v>0</v>
      </c>
      <c r="N482" s="133"/>
      <c r="O482" s="133">
        <f t="shared" si="61"/>
        <v>0</v>
      </c>
      <c r="P482" s="134"/>
      <c r="Q482" s="133"/>
      <c r="R482" s="133"/>
      <c r="S482" s="153">
        <v>0</v>
      </c>
      <c r="T482" s="153">
        <v>0</v>
      </c>
      <c r="U482" s="153">
        <v>0</v>
      </c>
      <c r="V482" s="135"/>
      <c r="W482" s="135"/>
      <c r="X482" s="135"/>
      <c r="Y482" s="135"/>
      <c r="Z482" s="135"/>
      <c r="AA482" s="135"/>
      <c r="AB482" s="135"/>
      <c r="AC482" s="135"/>
      <c r="AD482" s="133"/>
      <c r="AE482" s="133"/>
      <c r="AF482" s="132" t="str">
        <f t="shared" si="57"/>
        <v>Нет инфо</v>
      </c>
      <c r="AG482" s="132" t="str">
        <f t="shared" si="58"/>
        <v>Нет инфо</v>
      </c>
      <c r="AH482" s="2"/>
      <c r="AI482" s="136"/>
      <c r="AJ482" s="2"/>
      <c r="AK482" s="136"/>
      <c r="AL482" s="136"/>
      <c r="AM482" s="2"/>
      <c r="AN482" s="2"/>
      <c r="AO482" s="2"/>
      <c r="AP482" s="2"/>
      <c r="AQ482" s="136"/>
    </row>
    <row r="483" spans="1:43" s="115" customFormat="1" ht="12.75" hidden="1" customHeight="1" x14ac:dyDescent="0.2">
      <c r="A483" s="2">
        <v>2512</v>
      </c>
      <c r="B483" s="2"/>
      <c r="C483" s="131"/>
      <c r="D483" s="131"/>
      <c r="E483" s="131"/>
      <c r="F483" s="2"/>
      <c r="G483" s="2"/>
      <c r="H483" s="132">
        <v>0</v>
      </c>
      <c r="I483" s="132"/>
      <c r="J483" s="132"/>
      <c r="K483" s="132"/>
      <c r="L483" s="132">
        <f t="shared" si="59"/>
        <v>0</v>
      </c>
      <c r="M483" s="132">
        <f t="shared" si="60"/>
        <v>0</v>
      </c>
      <c r="N483" s="133"/>
      <c r="O483" s="133">
        <f t="shared" si="61"/>
        <v>0</v>
      </c>
      <c r="P483" s="134"/>
      <c r="Q483" s="133"/>
      <c r="R483" s="133"/>
      <c r="S483" s="153">
        <v>0</v>
      </c>
      <c r="T483" s="153">
        <v>0</v>
      </c>
      <c r="U483" s="153">
        <v>0</v>
      </c>
      <c r="V483" s="135"/>
      <c r="W483" s="135"/>
      <c r="X483" s="135"/>
      <c r="Y483" s="135"/>
      <c r="Z483" s="135"/>
      <c r="AA483" s="135"/>
      <c r="AB483" s="135"/>
      <c r="AC483" s="135"/>
      <c r="AD483" s="133"/>
      <c r="AE483" s="133"/>
      <c r="AF483" s="132" t="str">
        <f t="shared" si="57"/>
        <v>Нет инфо</v>
      </c>
      <c r="AG483" s="132" t="str">
        <f t="shared" si="58"/>
        <v>Нет инфо</v>
      </c>
      <c r="AH483" s="2"/>
      <c r="AI483" s="136"/>
      <c r="AJ483" s="2"/>
      <c r="AK483" s="136"/>
      <c r="AL483" s="136"/>
      <c r="AM483" s="2"/>
      <c r="AN483" s="2"/>
      <c r="AO483" s="2"/>
      <c r="AP483" s="2"/>
      <c r="AQ483" s="136"/>
    </row>
    <row r="484" spans="1:43" s="115" customFormat="1" ht="12.75" hidden="1" customHeight="1" x14ac:dyDescent="0.2">
      <c r="A484" s="2">
        <v>2513</v>
      </c>
      <c r="B484" s="2"/>
      <c r="C484" s="131"/>
      <c r="D484" s="131"/>
      <c r="E484" s="131"/>
      <c r="F484" s="2"/>
      <c r="G484" s="2"/>
      <c r="H484" s="132">
        <v>0</v>
      </c>
      <c r="I484" s="132"/>
      <c r="J484" s="132"/>
      <c r="K484" s="132"/>
      <c r="L484" s="132">
        <f t="shared" si="59"/>
        <v>0</v>
      </c>
      <c r="M484" s="132">
        <f t="shared" si="60"/>
        <v>0</v>
      </c>
      <c r="N484" s="133"/>
      <c r="O484" s="133">
        <f t="shared" si="61"/>
        <v>0</v>
      </c>
      <c r="P484" s="134"/>
      <c r="Q484" s="133"/>
      <c r="R484" s="133"/>
      <c r="S484" s="153">
        <v>0</v>
      </c>
      <c r="T484" s="153">
        <v>0</v>
      </c>
      <c r="U484" s="153">
        <v>0</v>
      </c>
      <c r="V484" s="135"/>
      <c r="W484" s="135"/>
      <c r="X484" s="135"/>
      <c r="Y484" s="135"/>
      <c r="Z484" s="135"/>
      <c r="AA484" s="135"/>
      <c r="AB484" s="135"/>
      <c r="AC484" s="135"/>
      <c r="AD484" s="133"/>
      <c r="AE484" s="133"/>
      <c r="AF484" s="132" t="str">
        <f t="shared" si="57"/>
        <v>Нет инфо</v>
      </c>
      <c r="AG484" s="132" t="str">
        <f t="shared" si="58"/>
        <v>Нет инфо</v>
      </c>
      <c r="AH484" s="2"/>
      <c r="AI484" s="136"/>
      <c r="AJ484" s="2"/>
      <c r="AK484" s="136"/>
      <c r="AL484" s="136"/>
      <c r="AM484" s="2"/>
      <c r="AN484" s="2"/>
      <c r="AO484" s="2"/>
      <c r="AP484" s="2"/>
      <c r="AQ484" s="136"/>
    </row>
    <row r="485" spans="1:43" s="115" customFormat="1" ht="12.75" hidden="1" customHeight="1" x14ac:dyDescent="0.2">
      <c r="A485" s="2">
        <v>2514</v>
      </c>
      <c r="B485" s="2"/>
      <c r="C485" s="131"/>
      <c r="D485" s="131"/>
      <c r="E485" s="131"/>
      <c r="F485" s="2"/>
      <c r="G485" s="2"/>
      <c r="H485" s="132">
        <v>0</v>
      </c>
      <c r="I485" s="132"/>
      <c r="J485" s="132"/>
      <c r="K485" s="132"/>
      <c r="L485" s="132">
        <f t="shared" si="59"/>
        <v>0</v>
      </c>
      <c r="M485" s="132">
        <f t="shared" si="60"/>
        <v>0</v>
      </c>
      <c r="N485" s="133"/>
      <c r="O485" s="133">
        <f t="shared" si="61"/>
        <v>0</v>
      </c>
      <c r="P485" s="134"/>
      <c r="Q485" s="133"/>
      <c r="R485" s="133"/>
      <c r="S485" s="153">
        <v>0</v>
      </c>
      <c r="T485" s="153">
        <v>0</v>
      </c>
      <c r="U485" s="153">
        <v>0</v>
      </c>
      <c r="V485" s="135"/>
      <c r="W485" s="135"/>
      <c r="X485" s="135"/>
      <c r="Y485" s="135"/>
      <c r="Z485" s="135"/>
      <c r="AA485" s="135"/>
      <c r="AB485" s="135"/>
      <c r="AC485" s="135"/>
      <c r="AD485" s="133"/>
      <c r="AE485" s="133"/>
      <c r="AF485" s="132" t="str">
        <f t="shared" ref="AF485:AF548" si="62">IF(OR(I485="",I485=0,N485="",N485=0),"Нет инфо",I485/N485)</f>
        <v>Нет инфо</v>
      </c>
      <c r="AG485" s="132" t="str">
        <f t="shared" ref="AG485:AG548" si="63">IF(OR(I485="",I485=0,R485="",R485=0),"Нет инфо",I485/R485)</f>
        <v>Нет инфо</v>
      </c>
      <c r="AH485" s="2"/>
      <c r="AI485" s="136"/>
      <c r="AJ485" s="2"/>
      <c r="AK485" s="136"/>
      <c r="AL485" s="136"/>
      <c r="AM485" s="2"/>
      <c r="AN485" s="2"/>
      <c r="AO485" s="2"/>
      <c r="AP485" s="2"/>
      <c r="AQ485" s="136"/>
    </row>
    <row r="486" spans="1:43" s="115" customFormat="1" ht="12.75" hidden="1" customHeight="1" x14ac:dyDescent="0.2">
      <c r="A486" s="2">
        <v>2515</v>
      </c>
      <c r="B486" s="2"/>
      <c r="C486" s="131"/>
      <c r="D486" s="131"/>
      <c r="E486" s="131"/>
      <c r="F486" s="2"/>
      <c r="G486" s="2"/>
      <c r="H486" s="132">
        <v>0</v>
      </c>
      <c r="I486" s="132"/>
      <c r="J486" s="132"/>
      <c r="K486" s="132"/>
      <c r="L486" s="132">
        <f t="shared" si="59"/>
        <v>0</v>
      </c>
      <c r="M486" s="132">
        <f t="shared" si="60"/>
        <v>0</v>
      </c>
      <c r="N486" s="133"/>
      <c r="O486" s="133">
        <f t="shared" si="61"/>
        <v>0</v>
      </c>
      <c r="P486" s="134"/>
      <c r="Q486" s="133"/>
      <c r="R486" s="133"/>
      <c r="S486" s="153">
        <v>0</v>
      </c>
      <c r="T486" s="153">
        <v>0</v>
      </c>
      <c r="U486" s="153">
        <v>0</v>
      </c>
      <c r="V486" s="135"/>
      <c r="W486" s="135"/>
      <c r="X486" s="135"/>
      <c r="Y486" s="135"/>
      <c r="Z486" s="135"/>
      <c r="AA486" s="135"/>
      <c r="AB486" s="135"/>
      <c r="AC486" s="135"/>
      <c r="AD486" s="133"/>
      <c r="AE486" s="133"/>
      <c r="AF486" s="132" t="str">
        <f t="shared" si="62"/>
        <v>Нет инфо</v>
      </c>
      <c r="AG486" s="132" t="str">
        <f t="shared" si="63"/>
        <v>Нет инфо</v>
      </c>
      <c r="AH486" s="2"/>
      <c r="AI486" s="136"/>
      <c r="AJ486" s="2"/>
      <c r="AK486" s="136"/>
      <c r="AL486" s="136"/>
      <c r="AM486" s="2"/>
      <c r="AN486" s="2"/>
      <c r="AO486" s="2"/>
      <c r="AP486" s="2"/>
      <c r="AQ486" s="136"/>
    </row>
    <row r="487" spans="1:43" s="115" customFormat="1" ht="12.75" hidden="1" customHeight="1" x14ac:dyDescent="0.2">
      <c r="A487" s="2">
        <v>2516</v>
      </c>
      <c r="B487" s="2"/>
      <c r="C487" s="131"/>
      <c r="D487" s="131"/>
      <c r="E487" s="131"/>
      <c r="F487" s="2"/>
      <c r="G487" s="2"/>
      <c r="H487" s="132">
        <v>0</v>
      </c>
      <c r="I487" s="132"/>
      <c r="J487" s="132"/>
      <c r="K487" s="132"/>
      <c r="L487" s="132">
        <f t="shared" si="59"/>
        <v>0</v>
      </c>
      <c r="M487" s="132">
        <f t="shared" si="60"/>
        <v>0</v>
      </c>
      <c r="N487" s="133"/>
      <c r="O487" s="133">
        <f t="shared" si="61"/>
        <v>0</v>
      </c>
      <c r="P487" s="134"/>
      <c r="Q487" s="133"/>
      <c r="R487" s="133"/>
      <c r="S487" s="153">
        <v>0</v>
      </c>
      <c r="T487" s="153">
        <v>0</v>
      </c>
      <c r="U487" s="153">
        <v>0</v>
      </c>
      <c r="V487" s="135"/>
      <c r="W487" s="135"/>
      <c r="X487" s="135"/>
      <c r="Y487" s="135"/>
      <c r="Z487" s="135"/>
      <c r="AA487" s="135"/>
      <c r="AB487" s="135"/>
      <c r="AC487" s="135"/>
      <c r="AD487" s="133"/>
      <c r="AE487" s="133"/>
      <c r="AF487" s="132" t="str">
        <f t="shared" si="62"/>
        <v>Нет инфо</v>
      </c>
      <c r="AG487" s="132" t="str">
        <f t="shared" si="63"/>
        <v>Нет инфо</v>
      </c>
      <c r="AH487" s="2"/>
      <c r="AI487" s="136"/>
      <c r="AJ487" s="2"/>
      <c r="AK487" s="136"/>
      <c r="AL487" s="136"/>
      <c r="AM487" s="2"/>
      <c r="AN487" s="2"/>
      <c r="AO487" s="2"/>
      <c r="AP487" s="2"/>
      <c r="AQ487" s="136"/>
    </row>
    <row r="488" spans="1:43" s="115" customFormat="1" ht="12.75" hidden="1" customHeight="1" x14ac:dyDescent="0.2">
      <c r="A488" s="2">
        <v>2517</v>
      </c>
      <c r="B488" s="2"/>
      <c r="C488" s="131"/>
      <c r="D488" s="131"/>
      <c r="E488" s="131"/>
      <c r="F488" s="2"/>
      <c r="G488" s="2"/>
      <c r="H488" s="132">
        <v>0</v>
      </c>
      <c r="I488" s="132"/>
      <c r="J488" s="132"/>
      <c r="K488" s="132"/>
      <c r="L488" s="132">
        <f t="shared" si="59"/>
        <v>0</v>
      </c>
      <c r="M488" s="132">
        <f t="shared" si="60"/>
        <v>0</v>
      </c>
      <c r="N488" s="133"/>
      <c r="O488" s="133">
        <f t="shared" si="61"/>
        <v>0</v>
      </c>
      <c r="P488" s="134"/>
      <c r="Q488" s="133"/>
      <c r="R488" s="133"/>
      <c r="S488" s="153">
        <v>0</v>
      </c>
      <c r="T488" s="153">
        <v>0</v>
      </c>
      <c r="U488" s="153">
        <v>0</v>
      </c>
      <c r="V488" s="135"/>
      <c r="W488" s="135"/>
      <c r="X488" s="135"/>
      <c r="Y488" s="135"/>
      <c r="Z488" s="135"/>
      <c r="AA488" s="135"/>
      <c r="AB488" s="135"/>
      <c r="AC488" s="135"/>
      <c r="AD488" s="133"/>
      <c r="AE488" s="133"/>
      <c r="AF488" s="132" t="str">
        <f t="shared" si="62"/>
        <v>Нет инфо</v>
      </c>
      <c r="AG488" s="132" t="str">
        <f t="shared" si="63"/>
        <v>Нет инфо</v>
      </c>
      <c r="AH488" s="2"/>
      <c r="AI488" s="136"/>
      <c r="AJ488" s="2"/>
      <c r="AK488" s="136"/>
      <c r="AL488" s="136"/>
      <c r="AM488" s="2"/>
      <c r="AN488" s="2"/>
      <c r="AO488" s="2"/>
      <c r="AP488" s="2"/>
      <c r="AQ488" s="136"/>
    </row>
    <row r="489" spans="1:43" s="115" customFormat="1" ht="12.75" hidden="1" customHeight="1" x14ac:dyDescent="0.2">
      <c r="A489" s="2">
        <v>2518</v>
      </c>
      <c r="B489" s="2"/>
      <c r="C489" s="131"/>
      <c r="D489" s="131"/>
      <c r="E489" s="131"/>
      <c r="F489" s="2"/>
      <c r="G489" s="2"/>
      <c r="H489" s="132">
        <v>0</v>
      </c>
      <c r="I489" s="132"/>
      <c r="J489" s="132"/>
      <c r="K489" s="132"/>
      <c r="L489" s="132">
        <f t="shared" si="59"/>
        <v>0</v>
      </c>
      <c r="M489" s="132">
        <f t="shared" si="60"/>
        <v>0</v>
      </c>
      <c r="N489" s="133"/>
      <c r="O489" s="133">
        <f t="shared" si="61"/>
        <v>0</v>
      </c>
      <c r="P489" s="134"/>
      <c r="Q489" s="133"/>
      <c r="R489" s="133"/>
      <c r="S489" s="153">
        <v>0</v>
      </c>
      <c r="T489" s="153">
        <v>0</v>
      </c>
      <c r="U489" s="153">
        <v>0</v>
      </c>
      <c r="V489" s="135"/>
      <c r="W489" s="135"/>
      <c r="X489" s="135"/>
      <c r="Y489" s="135"/>
      <c r="Z489" s="135"/>
      <c r="AA489" s="135"/>
      <c r="AB489" s="135"/>
      <c r="AC489" s="135"/>
      <c r="AD489" s="133"/>
      <c r="AE489" s="133"/>
      <c r="AF489" s="132" t="str">
        <f t="shared" si="62"/>
        <v>Нет инфо</v>
      </c>
      <c r="AG489" s="132" t="str">
        <f t="shared" si="63"/>
        <v>Нет инфо</v>
      </c>
      <c r="AH489" s="2"/>
      <c r="AI489" s="136"/>
      <c r="AJ489" s="2"/>
      <c r="AK489" s="136"/>
      <c r="AL489" s="136"/>
      <c r="AM489" s="2"/>
      <c r="AN489" s="2"/>
      <c r="AO489" s="2"/>
      <c r="AP489" s="2"/>
      <c r="AQ489" s="136"/>
    </row>
    <row r="490" spans="1:43" s="115" customFormat="1" ht="12.75" hidden="1" customHeight="1" x14ac:dyDescent="0.2">
      <c r="A490" s="2">
        <v>2519</v>
      </c>
      <c r="B490" s="2"/>
      <c r="C490" s="131"/>
      <c r="D490" s="131"/>
      <c r="E490" s="131"/>
      <c r="F490" s="2"/>
      <c r="G490" s="2"/>
      <c r="H490" s="132">
        <v>0</v>
      </c>
      <c r="I490" s="132"/>
      <c r="J490" s="132"/>
      <c r="K490" s="132"/>
      <c r="L490" s="132">
        <f t="shared" si="59"/>
        <v>0</v>
      </c>
      <c r="M490" s="132">
        <f t="shared" si="60"/>
        <v>0</v>
      </c>
      <c r="N490" s="133"/>
      <c r="O490" s="133">
        <f t="shared" si="61"/>
        <v>0</v>
      </c>
      <c r="P490" s="134"/>
      <c r="Q490" s="133"/>
      <c r="R490" s="133"/>
      <c r="S490" s="153">
        <v>0</v>
      </c>
      <c r="T490" s="153">
        <v>0</v>
      </c>
      <c r="U490" s="153">
        <v>0</v>
      </c>
      <c r="V490" s="135"/>
      <c r="W490" s="135"/>
      <c r="X490" s="135"/>
      <c r="Y490" s="135"/>
      <c r="Z490" s="135"/>
      <c r="AA490" s="135"/>
      <c r="AB490" s="135"/>
      <c r="AC490" s="135"/>
      <c r="AD490" s="133"/>
      <c r="AE490" s="133"/>
      <c r="AF490" s="132" t="str">
        <f t="shared" si="62"/>
        <v>Нет инфо</v>
      </c>
      <c r="AG490" s="132" t="str">
        <f t="shared" si="63"/>
        <v>Нет инфо</v>
      </c>
      <c r="AH490" s="2"/>
      <c r="AI490" s="136"/>
      <c r="AJ490" s="2"/>
      <c r="AK490" s="136"/>
      <c r="AL490" s="136"/>
      <c r="AM490" s="2"/>
      <c r="AN490" s="2"/>
      <c r="AO490" s="2"/>
      <c r="AP490" s="2"/>
      <c r="AQ490" s="136"/>
    </row>
    <row r="491" spans="1:43" s="115" customFormat="1" ht="12.75" hidden="1" customHeight="1" x14ac:dyDescent="0.2">
      <c r="A491" s="2">
        <v>2520</v>
      </c>
      <c r="B491" s="2"/>
      <c r="C491" s="131"/>
      <c r="D491" s="131"/>
      <c r="E491" s="131"/>
      <c r="F491" s="2"/>
      <c r="G491" s="2"/>
      <c r="H491" s="132">
        <v>0</v>
      </c>
      <c r="I491" s="132"/>
      <c r="J491" s="132"/>
      <c r="K491" s="132"/>
      <c r="L491" s="132">
        <f t="shared" si="59"/>
        <v>0</v>
      </c>
      <c r="M491" s="132">
        <f t="shared" si="60"/>
        <v>0</v>
      </c>
      <c r="N491" s="133"/>
      <c r="O491" s="133">
        <f t="shared" si="61"/>
        <v>0</v>
      </c>
      <c r="P491" s="134"/>
      <c r="Q491" s="133"/>
      <c r="R491" s="133"/>
      <c r="S491" s="153">
        <v>0</v>
      </c>
      <c r="T491" s="153">
        <v>0</v>
      </c>
      <c r="U491" s="153">
        <v>0</v>
      </c>
      <c r="V491" s="135"/>
      <c r="W491" s="135"/>
      <c r="X491" s="135"/>
      <c r="Y491" s="135"/>
      <c r="Z491" s="135"/>
      <c r="AA491" s="135"/>
      <c r="AB491" s="135"/>
      <c r="AC491" s="135"/>
      <c r="AD491" s="133"/>
      <c r="AE491" s="133"/>
      <c r="AF491" s="132" t="str">
        <f t="shared" si="62"/>
        <v>Нет инфо</v>
      </c>
      <c r="AG491" s="132" t="str">
        <f t="shared" si="63"/>
        <v>Нет инфо</v>
      </c>
      <c r="AH491" s="2"/>
      <c r="AI491" s="136"/>
      <c r="AJ491" s="2"/>
      <c r="AK491" s="136"/>
      <c r="AL491" s="136"/>
      <c r="AM491" s="2"/>
      <c r="AN491" s="2"/>
      <c r="AO491" s="2"/>
      <c r="AP491" s="2"/>
      <c r="AQ491" s="136"/>
    </row>
    <row r="492" spans="1:43" s="115" customFormat="1" ht="12.75" hidden="1" customHeight="1" x14ac:dyDescent="0.2">
      <c r="A492" s="2">
        <v>2521</v>
      </c>
      <c r="B492" s="2"/>
      <c r="C492" s="131"/>
      <c r="D492" s="131"/>
      <c r="E492" s="131"/>
      <c r="F492" s="2"/>
      <c r="G492" s="2"/>
      <c r="H492" s="132">
        <v>0</v>
      </c>
      <c r="I492" s="132"/>
      <c r="J492" s="132"/>
      <c r="K492" s="132"/>
      <c r="L492" s="132">
        <f t="shared" si="59"/>
        <v>0</v>
      </c>
      <c r="M492" s="132">
        <f t="shared" si="60"/>
        <v>0</v>
      </c>
      <c r="N492" s="133"/>
      <c r="O492" s="133">
        <f t="shared" si="61"/>
        <v>0</v>
      </c>
      <c r="P492" s="134"/>
      <c r="Q492" s="133"/>
      <c r="R492" s="133"/>
      <c r="S492" s="153">
        <v>0</v>
      </c>
      <c r="T492" s="153">
        <v>0</v>
      </c>
      <c r="U492" s="153">
        <v>0</v>
      </c>
      <c r="V492" s="135"/>
      <c r="W492" s="135"/>
      <c r="X492" s="135"/>
      <c r="Y492" s="135"/>
      <c r="Z492" s="135"/>
      <c r="AA492" s="135"/>
      <c r="AB492" s="135"/>
      <c r="AC492" s="135"/>
      <c r="AD492" s="133"/>
      <c r="AE492" s="133"/>
      <c r="AF492" s="132" t="str">
        <f t="shared" si="62"/>
        <v>Нет инфо</v>
      </c>
      <c r="AG492" s="132" t="str">
        <f t="shared" si="63"/>
        <v>Нет инфо</v>
      </c>
      <c r="AH492" s="2"/>
      <c r="AI492" s="136"/>
      <c r="AJ492" s="2"/>
      <c r="AK492" s="136"/>
      <c r="AL492" s="136"/>
      <c r="AM492" s="2"/>
      <c r="AN492" s="2"/>
      <c r="AO492" s="2"/>
      <c r="AP492" s="2"/>
      <c r="AQ492" s="136"/>
    </row>
    <row r="493" spans="1:43" s="115" customFormat="1" ht="12.75" hidden="1" customHeight="1" x14ac:dyDescent="0.2">
      <c r="A493" s="2">
        <v>2522</v>
      </c>
      <c r="B493" s="2"/>
      <c r="C493" s="131"/>
      <c r="D493" s="131"/>
      <c r="E493" s="131"/>
      <c r="F493" s="2"/>
      <c r="G493" s="2"/>
      <c r="H493" s="132">
        <v>0</v>
      </c>
      <c r="I493" s="132"/>
      <c r="J493" s="132"/>
      <c r="K493" s="132"/>
      <c r="L493" s="132">
        <f t="shared" si="59"/>
        <v>0</v>
      </c>
      <c r="M493" s="132">
        <f t="shared" si="60"/>
        <v>0</v>
      </c>
      <c r="N493" s="133"/>
      <c r="O493" s="133">
        <f t="shared" si="61"/>
        <v>0</v>
      </c>
      <c r="P493" s="134"/>
      <c r="Q493" s="133"/>
      <c r="R493" s="133"/>
      <c r="S493" s="153">
        <v>0</v>
      </c>
      <c r="T493" s="153">
        <v>0</v>
      </c>
      <c r="U493" s="153">
        <v>0</v>
      </c>
      <c r="V493" s="135"/>
      <c r="W493" s="135"/>
      <c r="X493" s="135"/>
      <c r="Y493" s="135"/>
      <c r="Z493" s="135"/>
      <c r="AA493" s="135"/>
      <c r="AB493" s="135"/>
      <c r="AC493" s="135"/>
      <c r="AD493" s="133"/>
      <c r="AE493" s="133"/>
      <c r="AF493" s="132" t="str">
        <f t="shared" si="62"/>
        <v>Нет инфо</v>
      </c>
      <c r="AG493" s="132" t="str">
        <f t="shared" si="63"/>
        <v>Нет инфо</v>
      </c>
      <c r="AH493" s="2"/>
      <c r="AI493" s="136"/>
      <c r="AJ493" s="2"/>
      <c r="AK493" s="136"/>
      <c r="AL493" s="136"/>
      <c r="AM493" s="2"/>
      <c r="AN493" s="2"/>
      <c r="AO493" s="2"/>
      <c r="AP493" s="2"/>
      <c r="AQ493" s="136"/>
    </row>
    <row r="494" spans="1:43" s="115" customFormat="1" ht="12.75" hidden="1" customHeight="1" x14ac:dyDescent="0.2">
      <c r="A494" s="2">
        <v>2523</v>
      </c>
      <c r="B494" s="2"/>
      <c r="C494" s="131"/>
      <c r="D494" s="131"/>
      <c r="E494" s="131"/>
      <c r="F494" s="2"/>
      <c r="G494" s="2"/>
      <c r="H494" s="132">
        <v>0</v>
      </c>
      <c r="I494" s="132"/>
      <c r="J494" s="132"/>
      <c r="K494" s="132"/>
      <c r="L494" s="132">
        <f t="shared" si="59"/>
        <v>0</v>
      </c>
      <c r="M494" s="132">
        <f t="shared" si="60"/>
        <v>0</v>
      </c>
      <c r="N494" s="133"/>
      <c r="O494" s="133">
        <f t="shared" si="61"/>
        <v>0</v>
      </c>
      <c r="P494" s="134"/>
      <c r="Q494" s="133"/>
      <c r="R494" s="133"/>
      <c r="S494" s="153">
        <v>0</v>
      </c>
      <c r="T494" s="153">
        <v>0</v>
      </c>
      <c r="U494" s="153">
        <v>0</v>
      </c>
      <c r="V494" s="135"/>
      <c r="W494" s="135"/>
      <c r="X494" s="135"/>
      <c r="Y494" s="135"/>
      <c r="Z494" s="135"/>
      <c r="AA494" s="135"/>
      <c r="AB494" s="135"/>
      <c r="AC494" s="135"/>
      <c r="AD494" s="133"/>
      <c r="AE494" s="133"/>
      <c r="AF494" s="132" t="str">
        <f t="shared" si="62"/>
        <v>Нет инфо</v>
      </c>
      <c r="AG494" s="132" t="str">
        <f t="shared" si="63"/>
        <v>Нет инфо</v>
      </c>
      <c r="AH494" s="2"/>
      <c r="AI494" s="136"/>
      <c r="AJ494" s="2"/>
      <c r="AK494" s="136"/>
      <c r="AL494" s="136"/>
      <c r="AM494" s="2"/>
      <c r="AN494" s="2"/>
      <c r="AO494" s="2"/>
      <c r="AP494" s="2"/>
      <c r="AQ494" s="136"/>
    </row>
    <row r="495" spans="1:43" s="115" customFormat="1" ht="12.75" hidden="1" customHeight="1" x14ac:dyDescent="0.2">
      <c r="A495" s="2">
        <v>2524</v>
      </c>
      <c r="B495" s="2"/>
      <c r="C495" s="131"/>
      <c r="D495" s="131"/>
      <c r="E495" s="131"/>
      <c r="F495" s="2"/>
      <c r="G495" s="2"/>
      <c r="H495" s="132">
        <v>0</v>
      </c>
      <c r="I495" s="132"/>
      <c r="J495" s="132"/>
      <c r="K495" s="132"/>
      <c r="L495" s="132">
        <f t="shared" si="59"/>
        <v>0</v>
      </c>
      <c r="M495" s="132">
        <f t="shared" si="60"/>
        <v>0</v>
      </c>
      <c r="N495" s="133"/>
      <c r="O495" s="133">
        <f t="shared" si="61"/>
        <v>0</v>
      </c>
      <c r="P495" s="134"/>
      <c r="Q495" s="133"/>
      <c r="R495" s="133"/>
      <c r="S495" s="153">
        <v>0</v>
      </c>
      <c r="T495" s="153">
        <v>0</v>
      </c>
      <c r="U495" s="153">
        <v>0</v>
      </c>
      <c r="V495" s="135"/>
      <c r="W495" s="135"/>
      <c r="X495" s="135"/>
      <c r="Y495" s="135"/>
      <c r="Z495" s="135"/>
      <c r="AA495" s="135"/>
      <c r="AB495" s="135"/>
      <c r="AC495" s="135"/>
      <c r="AD495" s="133"/>
      <c r="AE495" s="133"/>
      <c r="AF495" s="132" t="str">
        <f t="shared" si="62"/>
        <v>Нет инфо</v>
      </c>
      <c r="AG495" s="132" t="str">
        <f t="shared" si="63"/>
        <v>Нет инфо</v>
      </c>
      <c r="AH495" s="2"/>
      <c r="AI495" s="136"/>
      <c r="AJ495" s="2"/>
      <c r="AK495" s="136"/>
      <c r="AL495" s="136"/>
      <c r="AM495" s="2"/>
      <c r="AN495" s="2"/>
      <c r="AO495" s="2"/>
      <c r="AP495" s="2"/>
      <c r="AQ495" s="136"/>
    </row>
    <row r="496" spans="1:43" s="115" customFormat="1" ht="12.75" hidden="1" customHeight="1" x14ac:dyDescent="0.2">
      <c r="A496" s="2">
        <v>2525</v>
      </c>
      <c r="B496" s="2"/>
      <c r="C496" s="131"/>
      <c r="D496" s="131"/>
      <c r="E496" s="131"/>
      <c r="F496" s="2"/>
      <c r="G496" s="2"/>
      <c r="H496" s="132">
        <v>0</v>
      </c>
      <c r="I496" s="132"/>
      <c r="J496" s="132"/>
      <c r="K496" s="132"/>
      <c r="L496" s="132">
        <f t="shared" si="59"/>
        <v>0</v>
      </c>
      <c r="M496" s="132">
        <f t="shared" si="60"/>
        <v>0</v>
      </c>
      <c r="N496" s="133"/>
      <c r="O496" s="133">
        <f t="shared" si="61"/>
        <v>0</v>
      </c>
      <c r="P496" s="134"/>
      <c r="Q496" s="133"/>
      <c r="R496" s="133"/>
      <c r="S496" s="153">
        <v>0</v>
      </c>
      <c r="T496" s="153">
        <v>0</v>
      </c>
      <c r="U496" s="153">
        <v>0</v>
      </c>
      <c r="V496" s="135"/>
      <c r="W496" s="135"/>
      <c r="X496" s="135"/>
      <c r="Y496" s="135"/>
      <c r="Z496" s="135"/>
      <c r="AA496" s="135"/>
      <c r="AB496" s="135"/>
      <c r="AC496" s="135"/>
      <c r="AD496" s="133"/>
      <c r="AE496" s="133"/>
      <c r="AF496" s="132" t="str">
        <f t="shared" si="62"/>
        <v>Нет инфо</v>
      </c>
      <c r="AG496" s="132" t="str">
        <f t="shared" si="63"/>
        <v>Нет инфо</v>
      </c>
      <c r="AH496" s="2"/>
      <c r="AI496" s="136"/>
      <c r="AJ496" s="2"/>
      <c r="AK496" s="136"/>
      <c r="AL496" s="136"/>
      <c r="AM496" s="2"/>
      <c r="AN496" s="2"/>
      <c r="AO496" s="2"/>
      <c r="AP496" s="2"/>
      <c r="AQ496" s="136"/>
    </row>
    <row r="497" spans="1:43" s="115" customFormat="1" ht="12.75" hidden="1" customHeight="1" x14ac:dyDescent="0.2">
      <c r="A497" s="2">
        <v>2526</v>
      </c>
      <c r="B497" s="2"/>
      <c r="C497" s="131"/>
      <c r="D497" s="131"/>
      <c r="E497" s="131"/>
      <c r="F497" s="2"/>
      <c r="G497" s="2"/>
      <c r="H497" s="132">
        <v>0</v>
      </c>
      <c r="I497" s="132"/>
      <c r="J497" s="132"/>
      <c r="K497" s="132"/>
      <c r="L497" s="132">
        <f t="shared" si="59"/>
        <v>0</v>
      </c>
      <c r="M497" s="132">
        <f t="shared" si="60"/>
        <v>0</v>
      </c>
      <c r="N497" s="133"/>
      <c r="O497" s="133">
        <f t="shared" si="61"/>
        <v>0</v>
      </c>
      <c r="P497" s="134"/>
      <c r="Q497" s="133"/>
      <c r="R497" s="133"/>
      <c r="S497" s="153">
        <v>0</v>
      </c>
      <c r="T497" s="153">
        <v>0</v>
      </c>
      <c r="U497" s="153">
        <v>0</v>
      </c>
      <c r="V497" s="135"/>
      <c r="W497" s="135"/>
      <c r="X497" s="135"/>
      <c r="Y497" s="135"/>
      <c r="Z497" s="135"/>
      <c r="AA497" s="135"/>
      <c r="AB497" s="135"/>
      <c r="AC497" s="135"/>
      <c r="AD497" s="133"/>
      <c r="AE497" s="133"/>
      <c r="AF497" s="132" t="str">
        <f t="shared" si="62"/>
        <v>Нет инфо</v>
      </c>
      <c r="AG497" s="132" t="str">
        <f t="shared" si="63"/>
        <v>Нет инфо</v>
      </c>
      <c r="AH497" s="2"/>
      <c r="AI497" s="136"/>
      <c r="AJ497" s="2"/>
      <c r="AK497" s="136"/>
      <c r="AL497" s="136"/>
      <c r="AM497" s="2"/>
      <c r="AN497" s="2"/>
      <c r="AO497" s="2"/>
      <c r="AP497" s="2"/>
      <c r="AQ497" s="136"/>
    </row>
    <row r="498" spans="1:43" s="115" customFormat="1" ht="12.75" hidden="1" customHeight="1" x14ac:dyDescent="0.2">
      <c r="A498" s="2">
        <v>2527</v>
      </c>
      <c r="B498" s="2"/>
      <c r="C498" s="131"/>
      <c r="D498" s="131"/>
      <c r="E498" s="131"/>
      <c r="F498" s="2"/>
      <c r="G498" s="2"/>
      <c r="H498" s="132">
        <v>0</v>
      </c>
      <c r="I498" s="132"/>
      <c r="J498" s="132"/>
      <c r="K498" s="132"/>
      <c r="L498" s="132">
        <f t="shared" si="59"/>
        <v>0</v>
      </c>
      <c r="M498" s="132">
        <f t="shared" si="60"/>
        <v>0</v>
      </c>
      <c r="N498" s="133"/>
      <c r="O498" s="133">
        <f t="shared" si="61"/>
        <v>0</v>
      </c>
      <c r="P498" s="134"/>
      <c r="Q498" s="133"/>
      <c r="R498" s="133"/>
      <c r="S498" s="153">
        <v>0</v>
      </c>
      <c r="T498" s="153">
        <v>0</v>
      </c>
      <c r="U498" s="153">
        <v>0</v>
      </c>
      <c r="V498" s="135"/>
      <c r="W498" s="135"/>
      <c r="X498" s="135"/>
      <c r="Y498" s="135"/>
      <c r="Z498" s="135"/>
      <c r="AA498" s="135"/>
      <c r="AB498" s="135"/>
      <c r="AC498" s="135"/>
      <c r="AD498" s="133"/>
      <c r="AE498" s="133"/>
      <c r="AF498" s="132" t="str">
        <f t="shared" si="62"/>
        <v>Нет инфо</v>
      </c>
      <c r="AG498" s="132" t="str">
        <f t="shared" si="63"/>
        <v>Нет инфо</v>
      </c>
      <c r="AH498" s="2"/>
      <c r="AI498" s="136"/>
      <c r="AJ498" s="2"/>
      <c r="AK498" s="136"/>
      <c r="AL498" s="136"/>
      <c r="AM498" s="2"/>
      <c r="AN498" s="2"/>
      <c r="AO498" s="2"/>
      <c r="AP498" s="2"/>
      <c r="AQ498" s="136"/>
    </row>
    <row r="499" spans="1:43" s="115" customFormat="1" ht="12.75" hidden="1" customHeight="1" x14ac:dyDescent="0.2">
      <c r="A499" s="2">
        <v>2528</v>
      </c>
      <c r="B499" s="2"/>
      <c r="C499" s="131"/>
      <c r="D499" s="131"/>
      <c r="E499" s="131"/>
      <c r="F499" s="2"/>
      <c r="G499" s="2"/>
      <c r="H499" s="132">
        <v>0</v>
      </c>
      <c r="I499" s="132"/>
      <c r="J499" s="132"/>
      <c r="K499" s="132"/>
      <c r="L499" s="132">
        <f t="shared" si="59"/>
        <v>0</v>
      </c>
      <c r="M499" s="132">
        <f t="shared" si="60"/>
        <v>0</v>
      </c>
      <c r="N499" s="133"/>
      <c r="O499" s="133">
        <f t="shared" si="61"/>
        <v>0</v>
      </c>
      <c r="P499" s="134"/>
      <c r="Q499" s="133"/>
      <c r="R499" s="133"/>
      <c r="S499" s="153">
        <v>0</v>
      </c>
      <c r="T499" s="153">
        <v>0</v>
      </c>
      <c r="U499" s="153">
        <v>0</v>
      </c>
      <c r="V499" s="135"/>
      <c r="W499" s="135"/>
      <c r="X499" s="135"/>
      <c r="Y499" s="135"/>
      <c r="Z499" s="135"/>
      <c r="AA499" s="135"/>
      <c r="AB499" s="135"/>
      <c r="AC499" s="135"/>
      <c r="AD499" s="133"/>
      <c r="AE499" s="133"/>
      <c r="AF499" s="132" t="str">
        <f t="shared" si="62"/>
        <v>Нет инфо</v>
      </c>
      <c r="AG499" s="132" t="str">
        <f t="shared" si="63"/>
        <v>Нет инфо</v>
      </c>
      <c r="AH499" s="2"/>
      <c r="AI499" s="136"/>
      <c r="AJ499" s="2"/>
      <c r="AK499" s="136"/>
      <c r="AL499" s="136"/>
      <c r="AM499" s="2"/>
      <c r="AN499" s="2"/>
      <c r="AO499" s="2"/>
      <c r="AP499" s="2"/>
      <c r="AQ499" s="136"/>
    </row>
    <row r="500" spans="1:43" s="115" customFormat="1" ht="12.75" hidden="1" customHeight="1" x14ac:dyDescent="0.2">
      <c r="A500" s="2">
        <v>2529</v>
      </c>
      <c r="B500" s="2"/>
      <c r="C500" s="131"/>
      <c r="D500" s="131"/>
      <c r="E500" s="131"/>
      <c r="F500" s="2"/>
      <c r="G500" s="2"/>
      <c r="H500" s="132">
        <v>0</v>
      </c>
      <c r="I500" s="132"/>
      <c r="J500" s="132"/>
      <c r="K500" s="132"/>
      <c r="L500" s="132">
        <f t="shared" si="59"/>
        <v>0</v>
      </c>
      <c r="M500" s="132">
        <f t="shared" si="60"/>
        <v>0</v>
      </c>
      <c r="N500" s="133"/>
      <c r="O500" s="133">
        <f t="shared" si="61"/>
        <v>0</v>
      </c>
      <c r="P500" s="134"/>
      <c r="Q500" s="133"/>
      <c r="R500" s="133"/>
      <c r="S500" s="153">
        <v>0</v>
      </c>
      <c r="T500" s="153">
        <v>0</v>
      </c>
      <c r="U500" s="153">
        <v>0</v>
      </c>
      <c r="V500" s="135"/>
      <c r="W500" s="135"/>
      <c r="X500" s="135"/>
      <c r="Y500" s="135"/>
      <c r="Z500" s="135"/>
      <c r="AA500" s="135"/>
      <c r="AB500" s="135"/>
      <c r="AC500" s="135"/>
      <c r="AD500" s="133"/>
      <c r="AE500" s="133"/>
      <c r="AF500" s="132" t="str">
        <f t="shared" si="62"/>
        <v>Нет инфо</v>
      </c>
      <c r="AG500" s="132" t="str">
        <f t="shared" si="63"/>
        <v>Нет инфо</v>
      </c>
      <c r="AH500" s="2"/>
      <c r="AI500" s="136"/>
      <c r="AJ500" s="2"/>
      <c r="AK500" s="136"/>
      <c r="AL500" s="136"/>
      <c r="AM500" s="2"/>
      <c r="AN500" s="2"/>
      <c r="AO500" s="2"/>
      <c r="AP500" s="2"/>
      <c r="AQ500" s="136"/>
    </row>
    <row r="501" spans="1:43" s="115" customFormat="1" ht="12.75" hidden="1" customHeight="1" x14ac:dyDescent="0.2">
      <c r="A501" s="2">
        <v>2530</v>
      </c>
      <c r="B501" s="2"/>
      <c r="C501" s="131"/>
      <c r="D501" s="131"/>
      <c r="E501" s="131"/>
      <c r="F501" s="2"/>
      <c r="G501" s="2"/>
      <c r="H501" s="132">
        <v>0</v>
      </c>
      <c r="I501" s="132"/>
      <c r="J501" s="132"/>
      <c r="K501" s="132"/>
      <c r="L501" s="132">
        <f t="shared" si="59"/>
        <v>0</v>
      </c>
      <c r="M501" s="132">
        <f t="shared" si="60"/>
        <v>0</v>
      </c>
      <c r="N501" s="133"/>
      <c r="O501" s="133">
        <f t="shared" si="61"/>
        <v>0</v>
      </c>
      <c r="P501" s="134"/>
      <c r="Q501" s="133"/>
      <c r="R501" s="133"/>
      <c r="S501" s="153">
        <v>0</v>
      </c>
      <c r="T501" s="153">
        <v>0</v>
      </c>
      <c r="U501" s="153">
        <v>0</v>
      </c>
      <c r="V501" s="135"/>
      <c r="W501" s="135"/>
      <c r="X501" s="135"/>
      <c r="Y501" s="135"/>
      <c r="Z501" s="135"/>
      <c r="AA501" s="135"/>
      <c r="AB501" s="135"/>
      <c r="AC501" s="135"/>
      <c r="AD501" s="133"/>
      <c r="AE501" s="133"/>
      <c r="AF501" s="132" t="str">
        <f t="shared" si="62"/>
        <v>Нет инфо</v>
      </c>
      <c r="AG501" s="132" t="str">
        <f t="shared" si="63"/>
        <v>Нет инфо</v>
      </c>
      <c r="AH501" s="2"/>
      <c r="AI501" s="136"/>
      <c r="AJ501" s="2"/>
      <c r="AK501" s="136"/>
      <c r="AL501" s="136"/>
      <c r="AM501" s="2"/>
      <c r="AN501" s="2"/>
      <c r="AO501" s="2"/>
      <c r="AP501" s="2"/>
      <c r="AQ501" s="136"/>
    </row>
    <row r="502" spans="1:43" s="115" customFormat="1" ht="12.75" hidden="1" customHeight="1" x14ac:dyDescent="0.2">
      <c r="A502" s="2">
        <v>2531</v>
      </c>
      <c r="B502" s="2"/>
      <c r="C502" s="131"/>
      <c r="D502" s="131"/>
      <c r="E502" s="131"/>
      <c r="F502" s="2"/>
      <c r="G502" s="2"/>
      <c r="H502" s="132">
        <v>0</v>
      </c>
      <c r="I502" s="132"/>
      <c r="J502" s="132"/>
      <c r="K502" s="132"/>
      <c r="L502" s="132">
        <f t="shared" si="59"/>
        <v>0</v>
      </c>
      <c r="M502" s="132">
        <f t="shared" si="60"/>
        <v>0</v>
      </c>
      <c r="N502" s="133"/>
      <c r="O502" s="133">
        <f t="shared" si="61"/>
        <v>0</v>
      </c>
      <c r="P502" s="134"/>
      <c r="Q502" s="133"/>
      <c r="R502" s="133"/>
      <c r="S502" s="153">
        <v>0</v>
      </c>
      <c r="T502" s="153">
        <v>0</v>
      </c>
      <c r="U502" s="153">
        <v>0</v>
      </c>
      <c r="V502" s="135"/>
      <c r="W502" s="135"/>
      <c r="X502" s="135"/>
      <c r="Y502" s="135"/>
      <c r="Z502" s="135"/>
      <c r="AA502" s="135"/>
      <c r="AB502" s="135"/>
      <c r="AC502" s="135"/>
      <c r="AD502" s="133"/>
      <c r="AE502" s="133"/>
      <c r="AF502" s="132" t="str">
        <f t="shared" si="62"/>
        <v>Нет инфо</v>
      </c>
      <c r="AG502" s="132" t="str">
        <f t="shared" si="63"/>
        <v>Нет инфо</v>
      </c>
      <c r="AH502" s="2"/>
      <c r="AI502" s="136"/>
      <c r="AJ502" s="2"/>
      <c r="AK502" s="136"/>
      <c r="AL502" s="136"/>
      <c r="AM502" s="2"/>
      <c r="AN502" s="2"/>
      <c r="AO502" s="2"/>
      <c r="AP502" s="2"/>
      <c r="AQ502" s="136"/>
    </row>
    <row r="503" spans="1:43" s="115" customFormat="1" ht="12.75" hidden="1" customHeight="1" x14ac:dyDescent="0.2">
      <c r="A503" s="2">
        <v>2532</v>
      </c>
      <c r="B503" s="2"/>
      <c r="C503" s="131"/>
      <c r="D503" s="131"/>
      <c r="E503" s="131"/>
      <c r="F503" s="2"/>
      <c r="G503" s="2"/>
      <c r="H503" s="132">
        <v>0</v>
      </c>
      <c r="I503" s="132"/>
      <c r="J503" s="132"/>
      <c r="K503" s="132"/>
      <c r="L503" s="132">
        <f t="shared" si="59"/>
        <v>0</v>
      </c>
      <c r="M503" s="132">
        <f t="shared" si="60"/>
        <v>0</v>
      </c>
      <c r="N503" s="133"/>
      <c r="O503" s="133">
        <f t="shared" si="61"/>
        <v>0</v>
      </c>
      <c r="P503" s="134"/>
      <c r="Q503" s="133"/>
      <c r="R503" s="133"/>
      <c r="S503" s="153">
        <v>0</v>
      </c>
      <c r="T503" s="153">
        <v>0</v>
      </c>
      <c r="U503" s="153">
        <v>0</v>
      </c>
      <c r="V503" s="135"/>
      <c r="W503" s="135"/>
      <c r="X503" s="135"/>
      <c r="Y503" s="135"/>
      <c r="Z503" s="135"/>
      <c r="AA503" s="135"/>
      <c r="AB503" s="135"/>
      <c r="AC503" s="135"/>
      <c r="AD503" s="133"/>
      <c r="AE503" s="133"/>
      <c r="AF503" s="132" t="str">
        <f t="shared" si="62"/>
        <v>Нет инфо</v>
      </c>
      <c r="AG503" s="132" t="str">
        <f t="shared" si="63"/>
        <v>Нет инфо</v>
      </c>
      <c r="AH503" s="2"/>
      <c r="AI503" s="136"/>
      <c r="AJ503" s="2"/>
      <c r="AK503" s="136"/>
      <c r="AL503" s="136"/>
      <c r="AM503" s="2"/>
      <c r="AN503" s="2"/>
      <c r="AO503" s="2"/>
      <c r="AP503" s="2"/>
      <c r="AQ503" s="136"/>
    </row>
    <row r="504" spans="1:43" s="115" customFormat="1" ht="12.75" hidden="1" customHeight="1" x14ac:dyDescent="0.2">
      <c r="A504" s="2">
        <v>2533</v>
      </c>
      <c r="B504" s="2"/>
      <c r="C504" s="131"/>
      <c r="D504" s="131"/>
      <c r="E504" s="131"/>
      <c r="F504" s="2"/>
      <c r="G504" s="2"/>
      <c r="H504" s="132">
        <v>0</v>
      </c>
      <c r="I504" s="132"/>
      <c r="J504" s="132"/>
      <c r="K504" s="132"/>
      <c r="L504" s="132">
        <f t="shared" si="59"/>
        <v>0</v>
      </c>
      <c r="M504" s="132">
        <f t="shared" si="60"/>
        <v>0</v>
      </c>
      <c r="N504" s="133"/>
      <c r="O504" s="133">
        <f t="shared" si="61"/>
        <v>0</v>
      </c>
      <c r="P504" s="134"/>
      <c r="Q504" s="133"/>
      <c r="R504" s="133"/>
      <c r="S504" s="153">
        <v>0</v>
      </c>
      <c r="T504" s="153">
        <v>0</v>
      </c>
      <c r="U504" s="153">
        <v>0</v>
      </c>
      <c r="V504" s="135"/>
      <c r="W504" s="135"/>
      <c r="X504" s="135"/>
      <c r="Y504" s="135"/>
      <c r="Z504" s="135"/>
      <c r="AA504" s="135"/>
      <c r="AB504" s="135"/>
      <c r="AC504" s="135"/>
      <c r="AD504" s="133"/>
      <c r="AE504" s="133"/>
      <c r="AF504" s="132" t="str">
        <f t="shared" si="62"/>
        <v>Нет инфо</v>
      </c>
      <c r="AG504" s="132" t="str">
        <f t="shared" si="63"/>
        <v>Нет инфо</v>
      </c>
      <c r="AH504" s="2"/>
      <c r="AI504" s="136"/>
      <c r="AJ504" s="2"/>
      <c r="AK504" s="136"/>
      <c r="AL504" s="136"/>
      <c r="AM504" s="2"/>
      <c r="AN504" s="2"/>
      <c r="AO504" s="2"/>
      <c r="AP504" s="2"/>
      <c r="AQ504" s="136"/>
    </row>
    <row r="505" spans="1:43" s="115" customFormat="1" ht="12.75" hidden="1" customHeight="1" x14ac:dyDescent="0.2">
      <c r="A505" s="2">
        <v>2534</v>
      </c>
      <c r="B505" s="2"/>
      <c r="C505" s="131"/>
      <c r="D505" s="131"/>
      <c r="E505" s="131"/>
      <c r="F505" s="2"/>
      <c r="G505" s="2"/>
      <c r="H505" s="132">
        <v>0</v>
      </c>
      <c r="I505" s="132"/>
      <c r="J505" s="132"/>
      <c r="K505" s="132"/>
      <c r="L505" s="132">
        <f t="shared" si="59"/>
        <v>0</v>
      </c>
      <c r="M505" s="132">
        <f t="shared" si="60"/>
        <v>0</v>
      </c>
      <c r="N505" s="133"/>
      <c r="O505" s="133">
        <f t="shared" si="61"/>
        <v>0</v>
      </c>
      <c r="P505" s="134"/>
      <c r="Q505" s="133"/>
      <c r="R505" s="133"/>
      <c r="S505" s="153">
        <v>0</v>
      </c>
      <c r="T505" s="153">
        <v>0</v>
      </c>
      <c r="U505" s="153">
        <v>0</v>
      </c>
      <c r="V505" s="135"/>
      <c r="W505" s="135"/>
      <c r="X505" s="135"/>
      <c r="Y505" s="135"/>
      <c r="Z505" s="135"/>
      <c r="AA505" s="135"/>
      <c r="AB505" s="135"/>
      <c r="AC505" s="135"/>
      <c r="AD505" s="133"/>
      <c r="AE505" s="133"/>
      <c r="AF505" s="132" t="str">
        <f t="shared" si="62"/>
        <v>Нет инфо</v>
      </c>
      <c r="AG505" s="132" t="str">
        <f t="shared" si="63"/>
        <v>Нет инфо</v>
      </c>
      <c r="AH505" s="2"/>
      <c r="AI505" s="136"/>
      <c r="AJ505" s="2"/>
      <c r="AK505" s="136"/>
      <c r="AL505" s="136"/>
      <c r="AM505" s="2"/>
      <c r="AN505" s="2"/>
      <c r="AO505" s="2"/>
      <c r="AP505" s="2"/>
      <c r="AQ505" s="136"/>
    </row>
    <row r="506" spans="1:43" s="115" customFormat="1" ht="12.75" hidden="1" customHeight="1" x14ac:dyDescent="0.2">
      <c r="A506" s="2">
        <v>2535</v>
      </c>
      <c r="B506" s="2"/>
      <c r="C506" s="131"/>
      <c r="D506" s="131"/>
      <c r="E506" s="131"/>
      <c r="F506" s="2"/>
      <c r="G506" s="2"/>
      <c r="H506" s="132">
        <v>0</v>
      </c>
      <c r="I506" s="132"/>
      <c r="J506" s="132"/>
      <c r="K506" s="132"/>
      <c r="L506" s="132">
        <f t="shared" si="59"/>
        <v>0</v>
      </c>
      <c r="M506" s="132">
        <f t="shared" si="60"/>
        <v>0</v>
      </c>
      <c r="N506" s="133"/>
      <c r="O506" s="133">
        <f t="shared" si="61"/>
        <v>0</v>
      </c>
      <c r="P506" s="134"/>
      <c r="Q506" s="133"/>
      <c r="R506" s="133"/>
      <c r="S506" s="153">
        <v>0</v>
      </c>
      <c r="T506" s="153">
        <v>0</v>
      </c>
      <c r="U506" s="153">
        <v>0</v>
      </c>
      <c r="V506" s="135"/>
      <c r="W506" s="135"/>
      <c r="X506" s="135"/>
      <c r="Y506" s="135"/>
      <c r="Z506" s="135"/>
      <c r="AA506" s="135"/>
      <c r="AB506" s="135"/>
      <c r="AC506" s="135"/>
      <c r="AD506" s="133"/>
      <c r="AE506" s="133"/>
      <c r="AF506" s="132" t="str">
        <f t="shared" si="62"/>
        <v>Нет инфо</v>
      </c>
      <c r="AG506" s="132" t="str">
        <f t="shared" si="63"/>
        <v>Нет инфо</v>
      </c>
      <c r="AH506" s="2"/>
      <c r="AI506" s="136"/>
      <c r="AJ506" s="2"/>
      <c r="AK506" s="136"/>
      <c r="AL506" s="136"/>
      <c r="AM506" s="2"/>
      <c r="AN506" s="2"/>
      <c r="AO506" s="2"/>
      <c r="AP506" s="2"/>
      <c r="AQ506" s="136"/>
    </row>
    <row r="507" spans="1:43" s="115" customFormat="1" ht="12.75" hidden="1" customHeight="1" x14ac:dyDescent="0.2">
      <c r="A507" s="2">
        <v>2536</v>
      </c>
      <c r="B507" s="2"/>
      <c r="C507" s="131"/>
      <c r="D507" s="131"/>
      <c r="E507" s="131"/>
      <c r="F507" s="2"/>
      <c r="G507" s="2"/>
      <c r="H507" s="132">
        <v>0</v>
      </c>
      <c r="I507" s="132"/>
      <c r="J507" s="132"/>
      <c r="K507" s="132"/>
      <c r="L507" s="132">
        <f t="shared" si="59"/>
        <v>0</v>
      </c>
      <c r="M507" s="132">
        <f t="shared" si="60"/>
        <v>0</v>
      </c>
      <c r="N507" s="133"/>
      <c r="O507" s="133">
        <f t="shared" si="61"/>
        <v>0</v>
      </c>
      <c r="P507" s="134"/>
      <c r="Q507" s="133"/>
      <c r="R507" s="133"/>
      <c r="S507" s="153">
        <v>0</v>
      </c>
      <c r="T507" s="153">
        <v>0</v>
      </c>
      <c r="U507" s="153">
        <v>0</v>
      </c>
      <c r="V507" s="135"/>
      <c r="W507" s="135"/>
      <c r="X507" s="135"/>
      <c r="Y507" s="135"/>
      <c r="Z507" s="135"/>
      <c r="AA507" s="135"/>
      <c r="AB507" s="135"/>
      <c r="AC507" s="135"/>
      <c r="AD507" s="133"/>
      <c r="AE507" s="133"/>
      <c r="AF507" s="132" t="str">
        <f t="shared" si="62"/>
        <v>Нет инфо</v>
      </c>
      <c r="AG507" s="132" t="str">
        <f t="shared" si="63"/>
        <v>Нет инфо</v>
      </c>
      <c r="AH507" s="2"/>
      <c r="AI507" s="136"/>
      <c r="AJ507" s="2"/>
      <c r="AK507" s="136"/>
      <c r="AL507" s="136"/>
      <c r="AM507" s="2"/>
      <c r="AN507" s="2"/>
      <c r="AO507" s="2"/>
      <c r="AP507" s="2"/>
      <c r="AQ507" s="136"/>
    </row>
    <row r="508" spans="1:43" s="115" customFormat="1" ht="12.75" hidden="1" customHeight="1" x14ac:dyDescent="0.2">
      <c r="A508" s="2">
        <v>2537</v>
      </c>
      <c r="B508" s="2"/>
      <c r="C508" s="131"/>
      <c r="D508" s="131"/>
      <c r="E508" s="131"/>
      <c r="F508" s="2"/>
      <c r="G508" s="2"/>
      <c r="H508" s="132">
        <v>0</v>
      </c>
      <c r="I508" s="132"/>
      <c r="J508" s="132"/>
      <c r="K508" s="132"/>
      <c r="L508" s="132">
        <f t="shared" si="59"/>
        <v>0</v>
      </c>
      <c r="M508" s="132">
        <f t="shared" si="60"/>
        <v>0</v>
      </c>
      <c r="N508" s="133"/>
      <c r="O508" s="133">
        <f t="shared" si="61"/>
        <v>0</v>
      </c>
      <c r="P508" s="134"/>
      <c r="Q508" s="133"/>
      <c r="R508" s="133"/>
      <c r="S508" s="153">
        <v>0</v>
      </c>
      <c r="T508" s="153">
        <v>0</v>
      </c>
      <c r="U508" s="153">
        <v>0</v>
      </c>
      <c r="V508" s="135"/>
      <c r="W508" s="135"/>
      <c r="X508" s="135"/>
      <c r="Y508" s="135"/>
      <c r="Z508" s="135"/>
      <c r="AA508" s="135"/>
      <c r="AB508" s="135"/>
      <c r="AC508" s="135"/>
      <c r="AD508" s="133"/>
      <c r="AE508" s="133"/>
      <c r="AF508" s="132" t="str">
        <f t="shared" si="62"/>
        <v>Нет инфо</v>
      </c>
      <c r="AG508" s="132" t="str">
        <f t="shared" si="63"/>
        <v>Нет инфо</v>
      </c>
      <c r="AH508" s="2"/>
      <c r="AI508" s="136"/>
      <c r="AJ508" s="2"/>
      <c r="AK508" s="136"/>
      <c r="AL508" s="136"/>
      <c r="AM508" s="2"/>
      <c r="AN508" s="2"/>
      <c r="AO508" s="2"/>
      <c r="AP508" s="2"/>
      <c r="AQ508" s="136"/>
    </row>
    <row r="509" spans="1:43" s="115" customFormat="1" ht="12.75" hidden="1" customHeight="1" x14ac:dyDescent="0.2">
      <c r="A509" s="2">
        <v>2538</v>
      </c>
      <c r="B509" s="2"/>
      <c r="C509" s="131"/>
      <c r="D509" s="131"/>
      <c r="E509" s="131"/>
      <c r="F509" s="2"/>
      <c r="G509" s="2"/>
      <c r="H509" s="132">
        <v>0</v>
      </c>
      <c r="I509" s="132"/>
      <c r="J509" s="132"/>
      <c r="K509" s="132"/>
      <c r="L509" s="132">
        <f t="shared" si="59"/>
        <v>0</v>
      </c>
      <c r="M509" s="132">
        <f t="shared" si="60"/>
        <v>0</v>
      </c>
      <c r="N509" s="133"/>
      <c r="O509" s="133">
        <f t="shared" si="61"/>
        <v>0</v>
      </c>
      <c r="P509" s="134"/>
      <c r="Q509" s="133"/>
      <c r="R509" s="133"/>
      <c r="S509" s="153">
        <v>0</v>
      </c>
      <c r="T509" s="153">
        <v>0</v>
      </c>
      <c r="U509" s="153">
        <v>0</v>
      </c>
      <c r="V509" s="135"/>
      <c r="W509" s="135"/>
      <c r="X509" s="135"/>
      <c r="Y509" s="135"/>
      <c r="Z509" s="135"/>
      <c r="AA509" s="135"/>
      <c r="AB509" s="135"/>
      <c r="AC509" s="135"/>
      <c r="AD509" s="133"/>
      <c r="AE509" s="133"/>
      <c r="AF509" s="132" t="str">
        <f t="shared" si="62"/>
        <v>Нет инфо</v>
      </c>
      <c r="AG509" s="132" t="str">
        <f t="shared" si="63"/>
        <v>Нет инфо</v>
      </c>
      <c r="AH509" s="2"/>
      <c r="AI509" s="136"/>
      <c r="AJ509" s="2"/>
      <c r="AK509" s="136"/>
      <c r="AL509" s="136"/>
      <c r="AM509" s="2"/>
      <c r="AN509" s="2"/>
      <c r="AO509" s="2"/>
      <c r="AP509" s="2"/>
      <c r="AQ509" s="136"/>
    </row>
    <row r="510" spans="1:43" s="115" customFormat="1" ht="12.75" hidden="1" customHeight="1" x14ac:dyDescent="0.2">
      <c r="A510" s="2">
        <v>2539</v>
      </c>
      <c r="B510" s="2"/>
      <c r="C510" s="131"/>
      <c r="D510" s="131"/>
      <c r="E510" s="131"/>
      <c r="F510" s="2"/>
      <c r="G510" s="2"/>
      <c r="H510" s="132">
        <v>0</v>
      </c>
      <c r="I510" s="132"/>
      <c r="J510" s="132"/>
      <c r="K510" s="132"/>
      <c r="L510" s="132">
        <f t="shared" si="59"/>
        <v>0</v>
      </c>
      <c r="M510" s="132">
        <f t="shared" si="60"/>
        <v>0</v>
      </c>
      <c r="N510" s="133"/>
      <c r="O510" s="133">
        <f t="shared" si="61"/>
        <v>0</v>
      </c>
      <c r="P510" s="134"/>
      <c r="Q510" s="133"/>
      <c r="R510" s="133"/>
      <c r="S510" s="153">
        <v>0</v>
      </c>
      <c r="T510" s="153">
        <v>0</v>
      </c>
      <c r="U510" s="153">
        <v>0</v>
      </c>
      <c r="V510" s="135"/>
      <c r="W510" s="135"/>
      <c r="X510" s="135"/>
      <c r="Y510" s="135"/>
      <c r="Z510" s="135"/>
      <c r="AA510" s="135"/>
      <c r="AB510" s="135"/>
      <c r="AC510" s="135"/>
      <c r="AD510" s="133"/>
      <c r="AE510" s="133"/>
      <c r="AF510" s="132" t="str">
        <f t="shared" si="62"/>
        <v>Нет инфо</v>
      </c>
      <c r="AG510" s="132" t="str">
        <f t="shared" si="63"/>
        <v>Нет инфо</v>
      </c>
      <c r="AH510" s="2"/>
      <c r="AI510" s="136"/>
      <c r="AJ510" s="2"/>
      <c r="AK510" s="136"/>
      <c r="AL510" s="136"/>
      <c r="AM510" s="2"/>
      <c r="AN510" s="2"/>
      <c r="AO510" s="2"/>
      <c r="AP510" s="2"/>
      <c r="AQ510" s="136"/>
    </row>
    <row r="511" spans="1:43" s="115" customFormat="1" ht="12.75" hidden="1" customHeight="1" x14ac:dyDescent="0.2">
      <c r="A511" s="2">
        <v>2540</v>
      </c>
      <c r="B511" s="2"/>
      <c r="C511" s="131"/>
      <c r="D511" s="131"/>
      <c r="E511" s="131"/>
      <c r="F511" s="2"/>
      <c r="G511" s="2"/>
      <c r="H511" s="132">
        <v>0</v>
      </c>
      <c r="I511" s="132"/>
      <c r="J511" s="132"/>
      <c r="K511" s="132"/>
      <c r="L511" s="132">
        <f t="shared" si="59"/>
        <v>0</v>
      </c>
      <c r="M511" s="132">
        <f t="shared" si="60"/>
        <v>0</v>
      </c>
      <c r="N511" s="133"/>
      <c r="O511" s="133">
        <f t="shared" si="61"/>
        <v>0</v>
      </c>
      <c r="P511" s="134"/>
      <c r="Q511" s="133"/>
      <c r="R511" s="133"/>
      <c r="S511" s="153">
        <v>0</v>
      </c>
      <c r="T511" s="153">
        <v>0</v>
      </c>
      <c r="U511" s="153">
        <v>0</v>
      </c>
      <c r="V511" s="135"/>
      <c r="W511" s="135"/>
      <c r="X511" s="135"/>
      <c r="Y511" s="135"/>
      <c r="Z511" s="135"/>
      <c r="AA511" s="135"/>
      <c r="AB511" s="135"/>
      <c r="AC511" s="135"/>
      <c r="AD511" s="133"/>
      <c r="AE511" s="133"/>
      <c r="AF511" s="132" t="str">
        <f t="shared" si="62"/>
        <v>Нет инфо</v>
      </c>
      <c r="AG511" s="132" t="str">
        <f t="shared" si="63"/>
        <v>Нет инфо</v>
      </c>
      <c r="AH511" s="2"/>
      <c r="AI511" s="136"/>
      <c r="AJ511" s="2"/>
      <c r="AK511" s="136"/>
      <c r="AL511" s="136"/>
      <c r="AM511" s="2"/>
      <c r="AN511" s="2"/>
      <c r="AO511" s="2"/>
      <c r="AP511" s="2"/>
      <c r="AQ511" s="136"/>
    </row>
    <row r="512" spans="1:43" s="115" customFormat="1" ht="12.75" hidden="1" customHeight="1" x14ac:dyDescent="0.2">
      <c r="A512" s="2">
        <v>2541</v>
      </c>
      <c r="B512" s="2"/>
      <c r="C512" s="131"/>
      <c r="D512" s="131"/>
      <c r="E512" s="131"/>
      <c r="F512" s="2"/>
      <c r="G512" s="2"/>
      <c r="H512" s="132">
        <v>0</v>
      </c>
      <c r="I512" s="132"/>
      <c r="J512" s="132"/>
      <c r="K512" s="132"/>
      <c r="L512" s="132">
        <f t="shared" si="59"/>
        <v>0</v>
      </c>
      <c r="M512" s="132">
        <f t="shared" si="60"/>
        <v>0</v>
      </c>
      <c r="N512" s="133"/>
      <c r="O512" s="133">
        <f t="shared" si="61"/>
        <v>0</v>
      </c>
      <c r="P512" s="134"/>
      <c r="Q512" s="133"/>
      <c r="R512" s="133"/>
      <c r="S512" s="153">
        <v>0</v>
      </c>
      <c r="T512" s="153">
        <v>0</v>
      </c>
      <c r="U512" s="153">
        <v>0</v>
      </c>
      <c r="V512" s="135"/>
      <c r="W512" s="135"/>
      <c r="X512" s="135"/>
      <c r="Y512" s="135"/>
      <c r="Z512" s="135"/>
      <c r="AA512" s="135"/>
      <c r="AB512" s="135"/>
      <c r="AC512" s="135"/>
      <c r="AD512" s="133"/>
      <c r="AE512" s="133"/>
      <c r="AF512" s="132" t="str">
        <f t="shared" si="62"/>
        <v>Нет инфо</v>
      </c>
      <c r="AG512" s="132" t="str">
        <f t="shared" si="63"/>
        <v>Нет инфо</v>
      </c>
      <c r="AH512" s="2"/>
      <c r="AI512" s="136"/>
      <c r="AJ512" s="2"/>
      <c r="AK512" s="136"/>
      <c r="AL512" s="136"/>
      <c r="AM512" s="2"/>
      <c r="AN512" s="2"/>
      <c r="AO512" s="2"/>
      <c r="AP512" s="2"/>
      <c r="AQ512" s="136"/>
    </row>
    <row r="513" spans="1:43" s="115" customFormat="1" ht="12.75" hidden="1" customHeight="1" x14ac:dyDescent="0.2">
      <c r="A513" s="2">
        <v>2542</v>
      </c>
      <c r="B513" s="2"/>
      <c r="C513" s="131"/>
      <c r="D513" s="131"/>
      <c r="E513" s="131"/>
      <c r="F513" s="2"/>
      <c r="G513" s="2"/>
      <c r="H513" s="132">
        <v>0</v>
      </c>
      <c r="I513" s="132"/>
      <c r="J513" s="132"/>
      <c r="K513" s="132"/>
      <c r="L513" s="132">
        <f t="shared" si="59"/>
        <v>0</v>
      </c>
      <c r="M513" s="132">
        <f t="shared" si="60"/>
        <v>0</v>
      </c>
      <c r="N513" s="133"/>
      <c r="O513" s="133">
        <f t="shared" si="61"/>
        <v>0</v>
      </c>
      <c r="P513" s="134"/>
      <c r="Q513" s="133"/>
      <c r="R513" s="133"/>
      <c r="S513" s="153">
        <v>0</v>
      </c>
      <c r="T513" s="153">
        <v>0</v>
      </c>
      <c r="U513" s="153">
        <v>0</v>
      </c>
      <c r="V513" s="135"/>
      <c r="W513" s="135"/>
      <c r="X513" s="135"/>
      <c r="Y513" s="135"/>
      <c r="Z513" s="135"/>
      <c r="AA513" s="135"/>
      <c r="AB513" s="135"/>
      <c r="AC513" s="135"/>
      <c r="AD513" s="133"/>
      <c r="AE513" s="133"/>
      <c r="AF513" s="132" t="str">
        <f t="shared" si="62"/>
        <v>Нет инфо</v>
      </c>
      <c r="AG513" s="132" t="str">
        <f t="shared" si="63"/>
        <v>Нет инфо</v>
      </c>
      <c r="AH513" s="2"/>
      <c r="AI513" s="136"/>
      <c r="AJ513" s="2"/>
      <c r="AK513" s="136"/>
      <c r="AL513" s="136"/>
      <c r="AM513" s="2"/>
      <c r="AN513" s="2"/>
      <c r="AO513" s="2"/>
      <c r="AP513" s="2"/>
      <c r="AQ513" s="136"/>
    </row>
    <row r="514" spans="1:43" s="115" customFormat="1" ht="12.75" hidden="1" customHeight="1" x14ac:dyDescent="0.2">
      <c r="A514" s="2">
        <v>2543</v>
      </c>
      <c r="B514" s="2"/>
      <c r="C514" s="131"/>
      <c r="D514" s="131"/>
      <c r="E514" s="131"/>
      <c r="F514" s="2"/>
      <c r="G514" s="2"/>
      <c r="H514" s="132">
        <v>0</v>
      </c>
      <c r="I514" s="132"/>
      <c r="J514" s="132"/>
      <c r="K514" s="132"/>
      <c r="L514" s="132">
        <f t="shared" si="59"/>
        <v>0</v>
      </c>
      <c r="M514" s="132">
        <f t="shared" si="60"/>
        <v>0</v>
      </c>
      <c r="N514" s="133"/>
      <c r="O514" s="133">
        <f t="shared" si="61"/>
        <v>0</v>
      </c>
      <c r="P514" s="134"/>
      <c r="Q514" s="133"/>
      <c r="R514" s="133"/>
      <c r="S514" s="153">
        <v>0</v>
      </c>
      <c r="T514" s="153">
        <v>0</v>
      </c>
      <c r="U514" s="153">
        <v>0</v>
      </c>
      <c r="V514" s="135"/>
      <c r="W514" s="135"/>
      <c r="X514" s="135"/>
      <c r="Y514" s="135"/>
      <c r="Z514" s="135"/>
      <c r="AA514" s="135"/>
      <c r="AB514" s="135"/>
      <c r="AC514" s="135"/>
      <c r="AD514" s="133"/>
      <c r="AE514" s="133"/>
      <c r="AF514" s="132" t="str">
        <f t="shared" si="62"/>
        <v>Нет инфо</v>
      </c>
      <c r="AG514" s="132" t="str">
        <f t="shared" si="63"/>
        <v>Нет инфо</v>
      </c>
      <c r="AH514" s="2"/>
      <c r="AI514" s="136"/>
      <c r="AJ514" s="2"/>
      <c r="AK514" s="136"/>
      <c r="AL514" s="136"/>
      <c r="AM514" s="2"/>
      <c r="AN514" s="2"/>
      <c r="AO514" s="2"/>
      <c r="AP514" s="2"/>
      <c r="AQ514" s="136"/>
    </row>
    <row r="515" spans="1:43" s="115" customFormat="1" ht="12.75" hidden="1" customHeight="1" x14ac:dyDescent="0.2">
      <c r="A515" s="2">
        <v>2544</v>
      </c>
      <c r="B515" s="2"/>
      <c r="C515" s="131"/>
      <c r="D515" s="131"/>
      <c r="E515" s="131"/>
      <c r="F515" s="2"/>
      <c r="G515" s="2"/>
      <c r="H515" s="132">
        <v>0</v>
      </c>
      <c r="I515" s="132"/>
      <c r="J515" s="132"/>
      <c r="K515" s="132"/>
      <c r="L515" s="132">
        <f t="shared" si="59"/>
        <v>0</v>
      </c>
      <c r="M515" s="132">
        <f t="shared" si="60"/>
        <v>0</v>
      </c>
      <c r="N515" s="133"/>
      <c r="O515" s="133">
        <f t="shared" si="61"/>
        <v>0</v>
      </c>
      <c r="P515" s="134"/>
      <c r="Q515" s="133"/>
      <c r="R515" s="133"/>
      <c r="S515" s="153">
        <v>0</v>
      </c>
      <c r="T515" s="153">
        <v>0</v>
      </c>
      <c r="U515" s="153">
        <v>0</v>
      </c>
      <c r="V515" s="135"/>
      <c r="W515" s="135"/>
      <c r="X515" s="135"/>
      <c r="Y515" s="135"/>
      <c r="Z515" s="135"/>
      <c r="AA515" s="135"/>
      <c r="AB515" s="135"/>
      <c r="AC515" s="135"/>
      <c r="AD515" s="133"/>
      <c r="AE515" s="133"/>
      <c r="AF515" s="132" t="str">
        <f t="shared" si="62"/>
        <v>Нет инфо</v>
      </c>
      <c r="AG515" s="132" t="str">
        <f t="shared" si="63"/>
        <v>Нет инфо</v>
      </c>
      <c r="AH515" s="2"/>
      <c r="AI515" s="136"/>
      <c r="AJ515" s="2"/>
      <c r="AK515" s="136"/>
      <c r="AL515" s="136"/>
      <c r="AM515" s="2"/>
      <c r="AN515" s="2"/>
      <c r="AO515" s="2"/>
      <c r="AP515" s="2"/>
      <c r="AQ515" s="136"/>
    </row>
    <row r="516" spans="1:43" s="115" customFormat="1" ht="12.75" hidden="1" customHeight="1" x14ac:dyDescent="0.2">
      <c r="A516" s="2">
        <v>2545</v>
      </c>
      <c r="B516" s="2"/>
      <c r="C516" s="131"/>
      <c r="D516" s="131"/>
      <c r="E516" s="131"/>
      <c r="F516" s="2"/>
      <c r="G516" s="2"/>
      <c r="H516" s="132">
        <v>0</v>
      </c>
      <c r="I516" s="132"/>
      <c r="J516" s="132"/>
      <c r="K516" s="132"/>
      <c r="L516" s="132">
        <f t="shared" si="59"/>
        <v>0</v>
      </c>
      <c r="M516" s="132">
        <f t="shared" si="60"/>
        <v>0</v>
      </c>
      <c r="N516" s="133"/>
      <c r="O516" s="133">
        <f t="shared" si="61"/>
        <v>0</v>
      </c>
      <c r="P516" s="134"/>
      <c r="Q516" s="133"/>
      <c r="R516" s="133"/>
      <c r="S516" s="153">
        <v>0</v>
      </c>
      <c r="T516" s="153">
        <v>0</v>
      </c>
      <c r="U516" s="153">
        <v>0</v>
      </c>
      <c r="V516" s="135"/>
      <c r="W516" s="135"/>
      <c r="X516" s="135"/>
      <c r="Y516" s="135"/>
      <c r="Z516" s="135"/>
      <c r="AA516" s="135"/>
      <c r="AB516" s="135"/>
      <c r="AC516" s="135"/>
      <c r="AD516" s="133"/>
      <c r="AE516" s="133"/>
      <c r="AF516" s="132" t="str">
        <f t="shared" si="62"/>
        <v>Нет инфо</v>
      </c>
      <c r="AG516" s="132" t="str">
        <f t="shared" si="63"/>
        <v>Нет инфо</v>
      </c>
      <c r="AH516" s="2"/>
      <c r="AI516" s="136"/>
      <c r="AJ516" s="2"/>
      <c r="AK516" s="136"/>
      <c r="AL516" s="136"/>
      <c r="AM516" s="2"/>
      <c r="AN516" s="2"/>
      <c r="AO516" s="2"/>
      <c r="AP516" s="2"/>
      <c r="AQ516" s="136"/>
    </row>
    <row r="517" spans="1:43" s="115" customFormat="1" ht="12.75" hidden="1" customHeight="1" x14ac:dyDescent="0.2">
      <c r="A517" s="2">
        <v>2546</v>
      </c>
      <c r="B517" s="2"/>
      <c r="C517" s="131"/>
      <c r="D517" s="131"/>
      <c r="E517" s="131"/>
      <c r="F517" s="2"/>
      <c r="G517" s="2"/>
      <c r="H517" s="132">
        <v>0</v>
      </c>
      <c r="I517" s="132"/>
      <c r="J517" s="132"/>
      <c r="K517" s="132"/>
      <c r="L517" s="132">
        <f t="shared" si="59"/>
        <v>0</v>
      </c>
      <c r="M517" s="132">
        <f t="shared" si="60"/>
        <v>0</v>
      </c>
      <c r="N517" s="133"/>
      <c r="O517" s="133">
        <f t="shared" si="61"/>
        <v>0</v>
      </c>
      <c r="P517" s="134"/>
      <c r="Q517" s="133"/>
      <c r="R517" s="133"/>
      <c r="S517" s="153">
        <v>0</v>
      </c>
      <c r="T517" s="153">
        <v>0</v>
      </c>
      <c r="U517" s="153">
        <v>0</v>
      </c>
      <c r="V517" s="135"/>
      <c r="W517" s="135"/>
      <c r="X517" s="135"/>
      <c r="Y517" s="135"/>
      <c r="Z517" s="135"/>
      <c r="AA517" s="135"/>
      <c r="AB517" s="135"/>
      <c r="AC517" s="135"/>
      <c r="AD517" s="133"/>
      <c r="AE517" s="133"/>
      <c r="AF517" s="132" t="str">
        <f t="shared" si="62"/>
        <v>Нет инфо</v>
      </c>
      <c r="AG517" s="132" t="str">
        <f t="shared" si="63"/>
        <v>Нет инфо</v>
      </c>
      <c r="AH517" s="2"/>
      <c r="AI517" s="136"/>
      <c r="AJ517" s="2"/>
      <c r="AK517" s="136"/>
      <c r="AL517" s="136"/>
      <c r="AM517" s="2"/>
      <c r="AN517" s="2"/>
      <c r="AO517" s="2"/>
      <c r="AP517" s="2"/>
      <c r="AQ517" s="136"/>
    </row>
    <row r="518" spans="1:43" s="115" customFormat="1" ht="12.75" hidden="1" customHeight="1" x14ac:dyDescent="0.2">
      <c r="A518" s="2">
        <v>2547</v>
      </c>
      <c r="B518" s="2"/>
      <c r="C518" s="131"/>
      <c r="D518" s="131"/>
      <c r="E518" s="131"/>
      <c r="F518" s="2"/>
      <c r="G518" s="2"/>
      <c r="H518" s="132">
        <v>0</v>
      </c>
      <c r="I518" s="132"/>
      <c r="J518" s="132"/>
      <c r="K518" s="132"/>
      <c r="L518" s="132">
        <f t="shared" si="59"/>
        <v>0</v>
      </c>
      <c r="M518" s="132">
        <f t="shared" si="60"/>
        <v>0</v>
      </c>
      <c r="N518" s="133"/>
      <c r="O518" s="133">
        <f t="shared" si="61"/>
        <v>0</v>
      </c>
      <c r="P518" s="134"/>
      <c r="Q518" s="133"/>
      <c r="R518" s="133"/>
      <c r="S518" s="153">
        <v>0</v>
      </c>
      <c r="T518" s="153">
        <v>0</v>
      </c>
      <c r="U518" s="153">
        <v>0</v>
      </c>
      <c r="V518" s="135"/>
      <c r="W518" s="135"/>
      <c r="X518" s="135"/>
      <c r="Y518" s="135"/>
      <c r="Z518" s="135"/>
      <c r="AA518" s="135"/>
      <c r="AB518" s="135"/>
      <c r="AC518" s="135"/>
      <c r="AD518" s="133"/>
      <c r="AE518" s="133"/>
      <c r="AF518" s="132" t="str">
        <f t="shared" si="62"/>
        <v>Нет инфо</v>
      </c>
      <c r="AG518" s="132" t="str">
        <f t="shared" si="63"/>
        <v>Нет инфо</v>
      </c>
      <c r="AH518" s="2"/>
      <c r="AI518" s="136"/>
      <c r="AJ518" s="2"/>
      <c r="AK518" s="136"/>
      <c r="AL518" s="136"/>
      <c r="AM518" s="2"/>
      <c r="AN518" s="2"/>
      <c r="AO518" s="2"/>
      <c r="AP518" s="2"/>
      <c r="AQ518" s="136"/>
    </row>
    <row r="519" spans="1:43" s="115" customFormat="1" ht="12.75" hidden="1" customHeight="1" x14ac:dyDescent="0.2">
      <c r="A519" s="2">
        <v>2548</v>
      </c>
      <c r="B519" s="2"/>
      <c r="C519" s="131"/>
      <c r="D519" s="131"/>
      <c r="E519" s="131"/>
      <c r="F519" s="2"/>
      <c r="G519" s="2"/>
      <c r="H519" s="132">
        <v>0</v>
      </c>
      <c r="I519" s="132"/>
      <c r="J519" s="132"/>
      <c r="K519" s="132"/>
      <c r="L519" s="132">
        <f t="shared" si="59"/>
        <v>0</v>
      </c>
      <c r="M519" s="132">
        <f t="shared" si="60"/>
        <v>0</v>
      </c>
      <c r="N519" s="133"/>
      <c r="O519" s="133">
        <f t="shared" si="61"/>
        <v>0</v>
      </c>
      <c r="P519" s="134"/>
      <c r="Q519" s="133"/>
      <c r="R519" s="133"/>
      <c r="S519" s="153">
        <v>0</v>
      </c>
      <c r="T519" s="153">
        <v>0</v>
      </c>
      <c r="U519" s="153">
        <v>0</v>
      </c>
      <c r="V519" s="135"/>
      <c r="W519" s="135"/>
      <c r="X519" s="135"/>
      <c r="Y519" s="135"/>
      <c r="Z519" s="135"/>
      <c r="AA519" s="135"/>
      <c r="AB519" s="135"/>
      <c r="AC519" s="135"/>
      <c r="AD519" s="133"/>
      <c r="AE519" s="133"/>
      <c r="AF519" s="132" t="str">
        <f t="shared" si="62"/>
        <v>Нет инфо</v>
      </c>
      <c r="AG519" s="132" t="str">
        <f t="shared" si="63"/>
        <v>Нет инфо</v>
      </c>
      <c r="AH519" s="2"/>
      <c r="AI519" s="136"/>
      <c r="AJ519" s="2"/>
      <c r="AK519" s="136"/>
      <c r="AL519" s="136"/>
      <c r="AM519" s="2"/>
      <c r="AN519" s="2"/>
      <c r="AO519" s="2"/>
      <c r="AP519" s="2"/>
      <c r="AQ519" s="136"/>
    </row>
    <row r="520" spans="1:43" s="115" customFormat="1" ht="12.75" hidden="1" customHeight="1" x14ac:dyDescent="0.2">
      <c r="A520" s="2">
        <v>2549</v>
      </c>
      <c r="B520" s="2"/>
      <c r="C520" s="131"/>
      <c r="D520" s="131"/>
      <c r="E520" s="131"/>
      <c r="F520" s="2"/>
      <c r="G520" s="2"/>
      <c r="H520" s="132">
        <v>0</v>
      </c>
      <c r="I520" s="132"/>
      <c r="J520" s="132"/>
      <c r="K520" s="132"/>
      <c r="L520" s="132">
        <f t="shared" si="59"/>
        <v>0</v>
      </c>
      <c r="M520" s="132">
        <f t="shared" si="60"/>
        <v>0</v>
      </c>
      <c r="N520" s="133"/>
      <c r="O520" s="133">
        <f t="shared" si="61"/>
        <v>0</v>
      </c>
      <c r="P520" s="134"/>
      <c r="Q520" s="133"/>
      <c r="R520" s="133"/>
      <c r="S520" s="153">
        <v>0</v>
      </c>
      <c r="T520" s="153">
        <v>0</v>
      </c>
      <c r="U520" s="153">
        <v>0</v>
      </c>
      <c r="V520" s="135"/>
      <c r="W520" s="135"/>
      <c r="X520" s="135"/>
      <c r="Y520" s="135"/>
      <c r="Z520" s="135"/>
      <c r="AA520" s="135"/>
      <c r="AB520" s="135"/>
      <c r="AC520" s="135"/>
      <c r="AD520" s="133"/>
      <c r="AE520" s="133"/>
      <c r="AF520" s="132" t="str">
        <f t="shared" si="62"/>
        <v>Нет инфо</v>
      </c>
      <c r="AG520" s="132" t="str">
        <f t="shared" si="63"/>
        <v>Нет инфо</v>
      </c>
      <c r="AH520" s="2"/>
      <c r="AI520" s="136"/>
      <c r="AJ520" s="2"/>
      <c r="AK520" s="136"/>
      <c r="AL520" s="136"/>
      <c r="AM520" s="2"/>
      <c r="AN520" s="2"/>
      <c r="AO520" s="2"/>
      <c r="AP520" s="2"/>
      <c r="AQ520" s="136"/>
    </row>
    <row r="521" spans="1:43" s="115" customFormat="1" ht="12.75" hidden="1" customHeight="1" x14ac:dyDescent="0.2">
      <c r="A521" s="2">
        <v>2550</v>
      </c>
      <c r="B521" s="2"/>
      <c r="C521" s="131"/>
      <c r="D521" s="131"/>
      <c r="E521" s="131"/>
      <c r="F521" s="2"/>
      <c r="G521" s="2"/>
      <c r="H521" s="132">
        <v>0</v>
      </c>
      <c r="I521" s="132"/>
      <c r="J521" s="132"/>
      <c r="K521" s="132"/>
      <c r="L521" s="132">
        <f t="shared" si="59"/>
        <v>0</v>
      </c>
      <c r="M521" s="132">
        <f t="shared" si="60"/>
        <v>0</v>
      </c>
      <c r="N521" s="133"/>
      <c r="O521" s="133">
        <f t="shared" si="61"/>
        <v>0</v>
      </c>
      <c r="P521" s="134"/>
      <c r="Q521" s="133"/>
      <c r="R521" s="133"/>
      <c r="S521" s="153">
        <v>0</v>
      </c>
      <c r="T521" s="153">
        <v>0</v>
      </c>
      <c r="U521" s="153">
        <v>0</v>
      </c>
      <c r="V521" s="135"/>
      <c r="W521" s="135"/>
      <c r="X521" s="135"/>
      <c r="Y521" s="135"/>
      <c r="Z521" s="135"/>
      <c r="AA521" s="135"/>
      <c r="AB521" s="135"/>
      <c r="AC521" s="135"/>
      <c r="AD521" s="133"/>
      <c r="AE521" s="133"/>
      <c r="AF521" s="132" t="str">
        <f t="shared" si="62"/>
        <v>Нет инфо</v>
      </c>
      <c r="AG521" s="132" t="str">
        <f t="shared" si="63"/>
        <v>Нет инфо</v>
      </c>
      <c r="AH521" s="2"/>
      <c r="AI521" s="136"/>
      <c r="AJ521" s="2"/>
      <c r="AK521" s="136"/>
      <c r="AL521" s="136"/>
      <c r="AM521" s="2"/>
      <c r="AN521" s="2"/>
      <c r="AO521" s="2"/>
      <c r="AP521" s="2"/>
      <c r="AQ521" s="136"/>
    </row>
    <row r="522" spans="1:43" s="115" customFormat="1" ht="12.75" hidden="1" customHeight="1" x14ac:dyDescent="0.2">
      <c r="A522" s="2">
        <v>2551</v>
      </c>
      <c r="B522" s="2"/>
      <c r="C522" s="131"/>
      <c r="D522" s="131"/>
      <c r="E522" s="131"/>
      <c r="F522" s="2"/>
      <c r="G522" s="2"/>
      <c r="H522" s="132">
        <v>0</v>
      </c>
      <c r="I522" s="132"/>
      <c r="J522" s="132"/>
      <c r="K522" s="132"/>
      <c r="L522" s="132">
        <f t="shared" si="59"/>
        <v>0</v>
      </c>
      <c r="M522" s="132">
        <f t="shared" si="60"/>
        <v>0</v>
      </c>
      <c r="N522" s="133"/>
      <c r="O522" s="133">
        <f t="shared" si="61"/>
        <v>0</v>
      </c>
      <c r="P522" s="134"/>
      <c r="Q522" s="133"/>
      <c r="R522" s="133"/>
      <c r="S522" s="153">
        <v>0</v>
      </c>
      <c r="T522" s="153">
        <v>0</v>
      </c>
      <c r="U522" s="153">
        <v>0</v>
      </c>
      <c r="V522" s="135"/>
      <c r="W522" s="135"/>
      <c r="X522" s="135"/>
      <c r="Y522" s="135"/>
      <c r="Z522" s="135"/>
      <c r="AA522" s="135"/>
      <c r="AB522" s="135"/>
      <c r="AC522" s="135"/>
      <c r="AD522" s="133"/>
      <c r="AE522" s="133"/>
      <c r="AF522" s="132" t="str">
        <f t="shared" si="62"/>
        <v>Нет инфо</v>
      </c>
      <c r="AG522" s="132" t="str">
        <f t="shared" si="63"/>
        <v>Нет инфо</v>
      </c>
      <c r="AH522" s="2"/>
      <c r="AI522" s="136"/>
      <c r="AJ522" s="2"/>
      <c r="AK522" s="136"/>
      <c r="AL522" s="136"/>
      <c r="AM522" s="2"/>
      <c r="AN522" s="2"/>
      <c r="AO522" s="2"/>
      <c r="AP522" s="2"/>
      <c r="AQ522" s="136"/>
    </row>
    <row r="523" spans="1:43" s="115" customFormat="1" ht="12.75" hidden="1" customHeight="1" x14ac:dyDescent="0.2">
      <c r="A523" s="2">
        <v>2552</v>
      </c>
      <c r="B523" s="2"/>
      <c r="C523" s="131"/>
      <c r="D523" s="131"/>
      <c r="E523" s="131"/>
      <c r="F523" s="2"/>
      <c r="G523" s="2"/>
      <c r="H523" s="132">
        <v>0</v>
      </c>
      <c r="I523" s="132"/>
      <c r="J523" s="132"/>
      <c r="K523" s="132"/>
      <c r="L523" s="132">
        <f t="shared" ref="L523:L586" si="64">H523-K523</f>
        <v>0</v>
      </c>
      <c r="M523" s="132">
        <f t="shared" ref="M523:M586" si="65">I523-K523</f>
        <v>0</v>
      </c>
      <c r="N523" s="133"/>
      <c r="O523" s="133">
        <f t="shared" ref="O523:O586" si="66">IF(OR(AJ523="принят",AJ523="Завершено",AJ523="ПриПро"),I523-K523,H523-K523)</f>
        <v>0</v>
      </c>
      <c r="P523" s="134"/>
      <c r="Q523" s="133"/>
      <c r="R523" s="133"/>
      <c r="S523" s="153">
        <v>0</v>
      </c>
      <c r="T523" s="153">
        <v>0</v>
      </c>
      <c r="U523" s="153">
        <v>0</v>
      </c>
      <c r="V523" s="135"/>
      <c r="W523" s="135"/>
      <c r="X523" s="135"/>
      <c r="Y523" s="135"/>
      <c r="Z523" s="135"/>
      <c r="AA523" s="135"/>
      <c r="AB523" s="135"/>
      <c r="AC523" s="135"/>
      <c r="AD523" s="133"/>
      <c r="AE523" s="133"/>
      <c r="AF523" s="132" t="str">
        <f t="shared" si="62"/>
        <v>Нет инфо</v>
      </c>
      <c r="AG523" s="132" t="str">
        <f t="shared" si="63"/>
        <v>Нет инфо</v>
      </c>
      <c r="AH523" s="2"/>
      <c r="AI523" s="136"/>
      <c r="AJ523" s="2"/>
      <c r="AK523" s="136"/>
      <c r="AL523" s="136"/>
      <c r="AM523" s="2"/>
      <c r="AN523" s="2"/>
      <c r="AO523" s="2"/>
      <c r="AP523" s="2"/>
      <c r="AQ523" s="136"/>
    </row>
    <row r="524" spans="1:43" s="115" customFormat="1" ht="12.75" hidden="1" customHeight="1" x14ac:dyDescent="0.2">
      <c r="A524" s="2">
        <v>2553</v>
      </c>
      <c r="B524" s="2"/>
      <c r="C524" s="131"/>
      <c r="D524" s="131"/>
      <c r="E524" s="131"/>
      <c r="F524" s="2"/>
      <c r="G524" s="2"/>
      <c r="H524" s="132">
        <v>0</v>
      </c>
      <c r="I524" s="132"/>
      <c r="J524" s="132"/>
      <c r="K524" s="132"/>
      <c r="L524" s="132">
        <f t="shared" si="64"/>
        <v>0</v>
      </c>
      <c r="M524" s="132">
        <f t="shared" si="65"/>
        <v>0</v>
      </c>
      <c r="N524" s="133"/>
      <c r="O524" s="133">
        <f t="shared" si="66"/>
        <v>0</v>
      </c>
      <c r="P524" s="134"/>
      <c r="Q524" s="133"/>
      <c r="R524" s="133"/>
      <c r="S524" s="153">
        <v>0</v>
      </c>
      <c r="T524" s="153">
        <v>0</v>
      </c>
      <c r="U524" s="153">
        <v>0</v>
      </c>
      <c r="V524" s="135"/>
      <c r="W524" s="135"/>
      <c r="X524" s="135"/>
      <c r="Y524" s="135"/>
      <c r="Z524" s="135"/>
      <c r="AA524" s="135"/>
      <c r="AB524" s="135"/>
      <c r="AC524" s="135"/>
      <c r="AD524" s="133"/>
      <c r="AE524" s="133"/>
      <c r="AF524" s="132" t="str">
        <f t="shared" si="62"/>
        <v>Нет инфо</v>
      </c>
      <c r="AG524" s="132" t="str">
        <f t="shared" si="63"/>
        <v>Нет инфо</v>
      </c>
      <c r="AH524" s="2"/>
      <c r="AI524" s="136"/>
      <c r="AJ524" s="2"/>
      <c r="AK524" s="136"/>
      <c r="AL524" s="136"/>
      <c r="AM524" s="2"/>
      <c r="AN524" s="2"/>
      <c r="AO524" s="2"/>
      <c r="AP524" s="2"/>
      <c r="AQ524" s="136"/>
    </row>
    <row r="525" spans="1:43" s="115" customFormat="1" ht="12.75" hidden="1" customHeight="1" x14ac:dyDescent="0.2">
      <c r="A525" s="2">
        <v>2554</v>
      </c>
      <c r="B525" s="2"/>
      <c r="C525" s="131"/>
      <c r="D525" s="131"/>
      <c r="E525" s="131"/>
      <c r="F525" s="2"/>
      <c r="G525" s="2"/>
      <c r="H525" s="132">
        <v>0</v>
      </c>
      <c r="I525" s="132"/>
      <c r="J525" s="132"/>
      <c r="K525" s="132"/>
      <c r="L525" s="132">
        <f t="shared" si="64"/>
        <v>0</v>
      </c>
      <c r="M525" s="132">
        <f t="shared" si="65"/>
        <v>0</v>
      </c>
      <c r="N525" s="133"/>
      <c r="O525" s="133">
        <f t="shared" si="66"/>
        <v>0</v>
      </c>
      <c r="P525" s="134"/>
      <c r="Q525" s="133"/>
      <c r="R525" s="133"/>
      <c r="S525" s="153">
        <v>0</v>
      </c>
      <c r="T525" s="153">
        <v>0</v>
      </c>
      <c r="U525" s="153">
        <v>0</v>
      </c>
      <c r="V525" s="135"/>
      <c r="W525" s="135"/>
      <c r="X525" s="135"/>
      <c r="Y525" s="135"/>
      <c r="Z525" s="135"/>
      <c r="AA525" s="135"/>
      <c r="AB525" s="135"/>
      <c r="AC525" s="135"/>
      <c r="AD525" s="133"/>
      <c r="AE525" s="133"/>
      <c r="AF525" s="132" t="str">
        <f t="shared" si="62"/>
        <v>Нет инфо</v>
      </c>
      <c r="AG525" s="132" t="str">
        <f t="shared" si="63"/>
        <v>Нет инфо</v>
      </c>
      <c r="AH525" s="2"/>
      <c r="AI525" s="136"/>
      <c r="AJ525" s="2"/>
      <c r="AK525" s="136"/>
      <c r="AL525" s="136"/>
      <c r="AM525" s="2"/>
      <c r="AN525" s="2"/>
      <c r="AO525" s="2"/>
      <c r="AP525" s="2"/>
      <c r="AQ525" s="136"/>
    </row>
    <row r="526" spans="1:43" s="115" customFormat="1" ht="12.75" hidden="1" customHeight="1" x14ac:dyDescent="0.2">
      <c r="A526" s="2">
        <v>2555</v>
      </c>
      <c r="B526" s="2"/>
      <c r="C526" s="131"/>
      <c r="D526" s="131"/>
      <c r="E526" s="131"/>
      <c r="F526" s="2"/>
      <c r="G526" s="2"/>
      <c r="H526" s="132">
        <v>0</v>
      </c>
      <c r="I526" s="132"/>
      <c r="J526" s="132"/>
      <c r="K526" s="132"/>
      <c r="L526" s="132">
        <f t="shared" si="64"/>
        <v>0</v>
      </c>
      <c r="M526" s="132">
        <f t="shared" si="65"/>
        <v>0</v>
      </c>
      <c r="N526" s="133"/>
      <c r="O526" s="133">
        <f t="shared" si="66"/>
        <v>0</v>
      </c>
      <c r="P526" s="134"/>
      <c r="Q526" s="133"/>
      <c r="R526" s="133"/>
      <c r="S526" s="153">
        <v>0</v>
      </c>
      <c r="T526" s="153">
        <v>0</v>
      </c>
      <c r="U526" s="153">
        <v>0</v>
      </c>
      <c r="V526" s="135"/>
      <c r="W526" s="135"/>
      <c r="X526" s="135"/>
      <c r="Y526" s="135"/>
      <c r="Z526" s="135"/>
      <c r="AA526" s="135"/>
      <c r="AB526" s="135"/>
      <c r="AC526" s="135"/>
      <c r="AD526" s="133"/>
      <c r="AE526" s="133"/>
      <c r="AF526" s="132" t="str">
        <f t="shared" si="62"/>
        <v>Нет инфо</v>
      </c>
      <c r="AG526" s="132" t="str">
        <f t="shared" si="63"/>
        <v>Нет инфо</v>
      </c>
      <c r="AH526" s="2"/>
      <c r="AI526" s="136"/>
      <c r="AJ526" s="2"/>
      <c r="AK526" s="136"/>
      <c r="AL526" s="136"/>
      <c r="AM526" s="2"/>
      <c r="AN526" s="2"/>
      <c r="AO526" s="2"/>
      <c r="AP526" s="2"/>
      <c r="AQ526" s="136"/>
    </row>
    <row r="527" spans="1:43" s="115" customFormat="1" ht="12.75" hidden="1" customHeight="1" x14ac:dyDescent="0.2">
      <c r="A527" s="2">
        <v>2556</v>
      </c>
      <c r="B527" s="2"/>
      <c r="C527" s="131"/>
      <c r="D527" s="131"/>
      <c r="E527" s="131"/>
      <c r="F527" s="2"/>
      <c r="G527" s="2"/>
      <c r="H527" s="132">
        <v>0</v>
      </c>
      <c r="I527" s="132"/>
      <c r="J527" s="132"/>
      <c r="K527" s="132"/>
      <c r="L527" s="132">
        <f t="shared" si="64"/>
        <v>0</v>
      </c>
      <c r="M527" s="132">
        <f t="shared" si="65"/>
        <v>0</v>
      </c>
      <c r="N527" s="133"/>
      <c r="O527" s="133">
        <f t="shared" si="66"/>
        <v>0</v>
      </c>
      <c r="P527" s="134"/>
      <c r="Q527" s="133"/>
      <c r="R527" s="133"/>
      <c r="S527" s="153">
        <v>0</v>
      </c>
      <c r="T527" s="153">
        <v>0</v>
      </c>
      <c r="U527" s="153">
        <v>0</v>
      </c>
      <c r="V527" s="135"/>
      <c r="W527" s="135"/>
      <c r="X527" s="135"/>
      <c r="Y527" s="135"/>
      <c r="Z527" s="135"/>
      <c r="AA527" s="135"/>
      <c r="AB527" s="135"/>
      <c r="AC527" s="135"/>
      <c r="AD527" s="133"/>
      <c r="AE527" s="133"/>
      <c r="AF527" s="132" t="str">
        <f t="shared" si="62"/>
        <v>Нет инфо</v>
      </c>
      <c r="AG527" s="132" t="str">
        <f t="shared" si="63"/>
        <v>Нет инфо</v>
      </c>
      <c r="AH527" s="2"/>
      <c r="AI527" s="136"/>
      <c r="AJ527" s="2"/>
      <c r="AK527" s="136"/>
      <c r="AL527" s="136"/>
      <c r="AM527" s="2"/>
      <c r="AN527" s="2"/>
      <c r="AO527" s="2"/>
      <c r="AP527" s="2"/>
      <c r="AQ527" s="136"/>
    </row>
    <row r="528" spans="1:43" s="115" customFormat="1" ht="12.75" hidden="1" customHeight="1" x14ac:dyDescent="0.2">
      <c r="A528" s="2">
        <v>2557</v>
      </c>
      <c r="B528" s="2"/>
      <c r="C528" s="131"/>
      <c r="D528" s="131"/>
      <c r="E528" s="131"/>
      <c r="F528" s="2"/>
      <c r="G528" s="2"/>
      <c r="H528" s="132">
        <v>0</v>
      </c>
      <c r="I528" s="132"/>
      <c r="J528" s="132"/>
      <c r="K528" s="132"/>
      <c r="L528" s="132">
        <f t="shared" si="64"/>
        <v>0</v>
      </c>
      <c r="M528" s="132">
        <f t="shared" si="65"/>
        <v>0</v>
      </c>
      <c r="N528" s="133"/>
      <c r="O528" s="133">
        <f t="shared" si="66"/>
        <v>0</v>
      </c>
      <c r="P528" s="134"/>
      <c r="Q528" s="133"/>
      <c r="R528" s="133"/>
      <c r="S528" s="153">
        <v>0</v>
      </c>
      <c r="T528" s="153">
        <v>0</v>
      </c>
      <c r="U528" s="153">
        <v>0</v>
      </c>
      <c r="V528" s="135"/>
      <c r="W528" s="135"/>
      <c r="X528" s="135"/>
      <c r="Y528" s="135"/>
      <c r="Z528" s="135"/>
      <c r="AA528" s="135"/>
      <c r="AB528" s="135"/>
      <c r="AC528" s="135"/>
      <c r="AD528" s="133"/>
      <c r="AE528" s="133"/>
      <c r="AF528" s="132" t="str">
        <f t="shared" si="62"/>
        <v>Нет инфо</v>
      </c>
      <c r="AG528" s="132" t="str">
        <f t="shared" si="63"/>
        <v>Нет инфо</v>
      </c>
      <c r="AH528" s="2"/>
      <c r="AI528" s="136"/>
      <c r="AJ528" s="2"/>
      <c r="AK528" s="136"/>
      <c r="AL528" s="136"/>
      <c r="AM528" s="2"/>
      <c r="AN528" s="2"/>
      <c r="AO528" s="2"/>
      <c r="AP528" s="2"/>
      <c r="AQ528" s="136"/>
    </row>
    <row r="529" spans="1:43" s="115" customFormat="1" ht="12.75" hidden="1" customHeight="1" x14ac:dyDescent="0.2">
      <c r="A529" s="2">
        <v>2558</v>
      </c>
      <c r="B529" s="2"/>
      <c r="C529" s="131"/>
      <c r="D529" s="131"/>
      <c r="E529" s="131"/>
      <c r="F529" s="2"/>
      <c r="G529" s="2"/>
      <c r="H529" s="132">
        <v>0</v>
      </c>
      <c r="I529" s="132"/>
      <c r="J529" s="132"/>
      <c r="K529" s="132"/>
      <c r="L529" s="132">
        <f t="shared" si="64"/>
        <v>0</v>
      </c>
      <c r="M529" s="132">
        <f t="shared" si="65"/>
        <v>0</v>
      </c>
      <c r="N529" s="133"/>
      <c r="O529" s="133">
        <f t="shared" si="66"/>
        <v>0</v>
      </c>
      <c r="P529" s="134"/>
      <c r="Q529" s="133"/>
      <c r="R529" s="133"/>
      <c r="S529" s="153">
        <v>0</v>
      </c>
      <c r="T529" s="153">
        <v>0</v>
      </c>
      <c r="U529" s="153">
        <v>0</v>
      </c>
      <c r="V529" s="135"/>
      <c r="W529" s="135"/>
      <c r="X529" s="135"/>
      <c r="Y529" s="135"/>
      <c r="Z529" s="135"/>
      <c r="AA529" s="135"/>
      <c r="AB529" s="135"/>
      <c r="AC529" s="135"/>
      <c r="AD529" s="133"/>
      <c r="AE529" s="133"/>
      <c r="AF529" s="132" t="str">
        <f t="shared" si="62"/>
        <v>Нет инфо</v>
      </c>
      <c r="AG529" s="132" t="str">
        <f t="shared" si="63"/>
        <v>Нет инфо</v>
      </c>
      <c r="AH529" s="2"/>
      <c r="AI529" s="136"/>
      <c r="AJ529" s="2"/>
      <c r="AK529" s="136"/>
      <c r="AL529" s="136"/>
      <c r="AM529" s="2"/>
      <c r="AN529" s="2"/>
      <c r="AO529" s="2"/>
      <c r="AP529" s="2"/>
      <c r="AQ529" s="136"/>
    </row>
    <row r="530" spans="1:43" s="115" customFormat="1" ht="12.75" hidden="1" customHeight="1" x14ac:dyDescent="0.2">
      <c r="A530" s="2">
        <v>2559</v>
      </c>
      <c r="B530" s="2"/>
      <c r="C530" s="131"/>
      <c r="D530" s="131"/>
      <c r="E530" s="131"/>
      <c r="F530" s="2"/>
      <c r="G530" s="2"/>
      <c r="H530" s="132">
        <v>0</v>
      </c>
      <c r="I530" s="132"/>
      <c r="J530" s="132"/>
      <c r="K530" s="132"/>
      <c r="L530" s="132">
        <f t="shared" si="64"/>
        <v>0</v>
      </c>
      <c r="M530" s="132">
        <f t="shared" si="65"/>
        <v>0</v>
      </c>
      <c r="N530" s="133"/>
      <c r="O530" s="133">
        <f t="shared" si="66"/>
        <v>0</v>
      </c>
      <c r="P530" s="134"/>
      <c r="Q530" s="133"/>
      <c r="R530" s="133"/>
      <c r="S530" s="153">
        <v>0</v>
      </c>
      <c r="T530" s="153">
        <v>0</v>
      </c>
      <c r="U530" s="153">
        <v>0</v>
      </c>
      <c r="V530" s="135"/>
      <c r="W530" s="135"/>
      <c r="X530" s="135"/>
      <c r="Y530" s="135"/>
      <c r="Z530" s="135"/>
      <c r="AA530" s="135"/>
      <c r="AB530" s="135"/>
      <c r="AC530" s="135"/>
      <c r="AD530" s="133"/>
      <c r="AE530" s="133"/>
      <c r="AF530" s="132" t="str">
        <f t="shared" si="62"/>
        <v>Нет инфо</v>
      </c>
      <c r="AG530" s="132" t="str">
        <f t="shared" si="63"/>
        <v>Нет инфо</v>
      </c>
      <c r="AH530" s="2"/>
      <c r="AI530" s="136"/>
      <c r="AJ530" s="2"/>
      <c r="AK530" s="136"/>
      <c r="AL530" s="136"/>
      <c r="AM530" s="2"/>
      <c r="AN530" s="2"/>
      <c r="AO530" s="2"/>
      <c r="AP530" s="2"/>
      <c r="AQ530" s="136"/>
    </row>
    <row r="531" spans="1:43" s="115" customFormat="1" ht="12.75" hidden="1" customHeight="1" x14ac:dyDescent="0.2">
      <c r="A531" s="2">
        <v>2560</v>
      </c>
      <c r="B531" s="2"/>
      <c r="C531" s="131"/>
      <c r="D531" s="131"/>
      <c r="E531" s="131"/>
      <c r="F531" s="2"/>
      <c r="G531" s="2"/>
      <c r="H531" s="132">
        <v>0</v>
      </c>
      <c r="I531" s="132"/>
      <c r="J531" s="132"/>
      <c r="K531" s="132"/>
      <c r="L531" s="132">
        <f t="shared" si="64"/>
        <v>0</v>
      </c>
      <c r="M531" s="132">
        <f t="shared" si="65"/>
        <v>0</v>
      </c>
      <c r="N531" s="133"/>
      <c r="O531" s="133">
        <f t="shared" si="66"/>
        <v>0</v>
      </c>
      <c r="P531" s="134"/>
      <c r="Q531" s="133"/>
      <c r="R531" s="133"/>
      <c r="S531" s="153">
        <v>0</v>
      </c>
      <c r="T531" s="153">
        <v>0</v>
      </c>
      <c r="U531" s="153">
        <v>0</v>
      </c>
      <c r="V531" s="135"/>
      <c r="W531" s="135"/>
      <c r="X531" s="135"/>
      <c r="Y531" s="135"/>
      <c r="Z531" s="135"/>
      <c r="AA531" s="135"/>
      <c r="AB531" s="135"/>
      <c r="AC531" s="135"/>
      <c r="AD531" s="133"/>
      <c r="AE531" s="133"/>
      <c r="AF531" s="132" t="str">
        <f t="shared" si="62"/>
        <v>Нет инфо</v>
      </c>
      <c r="AG531" s="132" t="str">
        <f t="shared" si="63"/>
        <v>Нет инфо</v>
      </c>
      <c r="AH531" s="2"/>
      <c r="AI531" s="136"/>
      <c r="AJ531" s="2"/>
      <c r="AK531" s="136"/>
      <c r="AL531" s="136"/>
      <c r="AM531" s="2"/>
      <c r="AN531" s="2"/>
      <c r="AO531" s="2"/>
      <c r="AP531" s="2"/>
      <c r="AQ531" s="136"/>
    </row>
    <row r="532" spans="1:43" s="115" customFormat="1" ht="12.75" hidden="1" customHeight="1" x14ac:dyDescent="0.2">
      <c r="A532" s="2">
        <v>2561</v>
      </c>
      <c r="B532" s="2"/>
      <c r="C532" s="131"/>
      <c r="D532" s="131"/>
      <c r="E532" s="131"/>
      <c r="F532" s="2"/>
      <c r="G532" s="2"/>
      <c r="H532" s="132">
        <v>0</v>
      </c>
      <c r="I532" s="132"/>
      <c r="J532" s="132"/>
      <c r="K532" s="132"/>
      <c r="L532" s="132">
        <f t="shared" si="64"/>
        <v>0</v>
      </c>
      <c r="M532" s="132">
        <f t="shared" si="65"/>
        <v>0</v>
      </c>
      <c r="N532" s="133"/>
      <c r="O532" s="133">
        <f t="shared" si="66"/>
        <v>0</v>
      </c>
      <c r="P532" s="134"/>
      <c r="Q532" s="133"/>
      <c r="R532" s="133"/>
      <c r="S532" s="153">
        <v>0</v>
      </c>
      <c r="T532" s="153">
        <v>0</v>
      </c>
      <c r="U532" s="153">
        <v>0</v>
      </c>
      <c r="V532" s="135"/>
      <c r="W532" s="135"/>
      <c r="X532" s="135"/>
      <c r="Y532" s="135"/>
      <c r="Z532" s="135"/>
      <c r="AA532" s="135"/>
      <c r="AB532" s="135"/>
      <c r="AC532" s="135"/>
      <c r="AD532" s="133"/>
      <c r="AE532" s="133"/>
      <c r="AF532" s="132" t="str">
        <f t="shared" si="62"/>
        <v>Нет инфо</v>
      </c>
      <c r="AG532" s="132" t="str">
        <f t="shared" si="63"/>
        <v>Нет инфо</v>
      </c>
      <c r="AH532" s="2"/>
      <c r="AI532" s="136"/>
      <c r="AJ532" s="2"/>
      <c r="AK532" s="136"/>
      <c r="AL532" s="136"/>
      <c r="AM532" s="2"/>
      <c r="AN532" s="2"/>
      <c r="AO532" s="2"/>
      <c r="AP532" s="2"/>
      <c r="AQ532" s="136"/>
    </row>
    <row r="533" spans="1:43" s="115" customFormat="1" ht="12.75" hidden="1" customHeight="1" x14ac:dyDescent="0.2">
      <c r="A533" s="2">
        <v>2562</v>
      </c>
      <c r="B533" s="2"/>
      <c r="C533" s="131"/>
      <c r="D533" s="131"/>
      <c r="E533" s="131"/>
      <c r="F533" s="2"/>
      <c r="G533" s="2"/>
      <c r="H533" s="132">
        <v>0</v>
      </c>
      <c r="I533" s="132"/>
      <c r="J533" s="132"/>
      <c r="K533" s="132"/>
      <c r="L533" s="132">
        <f t="shared" si="64"/>
        <v>0</v>
      </c>
      <c r="M533" s="132">
        <f t="shared" si="65"/>
        <v>0</v>
      </c>
      <c r="N533" s="133"/>
      <c r="O533" s="133">
        <f t="shared" si="66"/>
        <v>0</v>
      </c>
      <c r="P533" s="134"/>
      <c r="Q533" s="133"/>
      <c r="R533" s="133"/>
      <c r="S533" s="153">
        <v>0</v>
      </c>
      <c r="T533" s="153">
        <v>0</v>
      </c>
      <c r="U533" s="153">
        <v>0</v>
      </c>
      <c r="V533" s="135"/>
      <c r="W533" s="135"/>
      <c r="X533" s="135"/>
      <c r="Y533" s="135"/>
      <c r="Z533" s="135"/>
      <c r="AA533" s="135"/>
      <c r="AB533" s="135"/>
      <c r="AC533" s="135"/>
      <c r="AD533" s="133"/>
      <c r="AE533" s="133"/>
      <c r="AF533" s="132" t="str">
        <f t="shared" si="62"/>
        <v>Нет инфо</v>
      </c>
      <c r="AG533" s="132" t="str">
        <f t="shared" si="63"/>
        <v>Нет инфо</v>
      </c>
      <c r="AH533" s="2"/>
      <c r="AI533" s="136"/>
      <c r="AJ533" s="2"/>
      <c r="AK533" s="136"/>
      <c r="AL533" s="136"/>
      <c r="AM533" s="2"/>
      <c r="AN533" s="2"/>
      <c r="AO533" s="2"/>
      <c r="AP533" s="2"/>
      <c r="AQ533" s="136"/>
    </row>
    <row r="534" spans="1:43" s="115" customFormat="1" ht="12.75" hidden="1" customHeight="1" x14ac:dyDescent="0.2">
      <c r="A534" s="2">
        <v>2563</v>
      </c>
      <c r="B534" s="2"/>
      <c r="C534" s="131"/>
      <c r="D534" s="131"/>
      <c r="E534" s="131"/>
      <c r="F534" s="2"/>
      <c r="G534" s="2"/>
      <c r="H534" s="132">
        <v>0</v>
      </c>
      <c r="I534" s="132"/>
      <c r="J534" s="132"/>
      <c r="K534" s="132"/>
      <c r="L534" s="132">
        <f t="shared" si="64"/>
        <v>0</v>
      </c>
      <c r="M534" s="132">
        <f t="shared" si="65"/>
        <v>0</v>
      </c>
      <c r="N534" s="133"/>
      <c r="O534" s="133">
        <f t="shared" si="66"/>
        <v>0</v>
      </c>
      <c r="P534" s="134"/>
      <c r="Q534" s="133"/>
      <c r="R534" s="133"/>
      <c r="S534" s="153">
        <v>0</v>
      </c>
      <c r="T534" s="153">
        <v>0</v>
      </c>
      <c r="U534" s="153">
        <v>0</v>
      </c>
      <c r="V534" s="135"/>
      <c r="W534" s="135"/>
      <c r="X534" s="135"/>
      <c r="Y534" s="135"/>
      <c r="Z534" s="135"/>
      <c r="AA534" s="135"/>
      <c r="AB534" s="135"/>
      <c r="AC534" s="135"/>
      <c r="AD534" s="133"/>
      <c r="AE534" s="133"/>
      <c r="AF534" s="132" t="str">
        <f t="shared" si="62"/>
        <v>Нет инфо</v>
      </c>
      <c r="AG534" s="132" t="str">
        <f t="shared" si="63"/>
        <v>Нет инфо</v>
      </c>
      <c r="AH534" s="2"/>
      <c r="AI534" s="136"/>
      <c r="AJ534" s="2"/>
      <c r="AK534" s="136"/>
      <c r="AL534" s="136"/>
      <c r="AM534" s="2"/>
      <c r="AN534" s="2"/>
      <c r="AO534" s="2"/>
      <c r="AP534" s="2"/>
      <c r="AQ534" s="136"/>
    </row>
    <row r="535" spans="1:43" s="115" customFormat="1" ht="12.75" hidden="1" customHeight="1" x14ac:dyDescent="0.2">
      <c r="A535" s="2">
        <v>2564</v>
      </c>
      <c r="B535" s="2"/>
      <c r="C535" s="131"/>
      <c r="D535" s="131"/>
      <c r="E535" s="131"/>
      <c r="F535" s="2"/>
      <c r="G535" s="2"/>
      <c r="H535" s="132">
        <v>0</v>
      </c>
      <c r="I535" s="132"/>
      <c r="J535" s="132"/>
      <c r="K535" s="132"/>
      <c r="L535" s="132">
        <f t="shared" si="64"/>
        <v>0</v>
      </c>
      <c r="M535" s="132">
        <f t="shared" si="65"/>
        <v>0</v>
      </c>
      <c r="N535" s="133"/>
      <c r="O535" s="133">
        <f t="shared" si="66"/>
        <v>0</v>
      </c>
      <c r="P535" s="134"/>
      <c r="Q535" s="133"/>
      <c r="R535" s="133"/>
      <c r="S535" s="153">
        <v>0</v>
      </c>
      <c r="T535" s="153">
        <v>0</v>
      </c>
      <c r="U535" s="153">
        <v>0</v>
      </c>
      <c r="V535" s="135"/>
      <c r="W535" s="135"/>
      <c r="X535" s="135"/>
      <c r="Y535" s="135"/>
      <c r="Z535" s="135"/>
      <c r="AA535" s="135"/>
      <c r="AB535" s="135"/>
      <c r="AC535" s="135"/>
      <c r="AD535" s="133"/>
      <c r="AE535" s="133"/>
      <c r="AF535" s="132" t="str">
        <f t="shared" si="62"/>
        <v>Нет инфо</v>
      </c>
      <c r="AG535" s="132" t="str">
        <f t="shared" si="63"/>
        <v>Нет инфо</v>
      </c>
      <c r="AH535" s="2"/>
      <c r="AI535" s="136"/>
      <c r="AJ535" s="2"/>
      <c r="AK535" s="136"/>
      <c r="AL535" s="136"/>
      <c r="AM535" s="2"/>
      <c r="AN535" s="2"/>
      <c r="AO535" s="2"/>
      <c r="AP535" s="2"/>
      <c r="AQ535" s="136"/>
    </row>
    <row r="536" spans="1:43" s="115" customFormat="1" ht="12.75" hidden="1" customHeight="1" x14ac:dyDescent="0.2">
      <c r="A536" s="2">
        <v>2565</v>
      </c>
      <c r="B536" s="2"/>
      <c r="C536" s="131"/>
      <c r="D536" s="131"/>
      <c r="E536" s="131"/>
      <c r="F536" s="2"/>
      <c r="G536" s="2"/>
      <c r="H536" s="132">
        <v>0</v>
      </c>
      <c r="I536" s="132"/>
      <c r="J536" s="132"/>
      <c r="K536" s="132"/>
      <c r="L536" s="132">
        <f t="shared" si="64"/>
        <v>0</v>
      </c>
      <c r="M536" s="132">
        <f t="shared" si="65"/>
        <v>0</v>
      </c>
      <c r="N536" s="133"/>
      <c r="O536" s="133">
        <f t="shared" si="66"/>
        <v>0</v>
      </c>
      <c r="P536" s="134"/>
      <c r="Q536" s="133"/>
      <c r="R536" s="133"/>
      <c r="S536" s="153">
        <v>0</v>
      </c>
      <c r="T536" s="153">
        <v>0</v>
      </c>
      <c r="U536" s="153">
        <v>0</v>
      </c>
      <c r="V536" s="135"/>
      <c r="W536" s="135"/>
      <c r="X536" s="135"/>
      <c r="Y536" s="135"/>
      <c r="Z536" s="135"/>
      <c r="AA536" s="135"/>
      <c r="AB536" s="135"/>
      <c r="AC536" s="135"/>
      <c r="AD536" s="133"/>
      <c r="AE536" s="133"/>
      <c r="AF536" s="132" t="str">
        <f t="shared" si="62"/>
        <v>Нет инфо</v>
      </c>
      <c r="AG536" s="132" t="str">
        <f t="shared" si="63"/>
        <v>Нет инфо</v>
      </c>
      <c r="AH536" s="2"/>
      <c r="AI536" s="136"/>
      <c r="AJ536" s="2"/>
      <c r="AK536" s="136"/>
      <c r="AL536" s="136"/>
      <c r="AM536" s="2"/>
      <c r="AN536" s="2"/>
      <c r="AO536" s="2"/>
      <c r="AP536" s="2"/>
      <c r="AQ536" s="136"/>
    </row>
    <row r="537" spans="1:43" s="115" customFormat="1" ht="12.75" hidden="1" customHeight="1" x14ac:dyDescent="0.2">
      <c r="A537" s="2">
        <v>2566</v>
      </c>
      <c r="B537" s="2"/>
      <c r="C537" s="131"/>
      <c r="D537" s="131"/>
      <c r="E537" s="131"/>
      <c r="F537" s="2"/>
      <c r="G537" s="2"/>
      <c r="H537" s="132">
        <v>0</v>
      </c>
      <c r="I537" s="132"/>
      <c r="J537" s="132"/>
      <c r="K537" s="132"/>
      <c r="L537" s="132">
        <f t="shared" si="64"/>
        <v>0</v>
      </c>
      <c r="M537" s="132">
        <f t="shared" si="65"/>
        <v>0</v>
      </c>
      <c r="N537" s="133"/>
      <c r="O537" s="133">
        <f t="shared" si="66"/>
        <v>0</v>
      </c>
      <c r="P537" s="134"/>
      <c r="Q537" s="133"/>
      <c r="R537" s="133"/>
      <c r="S537" s="153">
        <v>0</v>
      </c>
      <c r="T537" s="153">
        <v>0</v>
      </c>
      <c r="U537" s="153">
        <v>0</v>
      </c>
      <c r="V537" s="135"/>
      <c r="W537" s="135"/>
      <c r="X537" s="135"/>
      <c r="Y537" s="135"/>
      <c r="Z537" s="135"/>
      <c r="AA537" s="135"/>
      <c r="AB537" s="135"/>
      <c r="AC537" s="135"/>
      <c r="AD537" s="133"/>
      <c r="AE537" s="133"/>
      <c r="AF537" s="132" t="str">
        <f t="shared" si="62"/>
        <v>Нет инфо</v>
      </c>
      <c r="AG537" s="132" t="str">
        <f t="shared" si="63"/>
        <v>Нет инфо</v>
      </c>
      <c r="AH537" s="2"/>
      <c r="AI537" s="136"/>
      <c r="AJ537" s="2"/>
      <c r="AK537" s="136"/>
      <c r="AL537" s="136"/>
      <c r="AM537" s="2"/>
      <c r="AN537" s="2"/>
      <c r="AO537" s="2"/>
      <c r="AP537" s="2"/>
      <c r="AQ537" s="136"/>
    </row>
    <row r="538" spans="1:43" s="115" customFormat="1" ht="12.75" hidden="1" customHeight="1" x14ac:dyDescent="0.2">
      <c r="A538" s="2">
        <v>2567</v>
      </c>
      <c r="B538" s="2"/>
      <c r="C538" s="131"/>
      <c r="D538" s="131"/>
      <c r="E538" s="131"/>
      <c r="F538" s="2"/>
      <c r="G538" s="2"/>
      <c r="H538" s="132">
        <v>0</v>
      </c>
      <c r="I538" s="132"/>
      <c r="J538" s="132"/>
      <c r="K538" s="132"/>
      <c r="L538" s="132">
        <f t="shared" si="64"/>
        <v>0</v>
      </c>
      <c r="M538" s="132">
        <f t="shared" si="65"/>
        <v>0</v>
      </c>
      <c r="N538" s="133"/>
      <c r="O538" s="133">
        <f t="shared" si="66"/>
        <v>0</v>
      </c>
      <c r="P538" s="134"/>
      <c r="Q538" s="133"/>
      <c r="R538" s="133"/>
      <c r="S538" s="153">
        <v>0</v>
      </c>
      <c r="T538" s="153">
        <v>0</v>
      </c>
      <c r="U538" s="153">
        <v>0</v>
      </c>
      <c r="V538" s="135"/>
      <c r="W538" s="135"/>
      <c r="X538" s="135"/>
      <c r="Y538" s="135"/>
      <c r="Z538" s="135"/>
      <c r="AA538" s="135"/>
      <c r="AB538" s="135"/>
      <c r="AC538" s="135"/>
      <c r="AD538" s="133"/>
      <c r="AE538" s="133"/>
      <c r="AF538" s="132" t="str">
        <f t="shared" si="62"/>
        <v>Нет инфо</v>
      </c>
      <c r="AG538" s="132" t="str">
        <f t="shared" si="63"/>
        <v>Нет инфо</v>
      </c>
      <c r="AH538" s="2"/>
      <c r="AI538" s="136"/>
      <c r="AJ538" s="2"/>
      <c r="AK538" s="136"/>
      <c r="AL538" s="136"/>
      <c r="AM538" s="2"/>
      <c r="AN538" s="2"/>
      <c r="AO538" s="2"/>
      <c r="AP538" s="2"/>
      <c r="AQ538" s="136"/>
    </row>
    <row r="539" spans="1:43" s="115" customFormat="1" ht="12.75" hidden="1" customHeight="1" x14ac:dyDescent="0.2">
      <c r="A539" s="2">
        <v>2568</v>
      </c>
      <c r="B539" s="2"/>
      <c r="C539" s="131"/>
      <c r="D539" s="131"/>
      <c r="E539" s="131"/>
      <c r="F539" s="2"/>
      <c r="G539" s="2"/>
      <c r="H539" s="132">
        <v>0</v>
      </c>
      <c r="I539" s="132"/>
      <c r="J539" s="132"/>
      <c r="K539" s="132"/>
      <c r="L539" s="132">
        <f t="shared" si="64"/>
        <v>0</v>
      </c>
      <c r="M539" s="132">
        <f t="shared" si="65"/>
        <v>0</v>
      </c>
      <c r="N539" s="133"/>
      <c r="O539" s="133">
        <f t="shared" si="66"/>
        <v>0</v>
      </c>
      <c r="P539" s="134"/>
      <c r="Q539" s="133"/>
      <c r="R539" s="133"/>
      <c r="S539" s="153">
        <v>0</v>
      </c>
      <c r="T539" s="153">
        <v>0</v>
      </c>
      <c r="U539" s="153">
        <v>0</v>
      </c>
      <c r="V539" s="135"/>
      <c r="W539" s="135"/>
      <c r="X539" s="135"/>
      <c r="Y539" s="135"/>
      <c r="Z539" s="135"/>
      <c r="AA539" s="135"/>
      <c r="AB539" s="135"/>
      <c r="AC539" s="135"/>
      <c r="AD539" s="133"/>
      <c r="AE539" s="133"/>
      <c r="AF539" s="132" t="str">
        <f t="shared" si="62"/>
        <v>Нет инфо</v>
      </c>
      <c r="AG539" s="132" t="str">
        <f t="shared" si="63"/>
        <v>Нет инфо</v>
      </c>
      <c r="AH539" s="2"/>
      <c r="AI539" s="136"/>
      <c r="AJ539" s="2"/>
      <c r="AK539" s="136"/>
      <c r="AL539" s="136"/>
      <c r="AM539" s="2"/>
      <c r="AN539" s="2"/>
      <c r="AO539" s="2"/>
      <c r="AP539" s="2"/>
      <c r="AQ539" s="136"/>
    </row>
    <row r="540" spans="1:43" s="115" customFormat="1" ht="12.75" hidden="1" customHeight="1" x14ac:dyDescent="0.2">
      <c r="A540" s="2">
        <v>2569</v>
      </c>
      <c r="B540" s="2"/>
      <c r="C540" s="131"/>
      <c r="D540" s="131"/>
      <c r="E540" s="131"/>
      <c r="F540" s="2"/>
      <c r="G540" s="2"/>
      <c r="H540" s="132">
        <v>0</v>
      </c>
      <c r="I540" s="132"/>
      <c r="J540" s="132"/>
      <c r="K540" s="132"/>
      <c r="L540" s="132">
        <f t="shared" si="64"/>
        <v>0</v>
      </c>
      <c r="M540" s="132">
        <f t="shared" si="65"/>
        <v>0</v>
      </c>
      <c r="N540" s="133"/>
      <c r="O540" s="133">
        <f t="shared" si="66"/>
        <v>0</v>
      </c>
      <c r="P540" s="134"/>
      <c r="Q540" s="133"/>
      <c r="R540" s="133"/>
      <c r="S540" s="153">
        <v>0</v>
      </c>
      <c r="T540" s="153">
        <v>0</v>
      </c>
      <c r="U540" s="153">
        <v>0</v>
      </c>
      <c r="V540" s="135"/>
      <c r="W540" s="135"/>
      <c r="X540" s="135"/>
      <c r="Y540" s="135"/>
      <c r="Z540" s="135"/>
      <c r="AA540" s="135"/>
      <c r="AB540" s="135"/>
      <c r="AC540" s="135"/>
      <c r="AD540" s="133"/>
      <c r="AE540" s="133"/>
      <c r="AF540" s="132" t="str">
        <f t="shared" si="62"/>
        <v>Нет инфо</v>
      </c>
      <c r="AG540" s="132" t="str">
        <f t="shared" si="63"/>
        <v>Нет инфо</v>
      </c>
      <c r="AH540" s="2"/>
      <c r="AI540" s="136"/>
      <c r="AJ540" s="2"/>
      <c r="AK540" s="136"/>
      <c r="AL540" s="136"/>
      <c r="AM540" s="2"/>
      <c r="AN540" s="2"/>
      <c r="AO540" s="2"/>
      <c r="AP540" s="2"/>
      <c r="AQ540" s="136"/>
    </row>
    <row r="541" spans="1:43" s="115" customFormat="1" ht="12.75" hidden="1" customHeight="1" x14ac:dyDescent="0.2">
      <c r="A541" s="2">
        <v>2570</v>
      </c>
      <c r="B541" s="2"/>
      <c r="C541" s="131"/>
      <c r="D541" s="131"/>
      <c r="E541" s="131"/>
      <c r="F541" s="2"/>
      <c r="G541" s="2"/>
      <c r="H541" s="132">
        <v>0</v>
      </c>
      <c r="I541" s="132"/>
      <c r="J541" s="132"/>
      <c r="K541" s="132"/>
      <c r="L541" s="132">
        <f t="shared" si="64"/>
        <v>0</v>
      </c>
      <c r="M541" s="132">
        <f t="shared" si="65"/>
        <v>0</v>
      </c>
      <c r="N541" s="133"/>
      <c r="O541" s="133">
        <f t="shared" si="66"/>
        <v>0</v>
      </c>
      <c r="P541" s="134"/>
      <c r="Q541" s="133"/>
      <c r="R541" s="133"/>
      <c r="S541" s="153">
        <v>0</v>
      </c>
      <c r="T541" s="153">
        <v>0</v>
      </c>
      <c r="U541" s="153">
        <v>0</v>
      </c>
      <c r="V541" s="135"/>
      <c r="W541" s="135"/>
      <c r="X541" s="135"/>
      <c r="Y541" s="135"/>
      <c r="Z541" s="135"/>
      <c r="AA541" s="135"/>
      <c r="AB541" s="135"/>
      <c r="AC541" s="135"/>
      <c r="AD541" s="133"/>
      <c r="AE541" s="133"/>
      <c r="AF541" s="132" t="str">
        <f t="shared" si="62"/>
        <v>Нет инфо</v>
      </c>
      <c r="AG541" s="132" t="str">
        <f t="shared" si="63"/>
        <v>Нет инфо</v>
      </c>
      <c r="AH541" s="2"/>
      <c r="AI541" s="136"/>
      <c r="AJ541" s="2"/>
      <c r="AK541" s="136"/>
      <c r="AL541" s="136"/>
      <c r="AM541" s="2"/>
      <c r="AN541" s="2"/>
      <c r="AO541" s="2"/>
      <c r="AP541" s="2"/>
      <c r="AQ541" s="136"/>
    </row>
    <row r="542" spans="1:43" s="115" customFormat="1" ht="12.75" hidden="1" customHeight="1" x14ac:dyDescent="0.2">
      <c r="A542" s="2">
        <v>2571</v>
      </c>
      <c r="B542" s="2"/>
      <c r="C542" s="131"/>
      <c r="D542" s="131"/>
      <c r="E542" s="131"/>
      <c r="F542" s="2"/>
      <c r="G542" s="2"/>
      <c r="H542" s="132">
        <v>0</v>
      </c>
      <c r="I542" s="132"/>
      <c r="J542" s="132"/>
      <c r="K542" s="132"/>
      <c r="L542" s="132">
        <f t="shared" si="64"/>
        <v>0</v>
      </c>
      <c r="M542" s="132">
        <f t="shared" si="65"/>
        <v>0</v>
      </c>
      <c r="N542" s="133"/>
      <c r="O542" s="133">
        <f t="shared" si="66"/>
        <v>0</v>
      </c>
      <c r="P542" s="134"/>
      <c r="Q542" s="133"/>
      <c r="R542" s="133"/>
      <c r="S542" s="153">
        <v>0</v>
      </c>
      <c r="T542" s="153">
        <v>0</v>
      </c>
      <c r="U542" s="153">
        <v>0</v>
      </c>
      <c r="V542" s="135"/>
      <c r="W542" s="135"/>
      <c r="X542" s="135"/>
      <c r="Y542" s="135"/>
      <c r="Z542" s="135"/>
      <c r="AA542" s="135"/>
      <c r="AB542" s="135"/>
      <c r="AC542" s="135"/>
      <c r="AD542" s="133"/>
      <c r="AE542" s="133"/>
      <c r="AF542" s="132" t="str">
        <f t="shared" si="62"/>
        <v>Нет инфо</v>
      </c>
      <c r="AG542" s="132" t="str">
        <f t="shared" si="63"/>
        <v>Нет инфо</v>
      </c>
      <c r="AH542" s="2"/>
      <c r="AI542" s="136"/>
      <c r="AJ542" s="2"/>
      <c r="AK542" s="136"/>
      <c r="AL542" s="136"/>
      <c r="AM542" s="2"/>
      <c r="AN542" s="2"/>
      <c r="AO542" s="2"/>
      <c r="AP542" s="2"/>
      <c r="AQ542" s="136"/>
    </row>
    <row r="543" spans="1:43" s="115" customFormat="1" ht="12.75" hidden="1" customHeight="1" x14ac:dyDescent="0.2">
      <c r="A543" s="2">
        <v>2572</v>
      </c>
      <c r="B543" s="2"/>
      <c r="C543" s="131"/>
      <c r="D543" s="131"/>
      <c r="E543" s="131"/>
      <c r="F543" s="2"/>
      <c r="G543" s="2"/>
      <c r="H543" s="132">
        <v>0</v>
      </c>
      <c r="I543" s="132"/>
      <c r="J543" s="132"/>
      <c r="K543" s="132"/>
      <c r="L543" s="132">
        <f t="shared" si="64"/>
        <v>0</v>
      </c>
      <c r="M543" s="132">
        <f t="shared" si="65"/>
        <v>0</v>
      </c>
      <c r="N543" s="133"/>
      <c r="O543" s="133">
        <f t="shared" si="66"/>
        <v>0</v>
      </c>
      <c r="P543" s="134"/>
      <c r="Q543" s="133"/>
      <c r="R543" s="133"/>
      <c r="S543" s="153">
        <v>0</v>
      </c>
      <c r="T543" s="153">
        <v>0</v>
      </c>
      <c r="U543" s="153">
        <v>0</v>
      </c>
      <c r="V543" s="135"/>
      <c r="W543" s="135"/>
      <c r="X543" s="135"/>
      <c r="Y543" s="135"/>
      <c r="Z543" s="135"/>
      <c r="AA543" s="135"/>
      <c r="AB543" s="135"/>
      <c r="AC543" s="135"/>
      <c r="AD543" s="133"/>
      <c r="AE543" s="133"/>
      <c r="AF543" s="132" t="str">
        <f t="shared" si="62"/>
        <v>Нет инфо</v>
      </c>
      <c r="AG543" s="132" t="str">
        <f t="shared" si="63"/>
        <v>Нет инфо</v>
      </c>
      <c r="AH543" s="2"/>
      <c r="AI543" s="136"/>
      <c r="AJ543" s="2"/>
      <c r="AK543" s="136"/>
      <c r="AL543" s="136"/>
      <c r="AM543" s="2"/>
      <c r="AN543" s="2"/>
      <c r="AO543" s="2"/>
      <c r="AP543" s="2"/>
      <c r="AQ543" s="136"/>
    </row>
    <row r="544" spans="1:43" s="115" customFormat="1" ht="12.75" hidden="1" customHeight="1" x14ac:dyDescent="0.2">
      <c r="A544" s="2">
        <v>2573</v>
      </c>
      <c r="B544" s="2"/>
      <c r="C544" s="131"/>
      <c r="D544" s="131"/>
      <c r="E544" s="131"/>
      <c r="F544" s="2"/>
      <c r="G544" s="2"/>
      <c r="H544" s="132">
        <v>0</v>
      </c>
      <c r="I544" s="132"/>
      <c r="J544" s="132"/>
      <c r="K544" s="132"/>
      <c r="L544" s="132">
        <f t="shared" si="64"/>
        <v>0</v>
      </c>
      <c r="M544" s="132">
        <f t="shared" si="65"/>
        <v>0</v>
      </c>
      <c r="N544" s="133"/>
      <c r="O544" s="133">
        <f t="shared" si="66"/>
        <v>0</v>
      </c>
      <c r="P544" s="134"/>
      <c r="Q544" s="133"/>
      <c r="R544" s="133"/>
      <c r="S544" s="153">
        <v>0</v>
      </c>
      <c r="T544" s="153">
        <v>0</v>
      </c>
      <c r="U544" s="153">
        <v>0</v>
      </c>
      <c r="V544" s="135"/>
      <c r="W544" s="135"/>
      <c r="X544" s="135"/>
      <c r="Y544" s="135"/>
      <c r="Z544" s="135"/>
      <c r="AA544" s="135"/>
      <c r="AB544" s="135"/>
      <c r="AC544" s="135"/>
      <c r="AD544" s="133"/>
      <c r="AE544" s="133"/>
      <c r="AF544" s="132" t="str">
        <f t="shared" si="62"/>
        <v>Нет инфо</v>
      </c>
      <c r="AG544" s="132" t="str">
        <f t="shared" si="63"/>
        <v>Нет инфо</v>
      </c>
      <c r="AH544" s="2"/>
      <c r="AI544" s="136"/>
      <c r="AJ544" s="2"/>
      <c r="AK544" s="136"/>
      <c r="AL544" s="136"/>
      <c r="AM544" s="2"/>
      <c r="AN544" s="2"/>
      <c r="AO544" s="2"/>
      <c r="AP544" s="2"/>
      <c r="AQ544" s="136"/>
    </row>
    <row r="545" spans="1:43" s="115" customFormat="1" ht="12.75" hidden="1" customHeight="1" x14ac:dyDescent="0.2">
      <c r="A545" s="2">
        <v>2574</v>
      </c>
      <c r="B545" s="2"/>
      <c r="C545" s="131"/>
      <c r="D545" s="131"/>
      <c r="E545" s="131"/>
      <c r="F545" s="2"/>
      <c r="G545" s="2"/>
      <c r="H545" s="132">
        <v>0</v>
      </c>
      <c r="I545" s="132"/>
      <c r="J545" s="132"/>
      <c r="K545" s="132"/>
      <c r="L545" s="132">
        <f t="shared" si="64"/>
        <v>0</v>
      </c>
      <c r="M545" s="132">
        <f t="shared" si="65"/>
        <v>0</v>
      </c>
      <c r="N545" s="133"/>
      <c r="O545" s="133">
        <f t="shared" si="66"/>
        <v>0</v>
      </c>
      <c r="P545" s="134"/>
      <c r="Q545" s="133"/>
      <c r="R545" s="133"/>
      <c r="S545" s="153">
        <v>0</v>
      </c>
      <c r="T545" s="153">
        <v>0</v>
      </c>
      <c r="U545" s="153">
        <v>0</v>
      </c>
      <c r="V545" s="135"/>
      <c r="W545" s="135"/>
      <c r="X545" s="135"/>
      <c r="Y545" s="135"/>
      <c r="Z545" s="135"/>
      <c r="AA545" s="135"/>
      <c r="AB545" s="135"/>
      <c r="AC545" s="135"/>
      <c r="AD545" s="133"/>
      <c r="AE545" s="133"/>
      <c r="AF545" s="132" t="str">
        <f t="shared" si="62"/>
        <v>Нет инфо</v>
      </c>
      <c r="AG545" s="132" t="str">
        <f t="shared" si="63"/>
        <v>Нет инфо</v>
      </c>
      <c r="AH545" s="2"/>
      <c r="AI545" s="136"/>
      <c r="AJ545" s="2"/>
      <c r="AK545" s="136"/>
      <c r="AL545" s="136"/>
      <c r="AM545" s="2"/>
      <c r="AN545" s="2"/>
      <c r="AO545" s="2"/>
      <c r="AP545" s="2"/>
      <c r="AQ545" s="136"/>
    </row>
    <row r="546" spans="1:43" s="115" customFormat="1" ht="12.75" hidden="1" customHeight="1" x14ac:dyDescent="0.2">
      <c r="A546" s="2">
        <v>2575</v>
      </c>
      <c r="B546" s="2"/>
      <c r="C546" s="131"/>
      <c r="D546" s="131"/>
      <c r="E546" s="131"/>
      <c r="F546" s="2"/>
      <c r="G546" s="2"/>
      <c r="H546" s="132">
        <v>0</v>
      </c>
      <c r="I546" s="132"/>
      <c r="J546" s="132"/>
      <c r="K546" s="132"/>
      <c r="L546" s="132">
        <f t="shared" si="64"/>
        <v>0</v>
      </c>
      <c r="M546" s="132">
        <f t="shared" si="65"/>
        <v>0</v>
      </c>
      <c r="N546" s="133"/>
      <c r="O546" s="133">
        <f t="shared" si="66"/>
        <v>0</v>
      </c>
      <c r="P546" s="134"/>
      <c r="Q546" s="133"/>
      <c r="R546" s="133"/>
      <c r="S546" s="153">
        <v>0</v>
      </c>
      <c r="T546" s="153">
        <v>0</v>
      </c>
      <c r="U546" s="153">
        <v>0</v>
      </c>
      <c r="V546" s="135"/>
      <c r="W546" s="135"/>
      <c r="X546" s="135"/>
      <c r="Y546" s="135"/>
      <c r="Z546" s="135"/>
      <c r="AA546" s="135"/>
      <c r="AB546" s="135"/>
      <c r="AC546" s="135"/>
      <c r="AD546" s="133"/>
      <c r="AE546" s="133"/>
      <c r="AF546" s="132" t="str">
        <f t="shared" si="62"/>
        <v>Нет инфо</v>
      </c>
      <c r="AG546" s="132" t="str">
        <f t="shared" si="63"/>
        <v>Нет инфо</v>
      </c>
      <c r="AH546" s="2"/>
      <c r="AI546" s="136"/>
      <c r="AJ546" s="2"/>
      <c r="AK546" s="136"/>
      <c r="AL546" s="136"/>
      <c r="AM546" s="2"/>
      <c r="AN546" s="2"/>
      <c r="AO546" s="2"/>
      <c r="AP546" s="2"/>
      <c r="AQ546" s="136"/>
    </row>
    <row r="547" spans="1:43" s="115" customFormat="1" ht="12.75" hidden="1" customHeight="1" x14ac:dyDescent="0.2">
      <c r="A547" s="2">
        <v>2576</v>
      </c>
      <c r="B547" s="2"/>
      <c r="C547" s="131"/>
      <c r="D547" s="131"/>
      <c r="E547" s="131"/>
      <c r="F547" s="2"/>
      <c r="G547" s="2"/>
      <c r="H547" s="132">
        <v>0</v>
      </c>
      <c r="I547" s="132"/>
      <c r="J547" s="132"/>
      <c r="K547" s="132"/>
      <c r="L547" s="132">
        <f t="shared" si="64"/>
        <v>0</v>
      </c>
      <c r="M547" s="132">
        <f t="shared" si="65"/>
        <v>0</v>
      </c>
      <c r="N547" s="133"/>
      <c r="O547" s="133">
        <f t="shared" si="66"/>
        <v>0</v>
      </c>
      <c r="P547" s="134"/>
      <c r="Q547" s="133"/>
      <c r="R547" s="133"/>
      <c r="S547" s="153">
        <v>0</v>
      </c>
      <c r="T547" s="153">
        <v>0</v>
      </c>
      <c r="U547" s="153">
        <v>0</v>
      </c>
      <c r="V547" s="135"/>
      <c r="W547" s="135"/>
      <c r="X547" s="135"/>
      <c r="Y547" s="135"/>
      <c r="Z547" s="135"/>
      <c r="AA547" s="135"/>
      <c r="AB547" s="135"/>
      <c r="AC547" s="135"/>
      <c r="AD547" s="133"/>
      <c r="AE547" s="133"/>
      <c r="AF547" s="132" t="str">
        <f t="shared" si="62"/>
        <v>Нет инфо</v>
      </c>
      <c r="AG547" s="132" t="str">
        <f t="shared" si="63"/>
        <v>Нет инфо</v>
      </c>
      <c r="AH547" s="2"/>
      <c r="AI547" s="136"/>
      <c r="AJ547" s="2"/>
      <c r="AK547" s="136"/>
      <c r="AL547" s="136"/>
      <c r="AM547" s="2"/>
      <c r="AN547" s="2"/>
      <c r="AO547" s="2"/>
      <c r="AP547" s="2"/>
      <c r="AQ547" s="136"/>
    </row>
    <row r="548" spans="1:43" s="115" customFormat="1" ht="12.75" hidden="1" customHeight="1" x14ac:dyDescent="0.2">
      <c r="A548" s="2">
        <v>2577</v>
      </c>
      <c r="B548" s="2"/>
      <c r="C548" s="131"/>
      <c r="D548" s="131"/>
      <c r="E548" s="131"/>
      <c r="F548" s="2"/>
      <c r="G548" s="2"/>
      <c r="H548" s="132">
        <v>0</v>
      </c>
      <c r="I548" s="132"/>
      <c r="J548" s="132"/>
      <c r="K548" s="132"/>
      <c r="L548" s="132">
        <f t="shared" si="64"/>
        <v>0</v>
      </c>
      <c r="M548" s="132">
        <f t="shared" si="65"/>
        <v>0</v>
      </c>
      <c r="N548" s="133"/>
      <c r="O548" s="133">
        <f t="shared" si="66"/>
        <v>0</v>
      </c>
      <c r="P548" s="134"/>
      <c r="Q548" s="133"/>
      <c r="R548" s="133"/>
      <c r="S548" s="153">
        <v>0</v>
      </c>
      <c r="T548" s="153">
        <v>0</v>
      </c>
      <c r="U548" s="153">
        <v>0</v>
      </c>
      <c r="V548" s="135"/>
      <c r="W548" s="135"/>
      <c r="X548" s="135"/>
      <c r="Y548" s="135"/>
      <c r="Z548" s="135"/>
      <c r="AA548" s="135"/>
      <c r="AB548" s="135"/>
      <c r="AC548" s="135"/>
      <c r="AD548" s="133"/>
      <c r="AE548" s="133"/>
      <c r="AF548" s="132" t="str">
        <f t="shared" si="62"/>
        <v>Нет инфо</v>
      </c>
      <c r="AG548" s="132" t="str">
        <f t="shared" si="63"/>
        <v>Нет инфо</v>
      </c>
      <c r="AH548" s="2"/>
      <c r="AI548" s="136"/>
      <c r="AJ548" s="2"/>
      <c r="AK548" s="136"/>
      <c r="AL548" s="136"/>
      <c r="AM548" s="2"/>
      <c r="AN548" s="2"/>
      <c r="AO548" s="2"/>
      <c r="AP548" s="2"/>
      <c r="AQ548" s="136"/>
    </row>
    <row r="549" spans="1:43" s="115" customFormat="1" ht="12.75" hidden="1" customHeight="1" x14ac:dyDescent="0.2">
      <c r="A549" s="2">
        <v>2578</v>
      </c>
      <c r="B549" s="2"/>
      <c r="C549" s="131"/>
      <c r="D549" s="131"/>
      <c r="E549" s="131"/>
      <c r="F549" s="2"/>
      <c r="G549" s="2"/>
      <c r="H549" s="132">
        <v>0</v>
      </c>
      <c r="I549" s="132"/>
      <c r="J549" s="132"/>
      <c r="K549" s="132"/>
      <c r="L549" s="132">
        <f t="shared" si="64"/>
        <v>0</v>
      </c>
      <c r="M549" s="132">
        <f t="shared" si="65"/>
        <v>0</v>
      </c>
      <c r="N549" s="133"/>
      <c r="O549" s="133">
        <f t="shared" si="66"/>
        <v>0</v>
      </c>
      <c r="P549" s="134"/>
      <c r="Q549" s="133"/>
      <c r="R549" s="133"/>
      <c r="S549" s="153">
        <v>0</v>
      </c>
      <c r="T549" s="153">
        <v>0</v>
      </c>
      <c r="U549" s="153">
        <v>0</v>
      </c>
      <c r="V549" s="135"/>
      <c r="W549" s="135"/>
      <c r="X549" s="135"/>
      <c r="Y549" s="135"/>
      <c r="Z549" s="135"/>
      <c r="AA549" s="135"/>
      <c r="AB549" s="135"/>
      <c r="AC549" s="135"/>
      <c r="AD549" s="133"/>
      <c r="AE549" s="133"/>
      <c r="AF549" s="132" t="str">
        <f t="shared" ref="AF549:AF612" si="67">IF(OR(I549="",I549=0,N549="",N549=0),"Нет инфо",I549/N549)</f>
        <v>Нет инфо</v>
      </c>
      <c r="AG549" s="132" t="str">
        <f t="shared" ref="AG549:AG612" si="68">IF(OR(I549="",I549=0,R549="",R549=0),"Нет инфо",I549/R549)</f>
        <v>Нет инфо</v>
      </c>
      <c r="AH549" s="2"/>
      <c r="AI549" s="136"/>
      <c r="AJ549" s="2"/>
      <c r="AK549" s="136"/>
      <c r="AL549" s="136"/>
      <c r="AM549" s="2"/>
      <c r="AN549" s="2"/>
      <c r="AO549" s="2"/>
      <c r="AP549" s="2"/>
      <c r="AQ549" s="136"/>
    </row>
    <row r="550" spans="1:43" s="115" customFormat="1" ht="12.75" hidden="1" customHeight="1" x14ac:dyDescent="0.2">
      <c r="A550" s="2">
        <v>2579</v>
      </c>
      <c r="B550" s="2"/>
      <c r="C550" s="131"/>
      <c r="D550" s="131"/>
      <c r="E550" s="131"/>
      <c r="F550" s="2"/>
      <c r="G550" s="2"/>
      <c r="H550" s="132">
        <v>0</v>
      </c>
      <c r="I550" s="132"/>
      <c r="J550" s="132"/>
      <c r="K550" s="132"/>
      <c r="L550" s="132">
        <f t="shared" si="64"/>
        <v>0</v>
      </c>
      <c r="M550" s="132">
        <f t="shared" si="65"/>
        <v>0</v>
      </c>
      <c r="N550" s="133"/>
      <c r="O550" s="133">
        <f t="shared" si="66"/>
        <v>0</v>
      </c>
      <c r="P550" s="134"/>
      <c r="Q550" s="133"/>
      <c r="R550" s="133"/>
      <c r="S550" s="153">
        <v>0</v>
      </c>
      <c r="T550" s="153">
        <v>0</v>
      </c>
      <c r="U550" s="153">
        <v>0</v>
      </c>
      <c r="V550" s="135"/>
      <c r="W550" s="135"/>
      <c r="X550" s="135"/>
      <c r="Y550" s="135"/>
      <c r="Z550" s="135"/>
      <c r="AA550" s="135"/>
      <c r="AB550" s="135"/>
      <c r="AC550" s="135"/>
      <c r="AD550" s="133"/>
      <c r="AE550" s="133"/>
      <c r="AF550" s="132" t="str">
        <f t="shared" si="67"/>
        <v>Нет инфо</v>
      </c>
      <c r="AG550" s="132" t="str">
        <f t="shared" si="68"/>
        <v>Нет инфо</v>
      </c>
      <c r="AH550" s="2"/>
      <c r="AI550" s="136"/>
      <c r="AJ550" s="2"/>
      <c r="AK550" s="136"/>
      <c r="AL550" s="136"/>
      <c r="AM550" s="2"/>
      <c r="AN550" s="2"/>
      <c r="AO550" s="2"/>
      <c r="AP550" s="2"/>
      <c r="AQ550" s="136"/>
    </row>
    <row r="551" spans="1:43" s="115" customFormat="1" ht="12.75" hidden="1" customHeight="1" x14ac:dyDescent="0.2">
      <c r="A551" s="2">
        <v>2580</v>
      </c>
      <c r="B551" s="2"/>
      <c r="C551" s="131"/>
      <c r="D551" s="131"/>
      <c r="E551" s="131"/>
      <c r="F551" s="2"/>
      <c r="G551" s="2"/>
      <c r="H551" s="132">
        <v>0</v>
      </c>
      <c r="I551" s="132"/>
      <c r="J551" s="132"/>
      <c r="K551" s="132"/>
      <c r="L551" s="132">
        <f t="shared" si="64"/>
        <v>0</v>
      </c>
      <c r="M551" s="132">
        <f t="shared" si="65"/>
        <v>0</v>
      </c>
      <c r="N551" s="133"/>
      <c r="O551" s="133">
        <f t="shared" si="66"/>
        <v>0</v>
      </c>
      <c r="P551" s="134"/>
      <c r="Q551" s="133"/>
      <c r="R551" s="133"/>
      <c r="S551" s="153">
        <v>0</v>
      </c>
      <c r="T551" s="153">
        <v>0</v>
      </c>
      <c r="U551" s="153">
        <v>0</v>
      </c>
      <c r="V551" s="135"/>
      <c r="W551" s="135"/>
      <c r="X551" s="135"/>
      <c r="Y551" s="135"/>
      <c r="Z551" s="135"/>
      <c r="AA551" s="135"/>
      <c r="AB551" s="135"/>
      <c r="AC551" s="135"/>
      <c r="AD551" s="133"/>
      <c r="AE551" s="133"/>
      <c r="AF551" s="132" t="str">
        <f t="shared" si="67"/>
        <v>Нет инфо</v>
      </c>
      <c r="AG551" s="132" t="str">
        <f t="shared" si="68"/>
        <v>Нет инфо</v>
      </c>
      <c r="AH551" s="2"/>
      <c r="AI551" s="136"/>
      <c r="AJ551" s="2"/>
      <c r="AK551" s="136"/>
      <c r="AL551" s="136"/>
      <c r="AM551" s="2"/>
      <c r="AN551" s="2"/>
      <c r="AO551" s="2"/>
      <c r="AP551" s="2"/>
      <c r="AQ551" s="136"/>
    </row>
    <row r="552" spans="1:43" s="115" customFormat="1" ht="12.75" hidden="1" customHeight="1" x14ac:dyDescent="0.2">
      <c r="A552" s="2">
        <v>2581</v>
      </c>
      <c r="B552" s="2"/>
      <c r="C552" s="131"/>
      <c r="D552" s="131"/>
      <c r="E552" s="131"/>
      <c r="F552" s="2"/>
      <c r="G552" s="2"/>
      <c r="H552" s="132">
        <v>0</v>
      </c>
      <c r="I552" s="132"/>
      <c r="J552" s="132"/>
      <c r="K552" s="132"/>
      <c r="L552" s="132">
        <f t="shared" si="64"/>
        <v>0</v>
      </c>
      <c r="M552" s="132">
        <f t="shared" si="65"/>
        <v>0</v>
      </c>
      <c r="N552" s="133"/>
      <c r="O552" s="133">
        <f t="shared" si="66"/>
        <v>0</v>
      </c>
      <c r="P552" s="134"/>
      <c r="Q552" s="133"/>
      <c r="R552" s="133"/>
      <c r="S552" s="153">
        <v>0</v>
      </c>
      <c r="T552" s="153">
        <v>0</v>
      </c>
      <c r="U552" s="153">
        <v>0</v>
      </c>
      <c r="V552" s="135"/>
      <c r="W552" s="135"/>
      <c r="X552" s="135"/>
      <c r="Y552" s="135"/>
      <c r="Z552" s="135"/>
      <c r="AA552" s="135"/>
      <c r="AB552" s="135"/>
      <c r="AC552" s="135"/>
      <c r="AD552" s="133"/>
      <c r="AE552" s="133"/>
      <c r="AF552" s="132" t="str">
        <f t="shared" si="67"/>
        <v>Нет инфо</v>
      </c>
      <c r="AG552" s="132" t="str">
        <f t="shared" si="68"/>
        <v>Нет инфо</v>
      </c>
      <c r="AH552" s="2"/>
      <c r="AI552" s="136"/>
      <c r="AJ552" s="2"/>
      <c r="AK552" s="136"/>
      <c r="AL552" s="136"/>
      <c r="AM552" s="2"/>
      <c r="AN552" s="2"/>
      <c r="AO552" s="2"/>
      <c r="AP552" s="2"/>
      <c r="AQ552" s="136"/>
    </row>
    <row r="553" spans="1:43" s="115" customFormat="1" ht="12.75" hidden="1" customHeight="1" x14ac:dyDescent="0.2">
      <c r="A553" s="2">
        <v>2582</v>
      </c>
      <c r="B553" s="2"/>
      <c r="C553" s="131"/>
      <c r="D553" s="131"/>
      <c r="E553" s="131"/>
      <c r="F553" s="2"/>
      <c r="G553" s="2"/>
      <c r="H553" s="132">
        <v>0</v>
      </c>
      <c r="I553" s="132"/>
      <c r="J553" s="132"/>
      <c r="K553" s="132"/>
      <c r="L553" s="132">
        <f t="shared" si="64"/>
        <v>0</v>
      </c>
      <c r="M553" s="132">
        <f t="shared" si="65"/>
        <v>0</v>
      </c>
      <c r="N553" s="133"/>
      <c r="O553" s="133">
        <f t="shared" si="66"/>
        <v>0</v>
      </c>
      <c r="P553" s="134"/>
      <c r="Q553" s="133"/>
      <c r="R553" s="133"/>
      <c r="S553" s="153">
        <v>0</v>
      </c>
      <c r="T553" s="153">
        <v>0</v>
      </c>
      <c r="U553" s="153">
        <v>0</v>
      </c>
      <c r="V553" s="135"/>
      <c r="W553" s="135"/>
      <c r="X553" s="135"/>
      <c r="Y553" s="135"/>
      <c r="Z553" s="135"/>
      <c r="AA553" s="135"/>
      <c r="AB553" s="135"/>
      <c r="AC553" s="135"/>
      <c r="AD553" s="133"/>
      <c r="AE553" s="133"/>
      <c r="AF553" s="132" t="str">
        <f t="shared" si="67"/>
        <v>Нет инфо</v>
      </c>
      <c r="AG553" s="132" t="str">
        <f t="shared" si="68"/>
        <v>Нет инфо</v>
      </c>
      <c r="AH553" s="2"/>
      <c r="AI553" s="136"/>
      <c r="AJ553" s="2"/>
      <c r="AK553" s="136"/>
      <c r="AL553" s="136"/>
      <c r="AM553" s="2"/>
      <c r="AN553" s="2"/>
      <c r="AO553" s="2"/>
      <c r="AP553" s="2"/>
      <c r="AQ553" s="136"/>
    </row>
    <row r="554" spans="1:43" s="115" customFormat="1" ht="12.75" hidden="1" customHeight="1" x14ac:dyDescent="0.2">
      <c r="A554" s="2">
        <v>2583</v>
      </c>
      <c r="B554" s="2"/>
      <c r="C554" s="131"/>
      <c r="D554" s="131"/>
      <c r="E554" s="131"/>
      <c r="F554" s="2"/>
      <c r="G554" s="2"/>
      <c r="H554" s="132">
        <v>0</v>
      </c>
      <c r="I554" s="132"/>
      <c r="J554" s="132"/>
      <c r="K554" s="132"/>
      <c r="L554" s="132">
        <f t="shared" si="64"/>
        <v>0</v>
      </c>
      <c r="M554" s="132">
        <f t="shared" si="65"/>
        <v>0</v>
      </c>
      <c r="N554" s="133"/>
      <c r="O554" s="133">
        <f t="shared" si="66"/>
        <v>0</v>
      </c>
      <c r="P554" s="134"/>
      <c r="Q554" s="133"/>
      <c r="R554" s="133"/>
      <c r="S554" s="153">
        <v>0</v>
      </c>
      <c r="T554" s="153">
        <v>0</v>
      </c>
      <c r="U554" s="153">
        <v>0</v>
      </c>
      <c r="V554" s="135"/>
      <c r="W554" s="135"/>
      <c r="X554" s="135"/>
      <c r="Y554" s="135"/>
      <c r="Z554" s="135"/>
      <c r="AA554" s="135"/>
      <c r="AB554" s="135"/>
      <c r="AC554" s="135"/>
      <c r="AD554" s="133"/>
      <c r="AE554" s="133"/>
      <c r="AF554" s="132" t="str">
        <f t="shared" si="67"/>
        <v>Нет инфо</v>
      </c>
      <c r="AG554" s="132" t="str">
        <f t="shared" si="68"/>
        <v>Нет инфо</v>
      </c>
      <c r="AH554" s="2"/>
      <c r="AI554" s="136"/>
      <c r="AJ554" s="2"/>
      <c r="AK554" s="136"/>
      <c r="AL554" s="136"/>
      <c r="AM554" s="2"/>
      <c r="AN554" s="2"/>
      <c r="AO554" s="2"/>
      <c r="AP554" s="2"/>
      <c r="AQ554" s="136"/>
    </row>
    <row r="555" spans="1:43" s="115" customFormat="1" ht="12.75" hidden="1" customHeight="1" x14ac:dyDescent="0.2">
      <c r="A555" s="2">
        <v>2584</v>
      </c>
      <c r="B555" s="2"/>
      <c r="C555" s="131"/>
      <c r="D555" s="131"/>
      <c r="E555" s="131"/>
      <c r="F555" s="2"/>
      <c r="G555" s="2"/>
      <c r="H555" s="132">
        <v>0</v>
      </c>
      <c r="I555" s="132"/>
      <c r="J555" s="132"/>
      <c r="K555" s="132"/>
      <c r="L555" s="132">
        <f t="shared" si="64"/>
        <v>0</v>
      </c>
      <c r="M555" s="132">
        <f t="shared" si="65"/>
        <v>0</v>
      </c>
      <c r="N555" s="133"/>
      <c r="O555" s="133">
        <f t="shared" si="66"/>
        <v>0</v>
      </c>
      <c r="P555" s="134"/>
      <c r="Q555" s="133"/>
      <c r="R555" s="133"/>
      <c r="S555" s="153">
        <v>0</v>
      </c>
      <c r="T555" s="153">
        <v>0</v>
      </c>
      <c r="U555" s="153">
        <v>0</v>
      </c>
      <c r="V555" s="135"/>
      <c r="W555" s="135"/>
      <c r="X555" s="135"/>
      <c r="Y555" s="135"/>
      <c r="Z555" s="135"/>
      <c r="AA555" s="135"/>
      <c r="AB555" s="135"/>
      <c r="AC555" s="135"/>
      <c r="AD555" s="133"/>
      <c r="AE555" s="133"/>
      <c r="AF555" s="132" t="str">
        <f t="shared" si="67"/>
        <v>Нет инфо</v>
      </c>
      <c r="AG555" s="132" t="str">
        <f t="shared" si="68"/>
        <v>Нет инфо</v>
      </c>
      <c r="AH555" s="2"/>
      <c r="AI555" s="136"/>
      <c r="AJ555" s="2"/>
      <c r="AK555" s="136"/>
      <c r="AL555" s="136"/>
      <c r="AM555" s="2"/>
      <c r="AN555" s="2"/>
      <c r="AO555" s="2"/>
      <c r="AP555" s="2"/>
      <c r="AQ555" s="136"/>
    </row>
    <row r="556" spans="1:43" s="115" customFormat="1" ht="12.75" hidden="1" customHeight="1" x14ac:dyDescent="0.2">
      <c r="A556" s="2">
        <v>2585</v>
      </c>
      <c r="B556" s="2"/>
      <c r="C556" s="131"/>
      <c r="D556" s="131"/>
      <c r="E556" s="131"/>
      <c r="F556" s="2"/>
      <c r="G556" s="2"/>
      <c r="H556" s="132">
        <v>0</v>
      </c>
      <c r="I556" s="132"/>
      <c r="J556" s="132"/>
      <c r="K556" s="132"/>
      <c r="L556" s="132">
        <f t="shared" si="64"/>
        <v>0</v>
      </c>
      <c r="M556" s="132">
        <f t="shared" si="65"/>
        <v>0</v>
      </c>
      <c r="N556" s="133"/>
      <c r="O556" s="133">
        <f t="shared" si="66"/>
        <v>0</v>
      </c>
      <c r="P556" s="134"/>
      <c r="Q556" s="133"/>
      <c r="R556" s="133"/>
      <c r="S556" s="153">
        <v>0</v>
      </c>
      <c r="T556" s="153">
        <v>0</v>
      </c>
      <c r="U556" s="153">
        <v>0</v>
      </c>
      <c r="V556" s="135"/>
      <c r="W556" s="135"/>
      <c r="X556" s="135"/>
      <c r="Y556" s="135"/>
      <c r="Z556" s="135"/>
      <c r="AA556" s="135"/>
      <c r="AB556" s="135"/>
      <c r="AC556" s="135"/>
      <c r="AD556" s="133"/>
      <c r="AE556" s="133"/>
      <c r="AF556" s="132" t="str">
        <f t="shared" si="67"/>
        <v>Нет инфо</v>
      </c>
      <c r="AG556" s="132" t="str">
        <f t="shared" si="68"/>
        <v>Нет инфо</v>
      </c>
      <c r="AH556" s="2"/>
      <c r="AI556" s="136"/>
      <c r="AJ556" s="2"/>
      <c r="AK556" s="136"/>
      <c r="AL556" s="136"/>
      <c r="AM556" s="2"/>
      <c r="AN556" s="2"/>
      <c r="AO556" s="2"/>
      <c r="AP556" s="2"/>
      <c r="AQ556" s="136"/>
    </row>
    <row r="557" spans="1:43" s="115" customFormat="1" ht="12.75" hidden="1" customHeight="1" x14ac:dyDescent="0.2">
      <c r="A557" s="2">
        <v>2586</v>
      </c>
      <c r="B557" s="2"/>
      <c r="C557" s="131"/>
      <c r="D557" s="131"/>
      <c r="E557" s="131"/>
      <c r="F557" s="2"/>
      <c r="G557" s="2"/>
      <c r="H557" s="132">
        <v>0</v>
      </c>
      <c r="I557" s="132"/>
      <c r="J557" s="132"/>
      <c r="K557" s="132"/>
      <c r="L557" s="132">
        <f t="shared" si="64"/>
        <v>0</v>
      </c>
      <c r="M557" s="132">
        <f t="shared" si="65"/>
        <v>0</v>
      </c>
      <c r="N557" s="133"/>
      <c r="O557" s="133">
        <f t="shared" si="66"/>
        <v>0</v>
      </c>
      <c r="P557" s="134"/>
      <c r="Q557" s="133"/>
      <c r="R557" s="133"/>
      <c r="S557" s="153">
        <v>0</v>
      </c>
      <c r="T557" s="153">
        <v>0</v>
      </c>
      <c r="U557" s="153">
        <v>0</v>
      </c>
      <c r="V557" s="135"/>
      <c r="W557" s="135"/>
      <c r="X557" s="135"/>
      <c r="Y557" s="135"/>
      <c r="Z557" s="135"/>
      <c r="AA557" s="135"/>
      <c r="AB557" s="135"/>
      <c r="AC557" s="135"/>
      <c r="AD557" s="133"/>
      <c r="AE557" s="133"/>
      <c r="AF557" s="132" t="str">
        <f t="shared" si="67"/>
        <v>Нет инфо</v>
      </c>
      <c r="AG557" s="132" t="str">
        <f t="shared" si="68"/>
        <v>Нет инфо</v>
      </c>
      <c r="AH557" s="2"/>
      <c r="AI557" s="136"/>
      <c r="AJ557" s="2"/>
      <c r="AK557" s="136"/>
      <c r="AL557" s="136"/>
      <c r="AM557" s="2"/>
      <c r="AN557" s="2"/>
      <c r="AO557" s="2"/>
      <c r="AP557" s="2"/>
      <c r="AQ557" s="136"/>
    </row>
    <row r="558" spans="1:43" s="115" customFormat="1" ht="12.75" hidden="1" customHeight="1" x14ac:dyDescent="0.2">
      <c r="A558" s="2">
        <v>2587</v>
      </c>
      <c r="B558" s="2"/>
      <c r="C558" s="131"/>
      <c r="D558" s="131"/>
      <c r="E558" s="131"/>
      <c r="F558" s="2"/>
      <c r="G558" s="2"/>
      <c r="H558" s="132">
        <v>0</v>
      </c>
      <c r="I558" s="132"/>
      <c r="J558" s="132"/>
      <c r="K558" s="132"/>
      <c r="L558" s="132">
        <f t="shared" si="64"/>
        <v>0</v>
      </c>
      <c r="M558" s="132">
        <f t="shared" si="65"/>
        <v>0</v>
      </c>
      <c r="N558" s="133"/>
      <c r="O558" s="133">
        <f t="shared" si="66"/>
        <v>0</v>
      </c>
      <c r="P558" s="134"/>
      <c r="Q558" s="133"/>
      <c r="R558" s="133"/>
      <c r="S558" s="153">
        <v>0</v>
      </c>
      <c r="T558" s="153">
        <v>0</v>
      </c>
      <c r="U558" s="153">
        <v>0</v>
      </c>
      <c r="V558" s="135"/>
      <c r="W558" s="135"/>
      <c r="X558" s="135"/>
      <c r="Y558" s="135"/>
      <c r="Z558" s="135"/>
      <c r="AA558" s="135"/>
      <c r="AB558" s="135"/>
      <c r="AC558" s="135"/>
      <c r="AD558" s="133"/>
      <c r="AE558" s="133"/>
      <c r="AF558" s="132" t="str">
        <f t="shared" si="67"/>
        <v>Нет инфо</v>
      </c>
      <c r="AG558" s="132" t="str">
        <f t="shared" si="68"/>
        <v>Нет инфо</v>
      </c>
      <c r="AH558" s="2"/>
      <c r="AI558" s="136"/>
      <c r="AJ558" s="2"/>
      <c r="AK558" s="136"/>
      <c r="AL558" s="136"/>
      <c r="AM558" s="2"/>
      <c r="AN558" s="2"/>
      <c r="AO558" s="2"/>
      <c r="AP558" s="2"/>
      <c r="AQ558" s="136"/>
    </row>
    <row r="559" spans="1:43" s="115" customFormat="1" ht="12.75" hidden="1" customHeight="1" x14ac:dyDescent="0.2">
      <c r="A559" s="2">
        <v>2588</v>
      </c>
      <c r="B559" s="2"/>
      <c r="C559" s="131"/>
      <c r="D559" s="131"/>
      <c r="E559" s="131"/>
      <c r="F559" s="2"/>
      <c r="G559" s="2"/>
      <c r="H559" s="132">
        <v>0</v>
      </c>
      <c r="I559" s="132"/>
      <c r="J559" s="132"/>
      <c r="K559" s="132"/>
      <c r="L559" s="132">
        <f t="shared" si="64"/>
        <v>0</v>
      </c>
      <c r="M559" s="132">
        <f t="shared" si="65"/>
        <v>0</v>
      </c>
      <c r="N559" s="133"/>
      <c r="O559" s="133">
        <f t="shared" si="66"/>
        <v>0</v>
      </c>
      <c r="P559" s="134"/>
      <c r="Q559" s="133"/>
      <c r="R559" s="133"/>
      <c r="S559" s="153">
        <v>0</v>
      </c>
      <c r="T559" s="153">
        <v>0</v>
      </c>
      <c r="U559" s="153">
        <v>0</v>
      </c>
      <c r="V559" s="135"/>
      <c r="W559" s="135"/>
      <c r="X559" s="135"/>
      <c r="Y559" s="135"/>
      <c r="Z559" s="135"/>
      <c r="AA559" s="135"/>
      <c r="AB559" s="135"/>
      <c r="AC559" s="135"/>
      <c r="AD559" s="133"/>
      <c r="AE559" s="133"/>
      <c r="AF559" s="132" t="str">
        <f t="shared" si="67"/>
        <v>Нет инфо</v>
      </c>
      <c r="AG559" s="132" t="str">
        <f t="shared" si="68"/>
        <v>Нет инфо</v>
      </c>
      <c r="AH559" s="2"/>
      <c r="AI559" s="136"/>
      <c r="AJ559" s="2"/>
      <c r="AK559" s="136"/>
      <c r="AL559" s="136"/>
      <c r="AM559" s="2"/>
      <c r="AN559" s="2"/>
      <c r="AO559" s="2"/>
      <c r="AP559" s="2"/>
      <c r="AQ559" s="136"/>
    </row>
    <row r="560" spans="1:43" s="115" customFormat="1" ht="12.75" hidden="1" customHeight="1" x14ac:dyDescent="0.2">
      <c r="A560" s="2">
        <v>2589</v>
      </c>
      <c r="B560" s="2"/>
      <c r="C560" s="131"/>
      <c r="D560" s="131"/>
      <c r="E560" s="131"/>
      <c r="F560" s="2"/>
      <c r="G560" s="2"/>
      <c r="H560" s="132">
        <v>0</v>
      </c>
      <c r="I560" s="132"/>
      <c r="J560" s="132"/>
      <c r="K560" s="132"/>
      <c r="L560" s="132">
        <f t="shared" si="64"/>
        <v>0</v>
      </c>
      <c r="M560" s="132">
        <f t="shared" si="65"/>
        <v>0</v>
      </c>
      <c r="N560" s="133"/>
      <c r="O560" s="133">
        <f t="shared" si="66"/>
        <v>0</v>
      </c>
      <c r="P560" s="134"/>
      <c r="Q560" s="133"/>
      <c r="R560" s="133"/>
      <c r="S560" s="153">
        <v>0</v>
      </c>
      <c r="T560" s="153">
        <v>0</v>
      </c>
      <c r="U560" s="153">
        <v>0</v>
      </c>
      <c r="V560" s="135"/>
      <c r="W560" s="135"/>
      <c r="X560" s="135"/>
      <c r="Y560" s="135"/>
      <c r="Z560" s="135"/>
      <c r="AA560" s="135"/>
      <c r="AB560" s="135"/>
      <c r="AC560" s="135"/>
      <c r="AD560" s="133"/>
      <c r="AE560" s="133"/>
      <c r="AF560" s="132" t="str">
        <f t="shared" si="67"/>
        <v>Нет инфо</v>
      </c>
      <c r="AG560" s="132" t="str">
        <f t="shared" si="68"/>
        <v>Нет инфо</v>
      </c>
      <c r="AH560" s="2"/>
      <c r="AI560" s="136"/>
      <c r="AJ560" s="2"/>
      <c r="AK560" s="136"/>
      <c r="AL560" s="136"/>
      <c r="AM560" s="2"/>
      <c r="AN560" s="2"/>
      <c r="AO560" s="2"/>
      <c r="AP560" s="2"/>
      <c r="AQ560" s="136"/>
    </row>
    <row r="561" spans="1:43" s="115" customFormat="1" ht="12.75" hidden="1" customHeight="1" x14ac:dyDescent="0.2">
      <c r="A561" s="2">
        <v>2590</v>
      </c>
      <c r="B561" s="2"/>
      <c r="C561" s="131"/>
      <c r="D561" s="131"/>
      <c r="E561" s="131"/>
      <c r="F561" s="2"/>
      <c r="G561" s="2"/>
      <c r="H561" s="132">
        <v>0</v>
      </c>
      <c r="I561" s="132"/>
      <c r="J561" s="132"/>
      <c r="K561" s="132"/>
      <c r="L561" s="132">
        <f t="shared" si="64"/>
        <v>0</v>
      </c>
      <c r="M561" s="132">
        <f t="shared" si="65"/>
        <v>0</v>
      </c>
      <c r="N561" s="133"/>
      <c r="O561" s="133">
        <f t="shared" si="66"/>
        <v>0</v>
      </c>
      <c r="P561" s="134"/>
      <c r="Q561" s="133"/>
      <c r="R561" s="133"/>
      <c r="S561" s="153">
        <v>0</v>
      </c>
      <c r="T561" s="153">
        <v>0</v>
      </c>
      <c r="U561" s="153">
        <v>0</v>
      </c>
      <c r="V561" s="135"/>
      <c r="W561" s="135"/>
      <c r="X561" s="135"/>
      <c r="Y561" s="135"/>
      <c r="Z561" s="135"/>
      <c r="AA561" s="135"/>
      <c r="AB561" s="135"/>
      <c r="AC561" s="135"/>
      <c r="AD561" s="133"/>
      <c r="AE561" s="133"/>
      <c r="AF561" s="132" t="str">
        <f t="shared" si="67"/>
        <v>Нет инфо</v>
      </c>
      <c r="AG561" s="132" t="str">
        <f t="shared" si="68"/>
        <v>Нет инфо</v>
      </c>
      <c r="AH561" s="2"/>
      <c r="AI561" s="136"/>
      <c r="AJ561" s="2"/>
      <c r="AK561" s="136"/>
      <c r="AL561" s="136"/>
      <c r="AM561" s="2"/>
      <c r="AN561" s="2"/>
      <c r="AO561" s="2"/>
      <c r="AP561" s="2"/>
      <c r="AQ561" s="136"/>
    </row>
    <row r="562" spans="1:43" s="115" customFormat="1" ht="12.75" hidden="1" customHeight="1" x14ac:dyDescent="0.2">
      <c r="A562" s="2">
        <v>2591</v>
      </c>
      <c r="B562" s="2"/>
      <c r="C562" s="131"/>
      <c r="D562" s="131"/>
      <c r="E562" s="131"/>
      <c r="F562" s="2"/>
      <c r="G562" s="2"/>
      <c r="H562" s="132">
        <v>0</v>
      </c>
      <c r="I562" s="132"/>
      <c r="J562" s="132"/>
      <c r="K562" s="132"/>
      <c r="L562" s="132">
        <f t="shared" si="64"/>
        <v>0</v>
      </c>
      <c r="M562" s="132">
        <f t="shared" si="65"/>
        <v>0</v>
      </c>
      <c r="N562" s="133"/>
      <c r="O562" s="133">
        <f t="shared" si="66"/>
        <v>0</v>
      </c>
      <c r="P562" s="134"/>
      <c r="Q562" s="133"/>
      <c r="R562" s="133"/>
      <c r="S562" s="153">
        <v>0</v>
      </c>
      <c r="T562" s="153">
        <v>0</v>
      </c>
      <c r="U562" s="153">
        <v>0</v>
      </c>
      <c r="V562" s="135"/>
      <c r="W562" s="135"/>
      <c r="X562" s="135"/>
      <c r="Y562" s="135"/>
      <c r="Z562" s="135"/>
      <c r="AA562" s="135"/>
      <c r="AB562" s="135"/>
      <c r="AC562" s="135"/>
      <c r="AD562" s="133"/>
      <c r="AE562" s="133"/>
      <c r="AF562" s="132" t="str">
        <f t="shared" si="67"/>
        <v>Нет инфо</v>
      </c>
      <c r="AG562" s="132" t="str">
        <f t="shared" si="68"/>
        <v>Нет инфо</v>
      </c>
      <c r="AH562" s="2"/>
      <c r="AI562" s="136"/>
      <c r="AJ562" s="2"/>
      <c r="AK562" s="136"/>
      <c r="AL562" s="136"/>
      <c r="AM562" s="2"/>
      <c r="AN562" s="2"/>
      <c r="AO562" s="2"/>
      <c r="AP562" s="2"/>
      <c r="AQ562" s="136"/>
    </row>
    <row r="563" spans="1:43" s="115" customFormat="1" ht="12.75" hidden="1" customHeight="1" x14ac:dyDescent="0.2">
      <c r="A563" s="2">
        <v>2592</v>
      </c>
      <c r="B563" s="2"/>
      <c r="C563" s="131"/>
      <c r="D563" s="131"/>
      <c r="E563" s="131"/>
      <c r="F563" s="2"/>
      <c r="G563" s="2"/>
      <c r="H563" s="132">
        <v>0</v>
      </c>
      <c r="I563" s="132"/>
      <c r="J563" s="132"/>
      <c r="K563" s="132"/>
      <c r="L563" s="132">
        <f t="shared" si="64"/>
        <v>0</v>
      </c>
      <c r="M563" s="132">
        <f t="shared" si="65"/>
        <v>0</v>
      </c>
      <c r="N563" s="133"/>
      <c r="O563" s="133">
        <f t="shared" si="66"/>
        <v>0</v>
      </c>
      <c r="P563" s="134"/>
      <c r="Q563" s="133"/>
      <c r="R563" s="133"/>
      <c r="S563" s="153">
        <v>0</v>
      </c>
      <c r="T563" s="153">
        <v>0</v>
      </c>
      <c r="U563" s="153">
        <v>0</v>
      </c>
      <c r="V563" s="135"/>
      <c r="W563" s="135"/>
      <c r="X563" s="135"/>
      <c r="Y563" s="135"/>
      <c r="Z563" s="135"/>
      <c r="AA563" s="135"/>
      <c r="AB563" s="135"/>
      <c r="AC563" s="135"/>
      <c r="AD563" s="133"/>
      <c r="AE563" s="133"/>
      <c r="AF563" s="132" t="str">
        <f t="shared" si="67"/>
        <v>Нет инфо</v>
      </c>
      <c r="AG563" s="132" t="str">
        <f t="shared" si="68"/>
        <v>Нет инфо</v>
      </c>
      <c r="AH563" s="2"/>
      <c r="AI563" s="136"/>
      <c r="AJ563" s="2"/>
      <c r="AK563" s="136"/>
      <c r="AL563" s="136"/>
      <c r="AM563" s="2"/>
      <c r="AN563" s="2"/>
      <c r="AO563" s="2"/>
      <c r="AP563" s="2"/>
      <c r="AQ563" s="136"/>
    </row>
    <row r="564" spans="1:43" s="115" customFormat="1" ht="12.75" hidden="1" customHeight="1" x14ac:dyDescent="0.2">
      <c r="A564" s="2">
        <v>2593</v>
      </c>
      <c r="B564" s="2"/>
      <c r="C564" s="131"/>
      <c r="D564" s="131"/>
      <c r="E564" s="131"/>
      <c r="F564" s="2"/>
      <c r="G564" s="2"/>
      <c r="H564" s="132">
        <v>0</v>
      </c>
      <c r="I564" s="132"/>
      <c r="J564" s="132"/>
      <c r="K564" s="132"/>
      <c r="L564" s="132">
        <f t="shared" si="64"/>
        <v>0</v>
      </c>
      <c r="M564" s="132">
        <f t="shared" si="65"/>
        <v>0</v>
      </c>
      <c r="N564" s="133"/>
      <c r="O564" s="133">
        <f t="shared" si="66"/>
        <v>0</v>
      </c>
      <c r="P564" s="134"/>
      <c r="Q564" s="133"/>
      <c r="R564" s="133"/>
      <c r="S564" s="153">
        <v>0</v>
      </c>
      <c r="T564" s="153">
        <v>0</v>
      </c>
      <c r="U564" s="153">
        <v>0</v>
      </c>
      <c r="V564" s="135"/>
      <c r="W564" s="135"/>
      <c r="X564" s="135"/>
      <c r="Y564" s="135"/>
      <c r="Z564" s="135"/>
      <c r="AA564" s="135"/>
      <c r="AB564" s="135"/>
      <c r="AC564" s="135"/>
      <c r="AD564" s="133"/>
      <c r="AE564" s="133"/>
      <c r="AF564" s="132" t="str">
        <f t="shared" si="67"/>
        <v>Нет инфо</v>
      </c>
      <c r="AG564" s="132" t="str">
        <f t="shared" si="68"/>
        <v>Нет инфо</v>
      </c>
      <c r="AH564" s="2"/>
      <c r="AI564" s="136"/>
      <c r="AJ564" s="2"/>
      <c r="AK564" s="136"/>
      <c r="AL564" s="136"/>
      <c r="AM564" s="2"/>
      <c r="AN564" s="2"/>
      <c r="AO564" s="2"/>
      <c r="AP564" s="2"/>
      <c r="AQ564" s="136"/>
    </row>
    <row r="565" spans="1:43" s="115" customFormat="1" ht="12.75" hidden="1" customHeight="1" x14ac:dyDescent="0.2">
      <c r="A565" s="2">
        <v>2594</v>
      </c>
      <c r="B565" s="2"/>
      <c r="C565" s="131"/>
      <c r="D565" s="131"/>
      <c r="E565" s="131"/>
      <c r="F565" s="2"/>
      <c r="G565" s="2"/>
      <c r="H565" s="132">
        <v>0</v>
      </c>
      <c r="I565" s="132"/>
      <c r="J565" s="132"/>
      <c r="K565" s="132"/>
      <c r="L565" s="132">
        <f t="shared" si="64"/>
        <v>0</v>
      </c>
      <c r="M565" s="132">
        <f t="shared" si="65"/>
        <v>0</v>
      </c>
      <c r="N565" s="133"/>
      <c r="O565" s="133">
        <f t="shared" si="66"/>
        <v>0</v>
      </c>
      <c r="P565" s="134"/>
      <c r="Q565" s="133"/>
      <c r="R565" s="133"/>
      <c r="S565" s="153">
        <v>0</v>
      </c>
      <c r="T565" s="153">
        <v>0</v>
      </c>
      <c r="U565" s="153">
        <v>0</v>
      </c>
      <c r="V565" s="135"/>
      <c r="W565" s="135"/>
      <c r="X565" s="135"/>
      <c r="Y565" s="135"/>
      <c r="Z565" s="135"/>
      <c r="AA565" s="135"/>
      <c r="AB565" s="135"/>
      <c r="AC565" s="135"/>
      <c r="AD565" s="133"/>
      <c r="AE565" s="133"/>
      <c r="AF565" s="132" t="str">
        <f t="shared" si="67"/>
        <v>Нет инфо</v>
      </c>
      <c r="AG565" s="132" t="str">
        <f t="shared" si="68"/>
        <v>Нет инфо</v>
      </c>
      <c r="AH565" s="2"/>
      <c r="AI565" s="136"/>
      <c r="AJ565" s="2"/>
      <c r="AK565" s="136"/>
      <c r="AL565" s="136"/>
      <c r="AM565" s="2"/>
      <c r="AN565" s="2"/>
      <c r="AO565" s="2"/>
      <c r="AP565" s="2"/>
      <c r="AQ565" s="136"/>
    </row>
    <row r="566" spans="1:43" s="115" customFormat="1" ht="12.75" hidden="1" customHeight="1" x14ac:dyDescent="0.2">
      <c r="A566" s="2">
        <v>2595</v>
      </c>
      <c r="B566" s="2"/>
      <c r="C566" s="131"/>
      <c r="D566" s="131"/>
      <c r="E566" s="131"/>
      <c r="F566" s="2"/>
      <c r="G566" s="2"/>
      <c r="H566" s="132">
        <v>0</v>
      </c>
      <c r="I566" s="132"/>
      <c r="J566" s="132"/>
      <c r="K566" s="132"/>
      <c r="L566" s="132">
        <f t="shared" si="64"/>
        <v>0</v>
      </c>
      <c r="M566" s="132">
        <f t="shared" si="65"/>
        <v>0</v>
      </c>
      <c r="N566" s="133"/>
      <c r="O566" s="133">
        <f t="shared" si="66"/>
        <v>0</v>
      </c>
      <c r="P566" s="134"/>
      <c r="Q566" s="133"/>
      <c r="R566" s="133"/>
      <c r="S566" s="153">
        <v>0</v>
      </c>
      <c r="T566" s="153">
        <v>0</v>
      </c>
      <c r="U566" s="153">
        <v>0</v>
      </c>
      <c r="V566" s="135"/>
      <c r="W566" s="135"/>
      <c r="X566" s="135"/>
      <c r="Y566" s="135"/>
      <c r="Z566" s="135"/>
      <c r="AA566" s="135"/>
      <c r="AB566" s="135"/>
      <c r="AC566" s="135"/>
      <c r="AD566" s="133"/>
      <c r="AE566" s="133"/>
      <c r="AF566" s="132" t="str">
        <f t="shared" si="67"/>
        <v>Нет инфо</v>
      </c>
      <c r="AG566" s="132" t="str">
        <f t="shared" si="68"/>
        <v>Нет инфо</v>
      </c>
      <c r="AH566" s="2"/>
      <c r="AI566" s="136"/>
      <c r="AJ566" s="2"/>
      <c r="AK566" s="136"/>
      <c r="AL566" s="136"/>
      <c r="AM566" s="2"/>
      <c r="AN566" s="2"/>
      <c r="AO566" s="2"/>
      <c r="AP566" s="2"/>
      <c r="AQ566" s="136"/>
    </row>
    <row r="567" spans="1:43" s="115" customFormat="1" ht="12.75" hidden="1" customHeight="1" x14ac:dyDescent="0.2">
      <c r="A567" s="2">
        <v>2596</v>
      </c>
      <c r="B567" s="2"/>
      <c r="C567" s="131"/>
      <c r="D567" s="131"/>
      <c r="E567" s="131"/>
      <c r="F567" s="2"/>
      <c r="G567" s="2"/>
      <c r="H567" s="132">
        <v>0</v>
      </c>
      <c r="I567" s="132"/>
      <c r="J567" s="132"/>
      <c r="K567" s="132"/>
      <c r="L567" s="132">
        <f t="shared" si="64"/>
        <v>0</v>
      </c>
      <c r="M567" s="132">
        <f t="shared" si="65"/>
        <v>0</v>
      </c>
      <c r="N567" s="133"/>
      <c r="O567" s="133">
        <f t="shared" si="66"/>
        <v>0</v>
      </c>
      <c r="P567" s="134"/>
      <c r="Q567" s="133"/>
      <c r="R567" s="133"/>
      <c r="S567" s="153">
        <v>0</v>
      </c>
      <c r="T567" s="153">
        <v>0</v>
      </c>
      <c r="U567" s="153">
        <v>0</v>
      </c>
      <c r="V567" s="135"/>
      <c r="W567" s="135"/>
      <c r="X567" s="135"/>
      <c r="Y567" s="135"/>
      <c r="Z567" s="135"/>
      <c r="AA567" s="135"/>
      <c r="AB567" s="135"/>
      <c r="AC567" s="135"/>
      <c r="AD567" s="133"/>
      <c r="AE567" s="133"/>
      <c r="AF567" s="132" t="str">
        <f t="shared" si="67"/>
        <v>Нет инфо</v>
      </c>
      <c r="AG567" s="132" t="str">
        <f t="shared" si="68"/>
        <v>Нет инфо</v>
      </c>
      <c r="AH567" s="2"/>
      <c r="AI567" s="136"/>
      <c r="AJ567" s="2"/>
      <c r="AK567" s="136"/>
      <c r="AL567" s="136"/>
      <c r="AM567" s="2"/>
      <c r="AN567" s="2"/>
      <c r="AO567" s="2"/>
      <c r="AP567" s="2"/>
      <c r="AQ567" s="136"/>
    </row>
    <row r="568" spans="1:43" s="115" customFormat="1" ht="12.75" hidden="1" customHeight="1" x14ac:dyDescent="0.2">
      <c r="A568" s="2">
        <v>2597</v>
      </c>
      <c r="B568" s="2"/>
      <c r="C568" s="131"/>
      <c r="D568" s="131"/>
      <c r="E568" s="131"/>
      <c r="F568" s="2"/>
      <c r="G568" s="2"/>
      <c r="H568" s="132">
        <v>0</v>
      </c>
      <c r="I568" s="132"/>
      <c r="J568" s="132"/>
      <c r="K568" s="132"/>
      <c r="L568" s="132">
        <f t="shared" si="64"/>
        <v>0</v>
      </c>
      <c r="M568" s="132">
        <f t="shared" si="65"/>
        <v>0</v>
      </c>
      <c r="N568" s="133"/>
      <c r="O568" s="133">
        <f t="shared" si="66"/>
        <v>0</v>
      </c>
      <c r="P568" s="134"/>
      <c r="Q568" s="133"/>
      <c r="R568" s="133"/>
      <c r="S568" s="153">
        <v>0</v>
      </c>
      <c r="T568" s="153">
        <v>0</v>
      </c>
      <c r="U568" s="153">
        <v>0</v>
      </c>
      <c r="V568" s="135"/>
      <c r="W568" s="135"/>
      <c r="X568" s="135"/>
      <c r="Y568" s="135"/>
      <c r="Z568" s="135"/>
      <c r="AA568" s="135"/>
      <c r="AB568" s="135"/>
      <c r="AC568" s="135"/>
      <c r="AD568" s="133"/>
      <c r="AE568" s="133"/>
      <c r="AF568" s="132" t="str">
        <f t="shared" si="67"/>
        <v>Нет инфо</v>
      </c>
      <c r="AG568" s="132" t="str">
        <f t="shared" si="68"/>
        <v>Нет инфо</v>
      </c>
      <c r="AH568" s="2"/>
      <c r="AI568" s="136"/>
      <c r="AJ568" s="2"/>
      <c r="AK568" s="136"/>
      <c r="AL568" s="136"/>
      <c r="AM568" s="2"/>
      <c r="AN568" s="2"/>
      <c r="AO568" s="2"/>
      <c r="AP568" s="2"/>
      <c r="AQ568" s="136"/>
    </row>
    <row r="569" spans="1:43" s="115" customFormat="1" ht="12.75" hidden="1" customHeight="1" x14ac:dyDescent="0.2">
      <c r="A569" s="2">
        <v>2598</v>
      </c>
      <c r="B569" s="2"/>
      <c r="C569" s="131"/>
      <c r="D569" s="131"/>
      <c r="E569" s="131"/>
      <c r="F569" s="2"/>
      <c r="G569" s="2"/>
      <c r="H569" s="132">
        <v>0</v>
      </c>
      <c r="I569" s="132"/>
      <c r="J569" s="132"/>
      <c r="K569" s="132"/>
      <c r="L569" s="132">
        <f t="shared" si="64"/>
        <v>0</v>
      </c>
      <c r="M569" s="132">
        <f t="shared" si="65"/>
        <v>0</v>
      </c>
      <c r="N569" s="133"/>
      <c r="O569" s="133">
        <f t="shared" si="66"/>
        <v>0</v>
      </c>
      <c r="P569" s="134"/>
      <c r="Q569" s="133"/>
      <c r="R569" s="133"/>
      <c r="S569" s="153">
        <v>0</v>
      </c>
      <c r="T569" s="153">
        <v>0</v>
      </c>
      <c r="U569" s="153">
        <v>0</v>
      </c>
      <c r="V569" s="135"/>
      <c r="W569" s="135"/>
      <c r="X569" s="135"/>
      <c r="Y569" s="135"/>
      <c r="Z569" s="135"/>
      <c r="AA569" s="135"/>
      <c r="AB569" s="135"/>
      <c r="AC569" s="135"/>
      <c r="AD569" s="133"/>
      <c r="AE569" s="133"/>
      <c r="AF569" s="132" t="str">
        <f t="shared" si="67"/>
        <v>Нет инфо</v>
      </c>
      <c r="AG569" s="132" t="str">
        <f t="shared" si="68"/>
        <v>Нет инфо</v>
      </c>
      <c r="AH569" s="2"/>
      <c r="AI569" s="136"/>
      <c r="AJ569" s="2"/>
      <c r="AK569" s="136"/>
      <c r="AL569" s="136"/>
      <c r="AM569" s="2"/>
      <c r="AN569" s="2"/>
      <c r="AO569" s="2"/>
      <c r="AP569" s="2"/>
      <c r="AQ569" s="136"/>
    </row>
    <row r="570" spans="1:43" s="115" customFormat="1" ht="12.75" hidden="1" customHeight="1" x14ac:dyDescent="0.2">
      <c r="A570" s="2">
        <v>2599</v>
      </c>
      <c r="B570" s="2"/>
      <c r="C570" s="131"/>
      <c r="D570" s="131"/>
      <c r="E570" s="131"/>
      <c r="F570" s="2"/>
      <c r="G570" s="2"/>
      <c r="H570" s="132">
        <v>0</v>
      </c>
      <c r="I570" s="132"/>
      <c r="J570" s="132"/>
      <c r="K570" s="132"/>
      <c r="L570" s="132">
        <f t="shared" si="64"/>
        <v>0</v>
      </c>
      <c r="M570" s="132">
        <f t="shared" si="65"/>
        <v>0</v>
      </c>
      <c r="N570" s="133"/>
      <c r="O570" s="133">
        <f t="shared" si="66"/>
        <v>0</v>
      </c>
      <c r="P570" s="134"/>
      <c r="Q570" s="133"/>
      <c r="R570" s="133"/>
      <c r="S570" s="153">
        <v>0</v>
      </c>
      <c r="T570" s="153">
        <v>0</v>
      </c>
      <c r="U570" s="153">
        <v>0</v>
      </c>
      <c r="V570" s="135"/>
      <c r="W570" s="135"/>
      <c r="X570" s="135"/>
      <c r="Y570" s="135"/>
      <c r="Z570" s="135"/>
      <c r="AA570" s="135"/>
      <c r="AB570" s="135"/>
      <c r="AC570" s="135"/>
      <c r="AD570" s="133"/>
      <c r="AE570" s="133"/>
      <c r="AF570" s="132" t="str">
        <f t="shared" si="67"/>
        <v>Нет инфо</v>
      </c>
      <c r="AG570" s="132" t="str">
        <f t="shared" si="68"/>
        <v>Нет инфо</v>
      </c>
      <c r="AH570" s="2"/>
      <c r="AI570" s="136"/>
      <c r="AJ570" s="2"/>
      <c r="AK570" s="136"/>
      <c r="AL570" s="136"/>
      <c r="AM570" s="2"/>
      <c r="AN570" s="2"/>
      <c r="AO570" s="2"/>
      <c r="AP570" s="2"/>
      <c r="AQ570" s="136"/>
    </row>
    <row r="571" spans="1:43" s="115" customFormat="1" ht="12.75" hidden="1" customHeight="1" x14ac:dyDescent="0.2">
      <c r="A571" s="2">
        <v>2600</v>
      </c>
      <c r="B571" s="2"/>
      <c r="C571" s="131"/>
      <c r="D571" s="131"/>
      <c r="E571" s="131"/>
      <c r="F571" s="2"/>
      <c r="G571" s="2"/>
      <c r="H571" s="132">
        <v>0</v>
      </c>
      <c r="I571" s="132"/>
      <c r="J571" s="132"/>
      <c r="K571" s="132"/>
      <c r="L571" s="132">
        <f t="shared" si="64"/>
        <v>0</v>
      </c>
      <c r="M571" s="132">
        <f t="shared" si="65"/>
        <v>0</v>
      </c>
      <c r="N571" s="133"/>
      <c r="O571" s="133">
        <f t="shared" si="66"/>
        <v>0</v>
      </c>
      <c r="P571" s="134"/>
      <c r="Q571" s="133"/>
      <c r="R571" s="133"/>
      <c r="S571" s="153">
        <v>0</v>
      </c>
      <c r="T571" s="153">
        <v>0</v>
      </c>
      <c r="U571" s="153">
        <v>0</v>
      </c>
      <c r="V571" s="135"/>
      <c r="W571" s="135"/>
      <c r="X571" s="135"/>
      <c r="Y571" s="135"/>
      <c r="Z571" s="135"/>
      <c r="AA571" s="135"/>
      <c r="AB571" s="135"/>
      <c r="AC571" s="135"/>
      <c r="AD571" s="133"/>
      <c r="AE571" s="133"/>
      <c r="AF571" s="132" t="str">
        <f t="shared" si="67"/>
        <v>Нет инфо</v>
      </c>
      <c r="AG571" s="132" t="str">
        <f t="shared" si="68"/>
        <v>Нет инфо</v>
      </c>
      <c r="AH571" s="2"/>
      <c r="AI571" s="136"/>
      <c r="AJ571" s="2"/>
      <c r="AK571" s="136"/>
      <c r="AL571" s="136"/>
      <c r="AM571" s="2"/>
      <c r="AN571" s="2"/>
      <c r="AO571" s="2"/>
      <c r="AP571" s="2"/>
      <c r="AQ571" s="136"/>
    </row>
    <row r="572" spans="1:43" s="115" customFormat="1" ht="12.75" hidden="1" customHeight="1" x14ac:dyDescent="0.2">
      <c r="A572" s="2">
        <v>2601</v>
      </c>
      <c r="B572" s="2"/>
      <c r="C572" s="131"/>
      <c r="D572" s="131"/>
      <c r="E572" s="131"/>
      <c r="F572" s="2"/>
      <c r="G572" s="2"/>
      <c r="H572" s="132">
        <v>0</v>
      </c>
      <c r="I572" s="132"/>
      <c r="J572" s="132"/>
      <c r="K572" s="132"/>
      <c r="L572" s="132">
        <f t="shared" si="64"/>
        <v>0</v>
      </c>
      <c r="M572" s="132">
        <f t="shared" si="65"/>
        <v>0</v>
      </c>
      <c r="N572" s="133"/>
      <c r="O572" s="133">
        <f t="shared" si="66"/>
        <v>0</v>
      </c>
      <c r="P572" s="134"/>
      <c r="Q572" s="133"/>
      <c r="R572" s="133"/>
      <c r="S572" s="153">
        <v>0</v>
      </c>
      <c r="T572" s="153">
        <v>0</v>
      </c>
      <c r="U572" s="153">
        <v>0</v>
      </c>
      <c r="V572" s="135"/>
      <c r="W572" s="135"/>
      <c r="X572" s="135"/>
      <c r="Y572" s="135"/>
      <c r="Z572" s="135"/>
      <c r="AA572" s="135"/>
      <c r="AB572" s="135"/>
      <c r="AC572" s="135"/>
      <c r="AD572" s="133"/>
      <c r="AE572" s="133"/>
      <c r="AF572" s="132" t="str">
        <f t="shared" si="67"/>
        <v>Нет инфо</v>
      </c>
      <c r="AG572" s="132" t="str">
        <f t="shared" si="68"/>
        <v>Нет инфо</v>
      </c>
      <c r="AH572" s="2"/>
      <c r="AI572" s="136"/>
      <c r="AJ572" s="2"/>
      <c r="AK572" s="136"/>
      <c r="AL572" s="136"/>
      <c r="AM572" s="2"/>
      <c r="AN572" s="2"/>
      <c r="AO572" s="2"/>
      <c r="AP572" s="2"/>
      <c r="AQ572" s="136"/>
    </row>
    <row r="573" spans="1:43" s="115" customFormat="1" ht="12.75" hidden="1" customHeight="1" x14ac:dyDescent="0.2">
      <c r="A573" s="2">
        <v>2602</v>
      </c>
      <c r="B573" s="2"/>
      <c r="C573" s="131"/>
      <c r="D573" s="131"/>
      <c r="E573" s="131"/>
      <c r="F573" s="2"/>
      <c r="G573" s="2"/>
      <c r="H573" s="132">
        <v>0</v>
      </c>
      <c r="I573" s="132"/>
      <c r="J573" s="132"/>
      <c r="K573" s="132"/>
      <c r="L573" s="132">
        <f t="shared" si="64"/>
        <v>0</v>
      </c>
      <c r="M573" s="132">
        <f t="shared" si="65"/>
        <v>0</v>
      </c>
      <c r="N573" s="133"/>
      <c r="O573" s="133">
        <f t="shared" si="66"/>
        <v>0</v>
      </c>
      <c r="P573" s="134"/>
      <c r="Q573" s="133"/>
      <c r="R573" s="133"/>
      <c r="S573" s="153">
        <v>0</v>
      </c>
      <c r="T573" s="153">
        <v>0</v>
      </c>
      <c r="U573" s="153">
        <v>0</v>
      </c>
      <c r="V573" s="135"/>
      <c r="W573" s="135"/>
      <c r="X573" s="135"/>
      <c r="Y573" s="135"/>
      <c r="Z573" s="135"/>
      <c r="AA573" s="135"/>
      <c r="AB573" s="135"/>
      <c r="AC573" s="135"/>
      <c r="AD573" s="133"/>
      <c r="AE573" s="133"/>
      <c r="AF573" s="132" t="str">
        <f t="shared" si="67"/>
        <v>Нет инфо</v>
      </c>
      <c r="AG573" s="132" t="str">
        <f t="shared" si="68"/>
        <v>Нет инфо</v>
      </c>
      <c r="AH573" s="2"/>
      <c r="AI573" s="136"/>
      <c r="AJ573" s="2"/>
      <c r="AK573" s="136"/>
      <c r="AL573" s="136"/>
      <c r="AM573" s="2"/>
      <c r="AN573" s="2"/>
      <c r="AO573" s="2"/>
      <c r="AP573" s="2"/>
      <c r="AQ573" s="136"/>
    </row>
    <row r="574" spans="1:43" s="115" customFormat="1" ht="12.75" hidden="1" customHeight="1" x14ac:dyDescent="0.2">
      <c r="A574" s="2">
        <v>2603</v>
      </c>
      <c r="B574" s="2"/>
      <c r="C574" s="131"/>
      <c r="D574" s="131"/>
      <c r="E574" s="131"/>
      <c r="F574" s="2"/>
      <c r="G574" s="2"/>
      <c r="H574" s="132">
        <v>0</v>
      </c>
      <c r="I574" s="132"/>
      <c r="J574" s="132"/>
      <c r="K574" s="132"/>
      <c r="L574" s="132">
        <f t="shared" si="64"/>
        <v>0</v>
      </c>
      <c r="M574" s="132">
        <f t="shared" si="65"/>
        <v>0</v>
      </c>
      <c r="N574" s="133"/>
      <c r="O574" s="133">
        <f t="shared" si="66"/>
        <v>0</v>
      </c>
      <c r="P574" s="134"/>
      <c r="Q574" s="133"/>
      <c r="R574" s="133"/>
      <c r="S574" s="153">
        <v>0</v>
      </c>
      <c r="T574" s="153">
        <v>0</v>
      </c>
      <c r="U574" s="153">
        <v>0</v>
      </c>
      <c r="V574" s="135"/>
      <c r="W574" s="135"/>
      <c r="X574" s="135"/>
      <c r="Y574" s="135"/>
      <c r="Z574" s="135"/>
      <c r="AA574" s="135"/>
      <c r="AB574" s="135"/>
      <c r="AC574" s="135"/>
      <c r="AD574" s="133"/>
      <c r="AE574" s="133"/>
      <c r="AF574" s="132" t="str">
        <f t="shared" si="67"/>
        <v>Нет инфо</v>
      </c>
      <c r="AG574" s="132" t="str">
        <f t="shared" si="68"/>
        <v>Нет инфо</v>
      </c>
      <c r="AH574" s="2"/>
      <c r="AI574" s="136"/>
      <c r="AJ574" s="2"/>
      <c r="AK574" s="136"/>
      <c r="AL574" s="136"/>
      <c r="AM574" s="2"/>
      <c r="AN574" s="2"/>
      <c r="AO574" s="2"/>
      <c r="AP574" s="2"/>
      <c r="AQ574" s="136"/>
    </row>
    <row r="575" spans="1:43" s="115" customFormat="1" ht="12.75" hidden="1" customHeight="1" x14ac:dyDescent="0.2">
      <c r="A575" s="2">
        <v>2604</v>
      </c>
      <c r="B575" s="2"/>
      <c r="C575" s="131"/>
      <c r="D575" s="131"/>
      <c r="E575" s="131"/>
      <c r="F575" s="2"/>
      <c r="G575" s="2"/>
      <c r="H575" s="132">
        <v>0</v>
      </c>
      <c r="I575" s="132"/>
      <c r="J575" s="132"/>
      <c r="K575" s="132"/>
      <c r="L575" s="132">
        <f t="shared" si="64"/>
        <v>0</v>
      </c>
      <c r="M575" s="132">
        <f t="shared" si="65"/>
        <v>0</v>
      </c>
      <c r="N575" s="133"/>
      <c r="O575" s="133">
        <f t="shared" si="66"/>
        <v>0</v>
      </c>
      <c r="P575" s="134"/>
      <c r="Q575" s="133"/>
      <c r="R575" s="133"/>
      <c r="S575" s="153">
        <v>0</v>
      </c>
      <c r="T575" s="153">
        <v>0</v>
      </c>
      <c r="U575" s="153">
        <v>0</v>
      </c>
      <c r="V575" s="135"/>
      <c r="W575" s="135"/>
      <c r="X575" s="135"/>
      <c r="Y575" s="135"/>
      <c r="Z575" s="135"/>
      <c r="AA575" s="135"/>
      <c r="AB575" s="135"/>
      <c r="AC575" s="135"/>
      <c r="AD575" s="133"/>
      <c r="AE575" s="133"/>
      <c r="AF575" s="132" t="str">
        <f t="shared" si="67"/>
        <v>Нет инфо</v>
      </c>
      <c r="AG575" s="132" t="str">
        <f t="shared" si="68"/>
        <v>Нет инфо</v>
      </c>
      <c r="AH575" s="2"/>
      <c r="AI575" s="136"/>
      <c r="AJ575" s="2"/>
      <c r="AK575" s="136"/>
      <c r="AL575" s="136"/>
      <c r="AM575" s="2"/>
      <c r="AN575" s="2"/>
      <c r="AO575" s="2"/>
      <c r="AP575" s="2"/>
      <c r="AQ575" s="136"/>
    </row>
    <row r="576" spans="1:43" s="115" customFormat="1" ht="12.75" hidden="1" customHeight="1" x14ac:dyDescent="0.2">
      <c r="A576" s="2">
        <v>2605</v>
      </c>
      <c r="B576" s="2"/>
      <c r="C576" s="131"/>
      <c r="D576" s="131"/>
      <c r="E576" s="131"/>
      <c r="F576" s="2"/>
      <c r="G576" s="2"/>
      <c r="H576" s="132">
        <v>0</v>
      </c>
      <c r="I576" s="132"/>
      <c r="J576" s="132"/>
      <c r="K576" s="132"/>
      <c r="L576" s="132">
        <f t="shared" si="64"/>
        <v>0</v>
      </c>
      <c r="M576" s="132">
        <f t="shared" si="65"/>
        <v>0</v>
      </c>
      <c r="N576" s="133"/>
      <c r="O576" s="133">
        <f t="shared" si="66"/>
        <v>0</v>
      </c>
      <c r="P576" s="134"/>
      <c r="Q576" s="133"/>
      <c r="R576" s="133"/>
      <c r="S576" s="153">
        <v>0</v>
      </c>
      <c r="T576" s="153">
        <v>0</v>
      </c>
      <c r="U576" s="153">
        <v>0</v>
      </c>
      <c r="V576" s="135"/>
      <c r="W576" s="135"/>
      <c r="X576" s="135"/>
      <c r="Y576" s="135"/>
      <c r="Z576" s="135"/>
      <c r="AA576" s="135"/>
      <c r="AB576" s="135"/>
      <c r="AC576" s="135"/>
      <c r="AD576" s="133"/>
      <c r="AE576" s="133"/>
      <c r="AF576" s="132" t="str">
        <f t="shared" si="67"/>
        <v>Нет инфо</v>
      </c>
      <c r="AG576" s="132" t="str">
        <f t="shared" si="68"/>
        <v>Нет инфо</v>
      </c>
      <c r="AH576" s="2"/>
      <c r="AI576" s="136"/>
      <c r="AJ576" s="2"/>
      <c r="AK576" s="136"/>
      <c r="AL576" s="136"/>
      <c r="AM576" s="2"/>
      <c r="AN576" s="2"/>
      <c r="AO576" s="2"/>
      <c r="AP576" s="2"/>
      <c r="AQ576" s="136"/>
    </row>
    <row r="577" spans="1:43" s="115" customFormat="1" ht="12.75" hidden="1" customHeight="1" x14ac:dyDescent="0.2">
      <c r="A577" s="2">
        <v>2606</v>
      </c>
      <c r="B577" s="2"/>
      <c r="C577" s="131"/>
      <c r="D577" s="131"/>
      <c r="E577" s="131"/>
      <c r="F577" s="2"/>
      <c r="G577" s="2"/>
      <c r="H577" s="132">
        <v>0</v>
      </c>
      <c r="I577" s="132"/>
      <c r="J577" s="132"/>
      <c r="K577" s="132"/>
      <c r="L577" s="132">
        <f t="shared" si="64"/>
        <v>0</v>
      </c>
      <c r="M577" s="132">
        <f t="shared" si="65"/>
        <v>0</v>
      </c>
      <c r="N577" s="133"/>
      <c r="O577" s="133">
        <f t="shared" si="66"/>
        <v>0</v>
      </c>
      <c r="P577" s="134"/>
      <c r="Q577" s="133"/>
      <c r="R577" s="133"/>
      <c r="S577" s="153">
        <v>0</v>
      </c>
      <c r="T577" s="153">
        <v>0</v>
      </c>
      <c r="U577" s="153">
        <v>0</v>
      </c>
      <c r="V577" s="135"/>
      <c r="W577" s="135"/>
      <c r="X577" s="135"/>
      <c r="Y577" s="135"/>
      <c r="Z577" s="135"/>
      <c r="AA577" s="135"/>
      <c r="AB577" s="135"/>
      <c r="AC577" s="135"/>
      <c r="AD577" s="133"/>
      <c r="AE577" s="133"/>
      <c r="AF577" s="132" t="str">
        <f t="shared" si="67"/>
        <v>Нет инфо</v>
      </c>
      <c r="AG577" s="132" t="str">
        <f t="shared" si="68"/>
        <v>Нет инфо</v>
      </c>
      <c r="AH577" s="2"/>
      <c r="AI577" s="136"/>
      <c r="AJ577" s="2"/>
      <c r="AK577" s="136"/>
      <c r="AL577" s="136"/>
      <c r="AM577" s="2"/>
      <c r="AN577" s="2"/>
      <c r="AO577" s="2"/>
      <c r="AP577" s="2"/>
      <c r="AQ577" s="136"/>
    </row>
    <row r="578" spans="1:43" s="115" customFormat="1" ht="12.75" hidden="1" customHeight="1" x14ac:dyDescent="0.2">
      <c r="A578" s="2">
        <v>2607</v>
      </c>
      <c r="B578" s="2"/>
      <c r="C578" s="131"/>
      <c r="D578" s="131"/>
      <c r="E578" s="131"/>
      <c r="F578" s="2"/>
      <c r="G578" s="2"/>
      <c r="H578" s="132">
        <v>0</v>
      </c>
      <c r="I578" s="132"/>
      <c r="J578" s="132"/>
      <c r="K578" s="132"/>
      <c r="L578" s="132">
        <f t="shared" si="64"/>
        <v>0</v>
      </c>
      <c r="M578" s="132">
        <f t="shared" si="65"/>
        <v>0</v>
      </c>
      <c r="N578" s="133"/>
      <c r="O578" s="133">
        <f t="shared" si="66"/>
        <v>0</v>
      </c>
      <c r="P578" s="134"/>
      <c r="Q578" s="133"/>
      <c r="R578" s="133"/>
      <c r="S578" s="153">
        <v>0</v>
      </c>
      <c r="T578" s="153">
        <v>0</v>
      </c>
      <c r="U578" s="153">
        <v>0</v>
      </c>
      <c r="V578" s="135"/>
      <c r="W578" s="135"/>
      <c r="X578" s="135"/>
      <c r="Y578" s="135"/>
      <c r="Z578" s="135"/>
      <c r="AA578" s="135"/>
      <c r="AB578" s="135"/>
      <c r="AC578" s="135"/>
      <c r="AD578" s="133"/>
      <c r="AE578" s="133"/>
      <c r="AF578" s="132" t="str">
        <f t="shared" si="67"/>
        <v>Нет инфо</v>
      </c>
      <c r="AG578" s="132" t="str">
        <f t="shared" si="68"/>
        <v>Нет инфо</v>
      </c>
      <c r="AH578" s="2"/>
      <c r="AI578" s="136"/>
      <c r="AJ578" s="2"/>
      <c r="AK578" s="136"/>
      <c r="AL578" s="136"/>
      <c r="AM578" s="2"/>
      <c r="AN578" s="2"/>
      <c r="AO578" s="2"/>
      <c r="AP578" s="2"/>
      <c r="AQ578" s="136"/>
    </row>
    <row r="579" spans="1:43" s="115" customFormat="1" ht="12.75" hidden="1" customHeight="1" x14ac:dyDescent="0.2">
      <c r="A579" s="2">
        <v>2608</v>
      </c>
      <c r="B579" s="2"/>
      <c r="C579" s="131"/>
      <c r="D579" s="131"/>
      <c r="E579" s="131"/>
      <c r="F579" s="2"/>
      <c r="G579" s="2"/>
      <c r="H579" s="132">
        <v>0</v>
      </c>
      <c r="I579" s="132"/>
      <c r="J579" s="132"/>
      <c r="K579" s="132"/>
      <c r="L579" s="132">
        <f t="shared" si="64"/>
        <v>0</v>
      </c>
      <c r="M579" s="132">
        <f t="shared" si="65"/>
        <v>0</v>
      </c>
      <c r="N579" s="133"/>
      <c r="O579" s="133">
        <f t="shared" si="66"/>
        <v>0</v>
      </c>
      <c r="P579" s="134"/>
      <c r="Q579" s="133"/>
      <c r="R579" s="133"/>
      <c r="S579" s="153">
        <v>0</v>
      </c>
      <c r="T579" s="153">
        <v>0</v>
      </c>
      <c r="U579" s="153">
        <v>0</v>
      </c>
      <c r="V579" s="135"/>
      <c r="W579" s="135"/>
      <c r="X579" s="135"/>
      <c r="Y579" s="135"/>
      <c r="Z579" s="135"/>
      <c r="AA579" s="135"/>
      <c r="AB579" s="135"/>
      <c r="AC579" s="135"/>
      <c r="AD579" s="133"/>
      <c r="AE579" s="133"/>
      <c r="AF579" s="132" t="str">
        <f t="shared" si="67"/>
        <v>Нет инфо</v>
      </c>
      <c r="AG579" s="132" t="str">
        <f t="shared" si="68"/>
        <v>Нет инфо</v>
      </c>
      <c r="AH579" s="2"/>
      <c r="AI579" s="136"/>
      <c r="AJ579" s="2"/>
      <c r="AK579" s="136"/>
      <c r="AL579" s="136"/>
      <c r="AM579" s="2"/>
      <c r="AN579" s="2"/>
      <c r="AO579" s="2"/>
      <c r="AP579" s="2"/>
      <c r="AQ579" s="136"/>
    </row>
    <row r="580" spans="1:43" s="115" customFormat="1" ht="12.75" hidden="1" customHeight="1" x14ac:dyDescent="0.2">
      <c r="A580" s="2">
        <v>2609</v>
      </c>
      <c r="B580" s="2"/>
      <c r="C580" s="131"/>
      <c r="D580" s="131"/>
      <c r="E580" s="131"/>
      <c r="F580" s="2"/>
      <c r="G580" s="2"/>
      <c r="H580" s="132">
        <v>0</v>
      </c>
      <c r="I580" s="132"/>
      <c r="J580" s="132"/>
      <c r="K580" s="132"/>
      <c r="L580" s="132">
        <f t="shared" si="64"/>
        <v>0</v>
      </c>
      <c r="M580" s="132">
        <f t="shared" si="65"/>
        <v>0</v>
      </c>
      <c r="N580" s="133"/>
      <c r="O580" s="133">
        <f t="shared" si="66"/>
        <v>0</v>
      </c>
      <c r="P580" s="134"/>
      <c r="Q580" s="133"/>
      <c r="R580" s="133"/>
      <c r="S580" s="153">
        <v>0</v>
      </c>
      <c r="T580" s="153">
        <v>0</v>
      </c>
      <c r="U580" s="153">
        <v>0</v>
      </c>
      <c r="V580" s="135"/>
      <c r="W580" s="135"/>
      <c r="X580" s="135"/>
      <c r="Y580" s="135"/>
      <c r="Z580" s="135"/>
      <c r="AA580" s="135"/>
      <c r="AB580" s="135"/>
      <c r="AC580" s="135"/>
      <c r="AD580" s="133"/>
      <c r="AE580" s="133"/>
      <c r="AF580" s="132" t="str">
        <f t="shared" si="67"/>
        <v>Нет инфо</v>
      </c>
      <c r="AG580" s="132" t="str">
        <f t="shared" si="68"/>
        <v>Нет инфо</v>
      </c>
      <c r="AH580" s="2"/>
      <c r="AI580" s="136"/>
      <c r="AJ580" s="2"/>
      <c r="AK580" s="136"/>
      <c r="AL580" s="136"/>
      <c r="AM580" s="2"/>
      <c r="AN580" s="2"/>
      <c r="AO580" s="2"/>
      <c r="AP580" s="2"/>
      <c r="AQ580" s="136"/>
    </row>
    <row r="581" spans="1:43" s="115" customFormat="1" ht="12.75" hidden="1" customHeight="1" x14ac:dyDescent="0.2">
      <c r="A581" s="2">
        <v>2610</v>
      </c>
      <c r="B581" s="2"/>
      <c r="C581" s="131"/>
      <c r="D581" s="131"/>
      <c r="E581" s="131"/>
      <c r="F581" s="2"/>
      <c r="G581" s="2"/>
      <c r="H581" s="132">
        <v>0</v>
      </c>
      <c r="I581" s="132"/>
      <c r="J581" s="132"/>
      <c r="K581" s="132"/>
      <c r="L581" s="132">
        <f t="shared" si="64"/>
        <v>0</v>
      </c>
      <c r="M581" s="132">
        <f t="shared" si="65"/>
        <v>0</v>
      </c>
      <c r="N581" s="133"/>
      <c r="O581" s="133">
        <f t="shared" si="66"/>
        <v>0</v>
      </c>
      <c r="P581" s="134"/>
      <c r="Q581" s="133"/>
      <c r="R581" s="133"/>
      <c r="S581" s="153">
        <v>0</v>
      </c>
      <c r="T581" s="153">
        <v>0</v>
      </c>
      <c r="U581" s="153">
        <v>0</v>
      </c>
      <c r="V581" s="135"/>
      <c r="W581" s="135"/>
      <c r="X581" s="135"/>
      <c r="Y581" s="135"/>
      <c r="Z581" s="135"/>
      <c r="AA581" s="135"/>
      <c r="AB581" s="135"/>
      <c r="AC581" s="135"/>
      <c r="AD581" s="133"/>
      <c r="AE581" s="133"/>
      <c r="AF581" s="132" t="str">
        <f t="shared" si="67"/>
        <v>Нет инфо</v>
      </c>
      <c r="AG581" s="132" t="str">
        <f t="shared" si="68"/>
        <v>Нет инфо</v>
      </c>
      <c r="AH581" s="2"/>
      <c r="AI581" s="136"/>
      <c r="AJ581" s="2"/>
      <c r="AK581" s="136"/>
      <c r="AL581" s="136"/>
      <c r="AM581" s="2"/>
      <c r="AN581" s="2"/>
      <c r="AO581" s="2"/>
      <c r="AP581" s="2"/>
      <c r="AQ581" s="136"/>
    </row>
    <row r="582" spans="1:43" s="115" customFormat="1" ht="12.75" hidden="1" customHeight="1" x14ac:dyDescent="0.2">
      <c r="A582" s="2">
        <v>2611</v>
      </c>
      <c r="B582" s="2"/>
      <c r="C582" s="131"/>
      <c r="D582" s="131"/>
      <c r="E582" s="131"/>
      <c r="F582" s="2"/>
      <c r="G582" s="2"/>
      <c r="H582" s="132">
        <v>0</v>
      </c>
      <c r="I582" s="132"/>
      <c r="J582" s="132"/>
      <c r="K582" s="132"/>
      <c r="L582" s="132">
        <f t="shared" si="64"/>
        <v>0</v>
      </c>
      <c r="M582" s="132">
        <f t="shared" si="65"/>
        <v>0</v>
      </c>
      <c r="N582" s="133"/>
      <c r="O582" s="133">
        <f t="shared" si="66"/>
        <v>0</v>
      </c>
      <c r="P582" s="134"/>
      <c r="Q582" s="133"/>
      <c r="R582" s="133"/>
      <c r="S582" s="153">
        <v>0</v>
      </c>
      <c r="T582" s="153">
        <v>0</v>
      </c>
      <c r="U582" s="153">
        <v>0</v>
      </c>
      <c r="V582" s="135"/>
      <c r="W582" s="135"/>
      <c r="X582" s="135"/>
      <c r="Y582" s="135"/>
      <c r="Z582" s="135"/>
      <c r="AA582" s="135"/>
      <c r="AB582" s="135"/>
      <c r="AC582" s="135"/>
      <c r="AD582" s="133"/>
      <c r="AE582" s="133"/>
      <c r="AF582" s="132" t="str">
        <f t="shared" si="67"/>
        <v>Нет инфо</v>
      </c>
      <c r="AG582" s="132" t="str">
        <f t="shared" si="68"/>
        <v>Нет инфо</v>
      </c>
      <c r="AH582" s="2"/>
      <c r="AI582" s="136"/>
      <c r="AJ582" s="2"/>
      <c r="AK582" s="136"/>
      <c r="AL582" s="136"/>
      <c r="AM582" s="2"/>
      <c r="AN582" s="2"/>
      <c r="AO582" s="2"/>
      <c r="AP582" s="2"/>
      <c r="AQ582" s="136"/>
    </row>
    <row r="583" spans="1:43" s="115" customFormat="1" ht="12.75" hidden="1" customHeight="1" x14ac:dyDescent="0.2">
      <c r="A583" s="2">
        <v>2612</v>
      </c>
      <c r="B583" s="2"/>
      <c r="C583" s="131"/>
      <c r="D583" s="131"/>
      <c r="E583" s="131"/>
      <c r="F583" s="2"/>
      <c r="G583" s="2"/>
      <c r="H583" s="132">
        <v>0</v>
      </c>
      <c r="I583" s="132"/>
      <c r="J583" s="132"/>
      <c r="K583" s="132"/>
      <c r="L583" s="132">
        <f t="shared" si="64"/>
        <v>0</v>
      </c>
      <c r="M583" s="132">
        <f t="shared" si="65"/>
        <v>0</v>
      </c>
      <c r="N583" s="133"/>
      <c r="O583" s="133">
        <f t="shared" si="66"/>
        <v>0</v>
      </c>
      <c r="P583" s="134"/>
      <c r="Q583" s="133"/>
      <c r="R583" s="133"/>
      <c r="S583" s="153">
        <v>0</v>
      </c>
      <c r="T583" s="153">
        <v>0</v>
      </c>
      <c r="U583" s="153">
        <v>0</v>
      </c>
      <c r="V583" s="135"/>
      <c r="W583" s="135"/>
      <c r="X583" s="135"/>
      <c r="Y583" s="135"/>
      <c r="Z583" s="135"/>
      <c r="AA583" s="135"/>
      <c r="AB583" s="135"/>
      <c r="AC583" s="135"/>
      <c r="AD583" s="133"/>
      <c r="AE583" s="133"/>
      <c r="AF583" s="132" t="str">
        <f t="shared" si="67"/>
        <v>Нет инфо</v>
      </c>
      <c r="AG583" s="132" t="str">
        <f t="shared" si="68"/>
        <v>Нет инфо</v>
      </c>
      <c r="AH583" s="2"/>
      <c r="AI583" s="136"/>
      <c r="AJ583" s="2"/>
      <c r="AK583" s="136"/>
      <c r="AL583" s="136"/>
      <c r="AM583" s="2"/>
      <c r="AN583" s="2"/>
      <c r="AO583" s="2"/>
      <c r="AP583" s="2"/>
      <c r="AQ583" s="136"/>
    </row>
    <row r="584" spans="1:43" s="115" customFormat="1" ht="12.75" hidden="1" customHeight="1" x14ac:dyDescent="0.2">
      <c r="A584" s="2">
        <v>2613</v>
      </c>
      <c r="B584" s="2"/>
      <c r="C584" s="131"/>
      <c r="D584" s="131"/>
      <c r="E584" s="131"/>
      <c r="F584" s="2"/>
      <c r="G584" s="2"/>
      <c r="H584" s="132">
        <v>0</v>
      </c>
      <c r="I584" s="132"/>
      <c r="J584" s="132"/>
      <c r="K584" s="132"/>
      <c r="L584" s="132">
        <f t="shared" si="64"/>
        <v>0</v>
      </c>
      <c r="M584" s="132">
        <f t="shared" si="65"/>
        <v>0</v>
      </c>
      <c r="N584" s="133"/>
      <c r="O584" s="133">
        <f t="shared" si="66"/>
        <v>0</v>
      </c>
      <c r="P584" s="134"/>
      <c r="Q584" s="133"/>
      <c r="R584" s="133"/>
      <c r="S584" s="153">
        <v>0</v>
      </c>
      <c r="T584" s="153">
        <v>0</v>
      </c>
      <c r="U584" s="153">
        <v>0</v>
      </c>
      <c r="V584" s="135"/>
      <c r="W584" s="135"/>
      <c r="X584" s="135"/>
      <c r="Y584" s="135"/>
      <c r="Z584" s="135"/>
      <c r="AA584" s="135"/>
      <c r="AB584" s="135"/>
      <c r="AC584" s="135"/>
      <c r="AD584" s="133"/>
      <c r="AE584" s="133"/>
      <c r="AF584" s="132" t="str">
        <f t="shared" si="67"/>
        <v>Нет инфо</v>
      </c>
      <c r="AG584" s="132" t="str">
        <f t="shared" si="68"/>
        <v>Нет инфо</v>
      </c>
      <c r="AH584" s="2"/>
      <c r="AI584" s="136"/>
      <c r="AJ584" s="2"/>
      <c r="AK584" s="136"/>
      <c r="AL584" s="136"/>
      <c r="AM584" s="2"/>
      <c r="AN584" s="2"/>
      <c r="AO584" s="2"/>
      <c r="AP584" s="2"/>
      <c r="AQ584" s="136"/>
    </row>
    <row r="585" spans="1:43" s="115" customFormat="1" ht="12.75" hidden="1" customHeight="1" x14ac:dyDescent="0.2">
      <c r="A585" s="2">
        <v>2614</v>
      </c>
      <c r="B585" s="2"/>
      <c r="C585" s="131"/>
      <c r="D585" s="131"/>
      <c r="E585" s="131"/>
      <c r="F585" s="2"/>
      <c r="G585" s="2"/>
      <c r="H585" s="132">
        <v>0</v>
      </c>
      <c r="I585" s="132"/>
      <c r="J585" s="132"/>
      <c r="K585" s="132"/>
      <c r="L585" s="132">
        <f t="shared" si="64"/>
        <v>0</v>
      </c>
      <c r="M585" s="132">
        <f t="shared" si="65"/>
        <v>0</v>
      </c>
      <c r="N585" s="133"/>
      <c r="O585" s="133">
        <f t="shared" si="66"/>
        <v>0</v>
      </c>
      <c r="P585" s="134"/>
      <c r="Q585" s="133"/>
      <c r="R585" s="133"/>
      <c r="S585" s="153">
        <v>0</v>
      </c>
      <c r="T585" s="153">
        <v>0</v>
      </c>
      <c r="U585" s="153">
        <v>0</v>
      </c>
      <c r="V585" s="135"/>
      <c r="W585" s="135"/>
      <c r="X585" s="135"/>
      <c r="Y585" s="135"/>
      <c r="Z585" s="135"/>
      <c r="AA585" s="135"/>
      <c r="AB585" s="135"/>
      <c r="AC585" s="135"/>
      <c r="AD585" s="133"/>
      <c r="AE585" s="133"/>
      <c r="AF585" s="132" t="str">
        <f t="shared" si="67"/>
        <v>Нет инфо</v>
      </c>
      <c r="AG585" s="132" t="str">
        <f t="shared" si="68"/>
        <v>Нет инфо</v>
      </c>
      <c r="AH585" s="2"/>
      <c r="AI585" s="136"/>
      <c r="AJ585" s="2"/>
      <c r="AK585" s="136"/>
      <c r="AL585" s="136"/>
      <c r="AM585" s="2"/>
      <c r="AN585" s="2"/>
      <c r="AO585" s="2"/>
      <c r="AP585" s="2"/>
      <c r="AQ585" s="136"/>
    </row>
    <row r="586" spans="1:43" s="115" customFormat="1" ht="12.75" hidden="1" customHeight="1" x14ac:dyDescent="0.2">
      <c r="A586" s="2">
        <v>2615</v>
      </c>
      <c r="B586" s="2"/>
      <c r="C586" s="131"/>
      <c r="D586" s="131"/>
      <c r="E586" s="131"/>
      <c r="F586" s="2"/>
      <c r="G586" s="2"/>
      <c r="H586" s="132">
        <v>0</v>
      </c>
      <c r="I586" s="132"/>
      <c r="J586" s="132"/>
      <c r="K586" s="132"/>
      <c r="L586" s="132">
        <f t="shared" si="64"/>
        <v>0</v>
      </c>
      <c r="M586" s="132">
        <f t="shared" si="65"/>
        <v>0</v>
      </c>
      <c r="N586" s="133"/>
      <c r="O586" s="133">
        <f t="shared" si="66"/>
        <v>0</v>
      </c>
      <c r="P586" s="134"/>
      <c r="Q586" s="133"/>
      <c r="R586" s="133"/>
      <c r="S586" s="153">
        <v>0</v>
      </c>
      <c r="T586" s="153">
        <v>0</v>
      </c>
      <c r="U586" s="153">
        <v>0</v>
      </c>
      <c r="V586" s="135"/>
      <c r="W586" s="135"/>
      <c r="X586" s="135"/>
      <c r="Y586" s="135"/>
      <c r="Z586" s="135"/>
      <c r="AA586" s="135"/>
      <c r="AB586" s="135"/>
      <c r="AC586" s="135"/>
      <c r="AD586" s="133"/>
      <c r="AE586" s="133"/>
      <c r="AF586" s="132" t="str">
        <f t="shared" si="67"/>
        <v>Нет инфо</v>
      </c>
      <c r="AG586" s="132" t="str">
        <f t="shared" si="68"/>
        <v>Нет инфо</v>
      </c>
      <c r="AH586" s="2"/>
      <c r="AI586" s="136"/>
      <c r="AJ586" s="2"/>
      <c r="AK586" s="136"/>
      <c r="AL586" s="136"/>
      <c r="AM586" s="2"/>
      <c r="AN586" s="2"/>
      <c r="AO586" s="2"/>
      <c r="AP586" s="2"/>
      <c r="AQ586" s="136"/>
    </row>
    <row r="587" spans="1:43" s="115" customFormat="1" ht="12.75" hidden="1" customHeight="1" x14ac:dyDescent="0.2">
      <c r="A587" s="2">
        <v>2616</v>
      </c>
      <c r="B587" s="2"/>
      <c r="C587" s="131"/>
      <c r="D587" s="131"/>
      <c r="E587" s="131"/>
      <c r="F587" s="2"/>
      <c r="G587" s="2"/>
      <c r="H587" s="132">
        <v>0</v>
      </c>
      <c r="I587" s="132"/>
      <c r="J587" s="132"/>
      <c r="K587" s="132"/>
      <c r="L587" s="132">
        <f t="shared" ref="L587:L650" si="69">H587-K587</f>
        <v>0</v>
      </c>
      <c r="M587" s="132">
        <f t="shared" ref="M587:M650" si="70">I587-K587</f>
        <v>0</v>
      </c>
      <c r="N587" s="133"/>
      <c r="O587" s="133">
        <f t="shared" ref="O587:O650" si="71">IF(OR(AJ587="принят",AJ587="Завершено",AJ587="ПриПро"),I587-K587,H587-K587)</f>
        <v>0</v>
      </c>
      <c r="P587" s="134"/>
      <c r="Q587" s="133"/>
      <c r="R587" s="133"/>
      <c r="S587" s="153">
        <v>0</v>
      </c>
      <c r="T587" s="153">
        <v>0</v>
      </c>
      <c r="U587" s="153">
        <v>0</v>
      </c>
      <c r="V587" s="135"/>
      <c r="W587" s="135"/>
      <c r="X587" s="135"/>
      <c r="Y587" s="135"/>
      <c r="Z587" s="135"/>
      <c r="AA587" s="135"/>
      <c r="AB587" s="135"/>
      <c r="AC587" s="135"/>
      <c r="AD587" s="133"/>
      <c r="AE587" s="133"/>
      <c r="AF587" s="132" t="str">
        <f t="shared" si="67"/>
        <v>Нет инфо</v>
      </c>
      <c r="AG587" s="132" t="str">
        <f t="shared" si="68"/>
        <v>Нет инфо</v>
      </c>
      <c r="AH587" s="2"/>
      <c r="AI587" s="136"/>
      <c r="AJ587" s="2"/>
      <c r="AK587" s="136"/>
      <c r="AL587" s="136"/>
      <c r="AM587" s="2"/>
      <c r="AN587" s="2"/>
      <c r="AO587" s="2"/>
      <c r="AP587" s="2"/>
      <c r="AQ587" s="136"/>
    </row>
    <row r="588" spans="1:43" s="115" customFormat="1" ht="12.75" hidden="1" customHeight="1" x14ac:dyDescent="0.2">
      <c r="A588" s="2">
        <v>2617</v>
      </c>
      <c r="B588" s="2"/>
      <c r="C588" s="131"/>
      <c r="D588" s="131"/>
      <c r="E588" s="131"/>
      <c r="F588" s="2"/>
      <c r="G588" s="2"/>
      <c r="H588" s="132">
        <v>0</v>
      </c>
      <c r="I588" s="132"/>
      <c r="J588" s="132"/>
      <c r="K588" s="132"/>
      <c r="L588" s="132">
        <f t="shared" si="69"/>
        <v>0</v>
      </c>
      <c r="M588" s="132">
        <f t="shared" si="70"/>
        <v>0</v>
      </c>
      <c r="N588" s="133"/>
      <c r="O588" s="133">
        <f t="shared" si="71"/>
        <v>0</v>
      </c>
      <c r="P588" s="134"/>
      <c r="Q588" s="133"/>
      <c r="R588" s="133"/>
      <c r="S588" s="153">
        <v>0</v>
      </c>
      <c r="T588" s="153">
        <v>0</v>
      </c>
      <c r="U588" s="153">
        <v>0</v>
      </c>
      <c r="V588" s="135"/>
      <c r="W588" s="135"/>
      <c r="X588" s="135"/>
      <c r="Y588" s="135"/>
      <c r="Z588" s="135"/>
      <c r="AA588" s="135"/>
      <c r="AB588" s="135"/>
      <c r="AC588" s="135"/>
      <c r="AD588" s="133"/>
      <c r="AE588" s="133"/>
      <c r="AF588" s="132" t="str">
        <f t="shared" si="67"/>
        <v>Нет инфо</v>
      </c>
      <c r="AG588" s="132" t="str">
        <f t="shared" si="68"/>
        <v>Нет инфо</v>
      </c>
      <c r="AH588" s="2"/>
      <c r="AI588" s="136"/>
      <c r="AJ588" s="2"/>
      <c r="AK588" s="136"/>
      <c r="AL588" s="136"/>
      <c r="AM588" s="2"/>
      <c r="AN588" s="2"/>
      <c r="AO588" s="2"/>
      <c r="AP588" s="2"/>
      <c r="AQ588" s="136"/>
    </row>
    <row r="589" spans="1:43" s="115" customFormat="1" ht="12.75" hidden="1" customHeight="1" x14ac:dyDescent="0.2">
      <c r="A589" s="2">
        <v>2618</v>
      </c>
      <c r="B589" s="2"/>
      <c r="C589" s="131"/>
      <c r="D589" s="131"/>
      <c r="E589" s="131"/>
      <c r="F589" s="2"/>
      <c r="G589" s="2"/>
      <c r="H589" s="132">
        <v>0</v>
      </c>
      <c r="I589" s="132"/>
      <c r="J589" s="132"/>
      <c r="K589" s="132"/>
      <c r="L589" s="132">
        <f t="shared" si="69"/>
        <v>0</v>
      </c>
      <c r="M589" s="132">
        <f t="shared" si="70"/>
        <v>0</v>
      </c>
      <c r="N589" s="133"/>
      <c r="O589" s="133">
        <f t="shared" si="71"/>
        <v>0</v>
      </c>
      <c r="P589" s="134"/>
      <c r="Q589" s="133"/>
      <c r="R589" s="133"/>
      <c r="S589" s="153">
        <v>0</v>
      </c>
      <c r="T589" s="153">
        <v>0</v>
      </c>
      <c r="U589" s="153">
        <v>0</v>
      </c>
      <c r="V589" s="135"/>
      <c r="W589" s="135"/>
      <c r="X589" s="135"/>
      <c r="Y589" s="135"/>
      <c r="Z589" s="135"/>
      <c r="AA589" s="135"/>
      <c r="AB589" s="135"/>
      <c r="AC589" s="135"/>
      <c r="AD589" s="133"/>
      <c r="AE589" s="133"/>
      <c r="AF589" s="132" t="str">
        <f t="shared" si="67"/>
        <v>Нет инфо</v>
      </c>
      <c r="AG589" s="132" t="str">
        <f t="shared" si="68"/>
        <v>Нет инфо</v>
      </c>
      <c r="AH589" s="2"/>
      <c r="AI589" s="136"/>
      <c r="AJ589" s="2"/>
      <c r="AK589" s="136"/>
      <c r="AL589" s="136"/>
      <c r="AM589" s="2"/>
      <c r="AN589" s="2"/>
      <c r="AO589" s="2"/>
      <c r="AP589" s="2"/>
      <c r="AQ589" s="136"/>
    </row>
    <row r="590" spans="1:43" s="115" customFormat="1" ht="12.75" hidden="1" customHeight="1" x14ac:dyDescent="0.2">
      <c r="A590" s="2">
        <v>2619</v>
      </c>
      <c r="B590" s="2"/>
      <c r="C590" s="131"/>
      <c r="D590" s="131"/>
      <c r="E590" s="131"/>
      <c r="F590" s="2"/>
      <c r="G590" s="2"/>
      <c r="H590" s="132">
        <v>0</v>
      </c>
      <c r="I590" s="132"/>
      <c r="J590" s="132"/>
      <c r="K590" s="132"/>
      <c r="L590" s="132">
        <f t="shared" si="69"/>
        <v>0</v>
      </c>
      <c r="M590" s="132">
        <f t="shared" si="70"/>
        <v>0</v>
      </c>
      <c r="N590" s="133"/>
      <c r="O590" s="133">
        <f t="shared" si="71"/>
        <v>0</v>
      </c>
      <c r="P590" s="134"/>
      <c r="Q590" s="133"/>
      <c r="R590" s="133"/>
      <c r="S590" s="153">
        <v>0</v>
      </c>
      <c r="T590" s="153">
        <v>0</v>
      </c>
      <c r="U590" s="153">
        <v>0</v>
      </c>
      <c r="V590" s="135"/>
      <c r="W590" s="135"/>
      <c r="X590" s="135"/>
      <c r="Y590" s="135"/>
      <c r="Z590" s="135"/>
      <c r="AA590" s="135"/>
      <c r="AB590" s="135"/>
      <c r="AC590" s="135"/>
      <c r="AD590" s="133"/>
      <c r="AE590" s="133"/>
      <c r="AF590" s="132" t="str">
        <f t="shared" si="67"/>
        <v>Нет инфо</v>
      </c>
      <c r="AG590" s="132" t="str">
        <f t="shared" si="68"/>
        <v>Нет инфо</v>
      </c>
      <c r="AH590" s="2"/>
      <c r="AI590" s="136"/>
      <c r="AJ590" s="2"/>
      <c r="AK590" s="136"/>
      <c r="AL590" s="136"/>
      <c r="AM590" s="2"/>
      <c r="AN590" s="2"/>
      <c r="AO590" s="2"/>
      <c r="AP590" s="2"/>
      <c r="AQ590" s="136"/>
    </row>
    <row r="591" spans="1:43" s="115" customFormat="1" ht="12.75" hidden="1" customHeight="1" x14ac:dyDescent="0.2">
      <c r="A591" s="2">
        <v>2620</v>
      </c>
      <c r="B591" s="2"/>
      <c r="C591" s="131"/>
      <c r="D591" s="131"/>
      <c r="E591" s="131"/>
      <c r="F591" s="2"/>
      <c r="G591" s="2"/>
      <c r="H591" s="132">
        <v>0</v>
      </c>
      <c r="I591" s="132"/>
      <c r="J591" s="132"/>
      <c r="K591" s="132"/>
      <c r="L591" s="132">
        <f t="shared" si="69"/>
        <v>0</v>
      </c>
      <c r="M591" s="132">
        <f t="shared" si="70"/>
        <v>0</v>
      </c>
      <c r="N591" s="133"/>
      <c r="O591" s="133">
        <f t="shared" si="71"/>
        <v>0</v>
      </c>
      <c r="P591" s="134"/>
      <c r="Q591" s="133"/>
      <c r="R591" s="133"/>
      <c r="S591" s="153">
        <v>0</v>
      </c>
      <c r="T591" s="153">
        <v>0</v>
      </c>
      <c r="U591" s="153">
        <v>0</v>
      </c>
      <c r="V591" s="135"/>
      <c r="W591" s="135"/>
      <c r="X591" s="135"/>
      <c r="Y591" s="135"/>
      <c r="Z591" s="135"/>
      <c r="AA591" s="135"/>
      <c r="AB591" s="135"/>
      <c r="AC591" s="135"/>
      <c r="AD591" s="133"/>
      <c r="AE591" s="133"/>
      <c r="AF591" s="132" t="str">
        <f t="shared" si="67"/>
        <v>Нет инфо</v>
      </c>
      <c r="AG591" s="132" t="str">
        <f t="shared" si="68"/>
        <v>Нет инфо</v>
      </c>
      <c r="AH591" s="2"/>
      <c r="AI591" s="136"/>
      <c r="AJ591" s="2"/>
      <c r="AK591" s="136"/>
      <c r="AL591" s="136"/>
      <c r="AM591" s="2"/>
      <c r="AN591" s="2"/>
      <c r="AO591" s="2"/>
      <c r="AP591" s="2"/>
      <c r="AQ591" s="136"/>
    </row>
    <row r="592" spans="1:43" s="115" customFormat="1" ht="12.75" hidden="1" customHeight="1" x14ac:dyDescent="0.2">
      <c r="A592" s="2">
        <v>2621</v>
      </c>
      <c r="B592" s="2"/>
      <c r="C592" s="131"/>
      <c r="D592" s="131"/>
      <c r="E592" s="131"/>
      <c r="F592" s="2"/>
      <c r="G592" s="2"/>
      <c r="H592" s="132">
        <v>0</v>
      </c>
      <c r="I592" s="132"/>
      <c r="J592" s="132"/>
      <c r="K592" s="132"/>
      <c r="L592" s="132">
        <f t="shared" si="69"/>
        <v>0</v>
      </c>
      <c r="M592" s="132">
        <f t="shared" si="70"/>
        <v>0</v>
      </c>
      <c r="N592" s="133"/>
      <c r="O592" s="133">
        <f t="shared" si="71"/>
        <v>0</v>
      </c>
      <c r="P592" s="134"/>
      <c r="Q592" s="133"/>
      <c r="R592" s="133"/>
      <c r="S592" s="153">
        <v>0</v>
      </c>
      <c r="T592" s="153">
        <v>0</v>
      </c>
      <c r="U592" s="153">
        <v>0</v>
      </c>
      <c r="V592" s="135"/>
      <c r="W592" s="135"/>
      <c r="X592" s="135"/>
      <c r="Y592" s="135"/>
      <c r="Z592" s="135"/>
      <c r="AA592" s="135"/>
      <c r="AB592" s="135"/>
      <c r="AC592" s="135"/>
      <c r="AD592" s="133"/>
      <c r="AE592" s="133"/>
      <c r="AF592" s="132" t="str">
        <f t="shared" si="67"/>
        <v>Нет инфо</v>
      </c>
      <c r="AG592" s="132" t="str">
        <f t="shared" si="68"/>
        <v>Нет инфо</v>
      </c>
      <c r="AH592" s="2"/>
      <c r="AI592" s="136"/>
      <c r="AJ592" s="2"/>
      <c r="AK592" s="136"/>
      <c r="AL592" s="136"/>
      <c r="AM592" s="2"/>
      <c r="AN592" s="2"/>
      <c r="AO592" s="2"/>
      <c r="AP592" s="2"/>
      <c r="AQ592" s="136"/>
    </row>
    <row r="593" spans="1:43" s="115" customFormat="1" ht="12.75" hidden="1" customHeight="1" x14ac:dyDescent="0.2">
      <c r="A593" s="2">
        <v>2622</v>
      </c>
      <c r="B593" s="2"/>
      <c r="C593" s="131"/>
      <c r="D593" s="131"/>
      <c r="E593" s="131"/>
      <c r="F593" s="2"/>
      <c r="G593" s="2"/>
      <c r="H593" s="132">
        <v>0</v>
      </c>
      <c r="I593" s="132"/>
      <c r="J593" s="132"/>
      <c r="K593" s="132"/>
      <c r="L593" s="132">
        <f t="shared" si="69"/>
        <v>0</v>
      </c>
      <c r="M593" s="132">
        <f t="shared" si="70"/>
        <v>0</v>
      </c>
      <c r="N593" s="133"/>
      <c r="O593" s="133">
        <f t="shared" si="71"/>
        <v>0</v>
      </c>
      <c r="P593" s="134"/>
      <c r="Q593" s="133"/>
      <c r="R593" s="133"/>
      <c r="S593" s="153">
        <v>0</v>
      </c>
      <c r="T593" s="153">
        <v>0</v>
      </c>
      <c r="U593" s="153">
        <v>0</v>
      </c>
      <c r="V593" s="135"/>
      <c r="W593" s="135"/>
      <c r="X593" s="135"/>
      <c r="Y593" s="135"/>
      <c r="Z593" s="135"/>
      <c r="AA593" s="135"/>
      <c r="AB593" s="135"/>
      <c r="AC593" s="135"/>
      <c r="AD593" s="133"/>
      <c r="AE593" s="133"/>
      <c r="AF593" s="132" t="str">
        <f t="shared" si="67"/>
        <v>Нет инфо</v>
      </c>
      <c r="AG593" s="132" t="str">
        <f t="shared" si="68"/>
        <v>Нет инфо</v>
      </c>
      <c r="AH593" s="2"/>
      <c r="AI593" s="136"/>
      <c r="AJ593" s="2"/>
      <c r="AK593" s="136"/>
      <c r="AL593" s="136"/>
      <c r="AM593" s="2"/>
      <c r="AN593" s="2"/>
      <c r="AO593" s="2"/>
      <c r="AP593" s="2"/>
      <c r="AQ593" s="136"/>
    </row>
    <row r="594" spans="1:43" s="115" customFormat="1" ht="12.75" hidden="1" customHeight="1" x14ac:dyDescent="0.2">
      <c r="A594" s="2">
        <v>2623</v>
      </c>
      <c r="B594" s="2"/>
      <c r="C594" s="131"/>
      <c r="D594" s="131"/>
      <c r="E594" s="131"/>
      <c r="F594" s="2"/>
      <c r="G594" s="2"/>
      <c r="H594" s="132">
        <v>0</v>
      </c>
      <c r="I594" s="132"/>
      <c r="J594" s="132"/>
      <c r="K594" s="132"/>
      <c r="L594" s="132">
        <f t="shared" si="69"/>
        <v>0</v>
      </c>
      <c r="M594" s="132">
        <f t="shared" si="70"/>
        <v>0</v>
      </c>
      <c r="N594" s="133"/>
      <c r="O594" s="133">
        <f t="shared" si="71"/>
        <v>0</v>
      </c>
      <c r="P594" s="134"/>
      <c r="Q594" s="133"/>
      <c r="R594" s="133"/>
      <c r="S594" s="153">
        <v>0</v>
      </c>
      <c r="T594" s="153">
        <v>0</v>
      </c>
      <c r="U594" s="153">
        <v>0</v>
      </c>
      <c r="V594" s="135"/>
      <c r="W594" s="135"/>
      <c r="X594" s="135"/>
      <c r="Y594" s="135"/>
      <c r="Z594" s="135"/>
      <c r="AA594" s="135"/>
      <c r="AB594" s="135"/>
      <c r="AC594" s="135"/>
      <c r="AD594" s="133"/>
      <c r="AE594" s="133"/>
      <c r="AF594" s="132" t="str">
        <f t="shared" si="67"/>
        <v>Нет инфо</v>
      </c>
      <c r="AG594" s="132" t="str">
        <f t="shared" si="68"/>
        <v>Нет инфо</v>
      </c>
      <c r="AH594" s="2"/>
      <c r="AI594" s="136"/>
      <c r="AJ594" s="2"/>
      <c r="AK594" s="136"/>
      <c r="AL594" s="136"/>
      <c r="AM594" s="2"/>
      <c r="AN594" s="2"/>
      <c r="AO594" s="2"/>
      <c r="AP594" s="2"/>
      <c r="AQ594" s="136"/>
    </row>
    <row r="595" spans="1:43" s="115" customFormat="1" ht="12.75" hidden="1" customHeight="1" x14ac:dyDescent="0.2">
      <c r="A595" s="2">
        <v>2624</v>
      </c>
      <c r="B595" s="2"/>
      <c r="C595" s="131"/>
      <c r="D595" s="131"/>
      <c r="E595" s="131"/>
      <c r="F595" s="2"/>
      <c r="G595" s="2"/>
      <c r="H595" s="132">
        <v>0</v>
      </c>
      <c r="I595" s="132"/>
      <c r="J595" s="132"/>
      <c r="K595" s="132"/>
      <c r="L595" s="132">
        <f t="shared" si="69"/>
        <v>0</v>
      </c>
      <c r="M595" s="132">
        <f t="shared" si="70"/>
        <v>0</v>
      </c>
      <c r="N595" s="133"/>
      <c r="O595" s="133">
        <f t="shared" si="71"/>
        <v>0</v>
      </c>
      <c r="P595" s="134"/>
      <c r="Q595" s="133"/>
      <c r="R595" s="133"/>
      <c r="S595" s="153">
        <v>0</v>
      </c>
      <c r="T595" s="153">
        <v>0</v>
      </c>
      <c r="U595" s="153">
        <v>0</v>
      </c>
      <c r="V595" s="135"/>
      <c r="W595" s="135"/>
      <c r="X595" s="135"/>
      <c r="Y595" s="135"/>
      <c r="Z595" s="135"/>
      <c r="AA595" s="135"/>
      <c r="AB595" s="135"/>
      <c r="AC595" s="135"/>
      <c r="AD595" s="133"/>
      <c r="AE595" s="133"/>
      <c r="AF595" s="132" t="str">
        <f t="shared" si="67"/>
        <v>Нет инфо</v>
      </c>
      <c r="AG595" s="132" t="str">
        <f t="shared" si="68"/>
        <v>Нет инфо</v>
      </c>
      <c r="AH595" s="2"/>
      <c r="AI595" s="136"/>
      <c r="AJ595" s="2"/>
      <c r="AK595" s="136"/>
      <c r="AL595" s="136"/>
      <c r="AM595" s="2"/>
      <c r="AN595" s="2"/>
      <c r="AO595" s="2"/>
      <c r="AP595" s="2"/>
      <c r="AQ595" s="136"/>
    </row>
    <row r="596" spans="1:43" s="115" customFormat="1" ht="12.75" hidden="1" customHeight="1" x14ac:dyDescent="0.2">
      <c r="A596" s="2">
        <v>2625</v>
      </c>
      <c r="B596" s="2"/>
      <c r="C596" s="131"/>
      <c r="D596" s="131"/>
      <c r="E596" s="131"/>
      <c r="F596" s="2"/>
      <c r="G596" s="2"/>
      <c r="H596" s="132">
        <v>0</v>
      </c>
      <c r="I596" s="132"/>
      <c r="J596" s="132"/>
      <c r="K596" s="132"/>
      <c r="L596" s="132">
        <f t="shared" si="69"/>
        <v>0</v>
      </c>
      <c r="M596" s="132">
        <f t="shared" si="70"/>
        <v>0</v>
      </c>
      <c r="N596" s="133"/>
      <c r="O596" s="133">
        <f t="shared" si="71"/>
        <v>0</v>
      </c>
      <c r="P596" s="134"/>
      <c r="Q596" s="133"/>
      <c r="R596" s="133"/>
      <c r="S596" s="153">
        <v>0</v>
      </c>
      <c r="T596" s="153">
        <v>0</v>
      </c>
      <c r="U596" s="153">
        <v>0</v>
      </c>
      <c r="V596" s="135"/>
      <c r="W596" s="135"/>
      <c r="X596" s="135"/>
      <c r="Y596" s="135"/>
      <c r="Z596" s="135"/>
      <c r="AA596" s="135"/>
      <c r="AB596" s="135"/>
      <c r="AC596" s="135"/>
      <c r="AD596" s="133"/>
      <c r="AE596" s="133"/>
      <c r="AF596" s="132" t="str">
        <f t="shared" si="67"/>
        <v>Нет инфо</v>
      </c>
      <c r="AG596" s="132" t="str">
        <f t="shared" si="68"/>
        <v>Нет инфо</v>
      </c>
      <c r="AH596" s="2"/>
      <c r="AI596" s="136"/>
      <c r="AJ596" s="2"/>
      <c r="AK596" s="136"/>
      <c r="AL596" s="136"/>
      <c r="AM596" s="2"/>
      <c r="AN596" s="2"/>
      <c r="AO596" s="2"/>
      <c r="AP596" s="2"/>
      <c r="AQ596" s="136"/>
    </row>
    <row r="597" spans="1:43" s="115" customFormat="1" ht="12.75" hidden="1" customHeight="1" x14ac:dyDescent="0.2">
      <c r="A597" s="2">
        <v>2626</v>
      </c>
      <c r="B597" s="2"/>
      <c r="C597" s="131"/>
      <c r="D597" s="131"/>
      <c r="E597" s="131"/>
      <c r="F597" s="2"/>
      <c r="G597" s="2"/>
      <c r="H597" s="132">
        <v>0</v>
      </c>
      <c r="I597" s="132"/>
      <c r="J597" s="132"/>
      <c r="K597" s="132"/>
      <c r="L597" s="132">
        <f t="shared" si="69"/>
        <v>0</v>
      </c>
      <c r="M597" s="132">
        <f t="shared" si="70"/>
        <v>0</v>
      </c>
      <c r="N597" s="133"/>
      <c r="O597" s="133">
        <f t="shared" si="71"/>
        <v>0</v>
      </c>
      <c r="P597" s="134"/>
      <c r="Q597" s="133"/>
      <c r="R597" s="133"/>
      <c r="S597" s="153">
        <v>0</v>
      </c>
      <c r="T597" s="153">
        <v>0</v>
      </c>
      <c r="U597" s="153">
        <v>0</v>
      </c>
      <c r="V597" s="135"/>
      <c r="W597" s="135"/>
      <c r="X597" s="135"/>
      <c r="Y597" s="135"/>
      <c r="Z597" s="135"/>
      <c r="AA597" s="135"/>
      <c r="AB597" s="135"/>
      <c r="AC597" s="135"/>
      <c r="AD597" s="133"/>
      <c r="AE597" s="133"/>
      <c r="AF597" s="132" t="str">
        <f t="shared" si="67"/>
        <v>Нет инфо</v>
      </c>
      <c r="AG597" s="132" t="str">
        <f t="shared" si="68"/>
        <v>Нет инфо</v>
      </c>
      <c r="AH597" s="2"/>
      <c r="AI597" s="136"/>
      <c r="AJ597" s="2"/>
      <c r="AK597" s="136"/>
      <c r="AL597" s="136"/>
      <c r="AM597" s="2"/>
      <c r="AN597" s="2"/>
      <c r="AO597" s="2"/>
      <c r="AP597" s="2"/>
      <c r="AQ597" s="136"/>
    </row>
    <row r="598" spans="1:43" s="115" customFormat="1" ht="12.75" hidden="1" customHeight="1" x14ac:dyDescent="0.2">
      <c r="A598" s="2">
        <v>2627</v>
      </c>
      <c r="B598" s="2"/>
      <c r="C598" s="131"/>
      <c r="D598" s="131"/>
      <c r="E598" s="131"/>
      <c r="F598" s="2"/>
      <c r="G598" s="2"/>
      <c r="H598" s="132">
        <v>0</v>
      </c>
      <c r="I598" s="132"/>
      <c r="J598" s="132"/>
      <c r="K598" s="132"/>
      <c r="L598" s="132">
        <f t="shared" si="69"/>
        <v>0</v>
      </c>
      <c r="M598" s="132">
        <f t="shared" si="70"/>
        <v>0</v>
      </c>
      <c r="N598" s="133"/>
      <c r="O598" s="133">
        <f t="shared" si="71"/>
        <v>0</v>
      </c>
      <c r="P598" s="134"/>
      <c r="Q598" s="133"/>
      <c r="R598" s="133"/>
      <c r="S598" s="153">
        <v>0</v>
      </c>
      <c r="T598" s="153">
        <v>0</v>
      </c>
      <c r="U598" s="153">
        <v>0</v>
      </c>
      <c r="V598" s="135"/>
      <c r="W598" s="135"/>
      <c r="X598" s="135"/>
      <c r="Y598" s="135"/>
      <c r="Z598" s="135"/>
      <c r="AA598" s="135"/>
      <c r="AB598" s="135"/>
      <c r="AC598" s="135"/>
      <c r="AD598" s="133"/>
      <c r="AE598" s="133"/>
      <c r="AF598" s="132" t="str">
        <f t="shared" si="67"/>
        <v>Нет инфо</v>
      </c>
      <c r="AG598" s="132" t="str">
        <f t="shared" si="68"/>
        <v>Нет инфо</v>
      </c>
      <c r="AH598" s="2"/>
      <c r="AI598" s="136"/>
      <c r="AJ598" s="2"/>
      <c r="AK598" s="136"/>
      <c r="AL598" s="136"/>
      <c r="AM598" s="2"/>
      <c r="AN598" s="2"/>
      <c r="AO598" s="2"/>
      <c r="AP598" s="2"/>
      <c r="AQ598" s="136"/>
    </row>
    <row r="599" spans="1:43" s="115" customFormat="1" ht="12.75" hidden="1" customHeight="1" x14ac:dyDescent="0.2">
      <c r="A599" s="2">
        <v>2628</v>
      </c>
      <c r="B599" s="2"/>
      <c r="C599" s="131"/>
      <c r="D599" s="131"/>
      <c r="E599" s="131"/>
      <c r="F599" s="2"/>
      <c r="G599" s="2"/>
      <c r="H599" s="132">
        <v>0</v>
      </c>
      <c r="I599" s="132"/>
      <c r="J599" s="132"/>
      <c r="K599" s="132"/>
      <c r="L599" s="132">
        <f t="shared" si="69"/>
        <v>0</v>
      </c>
      <c r="M599" s="132">
        <f t="shared" si="70"/>
        <v>0</v>
      </c>
      <c r="N599" s="133"/>
      <c r="O599" s="133">
        <f t="shared" si="71"/>
        <v>0</v>
      </c>
      <c r="P599" s="134"/>
      <c r="Q599" s="133"/>
      <c r="R599" s="133"/>
      <c r="S599" s="153">
        <v>0</v>
      </c>
      <c r="T599" s="153">
        <v>0</v>
      </c>
      <c r="U599" s="153">
        <v>0</v>
      </c>
      <c r="V599" s="135"/>
      <c r="W599" s="135"/>
      <c r="X599" s="135"/>
      <c r="Y599" s="135"/>
      <c r="Z599" s="135"/>
      <c r="AA599" s="135"/>
      <c r="AB599" s="135"/>
      <c r="AC599" s="135"/>
      <c r="AD599" s="133"/>
      <c r="AE599" s="133"/>
      <c r="AF599" s="132" t="str">
        <f t="shared" si="67"/>
        <v>Нет инфо</v>
      </c>
      <c r="AG599" s="132" t="str">
        <f t="shared" si="68"/>
        <v>Нет инфо</v>
      </c>
      <c r="AH599" s="2"/>
      <c r="AI599" s="136"/>
      <c r="AJ599" s="2"/>
      <c r="AK599" s="136"/>
      <c r="AL599" s="136"/>
      <c r="AM599" s="2"/>
      <c r="AN599" s="2"/>
      <c r="AO599" s="2"/>
      <c r="AP599" s="2"/>
      <c r="AQ599" s="136"/>
    </row>
    <row r="600" spans="1:43" s="115" customFormat="1" ht="12.75" hidden="1" customHeight="1" x14ac:dyDescent="0.2">
      <c r="A600" s="2">
        <v>2629</v>
      </c>
      <c r="B600" s="2"/>
      <c r="C600" s="131"/>
      <c r="D600" s="131"/>
      <c r="E600" s="131"/>
      <c r="F600" s="2"/>
      <c r="G600" s="2"/>
      <c r="H600" s="132">
        <v>0</v>
      </c>
      <c r="I600" s="132"/>
      <c r="J600" s="132"/>
      <c r="K600" s="132"/>
      <c r="L600" s="132">
        <f t="shared" si="69"/>
        <v>0</v>
      </c>
      <c r="M600" s="132">
        <f t="shared" si="70"/>
        <v>0</v>
      </c>
      <c r="N600" s="133"/>
      <c r="O600" s="133">
        <f t="shared" si="71"/>
        <v>0</v>
      </c>
      <c r="P600" s="134"/>
      <c r="Q600" s="133"/>
      <c r="R600" s="133"/>
      <c r="S600" s="153">
        <v>0</v>
      </c>
      <c r="T600" s="153">
        <v>0</v>
      </c>
      <c r="U600" s="153">
        <v>0</v>
      </c>
      <c r="V600" s="135"/>
      <c r="W600" s="135"/>
      <c r="X600" s="135"/>
      <c r="Y600" s="135"/>
      <c r="Z600" s="135"/>
      <c r="AA600" s="135"/>
      <c r="AB600" s="135"/>
      <c r="AC600" s="135"/>
      <c r="AD600" s="133"/>
      <c r="AE600" s="133"/>
      <c r="AF600" s="132" t="str">
        <f t="shared" si="67"/>
        <v>Нет инфо</v>
      </c>
      <c r="AG600" s="132" t="str">
        <f t="shared" si="68"/>
        <v>Нет инфо</v>
      </c>
      <c r="AH600" s="2"/>
      <c r="AI600" s="136"/>
      <c r="AJ600" s="2"/>
      <c r="AK600" s="136"/>
      <c r="AL600" s="136"/>
      <c r="AM600" s="2"/>
      <c r="AN600" s="2"/>
      <c r="AO600" s="2"/>
      <c r="AP600" s="2"/>
      <c r="AQ600" s="136"/>
    </row>
    <row r="601" spans="1:43" s="115" customFormat="1" ht="12.75" hidden="1" customHeight="1" x14ac:dyDescent="0.2">
      <c r="A601" s="2">
        <v>2630</v>
      </c>
      <c r="B601" s="2"/>
      <c r="C601" s="131"/>
      <c r="D601" s="131"/>
      <c r="E601" s="131"/>
      <c r="F601" s="2"/>
      <c r="G601" s="2"/>
      <c r="H601" s="132">
        <v>0</v>
      </c>
      <c r="I601" s="132"/>
      <c r="J601" s="132"/>
      <c r="K601" s="132"/>
      <c r="L601" s="132">
        <f t="shared" si="69"/>
        <v>0</v>
      </c>
      <c r="M601" s="132">
        <f t="shared" si="70"/>
        <v>0</v>
      </c>
      <c r="N601" s="133"/>
      <c r="O601" s="133">
        <f t="shared" si="71"/>
        <v>0</v>
      </c>
      <c r="P601" s="134"/>
      <c r="Q601" s="133"/>
      <c r="R601" s="133"/>
      <c r="S601" s="153">
        <v>0</v>
      </c>
      <c r="T601" s="153">
        <v>0</v>
      </c>
      <c r="U601" s="153">
        <v>0</v>
      </c>
      <c r="V601" s="135"/>
      <c r="W601" s="135"/>
      <c r="X601" s="135"/>
      <c r="Y601" s="135"/>
      <c r="Z601" s="135"/>
      <c r="AA601" s="135"/>
      <c r="AB601" s="135"/>
      <c r="AC601" s="135"/>
      <c r="AD601" s="133"/>
      <c r="AE601" s="133"/>
      <c r="AF601" s="132" t="str">
        <f t="shared" si="67"/>
        <v>Нет инфо</v>
      </c>
      <c r="AG601" s="132" t="str">
        <f t="shared" si="68"/>
        <v>Нет инфо</v>
      </c>
      <c r="AH601" s="2"/>
      <c r="AI601" s="136"/>
      <c r="AJ601" s="2"/>
      <c r="AK601" s="136"/>
      <c r="AL601" s="136"/>
      <c r="AM601" s="2"/>
      <c r="AN601" s="2"/>
      <c r="AO601" s="2"/>
      <c r="AP601" s="2"/>
      <c r="AQ601" s="136"/>
    </row>
    <row r="602" spans="1:43" s="115" customFormat="1" ht="12.75" hidden="1" customHeight="1" x14ac:dyDescent="0.2">
      <c r="A602" s="2">
        <v>2631</v>
      </c>
      <c r="B602" s="2"/>
      <c r="C602" s="131"/>
      <c r="D602" s="131"/>
      <c r="E602" s="131"/>
      <c r="F602" s="2"/>
      <c r="G602" s="2"/>
      <c r="H602" s="132">
        <v>0</v>
      </c>
      <c r="I602" s="132"/>
      <c r="J602" s="132"/>
      <c r="K602" s="132"/>
      <c r="L602" s="132">
        <f t="shared" si="69"/>
        <v>0</v>
      </c>
      <c r="M602" s="132">
        <f t="shared" si="70"/>
        <v>0</v>
      </c>
      <c r="N602" s="133"/>
      <c r="O602" s="133">
        <f t="shared" si="71"/>
        <v>0</v>
      </c>
      <c r="P602" s="134"/>
      <c r="Q602" s="133"/>
      <c r="R602" s="133"/>
      <c r="S602" s="153">
        <v>0</v>
      </c>
      <c r="T602" s="153">
        <v>0</v>
      </c>
      <c r="U602" s="153">
        <v>0</v>
      </c>
      <c r="V602" s="135"/>
      <c r="W602" s="135"/>
      <c r="X602" s="135"/>
      <c r="Y602" s="135"/>
      <c r="Z602" s="135"/>
      <c r="AA602" s="135"/>
      <c r="AB602" s="135"/>
      <c r="AC602" s="135"/>
      <c r="AD602" s="133"/>
      <c r="AE602" s="133"/>
      <c r="AF602" s="132" t="str">
        <f t="shared" si="67"/>
        <v>Нет инфо</v>
      </c>
      <c r="AG602" s="132" t="str">
        <f t="shared" si="68"/>
        <v>Нет инфо</v>
      </c>
      <c r="AH602" s="2"/>
      <c r="AI602" s="136"/>
      <c r="AJ602" s="2"/>
      <c r="AK602" s="136"/>
      <c r="AL602" s="136"/>
      <c r="AM602" s="2"/>
      <c r="AN602" s="2"/>
      <c r="AO602" s="2"/>
      <c r="AP602" s="2"/>
      <c r="AQ602" s="136"/>
    </row>
    <row r="603" spans="1:43" s="115" customFormat="1" ht="12.75" hidden="1" customHeight="1" x14ac:dyDescent="0.2">
      <c r="A603" s="2">
        <v>2632</v>
      </c>
      <c r="B603" s="2"/>
      <c r="C603" s="131"/>
      <c r="D603" s="131"/>
      <c r="E603" s="131"/>
      <c r="F603" s="2"/>
      <c r="G603" s="2"/>
      <c r="H603" s="132">
        <v>0</v>
      </c>
      <c r="I603" s="132"/>
      <c r="J603" s="132"/>
      <c r="K603" s="132"/>
      <c r="L603" s="132">
        <f t="shared" si="69"/>
        <v>0</v>
      </c>
      <c r="M603" s="132">
        <f t="shared" si="70"/>
        <v>0</v>
      </c>
      <c r="N603" s="133"/>
      <c r="O603" s="133">
        <f t="shared" si="71"/>
        <v>0</v>
      </c>
      <c r="P603" s="134"/>
      <c r="Q603" s="133"/>
      <c r="R603" s="133"/>
      <c r="S603" s="153">
        <v>0</v>
      </c>
      <c r="T603" s="153">
        <v>0</v>
      </c>
      <c r="U603" s="153">
        <v>0</v>
      </c>
      <c r="V603" s="135"/>
      <c r="W603" s="135"/>
      <c r="X603" s="135"/>
      <c r="Y603" s="135"/>
      <c r="Z603" s="135"/>
      <c r="AA603" s="135"/>
      <c r="AB603" s="135"/>
      <c r="AC603" s="135"/>
      <c r="AD603" s="133"/>
      <c r="AE603" s="133"/>
      <c r="AF603" s="132" t="str">
        <f t="shared" si="67"/>
        <v>Нет инфо</v>
      </c>
      <c r="AG603" s="132" t="str">
        <f t="shared" si="68"/>
        <v>Нет инфо</v>
      </c>
      <c r="AH603" s="2"/>
      <c r="AI603" s="136"/>
      <c r="AJ603" s="2"/>
      <c r="AK603" s="136"/>
      <c r="AL603" s="136"/>
      <c r="AM603" s="2"/>
      <c r="AN603" s="2"/>
      <c r="AO603" s="2"/>
      <c r="AP603" s="2"/>
      <c r="AQ603" s="136"/>
    </row>
    <row r="604" spans="1:43" s="115" customFormat="1" ht="12.75" hidden="1" customHeight="1" x14ac:dyDescent="0.2">
      <c r="A604" s="2">
        <v>2633</v>
      </c>
      <c r="B604" s="2"/>
      <c r="C604" s="131"/>
      <c r="D604" s="131"/>
      <c r="E604" s="131"/>
      <c r="F604" s="2"/>
      <c r="G604" s="2"/>
      <c r="H604" s="132">
        <v>0</v>
      </c>
      <c r="I604" s="132"/>
      <c r="J604" s="132"/>
      <c r="K604" s="132"/>
      <c r="L604" s="132">
        <f t="shared" si="69"/>
        <v>0</v>
      </c>
      <c r="M604" s="132">
        <f t="shared" si="70"/>
        <v>0</v>
      </c>
      <c r="N604" s="133"/>
      <c r="O604" s="133">
        <f t="shared" si="71"/>
        <v>0</v>
      </c>
      <c r="P604" s="134"/>
      <c r="Q604" s="133"/>
      <c r="R604" s="133"/>
      <c r="S604" s="153">
        <v>0</v>
      </c>
      <c r="T604" s="153">
        <v>0</v>
      </c>
      <c r="U604" s="153">
        <v>0</v>
      </c>
      <c r="V604" s="135"/>
      <c r="W604" s="135"/>
      <c r="X604" s="135"/>
      <c r="Y604" s="135"/>
      <c r="Z604" s="135"/>
      <c r="AA604" s="135"/>
      <c r="AB604" s="135"/>
      <c r="AC604" s="135"/>
      <c r="AD604" s="133"/>
      <c r="AE604" s="133"/>
      <c r="AF604" s="132" t="str">
        <f t="shared" si="67"/>
        <v>Нет инфо</v>
      </c>
      <c r="AG604" s="132" t="str">
        <f t="shared" si="68"/>
        <v>Нет инфо</v>
      </c>
      <c r="AH604" s="2"/>
      <c r="AI604" s="136"/>
      <c r="AJ604" s="2"/>
      <c r="AK604" s="136"/>
      <c r="AL604" s="136"/>
      <c r="AM604" s="2"/>
      <c r="AN604" s="2"/>
      <c r="AO604" s="2"/>
      <c r="AP604" s="2"/>
      <c r="AQ604" s="136"/>
    </row>
    <row r="605" spans="1:43" s="115" customFormat="1" ht="12.75" hidden="1" customHeight="1" x14ac:dyDescent="0.2">
      <c r="A605" s="2">
        <v>2634</v>
      </c>
      <c r="B605" s="2"/>
      <c r="C605" s="131"/>
      <c r="D605" s="131"/>
      <c r="E605" s="131"/>
      <c r="F605" s="2"/>
      <c r="G605" s="2"/>
      <c r="H605" s="132">
        <v>0</v>
      </c>
      <c r="I605" s="132"/>
      <c r="J605" s="132"/>
      <c r="K605" s="132"/>
      <c r="L605" s="132">
        <f t="shared" si="69"/>
        <v>0</v>
      </c>
      <c r="M605" s="132">
        <f t="shared" si="70"/>
        <v>0</v>
      </c>
      <c r="N605" s="133"/>
      <c r="O605" s="133">
        <f t="shared" si="71"/>
        <v>0</v>
      </c>
      <c r="P605" s="134"/>
      <c r="Q605" s="133"/>
      <c r="R605" s="133"/>
      <c r="S605" s="153">
        <v>0</v>
      </c>
      <c r="T605" s="153">
        <v>0</v>
      </c>
      <c r="U605" s="153">
        <v>0</v>
      </c>
      <c r="V605" s="135"/>
      <c r="W605" s="135"/>
      <c r="X605" s="135"/>
      <c r="Y605" s="135"/>
      <c r="Z605" s="135"/>
      <c r="AA605" s="135"/>
      <c r="AB605" s="135"/>
      <c r="AC605" s="135"/>
      <c r="AD605" s="133"/>
      <c r="AE605" s="133"/>
      <c r="AF605" s="132" t="str">
        <f t="shared" si="67"/>
        <v>Нет инфо</v>
      </c>
      <c r="AG605" s="132" t="str">
        <f t="shared" si="68"/>
        <v>Нет инфо</v>
      </c>
      <c r="AH605" s="2"/>
      <c r="AI605" s="136"/>
      <c r="AJ605" s="2"/>
      <c r="AK605" s="136"/>
      <c r="AL605" s="136"/>
      <c r="AM605" s="2"/>
      <c r="AN605" s="2"/>
      <c r="AO605" s="2"/>
      <c r="AP605" s="2"/>
      <c r="AQ605" s="136"/>
    </row>
    <row r="606" spans="1:43" s="115" customFormat="1" ht="12.75" hidden="1" customHeight="1" x14ac:dyDescent="0.2">
      <c r="A606" s="2">
        <v>2635</v>
      </c>
      <c r="B606" s="2"/>
      <c r="C606" s="131"/>
      <c r="D606" s="131"/>
      <c r="E606" s="131"/>
      <c r="F606" s="2"/>
      <c r="G606" s="2"/>
      <c r="H606" s="132">
        <v>0</v>
      </c>
      <c r="I606" s="132"/>
      <c r="J606" s="132"/>
      <c r="K606" s="132"/>
      <c r="L606" s="132">
        <f t="shared" si="69"/>
        <v>0</v>
      </c>
      <c r="M606" s="132">
        <f t="shared" si="70"/>
        <v>0</v>
      </c>
      <c r="N606" s="133"/>
      <c r="O606" s="133">
        <f t="shared" si="71"/>
        <v>0</v>
      </c>
      <c r="P606" s="134"/>
      <c r="Q606" s="133"/>
      <c r="R606" s="133"/>
      <c r="S606" s="153">
        <v>0</v>
      </c>
      <c r="T606" s="153">
        <v>0</v>
      </c>
      <c r="U606" s="153">
        <v>0</v>
      </c>
      <c r="V606" s="135"/>
      <c r="W606" s="135"/>
      <c r="X606" s="135"/>
      <c r="Y606" s="135"/>
      <c r="Z606" s="135"/>
      <c r="AA606" s="135"/>
      <c r="AB606" s="135"/>
      <c r="AC606" s="135"/>
      <c r="AD606" s="133"/>
      <c r="AE606" s="133"/>
      <c r="AF606" s="132" t="str">
        <f t="shared" si="67"/>
        <v>Нет инфо</v>
      </c>
      <c r="AG606" s="132" t="str">
        <f t="shared" si="68"/>
        <v>Нет инфо</v>
      </c>
      <c r="AH606" s="2"/>
      <c r="AI606" s="136"/>
      <c r="AJ606" s="2"/>
      <c r="AK606" s="136"/>
      <c r="AL606" s="136"/>
      <c r="AM606" s="2"/>
      <c r="AN606" s="2"/>
      <c r="AO606" s="2"/>
      <c r="AP606" s="2"/>
      <c r="AQ606" s="136"/>
    </row>
    <row r="607" spans="1:43" s="115" customFormat="1" ht="12.75" hidden="1" customHeight="1" x14ac:dyDescent="0.2">
      <c r="A607" s="2">
        <v>2636</v>
      </c>
      <c r="B607" s="2"/>
      <c r="C607" s="131"/>
      <c r="D607" s="131"/>
      <c r="E607" s="131"/>
      <c r="F607" s="2"/>
      <c r="G607" s="2"/>
      <c r="H607" s="132">
        <v>0</v>
      </c>
      <c r="I607" s="132"/>
      <c r="J607" s="132"/>
      <c r="K607" s="132"/>
      <c r="L607" s="132">
        <f t="shared" si="69"/>
        <v>0</v>
      </c>
      <c r="M607" s="132">
        <f t="shared" si="70"/>
        <v>0</v>
      </c>
      <c r="N607" s="133"/>
      <c r="O607" s="133">
        <f t="shared" si="71"/>
        <v>0</v>
      </c>
      <c r="P607" s="134"/>
      <c r="Q607" s="133"/>
      <c r="R607" s="133"/>
      <c r="S607" s="153">
        <v>0</v>
      </c>
      <c r="T607" s="153">
        <v>0</v>
      </c>
      <c r="U607" s="153">
        <v>0</v>
      </c>
      <c r="V607" s="135"/>
      <c r="W607" s="135"/>
      <c r="X607" s="135"/>
      <c r="Y607" s="135"/>
      <c r="Z607" s="135"/>
      <c r="AA607" s="135"/>
      <c r="AB607" s="135"/>
      <c r="AC607" s="135"/>
      <c r="AD607" s="133"/>
      <c r="AE607" s="133"/>
      <c r="AF607" s="132" t="str">
        <f t="shared" si="67"/>
        <v>Нет инфо</v>
      </c>
      <c r="AG607" s="132" t="str">
        <f t="shared" si="68"/>
        <v>Нет инфо</v>
      </c>
      <c r="AH607" s="2"/>
      <c r="AI607" s="136"/>
      <c r="AJ607" s="2"/>
      <c r="AK607" s="136"/>
      <c r="AL607" s="136"/>
      <c r="AM607" s="2"/>
      <c r="AN607" s="2"/>
      <c r="AO607" s="2"/>
      <c r="AP607" s="2"/>
      <c r="AQ607" s="136"/>
    </row>
    <row r="608" spans="1:43" s="115" customFormat="1" ht="12.75" hidden="1" customHeight="1" x14ac:dyDescent="0.2">
      <c r="A608" s="2">
        <v>2637</v>
      </c>
      <c r="B608" s="2"/>
      <c r="C608" s="131"/>
      <c r="D608" s="131"/>
      <c r="E608" s="131"/>
      <c r="F608" s="2"/>
      <c r="G608" s="2"/>
      <c r="H608" s="132">
        <v>0</v>
      </c>
      <c r="I608" s="132"/>
      <c r="J608" s="132"/>
      <c r="K608" s="132"/>
      <c r="L608" s="132">
        <f t="shared" si="69"/>
        <v>0</v>
      </c>
      <c r="M608" s="132">
        <f t="shared" si="70"/>
        <v>0</v>
      </c>
      <c r="N608" s="133"/>
      <c r="O608" s="133">
        <f t="shared" si="71"/>
        <v>0</v>
      </c>
      <c r="P608" s="134"/>
      <c r="Q608" s="133"/>
      <c r="R608" s="133"/>
      <c r="S608" s="153">
        <v>0</v>
      </c>
      <c r="T608" s="153">
        <v>0</v>
      </c>
      <c r="U608" s="153">
        <v>0</v>
      </c>
      <c r="V608" s="135"/>
      <c r="W608" s="135"/>
      <c r="X608" s="135"/>
      <c r="Y608" s="135"/>
      <c r="Z608" s="135"/>
      <c r="AA608" s="135"/>
      <c r="AB608" s="135"/>
      <c r="AC608" s="135"/>
      <c r="AD608" s="133"/>
      <c r="AE608" s="133"/>
      <c r="AF608" s="132" t="str">
        <f t="shared" si="67"/>
        <v>Нет инфо</v>
      </c>
      <c r="AG608" s="132" t="str">
        <f t="shared" si="68"/>
        <v>Нет инфо</v>
      </c>
      <c r="AH608" s="2"/>
      <c r="AI608" s="136"/>
      <c r="AJ608" s="2"/>
      <c r="AK608" s="136"/>
      <c r="AL608" s="136"/>
      <c r="AM608" s="2"/>
      <c r="AN608" s="2"/>
      <c r="AO608" s="2"/>
      <c r="AP608" s="2"/>
      <c r="AQ608" s="136"/>
    </row>
    <row r="609" spans="1:43" s="115" customFormat="1" ht="12.75" hidden="1" customHeight="1" x14ac:dyDescent="0.2">
      <c r="A609" s="2">
        <v>2638</v>
      </c>
      <c r="B609" s="2"/>
      <c r="C609" s="131"/>
      <c r="D609" s="131"/>
      <c r="E609" s="131"/>
      <c r="F609" s="2"/>
      <c r="G609" s="2"/>
      <c r="H609" s="132">
        <v>0</v>
      </c>
      <c r="I609" s="132"/>
      <c r="J609" s="132"/>
      <c r="K609" s="132"/>
      <c r="L609" s="132">
        <f t="shared" si="69"/>
        <v>0</v>
      </c>
      <c r="M609" s="132">
        <f t="shared" si="70"/>
        <v>0</v>
      </c>
      <c r="N609" s="133"/>
      <c r="O609" s="133">
        <f t="shared" si="71"/>
        <v>0</v>
      </c>
      <c r="P609" s="134"/>
      <c r="Q609" s="133"/>
      <c r="R609" s="133"/>
      <c r="S609" s="153">
        <v>0</v>
      </c>
      <c r="T609" s="153">
        <v>0</v>
      </c>
      <c r="U609" s="153">
        <v>0</v>
      </c>
      <c r="V609" s="135"/>
      <c r="W609" s="135"/>
      <c r="X609" s="135"/>
      <c r="Y609" s="135"/>
      <c r="Z609" s="135"/>
      <c r="AA609" s="135"/>
      <c r="AB609" s="135"/>
      <c r="AC609" s="135"/>
      <c r="AD609" s="133"/>
      <c r="AE609" s="133"/>
      <c r="AF609" s="132" t="str">
        <f t="shared" si="67"/>
        <v>Нет инфо</v>
      </c>
      <c r="AG609" s="132" t="str">
        <f t="shared" si="68"/>
        <v>Нет инфо</v>
      </c>
      <c r="AH609" s="2"/>
      <c r="AI609" s="136"/>
      <c r="AJ609" s="2"/>
      <c r="AK609" s="136"/>
      <c r="AL609" s="136"/>
      <c r="AM609" s="2"/>
      <c r="AN609" s="2"/>
      <c r="AO609" s="2"/>
      <c r="AP609" s="2"/>
      <c r="AQ609" s="136"/>
    </row>
    <row r="610" spans="1:43" s="115" customFormat="1" ht="12.75" hidden="1" customHeight="1" x14ac:dyDescent="0.2">
      <c r="A610" s="2">
        <v>2639</v>
      </c>
      <c r="B610" s="2"/>
      <c r="C610" s="131"/>
      <c r="D610" s="131"/>
      <c r="E610" s="131"/>
      <c r="F610" s="2"/>
      <c r="G610" s="2"/>
      <c r="H610" s="132">
        <v>0</v>
      </c>
      <c r="I610" s="132"/>
      <c r="J610" s="132"/>
      <c r="K610" s="132"/>
      <c r="L610" s="132">
        <f t="shared" si="69"/>
        <v>0</v>
      </c>
      <c r="M610" s="132">
        <f t="shared" si="70"/>
        <v>0</v>
      </c>
      <c r="N610" s="133"/>
      <c r="O610" s="133">
        <f t="shared" si="71"/>
        <v>0</v>
      </c>
      <c r="P610" s="134"/>
      <c r="Q610" s="133"/>
      <c r="R610" s="133"/>
      <c r="S610" s="153">
        <v>0</v>
      </c>
      <c r="T610" s="153">
        <v>0</v>
      </c>
      <c r="U610" s="153">
        <v>0</v>
      </c>
      <c r="V610" s="135"/>
      <c r="W610" s="135"/>
      <c r="X610" s="135"/>
      <c r="Y610" s="135"/>
      <c r="Z610" s="135"/>
      <c r="AA610" s="135"/>
      <c r="AB610" s="135"/>
      <c r="AC610" s="135"/>
      <c r="AD610" s="133"/>
      <c r="AE610" s="133"/>
      <c r="AF610" s="132" t="str">
        <f t="shared" si="67"/>
        <v>Нет инфо</v>
      </c>
      <c r="AG610" s="132" t="str">
        <f t="shared" si="68"/>
        <v>Нет инфо</v>
      </c>
      <c r="AH610" s="2"/>
      <c r="AI610" s="136"/>
      <c r="AJ610" s="2"/>
      <c r="AK610" s="136"/>
      <c r="AL610" s="136"/>
      <c r="AM610" s="2"/>
      <c r="AN610" s="2"/>
      <c r="AO610" s="2"/>
      <c r="AP610" s="2"/>
      <c r="AQ610" s="136"/>
    </row>
    <row r="611" spans="1:43" s="115" customFormat="1" ht="12.75" hidden="1" customHeight="1" x14ac:dyDescent="0.2">
      <c r="A611" s="2">
        <v>2640</v>
      </c>
      <c r="B611" s="2"/>
      <c r="C611" s="131"/>
      <c r="D611" s="131"/>
      <c r="E611" s="131"/>
      <c r="F611" s="2"/>
      <c r="G611" s="2"/>
      <c r="H611" s="132">
        <v>0</v>
      </c>
      <c r="I611" s="132"/>
      <c r="J611" s="132"/>
      <c r="K611" s="132"/>
      <c r="L611" s="132">
        <f t="shared" si="69"/>
        <v>0</v>
      </c>
      <c r="M611" s="132">
        <f t="shared" si="70"/>
        <v>0</v>
      </c>
      <c r="N611" s="133"/>
      <c r="O611" s="133">
        <f t="shared" si="71"/>
        <v>0</v>
      </c>
      <c r="P611" s="134"/>
      <c r="Q611" s="133"/>
      <c r="R611" s="133"/>
      <c r="S611" s="153">
        <v>0</v>
      </c>
      <c r="T611" s="153">
        <v>0</v>
      </c>
      <c r="U611" s="153">
        <v>0</v>
      </c>
      <c r="V611" s="135"/>
      <c r="W611" s="135"/>
      <c r="X611" s="135"/>
      <c r="Y611" s="135"/>
      <c r="Z611" s="135"/>
      <c r="AA611" s="135"/>
      <c r="AB611" s="135"/>
      <c r="AC611" s="135"/>
      <c r="AD611" s="133"/>
      <c r="AE611" s="133"/>
      <c r="AF611" s="132" t="str">
        <f t="shared" si="67"/>
        <v>Нет инфо</v>
      </c>
      <c r="AG611" s="132" t="str">
        <f t="shared" si="68"/>
        <v>Нет инфо</v>
      </c>
      <c r="AH611" s="2"/>
      <c r="AI611" s="136"/>
      <c r="AJ611" s="2"/>
      <c r="AK611" s="136"/>
      <c r="AL611" s="136"/>
      <c r="AM611" s="2"/>
      <c r="AN611" s="2"/>
      <c r="AO611" s="2"/>
      <c r="AP611" s="2"/>
      <c r="AQ611" s="136"/>
    </row>
    <row r="612" spans="1:43" s="115" customFormat="1" ht="12.75" hidden="1" customHeight="1" x14ac:dyDescent="0.2">
      <c r="A612" s="2">
        <v>2641</v>
      </c>
      <c r="B612" s="2"/>
      <c r="C612" s="131"/>
      <c r="D612" s="131"/>
      <c r="E612" s="131"/>
      <c r="F612" s="2"/>
      <c r="G612" s="2"/>
      <c r="H612" s="132">
        <v>0</v>
      </c>
      <c r="I612" s="132"/>
      <c r="J612" s="132"/>
      <c r="K612" s="132"/>
      <c r="L612" s="132">
        <f t="shared" si="69"/>
        <v>0</v>
      </c>
      <c r="M612" s="132">
        <f t="shared" si="70"/>
        <v>0</v>
      </c>
      <c r="N612" s="133"/>
      <c r="O612" s="133">
        <f t="shared" si="71"/>
        <v>0</v>
      </c>
      <c r="P612" s="134"/>
      <c r="Q612" s="133"/>
      <c r="R612" s="133"/>
      <c r="S612" s="153">
        <v>0</v>
      </c>
      <c r="T612" s="153">
        <v>0</v>
      </c>
      <c r="U612" s="153">
        <v>0</v>
      </c>
      <c r="V612" s="135"/>
      <c r="W612" s="135"/>
      <c r="X612" s="135"/>
      <c r="Y612" s="135"/>
      <c r="Z612" s="135"/>
      <c r="AA612" s="135"/>
      <c r="AB612" s="135"/>
      <c r="AC612" s="135"/>
      <c r="AD612" s="133"/>
      <c r="AE612" s="133"/>
      <c r="AF612" s="132" t="str">
        <f t="shared" si="67"/>
        <v>Нет инфо</v>
      </c>
      <c r="AG612" s="132" t="str">
        <f t="shared" si="68"/>
        <v>Нет инфо</v>
      </c>
      <c r="AH612" s="2"/>
      <c r="AI612" s="136"/>
      <c r="AJ612" s="2"/>
      <c r="AK612" s="136"/>
      <c r="AL612" s="136"/>
      <c r="AM612" s="2"/>
      <c r="AN612" s="2"/>
      <c r="AO612" s="2"/>
      <c r="AP612" s="2"/>
      <c r="AQ612" s="136"/>
    </row>
    <row r="613" spans="1:43" s="115" customFormat="1" ht="12.75" hidden="1" customHeight="1" x14ac:dyDescent="0.2">
      <c r="A613" s="2">
        <v>2642</v>
      </c>
      <c r="B613" s="2"/>
      <c r="C613" s="131"/>
      <c r="D613" s="131"/>
      <c r="E613" s="131"/>
      <c r="F613" s="2"/>
      <c r="G613" s="2"/>
      <c r="H613" s="132">
        <v>0</v>
      </c>
      <c r="I613" s="132"/>
      <c r="J613" s="132"/>
      <c r="K613" s="132"/>
      <c r="L613" s="132">
        <f t="shared" si="69"/>
        <v>0</v>
      </c>
      <c r="M613" s="132">
        <f t="shared" si="70"/>
        <v>0</v>
      </c>
      <c r="N613" s="133"/>
      <c r="O613" s="133">
        <f t="shared" si="71"/>
        <v>0</v>
      </c>
      <c r="P613" s="134"/>
      <c r="Q613" s="133"/>
      <c r="R613" s="133"/>
      <c r="S613" s="153">
        <v>0</v>
      </c>
      <c r="T613" s="153">
        <v>0</v>
      </c>
      <c r="U613" s="153">
        <v>0</v>
      </c>
      <c r="V613" s="135"/>
      <c r="W613" s="135"/>
      <c r="X613" s="135"/>
      <c r="Y613" s="135"/>
      <c r="Z613" s="135"/>
      <c r="AA613" s="135"/>
      <c r="AB613" s="135"/>
      <c r="AC613" s="135"/>
      <c r="AD613" s="133"/>
      <c r="AE613" s="133"/>
      <c r="AF613" s="132" t="str">
        <f t="shared" ref="AF613:AF676" si="72">IF(OR(I613="",I613=0,N613="",N613=0),"Нет инфо",I613/N613)</f>
        <v>Нет инфо</v>
      </c>
      <c r="AG613" s="132" t="str">
        <f t="shared" ref="AG613:AG676" si="73">IF(OR(I613="",I613=0,R613="",R613=0),"Нет инфо",I613/R613)</f>
        <v>Нет инфо</v>
      </c>
      <c r="AH613" s="2"/>
      <c r="AI613" s="136"/>
      <c r="AJ613" s="2"/>
      <c r="AK613" s="136"/>
      <c r="AL613" s="136"/>
      <c r="AM613" s="2"/>
      <c r="AN613" s="2"/>
      <c r="AO613" s="2"/>
      <c r="AP613" s="2"/>
      <c r="AQ613" s="136"/>
    </row>
    <row r="614" spans="1:43" s="115" customFormat="1" ht="12.75" hidden="1" customHeight="1" x14ac:dyDescent="0.2">
      <c r="A614" s="2">
        <v>2643</v>
      </c>
      <c r="B614" s="2"/>
      <c r="C614" s="131"/>
      <c r="D614" s="131"/>
      <c r="E614" s="131"/>
      <c r="F614" s="2"/>
      <c r="G614" s="2"/>
      <c r="H614" s="132">
        <v>0</v>
      </c>
      <c r="I614" s="132"/>
      <c r="J614" s="132"/>
      <c r="K614" s="132"/>
      <c r="L614" s="132">
        <f t="shared" si="69"/>
        <v>0</v>
      </c>
      <c r="M614" s="132">
        <f t="shared" si="70"/>
        <v>0</v>
      </c>
      <c r="N614" s="133"/>
      <c r="O614" s="133">
        <f t="shared" si="71"/>
        <v>0</v>
      </c>
      <c r="P614" s="134"/>
      <c r="Q614" s="133"/>
      <c r="R614" s="133"/>
      <c r="S614" s="153">
        <v>0</v>
      </c>
      <c r="T614" s="153">
        <v>0</v>
      </c>
      <c r="U614" s="153">
        <v>0</v>
      </c>
      <c r="V614" s="135"/>
      <c r="W614" s="135"/>
      <c r="X614" s="135"/>
      <c r="Y614" s="135"/>
      <c r="Z614" s="135"/>
      <c r="AA614" s="135"/>
      <c r="AB614" s="135"/>
      <c r="AC614" s="135"/>
      <c r="AD614" s="133"/>
      <c r="AE614" s="133"/>
      <c r="AF614" s="132" t="str">
        <f t="shared" si="72"/>
        <v>Нет инфо</v>
      </c>
      <c r="AG614" s="132" t="str">
        <f t="shared" si="73"/>
        <v>Нет инфо</v>
      </c>
      <c r="AH614" s="2"/>
      <c r="AI614" s="136"/>
      <c r="AJ614" s="2"/>
      <c r="AK614" s="136"/>
      <c r="AL614" s="136"/>
      <c r="AM614" s="2"/>
      <c r="AN614" s="2"/>
      <c r="AO614" s="2"/>
      <c r="AP614" s="2"/>
      <c r="AQ614" s="136"/>
    </row>
    <row r="615" spans="1:43" s="115" customFormat="1" ht="12.75" hidden="1" customHeight="1" x14ac:dyDescent="0.2">
      <c r="A615" s="2">
        <v>2644</v>
      </c>
      <c r="B615" s="2"/>
      <c r="C615" s="131"/>
      <c r="D615" s="131"/>
      <c r="E615" s="131"/>
      <c r="F615" s="2"/>
      <c r="G615" s="2"/>
      <c r="H615" s="132">
        <v>0</v>
      </c>
      <c r="I615" s="132"/>
      <c r="J615" s="132"/>
      <c r="K615" s="132"/>
      <c r="L615" s="132">
        <f t="shared" si="69"/>
        <v>0</v>
      </c>
      <c r="M615" s="132">
        <f t="shared" si="70"/>
        <v>0</v>
      </c>
      <c r="N615" s="133"/>
      <c r="O615" s="133">
        <f t="shared" si="71"/>
        <v>0</v>
      </c>
      <c r="P615" s="134"/>
      <c r="Q615" s="133"/>
      <c r="R615" s="133"/>
      <c r="S615" s="153">
        <v>0</v>
      </c>
      <c r="T615" s="153">
        <v>0</v>
      </c>
      <c r="U615" s="153">
        <v>0</v>
      </c>
      <c r="V615" s="135"/>
      <c r="W615" s="135"/>
      <c r="X615" s="135"/>
      <c r="Y615" s="135"/>
      <c r="Z615" s="135"/>
      <c r="AA615" s="135"/>
      <c r="AB615" s="135"/>
      <c r="AC615" s="135"/>
      <c r="AD615" s="133"/>
      <c r="AE615" s="133"/>
      <c r="AF615" s="132" t="str">
        <f t="shared" si="72"/>
        <v>Нет инфо</v>
      </c>
      <c r="AG615" s="132" t="str">
        <f t="shared" si="73"/>
        <v>Нет инфо</v>
      </c>
      <c r="AH615" s="2"/>
      <c r="AI615" s="136"/>
      <c r="AJ615" s="2"/>
      <c r="AK615" s="136"/>
      <c r="AL615" s="136"/>
      <c r="AM615" s="2"/>
      <c r="AN615" s="2"/>
      <c r="AO615" s="2"/>
      <c r="AP615" s="2"/>
      <c r="AQ615" s="136"/>
    </row>
    <row r="616" spans="1:43" s="115" customFormat="1" ht="12.75" hidden="1" customHeight="1" x14ac:dyDescent="0.2">
      <c r="A616" s="2">
        <v>2645</v>
      </c>
      <c r="B616" s="2"/>
      <c r="C616" s="131"/>
      <c r="D616" s="131"/>
      <c r="E616" s="131"/>
      <c r="F616" s="2"/>
      <c r="G616" s="2"/>
      <c r="H616" s="132">
        <v>0</v>
      </c>
      <c r="I616" s="132"/>
      <c r="J616" s="132"/>
      <c r="K616" s="132"/>
      <c r="L616" s="132">
        <f t="shared" si="69"/>
        <v>0</v>
      </c>
      <c r="M616" s="132">
        <f t="shared" si="70"/>
        <v>0</v>
      </c>
      <c r="N616" s="133"/>
      <c r="O616" s="133">
        <f t="shared" si="71"/>
        <v>0</v>
      </c>
      <c r="P616" s="134"/>
      <c r="Q616" s="133"/>
      <c r="R616" s="133"/>
      <c r="S616" s="153">
        <v>0</v>
      </c>
      <c r="T616" s="153">
        <v>0</v>
      </c>
      <c r="U616" s="153">
        <v>0</v>
      </c>
      <c r="V616" s="135"/>
      <c r="W616" s="135"/>
      <c r="X616" s="135"/>
      <c r="Y616" s="135"/>
      <c r="Z616" s="135"/>
      <c r="AA616" s="135"/>
      <c r="AB616" s="135"/>
      <c r="AC616" s="135"/>
      <c r="AD616" s="133"/>
      <c r="AE616" s="133"/>
      <c r="AF616" s="132" t="str">
        <f t="shared" si="72"/>
        <v>Нет инфо</v>
      </c>
      <c r="AG616" s="132" t="str">
        <f t="shared" si="73"/>
        <v>Нет инфо</v>
      </c>
      <c r="AH616" s="2"/>
      <c r="AI616" s="136"/>
      <c r="AJ616" s="2"/>
      <c r="AK616" s="136"/>
      <c r="AL616" s="136"/>
      <c r="AM616" s="2"/>
      <c r="AN616" s="2"/>
      <c r="AO616" s="2"/>
      <c r="AP616" s="2"/>
      <c r="AQ616" s="136"/>
    </row>
    <row r="617" spans="1:43" s="115" customFormat="1" ht="12.75" hidden="1" customHeight="1" x14ac:dyDescent="0.2">
      <c r="A617" s="2">
        <v>2646</v>
      </c>
      <c r="B617" s="2"/>
      <c r="C617" s="131"/>
      <c r="D617" s="131"/>
      <c r="E617" s="131"/>
      <c r="F617" s="2"/>
      <c r="G617" s="2"/>
      <c r="H617" s="132">
        <v>0</v>
      </c>
      <c r="I617" s="132"/>
      <c r="J617" s="132"/>
      <c r="K617" s="132"/>
      <c r="L617" s="132">
        <f t="shared" si="69"/>
        <v>0</v>
      </c>
      <c r="M617" s="132">
        <f t="shared" si="70"/>
        <v>0</v>
      </c>
      <c r="N617" s="133"/>
      <c r="O617" s="133">
        <f t="shared" si="71"/>
        <v>0</v>
      </c>
      <c r="P617" s="134"/>
      <c r="Q617" s="133"/>
      <c r="R617" s="133"/>
      <c r="S617" s="153">
        <v>0</v>
      </c>
      <c r="T617" s="153">
        <v>0</v>
      </c>
      <c r="U617" s="153">
        <v>0</v>
      </c>
      <c r="V617" s="135"/>
      <c r="W617" s="135"/>
      <c r="X617" s="135"/>
      <c r="Y617" s="135"/>
      <c r="Z617" s="135"/>
      <c r="AA617" s="135"/>
      <c r="AB617" s="135"/>
      <c r="AC617" s="135"/>
      <c r="AD617" s="133"/>
      <c r="AE617" s="133"/>
      <c r="AF617" s="132" t="str">
        <f t="shared" si="72"/>
        <v>Нет инфо</v>
      </c>
      <c r="AG617" s="132" t="str">
        <f t="shared" si="73"/>
        <v>Нет инфо</v>
      </c>
      <c r="AH617" s="2"/>
      <c r="AI617" s="136"/>
      <c r="AJ617" s="2"/>
      <c r="AK617" s="136"/>
      <c r="AL617" s="136"/>
      <c r="AM617" s="2"/>
      <c r="AN617" s="2"/>
      <c r="AO617" s="2"/>
      <c r="AP617" s="2"/>
      <c r="AQ617" s="136"/>
    </row>
    <row r="618" spans="1:43" s="115" customFormat="1" ht="12.75" hidden="1" customHeight="1" x14ac:dyDescent="0.2">
      <c r="A618" s="2">
        <v>2647</v>
      </c>
      <c r="B618" s="2"/>
      <c r="C618" s="131"/>
      <c r="D618" s="131"/>
      <c r="E618" s="131"/>
      <c r="F618" s="2"/>
      <c r="G618" s="2"/>
      <c r="H618" s="132">
        <v>0</v>
      </c>
      <c r="I618" s="132"/>
      <c r="J618" s="132"/>
      <c r="K618" s="132"/>
      <c r="L618" s="132">
        <f t="shared" si="69"/>
        <v>0</v>
      </c>
      <c r="M618" s="132">
        <f t="shared" si="70"/>
        <v>0</v>
      </c>
      <c r="N618" s="133"/>
      <c r="O618" s="133">
        <f t="shared" si="71"/>
        <v>0</v>
      </c>
      <c r="P618" s="134"/>
      <c r="Q618" s="133"/>
      <c r="R618" s="133"/>
      <c r="S618" s="153">
        <v>0</v>
      </c>
      <c r="T618" s="153">
        <v>0</v>
      </c>
      <c r="U618" s="153">
        <v>0</v>
      </c>
      <c r="V618" s="135"/>
      <c r="W618" s="135"/>
      <c r="X618" s="135"/>
      <c r="Y618" s="135"/>
      <c r="Z618" s="135"/>
      <c r="AA618" s="135"/>
      <c r="AB618" s="135"/>
      <c r="AC618" s="135"/>
      <c r="AD618" s="133"/>
      <c r="AE618" s="133"/>
      <c r="AF618" s="132" t="str">
        <f t="shared" si="72"/>
        <v>Нет инфо</v>
      </c>
      <c r="AG618" s="132" t="str">
        <f t="shared" si="73"/>
        <v>Нет инфо</v>
      </c>
      <c r="AH618" s="2"/>
      <c r="AI618" s="136"/>
      <c r="AJ618" s="2"/>
      <c r="AK618" s="136"/>
      <c r="AL618" s="136"/>
      <c r="AM618" s="2"/>
      <c r="AN618" s="2"/>
      <c r="AO618" s="2"/>
      <c r="AP618" s="2"/>
      <c r="AQ618" s="136"/>
    </row>
    <row r="619" spans="1:43" s="115" customFormat="1" ht="12.75" hidden="1" customHeight="1" x14ac:dyDescent="0.2">
      <c r="A619" s="2">
        <v>2648</v>
      </c>
      <c r="B619" s="2"/>
      <c r="C619" s="131"/>
      <c r="D619" s="131"/>
      <c r="E619" s="131"/>
      <c r="F619" s="2"/>
      <c r="G619" s="2"/>
      <c r="H619" s="132">
        <v>0</v>
      </c>
      <c r="I619" s="132"/>
      <c r="J619" s="132"/>
      <c r="K619" s="132"/>
      <c r="L619" s="132">
        <f t="shared" si="69"/>
        <v>0</v>
      </c>
      <c r="M619" s="132">
        <f t="shared" si="70"/>
        <v>0</v>
      </c>
      <c r="N619" s="133"/>
      <c r="O619" s="133">
        <f t="shared" si="71"/>
        <v>0</v>
      </c>
      <c r="P619" s="134"/>
      <c r="Q619" s="133"/>
      <c r="R619" s="133"/>
      <c r="S619" s="153">
        <v>0</v>
      </c>
      <c r="T619" s="153">
        <v>0</v>
      </c>
      <c r="U619" s="153">
        <v>0</v>
      </c>
      <c r="V619" s="135"/>
      <c r="W619" s="135"/>
      <c r="X619" s="135"/>
      <c r="Y619" s="135"/>
      <c r="Z619" s="135"/>
      <c r="AA619" s="135"/>
      <c r="AB619" s="135"/>
      <c r="AC619" s="135"/>
      <c r="AD619" s="133"/>
      <c r="AE619" s="133"/>
      <c r="AF619" s="132" t="str">
        <f t="shared" si="72"/>
        <v>Нет инфо</v>
      </c>
      <c r="AG619" s="132" t="str">
        <f t="shared" si="73"/>
        <v>Нет инфо</v>
      </c>
      <c r="AH619" s="2"/>
      <c r="AI619" s="136"/>
      <c r="AJ619" s="2"/>
      <c r="AK619" s="136"/>
      <c r="AL619" s="136"/>
      <c r="AM619" s="2"/>
      <c r="AN619" s="2"/>
      <c r="AO619" s="2"/>
      <c r="AP619" s="2"/>
      <c r="AQ619" s="136"/>
    </row>
    <row r="620" spans="1:43" s="115" customFormat="1" ht="12.75" hidden="1" customHeight="1" x14ac:dyDescent="0.2">
      <c r="A620" s="2">
        <v>2649</v>
      </c>
      <c r="B620" s="2"/>
      <c r="C620" s="131"/>
      <c r="D620" s="131"/>
      <c r="E620" s="131"/>
      <c r="F620" s="2"/>
      <c r="G620" s="2"/>
      <c r="H620" s="132">
        <v>0</v>
      </c>
      <c r="I620" s="132"/>
      <c r="J620" s="132"/>
      <c r="K620" s="132"/>
      <c r="L620" s="132">
        <f t="shared" si="69"/>
        <v>0</v>
      </c>
      <c r="M620" s="132">
        <f t="shared" si="70"/>
        <v>0</v>
      </c>
      <c r="N620" s="133"/>
      <c r="O620" s="133">
        <f t="shared" si="71"/>
        <v>0</v>
      </c>
      <c r="P620" s="134"/>
      <c r="Q620" s="133"/>
      <c r="R620" s="133"/>
      <c r="S620" s="153">
        <v>0</v>
      </c>
      <c r="T620" s="153">
        <v>0</v>
      </c>
      <c r="U620" s="153">
        <v>0</v>
      </c>
      <c r="V620" s="135"/>
      <c r="W620" s="135"/>
      <c r="X620" s="135"/>
      <c r="Y620" s="135"/>
      <c r="Z620" s="135"/>
      <c r="AA620" s="135"/>
      <c r="AB620" s="135"/>
      <c r="AC620" s="135"/>
      <c r="AD620" s="133"/>
      <c r="AE620" s="133"/>
      <c r="AF620" s="132" t="str">
        <f t="shared" si="72"/>
        <v>Нет инфо</v>
      </c>
      <c r="AG620" s="132" t="str">
        <f t="shared" si="73"/>
        <v>Нет инфо</v>
      </c>
      <c r="AH620" s="2"/>
      <c r="AI620" s="136"/>
      <c r="AJ620" s="2"/>
      <c r="AK620" s="136"/>
      <c r="AL620" s="136"/>
      <c r="AM620" s="2"/>
      <c r="AN620" s="2"/>
      <c r="AO620" s="2"/>
      <c r="AP620" s="2"/>
      <c r="AQ620" s="136"/>
    </row>
    <row r="621" spans="1:43" s="115" customFormat="1" ht="12.75" hidden="1" customHeight="1" x14ac:dyDescent="0.2">
      <c r="A621" s="2">
        <v>2650</v>
      </c>
      <c r="B621" s="2"/>
      <c r="C621" s="131"/>
      <c r="D621" s="131"/>
      <c r="E621" s="131"/>
      <c r="F621" s="2"/>
      <c r="G621" s="2"/>
      <c r="H621" s="132">
        <v>0</v>
      </c>
      <c r="I621" s="132"/>
      <c r="J621" s="132"/>
      <c r="K621" s="132"/>
      <c r="L621" s="132">
        <f t="shared" si="69"/>
        <v>0</v>
      </c>
      <c r="M621" s="132">
        <f t="shared" si="70"/>
        <v>0</v>
      </c>
      <c r="N621" s="133"/>
      <c r="O621" s="133">
        <f t="shared" si="71"/>
        <v>0</v>
      </c>
      <c r="P621" s="134"/>
      <c r="Q621" s="133"/>
      <c r="R621" s="133"/>
      <c r="S621" s="153">
        <v>0</v>
      </c>
      <c r="T621" s="153">
        <v>0</v>
      </c>
      <c r="U621" s="153">
        <v>0</v>
      </c>
      <c r="V621" s="135"/>
      <c r="W621" s="135"/>
      <c r="X621" s="135"/>
      <c r="Y621" s="135"/>
      <c r="Z621" s="135"/>
      <c r="AA621" s="135"/>
      <c r="AB621" s="135"/>
      <c r="AC621" s="135"/>
      <c r="AD621" s="133"/>
      <c r="AE621" s="133"/>
      <c r="AF621" s="132" t="str">
        <f t="shared" si="72"/>
        <v>Нет инфо</v>
      </c>
      <c r="AG621" s="132" t="str">
        <f t="shared" si="73"/>
        <v>Нет инфо</v>
      </c>
      <c r="AH621" s="2"/>
      <c r="AI621" s="136"/>
      <c r="AJ621" s="2"/>
      <c r="AK621" s="136"/>
      <c r="AL621" s="136"/>
      <c r="AM621" s="2"/>
      <c r="AN621" s="2"/>
      <c r="AO621" s="2"/>
      <c r="AP621" s="2"/>
      <c r="AQ621" s="136"/>
    </row>
    <row r="622" spans="1:43" s="115" customFormat="1" ht="12.75" hidden="1" customHeight="1" x14ac:dyDescent="0.2">
      <c r="A622" s="2">
        <v>2651</v>
      </c>
      <c r="B622" s="2"/>
      <c r="C622" s="131"/>
      <c r="D622" s="131"/>
      <c r="E622" s="131"/>
      <c r="F622" s="2"/>
      <c r="G622" s="2"/>
      <c r="H622" s="132">
        <v>0</v>
      </c>
      <c r="I622" s="132"/>
      <c r="J622" s="132"/>
      <c r="K622" s="132"/>
      <c r="L622" s="132">
        <f t="shared" si="69"/>
        <v>0</v>
      </c>
      <c r="M622" s="132">
        <f t="shared" si="70"/>
        <v>0</v>
      </c>
      <c r="N622" s="133"/>
      <c r="O622" s="133">
        <f t="shared" si="71"/>
        <v>0</v>
      </c>
      <c r="P622" s="134"/>
      <c r="Q622" s="133"/>
      <c r="R622" s="133"/>
      <c r="S622" s="153">
        <v>0</v>
      </c>
      <c r="T622" s="153">
        <v>0</v>
      </c>
      <c r="U622" s="153">
        <v>0</v>
      </c>
      <c r="V622" s="135"/>
      <c r="W622" s="135"/>
      <c r="X622" s="135"/>
      <c r="Y622" s="135"/>
      <c r="Z622" s="135"/>
      <c r="AA622" s="135"/>
      <c r="AB622" s="135"/>
      <c r="AC622" s="135"/>
      <c r="AD622" s="133"/>
      <c r="AE622" s="133"/>
      <c r="AF622" s="132" t="str">
        <f t="shared" si="72"/>
        <v>Нет инфо</v>
      </c>
      <c r="AG622" s="132" t="str">
        <f t="shared" si="73"/>
        <v>Нет инфо</v>
      </c>
      <c r="AH622" s="2"/>
      <c r="AI622" s="136"/>
      <c r="AJ622" s="2"/>
      <c r="AK622" s="136"/>
      <c r="AL622" s="136"/>
      <c r="AM622" s="2"/>
      <c r="AN622" s="2"/>
      <c r="AO622" s="2"/>
      <c r="AP622" s="2"/>
      <c r="AQ622" s="136"/>
    </row>
    <row r="623" spans="1:43" s="115" customFormat="1" ht="12.75" hidden="1" customHeight="1" x14ac:dyDescent="0.2">
      <c r="A623" s="2">
        <v>2652</v>
      </c>
      <c r="B623" s="2"/>
      <c r="C623" s="131"/>
      <c r="D623" s="131"/>
      <c r="E623" s="131"/>
      <c r="F623" s="2"/>
      <c r="G623" s="2"/>
      <c r="H623" s="132">
        <v>0</v>
      </c>
      <c r="I623" s="132"/>
      <c r="J623" s="132"/>
      <c r="K623" s="132"/>
      <c r="L623" s="132">
        <f t="shared" si="69"/>
        <v>0</v>
      </c>
      <c r="M623" s="132">
        <f t="shared" si="70"/>
        <v>0</v>
      </c>
      <c r="N623" s="133"/>
      <c r="O623" s="133">
        <f t="shared" si="71"/>
        <v>0</v>
      </c>
      <c r="P623" s="134"/>
      <c r="Q623" s="133"/>
      <c r="R623" s="133"/>
      <c r="S623" s="153">
        <v>0</v>
      </c>
      <c r="T623" s="153">
        <v>0</v>
      </c>
      <c r="U623" s="153">
        <v>0</v>
      </c>
      <c r="V623" s="135"/>
      <c r="W623" s="135"/>
      <c r="X623" s="135"/>
      <c r="Y623" s="135"/>
      <c r="Z623" s="135"/>
      <c r="AA623" s="135"/>
      <c r="AB623" s="135"/>
      <c r="AC623" s="135"/>
      <c r="AD623" s="133"/>
      <c r="AE623" s="133"/>
      <c r="AF623" s="132" t="str">
        <f t="shared" si="72"/>
        <v>Нет инфо</v>
      </c>
      <c r="AG623" s="132" t="str">
        <f t="shared" si="73"/>
        <v>Нет инфо</v>
      </c>
      <c r="AH623" s="2"/>
      <c r="AI623" s="136"/>
      <c r="AJ623" s="2"/>
      <c r="AK623" s="136"/>
      <c r="AL623" s="136"/>
      <c r="AM623" s="2"/>
      <c r="AN623" s="2"/>
      <c r="AO623" s="2"/>
      <c r="AP623" s="2"/>
      <c r="AQ623" s="136"/>
    </row>
    <row r="624" spans="1:43" s="115" customFormat="1" ht="12.75" hidden="1" customHeight="1" x14ac:dyDescent="0.2">
      <c r="A624" s="2">
        <v>2653</v>
      </c>
      <c r="B624" s="2"/>
      <c r="C624" s="131"/>
      <c r="D624" s="131"/>
      <c r="E624" s="131"/>
      <c r="F624" s="2"/>
      <c r="G624" s="2"/>
      <c r="H624" s="132">
        <v>0</v>
      </c>
      <c r="I624" s="132"/>
      <c r="J624" s="132"/>
      <c r="K624" s="132"/>
      <c r="L624" s="132">
        <f t="shared" si="69"/>
        <v>0</v>
      </c>
      <c r="M624" s="132">
        <f t="shared" si="70"/>
        <v>0</v>
      </c>
      <c r="N624" s="133"/>
      <c r="O624" s="133">
        <f t="shared" si="71"/>
        <v>0</v>
      </c>
      <c r="P624" s="134"/>
      <c r="Q624" s="133"/>
      <c r="R624" s="133"/>
      <c r="S624" s="153">
        <v>0</v>
      </c>
      <c r="T624" s="153">
        <v>0</v>
      </c>
      <c r="U624" s="153">
        <v>0</v>
      </c>
      <c r="V624" s="135"/>
      <c r="W624" s="135"/>
      <c r="X624" s="135"/>
      <c r="Y624" s="135"/>
      <c r="Z624" s="135"/>
      <c r="AA624" s="135"/>
      <c r="AB624" s="135"/>
      <c r="AC624" s="135"/>
      <c r="AD624" s="133"/>
      <c r="AE624" s="133"/>
      <c r="AF624" s="132" t="str">
        <f t="shared" si="72"/>
        <v>Нет инфо</v>
      </c>
      <c r="AG624" s="132" t="str">
        <f t="shared" si="73"/>
        <v>Нет инфо</v>
      </c>
      <c r="AH624" s="2"/>
      <c r="AI624" s="136"/>
      <c r="AJ624" s="2"/>
      <c r="AK624" s="136"/>
      <c r="AL624" s="136"/>
      <c r="AM624" s="2"/>
      <c r="AN624" s="2"/>
      <c r="AO624" s="2"/>
      <c r="AP624" s="2"/>
      <c r="AQ624" s="136"/>
    </row>
    <row r="625" spans="1:43" s="115" customFormat="1" ht="12.75" hidden="1" customHeight="1" x14ac:dyDescent="0.2">
      <c r="A625" s="2">
        <v>2654</v>
      </c>
      <c r="B625" s="2"/>
      <c r="C625" s="131"/>
      <c r="D625" s="131"/>
      <c r="E625" s="131"/>
      <c r="F625" s="2"/>
      <c r="G625" s="2"/>
      <c r="H625" s="132">
        <v>0</v>
      </c>
      <c r="I625" s="132"/>
      <c r="J625" s="132"/>
      <c r="K625" s="132"/>
      <c r="L625" s="132">
        <f t="shared" si="69"/>
        <v>0</v>
      </c>
      <c r="M625" s="132">
        <f t="shared" si="70"/>
        <v>0</v>
      </c>
      <c r="N625" s="133"/>
      <c r="O625" s="133">
        <f t="shared" si="71"/>
        <v>0</v>
      </c>
      <c r="P625" s="134"/>
      <c r="Q625" s="133"/>
      <c r="R625" s="133"/>
      <c r="S625" s="153">
        <v>0</v>
      </c>
      <c r="T625" s="153">
        <v>0</v>
      </c>
      <c r="U625" s="153">
        <v>0</v>
      </c>
      <c r="V625" s="135"/>
      <c r="W625" s="135"/>
      <c r="X625" s="135"/>
      <c r="Y625" s="135"/>
      <c r="Z625" s="135"/>
      <c r="AA625" s="135"/>
      <c r="AB625" s="135"/>
      <c r="AC625" s="135"/>
      <c r="AD625" s="133"/>
      <c r="AE625" s="133"/>
      <c r="AF625" s="132" t="str">
        <f t="shared" si="72"/>
        <v>Нет инфо</v>
      </c>
      <c r="AG625" s="132" t="str">
        <f t="shared" si="73"/>
        <v>Нет инфо</v>
      </c>
      <c r="AH625" s="2"/>
      <c r="AI625" s="136"/>
      <c r="AJ625" s="2"/>
      <c r="AK625" s="136"/>
      <c r="AL625" s="136"/>
      <c r="AM625" s="2"/>
      <c r="AN625" s="2"/>
      <c r="AO625" s="2"/>
      <c r="AP625" s="2"/>
      <c r="AQ625" s="136"/>
    </row>
    <row r="626" spans="1:43" s="115" customFormat="1" ht="12.75" hidden="1" customHeight="1" x14ac:dyDescent="0.2">
      <c r="A626" s="2">
        <v>2655</v>
      </c>
      <c r="B626" s="2"/>
      <c r="C626" s="131"/>
      <c r="D626" s="131"/>
      <c r="E626" s="131"/>
      <c r="F626" s="2"/>
      <c r="G626" s="2"/>
      <c r="H626" s="132">
        <v>0</v>
      </c>
      <c r="I626" s="132"/>
      <c r="J626" s="132"/>
      <c r="K626" s="132"/>
      <c r="L626" s="132">
        <f t="shared" si="69"/>
        <v>0</v>
      </c>
      <c r="M626" s="132">
        <f t="shared" si="70"/>
        <v>0</v>
      </c>
      <c r="N626" s="133"/>
      <c r="O626" s="133">
        <f t="shared" si="71"/>
        <v>0</v>
      </c>
      <c r="P626" s="134"/>
      <c r="Q626" s="133"/>
      <c r="R626" s="133"/>
      <c r="S626" s="153">
        <v>0</v>
      </c>
      <c r="T626" s="153">
        <v>0</v>
      </c>
      <c r="U626" s="153">
        <v>0</v>
      </c>
      <c r="V626" s="135"/>
      <c r="W626" s="135"/>
      <c r="X626" s="135"/>
      <c r="Y626" s="135"/>
      <c r="Z626" s="135"/>
      <c r="AA626" s="135"/>
      <c r="AB626" s="135"/>
      <c r="AC626" s="135"/>
      <c r="AD626" s="133"/>
      <c r="AE626" s="133"/>
      <c r="AF626" s="132" t="str">
        <f t="shared" si="72"/>
        <v>Нет инфо</v>
      </c>
      <c r="AG626" s="132" t="str">
        <f t="shared" si="73"/>
        <v>Нет инфо</v>
      </c>
      <c r="AH626" s="2"/>
      <c r="AI626" s="136"/>
      <c r="AJ626" s="2"/>
      <c r="AK626" s="136"/>
      <c r="AL626" s="136"/>
      <c r="AM626" s="2"/>
      <c r="AN626" s="2"/>
      <c r="AO626" s="2"/>
      <c r="AP626" s="2"/>
      <c r="AQ626" s="136"/>
    </row>
    <row r="627" spans="1:43" s="115" customFormat="1" ht="12.75" hidden="1" customHeight="1" x14ac:dyDescent="0.2">
      <c r="A627" s="2">
        <v>2656</v>
      </c>
      <c r="B627" s="2"/>
      <c r="C627" s="131"/>
      <c r="D627" s="131"/>
      <c r="E627" s="131"/>
      <c r="F627" s="2"/>
      <c r="G627" s="2"/>
      <c r="H627" s="132">
        <v>0</v>
      </c>
      <c r="I627" s="132"/>
      <c r="J627" s="132"/>
      <c r="K627" s="132"/>
      <c r="L627" s="132">
        <f t="shared" si="69"/>
        <v>0</v>
      </c>
      <c r="M627" s="132">
        <f t="shared" si="70"/>
        <v>0</v>
      </c>
      <c r="N627" s="133"/>
      <c r="O627" s="133">
        <f t="shared" si="71"/>
        <v>0</v>
      </c>
      <c r="P627" s="134"/>
      <c r="Q627" s="133"/>
      <c r="R627" s="133"/>
      <c r="S627" s="153">
        <v>0</v>
      </c>
      <c r="T627" s="153">
        <v>0</v>
      </c>
      <c r="U627" s="153">
        <v>0</v>
      </c>
      <c r="V627" s="135"/>
      <c r="W627" s="135"/>
      <c r="X627" s="135"/>
      <c r="Y627" s="135"/>
      <c r="Z627" s="135"/>
      <c r="AA627" s="135"/>
      <c r="AB627" s="135"/>
      <c r="AC627" s="135"/>
      <c r="AD627" s="133"/>
      <c r="AE627" s="133"/>
      <c r="AF627" s="132" t="str">
        <f t="shared" si="72"/>
        <v>Нет инфо</v>
      </c>
      <c r="AG627" s="132" t="str">
        <f t="shared" si="73"/>
        <v>Нет инфо</v>
      </c>
      <c r="AH627" s="2"/>
      <c r="AI627" s="136"/>
      <c r="AJ627" s="2"/>
      <c r="AK627" s="136"/>
      <c r="AL627" s="136"/>
      <c r="AM627" s="2"/>
      <c r="AN627" s="2"/>
      <c r="AO627" s="2"/>
      <c r="AP627" s="2"/>
      <c r="AQ627" s="136"/>
    </row>
    <row r="628" spans="1:43" s="115" customFormat="1" ht="12.75" hidden="1" customHeight="1" x14ac:dyDescent="0.2">
      <c r="A628" s="2">
        <v>2657</v>
      </c>
      <c r="B628" s="2"/>
      <c r="C628" s="131"/>
      <c r="D628" s="131"/>
      <c r="E628" s="131"/>
      <c r="F628" s="2"/>
      <c r="G628" s="2"/>
      <c r="H628" s="132">
        <v>0</v>
      </c>
      <c r="I628" s="132"/>
      <c r="J628" s="132"/>
      <c r="K628" s="132"/>
      <c r="L628" s="132">
        <f t="shared" si="69"/>
        <v>0</v>
      </c>
      <c r="M628" s="132">
        <f t="shared" si="70"/>
        <v>0</v>
      </c>
      <c r="N628" s="133"/>
      <c r="O628" s="133">
        <f t="shared" si="71"/>
        <v>0</v>
      </c>
      <c r="P628" s="134"/>
      <c r="Q628" s="133"/>
      <c r="R628" s="133"/>
      <c r="S628" s="153">
        <v>0</v>
      </c>
      <c r="T628" s="153">
        <v>0</v>
      </c>
      <c r="U628" s="153">
        <v>0</v>
      </c>
      <c r="V628" s="135"/>
      <c r="W628" s="135"/>
      <c r="X628" s="135"/>
      <c r="Y628" s="135"/>
      <c r="Z628" s="135"/>
      <c r="AA628" s="135"/>
      <c r="AB628" s="135"/>
      <c r="AC628" s="135"/>
      <c r="AD628" s="133"/>
      <c r="AE628" s="133"/>
      <c r="AF628" s="132" t="str">
        <f t="shared" si="72"/>
        <v>Нет инфо</v>
      </c>
      <c r="AG628" s="132" t="str">
        <f t="shared" si="73"/>
        <v>Нет инфо</v>
      </c>
      <c r="AH628" s="2"/>
      <c r="AI628" s="136"/>
      <c r="AJ628" s="2"/>
      <c r="AK628" s="136"/>
      <c r="AL628" s="136"/>
      <c r="AM628" s="2"/>
      <c r="AN628" s="2"/>
      <c r="AO628" s="2"/>
      <c r="AP628" s="2"/>
      <c r="AQ628" s="136"/>
    </row>
    <row r="629" spans="1:43" s="115" customFormat="1" ht="12.75" hidden="1" customHeight="1" x14ac:dyDescent="0.2">
      <c r="A629" s="2">
        <v>2658</v>
      </c>
      <c r="B629" s="2"/>
      <c r="C629" s="131"/>
      <c r="D629" s="131"/>
      <c r="E629" s="131"/>
      <c r="F629" s="2"/>
      <c r="G629" s="2"/>
      <c r="H629" s="132">
        <v>0</v>
      </c>
      <c r="I629" s="132"/>
      <c r="J629" s="132"/>
      <c r="K629" s="132"/>
      <c r="L629" s="132">
        <f t="shared" si="69"/>
        <v>0</v>
      </c>
      <c r="M629" s="132">
        <f t="shared" si="70"/>
        <v>0</v>
      </c>
      <c r="N629" s="133"/>
      <c r="O629" s="133">
        <f t="shared" si="71"/>
        <v>0</v>
      </c>
      <c r="P629" s="134"/>
      <c r="Q629" s="133"/>
      <c r="R629" s="133"/>
      <c r="S629" s="153">
        <v>0</v>
      </c>
      <c r="T629" s="153">
        <v>0</v>
      </c>
      <c r="U629" s="153">
        <v>0</v>
      </c>
      <c r="V629" s="135"/>
      <c r="W629" s="135"/>
      <c r="X629" s="135"/>
      <c r="Y629" s="135"/>
      <c r="Z629" s="135"/>
      <c r="AA629" s="135"/>
      <c r="AB629" s="135"/>
      <c r="AC629" s="135"/>
      <c r="AD629" s="133"/>
      <c r="AE629" s="133"/>
      <c r="AF629" s="132" t="str">
        <f t="shared" si="72"/>
        <v>Нет инфо</v>
      </c>
      <c r="AG629" s="132" t="str">
        <f t="shared" si="73"/>
        <v>Нет инфо</v>
      </c>
      <c r="AH629" s="2"/>
      <c r="AI629" s="136"/>
      <c r="AJ629" s="2"/>
      <c r="AK629" s="136"/>
      <c r="AL629" s="136"/>
      <c r="AM629" s="2"/>
      <c r="AN629" s="2"/>
      <c r="AO629" s="2"/>
      <c r="AP629" s="2"/>
      <c r="AQ629" s="136"/>
    </row>
    <row r="630" spans="1:43" s="115" customFormat="1" ht="12.75" hidden="1" customHeight="1" x14ac:dyDescent="0.2">
      <c r="A630" s="2">
        <v>2659</v>
      </c>
      <c r="B630" s="2"/>
      <c r="C630" s="131"/>
      <c r="D630" s="131"/>
      <c r="E630" s="131"/>
      <c r="F630" s="2"/>
      <c r="G630" s="2"/>
      <c r="H630" s="132">
        <v>0</v>
      </c>
      <c r="I630" s="132"/>
      <c r="J630" s="132"/>
      <c r="K630" s="132"/>
      <c r="L630" s="132">
        <f t="shared" si="69"/>
        <v>0</v>
      </c>
      <c r="M630" s="132">
        <f t="shared" si="70"/>
        <v>0</v>
      </c>
      <c r="N630" s="133"/>
      <c r="O630" s="133">
        <f t="shared" si="71"/>
        <v>0</v>
      </c>
      <c r="P630" s="134"/>
      <c r="Q630" s="133"/>
      <c r="R630" s="133"/>
      <c r="S630" s="153">
        <v>0</v>
      </c>
      <c r="T630" s="153">
        <v>0</v>
      </c>
      <c r="U630" s="153">
        <v>0</v>
      </c>
      <c r="V630" s="135"/>
      <c r="W630" s="135"/>
      <c r="X630" s="135"/>
      <c r="Y630" s="135"/>
      <c r="Z630" s="135"/>
      <c r="AA630" s="135"/>
      <c r="AB630" s="135"/>
      <c r="AC630" s="135"/>
      <c r="AD630" s="133"/>
      <c r="AE630" s="133"/>
      <c r="AF630" s="132" t="str">
        <f t="shared" si="72"/>
        <v>Нет инфо</v>
      </c>
      <c r="AG630" s="132" t="str">
        <f t="shared" si="73"/>
        <v>Нет инфо</v>
      </c>
      <c r="AH630" s="2"/>
      <c r="AI630" s="136"/>
      <c r="AJ630" s="2"/>
      <c r="AK630" s="136"/>
      <c r="AL630" s="136"/>
      <c r="AM630" s="2"/>
      <c r="AN630" s="2"/>
      <c r="AO630" s="2"/>
      <c r="AP630" s="2"/>
      <c r="AQ630" s="136"/>
    </row>
    <row r="631" spans="1:43" s="115" customFormat="1" ht="12.75" hidden="1" customHeight="1" x14ac:dyDescent="0.2">
      <c r="A631" s="2">
        <v>2660</v>
      </c>
      <c r="B631" s="2"/>
      <c r="C631" s="131"/>
      <c r="D631" s="131"/>
      <c r="E631" s="131"/>
      <c r="F631" s="2"/>
      <c r="G631" s="2"/>
      <c r="H631" s="132">
        <v>0</v>
      </c>
      <c r="I631" s="132"/>
      <c r="J631" s="132"/>
      <c r="K631" s="132"/>
      <c r="L631" s="132">
        <f t="shared" si="69"/>
        <v>0</v>
      </c>
      <c r="M631" s="132">
        <f t="shared" si="70"/>
        <v>0</v>
      </c>
      <c r="N631" s="133"/>
      <c r="O631" s="133">
        <f t="shared" si="71"/>
        <v>0</v>
      </c>
      <c r="P631" s="134"/>
      <c r="Q631" s="133"/>
      <c r="R631" s="133"/>
      <c r="S631" s="153">
        <v>0</v>
      </c>
      <c r="T631" s="153">
        <v>0</v>
      </c>
      <c r="U631" s="153">
        <v>0</v>
      </c>
      <c r="V631" s="135"/>
      <c r="W631" s="135"/>
      <c r="X631" s="135"/>
      <c r="Y631" s="135"/>
      <c r="Z631" s="135"/>
      <c r="AA631" s="135"/>
      <c r="AB631" s="135"/>
      <c r="AC631" s="135"/>
      <c r="AD631" s="133"/>
      <c r="AE631" s="133"/>
      <c r="AF631" s="132" t="str">
        <f t="shared" si="72"/>
        <v>Нет инфо</v>
      </c>
      <c r="AG631" s="132" t="str">
        <f t="shared" si="73"/>
        <v>Нет инфо</v>
      </c>
      <c r="AH631" s="2"/>
      <c r="AI631" s="136"/>
      <c r="AJ631" s="2"/>
      <c r="AK631" s="136"/>
      <c r="AL631" s="136"/>
      <c r="AM631" s="2"/>
      <c r="AN631" s="2"/>
      <c r="AO631" s="2"/>
      <c r="AP631" s="2"/>
      <c r="AQ631" s="136"/>
    </row>
    <row r="632" spans="1:43" s="115" customFormat="1" ht="12.75" hidden="1" customHeight="1" x14ac:dyDescent="0.2">
      <c r="A632" s="2">
        <v>2661</v>
      </c>
      <c r="B632" s="2"/>
      <c r="C632" s="131"/>
      <c r="D632" s="131"/>
      <c r="E632" s="131"/>
      <c r="F632" s="2"/>
      <c r="G632" s="2"/>
      <c r="H632" s="132">
        <v>0</v>
      </c>
      <c r="I632" s="132"/>
      <c r="J632" s="132"/>
      <c r="K632" s="132"/>
      <c r="L632" s="132">
        <f t="shared" si="69"/>
        <v>0</v>
      </c>
      <c r="M632" s="132">
        <f t="shared" si="70"/>
        <v>0</v>
      </c>
      <c r="N632" s="133"/>
      <c r="O632" s="133">
        <f t="shared" si="71"/>
        <v>0</v>
      </c>
      <c r="P632" s="134"/>
      <c r="Q632" s="133"/>
      <c r="R632" s="133"/>
      <c r="S632" s="153">
        <v>0</v>
      </c>
      <c r="T632" s="153">
        <v>0</v>
      </c>
      <c r="U632" s="153">
        <v>0</v>
      </c>
      <c r="V632" s="135"/>
      <c r="W632" s="135"/>
      <c r="X632" s="135"/>
      <c r="Y632" s="135"/>
      <c r="Z632" s="135"/>
      <c r="AA632" s="135"/>
      <c r="AB632" s="135"/>
      <c r="AC632" s="135"/>
      <c r="AD632" s="133"/>
      <c r="AE632" s="133"/>
      <c r="AF632" s="132" t="str">
        <f t="shared" si="72"/>
        <v>Нет инфо</v>
      </c>
      <c r="AG632" s="132" t="str">
        <f t="shared" si="73"/>
        <v>Нет инфо</v>
      </c>
      <c r="AH632" s="2"/>
      <c r="AI632" s="136"/>
      <c r="AJ632" s="2"/>
      <c r="AK632" s="136"/>
      <c r="AL632" s="136"/>
      <c r="AM632" s="2"/>
      <c r="AN632" s="2"/>
      <c r="AO632" s="2"/>
      <c r="AP632" s="2"/>
      <c r="AQ632" s="136"/>
    </row>
    <row r="633" spans="1:43" s="115" customFormat="1" ht="12.75" hidden="1" customHeight="1" x14ac:dyDescent="0.2">
      <c r="A633" s="2">
        <v>2662</v>
      </c>
      <c r="B633" s="2"/>
      <c r="C633" s="131"/>
      <c r="D633" s="131"/>
      <c r="E633" s="131"/>
      <c r="F633" s="2"/>
      <c r="G633" s="2"/>
      <c r="H633" s="132">
        <v>0</v>
      </c>
      <c r="I633" s="132"/>
      <c r="J633" s="132"/>
      <c r="K633" s="132"/>
      <c r="L633" s="132">
        <f t="shared" si="69"/>
        <v>0</v>
      </c>
      <c r="M633" s="132">
        <f t="shared" si="70"/>
        <v>0</v>
      </c>
      <c r="N633" s="133"/>
      <c r="O633" s="133">
        <f t="shared" si="71"/>
        <v>0</v>
      </c>
      <c r="P633" s="134"/>
      <c r="Q633" s="133"/>
      <c r="R633" s="133"/>
      <c r="S633" s="153">
        <v>0</v>
      </c>
      <c r="T633" s="153">
        <v>0</v>
      </c>
      <c r="U633" s="153">
        <v>0</v>
      </c>
      <c r="V633" s="135"/>
      <c r="W633" s="135"/>
      <c r="X633" s="135"/>
      <c r="Y633" s="135"/>
      <c r="Z633" s="135"/>
      <c r="AA633" s="135"/>
      <c r="AB633" s="135"/>
      <c r="AC633" s="135"/>
      <c r="AD633" s="133"/>
      <c r="AE633" s="133"/>
      <c r="AF633" s="132" t="str">
        <f t="shared" si="72"/>
        <v>Нет инфо</v>
      </c>
      <c r="AG633" s="132" t="str">
        <f t="shared" si="73"/>
        <v>Нет инфо</v>
      </c>
      <c r="AH633" s="2"/>
      <c r="AI633" s="136"/>
      <c r="AJ633" s="2"/>
      <c r="AK633" s="136"/>
      <c r="AL633" s="136"/>
      <c r="AM633" s="2"/>
      <c r="AN633" s="2"/>
      <c r="AO633" s="2"/>
      <c r="AP633" s="2"/>
      <c r="AQ633" s="136"/>
    </row>
    <row r="634" spans="1:43" s="115" customFormat="1" ht="12.75" hidden="1" customHeight="1" x14ac:dyDescent="0.2">
      <c r="A634" s="2">
        <v>2663</v>
      </c>
      <c r="B634" s="2"/>
      <c r="C634" s="131"/>
      <c r="D634" s="131"/>
      <c r="E634" s="131"/>
      <c r="F634" s="2"/>
      <c r="G634" s="2"/>
      <c r="H634" s="132">
        <v>0</v>
      </c>
      <c r="I634" s="132"/>
      <c r="J634" s="132"/>
      <c r="K634" s="132"/>
      <c r="L634" s="132">
        <f t="shared" si="69"/>
        <v>0</v>
      </c>
      <c r="M634" s="132">
        <f t="shared" si="70"/>
        <v>0</v>
      </c>
      <c r="N634" s="133"/>
      <c r="O634" s="133">
        <f t="shared" si="71"/>
        <v>0</v>
      </c>
      <c r="P634" s="134"/>
      <c r="Q634" s="133"/>
      <c r="R634" s="133"/>
      <c r="S634" s="153">
        <v>0</v>
      </c>
      <c r="T634" s="153">
        <v>0</v>
      </c>
      <c r="U634" s="153">
        <v>0</v>
      </c>
      <c r="V634" s="135"/>
      <c r="W634" s="135"/>
      <c r="X634" s="135"/>
      <c r="Y634" s="135"/>
      <c r="Z634" s="135"/>
      <c r="AA634" s="135"/>
      <c r="AB634" s="135"/>
      <c r="AC634" s="135"/>
      <c r="AD634" s="133"/>
      <c r="AE634" s="133"/>
      <c r="AF634" s="132" t="str">
        <f t="shared" si="72"/>
        <v>Нет инфо</v>
      </c>
      <c r="AG634" s="132" t="str">
        <f t="shared" si="73"/>
        <v>Нет инфо</v>
      </c>
      <c r="AH634" s="2"/>
      <c r="AI634" s="136"/>
      <c r="AJ634" s="2"/>
      <c r="AK634" s="136"/>
      <c r="AL634" s="136"/>
      <c r="AM634" s="2"/>
      <c r="AN634" s="2"/>
      <c r="AO634" s="2"/>
      <c r="AP634" s="2"/>
      <c r="AQ634" s="136"/>
    </row>
    <row r="635" spans="1:43" s="115" customFormat="1" ht="12.75" hidden="1" customHeight="1" x14ac:dyDescent="0.2">
      <c r="A635" s="2">
        <v>2664</v>
      </c>
      <c r="B635" s="2"/>
      <c r="C635" s="131"/>
      <c r="D635" s="131"/>
      <c r="E635" s="131"/>
      <c r="F635" s="2"/>
      <c r="G635" s="2"/>
      <c r="H635" s="132">
        <v>0</v>
      </c>
      <c r="I635" s="132"/>
      <c r="J635" s="132"/>
      <c r="K635" s="132"/>
      <c r="L635" s="132">
        <f t="shared" si="69"/>
        <v>0</v>
      </c>
      <c r="M635" s="132">
        <f t="shared" si="70"/>
        <v>0</v>
      </c>
      <c r="N635" s="133"/>
      <c r="O635" s="133">
        <f t="shared" si="71"/>
        <v>0</v>
      </c>
      <c r="P635" s="134"/>
      <c r="Q635" s="133"/>
      <c r="R635" s="133"/>
      <c r="S635" s="153">
        <v>0</v>
      </c>
      <c r="T635" s="153">
        <v>0</v>
      </c>
      <c r="U635" s="153">
        <v>0</v>
      </c>
      <c r="V635" s="135"/>
      <c r="W635" s="135"/>
      <c r="X635" s="135"/>
      <c r="Y635" s="135"/>
      <c r="Z635" s="135"/>
      <c r="AA635" s="135"/>
      <c r="AB635" s="135"/>
      <c r="AC635" s="135"/>
      <c r="AD635" s="133"/>
      <c r="AE635" s="133"/>
      <c r="AF635" s="132" t="str">
        <f t="shared" si="72"/>
        <v>Нет инфо</v>
      </c>
      <c r="AG635" s="132" t="str">
        <f t="shared" si="73"/>
        <v>Нет инфо</v>
      </c>
      <c r="AH635" s="2"/>
      <c r="AI635" s="136"/>
      <c r="AJ635" s="2"/>
      <c r="AK635" s="136"/>
      <c r="AL635" s="136"/>
      <c r="AM635" s="2"/>
      <c r="AN635" s="2"/>
      <c r="AO635" s="2"/>
      <c r="AP635" s="2"/>
      <c r="AQ635" s="136"/>
    </row>
    <row r="636" spans="1:43" s="115" customFormat="1" ht="12.75" hidden="1" customHeight="1" x14ac:dyDescent="0.2">
      <c r="A636" s="2">
        <v>2665</v>
      </c>
      <c r="B636" s="2"/>
      <c r="C636" s="131"/>
      <c r="D636" s="131"/>
      <c r="E636" s="131"/>
      <c r="F636" s="2"/>
      <c r="G636" s="2"/>
      <c r="H636" s="132">
        <v>0</v>
      </c>
      <c r="I636" s="132"/>
      <c r="J636" s="132"/>
      <c r="K636" s="132"/>
      <c r="L636" s="132">
        <f t="shared" si="69"/>
        <v>0</v>
      </c>
      <c r="M636" s="132">
        <f t="shared" si="70"/>
        <v>0</v>
      </c>
      <c r="N636" s="133"/>
      <c r="O636" s="133">
        <f t="shared" si="71"/>
        <v>0</v>
      </c>
      <c r="P636" s="134"/>
      <c r="Q636" s="133"/>
      <c r="R636" s="133"/>
      <c r="S636" s="153">
        <v>0</v>
      </c>
      <c r="T636" s="153">
        <v>0</v>
      </c>
      <c r="U636" s="153">
        <v>0</v>
      </c>
      <c r="V636" s="135"/>
      <c r="W636" s="135"/>
      <c r="X636" s="135"/>
      <c r="Y636" s="135"/>
      <c r="Z636" s="135"/>
      <c r="AA636" s="135"/>
      <c r="AB636" s="135"/>
      <c r="AC636" s="135"/>
      <c r="AD636" s="133"/>
      <c r="AE636" s="133"/>
      <c r="AF636" s="132" t="str">
        <f t="shared" si="72"/>
        <v>Нет инфо</v>
      </c>
      <c r="AG636" s="132" t="str">
        <f t="shared" si="73"/>
        <v>Нет инфо</v>
      </c>
      <c r="AH636" s="2"/>
      <c r="AI636" s="136"/>
      <c r="AJ636" s="2"/>
      <c r="AK636" s="136"/>
      <c r="AL636" s="136"/>
      <c r="AM636" s="2"/>
      <c r="AN636" s="2"/>
      <c r="AO636" s="2"/>
      <c r="AP636" s="2"/>
      <c r="AQ636" s="136"/>
    </row>
    <row r="637" spans="1:43" s="115" customFormat="1" ht="12.75" hidden="1" customHeight="1" x14ac:dyDescent="0.2">
      <c r="A637" s="2">
        <v>2666</v>
      </c>
      <c r="B637" s="2"/>
      <c r="C637" s="131"/>
      <c r="D637" s="131"/>
      <c r="E637" s="131"/>
      <c r="F637" s="2"/>
      <c r="G637" s="2"/>
      <c r="H637" s="132">
        <v>0</v>
      </c>
      <c r="I637" s="132"/>
      <c r="J637" s="132"/>
      <c r="K637" s="132"/>
      <c r="L637" s="132">
        <f t="shared" si="69"/>
        <v>0</v>
      </c>
      <c r="M637" s="132">
        <f t="shared" si="70"/>
        <v>0</v>
      </c>
      <c r="N637" s="133"/>
      <c r="O637" s="133">
        <f t="shared" si="71"/>
        <v>0</v>
      </c>
      <c r="P637" s="134"/>
      <c r="Q637" s="133"/>
      <c r="R637" s="133"/>
      <c r="S637" s="153">
        <v>0</v>
      </c>
      <c r="T637" s="153">
        <v>0</v>
      </c>
      <c r="U637" s="153">
        <v>0</v>
      </c>
      <c r="V637" s="135"/>
      <c r="W637" s="135"/>
      <c r="X637" s="135"/>
      <c r="Y637" s="135"/>
      <c r="Z637" s="135"/>
      <c r="AA637" s="135"/>
      <c r="AB637" s="135"/>
      <c r="AC637" s="135"/>
      <c r="AD637" s="133"/>
      <c r="AE637" s="133"/>
      <c r="AF637" s="132" t="str">
        <f t="shared" si="72"/>
        <v>Нет инфо</v>
      </c>
      <c r="AG637" s="132" t="str">
        <f t="shared" si="73"/>
        <v>Нет инфо</v>
      </c>
      <c r="AH637" s="2"/>
      <c r="AI637" s="136"/>
      <c r="AJ637" s="2"/>
      <c r="AK637" s="136"/>
      <c r="AL637" s="136"/>
      <c r="AM637" s="2"/>
      <c r="AN637" s="2"/>
      <c r="AO637" s="2"/>
      <c r="AP637" s="2"/>
      <c r="AQ637" s="136"/>
    </row>
    <row r="638" spans="1:43" s="115" customFormat="1" ht="12.75" hidden="1" customHeight="1" x14ac:dyDescent="0.2">
      <c r="A638" s="2">
        <v>2667</v>
      </c>
      <c r="B638" s="2"/>
      <c r="C638" s="131"/>
      <c r="D638" s="131"/>
      <c r="E638" s="131"/>
      <c r="F638" s="2"/>
      <c r="G638" s="2"/>
      <c r="H638" s="132">
        <v>0</v>
      </c>
      <c r="I638" s="132"/>
      <c r="J638" s="132"/>
      <c r="K638" s="132"/>
      <c r="L638" s="132">
        <f t="shared" si="69"/>
        <v>0</v>
      </c>
      <c r="M638" s="132">
        <f t="shared" si="70"/>
        <v>0</v>
      </c>
      <c r="N638" s="133"/>
      <c r="O638" s="133">
        <f t="shared" si="71"/>
        <v>0</v>
      </c>
      <c r="P638" s="134"/>
      <c r="Q638" s="133"/>
      <c r="R638" s="133"/>
      <c r="S638" s="153">
        <v>0</v>
      </c>
      <c r="T638" s="153">
        <v>0</v>
      </c>
      <c r="U638" s="153">
        <v>0</v>
      </c>
      <c r="V638" s="135"/>
      <c r="W638" s="135"/>
      <c r="X638" s="135"/>
      <c r="Y638" s="135"/>
      <c r="Z638" s="135"/>
      <c r="AA638" s="135"/>
      <c r="AB638" s="135"/>
      <c r="AC638" s="135"/>
      <c r="AD638" s="133"/>
      <c r="AE638" s="133"/>
      <c r="AF638" s="132" t="str">
        <f t="shared" si="72"/>
        <v>Нет инфо</v>
      </c>
      <c r="AG638" s="132" t="str">
        <f t="shared" si="73"/>
        <v>Нет инфо</v>
      </c>
      <c r="AH638" s="2"/>
      <c r="AI638" s="136"/>
      <c r="AJ638" s="2"/>
      <c r="AK638" s="136"/>
      <c r="AL638" s="136"/>
      <c r="AM638" s="2"/>
      <c r="AN638" s="2"/>
      <c r="AO638" s="2"/>
      <c r="AP638" s="2"/>
      <c r="AQ638" s="136"/>
    </row>
    <row r="639" spans="1:43" s="115" customFormat="1" ht="12.75" hidden="1" customHeight="1" x14ac:dyDescent="0.2">
      <c r="A639" s="2">
        <v>2668</v>
      </c>
      <c r="B639" s="2"/>
      <c r="C639" s="131"/>
      <c r="D639" s="131"/>
      <c r="E639" s="131"/>
      <c r="F639" s="2"/>
      <c r="G639" s="2"/>
      <c r="H639" s="132">
        <v>0</v>
      </c>
      <c r="I639" s="132"/>
      <c r="J639" s="132"/>
      <c r="K639" s="132"/>
      <c r="L639" s="132">
        <f t="shared" si="69"/>
        <v>0</v>
      </c>
      <c r="M639" s="132">
        <f t="shared" si="70"/>
        <v>0</v>
      </c>
      <c r="N639" s="133"/>
      <c r="O639" s="133">
        <f t="shared" si="71"/>
        <v>0</v>
      </c>
      <c r="P639" s="134"/>
      <c r="Q639" s="133"/>
      <c r="R639" s="133"/>
      <c r="S639" s="153">
        <v>0</v>
      </c>
      <c r="T639" s="153">
        <v>0</v>
      </c>
      <c r="U639" s="153">
        <v>0</v>
      </c>
      <c r="V639" s="135"/>
      <c r="W639" s="135"/>
      <c r="X639" s="135"/>
      <c r="Y639" s="135"/>
      <c r="Z639" s="135"/>
      <c r="AA639" s="135"/>
      <c r="AB639" s="135"/>
      <c r="AC639" s="135"/>
      <c r="AD639" s="133"/>
      <c r="AE639" s="133"/>
      <c r="AF639" s="132" t="str">
        <f t="shared" si="72"/>
        <v>Нет инфо</v>
      </c>
      <c r="AG639" s="132" t="str">
        <f t="shared" si="73"/>
        <v>Нет инфо</v>
      </c>
      <c r="AH639" s="2"/>
      <c r="AI639" s="136"/>
      <c r="AJ639" s="2"/>
      <c r="AK639" s="136"/>
      <c r="AL639" s="136"/>
      <c r="AM639" s="2"/>
      <c r="AN639" s="2"/>
      <c r="AO639" s="2"/>
      <c r="AP639" s="2"/>
      <c r="AQ639" s="136"/>
    </row>
    <row r="640" spans="1:43" s="115" customFormat="1" ht="12.75" hidden="1" customHeight="1" x14ac:dyDescent="0.2">
      <c r="A640" s="2">
        <v>2669</v>
      </c>
      <c r="B640" s="2"/>
      <c r="C640" s="131"/>
      <c r="D640" s="131"/>
      <c r="E640" s="131"/>
      <c r="F640" s="2"/>
      <c r="G640" s="2"/>
      <c r="H640" s="132">
        <v>0</v>
      </c>
      <c r="I640" s="132"/>
      <c r="J640" s="132"/>
      <c r="K640" s="132"/>
      <c r="L640" s="132">
        <f t="shared" si="69"/>
        <v>0</v>
      </c>
      <c r="M640" s="132">
        <f t="shared" si="70"/>
        <v>0</v>
      </c>
      <c r="N640" s="133"/>
      <c r="O640" s="133">
        <f t="shared" si="71"/>
        <v>0</v>
      </c>
      <c r="P640" s="134"/>
      <c r="Q640" s="133"/>
      <c r="R640" s="133"/>
      <c r="S640" s="153">
        <v>0</v>
      </c>
      <c r="T640" s="153">
        <v>0</v>
      </c>
      <c r="U640" s="153">
        <v>0</v>
      </c>
      <c r="V640" s="135"/>
      <c r="W640" s="135"/>
      <c r="X640" s="135"/>
      <c r="Y640" s="135"/>
      <c r="Z640" s="135"/>
      <c r="AA640" s="135"/>
      <c r="AB640" s="135"/>
      <c r="AC640" s="135"/>
      <c r="AD640" s="133"/>
      <c r="AE640" s="133"/>
      <c r="AF640" s="132" t="str">
        <f t="shared" si="72"/>
        <v>Нет инфо</v>
      </c>
      <c r="AG640" s="132" t="str">
        <f t="shared" si="73"/>
        <v>Нет инфо</v>
      </c>
      <c r="AH640" s="2"/>
      <c r="AI640" s="136"/>
      <c r="AJ640" s="2"/>
      <c r="AK640" s="136"/>
      <c r="AL640" s="136"/>
      <c r="AM640" s="2"/>
      <c r="AN640" s="2"/>
      <c r="AO640" s="2"/>
      <c r="AP640" s="2"/>
      <c r="AQ640" s="136"/>
    </row>
    <row r="641" spans="1:43" s="115" customFormat="1" ht="12.75" hidden="1" customHeight="1" x14ac:dyDescent="0.2">
      <c r="A641" s="2">
        <v>2670</v>
      </c>
      <c r="B641" s="2"/>
      <c r="C641" s="131"/>
      <c r="D641" s="131"/>
      <c r="E641" s="131"/>
      <c r="F641" s="2"/>
      <c r="G641" s="2"/>
      <c r="H641" s="132">
        <v>0</v>
      </c>
      <c r="I641" s="132"/>
      <c r="J641" s="132"/>
      <c r="K641" s="132"/>
      <c r="L641" s="132">
        <f t="shared" si="69"/>
        <v>0</v>
      </c>
      <c r="M641" s="132">
        <f t="shared" si="70"/>
        <v>0</v>
      </c>
      <c r="N641" s="133"/>
      <c r="O641" s="133">
        <f t="shared" si="71"/>
        <v>0</v>
      </c>
      <c r="P641" s="134"/>
      <c r="Q641" s="133"/>
      <c r="R641" s="133"/>
      <c r="S641" s="153">
        <v>0</v>
      </c>
      <c r="T641" s="153">
        <v>0</v>
      </c>
      <c r="U641" s="153">
        <v>0</v>
      </c>
      <c r="V641" s="135"/>
      <c r="W641" s="135"/>
      <c r="X641" s="135"/>
      <c r="Y641" s="135"/>
      <c r="Z641" s="135"/>
      <c r="AA641" s="135"/>
      <c r="AB641" s="135"/>
      <c r="AC641" s="135"/>
      <c r="AD641" s="133"/>
      <c r="AE641" s="133"/>
      <c r="AF641" s="132" t="str">
        <f t="shared" si="72"/>
        <v>Нет инфо</v>
      </c>
      <c r="AG641" s="132" t="str">
        <f t="shared" si="73"/>
        <v>Нет инфо</v>
      </c>
      <c r="AH641" s="2"/>
      <c r="AI641" s="136"/>
      <c r="AJ641" s="2"/>
      <c r="AK641" s="136"/>
      <c r="AL641" s="136"/>
      <c r="AM641" s="2"/>
      <c r="AN641" s="2"/>
      <c r="AO641" s="2"/>
      <c r="AP641" s="2"/>
      <c r="AQ641" s="136"/>
    </row>
    <row r="642" spans="1:43" s="115" customFormat="1" ht="12.75" hidden="1" customHeight="1" x14ac:dyDescent="0.2">
      <c r="A642" s="2">
        <v>2671</v>
      </c>
      <c r="B642" s="2"/>
      <c r="C642" s="131"/>
      <c r="D642" s="131"/>
      <c r="E642" s="131"/>
      <c r="F642" s="2"/>
      <c r="G642" s="2"/>
      <c r="H642" s="132">
        <v>0</v>
      </c>
      <c r="I642" s="132"/>
      <c r="J642" s="132"/>
      <c r="K642" s="132"/>
      <c r="L642" s="132">
        <f t="shared" si="69"/>
        <v>0</v>
      </c>
      <c r="M642" s="132">
        <f t="shared" si="70"/>
        <v>0</v>
      </c>
      <c r="N642" s="133"/>
      <c r="O642" s="133">
        <f t="shared" si="71"/>
        <v>0</v>
      </c>
      <c r="P642" s="134"/>
      <c r="Q642" s="133"/>
      <c r="R642" s="133"/>
      <c r="S642" s="153">
        <v>0</v>
      </c>
      <c r="T642" s="153">
        <v>0</v>
      </c>
      <c r="U642" s="153">
        <v>0</v>
      </c>
      <c r="V642" s="135"/>
      <c r="W642" s="135"/>
      <c r="X642" s="135"/>
      <c r="Y642" s="135"/>
      <c r="Z642" s="135"/>
      <c r="AA642" s="135"/>
      <c r="AB642" s="135"/>
      <c r="AC642" s="135"/>
      <c r="AD642" s="133"/>
      <c r="AE642" s="133"/>
      <c r="AF642" s="132" t="str">
        <f t="shared" si="72"/>
        <v>Нет инфо</v>
      </c>
      <c r="AG642" s="132" t="str">
        <f t="shared" si="73"/>
        <v>Нет инфо</v>
      </c>
      <c r="AH642" s="2"/>
      <c r="AI642" s="136"/>
      <c r="AJ642" s="2"/>
      <c r="AK642" s="136"/>
      <c r="AL642" s="136"/>
      <c r="AM642" s="2"/>
      <c r="AN642" s="2"/>
      <c r="AO642" s="2"/>
      <c r="AP642" s="2"/>
      <c r="AQ642" s="136"/>
    </row>
    <row r="643" spans="1:43" s="115" customFormat="1" ht="12.75" hidden="1" customHeight="1" x14ac:dyDescent="0.2">
      <c r="A643" s="2">
        <v>2672</v>
      </c>
      <c r="B643" s="2"/>
      <c r="C643" s="131"/>
      <c r="D643" s="131"/>
      <c r="E643" s="131"/>
      <c r="F643" s="2"/>
      <c r="G643" s="2"/>
      <c r="H643" s="132">
        <v>0</v>
      </c>
      <c r="I643" s="132"/>
      <c r="J643" s="132"/>
      <c r="K643" s="132"/>
      <c r="L643" s="132">
        <f t="shared" si="69"/>
        <v>0</v>
      </c>
      <c r="M643" s="132">
        <f t="shared" si="70"/>
        <v>0</v>
      </c>
      <c r="N643" s="133"/>
      <c r="O643" s="133">
        <f t="shared" si="71"/>
        <v>0</v>
      </c>
      <c r="P643" s="134"/>
      <c r="Q643" s="133"/>
      <c r="R643" s="133"/>
      <c r="S643" s="153">
        <v>0</v>
      </c>
      <c r="T643" s="153">
        <v>0</v>
      </c>
      <c r="U643" s="153">
        <v>0</v>
      </c>
      <c r="V643" s="135"/>
      <c r="W643" s="135"/>
      <c r="X643" s="135"/>
      <c r="Y643" s="135"/>
      <c r="Z643" s="135"/>
      <c r="AA643" s="135"/>
      <c r="AB643" s="135"/>
      <c r="AC643" s="135"/>
      <c r="AD643" s="133"/>
      <c r="AE643" s="133"/>
      <c r="AF643" s="132" t="str">
        <f t="shared" si="72"/>
        <v>Нет инфо</v>
      </c>
      <c r="AG643" s="132" t="str">
        <f t="shared" si="73"/>
        <v>Нет инфо</v>
      </c>
      <c r="AH643" s="2"/>
      <c r="AI643" s="136"/>
      <c r="AJ643" s="2"/>
      <c r="AK643" s="136"/>
      <c r="AL643" s="136"/>
      <c r="AM643" s="2"/>
      <c r="AN643" s="2"/>
      <c r="AO643" s="2"/>
      <c r="AP643" s="2"/>
      <c r="AQ643" s="136"/>
    </row>
    <row r="644" spans="1:43" s="115" customFormat="1" ht="12.75" hidden="1" customHeight="1" x14ac:dyDescent="0.2">
      <c r="A644" s="2">
        <v>2673</v>
      </c>
      <c r="B644" s="2"/>
      <c r="C644" s="131"/>
      <c r="D644" s="131"/>
      <c r="E644" s="131"/>
      <c r="F644" s="2"/>
      <c r="G644" s="2"/>
      <c r="H644" s="132">
        <v>0</v>
      </c>
      <c r="I644" s="132"/>
      <c r="J644" s="132"/>
      <c r="K644" s="132"/>
      <c r="L644" s="132">
        <f t="shared" si="69"/>
        <v>0</v>
      </c>
      <c r="M644" s="132">
        <f t="shared" si="70"/>
        <v>0</v>
      </c>
      <c r="N644" s="133"/>
      <c r="O644" s="133">
        <f t="shared" si="71"/>
        <v>0</v>
      </c>
      <c r="P644" s="134"/>
      <c r="Q644" s="133"/>
      <c r="R644" s="133"/>
      <c r="S644" s="153">
        <v>0</v>
      </c>
      <c r="T644" s="153">
        <v>0</v>
      </c>
      <c r="U644" s="153">
        <v>0</v>
      </c>
      <c r="V644" s="135"/>
      <c r="W644" s="135"/>
      <c r="X644" s="135"/>
      <c r="Y644" s="135"/>
      <c r="Z644" s="135"/>
      <c r="AA644" s="135"/>
      <c r="AB644" s="135"/>
      <c r="AC644" s="135"/>
      <c r="AD644" s="133"/>
      <c r="AE644" s="133"/>
      <c r="AF644" s="132" t="str">
        <f t="shared" si="72"/>
        <v>Нет инфо</v>
      </c>
      <c r="AG644" s="132" t="str">
        <f t="shared" si="73"/>
        <v>Нет инфо</v>
      </c>
      <c r="AH644" s="2"/>
      <c r="AI644" s="136"/>
      <c r="AJ644" s="2"/>
      <c r="AK644" s="136"/>
      <c r="AL644" s="136"/>
      <c r="AM644" s="2"/>
      <c r="AN644" s="2"/>
      <c r="AO644" s="2"/>
      <c r="AP644" s="2"/>
      <c r="AQ644" s="136"/>
    </row>
    <row r="645" spans="1:43" s="115" customFormat="1" ht="12.75" hidden="1" customHeight="1" x14ac:dyDescent="0.2">
      <c r="A645" s="2">
        <v>2674</v>
      </c>
      <c r="B645" s="2"/>
      <c r="C645" s="131"/>
      <c r="D645" s="131"/>
      <c r="E645" s="131"/>
      <c r="F645" s="2"/>
      <c r="G645" s="2"/>
      <c r="H645" s="132">
        <v>0</v>
      </c>
      <c r="I645" s="132"/>
      <c r="J645" s="132"/>
      <c r="K645" s="132"/>
      <c r="L645" s="132">
        <f t="shared" si="69"/>
        <v>0</v>
      </c>
      <c r="M645" s="132">
        <f t="shared" si="70"/>
        <v>0</v>
      </c>
      <c r="N645" s="133"/>
      <c r="O645" s="133">
        <f t="shared" si="71"/>
        <v>0</v>
      </c>
      <c r="P645" s="134"/>
      <c r="Q645" s="133"/>
      <c r="R645" s="133"/>
      <c r="S645" s="153">
        <v>0</v>
      </c>
      <c r="T645" s="153">
        <v>0</v>
      </c>
      <c r="U645" s="153">
        <v>0</v>
      </c>
      <c r="V645" s="135"/>
      <c r="W645" s="135"/>
      <c r="X645" s="135"/>
      <c r="Y645" s="135"/>
      <c r="Z645" s="135"/>
      <c r="AA645" s="135"/>
      <c r="AB645" s="135"/>
      <c r="AC645" s="135"/>
      <c r="AD645" s="133"/>
      <c r="AE645" s="133"/>
      <c r="AF645" s="132" t="str">
        <f t="shared" si="72"/>
        <v>Нет инфо</v>
      </c>
      <c r="AG645" s="132" t="str">
        <f t="shared" si="73"/>
        <v>Нет инфо</v>
      </c>
      <c r="AH645" s="2"/>
      <c r="AI645" s="136"/>
      <c r="AJ645" s="2"/>
      <c r="AK645" s="136"/>
      <c r="AL645" s="136"/>
      <c r="AM645" s="2"/>
      <c r="AN645" s="2"/>
      <c r="AO645" s="2"/>
      <c r="AP645" s="2"/>
      <c r="AQ645" s="136"/>
    </row>
    <row r="646" spans="1:43" s="115" customFormat="1" ht="12.75" hidden="1" customHeight="1" x14ac:dyDescent="0.2">
      <c r="A646" s="2">
        <v>2675</v>
      </c>
      <c r="B646" s="2"/>
      <c r="C646" s="131"/>
      <c r="D646" s="131"/>
      <c r="E646" s="131"/>
      <c r="F646" s="2"/>
      <c r="G646" s="2"/>
      <c r="H646" s="132">
        <v>0</v>
      </c>
      <c r="I646" s="132"/>
      <c r="J646" s="132"/>
      <c r="K646" s="132"/>
      <c r="L646" s="132">
        <f t="shared" si="69"/>
        <v>0</v>
      </c>
      <c r="M646" s="132">
        <f t="shared" si="70"/>
        <v>0</v>
      </c>
      <c r="N646" s="133"/>
      <c r="O646" s="133">
        <f t="shared" si="71"/>
        <v>0</v>
      </c>
      <c r="P646" s="134"/>
      <c r="Q646" s="133"/>
      <c r="R646" s="133"/>
      <c r="S646" s="153">
        <v>0</v>
      </c>
      <c r="T646" s="153">
        <v>0</v>
      </c>
      <c r="U646" s="153">
        <v>0</v>
      </c>
      <c r="V646" s="135"/>
      <c r="W646" s="135"/>
      <c r="X646" s="135"/>
      <c r="Y646" s="135"/>
      <c r="Z646" s="135"/>
      <c r="AA646" s="135"/>
      <c r="AB646" s="135"/>
      <c r="AC646" s="135"/>
      <c r="AD646" s="133"/>
      <c r="AE646" s="133"/>
      <c r="AF646" s="132" t="str">
        <f t="shared" si="72"/>
        <v>Нет инфо</v>
      </c>
      <c r="AG646" s="132" t="str">
        <f t="shared" si="73"/>
        <v>Нет инфо</v>
      </c>
      <c r="AH646" s="2"/>
      <c r="AI646" s="136"/>
      <c r="AJ646" s="2"/>
      <c r="AK646" s="136"/>
      <c r="AL646" s="136"/>
      <c r="AM646" s="2"/>
      <c r="AN646" s="2"/>
      <c r="AO646" s="2"/>
      <c r="AP646" s="2"/>
      <c r="AQ646" s="136"/>
    </row>
    <row r="647" spans="1:43" s="115" customFormat="1" ht="12.75" hidden="1" customHeight="1" x14ac:dyDescent="0.2">
      <c r="A647" s="2">
        <v>2676</v>
      </c>
      <c r="B647" s="2"/>
      <c r="C647" s="131"/>
      <c r="D647" s="131"/>
      <c r="E647" s="131"/>
      <c r="F647" s="2"/>
      <c r="G647" s="2"/>
      <c r="H647" s="132">
        <v>0</v>
      </c>
      <c r="I647" s="132"/>
      <c r="J647" s="132"/>
      <c r="K647" s="132"/>
      <c r="L647" s="132">
        <f t="shared" si="69"/>
        <v>0</v>
      </c>
      <c r="M647" s="132">
        <f t="shared" si="70"/>
        <v>0</v>
      </c>
      <c r="N647" s="133"/>
      <c r="O647" s="133">
        <f t="shared" si="71"/>
        <v>0</v>
      </c>
      <c r="P647" s="134"/>
      <c r="Q647" s="133"/>
      <c r="R647" s="133"/>
      <c r="S647" s="153">
        <v>0</v>
      </c>
      <c r="T647" s="153">
        <v>0</v>
      </c>
      <c r="U647" s="153">
        <v>0</v>
      </c>
      <c r="V647" s="135"/>
      <c r="W647" s="135"/>
      <c r="X647" s="135"/>
      <c r="Y647" s="135"/>
      <c r="Z647" s="135"/>
      <c r="AA647" s="135"/>
      <c r="AB647" s="135"/>
      <c r="AC647" s="135"/>
      <c r="AD647" s="133"/>
      <c r="AE647" s="133"/>
      <c r="AF647" s="132" t="str">
        <f t="shared" si="72"/>
        <v>Нет инфо</v>
      </c>
      <c r="AG647" s="132" t="str">
        <f t="shared" si="73"/>
        <v>Нет инфо</v>
      </c>
      <c r="AH647" s="2"/>
      <c r="AI647" s="136"/>
      <c r="AJ647" s="2"/>
      <c r="AK647" s="136"/>
      <c r="AL647" s="136"/>
      <c r="AM647" s="2"/>
      <c r="AN647" s="2"/>
      <c r="AO647" s="2"/>
      <c r="AP647" s="2"/>
      <c r="AQ647" s="136"/>
    </row>
    <row r="648" spans="1:43" s="115" customFormat="1" ht="12.75" hidden="1" customHeight="1" x14ac:dyDescent="0.2">
      <c r="A648" s="2">
        <v>2677</v>
      </c>
      <c r="B648" s="2"/>
      <c r="C648" s="131"/>
      <c r="D648" s="131"/>
      <c r="E648" s="131"/>
      <c r="F648" s="2"/>
      <c r="G648" s="2"/>
      <c r="H648" s="132">
        <v>0</v>
      </c>
      <c r="I648" s="132"/>
      <c r="J648" s="132"/>
      <c r="K648" s="132"/>
      <c r="L648" s="132">
        <f t="shared" si="69"/>
        <v>0</v>
      </c>
      <c r="M648" s="132">
        <f t="shared" si="70"/>
        <v>0</v>
      </c>
      <c r="N648" s="133"/>
      <c r="O648" s="133">
        <f t="shared" si="71"/>
        <v>0</v>
      </c>
      <c r="P648" s="134"/>
      <c r="Q648" s="133"/>
      <c r="R648" s="133"/>
      <c r="S648" s="153">
        <v>0</v>
      </c>
      <c r="T648" s="153">
        <v>0</v>
      </c>
      <c r="U648" s="153">
        <v>0</v>
      </c>
      <c r="V648" s="135"/>
      <c r="W648" s="135"/>
      <c r="X648" s="135"/>
      <c r="Y648" s="135"/>
      <c r="Z648" s="135"/>
      <c r="AA648" s="135"/>
      <c r="AB648" s="135"/>
      <c r="AC648" s="135"/>
      <c r="AD648" s="133"/>
      <c r="AE648" s="133"/>
      <c r="AF648" s="132" t="str">
        <f t="shared" si="72"/>
        <v>Нет инфо</v>
      </c>
      <c r="AG648" s="132" t="str">
        <f t="shared" si="73"/>
        <v>Нет инфо</v>
      </c>
      <c r="AH648" s="2"/>
      <c r="AI648" s="136"/>
      <c r="AJ648" s="2"/>
      <c r="AK648" s="136"/>
      <c r="AL648" s="136"/>
      <c r="AM648" s="2"/>
      <c r="AN648" s="2"/>
      <c r="AO648" s="2"/>
      <c r="AP648" s="2"/>
      <c r="AQ648" s="136"/>
    </row>
    <row r="649" spans="1:43" s="115" customFormat="1" ht="12.75" hidden="1" customHeight="1" x14ac:dyDescent="0.2">
      <c r="A649" s="2">
        <v>2678</v>
      </c>
      <c r="B649" s="2"/>
      <c r="C649" s="131"/>
      <c r="D649" s="131"/>
      <c r="E649" s="131"/>
      <c r="F649" s="2"/>
      <c r="G649" s="2"/>
      <c r="H649" s="132">
        <v>0</v>
      </c>
      <c r="I649" s="132"/>
      <c r="J649" s="132"/>
      <c r="K649" s="132"/>
      <c r="L649" s="132">
        <f t="shared" si="69"/>
        <v>0</v>
      </c>
      <c r="M649" s="132">
        <f t="shared" si="70"/>
        <v>0</v>
      </c>
      <c r="N649" s="133"/>
      <c r="O649" s="133">
        <f t="shared" si="71"/>
        <v>0</v>
      </c>
      <c r="P649" s="134"/>
      <c r="Q649" s="133"/>
      <c r="R649" s="133"/>
      <c r="S649" s="153">
        <v>0</v>
      </c>
      <c r="T649" s="153">
        <v>0</v>
      </c>
      <c r="U649" s="153">
        <v>0</v>
      </c>
      <c r="V649" s="135"/>
      <c r="W649" s="135"/>
      <c r="X649" s="135"/>
      <c r="Y649" s="135"/>
      <c r="Z649" s="135"/>
      <c r="AA649" s="135"/>
      <c r="AB649" s="135"/>
      <c r="AC649" s="135"/>
      <c r="AD649" s="133"/>
      <c r="AE649" s="133"/>
      <c r="AF649" s="132" t="str">
        <f t="shared" si="72"/>
        <v>Нет инфо</v>
      </c>
      <c r="AG649" s="132" t="str">
        <f t="shared" si="73"/>
        <v>Нет инфо</v>
      </c>
      <c r="AH649" s="2"/>
      <c r="AI649" s="136"/>
      <c r="AJ649" s="2"/>
      <c r="AK649" s="136"/>
      <c r="AL649" s="136"/>
      <c r="AM649" s="2"/>
      <c r="AN649" s="2"/>
      <c r="AO649" s="2"/>
      <c r="AP649" s="2"/>
      <c r="AQ649" s="136"/>
    </row>
    <row r="650" spans="1:43" s="115" customFormat="1" ht="12.75" hidden="1" customHeight="1" x14ac:dyDescent="0.2">
      <c r="A650" s="2">
        <v>2679</v>
      </c>
      <c r="B650" s="2"/>
      <c r="C650" s="131"/>
      <c r="D650" s="131"/>
      <c r="E650" s="131"/>
      <c r="F650" s="2"/>
      <c r="G650" s="2"/>
      <c r="H650" s="132">
        <v>0</v>
      </c>
      <c r="I650" s="132"/>
      <c r="J650" s="132"/>
      <c r="K650" s="132"/>
      <c r="L650" s="132">
        <f t="shared" si="69"/>
        <v>0</v>
      </c>
      <c r="M650" s="132">
        <f t="shared" si="70"/>
        <v>0</v>
      </c>
      <c r="N650" s="133"/>
      <c r="O650" s="133">
        <f t="shared" si="71"/>
        <v>0</v>
      </c>
      <c r="P650" s="134"/>
      <c r="Q650" s="133"/>
      <c r="R650" s="133"/>
      <c r="S650" s="153">
        <v>0</v>
      </c>
      <c r="T650" s="153">
        <v>0</v>
      </c>
      <c r="U650" s="153">
        <v>0</v>
      </c>
      <c r="V650" s="135"/>
      <c r="W650" s="135"/>
      <c r="X650" s="135"/>
      <c r="Y650" s="135"/>
      <c r="Z650" s="135"/>
      <c r="AA650" s="135"/>
      <c r="AB650" s="135"/>
      <c r="AC650" s="135"/>
      <c r="AD650" s="133"/>
      <c r="AE650" s="133"/>
      <c r="AF650" s="132" t="str">
        <f t="shared" si="72"/>
        <v>Нет инфо</v>
      </c>
      <c r="AG650" s="132" t="str">
        <f t="shared" si="73"/>
        <v>Нет инфо</v>
      </c>
      <c r="AH650" s="2"/>
      <c r="AI650" s="136"/>
      <c r="AJ650" s="2"/>
      <c r="AK650" s="136"/>
      <c r="AL650" s="136"/>
      <c r="AM650" s="2"/>
      <c r="AN650" s="2"/>
      <c r="AO650" s="2"/>
      <c r="AP650" s="2"/>
      <c r="AQ650" s="136"/>
    </row>
    <row r="651" spans="1:43" s="115" customFormat="1" ht="12.75" hidden="1" customHeight="1" x14ac:dyDescent="0.2">
      <c r="A651" s="2">
        <v>2680</v>
      </c>
      <c r="B651" s="2"/>
      <c r="C651" s="131"/>
      <c r="D651" s="131"/>
      <c r="E651" s="131"/>
      <c r="F651" s="2"/>
      <c r="G651" s="2"/>
      <c r="H651" s="132">
        <v>0</v>
      </c>
      <c r="I651" s="132"/>
      <c r="J651" s="132"/>
      <c r="K651" s="132"/>
      <c r="L651" s="132">
        <f t="shared" ref="L651:L714" si="74">H651-K651</f>
        <v>0</v>
      </c>
      <c r="M651" s="132">
        <f t="shared" ref="M651:M714" si="75">I651-K651</f>
        <v>0</v>
      </c>
      <c r="N651" s="133"/>
      <c r="O651" s="133">
        <f t="shared" ref="O651:O714" si="76">IF(OR(AJ651="принят",AJ651="Завершено",AJ651="ПриПро"),I651-K651,H651-K651)</f>
        <v>0</v>
      </c>
      <c r="P651" s="134"/>
      <c r="Q651" s="133"/>
      <c r="R651" s="133"/>
      <c r="S651" s="153">
        <v>0</v>
      </c>
      <c r="T651" s="153">
        <v>0</v>
      </c>
      <c r="U651" s="153">
        <v>0</v>
      </c>
      <c r="V651" s="135"/>
      <c r="W651" s="135"/>
      <c r="X651" s="135"/>
      <c r="Y651" s="135"/>
      <c r="Z651" s="135"/>
      <c r="AA651" s="135"/>
      <c r="AB651" s="135"/>
      <c r="AC651" s="135"/>
      <c r="AD651" s="133"/>
      <c r="AE651" s="133"/>
      <c r="AF651" s="132" t="str">
        <f t="shared" si="72"/>
        <v>Нет инфо</v>
      </c>
      <c r="AG651" s="132" t="str">
        <f t="shared" si="73"/>
        <v>Нет инфо</v>
      </c>
      <c r="AH651" s="2"/>
      <c r="AI651" s="136"/>
      <c r="AJ651" s="2"/>
      <c r="AK651" s="136"/>
      <c r="AL651" s="136"/>
      <c r="AM651" s="2"/>
      <c r="AN651" s="2"/>
      <c r="AO651" s="2"/>
      <c r="AP651" s="2"/>
      <c r="AQ651" s="136"/>
    </row>
    <row r="652" spans="1:43" s="115" customFormat="1" ht="12.75" hidden="1" customHeight="1" x14ac:dyDescent="0.2">
      <c r="A652" s="2">
        <v>2681</v>
      </c>
      <c r="B652" s="2"/>
      <c r="C652" s="131"/>
      <c r="D652" s="131"/>
      <c r="E652" s="131"/>
      <c r="F652" s="2"/>
      <c r="G652" s="2"/>
      <c r="H652" s="132">
        <v>0</v>
      </c>
      <c r="I652" s="132"/>
      <c r="J652" s="132"/>
      <c r="K652" s="132"/>
      <c r="L652" s="132">
        <f t="shared" si="74"/>
        <v>0</v>
      </c>
      <c r="M652" s="132">
        <f t="shared" si="75"/>
        <v>0</v>
      </c>
      <c r="N652" s="133"/>
      <c r="O652" s="133">
        <f t="shared" si="76"/>
        <v>0</v>
      </c>
      <c r="P652" s="134"/>
      <c r="Q652" s="133"/>
      <c r="R652" s="133"/>
      <c r="S652" s="153">
        <v>0</v>
      </c>
      <c r="T652" s="153">
        <v>0</v>
      </c>
      <c r="U652" s="153">
        <v>0</v>
      </c>
      <c r="V652" s="135"/>
      <c r="W652" s="135"/>
      <c r="X652" s="135"/>
      <c r="Y652" s="135"/>
      <c r="Z652" s="135"/>
      <c r="AA652" s="135"/>
      <c r="AB652" s="135"/>
      <c r="AC652" s="135"/>
      <c r="AD652" s="133"/>
      <c r="AE652" s="133"/>
      <c r="AF652" s="132" t="str">
        <f t="shared" si="72"/>
        <v>Нет инфо</v>
      </c>
      <c r="AG652" s="132" t="str">
        <f t="shared" si="73"/>
        <v>Нет инфо</v>
      </c>
      <c r="AH652" s="2"/>
      <c r="AI652" s="136"/>
      <c r="AJ652" s="2"/>
      <c r="AK652" s="136"/>
      <c r="AL652" s="136"/>
      <c r="AM652" s="2"/>
      <c r="AN652" s="2"/>
      <c r="AO652" s="2"/>
      <c r="AP652" s="2"/>
      <c r="AQ652" s="136"/>
    </row>
    <row r="653" spans="1:43" s="115" customFormat="1" ht="12.75" hidden="1" customHeight="1" x14ac:dyDescent="0.2">
      <c r="A653" s="2">
        <v>2682</v>
      </c>
      <c r="B653" s="2"/>
      <c r="C653" s="131"/>
      <c r="D653" s="131"/>
      <c r="E653" s="131"/>
      <c r="F653" s="2"/>
      <c r="G653" s="2"/>
      <c r="H653" s="132">
        <v>0</v>
      </c>
      <c r="I653" s="132"/>
      <c r="J653" s="132"/>
      <c r="K653" s="132"/>
      <c r="L653" s="132">
        <f t="shared" si="74"/>
        <v>0</v>
      </c>
      <c r="M653" s="132">
        <f t="shared" si="75"/>
        <v>0</v>
      </c>
      <c r="N653" s="133"/>
      <c r="O653" s="133">
        <f t="shared" si="76"/>
        <v>0</v>
      </c>
      <c r="P653" s="134"/>
      <c r="Q653" s="133"/>
      <c r="R653" s="133"/>
      <c r="S653" s="153">
        <v>0</v>
      </c>
      <c r="T653" s="153">
        <v>0</v>
      </c>
      <c r="U653" s="153">
        <v>0</v>
      </c>
      <c r="V653" s="135"/>
      <c r="W653" s="135"/>
      <c r="X653" s="135"/>
      <c r="Y653" s="135"/>
      <c r="Z653" s="135"/>
      <c r="AA653" s="135"/>
      <c r="AB653" s="135"/>
      <c r="AC653" s="135"/>
      <c r="AD653" s="133"/>
      <c r="AE653" s="133"/>
      <c r="AF653" s="132" t="str">
        <f t="shared" si="72"/>
        <v>Нет инфо</v>
      </c>
      <c r="AG653" s="132" t="str">
        <f t="shared" si="73"/>
        <v>Нет инфо</v>
      </c>
      <c r="AH653" s="2"/>
      <c r="AI653" s="136"/>
      <c r="AJ653" s="2"/>
      <c r="AK653" s="136"/>
      <c r="AL653" s="136"/>
      <c r="AM653" s="2"/>
      <c r="AN653" s="2"/>
      <c r="AO653" s="2"/>
      <c r="AP653" s="2"/>
      <c r="AQ653" s="136"/>
    </row>
    <row r="654" spans="1:43" s="115" customFormat="1" ht="12.75" hidden="1" customHeight="1" x14ac:dyDescent="0.2">
      <c r="A654" s="2">
        <v>2683</v>
      </c>
      <c r="B654" s="2"/>
      <c r="C654" s="131"/>
      <c r="D654" s="131"/>
      <c r="E654" s="131"/>
      <c r="F654" s="2"/>
      <c r="G654" s="2"/>
      <c r="H654" s="132">
        <v>0</v>
      </c>
      <c r="I654" s="132"/>
      <c r="J654" s="132"/>
      <c r="K654" s="132"/>
      <c r="L654" s="132">
        <f t="shared" si="74"/>
        <v>0</v>
      </c>
      <c r="M654" s="132">
        <f t="shared" si="75"/>
        <v>0</v>
      </c>
      <c r="N654" s="133"/>
      <c r="O654" s="133">
        <f t="shared" si="76"/>
        <v>0</v>
      </c>
      <c r="P654" s="134"/>
      <c r="Q654" s="133"/>
      <c r="R654" s="133"/>
      <c r="S654" s="153">
        <v>0</v>
      </c>
      <c r="T654" s="153">
        <v>0</v>
      </c>
      <c r="U654" s="153">
        <v>0</v>
      </c>
      <c r="V654" s="135"/>
      <c r="W654" s="135"/>
      <c r="X654" s="135"/>
      <c r="Y654" s="135"/>
      <c r="Z654" s="135"/>
      <c r="AA654" s="135"/>
      <c r="AB654" s="135"/>
      <c r="AC654" s="135"/>
      <c r="AD654" s="133"/>
      <c r="AE654" s="133"/>
      <c r="AF654" s="132" t="str">
        <f t="shared" si="72"/>
        <v>Нет инфо</v>
      </c>
      <c r="AG654" s="132" t="str">
        <f t="shared" si="73"/>
        <v>Нет инфо</v>
      </c>
      <c r="AH654" s="2"/>
      <c r="AI654" s="136"/>
      <c r="AJ654" s="2"/>
      <c r="AK654" s="136"/>
      <c r="AL654" s="136"/>
      <c r="AM654" s="2"/>
      <c r="AN654" s="2"/>
      <c r="AO654" s="2"/>
      <c r="AP654" s="2"/>
      <c r="AQ654" s="136"/>
    </row>
    <row r="655" spans="1:43" s="115" customFormat="1" ht="12.75" hidden="1" customHeight="1" x14ac:dyDescent="0.2">
      <c r="A655" s="2">
        <v>2684</v>
      </c>
      <c r="B655" s="2"/>
      <c r="C655" s="131"/>
      <c r="D655" s="131"/>
      <c r="E655" s="131"/>
      <c r="F655" s="2"/>
      <c r="G655" s="2"/>
      <c r="H655" s="132">
        <v>0</v>
      </c>
      <c r="I655" s="132"/>
      <c r="J655" s="132"/>
      <c r="K655" s="132"/>
      <c r="L655" s="132">
        <f t="shared" si="74"/>
        <v>0</v>
      </c>
      <c r="M655" s="132">
        <f t="shared" si="75"/>
        <v>0</v>
      </c>
      <c r="N655" s="133"/>
      <c r="O655" s="133">
        <f t="shared" si="76"/>
        <v>0</v>
      </c>
      <c r="P655" s="134"/>
      <c r="Q655" s="133"/>
      <c r="R655" s="133"/>
      <c r="S655" s="153">
        <v>0</v>
      </c>
      <c r="T655" s="153">
        <v>0</v>
      </c>
      <c r="U655" s="153">
        <v>0</v>
      </c>
      <c r="V655" s="135"/>
      <c r="W655" s="135"/>
      <c r="X655" s="135"/>
      <c r="Y655" s="135"/>
      <c r="Z655" s="135"/>
      <c r="AA655" s="135"/>
      <c r="AB655" s="135"/>
      <c r="AC655" s="135"/>
      <c r="AD655" s="133"/>
      <c r="AE655" s="133"/>
      <c r="AF655" s="132" t="str">
        <f t="shared" si="72"/>
        <v>Нет инфо</v>
      </c>
      <c r="AG655" s="132" t="str">
        <f t="shared" si="73"/>
        <v>Нет инфо</v>
      </c>
      <c r="AH655" s="2"/>
      <c r="AI655" s="136"/>
      <c r="AJ655" s="2"/>
      <c r="AK655" s="136"/>
      <c r="AL655" s="136"/>
      <c r="AM655" s="2"/>
      <c r="AN655" s="2"/>
      <c r="AO655" s="2"/>
      <c r="AP655" s="2"/>
      <c r="AQ655" s="136"/>
    </row>
    <row r="656" spans="1:43" s="115" customFormat="1" ht="12.75" hidden="1" customHeight="1" x14ac:dyDescent="0.2">
      <c r="A656" s="2">
        <v>2685</v>
      </c>
      <c r="B656" s="2"/>
      <c r="C656" s="131"/>
      <c r="D656" s="131"/>
      <c r="E656" s="131"/>
      <c r="F656" s="2"/>
      <c r="G656" s="2"/>
      <c r="H656" s="132">
        <v>0</v>
      </c>
      <c r="I656" s="132"/>
      <c r="J656" s="132"/>
      <c r="K656" s="132"/>
      <c r="L656" s="132">
        <f t="shared" si="74"/>
        <v>0</v>
      </c>
      <c r="M656" s="132">
        <f t="shared" si="75"/>
        <v>0</v>
      </c>
      <c r="N656" s="133"/>
      <c r="O656" s="133">
        <f t="shared" si="76"/>
        <v>0</v>
      </c>
      <c r="P656" s="134"/>
      <c r="Q656" s="133"/>
      <c r="R656" s="133"/>
      <c r="S656" s="153">
        <v>0</v>
      </c>
      <c r="T656" s="153">
        <v>0</v>
      </c>
      <c r="U656" s="153">
        <v>0</v>
      </c>
      <c r="V656" s="135"/>
      <c r="W656" s="135"/>
      <c r="X656" s="135"/>
      <c r="Y656" s="135"/>
      <c r="Z656" s="135"/>
      <c r="AA656" s="135"/>
      <c r="AB656" s="135"/>
      <c r="AC656" s="135"/>
      <c r="AD656" s="133"/>
      <c r="AE656" s="133"/>
      <c r="AF656" s="132" t="str">
        <f t="shared" si="72"/>
        <v>Нет инфо</v>
      </c>
      <c r="AG656" s="132" t="str">
        <f t="shared" si="73"/>
        <v>Нет инфо</v>
      </c>
      <c r="AH656" s="2"/>
      <c r="AI656" s="136"/>
      <c r="AJ656" s="2"/>
      <c r="AK656" s="136"/>
      <c r="AL656" s="136"/>
      <c r="AM656" s="2"/>
      <c r="AN656" s="2"/>
      <c r="AO656" s="2"/>
      <c r="AP656" s="2"/>
      <c r="AQ656" s="136"/>
    </row>
    <row r="657" spans="1:43" s="115" customFormat="1" ht="12.75" hidden="1" customHeight="1" x14ac:dyDescent="0.2">
      <c r="A657" s="2">
        <v>2686</v>
      </c>
      <c r="B657" s="2"/>
      <c r="C657" s="131"/>
      <c r="D657" s="131"/>
      <c r="E657" s="131"/>
      <c r="F657" s="2"/>
      <c r="G657" s="2"/>
      <c r="H657" s="132">
        <v>0</v>
      </c>
      <c r="I657" s="132"/>
      <c r="J657" s="132"/>
      <c r="K657" s="132"/>
      <c r="L657" s="132">
        <f t="shared" si="74"/>
        <v>0</v>
      </c>
      <c r="M657" s="132">
        <f t="shared" si="75"/>
        <v>0</v>
      </c>
      <c r="N657" s="133"/>
      <c r="O657" s="133">
        <f t="shared" si="76"/>
        <v>0</v>
      </c>
      <c r="P657" s="134"/>
      <c r="Q657" s="133"/>
      <c r="R657" s="133"/>
      <c r="S657" s="153">
        <v>0</v>
      </c>
      <c r="T657" s="153">
        <v>0</v>
      </c>
      <c r="U657" s="153">
        <v>0</v>
      </c>
      <c r="V657" s="135"/>
      <c r="W657" s="135"/>
      <c r="X657" s="135"/>
      <c r="Y657" s="135"/>
      <c r="Z657" s="135"/>
      <c r="AA657" s="135"/>
      <c r="AB657" s="135"/>
      <c r="AC657" s="135"/>
      <c r="AD657" s="133"/>
      <c r="AE657" s="133"/>
      <c r="AF657" s="132" t="str">
        <f t="shared" si="72"/>
        <v>Нет инфо</v>
      </c>
      <c r="AG657" s="132" t="str">
        <f t="shared" si="73"/>
        <v>Нет инфо</v>
      </c>
      <c r="AH657" s="2"/>
      <c r="AI657" s="136"/>
      <c r="AJ657" s="2"/>
      <c r="AK657" s="136"/>
      <c r="AL657" s="136"/>
      <c r="AM657" s="2"/>
      <c r="AN657" s="2"/>
      <c r="AO657" s="2"/>
      <c r="AP657" s="2"/>
      <c r="AQ657" s="136"/>
    </row>
    <row r="658" spans="1:43" s="115" customFormat="1" ht="12.75" hidden="1" customHeight="1" x14ac:dyDescent="0.2">
      <c r="A658" s="2">
        <v>2687</v>
      </c>
      <c r="B658" s="2"/>
      <c r="C658" s="131"/>
      <c r="D658" s="131"/>
      <c r="E658" s="131"/>
      <c r="F658" s="2"/>
      <c r="G658" s="2"/>
      <c r="H658" s="132">
        <v>0</v>
      </c>
      <c r="I658" s="132"/>
      <c r="J658" s="132"/>
      <c r="K658" s="132"/>
      <c r="L658" s="132">
        <f t="shared" si="74"/>
        <v>0</v>
      </c>
      <c r="M658" s="132">
        <f t="shared" si="75"/>
        <v>0</v>
      </c>
      <c r="N658" s="133"/>
      <c r="O658" s="133">
        <f t="shared" si="76"/>
        <v>0</v>
      </c>
      <c r="P658" s="134"/>
      <c r="Q658" s="133"/>
      <c r="R658" s="133"/>
      <c r="S658" s="153">
        <v>0</v>
      </c>
      <c r="T658" s="153">
        <v>0</v>
      </c>
      <c r="U658" s="153">
        <v>0</v>
      </c>
      <c r="V658" s="135"/>
      <c r="W658" s="135"/>
      <c r="X658" s="135"/>
      <c r="Y658" s="135"/>
      <c r="Z658" s="135"/>
      <c r="AA658" s="135"/>
      <c r="AB658" s="135"/>
      <c r="AC658" s="135"/>
      <c r="AD658" s="133"/>
      <c r="AE658" s="133"/>
      <c r="AF658" s="132" t="str">
        <f t="shared" si="72"/>
        <v>Нет инфо</v>
      </c>
      <c r="AG658" s="132" t="str">
        <f t="shared" si="73"/>
        <v>Нет инфо</v>
      </c>
      <c r="AH658" s="2"/>
      <c r="AI658" s="136"/>
      <c r="AJ658" s="2"/>
      <c r="AK658" s="136"/>
      <c r="AL658" s="136"/>
      <c r="AM658" s="2"/>
      <c r="AN658" s="2"/>
      <c r="AO658" s="2"/>
      <c r="AP658" s="2"/>
      <c r="AQ658" s="136"/>
    </row>
    <row r="659" spans="1:43" s="115" customFormat="1" ht="12.75" hidden="1" customHeight="1" x14ac:dyDescent="0.2">
      <c r="A659" s="2">
        <v>2688</v>
      </c>
      <c r="B659" s="2"/>
      <c r="C659" s="131"/>
      <c r="D659" s="131"/>
      <c r="E659" s="131"/>
      <c r="F659" s="2"/>
      <c r="G659" s="2"/>
      <c r="H659" s="132">
        <v>0</v>
      </c>
      <c r="I659" s="132"/>
      <c r="J659" s="132"/>
      <c r="K659" s="132"/>
      <c r="L659" s="132">
        <f t="shared" si="74"/>
        <v>0</v>
      </c>
      <c r="M659" s="132">
        <f t="shared" si="75"/>
        <v>0</v>
      </c>
      <c r="N659" s="133"/>
      <c r="O659" s="133">
        <f t="shared" si="76"/>
        <v>0</v>
      </c>
      <c r="P659" s="134"/>
      <c r="Q659" s="133"/>
      <c r="R659" s="133"/>
      <c r="S659" s="153">
        <v>0</v>
      </c>
      <c r="T659" s="153">
        <v>0</v>
      </c>
      <c r="U659" s="153">
        <v>0</v>
      </c>
      <c r="V659" s="135"/>
      <c r="W659" s="135"/>
      <c r="X659" s="135"/>
      <c r="Y659" s="135"/>
      <c r="Z659" s="135"/>
      <c r="AA659" s="135"/>
      <c r="AB659" s="135"/>
      <c r="AC659" s="135"/>
      <c r="AD659" s="133"/>
      <c r="AE659" s="133"/>
      <c r="AF659" s="132" t="str">
        <f t="shared" si="72"/>
        <v>Нет инфо</v>
      </c>
      <c r="AG659" s="132" t="str">
        <f t="shared" si="73"/>
        <v>Нет инфо</v>
      </c>
      <c r="AH659" s="2"/>
      <c r="AI659" s="136"/>
      <c r="AJ659" s="2"/>
      <c r="AK659" s="136"/>
      <c r="AL659" s="136"/>
      <c r="AM659" s="2"/>
      <c r="AN659" s="2"/>
      <c r="AO659" s="2"/>
      <c r="AP659" s="2"/>
      <c r="AQ659" s="136"/>
    </row>
    <row r="660" spans="1:43" s="115" customFormat="1" ht="12.75" hidden="1" customHeight="1" x14ac:dyDescent="0.2">
      <c r="A660" s="2">
        <v>2689</v>
      </c>
      <c r="B660" s="2"/>
      <c r="C660" s="131"/>
      <c r="D660" s="131"/>
      <c r="E660" s="131"/>
      <c r="F660" s="2"/>
      <c r="G660" s="2"/>
      <c r="H660" s="132">
        <v>0</v>
      </c>
      <c r="I660" s="132"/>
      <c r="J660" s="132"/>
      <c r="K660" s="132"/>
      <c r="L660" s="132">
        <f t="shared" si="74"/>
        <v>0</v>
      </c>
      <c r="M660" s="132">
        <f t="shared" si="75"/>
        <v>0</v>
      </c>
      <c r="N660" s="133"/>
      <c r="O660" s="133">
        <f t="shared" si="76"/>
        <v>0</v>
      </c>
      <c r="P660" s="134"/>
      <c r="Q660" s="133"/>
      <c r="R660" s="133"/>
      <c r="S660" s="153">
        <v>0</v>
      </c>
      <c r="T660" s="153">
        <v>0</v>
      </c>
      <c r="U660" s="153">
        <v>0</v>
      </c>
      <c r="V660" s="135"/>
      <c r="W660" s="135"/>
      <c r="X660" s="135"/>
      <c r="Y660" s="135"/>
      <c r="Z660" s="135"/>
      <c r="AA660" s="135"/>
      <c r="AB660" s="135"/>
      <c r="AC660" s="135"/>
      <c r="AD660" s="133"/>
      <c r="AE660" s="133"/>
      <c r="AF660" s="132" t="str">
        <f t="shared" si="72"/>
        <v>Нет инфо</v>
      </c>
      <c r="AG660" s="132" t="str">
        <f t="shared" si="73"/>
        <v>Нет инфо</v>
      </c>
      <c r="AH660" s="2"/>
      <c r="AI660" s="136"/>
      <c r="AJ660" s="2"/>
      <c r="AK660" s="136"/>
      <c r="AL660" s="136"/>
      <c r="AM660" s="2"/>
      <c r="AN660" s="2"/>
      <c r="AO660" s="2"/>
      <c r="AP660" s="2"/>
      <c r="AQ660" s="136"/>
    </row>
    <row r="661" spans="1:43" s="115" customFormat="1" ht="12.75" hidden="1" customHeight="1" x14ac:dyDescent="0.2">
      <c r="A661" s="2">
        <v>2690</v>
      </c>
      <c r="B661" s="2"/>
      <c r="C661" s="131"/>
      <c r="D661" s="131"/>
      <c r="E661" s="131"/>
      <c r="F661" s="2"/>
      <c r="G661" s="2"/>
      <c r="H661" s="132">
        <v>0</v>
      </c>
      <c r="I661" s="132"/>
      <c r="J661" s="132"/>
      <c r="K661" s="132"/>
      <c r="L661" s="132">
        <f t="shared" si="74"/>
        <v>0</v>
      </c>
      <c r="M661" s="132">
        <f t="shared" si="75"/>
        <v>0</v>
      </c>
      <c r="N661" s="133"/>
      <c r="O661" s="133">
        <f t="shared" si="76"/>
        <v>0</v>
      </c>
      <c r="P661" s="134"/>
      <c r="Q661" s="133"/>
      <c r="R661" s="133"/>
      <c r="S661" s="153">
        <v>0</v>
      </c>
      <c r="T661" s="153">
        <v>0</v>
      </c>
      <c r="U661" s="153">
        <v>0</v>
      </c>
      <c r="V661" s="135"/>
      <c r="W661" s="135"/>
      <c r="X661" s="135"/>
      <c r="Y661" s="135"/>
      <c r="Z661" s="135"/>
      <c r="AA661" s="135"/>
      <c r="AB661" s="135"/>
      <c r="AC661" s="135"/>
      <c r="AD661" s="133"/>
      <c r="AE661" s="133"/>
      <c r="AF661" s="132" t="str">
        <f t="shared" si="72"/>
        <v>Нет инфо</v>
      </c>
      <c r="AG661" s="132" t="str">
        <f t="shared" si="73"/>
        <v>Нет инфо</v>
      </c>
      <c r="AH661" s="2"/>
      <c r="AI661" s="136"/>
      <c r="AJ661" s="2"/>
      <c r="AK661" s="136"/>
      <c r="AL661" s="136"/>
      <c r="AM661" s="2"/>
      <c r="AN661" s="2"/>
      <c r="AO661" s="2"/>
      <c r="AP661" s="2"/>
      <c r="AQ661" s="136"/>
    </row>
    <row r="662" spans="1:43" s="115" customFormat="1" ht="12.75" hidden="1" customHeight="1" x14ac:dyDescent="0.2">
      <c r="A662" s="2">
        <v>2691</v>
      </c>
      <c r="B662" s="2"/>
      <c r="C662" s="131"/>
      <c r="D662" s="131"/>
      <c r="E662" s="131"/>
      <c r="F662" s="2"/>
      <c r="G662" s="2"/>
      <c r="H662" s="132">
        <v>0</v>
      </c>
      <c r="I662" s="132"/>
      <c r="J662" s="132"/>
      <c r="K662" s="132"/>
      <c r="L662" s="132">
        <f t="shared" si="74"/>
        <v>0</v>
      </c>
      <c r="M662" s="132">
        <f t="shared" si="75"/>
        <v>0</v>
      </c>
      <c r="N662" s="133"/>
      <c r="O662" s="133">
        <f t="shared" si="76"/>
        <v>0</v>
      </c>
      <c r="P662" s="134"/>
      <c r="Q662" s="133"/>
      <c r="R662" s="133"/>
      <c r="S662" s="153">
        <v>0</v>
      </c>
      <c r="T662" s="153">
        <v>0</v>
      </c>
      <c r="U662" s="153">
        <v>0</v>
      </c>
      <c r="V662" s="135"/>
      <c r="W662" s="135"/>
      <c r="X662" s="135"/>
      <c r="Y662" s="135"/>
      <c r="Z662" s="135"/>
      <c r="AA662" s="135"/>
      <c r="AB662" s="135"/>
      <c r="AC662" s="135"/>
      <c r="AD662" s="133"/>
      <c r="AE662" s="133"/>
      <c r="AF662" s="132" t="str">
        <f t="shared" si="72"/>
        <v>Нет инфо</v>
      </c>
      <c r="AG662" s="132" t="str">
        <f t="shared" si="73"/>
        <v>Нет инфо</v>
      </c>
      <c r="AH662" s="2"/>
      <c r="AI662" s="136"/>
      <c r="AJ662" s="2"/>
      <c r="AK662" s="136"/>
      <c r="AL662" s="136"/>
      <c r="AM662" s="2"/>
      <c r="AN662" s="2"/>
      <c r="AO662" s="2"/>
      <c r="AP662" s="2"/>
      <c r="AQ662" s="136"/>
    </row>
    <row r="663" spans="1:43" s="115" customFormat="1" ht="12.75" hidden="1" customHeight="1" x14ac:dyDescent="0.2">
      <c r="A663" s="2">
        <v>2692</v>
      </c>
      <c r="B663" s="2"/>
      <c r="C663" s="131"/>
      <c r="D663" s="131"/>
      <c r="E663" s="131"/>
      <c r="F663" s="2"/>
      <c r="G663" s="2"/>
      <c r="H663" s="132">
        <v>0</v>
      </c>
      <c r="I663" s="132"/>
      <c r="J663" s="132"/>
      <c r="K663" s="132"/>
      <c r="L663" s="132">
        <f t="shared" si="74"/>
        <v>0</v>
      </c>
      <c r="M663" s="132">
        <f t="shared" si="75"/>
        <v>0</v>
      </c>
      <c r="N663" s="133"/>
      <c r="O663" s="133">
        <f t="shared" si="76"/>
        <v>0</v>
      </c>
      <c r="P663" s="134"/>
      <c r="Q663" s="133"/>
      <c r="R663" s="133"/>
      <c r="S663" s="153">
        <v>0</v>
      </c>
      <c r="T663" s="153">
        <v>0</v>
      </c>
      <c r="U663" s="153">
        <v>0</v>
      </c>
      <c r="V663" s="135"/>
      <c r="W663" s="135"/>
      <c r="X663" s="135"/>
      <c r="Y663" s="135"/>
      <c r="Z663" s="135"/>
      <c r="AA663" s="135"/>
      <c r="AB663" s="135"/>
      <c r="AC663" s="135"/>
      <c r="AD663" s="133"/>
      <c r="AE663" s="133"/>
      <c r="AF663" s="132" t="str">
        <f t="shared" si="72"/>
        <v>Нет инфо</v>
      </c>
      <c r="AG663" s="132" t="str">
        <f t="shared" si="73"/>
        <v>Нет инфо</v>
      </c>
      <c r="AH663" s="2"/>
      <c r="AI663" s="136"/>
      <c r="AJ663" s="2"/>
      <c r="AK663" s="136"/>
      <c r="AL663" s="136"/>
      <c r="AM663" s="2"/>
      <c r="AN663" s="2"/>
      <c r="AO663" s="2"/>
      <c r="AP663" s="2"/>
      <c r="AQ663" s="136"/>
    </row>
    <row r="664" spans="1:43" s="115" customFormat="1" ht="12.75" hidden="1" customHeight="1" x14ac:dyDescent="0.2">
      <c r="A664" s="2">
        <v>2693</v>
      </c>
      <c r="B664" s="2"/>
      <c r="C664" s="131"/>
      <c r="D664" s="131"/>
      <c r="E664" s="131"/>
      <c r="F664" s="2"/>
      <c r="G664" s="2"/>
      <c r="H664" s="132">
        <v>0</v>
      </c>
      <c r="I664" s="132"/>
      <c r="J664" s="132"/>
      <c r="K664" s="132"/>
      <c r="L664" s="132">
        <f t="shared" si="74"/>
        <v>0</v>
      </c>
      <c r="M664" s="132">
        <f t="shared" si="75"/>
        <v>0</v>
      </c>
      <c r="N664" s="133"/>
      <c r="O664" s="133">
        <f t="shared" si="76"/>
        <v>0</v>
      </c>
      <c r="P664" s="134"/>
      <c r="Q664" s="133"/>
      <c r="R664" s="133"/>
      <c r="S664" s="153">
        <v>0</v>
      </c>
      <c r="T664" s="153">
        <v>0</v>
      </c>
      <c r="U664" s="153">
        <v>0</v>
      </c>
      <c r="V664" s="135"/>
      <c r="W664" s="135"/>
      <c r="X664" s="135"/>
      <c r="Y664" s="135"/>
      <c r="Z664" s="135"/>
      <c r="AA664" s="135"/>
      <c r="AB664" s="135"/>
      <c r="AC664" s="135"/>
      <c r="AD664" s="133"/>
      <c r="AE664" s="133"/>
      <c r="AF664" s="132" t="str">
        <f t="shared" si="72"/>
        <v>Нет инфо</v>
      </c>
      <c r="AG664" s="132" t="str">
        <f t="shared" si="73"/>
        <v>Нет инфо</v>
      </c>
      <c r="AH664" s="2"/>
      <c r="AI664" s="136"/>
      <c r="AJ664" s="2"/>
      <c r="AK664" s="136"/>
      <c r="AL664" s="136"/>
      <c r="AM664" s="2"/>
      <c r="AN664" s="2"/>
      <c r="AO664" s="2"/>
      <c r="AP664" s="2"/>
      <c r="AQ664" s="136"/>
    </row>
    <row r="665" spans="1:43" s="115" customFormat="1" ht="12.75" hidden="1" customHeight="1" x14ac:dyDescent="0.2">
      <c r="A665" s="2">
        <v>2694</v>
      </c>
      <c r="B665" s="2"/>
      <c r="C665" s="131"/>
      <c r="D665" s="131"/>
      <c r="E665" s="131"/>
      <c r="F665" s="2"/>
      <c r="G665" s="2"/>
      <c r="H665" s="132">
        <v>0</v>
      </c>
      <c r="I665" s="132"/>
      <c r="J665" s="132"/>
      <c r="K665" s="132"/>
      <c r="L665" s="132">
        <f t="shared" si="74"/>
        <v>0</v>
      </c>
      <c r="M665" s="132">
        <f t="shared" si="75"/>
        <v>0</v>
      </c>
      <c r="N665" s="133"/>
      <c r="O665" s="133">
        <f t="shared" si="76"/>
        <v>0</v>
      </c>
      <c r="P665" s="134"/>
      <c r="Q665" s="133"/>
      <c r="R665" s="133"/>
      <c r="S665" s="153">
        <v>0</v>
      </c>
      <c r="T665" s="153">
        <v>0</v>
      </c>
      <c r="U665" s="153">
        <v>0</v>
      </c>
      <c r="V665" s="135"/>
      <c r="W665" s="135"/>
      <c r="X665" s="135"/>
      <c r="Y665" s="135"/>
      <c r="Z665" s="135"/>
      <c r="AA665" s="135"/>
      <c r="AB665" s="135"/>
      <c r="AC665" s="135"/>
      <c r="AD665" s="133"/>
      <c r="AE665" s="133"/>
      <c r="AF665" s="132" t="str">
        <f t="shared" si="72"/>
        <v>Нет инфо</v>
      </c>
      <c r="AG665" s="132" t="str">
        <f t="shared" si="73"/>
        <v>Нет инфо</v>
      </c>
      <c r="AH665" s="2"/>
      <c r="AI665" s="136"/>
      <c r="AJ665" s="2"/>
      <c r="AK665" s="136"/>
      <c r="AL665" s="136"/>
      <c r="AM665" s="2"/>
      <c r="AN665" s="2"/>
      <c r="AO665" s="2"/>
      <c r="AP665" s="2"/>
      <c r="AQ665" s="136"/>
    </row>
    <row r="666" spans="1:43" s="115" customFormat="1" ht="12.75" hidden="1" customHeight="1" x14ac:dyDescent="0.2">
      <c r="A666" s="2">
        <v>2695</v>
      </c>
      <c r="B666" s="2"/>
      <c r="C666" s="131"/>
      <c r="D666" s="131"/>
      <c r="E666" s="131"/>
      <c r="F666" s="2"/>
      <c r="G666" s="2"/>
      <c r="H666" s="132">
        <v>0</v>
      </c>
      <c r="I666" s="132"/>
      <c r="J666" s="132"/>
      <c r="K666" s="132"/>
      <c r="L666" s="132">
        <f t="shared" si="74"/>
        <v>0</v>
      </c>
      <c r="M666" s="132">
        <f t="shared" si="75"/>
        <v>0</v>
      </c>
      <c r="N666" s="133"/>
      <c r="O666" s="133">
        <f t="shared" si="76"/>
        <v>0</v>
      </c>
      <c r="P666" s="134"/>
      <c r="Q666" s="133"/>
      <c r="R666" s="133"/>
      <c r="S666" s="153">
        <v>0</v>
      </c>
      <c r="T666" s="153">
        <v>0</v>
      </c>
      <c r="U666" s="153">
        <v>0</v>
      </c>
      <c r="V666" s="135"/>
      <c r="W666" s="135"/>
      <c r="X666" s="135"/>
      <c r="Y666" s="135"/>
      <c r="Z666" s="135"/>
      <c r="AA666" s="135"/>
      <c r="AB666" s="135"/>
      <c r="AC666" s="135"/>
      <c r="AD666" s="133"/>
      <c r="AE666" s="133"/>
      <c r="AF666" s="132" t="str">
        <f t="shared" si="72"/>
        <v>Нет инфо</v>
      </c>
      <c r="AG666" s="132" t="str">
        <f t="shared" si="73"/>
        <v>Нет инфо</v>
      </c>
      <c r="AH666" s="2"/>
      <c r="AI666" s="136"/>
      <c r="AJ666" s="2"/>
      <c r="AK666" s="136"/>
      <c r="AL666" s="136"/>
      <c r="AM666" s="2"/>
      <c r="AN666" s="2"/>
      <c r="AO666" s="2"/>
      <c r="AP666" s="2"/>
      <c r="AQ666" s="136"/>
    </row>
    <row r="667" spans="1:43" s="115" customFormat="1" ht="12.75" hidden="1" customHeight="1" x14ac:dyDescent="0.2">
      <c r="A667" s="2">
        <v>2696</v>
      </c>
      <c r="B667" s="2"/>
      <c r="C667" s="131"/>
      <c r="D667" s="131"/>
      <c r="E667" s="131"/>
      <c r="F667" s="2"/>
      <c r="G667" s="2"/>
      <c r="H667" s="132">
        <v>0</v>
      </c>
      <c r="I667" s="132"/>
      <c r="J667" s="132"/>
      <c r="K667" s="132"/>
      <c r="L667" s="132">
        <f t="shared" si="74"/>
        <v>0</v>
      </c>
      <c r="M667" s="132">
        <f t="shared" si="75"/>
        <v>0</v>
      </c>
      <c r="N667" s="133"/>
      <c r="O667" s="133">
        <f t="shared" si="76"/>
        <v>0</v>
      </c>
      <c r="P667" s="134"/>
      <c r="Q667" s="133"/>
      <c r="R667" s="133"/>
      <c r="S667" s="153">
        <v>0</v>
      </c>
      <c r="T667" s="153">
        <v>0</v>
      </c>
      <c r="U667" s="153">
        <v>0</v>
      </c>
      <c r="V667" s="135"/>
      <c r="W667" s="135"/>
      <c r="X667" s="135"/>
      <c r="Y667" s="135"/>
      <c r="Z667" s="135"/>
      <c r="AA667" s="135"/>
      <c r="AB667" s="135"/>
      <c r="AC667" s="135"/>
      <c r="AD667" s="133"/>
      <c r="AE667" s="133"/>
      <c r="AF667" s="132" t="str">
        <f t="shared" si="72"/>
        <v>Нет инфо</v>
      </c>
      <c r="AG667" s="132" t="str">
        <f t="shared" si="73"/>
        <v>Нет инфо</v>
      </c>
      <c r="AH667" s="2"/>
      <c r="AI667" s="136"/>
      <c r="AJ667" s="2"/>
      <c r="AK667" s="136"/>
      <c r="AL667" s="136"/>
      <c r="AM667" s="2"/>
      <c r="AN667" s="2"/>
      <c r="AO667" s="2"/>
      <c r="AP667" s="2"/>
      <c r="AQ667" s="136"/>
    </row>
    <row r="668" spans="1:43" s="115" customFormat="1" ht="12.75" hidden="1" customHeight="1" x14ac:dyDescent="0.2">
      <c r="A668" s="2">
        <v>2697</v>
      </c>
      <c r="B668" s="2"/>
      <c r="C668" s="131"/>
      <c r="D668" s="131"/>
      <c r="E668" s="131"/>
      <c r="F668" s="2"/>
      <c r="G668" s="2"/>
      <c r="H668" s="132">
        <v>0</v>
      </c>
      <c r="I668" s="132"/>
      <c r="J668" s="132"/>
      <c r="K668" s="132"/>
      <c r="L668" s="132">
        <f t="shared" si="74"/>
        <v>0</v>
      </c>
      <c r="M668" s="132">
        <f t="shared" si="75"/>
        <v>0</v>
      </c>
      <c r="N668" s="133"/>
      <c r="O668" s="133">
        <f t="shared" si="76"/>
        <v>0</v>
      </c>
      <c r="P668" s="134"/>
      <c r="Q668" s="133"/>
      <c r="R668" s="133"/>
      <c r="S668" s="153">
        <v>0</v>
      </c>
      <c r="T668" s="153">
        <v>0</v>
      </c>
      <c r="U668" s="153">
        <v>0</v>
      </c>
      <c r="V668" s="135"/>
      <c r="W668" s="135"/>
      <c r="X668" s="135"/>
      <c r="Y668" s="135"/>
      <c r="Z668" s="135"/>
      <c r="AA668" s="135"/>
      <c r="AB668" s="135"/>
      <c r="AC668" s="135"/>
      <c r="AD668" s="133"/>
      <c r="AE668" s="133"/>
      <c r="AF668" s="132" t="str">
        <f t="shared" si="72"/>
        <v>Нет инфо</v>
      </c>
      <c r="AG668" s="132" t="str">
        <f t="shared" si="73"/>
        <v>Нет инфо</v>
      </c>
      <c r="AH668" s="2"/>
      <c r="AI668" s="136"/>
      <c r="AJ668" s="2"/>
      <c r="AK668" s="136"/>
      <c r="AL668" s="136"/>
      <c r="AM668" s="2"/>
      <c r="AN668" s="2"/>
      <c r="AO668" s="2"/>
      <c r="AP668" s="2"/>
      <c r="AQ668" s="136"/>
    </row>
    <row r="669" spans="1:43" s="115" customFormat="1" ht="12.75" hidden="1" customHeight="1" x14ac:dyDescent="0.2">
      <c r="A669" s="2">
        <v>2698</v>
      </c>
      <c r="B669" s="2"/>
      <c r="C669" s="131"/>
      <c r="D669" s="131"/>
      <c r="E669" s="131"/>
      <c r="F669" s="2"/>
      <c r="G669" s="2"/>
      <c r="H669" s="132">
        <v>0</v>
      </c>
      <c r="I669" s="132"/>
      <c r="J669" s="132"/>
      <c r="K669" s="132"/>
      <c r="L669" s="132">
        <f t="shared" si="74"/>
        <v>0</v>
      </c>
      <c r="M669" s="132">
        <f t="shared" si="75"/>
        <v>0</v>
      </c>
      <c r="N669" s="133"/>
      <c r="O669" s="133">
        <f t="shared" si="76"/>
        <v>0</v>
      </c>
      <c r="P669" s="134"/>
      <c r="Q669" s="133"/>
      <c r="R669" s="133"/>
      <c r="S669" s="153">
        <v>0</v>
      </c>
      <c r="T669" s="153">
        <v>0</v>
      </c>
      <c r="U669" s="153">
        <v>0</v>
      </c>
      <c r="V669" s="135"/>
      <c r="W669" s="135"/>
      <c r="X669" s="135"/>
      <c r="Y669" s="135"/>
      <c r="Z669" s="135"/>
      <c r="AA669" s="135"/>
      <c r="AB669" s="135"/>
      <c r="AC669" s="135"/>
      <c r="AD669" s="133"/>
      <c r="AE669" s="133"/>
      <c r="AF669" s="132" t="str">
        <f t="shared" si="72"/>
        <v>Нет инфо</v>
      </c>
      <c r="AG669" s="132" t="str">
        <f t="shared" si="73"/>
        <v>Нет инфо</v>
      </c>
      <c r="AH669" s="2"/>
      <c r="AI669" s="136"/>
      <c r="AJ669" s="2"/>
      <c r="AK669" s="136"/>
      <c r="AL669" s="136"/>
      <c r="AM669" s="2"/>
      <c r="AN669" s="2"/>
      <c r="AO669" s="2"/>
      <c r="AP669" s="2"/>
      <c r="AQ669" s="136"/>
    </row>
    <row r="670" spans="1:43" s="115" customFormat="1" ht="12.75" hidden="1" customHeight="1" x14ac:dyDescent="0.2">
      <c r="A670" s="2">
        <v>2699</v>
      </c>
      <c r="B670" s="2"/>
      <c r="C670" s="131"/>
      <c r="D670" s="131"/>
      <c r="E670" s="131"/>
      <c r="F670" s="2"/>
      <c r="G670" s="2"/>
      <c r="H670" s="132">
        <v>0</v>
      </c>
      <c r="I670" s="132"/>
      <c r="J670" s="132"/>
      <c r="K670" s="132"/>
      <c r="L670" s="132">
        <f t="shared" si="74"/>
        <v>0</v>
      </c>
      <c r="M670" s="132">
        <f t="shared" si="75"/>
        <v>0</v>
      </c>
      <c r="N670" s="133"/>
      <c r="O670" s="133">
        <f t="shared" si="76"/>
        <v>0</v>
      </c>
      <c r="P670" s="134"/>
      <c r="Q670" s="133"/>
      <c r="R670" s="133"/>
      <c r="S670" s="153">
        <v>0</v>
      </c>
      <c r="T670" s="153">
        <v>0</v>
      </c>
      <c r="U670" s="153">
        <v>0</v>
      </c>
      <c r="V670" s="135"/>
      <c r="W670" s="135"/>
      <c r="X670" s="135"/>
      <c r="Y670" s="135"/>
      <c r="Z670" s="135"/>
      <c r="AA670" s="135"/>
      <c r="AB670" s="135"/>
      <c r="AC670" s="135"/>
      <c r="AD670" s="133"/>
      <c r="AE670" s="133"/>
      <c r="AF670" s="132" t="str">
        <f t="shared" si="72"/>
        <v>Нет инфо</v>
      </c>
      <c r="AG670" s="132" t="str">
        <f t="shared" si="73"/>
        <v>Нет инфо</v>
      </c>
      <c r="AH670" s="2"/>
      <c r="AI670" s="136"/>
      <c r="AJ670" s="2"/>
      <c r="AK670" s="136"/>
      <c r="AL670" s="136"/>
      <c r="AM670" s="2"/>
      <c r="AN670" s="2"/>
      <c r="AO670" s="2"/>
      <c r="AP670" s="2"/>
      <c r="AQ670" s="136"/>
    </row>
    <row r="671" spans="1:43" s="115" customFormat="1" ht="12.75" hidden="1" customHeight="1" x14ac:dyDescent="0.2">
      <c r="A671" s="2">
        <v>2700</v>
      </c>
      <c r="B671" s="2"/>
      <c r="C671" s="131"/>
      <c r="D671" s="131"/>
      <c r="E671" s="131"/>
      <c r="F671" s="2"/>
      <c r="G671" s="2"/>
      <c r="H671" s="132">
        <v>0</v>
      </c>
      <c r="I671" s="132"/>
      <c r="J671" s="132"/>
      <c r="K671" s="132"/>
      <c r="L671" s="132">
        <f t="shared" si="74"/>
        <v>0</v>
      </c>
      <c r="M671" s="132">
        <f t="shared" si="75"/>
        <v>0</v>
      </c>
      <c r="N671" s="133"/>
      <c r="O671" s="133">
        <f t="shared" si="76"/>
        <v>0</v>
      </c>
      <c r="P671" s="134"/>
      <c r="Q671" s="133"/>
      <c r="R671" s="133"/>
      <c r="S671" s="153">
        <v>0</v>
      </c>
      <c r="T671" s="153">
        <v>0</v>
      </c>
      <c r="U671" s="153">
        <v>0</v>
      </c>
      <c r="V671" s="135"/>
      <c r="W671" s="135"/>
      <c r="X671" s="135"/>
      <c r="Y671" s="135"/>
      <c r="Z671" s="135"/>
      <c r="AA671" s="135"/>
      <c r="AB671" s="135"/>
      <c r="AC671" s="135"/>
      <c r="AD671" s="133"/>
      <c r="AE671" s="133"/>
      <c r="AF671" s="132" t="str">
        <f t="shared" si="72"/>
        <v>Нет инфо</v>
      </c>
      <c r="AG671" s="132" t="str">
        <f t="shared" si="73"/>
        <v>Нет инфо</v>
      </c>
      <c r="AH671" s="2"/>
      <c r="AI671" s="136"/>
      <c r="AJ671" s="2"/>
      <c r="AK671" s="136"/>
      <c r="AL671" s="136"/>
      <c r="AM671" s="2"/>
      <c r="AN671" s="2"/>
      <c r="AO671" s="2"/>
      <c r="AP671" s="2"/>
      <c r="AQ671" s="136"/>
    </row>
    <row r="672" spans="1:43" s="115" customFormat="1" ht="12.75" hidden="1" customHeight="1" x14ac:dyDescent="0.2">
      <c r="A672" s="2">
        <v>2701</v>
      </c>
      <c r="B672" s="2"/>
      <c r="C672" s="131"/>
      <c r="D672" s="131"/>
      <c r="E672" s="131"/>
      <c r="F672" s="2"/>
      <c r="G672" s="2"/>
      <c r="H672" s="132">
        <v>0</v>
      </c>
      <c r="I672" s="132"/>
      <c r="J672" s="132"/>
      <c r="K672" s="132"/>
      <c r="L672" s="132">
        <f t="shared" si="74"/>
        <v>0</v>
      </c>
      <c r="M672" s="132">
        <f t="shared" si="75"/>
        <v>0</v>
      </c>
      <c r="N672" s="133"/>
      <c r="O672" s="133">
        <f t="shared" si="76"/>
        <v>0</v>
      </c>
      <c r="P672" s="134"/>
      <c r="Q672" s="133"/>
      <c r="R672" s="133"/>
      <c r="S672" s="153">
        <v>0</v>
      </c>
      <c r="T672" s="153">
        <v>0</v>
      </c>
      <c r="U672" s="153">
        <v>0</v>
      </c>
      <c r="V672" s="135"/>
      <c r="W672" s="135"/>
      <c r="X672" s="135"/>
      <c r="Y672" s="135"/>
      <c r="Z672" s="135"/>
      <c r="AA672" s="135"/>
      <c r="AB672" s="135"/>
      <c r="AC672" s="135"/>
      <c r="AD672" s="133"/>
      <c r="AE672" s="133"/>
      <c r="AF672" s="132" t="str">
        <f t="shared" si="72"/>
        <v>Нет инфо</v>
      </c>
      <c r="AG672" s="132" t="str">
        <f t="shared" si="73"/>
        <v>Нет инфо</v>
      </c>
      <c r="AH672" s="2"/>
      <c r="AI672" s="136"/>
      <c r="AJ672" s="2"/>
      <c r="AK672" s="136"/>
      <c r="AL672" s="136"/>
      <c r="AM672" s="2"/>
      <c r="AN672" s="2"/>
      <c r="AO672" s="2"/>
      <c r="AP672" s="2"/>
      <c r="AQ672" s="136"/>
    </row>
    <row r="673" spans="1:43" s="115" customFormat="1" ht="12.75" hidden="1" customHeight="1" x14ac:dyDescent="0.2">
      <c r="A673" s="2">
        <v>2702</v>
      </c>
      <c r="B673" s="2"/>
      <c r="C673" s="131"/>
      <c r="D673" s="131"/>
      <c r="E673" s="131"/>
      <c r="F673" s="2"/>
      <c r="G673" s="2"/>
      <c r="H673" s="132">
        <v>0</v>
      </c>
      <c r="I673" s="132"/>
      <c r="J673" s="132"/>
      <c r="K673" s="132"/>
      <c r="L673" s="132">
        <f t="shared" si="74"/>
        <v>0</v>
      </c>
      <c r="M673" s="132">
        <f t="shared" si="75"/>
        <v>0</v>
      </c>
      <c r="N673" s="133"/>
      <c r="O673" s="133">
        <f t="shared" si="76"/>
        <v>0</v>
      </c>
      <c r="P673" s="134"/>
      <c r="Q673" s="133"/>
      <c r="R673" s="133"/>
      <c r="S673" s="153">
        <v>0</v>
      </c>
      <c r="T673" s="153">
        <v>0</v>
      </c>
      <c r="U673" s="153">
        <v>0</v>
      </c>
      <c r="V673" s="135"/>
      <c r="W673" s="135"/>
      <c r="X673" s="135"/>
      <c r="Y673" s="135"/>
      <c r="Z673" s="135"/>
      <c r="AA673" s="135"/>
      <c r="AB673" s="135"/>
      <c r="AC673" s="135"/>
      <c r="AD673" s="133"/>
      <c r="AE673" s="133"/>
      <c r="AF673" s="132" t="str">
        <f t="shared" si="72"/>
        <v>Нет инфо</v>
      </c>
      <c r="AG673" s="132" t="str">
        <f t="shared" si="73"/>
        <v>Нет инфо</v>
      </c>
      <c r="AH673" s="2"/>
      <c r="AI673" s="136"/>
      <c r="AJ673" s="2"/>
      <c r="AK673" s="136"/>
      <c r="AL673" s="136"/>
      <c r="AM673" s="2"/>
      <c r="AN673" s="2"/>
      <c r="AO673" s="2"/>
      <c r="AP673" s="2"/>
      <c r="AQ673" s="136"/>
    </row>
    <row r="674" spans="1:43" s="115" customFormat="1" ht="12.75" hidden="1" customHeight="1" x14ac:dyDescent="0.2">
      <c r="A674" s="2">
        <v>2703</v>
      </c>
      <c r="B674" s="2"/>
      <c r="C674" s="131"/>
      <c r="D674" s="131"/>
      <c r="E674" s="131"/>
      <c r="F674" s="2"/>
      <c r="G674" s="2"/>
      <c r="H674" s="132">
        <v>0</v>
      </c>
      <c r="I674" s="132"/>
      <c r="J674" s="132"/>
      <c r="K674" s="132"/>
      <c r="L674" s="132">
        <f t="shared" si="74"/>
        <v>0</v>
      </c>
      <c r="M674" s="132">
        <f t="shared" si="75"/>
        <v>0</v>
      </c>
      <c r="N674" s="133"/>
      <c r="O674" s="133">
        <f t="shared" si="76"/>
        <v>0</v>
      </c>
      <c r="P674" s="134"/>
      <c r="Q674" s="133"/>
      <c r="R674" s="133"/>
      <c r="S674" s="153">
        <v>0</v>
      </c>
      <c r="T674" s="153">
        <v>0</v>
      </c>
      <c r="U674" s="153">
        <v>0</v>
      </c>
      <c r="V674" s="135"/>
      <c r="W674" s="135"/>
      <c r="X674" s="135"/>
      <c r="Y674" s="135"/>
      <c r="Z674" s="135"/>
      <c r="AA674" s="135"/>
      <c r="AB674" s="135"/>
      <c r="AC674" s="135"/>
      <c r="AD674" s="133"/>
      <c r="AE674" s="133"/>
      <c r="AF674" s="132" t="str">
        <f t="shared" si="72"/>
        <v>Нет инфо</v>
      </c>
      <c r="AG674" s="132" t="str">
        <f t="shared" si="73"/>
        <v>Нет инфо</v>
      </c>
      <c r="AH674" s="2"/>
      <c r="AI674" s="136"/>
      <c r="AJ674" s="2"/>
      <c r="AK674" s="136"/>
      <c r="AL674" s="136"/>
      <c r="AM674" s="2"/>
      <c r="AN674" s="2"/>
      <c r="AO674" s="2"/>
      <c r="AP674" s="2"/>
      <c r="AQ674" s="136"/>
    </row>
    <row r="675" spans="1:43" s="115" customFormat="1" ht="12.75" hidden="1" customHeight="1" x14ac:dyDescent="0.2">
      <c r="A675" s="2">
        <v>2704</v>
      </c>
      <c r="B675" s="2"/>
      <c r="C675" s="131"/>
      <c r="D675" s="131"/>
      <c r="E675" s="131"/>
      <c r="F675" s="2"/>
      <c r="G675" s="2"/>
      <c r="H675" s="132">
        <v>0</v>
      </c>
      <c r="I675" s="132"/>
      <c r="J675" s="132"/>
      <c r="K675" s="132"/>
      <c r="L675" s="132">
        <f t="shared" si="74"/>
        <v>0</v>
      </c>
      <c r="M675" s="132">
        <f t="shared" si="75"/>
        <v>0</v>
      </c>
      <c r="N675" s="133"/>
      <c r="O675" s="133">
        <f t="shared" si="76"/>
        <v>0</v>
      </c>
      <c r="P675" s="134"/>
      <c r="Q675" s="133"/>
      <c r="R675" s="133"/>
      <c r="S675" s="153">
        <v>0</v>
      </c>
      <c r="T675" s="153">
        <v>0</v>
      </c>
      <c r="U675" s="153">
        <v>0</v>
      </c>
      <c r="V675" s="135"/>
      <c r="W675" s="135"/>
      <c r="X675" s="135"/>
      <c r="Y675" s="135"/>
      <c r="Z675" s="135"/>
      <c r="AA675" s="135"/>
      <c r="AB675" s="135"/>
      <c r="AC675" s="135"/>
      <c r="AD675" s="133"/>
      <c r="AE675" s="133"/>
      <c r="AF675" s="132" t="str">
        <f t="shared" si="72"/>
        <v>Нет инфо</v>
      </c>
      <c r="AG675" s="132" t="str">
        <f t="shared" si="73"/>
        <v>Нет инфо</v>
      </c>
      <c r="AH675" s="2"/>
      <c r="AI675" s="136"/>
      <c r="AJ675" s="2"/>
      <c r="AK675" s="136"/>
      <c r="AL675" s="136"/>
      <c r="AM675" s="2"/>
      <c r="AN675" s="2"/>
      <c r="AO675" s="2"/>
      <c r="AP675" s="2"/>
      <c r="AQ675" s="136"/>
    </row>
    <row r="676" spans="1:43" s="115" customFormat="1" ht="12.75" hidden="1" customHeight="1" x14ac:dyDescent="0.2">
      <c r="A676" s="2">
        <v>2705</v>
      </c>
      <c r="B676" s="2"/>
      <c r="C676" s="131"/>
      <c r="D676" s="131"/>
      <c r="E676" s="131"/>
      <c r="F676" s="2"/>
      <c r="G676" s="2"/>
      <c r="H676" s="132">
        <v>0</v>
      </c>
      <c r="I676" s="132"/>
      <c r="J676" s="132"/>
      <c r="K676" s="132"/>
      <c r="L676" s="132">
        <f t="shared" si="74"/>
        <v>0</v>
      </c>
      <c r="M676" s="132">
        <f t="shared" si="75"/>
        <v>0</v>
      </c>
      <c r="N676" s="133"/>
      <c r="O676" s="133">
        <f t="shared" si="76"/>
        <v>0</v>
      </c>
      <c r="P676" s="134"/>
      <c r="Q676" s="133"/>
      <c r="R676" s="133"/>
      <c r="S676" s="153">
        <v>0</v>
      </c>
      <c r="T676" s="153">
        <v>0</v>
      </c>
      <c r="U676" s="153">
        <v>0</v>
      </c>
      <c r="V676" s="135"/>
      <c r="W676" s="135"/>
      <c r="X676" s="135"/>
      <c r="Y676" s="135"/>
      <c r="Z676" s="135"/>
      <c r="AA676" s="135"/>
      <c r="AB676" s="135"/>
      <c r="AC676" s="135"/>
      <c r="AD676" s="133"/>
      <c r="AE676" s="133"/>
      <c r="AF676" s="132" t="str">
        <f t="shared" si="72"/>
        <v>Нет инфо</v>
      </c>
      <c r="AG676" s="132" t="str">
        <f t="shared" si="73"/>
        <v>Нет инфо</v>
      </c>
      <c r="AH676" s="2"/>
      <c r="AI676" s="136"/>
      <c r="AJ676" s="2"/>
      <c r="AK676" s="136"/>
      <c r="AL676" s="136"/>
      <c r="AM676" s="2"/>
      <c r="AN676" s="2"/>
      <c r="AO676" s="2"/>
      <c r="AP676" s="2"/>
      <c r="AQ676" s="136"/>
    </row>
    <row r="677" spans="1:43" s="115" customFormat="1" ht="12.75" hidden="1" customHeight="1" x14ac:dyDescent="0.2">
      <c r="A677" s="2">
        <v>2706</v>
      </c>
      <c r="B677" s="2"/>
      <c r="C677" s="131"/>
      <c r="D677" s="131"/>
      <c r="E677" s="131"/>
      <c r="F677" s="2"/>
      <c r="G677" s="2"/>
      <c r="H677" s="132">
        <v>0</v>
      </c>
      <c r="I677" s="132"/>
      <c r="J677" s="132"/>
      <c r="K677" s="132"/>
      <c r="L677" s="132">
        <f t="shared" si="74"/>
        <v>0</v>
      </c>
      <c r="M677" s="132">
        <f t="shared" si="75"/>
        <v>0</v>
      </c>
      <c r="N677" s="133"/>
      <c r="O677" s="133">
        <f t="shared" si="76"/>
        <v>0</v>
      </c>
      <c r="P677" s="134"/>
      <c r="Q677" s="133"/>
      <c r="R677" s="133"/>
      <c r="S677" s="153">
        <v>0</v>
      </c>
      <c r="T677" s="153">
        <v>0</v>
      </c>
      <c r="U677" s="153">
        <v>0</v>
      </c>
      <c r="V677" s="135"/>
      <c r="W677" s="135"/>
      <c r="X677" s="135"/>
      <c r="Y677" s="135"/>
      <c r="Z677" s="135"/>
      <c r="AA677" s="135"/>
      <c r="AB677" s="135"/>
      <c r="AC677" s="135"/>
      <c r="AD677" s="133"/>
      <c r="AE677" s="133"/>
      <c r="AF677" s="132" t="str">
        <f t="shared" ref="AF677:AF740" si="77">IF(OR(I677="",I677=0,N677="",N677=0),"Нет инфо",I677/N677)</f>
        <v>Нет инфо</v>
      </c>
      <c r="AG677" s="132" t="str">
        <f t="shared" ref="AG677:AG740" si="78">IF(OR(I677="",I677=0,R677="",R677=0),"Нет инфо",I677/R677)</f>
        <v>Нет инфо</v>
      </c>
      <c r="AH677" s="2"/>
      <c r="AI677" s="136"/>
      <c r="AJ677" s="2"/>
      <c r="AK677" s="136"/>
      <c r="AL677" s="136"/>
      <c r="AM677" s="2"/>
      <c r="AN677" s="2"/>
      <c r="AO677" s="2"/>
      <c r="AP677" s="2"/>
      <c r="AQ677" s="136"/>
    </row>
    <row r="678" spans="1:43" s="115" customFormat="1" ht="12.75" hidden="1" customHeight="1" x14ac:dyDescent="0.2">
      <c r="A678" s="2">
        <v>2707</v>
      </c>
      <c r="B678" s="2"/>
      <c r="C678" s="131"/>
      <c r="D678" s="131"/>
      <c r="E678" s="131"/>
      <c r="F678" s="2"/>
      <c r="G678" s="2"/>
      <c r="H678" s="132">
        <v>0</v>
      </c>
      <c r="I678" s="132"/>
      <c r="J678" s="132"/>
      <c r="K678" s="132"/>
      <c r="L678" s="132">
        <f t="shared" si="74"/>
        <v>0</v>
      </c>
      <c r="M678" s="132">
        <f t="shared" si="75"/>
        <v>0</v>
      </c>
      <c r="N678" s="133"/>
      <c r="O678" s="133">
        <f t="shared" si="76"/>
        <v>0</v>
      </c>
      <c r="P678" s="134"/>
      <c r="Q678" s="133"/>
      <c r="R678" s="133"/>
      <c r="S678" s="153">
        <v>0</v>
      </c>
      <c r="T678" s="153">
        <v>0</v>
      </c>
      <c r="U678" s="153">
        <v>0</v>
      </c>
      <c r="V678" s="135"/>
      <c r="W678" s="135"/>
      <c r="X678" s="135"/>
      <c r="Y678" s="135"/>
      <c r="Z678" s="135"/>
      <c r="AA678" s="135"/>
      <c r="AB678" s="135"/>
      <c r="AC678" s="135"/>
      <c r="AD678" s="133"/>
      <c r="AE678" s="133"/>
      <c r="AF678" s="132" t="str">
        <f t="shared" si="77"/>
        <v>Нет инфо</v>
      </c>
      <c r="AG678" s="132" t="str">
        <f t="shared" si="78"/>
        <v>Нет инфо</v>
      </c>
      <c r="AH678" s="2"/>
      <c r="AI678" s="136"/>
      <c r="AJ678" s="2"/>
      <c r="AK678" s="136"/>
      <c r="AL678" s="136"/>
      <c r="AM678" s="2"/>
      <c r="AN678" s="2"/>
      <c r="AO678" s="2"/>
      <c r="AP678" s="2"/>
      <c r="AQ678" s="136"/>
    </row>
    <row r="679" spans="1:43" s="115" customFormat="1" ht="12.75" hidden="1" customHeight="1" x14ac:dyDescent="0.2">
      <c r="A679" s="2">
        <v>2708</v>
      </c>
      <c r="B679" s="2"/>
      <c r="C679" s="131"/>
      <c r="D679" s="131"/>
      <c r="E679" s="131"/>
      <c r="F679" s="2"/>
      <c r="G679" s="2"/>
      <c r="H679" s="132">
        <v>0</v>
      </c>
      <c r="I679" s="132"/>
      <c r="J679" s="132"/>
      <c r="K679" s="132"/>
      <c r="L679" s="132">
        <f t="shared" si="74"/>
        <v>0</v>
      </c>
      <c r="M679" s="132">
        <f t="shared" si="75"/>
        <v>0</v>
      </c>
      <c r="N679" s="133"/>
      <c r="O679" s="133">
        <f t="shared" si="76"/>
        <v>0</v>
      </c>
      <c r="P679" s="134"/>
      <c r="Q679" s="133"/>
      <c r="R679" s="133"/>
      <c r="S679" s="153">
        <v>0</v>
      </c>
      <c r="T679" s="153">
        <v>0</v>
      </c>
      <c r="U679" s="153">
        <v>0</v>
      </c>
      <c r="V679" s="135"/>
      <c r="W679" s="135"/>
      <c r="X679" s="135"/>
      <c r="Y679" s="135"/>
      <c r="Z679" s="135"/>
      <c r="AA679" s="135"/>
      <c r="AB679" s="135"/>
      <c r="AC679" s="135"/>
      <c r="AD679" s="133"/>
      <c r="AE679" s="133"/>
      <c r="AF679" s="132" t="str">
        <f t="shared" si="77"/>
        <v>Нет инфо</v>
      </c>
      <c r="AG679" s="132" t="str">
        <f t="shared" si="78"/>
        <v>Нет инфо</v>
      </c>
      <c r="AH679" s="2"/>
      <c r="AI679" s="136"/>
      <c r="AJ679" s="2"/>
      <c r="AK679" s="136"/>
      <c r="AL679" s="136"/>
      <c r="AM679" s="2"/>
      <c r="AN679" s="2"/>
      <c r="AO679" s="2"/>
      <c r="AP679" s="2"/>
      <c r="AQ679" s="136"/>
    </row>
    <row r="680" spans="1:43" s="115" customFormat="1" ht="12.75" hidden="1" customHeight="1" x14ac:dyDescent="0.2">
      <c r="A680" s="2">
        <v>2709</v>
      </c>
      <c r="B680" s="2"/>
      <c r="C680" s="131"/>
      <c r="D680" s="131"/>
      <c r="E680" s="131"/>
      <c r="F680" s="2"/>
      <c r="G680" s="2"/>
      <c r="H680" s="132">
        <v>0</v>
      </c>
      <c r="I680" s="132"/>
      <c r="J680" s="132"/>
      <c r="K680" s="132"/>
      <c r="L680" s="132">
        <f t="shared" si="74"/>
        <v>0</v>
      </c>
      <c r="M680" s="132">
        <f t="shared" si="75"/>
        <v>0</v>
      </c>
      <c r="N680" s="133"/>
      <c r="O680" s="133">
        <f t="shared" si="76"/>
        <v>0</v>
      </c>
      <c r="P680" s="134"/>
      <c r="Q680" s="133"/>
      <c r="R680" s="133"/>
      <c r="S680" s="153">
        <v>0</v>
      </c>
      <c r="T680" s="153">
        <v>0</v>
      </c>
      <c r="U680" s="153">
        <v>0</v>
      </c>
      <c r="V680" s="135"/>
      <c r="W680" s="135"/>
      <c r="X680" s="135"/>
      <c r="Y680" s="135"/>
      <c r="Z680" s="135"/>
      <c r="AA680" s="135"/>
      <c r="AB680" s="135"/>
      <c r="AC680" s="135"/>
      <c r="AD680" s="133"/>
      <c r="AE680" s="133"/>
      <c r="AF680" s="132" t="str">
        <f t="shared" si="77"/>
        <v>Нет инфо</v>
      </c>
      <c r="AG680" s="132" t="str">
        <f t="shared" si="78"/>
        <v>Нет инфо</v>
      </c>
      <c r="AH680" s="2"/>
      <c r="AI680" s="136"/>
      <c r="AJ680" s="2"/>
      <c r="AK680" s="136"/>
      <c r="AL680" s="136"/>
      <c r="AM680" s="2"/>
      <c r="AN680" s="2"/>
      <c r="AO680" s="2"/>
      <c r="AP680" s="2"/>
      <c r="AQ680" s="136"/>
    </row>
    <row r="681" spans="1:43" s="115" customFormat="1" ht="12.75" hidden="1" customHeight="1" x14ac:dyDescent="0.2">
      <c r="A681" s="2">
        <v>2710</v>
      </c>
      <c r="B681" s="2"/>
      <c r="C681" s="131"/>
      <c r="D681" s="131"/>
      <c r="E681" s="131"/>
      <c r="F681" s="2"/>
      <c r="G681" s="2"/>
      <c r="H681" s="132">
        <v>0</v>
      </c>
      <c r="I681" s="132"/>
      <c r="J681" s="132"/>
      <c r="K681" s="132"/>
      <c r="L681" s="132">
        <f t="shared" si="74"/>
        <v>0</v>
      </c>
      <c r="M681" s="132">
        <f t="shared" si="75"/>
        <v>0</v>
      </c>
      <c r="N681" s="133"/>
      <c r="O681" s="133">
        <f t="shared" si="76"/>
        <v>0</v>
      </c>
      <c r="P681" s="134"/>
      <c r="Q681" s="133"/>
      <c r="R681" s="133"/>
      <c r="S681" s="153">
        <v>0</v>
      </c>
      <c r="T681" s="153">
        <v>0</v>
      </c>
      <c r="U681" s="153">
        <v>0</v>
      </c>
      <c r="V681" s="135"/>
      <c r="W681" s="135"/>
      <c r="X681" s="135"/>
      <c r="Y681" s="135"/>
      <c r="Z681" s="135"/>
      <c r="AA681" s="135"/>
      <c r="AB681" s="135"/>
      <c r="AC681" s="135"/>
      <c r="AD681" s="133"/>
      <c r="AE681" s="133"/>
      <c r="AF681" s="132" t="str">
        <f t="shared" si="77"/>
        <v>Нет инфо</v>
      </c>
      <c r="AG681" s="132" t="str">
        <f t="shared" si="78"/>
        <v>Нет инфо</v>
      </c>
      <c r="AH681" s="2"/>
      <c r="AI681" s="136"/>
      <c r="AJ681" s="2"/>
      <c r="AK681" s="136"/>
      <c r="AL681" s="136"/>
      <c r="AM681" s="2"/>
      <c r="AN681" s="2"/>
      <c r="AO681" s="2"/>
      <c r="AP681" s="2"/>
      <c r="AQ681" s="136"/>
    </row>
    <row r="682" spans="1:43" s="115" customFormat="1" ht="12.75" hidden="1" customHeight="1" x14ac:dyDescent="0.2">
      <c r="A682" s="2">
        <v>2711</v>
      </c>
      <c r="B682" s="2"/>
      <c r="C682" s="131"/>
      <c r="D682" s="131"/>
      <c r="E682" s="131"/>
      <c r="F682" s="2"/>
      <c r="G682" s="2"/>
      <c r="H682" s="132">
        <v>0</v>
      </c>
      <c r="I682" s="132"/>
      <c r="J682" s="132"/>
      <c r="K682" s="132"/>
      <c r="L682" s="132">
        <f t="shared" si="74"/>
        <v>0</v>
      </c>
      <c r="M682" s="132">
        <f t="shared" si="75"/>
        <v>0</v>
      </c>
      <c r="N682" s="133"/>
      <c r="O682" s="133">
        <f t="shared" si="76"/>
        <v>0</v>
      </c>
      <c r="P682" s="134"/>
      <c r="Q682" s="133"/>
      <c r="R682" s="133"/>
      <c r="S682" s="153">
        <v>0</v>
      </c>
      <c r="T682" s="153">
        <v>0</v>
      </c>
      <c r="U682" s="153">
        <v>0</v>
      </c>
      <c r="V682" s="135"/>
      <c r="W682" s="135"/>
      <c r="X682" s="135"/>
      <c r="Y682" s="135"/>
      <c r="Z682" s="135"/>
      <c r="AA682" s="135"/>
      <c r="AB682" s="135"/>
      <c r="AC682" s="135"/>
      <c r="AD682" s="133"/>
      <c r="AE682" s="133"/>
      <c r="AF682" s="132" t="str">
        <f t="shared" si="77"/>
        <v>Нет инфо</v>
      </c>
      <c r="AG682" s="132" t="str">
        <f t="shared" si="78"/>
        <v>Нет инфо</v>
      </c>
      <c r="AH682" s="2"/>
      <c r="AI682" s="136"/>
      <c r="AJ682" s="2"/>
      <c r="AK682" s="136"/>
      <c r="AL682" s="136"/>
      <c r="AM682" s="2"/>
      <c r="AN682" s="2"/>
      <c r="AO682" s="2"/>
      <c r="AP682" s="2"/>
      <c r="AQ682" s="136"/>
    </row>
    <row r="683" spans="1:43" s="115" customFormat="1" ht="12.75" hidden="1" customHeight="1" x14ac:dyDescent="0.2">
      <c r="A683" s="2">
        <v>2712</v>
      </c>
      <c r="B683" s="2"/>
      <c r="C683" s="131"/>
      <c r="D683" s="131"/>
      <c r="E683" s="131"/>
      <c r="F683" s="2"/>
      <c r="G683" s="2"/>
      <c r="H683" s="132">
        <v>0</v>
      </c>
      <c r="I683" s="132"/>
      <c r="J683" s="132"/>
      <c r="K683" s="132"/>
      <c r="L683" s="132">
        <f t="shared" si="74"/>
        <v>0</v>
      </c>
      <c r="M683" s="132">
        <f t="shared" si="75"/>
        <v>0</v>
      </c>
      <c r="N683" s="133"/>
      <c r="O683" s="133">
        <f t="shared" si="76"/>
        <v>0</v>
      </c>
      <c r="P683" s="134"/>
      <c r="Q683" s="133"/>
      <c r="R683" s="133"/>
      <c r="S683" s="153">
        <v>0</v>
      </c>
      <c r="T683" s="153">
        <v>0</v>
      </c>
      <c r="U683" s="153">
        <v>0</v>
      </c>
      <c r="V683" s="135"/>
      <c r="W683" s="135"/>
      <c r="X683" s="135"/>
      <c r="Y683" s="135"/>
      <c r="Z683" s="135"/>
      <c r="AA683" s="135"/>
      <c r="AB683" s="135"/>
      <c r="AC683" s="135"/>
      <c r="AD683" s="133"/>
      <c r="AE683" s="133"/>
      <c r="AF683" s="132" t="str">
        <f t="shared" si="77"/>
        <v>Нет инфо</v>
      </c>
      <c r="AG683" s="132" t="str">
        <f t="shared" si="78"/>
        <v>Нет инфо</v>
      </c>
      <c r="AH683" s="2"/>
      <c r="AI683" s="136"/>
      <c r="AJ683" s="2"/>
      <c r="AK683" s="136"/>
      <c r="AL683" s="136"/>
      <c r="AM683" s="2"/>
      <c r="AN683" s="2"/>
      <c r="AO683" s="2"/>
      <c r="AP683" s="2"/>
      <c r="AQ683" s="136"/>
    </row>
    <row r="684" spans="1:43" s="115" customFormat="1" ht="12.75" hidden="1" customHeight="1" x14ac:dyDescent="0.2">
      <c r="A684" s="2">
        <v>2713</v>
      </c>
      <c r="B684" s="2"/>
      <c r="C684" s="131"/>
      <c r="D684" s="131"/>
      <c r="E684" s="131"/>
      <c r="F684" s="2"/>
      <c r="G684" s="2"/>
      <c r="H684" s="132">
        <v>0</v>
      </c>
      <c r="I684" s="132"/>
      <c r="J684" s="132"/>
      <c r="K684" s="132"/>
      <c r="L684" s="132">
        <f t="shared" si="74"/>
        <v>0</v>
      </c>
      <c r="M684" s="132">
        <f t="shared" si="75"/>
        <v>0</v>
      </c>
      <c r="N684" s="133"/>
      <c r="O684" s="133">
        <f t="shared" si="76"/>
        <v>0</v>
      </c>
      <c r="P684" s="134"/>
      <c r="Q684" s="133"/>
      <c r="R684" s="133"/>
      <c r="S684" s="153">
        <v>0</v>
      </c>
      <c r="T684" s="153">
        <v>0</v>
      </c>
      <c r="U684" s="153">
        <v>0</v>
      </c>
      <c r="V684" s="135"/>
      <c r="W684" s="135"/>
      <c r="X684" s="135"/>
      <c r="Y684" s="135"/>
      <c r="Z684" s="135"/>
      <c r="AA684" s="135"/>
      <c r="AB684" s="135"/>
      <c r="AC684" s="135"/>
      <c r="AD684" s="133"/>
      <c r="AE684" s="133"/>
      <c r="AF684" s="132" t="str">
        <f t="shared" si="77"/>
        <v>Нет инфо</v>
      </c>
      <c r="AG684" s="132" t="str">
        <f t="shared" si="78"/>
        <v>Нет инфо</v>
      </c>
      <c r="AH684" s="2"/>
      <c r="AI684" s="136"/>
      <c r="AJ684" s="2"/>
      <c r="AK684" s="136"/>
      <c r="AL684" s="136"/>
      <c r="AM684" s="2"/>
      <c r="AN684" s="2"/>
      <c r="AO684" s="2"/>
      <c r="AP684" s="2"/>
      <c r="AQ684" s="136"/>
    </row>
    <row r="685" spans="1:43" s="115" customFormat="1" ht="12.75" hidden="1" customHeight="1" x14ac:dyDescent="0.2">
      <c r="A685" s="2">
        <v>2714</v>
      </c>
      <c r="B685" s="2"/>
      <c r="C685" s="131"/>
      <c r="D685" s="131"/>
      <c r="E685" s="131"/>
      <c r="F685" s="2"/>
      <c r="G685" s="2"/>
      <c r="H685" s="132">
        <v>0</v>
      </c>
      <c r="I685" s="132"/>
      <c r="J685" s="132"/>
      <c r="K685" s="132"/>
      <c r="L685" s="132">
        <f t="shared" si="74"/>
        <v>0</v>
      </c>
      <c r="M685" s="132">
        <f t="shared" si="75"/>
        <v>0</v>
      </c>
      <c r="N685" s="133"/>
      <c r="O685" s="133">
        <f t="shared" si="76"/>
        <v>0</v>
      </c>
      <c r="P685" s="134"/>
      <c r="Q685" s="133"/>
      <c r="R685" s="133"/>
      <c r="S685" s="153">
        <v>0</v>
      </c>
      <c r="T685" s="153">
        <v>0</v>
      </c>
      <c r="U685" s="153">
        <v>0</v>
      </c>
      <c r="V685" s="135"/>
      <c r="W685" s="135"/>
      <c r="X685" s="135"/>
      <c r="Y685" s="135"/>
      <c r="Z685" s="135"/>
      <c r="AA685" s="135"/>
      <c r="AB685" s="135"/>
      <c r="AC685" s="135"/>
      <c r="AD685" s="133"/>
      <c r="AE685" s="133"/>
      <c r="AF685" s="132" t="str">
        <f t="shared" si="77"/>
        <v>Нет инфо</v>
      </c>
      <c r="AG685" s="132" t="str">
        <f t="shared" si="78"/>
        <v>Нет инфо</v>
      </c>
      <c r="AH685" s="2"/>
      <c r="AI685" s="136"/>
      <c r="AJ685" s="2"/>
      <c r="AK685" s="136"/>
      <c r="AL685" s="136"/>
      <c r="AM685" s="2"/>
      <c r="AN685" s="2"/>
      <c r="AO685" s="2"/>
      <c r="AP685" s="2"/>
      <c r="AQ685" s="136"/>
    </row>
    <row r="686" spans="1:43" s="115" customFormat="1" ht="12.75" hidden="1" customHeight="1" x14ac:dyDescent="0.2">
      <c r="A686" s="2">
        <v>2715</v>
      </c>
      <c r="B686" s="2"/>
      <c r="C686" s="131"/>
      <c r="D686" s="131"/>
      <c r="E686" s="131"/>
      <c r="F686" s="2"/>
      <c r="G686" s="2"/>
      <c r="H686" s="132">
        <v>0</v>
      </c>
      <c r="I686" s="132"/>
      <c r="J686" s="132"/>
      <c r="K686" s="132"/>
      <c r="L686" s="132">
        <f t="shared" si="74"/>
        <v>0</v>
      </c>
      <c r="M686" s="132">
        <f t="shared" si="75"/>
        <v>0</v>
      </c>
      <c r="N686" s="133"/>
      <c r="O686" s="133">
        <f t="shared" si="76"/>
        <v>0</v>
      </c>
      <c r="P686" s="134"/>
      <c r="Q686" s="133"/>
      <c r="R686" s="133"/>
      <c r="S686" s="153">
        <v>0</v>
      </c>
      <c r="T686" s="153">
        <v>0</v>
      </c>
      <c r="U686" s="153">
        <v>0</v>
      </c>
      <c r="V686" s="135"/>
      <c r="W686" s="135"/>
      <c r="X686" s="135"/>
      <c r="Y686" s="135"/>
      <c r="Z686" s="135"/>
      <c r="AA686" s="135"/>
      <c r="AB686" s="135"/>
      <c r="AC686" s="135"/>
      <c r="AD686" s="133"/>
      <c r="AE686" s="133"/>
      <c r="AF686" s="132" t="str">
        <f t="shared" si="77"/>
        <v>Нет инфо</v>
      </c>
      <c r="AG686" s="132" t="str">
        <f t="shared" si="78"/>
        <v>Нет инфо</v>
      </c>
      <c r="AH686" s="2"/>
      <c r="AI686" s="136"/>
      <c r="AJ686" s="2"/>
      <c r="AK686" s="136"/>
      <c r="AL686" s="136"/>
      <c r="AM686" s="2"/>
      <c r="AN686" s="2"/>
      <c r="AO686" s="2"/>
      <c r="AP686" s="2"/>
      <c r="AQ686" s="136"/>
    </row>
    <row r="687" spans="1:43" s="115" customFormat="1" ht="12.75" hidden="1" customHeight="1" x14ac:dyDescent="0.2">
      <c r="A687" s="2">
        <v>2716</v>
      </c>
      <c r="B687" s="2"/>
      <c r="C687" s="131"/>
      <c r="D687" s="131"/>
      <c r="E687" s="131"/>
      <c r="F687" s="2"/>
      <c r="G687" s="2"/>
      <c r="H687" s="132">
        <v>0</v>
      </c>
      <c r="I687" s="132"/>
      <c r="J687" s="132"/>
      <c r="K687" s="132"/>
      <c r="L687" s="132">
        <f t="shared" si="74"/>
        <v>0</v>
      </c>
      <c r="M687" s="132">
        <f t="shared" si="75"/>
        <v>0</v>
      </c>
      <c r="N687" s="133"/>
      <c r="O687" s="133">
        <f t="shared" si="76"/>
        <v>0</v>
      </c>
      <c r="P687" s="134"/>
      <c r="Q687" s="133"/>
      <c r="R687" s="133"/>
      <c r="S687" s="153">
        <v>0</v>
      </c>
      <c r="T687" s="153">
        <v>0</v>
      </c>
      <c r="U687" s="153">
        <v>0</v>
      </c>
      <c r="V687" s="135"/>
      <c r="W687" s="135"/>
      <c r="X687" s="135"/>
      <c r="Y687" s="135"/>
      <c r="Z687" s="135"/>
      <c r="AA687" s="135"/>
      <c r="AB687" s="135"/>
      <c r="AC687" s="135"/>
      <c r="AD687" s="133"/>
      <c r="AE687" s="133"/>
      <c r="AF687" s="132" t="str">
        <f t="shared" si="77"/>
        <v>Нет инфо</v>
      </c>
      <c r="AG687" s="132" t="str">
        <f t="shared" si="78"/>
        <v>Нет инфо</v>
      </c>
      <c r="AH687" s="2"/>
      <c r="AI687" s="136"/>
      <c r="AJ687" s="2"/>
      <c r="AK687" s="136"/>
      <c r="AL687" s="136"/>
      <c r="AM687" s="2"/>
      <c r="AN687" s="2"/>
      <c r="AO687" s="2"/>
      <c r="AP687" s="2"/>
      <c r="AQ687" s="136"/>
    </row>
    <row r="688" spans="1:43" s="115" customFormat="1" ht="12.75" hidden="1" customHeight="1" x14ac:dyDescent="0.2">
      <c r="A688" s="2">
        <v>2717</v>
      </c>
      <c r="B688" s="2"/>
      <c r="C688" s="131"/>
      <c r="D688" s="131"/>
      <c r="E688" s="131"/>
      <c r="F688" s="2"/>
      <c r="G688" s="2"/>
      <c r="H688" s="132">
        <v>0</v>
      </c>
      <c r="I688" s="132"/>
      <c r="J688" s="132"/>
      <c r="K688" s="132"/>
      <c r="L688" s="132">
        <f t="shared" si="74"/>
        <v>0</v>
      </c>
      <c r="M688" s="132">
        <f t="shared" si="75"/>
        <v>0</v>
      </c>
      <c r="N688" s="133"/>
      <c r="O688" s="133">
        <f t="shared" si="76"/>
        <v>0</v>
      </c>
      <c r="P688" s="134"/>
      <c r="Q688" s="133"/>
      <c r="R688" s="133"/>
      <c r="S688" s="153">
        <v>0</v>
      </c>
      <c r="T688" s="153">
        <v>0</v>
      </c>
      <c r="U688" s="153">
        <v>0</v>
      </c>
      <c r="V688" s="135"/>
      <c r="W688" s="135"/>
      <c r="X688" s="135"/>
      <c r="Y688" s="135"/>
      <c r="Z688" s="135"/>
      <c r="AA688" s="135"/>
      <c r="AB688" s="135"/>
      <c r="AC688" s="135"/>
      <c r="AD688" s="133"/>
      <c r="AE688" s="133"/>
      <c r="AF688" s="132" t="str">
        <f t="shared" si="77"/>
        <v>Нет инфо</v>
      </c>
      <c r="AG688" s="132" t="str">
        <f t="shared" si="78"/>
        <v>Нет инфо</v>
      </c>
      <c r="AH688" s="2"/>
      <c r="AI688" s="136"/>
      <c r="AJ688" s="2"/>
      <c r="AK688" s="136"/>
      <c r="AL688" s="136"/>
      <c r="AM688" s="2"/>
      <c r="AN688" s="2"/>
      <c r="AO688" s="2"/>
      <c r="AP688" s="2"/>
      <c r="AQ688" s="136"/>
    </row>
    <row r="689" spans="1:43" s="115" customFormat="1" ht="12.75" hidden="1" customHeight="1" x14ac:dyDescent="0.2">
      <c r="A689" s="2">
        <v>2718</v>
      </c>
      <c r="B689" s="2"/>
      <c r="C689" s="131"/>
      <c r="D689" s="131"/>
      <c r="E689" s="131"/>
      <c r="F689" s="2"/>
      <c r="G689" s="2"/>
      <c r="H689" s="132">
        <v>0</v>
      </c>
      <c r="I689" s="132"/>
      <c r="J689" s="132"/>
      <c r="K689" s="132"/>
      <c r="L689" s="132">
        <f t="shared" si="74"/>
        <v>0</v>
      </c>
      <c r="M689" s="132">
        <f t="shared" si="75"/>
        <v>0</v>
      </c>
      <c r="N689" s="133"/>
      <c r="O689" s="133">
        <f t="shared" si="76"/>
        <v>0</v>
      </c>
      <c r="P689" s="134"/>
      <c r="Q689" s="133"/>
      <c r="R689" s="133"/>
      <c r="S689" s="153">
        <v>0</v>
      </c>
      <c r="T689" s="153">
        <v>0</v>
      </c>
      <c r="U689" s="153">
        <v>0</v>
      </c>
      <c r="V689" s="135"/>
      <c r="W689" s="135"/>
      <c r="X689" s="135"/>
      <c r="Y689" s="135"/>
      <c r="Z689" s="135"/>
      <c r="AA689" s="135"/>
      <c r="AB689" s="135"/>
      <c r="AC689" s="135"/>
      <c r="AD689" s="133"/>
      <c r="AE689" s="133"/>
      <c r="AF689" s="132" t="str">
        <f t="shared" si="77"/>
        <v>Нет инфо</v>
      </c>
      <c r="AG689" s="132" t="str">
        <f t="shared" si="78"/>
        <v>Нет инфо</v>
      </c>
      <c r="AH689" s="2"/>
      <c r="AI689" s="136"/>
      <c r="AJ689" s="2"/>
      <c r="AK689" s="136"/>
      <c r="AL689" s="136"/>
      <c r="AM689" s="2"/>
      <c r="AN689" s="2"/>
      <c r="AO689" s="2"/>
      <c r="AP689" s="2"/>
      <c r="AQ689" s="136"/>
    </row>
    <row r="690" spans="1:43" s="115" customFormat="1" ht="12.75" hidden="1" customHeight="1" x14ac:dyDescent="0.2">
      <c r="A690" s="2">
        <v>2719</v>
      </c>
      <c r="B690" s="2"/>
      <c r="C690" s="131"/>
      <c r="D690" s="131"/>
      <c r="E690" s="131"/>
      <c r="F690" s="2"/>
      <c r="G690" s="2"/>
      <c r="H690" s="132">
        <v>0</v>
      </c>
      <c r="I690" s="132"/>
      <c r="J690" s="132"/>
      <c r="K690" s="132"/>
      <c r="L690" s="132">
        <f t="shared" si="74"/>
        <v>0</v>
      </c>
      <c r="M690" s="132">
        <f t="shared" si="75"/>
        <v>0</v>
      </c>
      <c r="N690" s="133"/>
      <c r="O690" s="133">
        <f t="shared" si="76"/>
        <v>0</v>
      </c>
      <c r="P690" s="134"/>
      <c r="Q690" s="133"/>
      <c r="R690" s="133"/>
      <c r="S690" s="153">
        <v>0</v>
      </c>
      <c r="T690" s="153">
        <v>0</v>
      </c>
      <c r="U690" s="153">
        <v>0</v>
      </c>
      <c r="V690" s="135"/>
      <c r="W690" s="135"/>
      <c r="X690" s="135"/>
      <c r="Y690" s="135"/>
      <c r="Z690" s="135"/>
      <c r="AA690" s="135"/>
      <c r="AB690" s="135"/>
      <c r="AC690" s="135"/>
      <c r="AD690" s="133"/>
      <c r="AE690" s="133"/>
      <c r="AF690" s="132" t="str">
        <f t="shared" si="77"/>
        <v>Нет инфо</v>
      </c>
      <c r="AG690" s="132" t="str">
        <f t="shared" si="78"/>
        <v>Нет инфо</v>
      </c>
      <c r="AH690" s="2"/>
      <c r="AI690" s="136"/>
      <c r="AJ690" s="2"/>
      <c r="AK690" s="136"/>
      <c r="AL690" s="136"/>
      <c r="AM690" s="2"/>
      <c r="AN690" s="2"/>
      <c r="AO690" s="2"/>
      <c r="AP690" s="2"/>
      <c r="AQ690" s="136"/>
    </row>
    <row r="691" spans="1:43" s="115" customFormat="1" ht="12.75" hidden="1" customHeight="1" x14ac:dyDescent="0.2">
      <c r="A691" s="2">
        <v>2720</v>
      </c>
      <c r="B691" s="2"/>
      <c r="C691" s="131"/>
      <c r="D691" s="131"/>
      <c r="E691" s="131"/>
      <c r="F691" s="2"/>
      <c r="G691" s="2"/>
      <c r="H691" s="132">
        <v>0</v>
      </c>
      <c r="I691" s="132"/>
      <c r="J691" s="132"/>
      <c r="K691" s="132"/>
      <c r="L691" s="132">
        <f t="shared" si="74"/>
        <v>0</v>
      </c>
      <c r="M691" s="132">
        <f t="shared" si="75"/>
        <v>0</v>
      </c>
      <c r="N691" s="133"/>
      <c r="O691" s="133">
        <f t="shared" si="76"/>
        <v>0</v>
      </c>
      <c r="P691" s="134"/>
      <c r="Q691" s="133"/>
      <c r="R691" s="133"/>
      <c r="S691" s="153">
        <v>0</v>
      </c>
      <c r="T691" s="153">
        <v>0</v>
      </c>
      <c r="U691" s="153">
        <v>0</v>
      </c>
      <c r="V691" s="135"/>
      <c r="W691" s="135"/>
      <c r="X691" s="135"/>
      <c r="Y691" s="135"/>
      <c r="Z691" s="135"/>
      <c r="AA691" s="135"/>
      <c r="AB691" s="135"/>
      <c r="AC691" s="135"/>
      <c r="AD691" s="133"/>
      <c r="AE691" s="133"/>
      <c r="AF691" s="132" t="str">
        <f t="shared" si="77"/>
        <v>Нет инфо</v>
      </c>
      <c r="AG691" s="132" t="str">
        <f t="shared" si="78"/>
        <v>Нет инфо</v>
      </c>
      <c r="AH691" s="2"/>
      <c r="AI691" s="136"/>
      <c r="AJ691" s="2"/>
      <c r="AK691" s="136"/>
      <c r="AL691" s="136"/>
      <c r="AM691" s="2"/>
      <c r="AN691" s="2"/>
      <c r="AO691" s="2"/>
      <c r="AP691" s="2"/>
      <c r="AQ691" s="136"/>
    </row>
    <row r="692" spans="1:43" s="115" customFormat="1" ht="12.75" hidden="1" customHeight="1" x14ac:dyDescent="0.2">
      <c r="A692" s="2">
        <v>2721</v>
      </c>
      <c r="B692" s="2"/>
      <c r="C692" s="131"/>
      <c r="D692" s="131"/>
      <c r="E692" s="131"/>
      <c r="F692" s="2"/>
      <c r="G692" s="2"/>
      <c r="H692" s="132">
        <v>0</v>
      </c>
      <c r="I692" s="132"/>
      <c r="J692" s="132"/>
      <c r="K692" s="132"/>
      <c r="L692" s="132">
        <f t="shared" si="74"/>
        <v>0</v>
      </c>
      <c r="M692" s="132">
        <f t="shared" si="75"/>
        <v>0</v>
      </c>
      <c r="N692" s="133"/>
      <c r="O692" s="133">
        <f t="shared" si="76"/>
        <v>0</v>
      </c>
      <c r="P692" s="134"/>
      <c r="Q692" s="133"/>
      <c r="R692" s="133"/>
      <c r="S692" s="153">
        <v>0</v>
      </c>
      <c r="T692" s="153">
        <v>0</v>
      </c>
      <c r="U692" s="153">
        <v>0</v>
      </c>
      <c r="V692" s="135"/>
      <c r="W692" s="135"/>
      <c r="X692" s="135"/>
      <c r="Y692" s="135"/>
      <c r="Z692" s="135"/>
      <c r="AA692" s="135"/>
      <c r="AB692" s="135"/>
      <c r="AC692" s="135"/>
      <c r="AD692" s="133"/>
      <c r="AE692" s="133"/>
      <c r="AF692" s="132" t="str">
        <f t="shared" si="77"/>
        <v>Нет инфо</v>
      </c>
      <c r="AG692" s="132" t="str">
        <f t="shared" si="78"/>
        <v>Нет инфо</v>
      </c>
      <c r="AH692" s="2"/>
      <c r="AI692" s="136"/>
      <c r="AJ692" s="2"/>
      <c r="AK692" s="136"/>
      <c r="AL692" s="136"/>
      <c r="AM692" s="2"/>
      <c r="AN692" s="2"/>
      <c r="AO692" s="2"/>
      <c r="AP692" s="2"/>
      <c r="AQ692" s="136"/>
    </row>
    <row r="693" spans="1:43" s="115" customFormat="1" ht="12.75" hidden="1" customHeight="1" x14ac:dyDescent="0.2">
      <c r="A693" s="2">
        <v>2722</v>
      </c>
      <c r="B693" s="2"/>
      <c r="C693" s="131"/>
      <c r="D693" s="131"/>
      <c r="E693" s="131"/>
      <c r="F693" s="2"/>
      <c r="G693" s="2"/>
      <c r="H693" s="132">
        <v>0</v>
      </c>
      <c r="I693" s="132"/>
      <c r="J693" s="132"/>
      <c r="K693" s="132"/>
      <c r="L693" s="132">
        <f t="shared" si="74"/>
        <v>0</v>
      </c>
      <c r="M693" s="132">
        <f t="shared" si="75"/>
        <v>0</v>
      </c>
      <c r="N693" s="133"/>
      <c r="O693" s="133">
        <f t="shared" si="76"/>
        <v>0</v>
      </c>
      <c r="P693" s="134"/>
      <c r="Q693" s="133"/>
      <c r="R693" s="133"/>
      <c r="S693" s="153">
        <v>0</v>
      </c>
      <c r="T693" s="153">
        <v>0</v>
      </c>
      <c r="U693" s="153">
        <v>0</v>
      </c>
      <c r="V693" s="135"/>
      <c r="W693" s="135"/>
      <c r="X693" s="135"/>
      <c r="Y693" s="135"/>
      <c r="Z693" s="135"/>
      <c r="AA693" s="135"/>
      <c r="AB693" s="135"/>
      <c r="AC693" s="135"/>
      <c r="AD693" s="133"/>
      <c r="AE693" s="133"/>
      <c r="AF693" s="132" t="str">
        <f t="shared" si="77"/>
        <v>Нет инфо</v>
      </c>
      <c r="AG693" s="132" t="str">
        <f t="shared" si="78"/>
        <v>Нет инфо</v>
      </c>
      <c r="AH693" s="2"/>
      <c r="AI693" s="136"/>
      <c r="AJ693" s="2"/>
      <c r="AK693" s="136"/>
      <c r="AL693" s="136"/>
      <c r="AM693" s="2"/>
      <c r="AN693" s="2"/>
      <c r="AO693" s="2"/>
      <c r="AP693" s="2"/>
      <c r="AQ693" s="136"/>
    </row>
    <row r="694" spans="1:43" s="115" customFormat="1" ht="12.75" hidden="1" customHeight="1" x14ac:dyDescent="0.2">
      <c r="A694" s="2">
        <v>2723</v>
      </c>
      <c r="B694" s="2"/>
      <c r="C694" s="131"/>
      <c r="D694" s="131"/>
      <c r="E694" s="131"/>
      <c r="F694" s="2"/>
      <c r="G694" s="2"/>
      <c r="H694" s="132">
        <v>0</v>
      </c>
      <c r="I694" s="132"/>
      <c r="J694" s="132"/>
      <c r="K694" s="132"/>
      <c r="L694" s="132">
        <f t="shared" si="74"/>
        <v>0</v>
      </c>
      <c r="M694" s="132">
        <f t="shared" si="75"/>
        <v>0</v>
      </c>
      <c r="N694" s="133"/>
      <c r="O694" s="133">
        <f t="shared" si="76"/>
        <v>0</v>
      </c>
      <c r="P694" s="134"/>
      <c r="Q694" s="133"/>
      <c r="R694" s="133"/>
      <c r="S694" s="153">
        <v>0</v>
      </c>
      <c r="T694" s="153">
        <v>0</v>
      </c>
      <c r="U694" s="153">
        <v>0</v>
      </c>
      <c r="V694" s="135"/>
      <c r="W694" s="135"/>
      <c r="X694" s="135"/>
      <c r="Y694" s="135"/>
      <c r="Z694" s="135"/>
      <c r="AA694" s="135"/>
      <c r="AB694" s="135"/>
      <c r="AC694" s="135"/>
      <c r="AD694" s="133"/>
      <c r="AE694" s="133"/>
      <c r="AF694" s="132" t="str">
        <f t="shared" si="77"/>
        <v>Нет инфо</v>
      </c>
      <c r="AG694" s="132" t="str">
        <f t="shared" si="78"/>
        <v>Нет инфо</v>
      </c>
      <c r="AH694" s="2"/>
      <c r="AI694" s="136"/>
      <c r="AJ694" s="2"/>
      <c r="AK694" s="136"/>
      <c r="AL694" s="136"/>
      <c r="AM694" s="2"/>
      <c r="AN694" s="2"/>
      <c r="AO694" s="2"/>
      <c r="AP694" s="2"/>
      <c r="AQ694" s="136"/>
    </row>
    <row r="695" spans="1:43" s="115" customFormat="1" ht="12.75" hidden="1" customHeight="1" x14ac:dyDescent="0.2">
      <c r="A695" s="2">
        <v>2724</v>
      </c>
      <c r="B695" s="2"/>
      <c r="C695" s="131"/>
      <c r="D695" s="131"/>
      <c r="E695" s="131"/>
      <c r="F695" s="2"/>
      <c r="G695" s="2"/>
      <c r="H695" s="132">
        <v>0</v>
      </c>
      <c r="I695" s="132"/>
      <c r="J695" s="132"/>
      <c r="K695" s="132"/>
      <c r="L695" s="132">
        <f t="shared" si="74"/>
        <v>0</v>
      </c>
      <c r="M695" s="132">
        <f t="shared" si="75"/>
        <v>0</v>
      </c>
      <c r="N695" s="133"/>
      <c r="O695" s="133">
        <f t="shared" si="76"/>
        <v>0</v>
      </c>
      <c r="P695" s="134"/>
      <c r="Q695" s="133"/>
      <c r="R695" s="133"/>
      <c r="S695" s="153">
        <v>0</v>
      </c>
      <c r="T695" s="153">
        <v>0</v>
      </c>
      <c r="U695" s="153">
        <v>0</v>
      </c>
      <c r="V695" s="135"/>
      <c r="W695" s="135"/>
      <c r="X695" s="135"/>
      <c r="Y695" s="135"/>
      <c r="Z695" s="135"/>
      <c r="AA695" s="135"/>
      <c r="AB695" s="135"/>
      <c r="AC695" s="135"/>
      <c r="AD695" s="133"/>
      <c r="AE695" s="133"/>
      <c r="AF695" s="132" t="str">
        <f t="shared" si="77"/>
        <v>Нет инфо</v>
      </c>
      <c r="AG695" s="132" t="str">
        <f t="shared" si="78"/>
        <v>Нет инфо</v>
      </c>
      <c r="AH695" s="2"/>
      <c r="AI695" s="136"/>
      <c r="AJ695" s="2"/>
      <c r="AK695" s="136"/>
      <c r="AL695" s="136"/>
      <c r="AM695" s="2"/>
      <c r="AN695" s="2"/>
      <c r="AO695" s="2"/>
      <c r="AP695" s="2"/>
      <c r="AQ695" s="136"/>
    </row>
    <row r="696" spans="1:43" s="115" customFormat="1" ht="12.75" hidden="1" customHeight="1" x14ac:dyDescent="0.2">
      <c r="A696" s="2">
        <v>2725</v>
      </c>
      <c r="B696" s="2"/>
      <c r="C696" s="131"/>
      <c r="D696" s="131"/>
      <c r="E696" s="131"/>
      <c r="F696" s="2"/>
      <c r="G696" s="2"/>
      <c r="H696" s="132">
        <v>0</v>
      </c>
      <c r="I696" s="132"/>
      <c r="J696" s="132"/>
      <c r="K696" s="132"/>
      <c r="L696" s="132">
        <f t="shared" si="74"/>
        <v>0</v>
      </c>
      <c r="M696" s="132">
        <f t="shared" si="75"/>
        <v>0</v>
      </c>
      <c r="N696" s="133"/>
      <c r="O696" s="133">
        <f t="shared" si="76"/>
        <v>0</v>
      </c>
      <c r="P696" s="134"/>
      <c r="Q696" s="133"/>
      <c r="R696" s="133"/>
      <c r="S696" s="153">
        <v>0</v>
      </c>
      <c r="T696" s="153">
        <v>0</v>
      </c>
      <c r="U696" s="153">
        <v>0</v>
      </c>
      <c r="V696" s="135"/>
      <c r="W696" s="135"/>
      <c r="X696" s="135"/>
      <c r="Y696" s="135"/>
      <c r="Z696" s="135"/>
      <c r="AA696" s="135"/>
      <c r="AB696" s="135"/>
      <c r="AC696" s="135"/>
      <c r="AD696" s="133"/>
      <c r="AE696" s="133"/>
      <c r="AF696" s="132" t="str">
        <f t="shared" si="77"/>
        <v>Нет инфо</v>
      </c>
      <c r="AG696" s="132" t="str">
        <f t="shared" si="78"/>
        <v>Нет инфо</v>
      </c>
      <c r="AH696" s="2"/>
      <c r="AI696" s="136"/>
      <c r="AJ696" s="2"/>
      <c r="AK696" s="136"/>
      <c r="AL696" s="136"/>
      <c r="AM696" s="2"/>
      <c r="AN696" s="2"/>
      <c r="AO696" s="2"/>
      <c r="AP696" s="2"/>
      <c r="AQ696" s="136"/>
    </row>
    <row r="697" spans="1:43" s="115" customFormat="1" ht="12.75" hidden="1" customHeight="1" x14ac:dyDescent="0.2">
      <c r="A697" s="2">
        <v>2726</v>
      </c>
      <c r="B697" s="2"/>
      <c r="C697" s="131"/>
      <c r="D697" s="131"/>
      <c r="E697" s="131"/>
      <c r="F697" s="2"/>
      <c r="G697" s="2"/>
      <c r="H697" s="132">
        <v>0</v>
      </c>
      <c r="I697" s="132"/>
      <c r="J697" s="132"/>
      <c r="K697" s="132"/>
      <c r="L697" s="132">
        <f t="shared" si="74"/>
        <v>0</v>
      </c>
      <c r="M697" s="132">
        <f t="shared" si="75"/>
        <v>0</v>
      </c>
      <c r="N697" s="133"/>
      <c r="O697" s="133">
        <f t="shared" si="76"/>
        <v>0</v>
      </c>
      <c r="P697" s="134"/>
      <c r="Q697" s="133"/>
      <c r="R697" s="133"/>
      <c r="S697" s="153">
        <v>0</v>
      </c>
      <c r="T697" s="153">
        <v>0</v>
      </c>
      <c r="U697" s="153">
        <v>0</v>
      </c>
      <c r="V697" s="135"/>
      <c r="W697" s="135"/>
      <c r="X697" s="135"/>
      <c r="Y697" s="135"/>
      <c r="Z697" s="135"/>
      <c r="AA697" s="135"/>
      <c r="AB697" s="135"/>
      <c r="AC697" s="135"/>
      <c r="AD697" s="133"/>
      <c r="AE697" s="133"/>
      <c r="AF697" s="132" t="str">
        <f t="shared" si="77"/>
        <v>Нет инфо</v>
      </c>
      <c r="AG697" s="132" t="str">
        <f t="shared" si="78"/>
        <v>Нет инфо</v>
      </c>
      <c r="AH697" s="2"/>
      <c r="AI697" s="136"/>
      <c r="AJ697" s="2"/>
      <c r="AK697" s="136"/>
      <c r="AL697" s="136"/>
      <c r="AM697" s="2"/>
      <c r="AN697" s="2"/>
      <c r="AO697" s="2"/>
      <c r="AP697" s="2"/>
      <c r="AQ697" s="136"/>
    </row>
    <row r="698" spans="1:43" s="115" customFormat="1" ht="12.75" hidden="1" customHeight="1" x14ac:dyDescent="0.2">
      <c r="A698" s="2">
        <v>2727</v>
      </c>
      <c r="B698" s="2"/>
      <c r="C698" s="131"/>
      <c r="D698" s="131"/>
      <c r="E698" s="131"/>
      <c r="F698" s="2"/>
      <c r="G698" s="2"/>
      <c r="H698" s="132">
        <v>0</v>
      </c>
      <c r="I698" s="132"/>
      <c r="J698" s="132"/>
      <c r="K698" s="132"/>
      <c r="L698" s="132">
        <f t="shared" si="74"/>
        <v>0</v>
      </c>
      <c r="M698" s="132">
        <f t="shared" si="75"/>
        <v>0</v>
      </c>
      <c r="N698" s="133"/>
      <c r="O698" s="133">
        <f t="shared" si="76"/>
        <v>0</v>
      </c>
      <c r="P698" s="134"/>
      <c r="Q698" s="133"/>
      <c r="R698" s="133"/>
      <c r="S698" s="153">
        <v>0</v>
      </c>
      <c r="T698" s="153">
        <v>0</v>
      </c>
      <c r="U698" s="153">
        <v>0</v>
      </c>
      <c r="V698" s="135"/>
      <c r="W698" s="135"/>
      <c r="X698" s="135"/>
      <c r="Y698" s="135"/>
      <c r="Z698" s="135"/>
      <c r="AA698" s="135"/>
      <c r="AB698" s="135"/>
      <c r="AC698" s="135"/>
      <c r="AD698" s="133"/>
      <c r="AE698" s="133"/>
      <c r="AF698" s="132" t="str">
        <f t="shared" si="77"/>
        <v>Нет инфо</v>
      </c>
      <c r="AG698" s="132" t="str">
        <f t="shared" si="78"/>
        <v>Нет инфо</v>
      </c>
      <c r="AH698" s="2"/>
      <c r="AI698" s="136"/>
      <c r="AJ698" s="2"/>
      <c r="AK698" s="136"/>
      <c r="AL698" s="136"/>
      <c r="AM698" s="2"/>
      <c r="AN698" s="2"/>
      <c r="AO698" s="2"/>
      <c r="AP698" s="2"/>
      <c r="AQ698" s="136"/>
    </row>
    <row r="699" spans="1:43" s="115" customFormat="1" ht="12.75" hidden="1" customHeight="1" x14ac:dyDescent="0.2">
      <c r="A699" s="2">
        <v>2728</v>
      </c>
      <c r="B699" s="2"/>
      <c r="C699" s="131"/>
      <c r="D699" s="131"/>
      <c r="E699" s="131"/>
      <c r="F699" s="2"/>
      <c r="G699" s="2"/>
      <c r="H699" s="132">
        <v>0</v>
      </c>
      <c r="I699" s="132"/>
      <c r="J699" s="132"/>
      <c r="K699" s="132"/>
      <c r="L699" s="132">
        <f t="shared" si="74"/>
        <v>0</v>
      </c>
      <c r="M699" s="132">
        <f t="shared" si="75"/>
        <v>0</v>
      </c>
      <c r="N699" s="133"/>
      <c r="O699" s="133">
        <f t="shared" si="76"/>
        <v>0</v>
      </c>
      <c r="P699" s="134"/>
      <c r="Q699" s="133"/>
      <c r="R699" s="133"/>
      <c r="S699" s="153">
        <v>0</v>
      </c>
      <c r="T699" s="153">
        <v>0</v>
      </c>
      <c r="U699" s="153">
        <v>0</v>
      </c>
      <c r="V699" s="135"/>
      <c r="W699" s="135"/>
      <c r="X699" s="135"/>
      <c r="Y699" s="135"/>
      <c r="Z699" s="135"/>
      <c r="AA699" s="135"/>
      <c r="AB699" s="135"/>
      <c r="AC699" s="135"/>
      <c r="AD699" s="133"/>
      <c r="AE699" s="133"/>
      <c r="AF699" s="132" t="str">
        <f t="shared" si="77"/>
        <v>Нет инфо</v>
      </c>
      <c r="AG699" s="132" t="str">
        <f t="shared" si="78"/>
        <v>Нет инфо</v>
      </c>
      <c r="AH699" s="2"/>
      <c r="AI699" s="136"/>
      <c r="AJ699" s="2"/>
      <c r="AK699" s="136"/>
      <c r="AL699" s="136"/>
      <c r="AM699" s="2"/>
      <c r="AN699" s="2"/>
      <c r="AO699" s="2"/>
      <c r="AP699" s="2"/>
      <c r="AQ699" s="136"/>
    </row>
    <row r="700" spans="1:43" s="115" customFormat="1" ht="12.75" hidden="1" customHeight="1" x14ac:dyDescent="0.2">
      <c r="A700" s="2">
        <v>2729</v>
      </c>
      <c r="B700" s="2"/>
      <c r="C700" s="131"/>
      <c r="D700" s="131"/>
      <c r="E700" s="131"/>
      <c r="F700" s="2"/>
      <c r="G700" s="2"/>
      <c r="H700" s="132">
        <v>0</v>
      </c>
      <c r="I700" s="132"/>
      <c r="J700" s="132"/>
      <c r="K700" s="132"/>
      <c r="L700" s="132">
        <f t="shared" si="74"/>
        <v>0</v>
      </c>
      <c r="M700" s="132">
        <f t="shared" si="75"/>
        <v>0</v>
      </c>
      <c r="N700" s="133"/>
      <c r="O700" s="133">
        <f t="shared" si="76"/>
        <v>0</v>
      </c>
      <c r="P700" s="134"/>
      <c r="Q700" s="133"/>
      <c r="R700" s="133"/>
      <c r="S700" s="153">
        <v>0</v>
      </c>
      <c r="T700" s="153">
        <v>0</v>
      </c>
      <c r="U700" s="153">
        <v>0</v>
      </c>
      <c r="V700" s="135"/>
      <c r="W700" s="135"/>
      <c r="X700" s="135"/>
      <c r="Y700" s="135"/>
      <c r="Z700" s="135"/>
      <c r="AA700" s="135"/>
      <c r="AB700" s="135"/>
      <c r="AC700" s="135"/>
      <c r="AD700" s="133"/>
      <c r="AE700" s="133"/>
      <c r="AF700" s="132" t="str">
        <f t="shared" si="77"/>
        <v>Нет инфо</v>
      </c>
      <c r="AG700" s="132" t="str">
        <f t="shared" si="78"/>
        <v>Нет инфо</v>
      </c>
      <c r="AH700" s="2"/>
      <c r="AI700" s="136"/>
      <c r="AJ700" s="2"/>
      <c r="AK700" s="136"/>
      <c r="AL700" s="136"/>
      <c r="AM700" s="2"/>
      <c r="AN700" s="2"/>
      <c r="AO700" s="2"/>
      <c r="AP700" s="2"/>
      <c r="AQ700" s="136"/>
    </row>
    <row r="701" spans="1:43" s="115" customFormat="1" ht="12.75" hidden="1" customHeight="1" x14ac:dyDescent="0.2">
      <c r="A701" s="2">
        <v>2730</v>
      </c>
      <c r="B701" s="2"/>
      <c r="C701" s="131"/>
      <c r="D701" s="131"/>
      <c r="E701" s="131"/>
      <c r="F701" s="2"/>
      <c r="G701" s="2"/>
      <c r="H701" s="132">
        <v>0</v>
      </c>
      <c r="I701" s="132"/>
      <c r="J701" s="132"/>
      <c r="K701" s="132"/>
      <c r="L701" s="132">
        <f t="shared" si="74"/>
        <v>0</v>
      </c>
      <c r="M701" s="132">
        <f t="shared" si="75"/>
        <v>0</v>
      </c>
      <c r="N701" s="133"/>
      <c r="O701" s="133">
        <f t="shared" si="76"/>
        <v>0</v>
      </c>
      <c r="P701" s="134"/>
      <c r="Q701" s="133"/>
      <c r="R701" s="133"/>
      <c r="S701" s="153">
        <v>0</v>
      </c>
      <c r="T701" s="153">
        <v>0</v>
      </c>
      <c r="U701" s="153">
        <v>0</v>
      </c>
      <c r="V701" s="135"/>
      <c r="W701" s="135"/>
      <c r="X701" s="135"/>
      <c r="Y701" s="135"/>
      <c r="Z701" s="135"/>
      <c r="AA701" s="135"/>
      <c r="AB701" s="135"/>
      <c r="AC701" s="135"/>
      <c r="AD701" s="133"/>
      <c r="AE701" s="133"/>
      <c r="AF701" s="132" t="str">
        <f t="shared" si="77"/>
        <v>Нет инфо</v>
      </c>
      <c r="AG701" s="132" t="str">
        <f t="shared" si="78"/>
        <v>Нет инфо</v>
      </c>
      <c r="AH701" s="2"/>
      <c r="AI701" s="136"/>
      <c r="AJ701" s="2"/>
      <c r="AK701" s="136"/>
      <c r="AL701" s="136"/>
      <c r="AM701" s="2"/>
      <c r="AN701" s="2"/>
      <c r="AO701" s="2"/>
      <c r="AP701" s="2"/>
      <c r="AQ701" s="136"/>
    </row>
    <row r="702" spans="1:43" s="115" customFormat="1" ht="12.75" hidden="1" customHeight="1" x14ac:dyDescent="0.2">
      <c r="A702" s="2">
        <v>2731</v>
      </c>
      <c r="B702" s="2"/>
      <c r="C702" s="131"/>
      <c r="D702" s="131"/>
      <c r="E702" s="131"/>
      <c r="F702" s="2"/>
      <c r="G702" s="2"/>
      <c r="H702" s="132">
        <v>0</v>
      </c>
      <c r="I702" s="132"/>
      <c r="J702" s="132"/>
      <c r="K702" s="132"/>
      <c r="L702" s="132">
        <f t="shared" si="74"/>
        <v>0</v>
      </c>
      <c r="M702" s="132">
        <f t="shared" si="75"/>
        <v>0</v>
      </c>
      <c r="N702" s="133"/>
      <c r="O702" s="133">
        <f t="shared" si="76"/>
        <v>0</v>
      </c>
      <c r="P702" s="134"/>
      <c r="Q702" s="133"/>
      <c r="R702" s="133"/>
      <c r="S702" s="153">
        <v>0</v>
      </c>
      <c r="T702" s="153">
        <v>0</v>
      </c>
      <c r="U702" s="153">
        <v>0</v>
      </c>
      <c r="V702" s="135"/>
      <c r="W702" s="135"/>
      <c r="X702" s="135"/>
      <c r="Y702" s="135"/>
      <c r="Z702" s="135"/>
      <c r="AA702" s="135"/>
      <c r="AB702" s="135"/>
      <c r="AC702" s="135"/>
      <c r="AD702" s="133"/>
      <c r="AE702" s="133"/>
      <c r="AF702" s="132" t="str">
        <f t="shared" si="77"/>
        <v>Нет инфо</v>
      </c>
      <c r="AG702" s="132" t="str">
        <f t="shared" si="78"/>
        <v>Нет инфо</v>
      </c>
      <c r="AH702" s="2"/>
      <c r="AI702" s="136"/>
      <c r="AJ702" s="2"/>
      <c r="AK702" s="136"/>
      <c r="AL702" s="136"/>
      <c r="AM702" s="2"/>
      <c r="AN702" s="2"/>
      <c r="AO702" s="2"/>
      <c r="AP702" s="2"/>
      <c r="AQ702" s="136"/>
    </row>
    <row r="703" spans="1:43" s="115" customFormat="1" ht="12.75" hidden="1" customHeight="1" x14ac:dyDescent="0.2">
      <c r="A703" s="2">
        <v>2732</v>
      </c>
      <c r="B703" s="2"/>
      <c r="C703" s="131"/>
      <c r="D703" s="131"/>
      <c r="E703" s="131"/>
      <c r="F703" s="2"/>
      <c r="G703" s="2"/>
      <c r="H703" s="132">
        <v>0</v>
      </c>
      <c r="I703" s="132"/>
      <c r="J703" s="132"/>
      <c r="K703" s="132"/>
      <c r="L703" s="132">
        <f t="shared" si="74"/>
        <v>0</v>
      </c>
      <c r="M703" s="132">
        <f t="shared" si="75"/>
        <v>0</v>
      </c>
      <c r="N703" s="133"/>
      <c r="O703" s="133">
        <f t="shared" si="76"/>
        <v>0</v>
      </c>
      <c r="P703" s="134"/>
      <c r="Q703" s="133"/>
      <c r="R703" s="133"/>
      <c r="S703" s="153">
        <v>0</v>
      </c>
      <c r="T703" s="153">
        <v>0</v>
      </c>
      <c r="U703" s="153">
        <v>0</v>
      </c>
      <c r="V703" s="135"/>
      <c r="W703" s="135"/>
      <c r="X703" s="135"/>
      <c r="Y703" s="135"/>
      <c r="Z703" s="135"/>
      <c r="AA703" s="135"/>
      <c r="AB703" s="135"/>
      <c r="AC703" s="135"/>
      <c r="AD703" s="133"/>
      <c r="AE703" s="133"/>
      <c r="AF703" s="132" t="str">
        <f t="shared" si="77"/>
        <v>Нет инфо</v>
      </c>
      <c r="AG703" s="132" t="str">
        <f t="shared" si="78"/>
        <v>Нет инфо</v>
      </c>
      <c r="AH703" s="2"/>
      <c r="AI703" s="136"/>
      <c r="AJ703" s="2"/>
      <c r="AK703" s="136"/>
      <c r="AL703" s="136"/>
      <c r="AM703" s="2"/>
      <c r="AN703" s="2"/>
      <c r="AO703" s="2"/>
      <c r="AP703" s="2"/>
      <c r="AQ703" s="136"/>
    </row>
    <row r="704" spans="1:43" s="115" customFormat="1" ht="12.75" hidden="1" customHeight="1" x14ac:dyDescent="0.2">
      <c r="A704" s="2">
        <v>2733</v>
      </c>
      <c r="B704" s="2"/>
      <c r="C704" s="131"/>
      <c r="D704" s="131"/>
      <c r="E704" s="131"/>
      <c r="F704" s="2"/>
      <c r="G704" s="2"/>
      <c r="H704" s="132">
        <v>0</v>
      </c>
      <c r="I704" s="132"/>
      <c r="J704" s="132"/>
      <c r="K704" s="132"/>
      <c r="L704" s="132">
        <f t="shared" si="74"/>
        <v>0</v>
      </c>
      <c r="M704" s="132">
        <f t="shared" si="75"/>
        <v>0</v>
      </c>
      <c r="N704" s="133"/>
      <c r="O704" s="133">
        <f t="shared" si="76"/>
        <v>0</v>
      </c>
      <c r="P704" s="134"/>
      <c r="Q704" s="133"/>
      <c r="R704" s="133"/>
      <c r="S704" s="153">
        <v>0</v>
      </c>
      <c r="T704" s="153">
        <v>0</v>
      </c>
      <c r="U704" s="153">
        <v>0</v>
      </c>
      <c r="V704" s="135"/>
      <c r="W704" s="135"/>
      <c r="X704" s="135"/>
      <c r="Y704" s="135"/>
      <c r="Z704" s="135"/>
      <c r="AA704" s="135"/>
      <c r="AB704" s="135"/>
      <c r="AC704" s="135"/>
      <c r="AD704" s="133"/>
      <c r="AE704" s="133"/>
      <c r="AF704" s="132" t="str">
        <f t="shared" si="77"/>
        <v>Нет инфо</v>
      </c>
      <c r="AG704" s="132" t="str">
        <f t="shared" si="78"/>
        <v>Нет инфо</v>
      </c>
      <c r="AH704" s="2"/>
      <c r="AI704" s="136"/>
      <c r="AJ704" s="2"/>
      <c r="AK704" s="136"/>
      <c r="AL704" s="136"/>
      <c r="AM704" s="2"/>
      <c r="AN704" s="2"/>
      <c r="AO704" s="2"/>
      <c r="AP704" s="2"/>
      <c r="AQ704" s="136"/>
    </row>
    <row r="705" spans="1:43" s="115" customFormat="1" ht="12.75" hidden="1" customHeight="1" x14ac:dyDescent="0.2">
      <c r="A705" s="2">
        <v>2734</v>
      </c>
      <c r="B705" s="2"/>
      <c r="C705" s="131"/>
      <c r="D705" s="131"/>
      <c r="E705" s="131"/>
      <c r="F705" s="2"/>
      <c r="G705" s="2"/>
      <c r="H705" s="132">
        <v>0</v>
      </c>
      <c r="I705" s="132"/>
      <c r="J705" s="132"/>
      <c r="K705" s="132"/>
      <c r="L705" s="132">
        <f t="shared" si="74"/>
        <v>0</v>
      </c>
      <c r="M705" s="132">
        <f t="shared" si="75"/>
        <v>0</v>
      </c>
      <c r="N705" s="133"/>
      <c r="O705" s="133">
        <f t="shared" si="76"/>
        <v>0</v>
      </c>
      <c r="P705" s="134"/>
      <c r="Q705" s="133"/>
      <c r="R705" s="133"/>
      <c r="S705" s="153">
        <v>0</v>
      </c>
      <c r="T705" s="153">
        <v>0</v>
      </c>
      <c r="U705" s="153">
        <v>0</v>
      </c>
      <c r="V705" s="135"/>
      <c r="W705" s="135"/>
      <c r="X705" s="135"/>
      <c r="Y705" s="135"/>
      <c r="Z705" s="135"/>
      <c r="AA705" s="135"/>
      <c r="AB705" s="135"/>
      <c r="AC705" s="135"/>
      <c r="AD705" s="133"/>
      <c r="AE705" s="133"/>
      <c r="AF705" s="132" t="str">
        <f t="shared" si="77"/>
        <v>Нет инфо</v>
      </c>
      <c r="AG705" s="132" t="str">
        <f t="shared" si="78"/>
        <v>Нет инфо</v>
      </c>
      <c r="AH705" s="2"/>
      <c r="AI705" s="136"/>
      <c r="AJ705" s="2"/>
      <c r="AK705" s="136"/>
      <c r="AL705" s="136"/>
      <c r="AM705" s="2"/>
      <c r="AN705" s="2"/>
      <c r="AO705" s="2"/>
      <c r="AP705" s="2"/>
      <c r="AQ705" s="136"/>
    </row>
    <row r="706" spans="1:43" s="115" customFormat="1" ht="12.75" hidden="1" customHeight="1" x14ac:dyDescent="0.2">
      <c r="A706" s="2">
        <v>2735</v>
      </c>
      <c r="B706" s="2"/>
      <c r="C706" s="131"/>
      <c r="D706" s="131"/>
      <c r="E706" s="131"/>
      <c r="F706" s="2"/>
      <c r="G706" s="2"/>
      <c r="H706" s="132">
        <v>0</v>
      </c>
      <c r="I706" s="132"/>
      <c r="J706" s="132"/>
      <c r="K706" s="132"/>
      <c r="L706" s="132">
        <f t="shared" si="74"/>
        <v>0</v>
      </c>
      <c r="M706" s="132">
        <f t="shared" si="75"/>
        <v>0</v>
      </c>
      <c r="N706" s="133"/>
      <c r="O706" s="133">
        <f t="shared" si="76"/>
        <v>0</v>
      </c>
      <c r="P706" s="134"/>
      <c r="Q706" s="133"/>
      <c r="R706" s="133"/>
      <c r="S706" s="153">
        <v>0</v>
      </c>
      <c r="T706" s="153">
        <v>0</v>
      </c>
      <c r="U706" s="153">
        <v>0</v>
      </c>
      <c r="V706" s="135"/>
      <c r="W706" s="135"/>
      <c r="X706" s="135"/>
      <c r="Y706" s="135"/>
      <c r="Z706" s="135"/>
      <c r="AA706" s="135"/>
      <c r="AB706" s="135"/>
      <c r="AC706" s="135"/>
      <c r="AD706" s="133"/>
      <c r="AE706" s="133"/>
      <c r="AF706" s="132" t="str">
        <f t="shared" si="77"/>
        <v>Нет инфо</v>
      </c>
      <c r="AG706" s="132" t="str">
        <f t="shared" si="78"/>
        <v>Нет инфо</v>
      </c>
      <c r="AH706" s="2"/>
      <c r="AI706" s="136"/>
      <c r="AJ706" s="2"/>
      <c r="AK706" s="136"/>
      <c r="AL706" s="136"/>
      <c r="AM706" s="2"/>
      <c r="AN706" s="2"/>
      <c r="AO706" s="2"/>
      <c r="AP706" s="2"/>
      <c r="AQ706" s="136"/>
    </row>
    <row r="707" spans="1:43" s="115" customFormat="1" ht="12.75" hidden="1" customHeight="1" x14ac:dyDescent="0.2">
      <c r="A707" s="2">
        <v>2736</v>
      </c>
      <c r="B707" s="2"/>
      <c r="C707" s="131"/>
      <c r="D707" s="131"/>
      <c r="E707" s="131"/>
      <c r="F707" s="2"/>
      <c r="G707" s="2"/>
      <c r="H707" s="132">
        <v>0</v>
      </c>
      <c r="I707" s="132"/>
      <c r="J707" s="132"/>
      <c r="K707" s="132"/>
      <c r="L707" s="132">
        <f t="shared" si="74"/>
        <v>0</v>
      </c>
      <c r="M707" s="132">
        <f t="shared" si="75"/>
        <v>0</v>
      </c>
      <c r="N707" s="133"/>
      <c r="O707" s="133">
        <f t="shared" si="76"/>
        <v>0</v>
      </c>
      <c r="P707" s="134"/>
      <c r="Q707" s="133"/>
      <c r="R707" s="133"/>
      <c r="S707" s="153">
        <v>0</v>
      </c>
      <c r="T707" s="153">
        <v>0</v>
      </c>
      <c r="U707" s="153">
        <v>0</v>
      </c>
      <c r="V707" s="135"/>
      <c r="W707" s="135"/>
      <c r="X707" s="135"/>
      <c r="Y707" s="135"/>
      <c r="Z707" s="135"/>
      <c r="AA707" s="135"/>
      <c r="AB707" s="135"/>
      <c r="AC707" s="135"/>
      <c r="AD707" s="133"/>
      <c r="AE707" s="133"/>
      <c r="AF707" s="132" t="str">
        <f t="shared" si="77"/>
        <v>Нет инфо</v>
      </c>
      <c r="AG707" s="132" t="str">
        <f t="shared" si="78"/>
        <v>Нет инфо</v>
      </c>
      <c r="AH707" s="2"/>
      <c r="AI707" s="136"/>
      <c r="AJ707" s="2"/>
      <c r="AK707" s="136"/>
      <c r="AL707" s="136"/>
      <c r="AM707" s="2"/>
      <c r="AN707" s="2"/>
      <c r="AO707" s="2"/>
      <c r="AP707" s="2"/>
      <c r="AQ707" s="136"/>
    </row>
    <row r="708" spans="1:43" s="115" customFormat="1" ht="12.75" hidden="1" customHeight="1" x14ac:dyDescent="0.2">
      <c r="A708" s="2">
        <v>2737</v>
      </c>
      <c r="B708" s="2"/>
      <c r="C708" s="131"/>
      <c r="D708" s="131"/>
      <c r="E708" s="131"/>
      <c r="F708" s="2"/>
      <c r="G708" s="2"/>
      <c r="H708" s="132">
        <v>0</v>
      </c>
      <c r="I708" s="132"/>
      <c r="J708" s="132"/>
      <c r="K708" s="132"/>
      <c r="L708" s="132">
        <f t="shared" si="74"/>
        <v>0</v>
      </c>
      <c r="M708" s="132">
        <f t="shared" si="75"/>
        <v>0</v>
      </c>
      <c r="N708" s="133"/>
      <c r="O708" s="133">
        <f t="shared" si="76"/>
        <v>0</v>
      </c>
      <c r="P708" s="134"/>
      <c r="Q708" s="133"/>
      <c r="R708" s="133"/>
      <c r="S708" s="153">
        <v>0</v>
      </c>
      <c r="T708" s="153">
        <v>0</v>
      </c>
      <c r="U708" s="153">
        <v>0</v>
      </c>
      <c r="V708" s="135"/>
      <c r="W708" s="135"/>
      <c r="X708" s="135"/>
      <c r="Y708" s="135"/>
      <c r="Z708" s="135"/>
      <c r="AA708" s="135"/>
      <c r="AB708" s="135"/>
      <c r="AC708" s="135"/>
      <c r="AD708" s="133"/>
      <c r="AE708" s="133"/>
      <c r="AF708" s="132" t="str">
        <f t="shared" si="77"/>
        <v>Нет инфо</v>
      </c>
      <c r="AG708" s="132" t="str">
        <f t="shared" si="78"/>
        <v>Нет инфо</v>
      </c>
      <c r="AH708" s="2"/>
      <c r="AI708" s="136"/>
      <c r="AJ708" s="2"/>
      <c r="AK708" s="136"/>
      <c r="AL708" s="136"/>
      <c r="AM708" s="2"/>
      <c r="AN708" s="2"/>
      <c r="AO708" s="2"/>
      <c r="AP708" s="2"/>
      <c r="AQ708" s="136"/>
    </row>
    <row r="709" spans="1:43" s="115" customFormat="1" ht="12.75" hidden="1" customHeight="1" x14ac:dyDescent="0.2">
      <c r="A709" s="2">
        <v>2738</v>
      </c>
      <c r="B709" s="2"/>
      <c r="C709" s="131"/>
      <c r="D709" s="131"/>
      <c r="E709" s="131"/>
      <c r="F709" s="2"/>
      <c r="G709" s="2"/>
      <c r="H709" s="132">
        <v>0</v>
      </c>
      <c r="I709" s="132"/>
      <c r="J709" s="132"/>
      <c r="K709" s="132"/>
      <c r="L709" s="132">
        <f t="shared" si="74"/>
        <v>0</v>
      </c>
      <c r="M709" s="132">
        <f t="shared" si="75"/>
        <v>0</v>
      </c>
      <c r="N709" s="133"/>
      <c r="O709" s="133">
        <f t="shared" si="76"/>
        <v>0</v>
      </c>
      <c r="P709" s="134"/>
      <c r="Q709" s="133"/>
      <c r="R709" s="133"/>
      <c r="S709" s="153">
        <v>0</v>
      </c>
      <c r="T709" s="153">
        <v>0</v>
      </c>
      <c r="U709" s="153">
        <v>0</v>
      </c>
      <c r="V709" s="135"/>
      <c r="W709" s="135"/>
      <c r="X709" s="135"/>
      <c r="Y709" s="135"/>
      <c r="Z709" s="135"/>
      <c r="AA709" s="135"/>
      <c r="AB709" s="135"/>
      <c r="AC709" s="135"/>
      <c r="AD709" s="133"/>
      <c r="AE709" s="133"/>
      <c r="AF709" s="132" t="str">
        <f t="shared" si="77"/>
        <v>Нет инфо</v>
      </c>
      <c r="AG709" s="132" t="str">
        <f t="shared" si="78"/>
        <v>Нет инфо</v>
      </c>
      <c r="AH709" s="2"/>
      <c r="AI709" s="136"/>
      <c r="AJ709" s="2"/>
      <c r="AK709" s="136"/>
      <c r="AL709" s="136"/>
      <c r="AM709" s="2"/>
      <c r="AN709" s="2"/>
      <c r="AO709" s="2"/>
      <c r="AP709" s="2"/>
      <c r="AQ709" s="136"/>
    </row>
    <row r="710" spans="1:43" s="115" customFormat="1" ht="12.75" hidden="1" customHeight="1" x14ac:dyDescent="0.2">
      <c r="A710" s="2">
        <v>2739</v>
      </c>
      <c r="B710" s="2"/>
      <c r="C710" s="131"/>
      <c r="D710" s="131"/>
      <c r="E710" s="131"/>
      <c r="F710" s="2"/>
      <c r="G710" s="2"/>
      <c r="H710" s="132">
        <v>0</v>
      </c>
      <c r="I710" s="132"/>
      <c r="J710" s="132"/>
      <c r="K710" s="132"/>
      <c r="L710" s="132">
        <f t="shared" si="74"/>
        <v>0</v>
      </c>
      <c r="M710" s="132">
        <f t="shared" si="75"/>
        <v>0</v>
      </c>
      <c r="N710" s="133"/>
      <c r="O710" s="133">
        <f t="shared" si="76"/>
        <v>0</v>
      </c>
      <c r="P710" s="134"/>
      <c r="Q710" s="133"/>
      <c r="R710" s="133"/>
      <c r="S710" s="153">
        <v>0</v>
      </c>
      <c r="T710" s="153">
        <v>0</v>
      </c>
      <c r="U710" s="153">
        <v>0</v>
      </c>
      <c r="V710" s="135"/>
      <c r="W710" s="135"/>
      <c r="X710" s="135"/>
      <c r="Y710" s="135"/>
      <c r="Z710" s="135"/>
      <c r="AA710" s="135"/>
      <c r="AB710" s="135"/>
      <c r="AC710" s="135"/>
      <c r="AD710" s="133"/>
      <c r="AE710" s="133"/>
      <c r="AF710" s="132" t="str">
        <f t="shared" si="77"/>
        <v>Нет инфо</v>
      </c>
      <c r="AG710" s="132" t="str">
        <f t="shared" si="78"/>
        <v>Нет инфо</v>
      </c>
      <c r="AH710" s="2"/>
      <c r="AI710" s="136"/>
      <c r="AJ710" s="2"/>
      <c r="AK710" s="136"/>
      <c r="AL710" s="136"/>
      <c r="AM710" s="2"/>
      <c r="AN710" s="2"/>
      <c r="AO710" s="2"/>
      <c r="AP710" s="2"/>
      <c r="AQ710" s="136"/>
    </row>
    <row r="711" spans="1:43" s="115" customFormat="1" ht="12.75" hidden="1" customHeight="1" x14ac:dyDescent="0.2">
      <c r="A711" s="2">
        <v>2740</v>
      </c>
      <c r="B711" s="2"/>
      <c r="C711" s="131"/>
      <c r="D711" s="131"/>
      <c r="E711" s="131"/>
      <c r="F711" s="2"/>
      <c r="G711" s="2"/>
      <c r="H711" s="132">
        <v>0</v>
      </c>
      <c r="I711" s="132"/>
      <c r="J711" s="132"/>
      <c r="K711" s="132"/>
      <c r="L711" s="132">
        <f t="shared" si="74"/>
        <v>0</v>
      </c>
      <c r="M711" s="132">
        <f t="shared" si="75"/>
        <v>0</v>
      </c>
      <c r="N711" s="133"/>
      <c r="O711" s="133">
        <f t="shared" si="76"/>
        <v>0</v>
      </c>
      <c r="P711" s="134"/>
      <c r="Q711" s="133"/>
      <c r="R711" s="133"/>
      <c r="S711" s="153">
        <v>0</v>
      </c>
      <c r="T711" s="153">
        <v>0</v>
      </c>
      <c r="U711" s="153">
        <v>0</v>
      </c>
      <c r="V711" s="135"/>
      <c r="W711" s="135"/>
      <c r="X711" s="135"/>
      <c r="Y711" s="135"/>
      <c r="Z711" s="135"/>
      <c r="AA711" s="135"/>
      <c r="AB711" s="135"/>
      <c r="AC711" s="135"/>
      <c r="AD711" s="133"/>
      <c r="AE711" s="133"/>
      <c r="AF711" s="132" t="str">
        <f t="shared" si="77"/>
        <v>Нет инфо</v>
      </c>
      <c r="AG711" s="132" t="str">
        <f t="shared" si="78"/>
        <v>Нет инфо</v>
      </c>
      <c r="AH711" s="2"/>
      <c r="AI711" s="136"/>
      <c r="AJ711" s="2"/>
      <c r="AK711" s="136"/>
      <c r="AL711" s="136"/>
      <c r="AM711" s="2"/>
      <c r="AN711" s="2"/>
      <c r="AO711" s="2"/>
      <c r="AP711" s="2"/>
      <c r="AQ711" s="136"/>
    </row>
    <row r="712" spans="1:43" s="115" customFormat="1" ht="12.75" hidden="1" customHeight="1" x14ac:dyDescent="0.2">
      <c r="A712" s="2">
        <v>2741</v>
      </c>
      <c r="B712" s="2"/>
      <c r="C712" s="131"/>
      <c r="D712" s="131"/>
      <c r="E712" s="131"/>
      <c r="F712" s="2"/>
      <c r="G712" s="2"/>
      <c r="H712" s="132">
        <v>0</v>
      </c>
      <c r="I712" s="132"/>
      <c r="J712" s="132"/>
      <c r="K712" s="132"/>
      <c r="L712" s="132">
        <f t="shared" si="74"/>
        <v>0</v>
      </c>
      <c r="M712" s="132">
        <f t="shared" si="75"/>
        <v>0</v>
      </c>
      <c r="N712" s="133"/>
      <c r="O712" s="133">
        <f t="shared" si="76"/>
        <v>0</v>
      </c>
      <c r="P712" s="134"/>
      <c r="Q712" s="133"/>
      <c r="R712" s="133"/>
      <c r="S712" s="153">
        <v>0</v>
      </c>
      <c r="T712" s="153">
        <v>0</v>
      </c>
      <c r="U712" s="153">
        <v>0</v>
      </c>
      <c r="V712" s="135"/>
      <c r="W712" s="135"/>
      <c r="X712" s="135"/>
      <c r="Y712" s="135"/>
      <c r="Z712" s="135"/>
      <c r="AA712" s="135"/>
      <c r="AB712" s="135"/>
      <c r="AC712" s="135"/>
      <c r="AD712" s="133"/>
      <c r="AE712" s="133"/>
      <c r="AF712" s="132" t="str">
        <f t="shared" si="77"/>
        <v>Нет инфо</v>
      </c>
      <c r="AG712" s="132" t="str">
        <f t="shared" si="78"/>
        <v>Нет инфо</v>
      </c>
      <c r="AH712" s="2"/>
      <c r="AI712" s="136"/>
      <c r="AJ712" s="2"/>
      <c r="AK712" s="136"/>
      <c r="AL712" s="136"/>
      <c r="AM712" s="2"/>
      <c r="AN712" s="2"/>
      <c r="AO712" s="2"/>
      <c r="AP712" s="2"/>
      <c r="AQ712" s="136"/>
    </row>
    <row r="713" spans="1:43" s="115" customFormat="1" ht="12.75" hidden="1" customHeight="1" x14ac:dyDescent="0.2">
      <c r="A713" s="2">
        <v>2742</v>
      </c>
      <c r="B713" s="2"/>
      <c r="C713" s="131"/>
      <c r="D713" s="131"/>
      <c r="E713" s="131"/>
      <c r="F713" s="2"/>
      <c r="G713" s="2"/>
      <c r="H713" s="132">
        <v>0</v>
      </c>
      <c r="I713" s="132"/>
      <c r="J713" s="132"/>
      <c r="K713" s="132"/>
      <c r="L713" s="132">
        <f t="shared" si="74"/>
        <v>0</v>
      </c>
      <c r="M713" s="132">
        <f t="shared" si="75"/>
        <v>0</v>
      </c>
      <c r="N713" s="133"/>
      <c r="O713" s="133">
        <f t="shared" si="76"/>
        <v>0</v>
      </c>
      <c r="P713" s="134"/>
      <c r="Q713" s="133"/>
      <c r="R713" s="133"/>
      <c r="S713" s="153">
        <v>0</v>
      </c>
      <c r="T713" s="153">
        <v>0</v>
      </c>
      <c r="U713" s="153">
        <v>0</v>
      </c>
      <c r="V713" s="135"/>
      <c r="W713" s="135"/>
      <c r="X713" s="135"/>
      <c r="Y713" s="135"/>
      <c r="Z713" s="135"/>
      <c r="AA713" s="135"/>
      <c r="AB713" s="135"/>
      <c r="AC713" s="135"/>
      <c r="AD713" s="133"/>
      <c r="AE713" s="133"/>
      <c r="AF713" s="132" t="str">
        <f t="shared" si="77"/>
        <v>Нет инфо</v>
      </c>
      <c r="AG713" s="132" t="str">
        <f t="shared" si="78"/>
        <v>Нет инфо</v>
      </c>
      <c r="AH713" s="2"/>
      <c r="AI713" s="136"/>
      <c r="AJ713" s="2"/>
      <c r="AK713" s="136"/>
      <c r="AL713" s="136"/>
      <c r="AM713" s="2"/>
      <c r="AN713" s="2"/>
      <c r="AO713" s="2"/>
      <c r="AP713" s="2"/>
      <c r="AQ713" s="136"/>
    </row>
    <row r="714" spans="1:43" s="115" customFormat="1" ht="12.75" hidden="1" customHeight="1" x14ac:dyDescent="0.2">
      <c r="A714" s="2">
        <v>2743</v>
      </c>
      <c r="B714" s="2"/>
      <c r="C714" s="131"/>
      <c r="D714" s="131"/>
      <c r="E714" s="131"/>
      <c r="F714" s="2"/>
      <c r="G714" s="2"/>
      <c r="H714" s="132">
        <v>0</v>
      </c>
      <c r="I714" s="132"/>
      <c r="J714" s="132"/>
      <c r="K714" s="132"/>
      <c r="L714" s="132">
        <f t="shared" si="74"/>
        <v>0</v>
      </c>
      <c r="M714" s="132">
        <f t="shared" si="75"/>
        <v>0</v>
      </c>
      <c r="N714" s="133"/>
      <c r="O714" s="133">
        <f t="shared" si="76"/>
        <v>0</v>
      </c>
      <c r="P714" s="134"/>
      <c r="Q714" s="133"/>
      <c r="R714" s="133"/>
      <c r="S714" s="153">
        <v>0</v>
      </c>
      <c r="T714" s="153">
        <v>0</v>
      </c>
      <c r="U714" s="153">
        <v>0</v>
      </c>
      <c r="V714" s="135"/>
      <c r="W714" s="135"/>
      <c r="X714" s="135"/>
      <c r="Y714" s="135"/>
      <c r="Z714" s="135"/>
      <c r="AA714" s="135"/>
      <c r="AB714" s="135"/>
      <c r="AC714" s="135"/>
      <c r="AD714" s="133"/>
      <c r="AE714" s="133"/>
      <c r="AF714" s="132" t="str">
        <f t="shared" si="77"/>
        <v>Нет инфо</v>
      </c>
      <c r="AG714" s="132" t="str">
        <f t="shared" si="78"/>
        <v>Нет инфо</v>
      </c>
      <c r="AH714" s="2"/>
      <c r="AI714" s="136"/>
      <c r="AJ714" s="2"/>
      <c r="AK714" s="136"/>
      <c r="AL714" s="136"/>
      <c r="AM714" s="2"/>
      <c r="AN714" s="2"/>
      <c r="AO714" s="2"/>
      <c r="AP714" s="2"/>
      <c r="AQ714" s="136"/>
    </row>
    <row r="715" spans="1:43" s="115" customFormat="1" ht="12.75" hidden="1" customHeight="1" x14ac:dyDescent="0.2">
      <c r="A715" s="2">
        <v>2744</v>
      </c>
      <c r="B715" s="2"/>
      <c r="C715" s="131"/>
      <c r="D715" s="131"/>
      <c r="E715" s="131"/>
      <c r="F715" s="2"/>
      <c r="G715" s="2"/>
      <c r="H715" s="132">
        <v>0</v>
      </c>
      <c r="I715" s="132"/>
      <c r="J715" s="132"/>
      <c r="K715" s="132"/>
      <c r="L715" s="132">
        <f t="shared" ref="L715:L778" si="79">H715-K715</f>
        <v>0</v>
      </c>
      <c r="M715" s="132">
        <f t="shared" ref="M715:M778" si="80">I715-K715</f>
        <v>0</v>
      </c>
      <c r="N715" s="133"/>
      <c r="O715" s="133">
        <f t="shared" ref="O715:O778" si="81">IF(OR(AJ715="принят",AJ715="Завершено",AJ715="ПриПро"),I715-K715,H715-K715)</f>
        <v>0</v>
      </c>
      <c r="P715" s="134"/>
      <c r="Q715" s="133"/>
      <c r="R715" s="133"/>
      <c r="S715" s="153">
        <v>0</v>
      </c>
      <c r="T715" s="153">
        <v>0</v>
      </c>
      <c r="U715" s="153">
        <v>0</v>
      </c>
      <c r="V715" s="135"/>
      <c r="W715" s="135"/>
      <c r="X715" s="135"/>
      <c r="Y715" s="135"/>
      <c r="Z715" s="135"/>
      <c r="AA715" s="135"/>
      <c r="AB715" s="135"/>
      <c r="AC715" s="135"/>
      <c r="AD715" s="133"/>
      <c r="AE715" s="133"/>
      <c r="AF715" s="132" t="str">
        <f t="shared" si="77"/>
        <v>Нет инфо</v>
      </c>
      <c r="AG715" s="132" t="str">
        <f t="shared" si="78"/>
        <v>Нет инфо</v>
      </c>
      <c r="AH715" s="2"/>
      <c r="AI715" s="136"/>
      <c r="AJ715" s="2"/>
      <c r="AK715" s="136"/>
      <c r="AL715" s="136"/>
      <c r="AM715" s="2"/>
      <c r="AN715" s="2"/>
      <c r="AO715" s="2"/>
      <c r="AP715" s="2"/>
      <c r="AQ715" s="136"/>
    </row>
    <row r="716" spans="1:43" s="115" customFormat="1" ht="12.75" hidden="1" customHeight="1" x14ac:dyDescent="0.2">
      <c r="A716" s="2">
        <v>2745</v>
      </c>
      <c r="B716" s="2"/>
      <c r="C716" s="131"/>
      <c r="D716" s="131"/>
      <c r="E716" s="131"/>
      <c r="F716" s="2"/>
      <c r="G716" s="2"/>
      <c r="H716" s="132">
        <v>0</v>
      </c>
      <c r="I716" s="132"/>
      <c r="J716" s="132"/>
      <c r="K716" s="132"/>
      <c r="L716" s="132">
        <f t="shared" si="79"/>
        <v>0</v>
      </c>
      <c r="M716" s="132">
        <f t="shared" si="80"/>
        <v>0</v>
      </c>
      <c r="N716" s="133"/>
      <c r="O716" s="133">
        <f t="shared" si="81"/>
        <v>0</v>
      </c>
      <c r="P716" s="134"/>
      <c r="Q716" s="133"/>
      <c r="R716" s="133"/>
      <c r="S716" s="153">
        <v>0</v>
      </c>
      <c r="T716" s="153">
        <v>0</v>
      </c>
      <c r="U716" s="153">
        <v>0</v>
      </c>
      <c r="V716" s="135"/>
      <c r="W716" s="135"/>
      <c r="X716" s="135"/>
      <c r="Y716" s="135"/>
      <c r="Z716" s="135"/>
      <c r="AA716" s="135"/>
      <c r="AB716" s="135"/>
      <c r="AC716" s="135"/>
      <c r="AD716" s="133"/>
      <c r="AE716" s="133"/>
      <c r="AF716" s="132" t="str">
        <f t="shared" si="77"/>
        <v>Нет инфо</v>
      </c>
      <c r="AG716" s="132" t="str">
        <f t="shared" si="78"/>
        <v>Нет инфо</v>
      </c>
      <c r="AH716" s="2"/>
      <c r="AI716" s="136"/>
      <c r="AJ716" s="2"/>
      <c r="AK716" s="136"/>
      <c r="AL716" s="136"/>
      <c r="AM716" s="2"/>
      <c r="AN716" s="2"/>
      <c r="AO716" s="2"/>
      <c r="AP716" s="2"/>
      <c r="AQ716" s="136"/>
    </row>
    <row r="717" spans="1:43" s="115" customFormat="1" ht="12.75" hidden="1" customHeight="1" x14ac:dyDescent="0.2">
      <c r="A717" s="2">
        <v>2746</v>
      </c>
      <c r="B717" s="2"/>
      <c r="C717" s="131"/>
      <c r="D717" s="131"/>
      <c r="E717" s="131"/>
      <c r="F717" s="2"/>
      <c r="G717" s="2"/>
      <c r="H717" s="132">
        <v>0</v>
      </c>
      <c r="I717" s="132"/>
      <c r="J717" s="132"/>
      <c r="K717" s="132"/>
      <c r="L717" s="132">
        <f t="shared" si="79"/>
        <v>0</v>
      </c>
      <c r="M717" s="132">
        <f t="shared" si="80"/>
        <v>0</v>
      </c>
      <c r="N717" s="133"/>
      <c r="O717" s="133">
        <f t="shared" si="81"/>
        <v>0</v>
      </c>
      <c r="P717" s="134"/>
      <c r="Q717" s="133"/>
      <c r="R717" s="133"/>
      <c r="S717" s="153">
        <v>0</v>
      </c>
      <c r="T717" s="153">
        <v>0</v>
      </c>
      <c r="U717" s="153">
        <v>0</v>
      </c>
      <c r="V717" s="135"/>
      <c r="W717" s="135"/>
      <c r="X717" s="135"/>
      <c r="Y717" s="135"/>
      <c r="Z717" s="135"/>
      <c r="AA717" s="135"/>
      <c r="AB717" s="135"/>
      <c r="AC717" s="135"/>
      <c r="AD717" s="133"/>
      <c r="AE717" s="133"/>
      <c r="AF717" s="132" t="str">
        <f t="shared" si="77"/>
        <v>Нет инфо</v>
      </c>
      <c r="AG717" s="132" t="str">
        <f t="shared" si="78"/>
        <v>Нет инфо</v>
      </c>
      <c r="AH717" s="2"/>
      <c r="AI717" s="136"/>
      <c r="AJ717" s="2"/>
      <c r="AK717" s="136"/>
      <c r="AL717" s="136"/>
      <c r="AM717" s="2"/>
      <c r="AN717" s="2"/>
      <c r="AO717" s="2"/>
      <c r="AP717" s="2"/>
      <c r="AQ717" s="136"/>
    </row>
    <row r="718" spans="1:43" s="115" customFormat="1" ht="12.75" hidden="1" customHeight="1" x14ac:dyDescent="0.2">
      <c r="A718" s="2">
        <v>2747</v>
      </c>
      <c r="B718" s="2"/>
      <c r="C718" s="131"/>
      <c r="D718" s="131"/>
      <c r="E718" s="131"/>
      <c r="F718" s="2"/>
      <c r="G718" s="2"/>
      <c r="H718" s="132">
        <v>0</v>
      </c>
      <c r="I718" s="132"/>
      <c r="J718" s="132"/>
      <c r="K718" s="132"/>
      <c r="L718" s="132">
        <f t="shared" si="79"/>
        <v>0</v>
      </c>
      <c r="M718" s="132">
        <f t="shared" si="80"/>
        <v>0</v>
      </c>
      <c r="N718" s="133"/>
      <c r="O718" s="133">
        <f t="shared" si="81"/>
        <v>0</v>
      </c>
      <c r="P718" s="134"/>
      <c r="Q718" s="133"/>
      <c r="R718" s="133"/>
      <c r="S718" s="153">
        <v>0</v>
      </c>
      <c r="T718" s="153">
        <v>0</v>
      </c>
      <c r="U718" s="153">
        <v>0</v>
      </c>
      <c r="V718" s="135"/>
      <c r="W718" s="135"/>
      <c r="X718" s="135"/>
      <c r="Y718" s="135"/>
      <c r="Z718" s="135"/>
      <c r="AA718" s="135"/>
      <c r="AB718" s="135"/>
      <c r="AC718" s="135"/>
      <c r="AD718" s="133"/>
      <c r="AE718" s="133"/>
      <c r="AF718" s="132" t="str">
        <f t="shared" si="77"/>
        <v>Нет инфо</v>
      </c>
      <c r="AG718" s="132" t="str">
        <f t="shared" si="78"/>
        <v>Нет инфо</v>
      </c>
      <c r="AH718" s="2"/>
      <c r="AI718" s="136"/>
      <c r="AJ718" s="2"/>
      <c r="AK718" s="136"/>
      <c r="AL718" s="136"/>
      <c r="AM718" s="2"/>
      <c r="AN718" s="2"/>
      <c r="AO718" s="2"/>
      <c r="AP718" s="2"/>
      <c r="AQ718" s="136"/>
    </row>
    <row r="719" spans="1:43" s="115" customFormat="1" ht="12.75" hidden="1" customHeight="1" x14ac:dyDescent="0.2">
      <c r="A719" s="2">
        <v>2748</v>
      </c>
      <c r="B719" s="2"/>
      <c r="C719" s="131"/>
      <c r="D719" s="131"/>
      <c r="E719" s="131"/>
      <c r="F719" s="2"/>
      <c r="G719" s="2"/>
      <c r="H719" s="132">
        <v>0</v>
      </c>
      <c r="I719" s="132"/>
      <c r="J719" s="132"/>
      <c r="K719" s="132"/>
      <c r="L719" s="132">
        <f t="shared" si="79"/>
        <v>0</v>
      </c>
      <c r="M719" s="132">
        <f t="shared" si="80"/>
        <v>0</v>
      </c>
      <c r="N719" s="133"/>
      <c r="O719" s="133">
        <f t="shared" si="81"/>
        <v>0</v>
      </c>
      <c r="P719" s="134"/>
      <c r="Q719" s="133"/>
      <c r="R719" s="133"/>
      <c r="S719" s="153">
        <v>0</v>
      </c>
      <c r="T719" s="153">
        <v>0</v>
      </c>
      <c r="U719" s="153">
        <v>0</v>
      </c>
      <c r="V719" s="135"/>
      <c r="W719" s="135"/>
      <c r="X719" s="135"/>
      <c r="Y719" s="135"/>
      <c r="Z719" s="135"/>
      <c r="AA719" s="135"/>
      <c r="AB719" s="135"/>
      <c r="AC719" s="135"/>
      <c r="AD719" s="133"/>
      <c r="AE719" s="133"/>
      <c r="AF719" s="132" t="str">
        <f t="shared" si="77"/>
        <v>Нет инфо</v>
      </c>
      <c r="AG719" s="132" t="str">
        <f t="shared" si="78"/>
        <v>Нет инфо</v>
      </c>
      <c r="AH719" s="2"/>
      <c r="AI719" s="136"/>
      <c r="AJ719" s="2"/>
      <c r="AK719" s="136"/>
      <c r="AL719" s="136"/>
      <c r="AM719" s="2"/>
      <c r="AN719" s="2"/>
      <c r="AO719" s="2"/>
      <c r="AP719" s="2"/>
      <c r="AQ719" s="136"/>
    </row>
    <row r="720" spans="1:43" s="115" customFormat="1" ht="12.75" hidden="1" customHeight="1" x14ac:dyDescent="0.2">
      <c r="A720" s="2">
        <v>2749</v>
      </c>
      <c r="B720" s="2"/>
      <c r="C720" s="131"/>
      <c r="D720" s="131"/>
      <c r="E720" s="131"/>
      <c r="F720" s="2"/>
      <c r="G720" s="2"/>
      <c r="H720" s="132">
        <v>0</v>
      </c>
      <c r="I720" s="132"/>
      <c r="J720" s="132"/>
      <c r="K720" s="132"/>
      <c r="L720" s="132">
        <f t="shared" si="79"/>
        <v>0</v>
      </c>
      <c r="M720" s="132">
        <f t="shared" si="80"/>
        <v>0</v>
      </c>
      <c r="N720" s="133"/>
      <c r="O720" s="133">
        <f t="shared" si="81"/>
        <v>0</v>
      </c>
      <c r="P720" s="134"/>
      <c r="Q720" s="133"/>
      <c r="R720" s="133"/>
      <c r="S720" s="153">
        <v>0</v>
      </c>
      <c r="T720" s="153">
        <v>0</v>
      </c>
      <c r="U720" s="153">
        <v>0</v>
      </c>
      <c r="V720" s="135"/>
      <c r="W720" s="135"/>
      <c r="X720" s="135"/>
      <c r="Y720" s="135"/>
      <c r="Z720" s="135"/>
      <c r="AA720" s="135"/>
      <c r="AB720" s="135"/>
      <c r="AC720" s="135"/>
      <c r="AD720" s="133"/>
      <c r="AE720" s="133"/>
      <c r="AF720" s="132" t="str">
        <f t="shared" si="77"/>
        <v>Нет инфо</v>
      </c>
      <c r="AG720" s="132" t="str">
        <f t="shared" si="78"/>
        <v>Нет инфо</v>
      </c>
      <c r="AH720" s="2"/>
      <c r="AI720" s="136"/>
      <c r="AJ720" s="2"/>
      <c r="AK720" s="136"/>
      <c r="AL720" s="136"/>
      <c r="AM720" s="2"/>
      <c r="AN720" s="2"/>
      <c r="AO720" s="2"/>
      <c r="AP720" s="2"/>
      <c r="AQ720" s="136"/>
    </row>
    <row r="721" spans="1:43" s="115" customFormat="1" ht="12.75" hidden="1" customHeight="1" x14ac:dyDescent="0.2">
      <c r="A721" s="2">
        <v>2750</v>
      </c>
      <c r="B721" s="2"/>
      <c r="C721" s="131"/>
      <c r="D721" s="131"/>
      <c r="E721" s="131"/>
      <c r="F721" s="2"/>
      <c r="G721" s="2"/>
      <c r="H721" s="132">
        <v>0</v>
      </c>
      <c r="I721" s="132"/>
      <c r="J721" s="132"/>
      <c r="K721" s="132"/>
      <c r="L721" s="132">
        <f t="shared" si="79"/>
        <v>0</v>
      </c>
      <c r="M721" s="132">
        <f t="shared" si="80"/>
        <v>0</v>
      </c>
      <c r="N721" s="133"/>
      <c r="O721" s="133">
        <f t="shared" si="81"/>
        <v>0</v>
      </c>
      <c r="P721" s="134"/>
      <c r="Q721" s="133"/>
      <c r="R721" s="133"/>
      <c r="S721" s="153">
        <v>0</v>
      </c>
      <c r="T721" s="153">
        <v>0</v>
      </c>
      <c r="U721" s="153">
        <v>0</v>
      </c>
      <c r="V721" s="135"/>
      <c r="W721" s="135"/>
      <c r="X721" s="135"/>
      <c r="Y721" s="135"/>
      <c r="Z721" s="135"/>
      <c r="AA721" s="135"/>
      <c r="AB721" s="135"/>
      <c r="AC721" s="135"/>
      <c r="AD721" s="133"/>
      <c r="AE721" s="133"/>
      <c r="AF721" s="132" t="str">
        <f t="shared" si="77"/>
        <v>Нет инфо</v>
      </c>
      <c r="AG721" s="132" t="str">
        <f t="shared" si="78"/>
        <v>Нет инфо</v>
      </c>
      <c r="AH721" s="2"/>
      <c r="AI721" s="136"/>
      <c r="AJ721" s="2"/>
      <c r="AK721" s="136"/>
      <c r="AL721" s="136"/>
      <c r="AM721" s="2"/>
      <c r="AN721" s="2"/>
      <c r="AO721" s="2"/>
      <c r="AP721" s="2"/>
      <c r="AQ721" s="136"/>
    </row>
    <row r="722" spans="1:43" s="115" customFormat="1" ht="12.75" hidden="1" customHeight="1" x14ac:dyDescent="0.2">
      <c r="A722" s="2">
        <v>2751</v>
      </c>
      <c r="B722" s="2"/>
      <c r="C722" s="131"/>
      <c r="D722" s="131"/>
      <c r="E722" s="131"/>
      <c r="F722" s="2"/>
      <c r="G722" s="2"/>
      <c r="H722" s="132">
        <v>0</v>
      </c>
      <c r="I722" s="132"/>
      <c r="J722" s="132"/>
      <c r="K722" s="132"/>
      <c r="L722" s="132">
        <f t="shared" si="79"/>
        <v>0</v>
      </c>
      <c r="M722" s="132">
        <f t="shared" si="80"/>
        <v>0</v>
      </c>
      <c r="N722" s="133"/>
      <c r="O722" s="133">
        <f t="shared" si="81"/>
        <v>0</v>
      </c>
      <c r="P722" s="134"/>
      <c r="Q722" s="133"/>
      <c r="R722" s="133"/>
      <c r="S722" s="153">
        <v>0</v>
      </c>
      <c r="T722" s="153">
        <v>0</v>
      </c>
      <c r="U722" s="153">
        <v>0</v>
      </c>
      <c r="V722" s="135"/>
      <c r="W722" s="135"/>
      <c r="X722" s="135"/>
      <c r="Y722" s="135"/>
      <c r="Z722" s="135"/>
      <c r="AA722" s="135"/>
      <c r="AB722" s="135"/>
      <c r="AC722" s="135"/>
      <c r="AD722" s="133"/>
      <c r="AE722" s="133"/>
      <c r="AF722" s="132" t="str">
        <f t="shared" si="77"/>
        <v>Нет инфо</v>
      </c>
      <c r="AG722" s="132" t="str">
        <f t="shared" si="78"/>
        <v>Нет инфо</v>
      </c>
      <c r="AH722" s="2"/>
      <c r="AI722" s="136"/>
      <c r="AJ722" s="2"/>
      <c r="AK722" s="136"/>
      <c r="AL722" s="136"/>
      <c r="AM722" s="2"/>
      <c r="AN722" s="2"/>
      <c r="AO722" s="2"/>
      <c r="AP722" s="2"/>
      <c r="AQ722" s="136"/>
    </row>
    <row r="723" spans="1:43" s="115" customFormat="1" ht="12.75" hidden="1" customHeight="1" x14ac:dyDescent="0.2">
      <c r="A723" s="2">
        <v>2752</v>
      </c>
      <c r="B723" s="2"/>
      <c r="C723" s="131"/>
      <c r="D723" s="131"/>
      <c r="E723" s="131"/>
      <c r="F723" s="2"/>
      <c r="G723" s="2"/>
      <c r="H723" s="132">
        <v>0</v>
      </c>
      <c r="I723" s="132"/>
      <c r="J723" s="132"/>
      <c r="K723" s="132"/>
      <c r="L723" s="132">
        <f t="shared" si="79"/>
        <v>0</v>
      </c>
      <c r="M723" s="132">
        <f t="shared" si="80"/>
        <v>0</v>
      </c>
      <c r="N723" s="133"/>
      <c r="O723" s="133">
        <f t="shared" si="81"/>
        <v>0</v>
      </c>
      <c r="P723" s="134"/>
      <c r="Q723" s="133"/>
      <c r="R723" s="133"/>
      <c r="S723" s="153">
        <v>0</v>
      </c>
      <c r="T723" s="153">
        <v>0</v>
      </c>
      <c r="U723" s="153">
        <v>0</v>
      </c>
      <c r="V723" s="135"/>
      <c r="W723" s="135"/>
      <c r="X723" s="135"/>
      <c r="Y723" s="135"/>
      <c r="Z723" s="135"/>
      <c r="AA723" s="135"/>
      <c r="AB723" s="135"/>
      <c r="AC723" s="135"/>
      <c r="AD723" s="133"/>
      <c r="AE723" s="133"/>
      <c r="AF723" s="132" t="str">
        <f t="shared" si="77"/>
        <v>Нет инфо</v>
      </c>
      <c r="AG723" s="132" t="str">
        <f t="shared" si="78"/>
        <v>Нет инфо</v>
      </c>
      <c r="AH723" s="2"/>
      <c r="AI723" s="136"/>
      <c r="AJ723" s="2"/>
      <c r="AK723" s="136"/>
      <c r="AL723" s="136"/>
      <c r="AM723" s="2"/>
      <c r="AN723" s="2"/>
      <c r="AO723" s="2"/>
      <c r="AP723" s="2"/>
      <c r="AQ723" s="136"/>
    </row>
    <row r="724" spans="1:43" s="115" customFormat="1" ht="12.75" hidden="1" customHeight="1" x14ac:dyDescent="0.2">
      <c r="A724" s="2">
        <v>2753</v>
      </c>
      <c r="B724" s="2"/>
      <c r="C724" s="131"/>
      <c r="D724" s="131"/>
      <c r="E724" s="131"/>
      <c r="F724" s="2"/>
      <c r="G724" s="2"/>
      <c r="H724" s="132">
        <v>0</v>
      </c>
      <c r="I724" s="132"/>
      <c r="J724" s="132"/>
      <c r="K724" s="132"/>
      <c r="L724" s="132">
        <f t="shared" si="79"/>
        <v>0</v>
      </c>
      <c r="M724" s="132">
        <f t="shared" si="80"/>
        <v>0</v>
      </c>
      <c r="N724" s="133"/>
      <c r="O724" s="133">
        <f t="shared" si="81"/>
        <v>0</v>
      </c>
      <c r="P724" s="134"/>
      <c r="Q724" s="133"/>
      <c r="R724" s="133"/>
      <c r="S724" s="153">
        <v>0</v>
      </c>
      <c r="T724" s="153">
        <v>0</v>
      </c>
      <c r="U724" s="153">
        <v>0</v>
      </c>
      <c r="V724" s="135"/>
      <c r="W724" s="135"/>
      <c r="X724" s="135"/>
      <c r="Y724" s="135"/>
      <c r="Z724" s="135"/>
      <c r="AA724" s="135"/>
      <c r="AB724" s="135"/>
      <c r="AC724" s="135"/>
      <c r="AD724" s="133"/>
      <c r="AE724" s="133"/>
      <c r="AF724" s="132" t="str">
        <f t="shared" si="77"/>
        <v>Нет инфо</v>
      </c>
      <c r="AG724" s="132" t="str">
        <f t="shared" si="78"/>
        <v>Нет инфо</v>
      </c>
      <c r="AH724" s="2"/>
      <c r="AI724" s="136"/>
      <c r="AJ724" s="2"/>
      <c r="AK724" s="136"/>
      <c r="AL724" s="136"/>
      <c r="AM724" s="2"/>
      <c r="AN724" s="2"/>
      <c r="AO724" s="2"/>
      <c r="AP724" s="2"/>
      <c r="AQ724" s="136"/>
    </row>
    <row r="725" spans="1:43" s="115" customFormat="1" ht="12.75" hidden="1" customHeight="1" x14ac:dyDescent="0.2">
      <c r="A725" s="2">
        <v>2754</v>
      </c>
      <c r="B725" s="2"/>
      <c r="C725" s="131"/>
      <c r="D725" s="131"/>
      <c r="E725" s="131"/>
      <c r="F725" s="2"/>
      <c r="G725" s="2"/>
      <c r="H725" s="132">
        <v>0</v>
      </c>
      <c r="I725" s="132"/>
      <c r="J725" s="132"/>
      <c r="K725" s="132"/>
      <c r="L725" s="132">
        <f t="shared" si="79"/>
        <v>0</v>
      </c>
      <c r="M725" s="132">
        <f t="shared" si="80"/>
        <v>0</v>
      </c>
      <c r="N725" s="133"/>
      <c r="O725" s="133">
        <f t="shared" si="81"/>
        <v>0</v>
      </c>
      <c r="P725" s="134"/>
      <c r="Q725" s="133"/>
      <c r="R725" s="133"/>
      <c r="S725" s="153">
        <v>0</v>
      </c>
      <c r="T725" s="153">
        <v>0</v>
      </c>
      <c r="U725" s="153">
        <v>0</v>
      </c>
      <c r="V725" s="135"/>
      <c r="W725" s="135"/>
      <c r="X725" s="135"/>
      <c r="Y725" s="135"/>
      <c r="Z725" s="135"/>
      <c r="AA725" s="135"/>
      <c r="AB725" s="135"/>
      <c r="AC725" s="135"/>
      <c r="AD725" s="133"/>
      <c r="AE725" s="133"/>
      <c r="AF725" s="132" t="str">
        <f t="shared" si="77"/>
        <v>Нет инфо</v>
      </c>
      <c r="AG725" s="132" t="str">
        <f t="shared" si="78"/>
        <v>Нет инфо</v>
      </c>
      <c r="AH725" s="2"/>
      <c r="AI725" s="136"/>
      <c r="AJ725" s="2"/>
      <c r="AK725" s="136"/>
      <c r="AL725" s="136"/>
      <c r="AM725" s="2"/>
      <c r="AN725" s="2"/>
      <c r="AO725" s="2"/>
      <c r="AP725" s="2"/>
      <c r="AQ725" s="136"/>
    </row>
    <row r="726" spans="1:43" s="115" customFormat="1" ht="12.75" hidden="1" customHeight="1" x14ac:dyDescent="0.2">
      <c r="A726" s="2">
        <v>2755</v>
      </c>
      <c r="B726" s="2"/>
      <c r="C726" s="131"/>
      <c r="D726" s="131"/>
      <c r="E726" s="131"/>
      <c r="F726" s="2"/>
      <c r="G726" s="2"/>
      <c r="H726" s="132">
        <v>0</v>
      </c>
      <c r="I726" s="132"/>
      <c r="J726" s="132"/>
      <c r="K726" s="132"/>
      <c r="L726" s="132">
        <f t="shared" si="79"/>
        <v>0</v>
      </c>
      <c r="M726" s="132">
        <f t="shared" si="80"/>
        <v>0</v>
      </c>
      <c r="N726" s="133"/>
      <c r="O726" s="133">
        <f t="shared" si="81"/>
        <v>0</v>
      </c>
      <c r="P726" s="134"/>
      <c r="Q726" s="133"/>
      <c r="R726" s="133"/>
      <c r="S726" s="153">
        <v>0</v>
      </c>
      <c r="T726" s="153">
        <v>0</v>
      </c>
      <c r="U726" s="153">
        <v>0</v>
      </c>
      <c r="V726" s="135"/>
      <c r="W726" s="135"/>
      <c r="X726" s="135"/>
      <c r="Y726" s="135"/>
      <c r="Z726" s="135"/>
      <c r="AA726" s="135"/>
      <c r="AB726" s="135"/>
      <c r="AC726" s="135"/>
      <c r="AD726" s="133"/>
      <c r="AE726" s="133"/>
      <c r="AF726" s="132" t="str">
        <f t="shared" si="77"/>
        <v>Нет инфо</v>
      </c>
      <c r="AG726" s="132" t="str">
        <f t="shared" si="78"/>
        <v>Нет инфо</v>
      </c>
      <c r="AH726" s="2"/>
      <c r="AI726" s="136"/>
      <c r="AJ726" s="2"/>
      <c r="AK726" s="136"/>
      <c r="AL726" s="136"/>
      <c r="AM726" s="2"/>
      <c r="AN726" s="2"/>
      <c r="AO726" s="2"/>
      <c r="AP726" s="2"/>
      <c r="AQ726" s="136"/>
    </row>
    <row r="727" spans="1:43" s="115" customFormat="1" ht="12.75" hidden="1" customHeight="1" x14ac:dyDescent="0.2">
      <c r="A727" s="2">
        <v>2756</v>
      </c>
      <c r="B727" s="2"/>
      <c r="C727" s="131"/>
      <c r="D727" s="131"/>
      <c r="E727" s="131"/>
      <c r="F727" s="2"/>
      <c r="G727" s="2"/>
      <c r="H727" s="132">
        <v>0</v>
      </c>
      <c r="I727" s="132"/>
      <c r="J727" s="132"/>
      <c r="K727" s="132"/>
      <c r="L727" s="132">
        <f t="shared" si="79"/>
        <v>0</v>
      </c>
      <c r="M727" s="132">
        <f t="shared" si="80"/>
        <v>0</v>
      </c>
      <c r="N727" s="133"/>
      <c r="O727" s="133">
        <f t="shared" si="81"/>
        <v>0</v>
      </c>
      <c r="P727" s="134"/>
      <c r="Q727" s="133"/>
      <c r="R727" s="133"/>
      <c r="S727" s="153">
        <v>0</v>
      </c>
      <c r="T727" s="153">
        <v>0</v>
      </c>
      <c r="U727" s="153">
        <v>0</v>
      </c>
      <c r="V727" s="135"/>
      <c r="W727" s="135"/>
      <c r="X727" s="135"/>
      <c r="Y727" s="135"/>
      <c r="Z727" s="135"/>
      <c r="AA727" s="135"/>
      <c r="AB727" s="135"/>
      <c r="AC727" s="135"/>
      <c r="AD727" s="133"/>
      <c r="AE727" s="133"/>
      <c r="AF727" s="132" t="str">
        <f t="shared" si="77"/>
        <v>Нет инфо</v>
      </c>
      <c r="AG727" s="132" t="str">
        <f t="shared" si="78"/>
        <v>Нет инфо</v>
      </c>
      <c r="AH727" s="2"/>
      <c r="AI727" s="136"/>
      <c r="AJ727" s="2"/>
      <c r="AK727" s="136"/>
      <c r="AL727" s="136"/>
      <c r="AM727" s="2"/>
      <c r="AN727" s="2"/>
      <c r="AO727" s="2"/>
      <c r="AP727" s="2"/>
      <c r="AQ727" s="136"/>
    </row>
    <row r="728" spans="1:43" s="115" customFormat="1" ht="12.75" hidden="1" customHeight="1" x14ac:dyDescent="0.2">
      <c r="A728" s="2">
        <v>2757</v>
      </c>
      <c r="B728" s="2"/>
      <c r="C728" s="131"/>
      <c r="D728" s="131"/>
      <c r="E728" s="131"/>
      <c r="F728" s="2"/>
      <c r="G728" s="2"/>
      <c r="H728" s="132">
        <v>0</v>
      </c>
      <c r="I728" s="132"/>
      <c r="J728" s="132"/>
      <c r="K728" s="132"/>
      <c r="L728" s="132">
        <f t="shared" si="79"/>
        <v>0</v>
      </c>
      <c r="M728" s="132">
        <f t="shared" si="80"/>
        <v>0</v>
      </c>
      <c r="N728" s="133"/>
      <c r="O728" s="133">
        <f t="shared" si="81"/>
        <v>0</v>
      </c>
      <c r="P728" s="134"/>
      <c r="Q728" s="133"/>
      <c r="R728" s="133"/>
      <c r="S728" s="153">
        <v>0</v>
      </c>
      <c r="T728" s="153">
        <v>0</v>
      </c>
      <c r="U728" s="153">
        <v>0</v>
      </c>
      <c r="V728" s="135"/>
      <c r="W728" s="135"/>
      <c r="X728" s="135"/>
      <c r="Y728" s="135"/>
      <c r="Z728" s="135"/>
      <c r="AA728" s="135"/>
      <c r="AB728" s="135"/>
      <c r="AC728" s="135"/>
      <c r="AD728" s="133"/>
      <c r="AE728" s="133"/>
      <c r="AF728" s="132" t="str">
        <f t="shared" si="77"/>
        <v>Нет инфо</v>
      </c>
      <c r="AG728" s="132" t="str">
        <f t="shared" si="78"/>
        <v>Нет инфо</v>
      </c>
      <c r="AH728" s="2"/>
      <c r="AI728" s="136"/>
      <c r="AJ728" s="2"/>
      <c r="AK728" s="136"/>
      <c r="AL728" s="136"/>
      <c r="AM728" s="2"/>
      <c r="AN728" s="2"/>
      <c r="AO728" s="2"/>
      <c r="AP728" s="2"/>
      <c r="AQ728" s="136"/>
    </row>
    <row r="729" spans="1:43" s="115" customFormat="1" ht="12.75" hidden="1" customHeight="1" x14ac:dyDescent="0.2">
      <c r="A729" s="2">
        <v>2758</v>
      </c>
      <c r="B729" s="2"/>
      <c r="C729" s="131"/>
      <c r="D729" s="131"/>
      <c r="E729" s="131"/>
      <c r="F729" s="2"/>
      <c r="G729" s="2"/>
      <c r="H729" s="132">
        <v>0</v>
      </c>
      <c r="I729" s="132"/>
      <c r="J729" s="132"/>
      <c r="K729" s="132"/>
      <c r="L729" s="132">
        <f t="shared" si="79"/>
        <v>0</v>
      </c>
      <c r="M729" s="132">
        <f t="shared" si="80"/>
        <v>0</v>
      </c>
      <c r="N729" s="133"/>
      <c r="O729" s="133">
        <f t="shared" si="81"/>
        <v>0</v>
      </c>
      <c r="P729" s="134"/>
      <c r="Q729" s="133"/>
      <c r="R729" s="133"/>
      <c r="S729" s="153">
        <v>0</v>
      </c>
      <c r="T729" s="153">
        <v>0</v>
      </c>
      <c r="U729" s="153">
        <v>0</v>
      </c>
      <c r="V729" s="135"/>
      <c r="W729" s="135"/>
      <c r="X729" s="135"/>
      <c r="Y729" s="135"/>
      <c r="Z729" s="135"/>
      <c r="AA729" s="135"/>
      <c r="AB729" s="135"/>
      <c r="AC729" s="135"/>
      <c r="AD729" s="133"/>
      <c r="AE729" s="133"/>
      <c r="AF729" s="132" t="str">
        <f t="shared" si="77"/>
        <v>Нет инфо</v>
      </c>
      <c r="AG729" s="132" t="str">
        <f t="shared" si="78"/>
        <v>Нет инфо</v>
      </c>
      <c r="AH729" s="2"/>
      <c r="AI729" s="136"/>
      <c r="AJ729" s="2"/>
      <c r="AK729" s="136"/>
      <c r="AL729" s="136"/>
      <c r="AM729" s="2"/>
      <c r="AN729" s="2"/>
      <c r="AO729" s="2"/>
      <c r="AP729" s="2"/>
      <c r="AQ729" s="136"/>
    </row>
    <row r="730" spans="1:43" s="115" customFormat="1" ht="12.75" hidden="1" customHeight="1" x14ac:dyDescent="0.2">
      <c r="A730" s="2">
        <v>2759</v>
      </c>
      <c r="B730" s="2"/>
      <c r="C730" s="131"/>
      <c r="D730" s="131"/>
      <c r="E730" s="131"/>
      <c r="F730" s="2"/>
      <c r="G730" s="2"/>
      <c r="H730" s="132">
        <v>0</v>
      </c>
      <c r="I730" s="132"/>
      <c r="J730" s="132"/>
      <c r="K730" s="132"/>
      <c r="L730" s="132">
        <f t="shared" si="79"/>
        <v>0</v>
      </c>
      <c r="M730" s="132">
        <f t="shared" si="80"/>
        <v>0</v>
      </c>
      <c r="N730" s="133"/>
      <c r="O730" s="133">
        <f t="shared" si="81"/>
        <v>0</v>
      </c>
      <c r="P730" s="134"/>
      <c r="Q730" s="133"/>
      <c r="R730" s="133"/>
      <c r="S730" s="153">
        <v>0</v>
      </c>
      <c r="T730" s="153">
        <v>0</v>
      </c>
      <c r="U730" s="153">
        <v>0</v>
      </c>
      <c r="V730" s="135"/>
      <c r="W730" s="135"/>
      <c r="X730" s="135"/>
      <c r="Y730" s="135"/>
      <c r="Z730" s="135"/>
      <c r="AA730" s="135"/>
      <c r="AB730" s="135"/>
      <c r="AC730" s="135"/>
      <c r="AD730" s="133"/>
      <c r="AE730" s="133"/>
      <c r="AF730" s="132" t="str">
        <f t="shared" si="77"/>
        <v>Нет инфо</v>
      </c>
      <c r="AG730" s="132" t="str">
        <f t="shared" si="78"/>
        <v>Нет инфо</v>
      </c>
      <c r="AH730" s="2"/>
      <c r="AI730" s="136"/>
      <c r="AJ730" s="2"/>
      <c r="AK730" s="136"/>
      <c r="AL730" s="136"/>
      <c r="AM730" s="2"/>
      <c r="AN730" s="2"/>
      <c r="AO730" s="2"/>
      <c r="AP730" s="2"/>
      <c r="AQ730" s="136"/>
    </row>
    <row r="731" spans="1:43" s="115" customFormat="1" ht="12.75" hidden="1" customHeight="1" x14ac:dyDescent="0.2">
      <c r="A731" s="2">
        <v>2760</v>
      </c>
      <c r="B731" s="2"/>
      <c r="C731" s="131"/>
      <c r="D731" s="131"/>
      <c r="E731" s="131"/>
      <c r="F731" s="2"/>
      <c r="G731" s="2"/>
      <c r="H731" s="132">
        <v>0</v>
      </c>
      <c r="I731" s="132"/>
      <c r="J731" s="132"/>
      <c r="K731" s="132"/>
      <c r="L731" s="132">
        <f t="shared" si="79"/>
        <v>0</v>
      </c>
      <c r="M731" s="132">
        <f t="shared" si="80"/>
        <v>0</v>
      </c>
      <c r="N731" s="133"/>
      <c r="O731" s="133">
        <f t="shared" si="81"/>
        <v>0</v>
      </c>
      <c r="P731" s="134"/>
      <c r="Q731" s="133"/>
      <c r="R731" s="133"/>
      <c r="S731" s="153">
        <v>0</v>
      </c>
      <c r="T731" s="153">
        <v>0</v>
      </c>
      <c r="U731" s="153">
        <v>0</v>
      </c>
      <c r="V731" s="135"/>
      <c r="W731" s="135"/>
      <c r="X731" s="135"/>
      <c r="Y731" s="135"/>
      <c r="Z731" s="135"/>
      <c r="AA731" s="135"/>
      <c r="AB731" s="135"/>
      <c r="AC731" s="135"/>
      <c r="AD731" s="133"/>
      <c r="AE731" s="133"/>
      <c r="AF731" s="132" t="str">
        <f t="shared" si="77"/>
        <v>Нет инфо</v>
      </c>
      <c r="AG731" s="132" t="str">
        <f t="shared" si="78"/>
        <v>Нет инфо</v>
      </c>
      <c r="AH731" s="2"/>
      <c r="AI731" s="136"/>
      <c r="AJ731" s="2"/>
      <c r="AK731" s="136"/>
      <c r="AL731" s="136"/>
      <c r="AM731" s="2"/>
      <c r="AN731" s="2"/>
      <c r="AO731" s="2"/>
      <c r="AP731" s="2"/>
      <c r="AQ731" s="136"/>
    </row>
    <row r="732" spans="1:43" s="115" customFormat="1" ht="12.75" hidden="1" customHeight="1" x14ac:dyDescent="0.2">
      <c r="A732" s="2">
        <v>2761</v>
      </c>
      <c r="B732" s="2"/>
      <c r="C732" s="131"/>
      <c r="D732" s="131"/>
      <c r="E732" s="131"/>
      <c r="F732" s="2"/>
      <c r="G732" s="2"/>
      <c r="H732" s="132">
        <v>0</v>
      </c>
      <c r="I732" s="132"/>
      <c r="J732" s="132"/>
      <c r="K732" s="132"/>
      <c r="L732" s="132">
        <f t="shared" si="79"/>
        <v>0</v>
      </c>
      <c r="M732" s="132">
        <f t="shared" si="80"/>
        <v>0</v>
      </c>
      <c r="N732" s="133"/>
      <c r="O732" s="133">
        <f t="shared" si="81"/>
        <v>0</v>
      </c>
      <c r="P732" s="134"/>
      <c r="Q732" s="133"/>
      <c r="R732" s="133"/>
      <c r="S732" s="153">
        <v>0</v>
      </c>
      <c r="T732" s="153">
        <v>0</v>
      </c>
      <c r="U732" s="153">
        <v>0</v>
      </c>
      <c r="V732" s="135"/>
      <c r="W732" s="135"/>
      <c r="X732" s="135"/>
      <c r="Y732" s="135"/>
      <c r="Z732" s="135"/>
      <c r="AA732" s="135"/>
      <c r="AB732" s="135"/>
      <c r="AC732" s="135"/>
      <c r="AD732" s="133"/>
      <c r="AE732" s="133"/>
      <c r="AF732" s="132" t="str">
        <f t="shared" si="77"/>
        <v>Нет инфо</v>
      </c>
      <c r="AG732" s="132" t="str">
        <f t="shared" si="78"/>
        <v>Нет инфо</v>
      </c>
      <c r="AH732" s="2"/>
      <c r="AI732" s="136"/>
      <c r="AJ732" s="2"/>
      <c r="AK732" s="136"/>
      <c r="AL732" s="136"/>
      <c r="AM732" s="2"/>
      <c r="AN732" s="2"/>
      <c r="AO732" s="2"/>
      <c r="AP732" s="2"/>
      <c r="AQ732" s="136"/>
    </row>
    <row r="733" spans="1:43" s="115" customFormat="1" ht="12.75" hidden="1" customHeight="1" x14ac:dyDescent="0.2">
      <c r="A733" s="2">
        <v>2762</v>
      </c>
      <c r="B733" s="2"/>
      <c r="C733" s="131"/>
      <c r="D733" s="131"/>
      <c r="E733" s="131"/>
      <c r="F733" s="2"/>
      <c r="G733" s="2"/>
      <c r="H733" s="132">
        <v>0</v>
      </c>
      <c r="I733" s="132"/>
      <c r="J733" s="132"/>
      <c r="K733" s="132"/>
      <c r="L733" s="132">
        <f t="shared" si="79"/>
        <v>0</v>
      </c>
      <c r="M733" s="132">
        <f t="shared" si="80"/>
        <v>0</v>
      </c>
      <c r="N733" s="133"/>
      <c r="O733" s="133">
        <f t="shared" si="81"/>
        <v>0</v>
      </c>
      <c r="P733" s="134"/>
      <c r="Q733" s="133"/>
      <c r="R733" s="133"/>
      <c r="S733" s="153">
        <v>0</v>
      </c>
      <c r="T733" s="153">
        <v>0</v>
      </c>
      <c r="U733" s="153">
        <v>0</v>
      </c>
      <c r="V733" s="135"/>
      <c r="W733" s="135"/>
      <c r="X733" s="135"/>
      <c r="Y733" s="135"/>
      <c r="Z733" s="135"/>
      <c r="AA733" s="135"/>
      <c r="AB733" s="135"/>
      <c r="AC733" s="135"/>
      <c r="AD733" s="133"/>
      <c r="AE733" s="133"/>
      <c r="AF733" s="132" t="str">
        <f t="shared" si="77"/>
        <v>Нет инфо</v>
      </c>
      <c r="AG733" s="132" t="str">
        <f t="shared" si="78"/>
        <v>Нет инфо</v>
      </c>
      <c r="AH733" s="2"/>
      <c r="AI733" s="136"/>
      <c r="AJ733" s="2"/>
      <c r="AK733" s="136"/>
      <c r="AL733" s="136"/>
      <c r="AM733" s="2"/>
      <c r="AN733" s="2"/>
      <c r="AO733" s="2"/>
      <c r="AP733" s="2"/>
      <c r="AQ733" s="136"/>
    </row>
    <row r="734" spans="1:43" s="115" customFormat="1" ht="12.75" hidden="1" customHeight="1" x14ac:dyDescent="0.2">
      <c r="A734" s="2">
        <v>2763</v>
      </c>
      <c r="B734" s="2"/>
      <c r="C734" s="131"/>
      <c r="D734" s="131"/>
      <c r="E734" s="131"/>
      <c r="F734" s="2"/>
      <c r="G734" s="2"/>
      <c r="H734" s="132">
        <v>0</v>
      </c>
      <c r="I734" s="132"/>
      <c r="J734" s="132"/>
      <c r="K734" s="132"/>
      <c r="L734" s="132">
        <f t="shared" si="79"/>
        <v>0</v>
      </c>
      <c r="M734" s="132">
        <f t="shared" si="80"/>
        <v>0</v>
      </c>
      <c r="N734" s="133"/>
      <c r="O734" s="133">
        <f t="shared" si="81"/>
        <v>0</v>
      </c>
      <c r="P734" s="134"/>
      <c r="Q734" s="133"/>
      <c r="R734" s="133"/>
      <c r="S734" s="153">
        <v>0</v>
      </c>
      <c r="T734" s="153">
        <v>0</v>
      </c>
      <c r="U734" s="153">
        <v>0</v>
      </c>
      <c r="V734" s="135"/>
      <c r="W734" s="135"/>
      <c r="X734" s="135"/>
      <c r="Y734" s="135"/>
      <c r="Z734" s="135"/>
      <c r="AA734" s="135"/>
      <c r="AB734" s="135"/>
      <c r="AC734" s="135"/>
      <c r="AD734" s="133"/>
      <c r="AE734" s="133"/>
      <c r="AF734" s="132" t="str">
        <f t="shared" si="77"/>
        <v>Нет инфо</v>
      </c>
      <c r="AG734" s="132" t="str">
        <f t="shared" si="78"/>
        <v>Нет инфо</v>
      </c>
      <c r="AH734" s="2"/>
      <c r="AI734" s="136"/>
      <c r="AJ734" s="2"/>
      <c r="AK734" s="136"/>
      <c r="AL734" s="136"/>
      <c r="AM734" s="2"/>
      <c r="AN734" s="2"/>
      <c r="AO734" s="2"/>
      <c r="AP734" s="2"/>
      <c r="AQ734" s="136"/>
    </row>
    <row r="735" spans="1:43" s="115" customFormat="1" ht="12.75" hidden="1" customHeight="1" x14ac:dyDescent="0.2">
      <c r="A735" s="2">
        <v>2764</v>
      </c>
      <c r="B735" s="2"/>
      <c r="C735" s="131"/>
      <c r="D735" s="131"/>
      <c r="E735" s="131"/>
      <c r="F735" s="2"/>
      <c r="G735" s="2"/>
      <c r="H735" s="132">
        <v>0</v>
      </c>
      <c r="I735" s="132"/>
      <c r="J735" s="132"/>
      <c r="K735" s="132"/>
      <c r="L735" s="132">
        <f t="shared" si="79"/>
        <v>0</v>
      </c>
      <c r="M735" s="132">
        <f t="shared" si="80"/>
        <v>0</v>
      </c>
      <c r="N735" s="133"/>
      <c r="O735" s="133">
        <f t="shared" si="81"/>
        <v>0</v>
      </c>
      <c r="P735" s="134"/>
      <c r="Q735" s="133"/>
      <c r="R735" s="133"/>
      <c r="S735" s="153">
        <v>0</v>
      </c>
      <c r="T735" s="153">
        <v>0</v>
      </c>
      <c r="U735" s="153">
        <v>0</v>
      </c>
      <c r="V735" s="135"/>
      <c r="W735" s="135"/>
      <c r="X735" s="135"/>
      <c r="Y735" s="135"/>
      <c r="Z735" s="135"/>
      <c r="AA735" s="135"/>
      <c r="AB735" s="135"/>
      <c r="AC735" s="135"/>
      <c r="AD735" s="133"/>
      <c r="AE735" s="133"/>
      <c r="AF735" s="132" t="str">
        <f t="shared" si="77"/>
        <v>Нет инфо</v>
      </c>
      <c r="AG735" s="132" t="str">
        <f t="shared" si="78"/>
        <v>Нет инфо</v>
      </c>
      <c r="AH735" s="2"/>
      <c r="AI735" s="136"/>
      <c r="AJ735" s="2"/>
      <c r="AK735" s="136"/>
      <c r="AL735" s="136"/>
      <c r="AM735" s="2"/>
      <c r="AN735" s="2"/>
      <c r="AO735" s="2"/>
      <c r="AP735" s="2"/>
      <c r="AQ735" s="136"/>
    </row>
    <row r="736" spans="1:43" s="115" customFormat="1" ht="12.75" hidden="1" customHeight="1" x14ac:dyDescent="0.2">
      <c r="A736" s="2">
        <v>2765</v>
      </c>
      <c r="B736" s="2"/>
      <c r="C736" s="131"/>
      <c r="D736" s="131"/>
      <c r="E736" s="131"/>
      <c r="F736" s="2"/>
      <c r="G736" s="2"/>
      <c r="H736" s="132">
        <v>0</v>
      </c>
      <c r="I736" s="132"/>
      <c r="J736" s="132"/>
      <c r="K736" s="132"/>
      <c r="L736" s="132">
        <f t="shared" si="79"/>
        <v>0</v>
      </c>
      <c r="M736" s="132">
        <f t="shared" si="80"/>
        <v>0</v>
      </c>
      <c r="N736" s="133"/>
      <c r="O736" s="133">
        <f t="shared" si="81"/>
        <v>0</v>
      </c>
      <c r="P736" s="134"/>
      <c r="Q736" s="133"/>
      <c r="R736" s="133"/>
      <c r="S736" s="153">
        <v>0</v>
      </c>
      <c r="T736" s="153">
        <v>0</v>
      </c>
      <c r="U736" s="153">
        <v>0</v>
      </c>
      <c r="V736" s="135"/>
      <c r="W736" s="135"/>
      <c r="X736" s="135"/>
      <c r="Y736" s="135"/>
      <c r="Z736" s="135"/>
      <c r="AA736" s="135"/>
      <c r="AB736" s="135"/>
      <c r="AC736" s="135"/>
      <c r="AD736" s="133"/>
      <c r="AE736" s="133"/>
      <c r="AF736" s="132" t="str">
        <f t="shared" si="77"/>
        <v>Нет инфо</v>
      </c>
      <c r="AG736" s="132" t="str">
        <f t="shared" si="78"/>
        <v>Нет инфо</v>
      </c>
      <c r="AH736" s="2"/>
      <c r="AI736" s="136"/>
      <c r="AJ736" s="2"/>
      <c r="AK736" s="136"/>
      <c r="AL736" s="136"/>
      <c r="AM736" s="2"/>
      <c r="AN736" s="2"/>
      <c r="AO736" s="2"/>
      <c r="AP736" s="2"/>
      <c r="AQ736" s="136"/>
    </row>
    <row r="737" spans="1:43" s="115" customFormat="1" ht="12.75" hidden="1" customHeight="1" x14ac:dyDescent="0.2">
      <c r="A737" s="2">
        <v>2766</v>
      </c>
      <c r="B737" s="2"/>
      <c r="C737" s="131"/>
      <c r="D737" s="131"/>
      <c r="E737" s="131"/>
      <c r="F737" s="2"/>
      <c r="G737" s="2"/>
      <c r="H737" s="132">
        <v>0</v>
      </c>
      <c r="I737" s="132"/>
      <c r="J737" s="132"/>
      <c r="K737" s="132"/>
      <c r="L737" s="132">
        <f t="shared" si="79"/>
        <v>0</v>
      </c>
      <c r="M737" s="132">
        <f t="shared" si="80"/>
        <v>0</v>
      </c>
      <c r="N737" s="133"/>
      <c r="O737" s="133">
        <f t="shared" si="81"/>
        <v>0</v>
      </c>
      <c r="P737" s="134"/>
      <c r="Q737" s="133"/>
      <c r="R737" s="133"/>
      <c r="S737" s="153">
        <v>0</v>
      </c>
      <c r="T737" s="153">
        <v>0</v>
      </c>
      <c r="U737" s="153">
        <v>0</v>
      </c>
      <c r="V737" s="135"/>
      <c r="W737" s="135"/>
      <c r="X737" s="135"/>
      <c r="Y737" s="135"/>
      <c r="Z737" s="135"/>
      <c r="AA737" s="135"/>
      <c r="AB737" s="135"/>
      <c r="AC737" s="135"/>
      <c r="AD737" s="133"/>
      <c r="AE737" s="133"/>
      <c r="AF737" s="132" t="str">
        <f t="shared" si="77"/>
        <v>Нет инфо</v>
      </c>
      <c r="AG737" s="132" t="str">
        <f t="shared" si="78"/>
        <v>Нет инфо</v>
      </c>
      <c r="AH737" s="2"/>
      <c r="AI737" s="136"/>
      <c r="AJ737" s="2"/>
      <c r="AK737" s="136"/>
      <c r="AL737" s="136"/>
      <c r="AM737" s="2"/>
      <c r="AN737" s="2"/>
      <c r="AO737" s="2"/>
      <c r="AP737" s="2"/>
      <c r="AQ737" s="136"/>
    </row>
    <row r="738" spans="1:43" s="115" customFormat="1" ht="12.75" hidden="1" customHeight="1" x14ac:dyDescent="0.2">
      <c r="A738" s="2">
        <v>2767</v>
      </c>
      <c r="B738" s="2"/>
      <c r="C738" s="131"/>
      <c r="D738" s="131"/>
      <c r="E738" s="131"/>
      <c r="F738" s="2"/>
      <c r="G738" s="2"/>
      <c r="H738" s="132">
        <v>0</v>
      </c>
      <c r="I738" s="132"/>
      <c r="J738" s="132"/>
      <c r="K738" s="132"/>
      <c r="L738" s="132">
        <f t="shared" si="79"/>
        <v>0</v>
      </c>
      <c r="M738" s="132">
        <f t="shared" si="80"/>
        <v>0</v>
      </c>
      <c r="N738" s="133"/>
      <c r="O738" s="133">
        <f t="shared" si="81"/>
        <v>0</v>
      </c>
      <c r="P738" s="134"/>
      <c r="Q738" s="133"/>
      <c r="R738" s="133"/>
      <c r="S738" s="153">
        <v>0</v>
      </c>
      <c r="T738" s="153">
        <v>0</v>
      </c>
      <c r="U738" s="153">
        <v>0</v>
      </c>
      <c r="V738" s="135"/>
      <c r="W738" s="135"/>
      <c r="X738" s="135"/>
      <c r="Y738" s="135"/>
      <c r="Z738" s="135"/>
      <c r="AA738" s="135"/>
      <c r="AB738" s="135"/>
      <c r="AC738" s="135"/>
      <c r="AD738" s="133"/>
      <c r="AE738" s="133"/>
      <c r="AF738" s="132" t="str">
        <f t="shared" si="77"/>
        <v>Нет инфо</v>
      </c>
      <c r="AG738" s="132" t="str">
        <f t="shared" si="78"/>
        <v>Нет инфо</v>
      </c>
      <c r="AH738" s="2"/>
      <c r="AI738" s="136"/>
      <c r="AJ738" s="2"/>
      <c r="AK738" s="136"/>
      <c r="AL738" s="136"/>
      <c r="AM738" s="2"/>
      <c r="AN738" s="2"/>
      <c r="AO738" s="2"/>
      <c r="AP738" s="2"/>
      <c r="AQ738" s="136"/>
    </row>
    <row r="739" spans="1:43" s="115" customFormat="1" ht="12.75" hidden="1" customHeight="1" x14ac:dyDescent="0.2">
      <c r="A739" s="2">
        <v>2768</v>
      </c>
      <c r="B739" s="2"/>
      <c r="C739" s="131"/>
      <c r="D739" s="131"/>
      <c r="E739" s="131"/>
      <c r="F739" s="2"/>
      <c r="G739" s="2"/>
      <c r="H739" s="132">
        <v>0</v>
      </c>
      <c r="I739" s="132"/>
      <c r="J739" s="132"/>
      <c r="K739" s="132"/>
      <c r="L739" s="132">
        <f t="shared" si="79"/>
        <v>0</v>
      </c>
      <c r="M739" s="132">
        <f t="shared" si="80"/>
        <v>0</v>
      </c>
      <c r="N739" s="133"/>
      <c r="O739" s="133">
        <f t="shared" si="81"/>
        <v>0</v>
      </c>
      <c r="P739" s="134"/>
      <c r="Q739" s="133"/>
      <c r="R739" s="133"/>
      <c r="S739" s="153">
        <v>0</v>
      </c>
      <c r="T739" s="153">
        <v>0</v>
      </c>
      <c r="U739" s="153">
        <v>0</v>
      </c>
      <c r="V739" s="135"/>
      <c r="W739" s="135"/>
      <c r="X739" s="135"/>
      <c r="Y739" s="135"/>
      <c r="Z739" s="135"/>
      <c r="AA739" s="135"/>
      <c r="AB739" s="135"/>
      <c r="AC739" s="135"/>
      <c r="AD739" s="133"/>
      <c r="AE739" s="133"/>
      <c r="AF739" s="132" t="str">
        <f t="shared" si="77"/>
        <v>Нет инфо</v>
      </c>
      <c r="AG739" s="132" t="str">
        <f t="shared" si="78"/>
        <v>Нет инфо</v>
      </c>
      <c r="AH739" s="2"/>
      <c r="AI739" s="136"/>
      <c r="AJ739" s="2"/>
      <c r="AK739" s="136"/>
      <c r="AL739" s="136"/>
      <c r="AM739" s="2"/>
      <c r="AN739" s="2"/>
      <c r="AO739" s="2"/>
      <c r="AP739" s="2"/>
      <c r="AQ739" s="136"/>
    </row>
    <row r="740" spans="1:43" s="115" customFormat="1" ht="12.75" hidden="1" customHeight="1" x14ac:dyDescent="0.2">
      <c r="A740" s="2">
        <v>2769</v>
      </c>
      <c r="B740" s="2"/>
      <c r="C740" s="131"/>
      <c r="D740" s="131"/>
      <c r="E740" s="131"/>
      <c r="F740" s="2"/>
      <c r="G740" s="2"/>
      <c r="H740" s="132">
        <v>0</v>
      </c>
      <c r="I740" s="132"/>
      <c r="J740" s="132"/>
      <c r="K740" s="132"/>
      <c r="L740" s="132">
        <f t="shared" si="79"/>
        <v>0</v>
      </c>
      <c r="M740" s="132">
        <f t="shared" si="80"/>
        <v>0</v>
      </c>
      <c r="N740" s="133"/>
      <c r="O740" s="133">
        <f t="shared" si="81"/>
        <v>0</v>
      </c>
      <c r="P740" s="134"/>
      <c r="Q740" s="133"/>
      <c r="R740" s="133"/>
      <c r="S740" s="153">
        <v>0</v>
      </c>
      <c r="T740" s="153">
        <v>0</v>
      </c>
      <c r="U740" s="153">
        <v>0</v>
      </c>
      <c r="V740" s="135"/>
      <c r="W740" s="135"/>
      <c r="X740" s="135"/>
      <c r="Y740" s="135"/>
      <c r="Z740" s="135"/>
      <c r="AA740" s="135"/>
      <c r="AB740" s="135"/>
      <c r="AC740" s="135"/>
      <c r="AD740" s="133"/>
      <c r="AE740" s="133"/>
      <c r="AF740" s="132" t="str">
        <f t="shared" si="77"/>
        <v>Нет инфо</v>
      </c>
      <c r="AG740" s="132" t="str">
        <f t="shared" si="78"/>
        <v>Нет инфо</v>
      </c>
      <c r="AH740" s="2"/>
      <c r="AI740" s="136"/>
      <c r="AJ740" s="2"/>
      <c r="AK740" s="136"/>
      <c r="AL740" s="136"/>
      <c r="AM740" s="2"/>
      <c r="AN740" s="2"/>
      <c r="AO740" s="2"/>
      <c r="AP740" s="2"/>
      <c r="AQ740" s="136"/>
    </row>
    <row r="741" spans="1:43" s="115" customFormat="1" ht="12.75" hidden="1" customHeight="1" x14ac:dyDescent="0.2">
      <c r="A741" s="2">
        <v>2770</v>
      </c>
      <c r="B741" s="2"/>
      <c r="C741" s="131"/>
      <c r="D741" s="131"/>
      <c r="E741" s="131"/>
      <c r="F741" s="2"/>
      <c r="G741" s="2"/>
      <c r="H741" s="132">
        <v>0</v>
      </c>
      <c r="I741" s="132"/>
      <c r="J741" s="132"/>
      <c r="K741" s="132"/>
      <c r="L741" s="132">
        <f t="shared" si="79"/>
        <v>0</v>
      </c>
      <c r="M741" s="132">
        <f t="shared" si="80"/>
        <v>0</v>
      </c>
      <c r="N741" s="133"/>
      <c r="O741" s="133">
        <f t="shared" si="81"/>
        <v>0</v>
      </c>
      <c r="P741" s="134"/>
      <c r="Q741" s="133"/>
      <c r="R741" s="133"/>
      <c r="S741" s="153">
        <v>0</v>
      </c>
      <c r="T741" s="153">
        <v>0</v>
      </c>
      <c r="U741" s="153">
        <v>0</v>
      </c>
      <c r="V741" s="135"/>
      <c r="W741" s="135"/>
      <c r="X741" s="135"/>
      <c r="Y741" s="135"/>
      <c r="Z741" s="135"/>
      <c r="AA741" s="135"/>
      <c r="AB741" s="135"/>
      <c r="AC741" s="135"/>
      <c r="AD741" s="133"/>
      <c r="AE741" s="133"/>
      <c r="AF741" s="132" t="str">
        <f t="shared" ref="AF741:AF804" si="82">IF(OR(I741="",I741=0,N741="",N741=0),"Нет инфо",I741/N741)</f>
        <v>Нет инфо</v>
      </c>
      <c r="AG741" s="132" t="str">
        <f t="shared" ref="AG741:AG804" si="83">IF(OR(I741="",I741=0,R741="",R741=0),"Нет инфо",I741/R741)</f>
        <v>Нет инфо</v>
      </c>
      <c r="AH741" s="2"/>
      <c r="AI741" s="136"/>
      <c r="AJ741" s="2"/>
      <c r="AK741" s="136"/>
      <c r="AL741" s="136"/>
      <c r="AM741" s="2"/>
      <c r="AN741" s="2"/>
      <c r="AO741" s="2"/>
      <c r="AP741" s="2"/>
      <c r="AQ741" s="136"/>
    </row>
    <row r="742" spans="1:43" s="115" customFormat="1" ht="12.75" hidden="1" customHeight="1" x14ac:dyDescent="0.2">
      <c r="A742" s="2">
        <v>2771</v>
      </c>
      <c r="B742" s="2"/>
      <c r="C742" s="131"/>
      <c r="D742" s="131"/>
      <c r="E742" s="131"/>
      <c r="F742" s="2"/>
      <c r="G742" s="2"/>
      <c r="H742" s="132">
        <v>0</v>
      </c>
      <c r="I742" s="132"/>
      <c r="J742" s="132"/>
      <c r="K742" s="132"/>
      <c r="L742" s="132">
        <f t="shared" si="79"/>
        <v>0</v>
      </c>
      <c r="M742" s="132">
        <f t="shared" si="80"/>
        <v>0</v>
      </c>
      <c r="N742" s="133"/>
      <c r="O742" s="133">
        <f t="shared" si="81"/>
        <v>0</v>
      </c>
      <c r="P742" s="134"/>
      <c r="Q742" s="133"/>
      <c r="R742" s="133"/>
      <c r="S742" s="153">
        <v>0</v>
      </c>
      <c r="T742" s="153">
        <v>0</v>
      </c>
      <c r="U742" s="153">
        <v>0</v>
      </c>
      <c r="V742" s="135"/>
      <c r="W742" s="135"/>
      <c r="X742" s="135"/>
      <c r="Y742" s="135"/>
      <c r="Z742" s="135"/>
      <c r="AA742" s="135"/>
      <c r="AB742" s="135"/>
      <c r="AC742" s="135"/>
      <c r="AD742" s="133"/>
      <c r="AE742" s="133"/>
      <c r="AF742" s="132" t="str">
        <f t="shared" si="82"/>
        <v>Нет инфо</v>
      </c>
      <c r="AG742" s="132" t="str">
        <f t="shared" si="83"/>
        <v>Нет инфо</v>
      </c>
      <c r="AH742" s="2"/>
      <c r="AI742" s="136"/>
      <c r="AJ742" s="2"/>
      <c r="AK742" s="136"/>
      <c r="AL742" s="136"/>
      <c r="AM742" s="2"/>
      <c r="AN742" s="2"/>
      <c r="AO742" s="2"/>
      <c r="AP742" s="2"/>
      <c r="AQ742" s="136"/>
    </row>
    <row r="743" spans="1:43" s="115" customFormat="1" ht="12.75" hidden="1" customHeight="1" x14ac:dyDescent="0.2">
      <c r="A743" s="2">
        <v>2772</v>
      </c>
      <c r="B743" s="2"/>
      <c r="C743" s="131"/>
      <c r="D743" s="131"/>
      <c r="E743" s="131"/>
      <c r="F743" s="2"/>
      <c r="G743" s="2"/>
      <c r="H743" s="132">
        <v>0</v>
      </c>
      <c r="I743" s="132"/>
      <c r="J743" s="132"/>
      <c r="K743" s="132"/>
      <c r="L743" s="132">
        <f t="shared" si="79"/>
        <v>0</v>
      </c>
      <c r="M743" s="132">
        <f t="shared" si="80"/>
        <v>0</v>
      </c>
      <c r="N743" s="133"/>
      <c r="O743" s="133">
        <f t="shared" si="81"/>
        <v>0</v>
      </c>
      <c r="P743" s="134"/>
      <c r="Q743" s="133"/>
      <c r="R743" s="133"/>
      <c r="S743" s="153">
        <v>0</v>
      </c>
      <c r="T743" s="153">
        <v>0</v>
      </c>
      <c r="U743" s="153">
        <v>0</v>
      </c>
      <c r="V743" s="135"/>
      <c r="W743" s="135"/>
      <c r="X743" s="135"/>
      <c r="Y743" s="135"/>
      <c r="Z743" s="135"/>
      <c r="AA743" s="135"/>
      <c r="AB743" s="135"/>
      <c r="AC743" s="135"/>
      <c r="AD743" s="133"/>
      <c r="AE743" s="133"/>
      <c r="AF743" s="132" t="str">
        <f t="shared" si="82"/>
        <v>Нет инфо</v>
      </c>
      <c r="AG743" s="132" t="str">
        <f t="shared" si="83"/>
        <v>Нет инфо</v>
      </c>
      <c r="AH743" s="2"/>
      <c r="AI743" s="136"/>
      <c r="AJ743" s="2"/>
      <c r="AK743" s="136"/>
      <c r="AL743" s="136"/>
      <c r="AM743" s="2"/>
      <c r="AN743" s="2"/>
      <c r="AO743" s="2"/>
      <c r="AP743" s="2"/>
      <c r="AQ743" s="136"/>
    </row>
    <row r="744" spans="1:43" s="115" customFormat="1" ht="12.75" hidden="1" customHeight="1" x14ac:dyDescent="0.2">
      <c r="A744" s="2">
        <v>2773</v>
      </c>
      <c r="B744" s="2"/>
      <c r="C744" s="131"/>
      <c r="D744" s="131"/>
      <c r="E744" s="131"/>
      <c r="F744" s="2"/>
      <c r="G744" s="2"/>
      <c r="H744" s="132">
        <v>0</v>
      </c>
      <c r="I744" s="132"/>
      <c r="J744" s="132"/>
      <c r="K744" s="132"/>
      <c r="L744" s="132">
        <f t="shared" si="79"/>
        <v>0</v>
      </c>
      <c r="M744" s="132">
        <f t="shared" si="80"/>
        <v>0</v>
      </c>
      <c r="N744" s="133"/>
      <c r="O744" s="133">
        <f t="shared" si="81"/>
        <v>0</v>
      </c>
      <c r="P744" s="134"/>
      <c r="Q744" s="133"/>
      <c r="R744" s="133"/>
      <c r="S744" s="153">
        <v>0</v>
      </c>
      <c r="T744" s="153">
        <v>0</v>
      </c>
      <c r="U744" s="153">
        <v>0</v>
      </c>
      <c r="V744" s="135"/>
      <c r="W744" s="135"/>
      <c r="X744" s="135"/>
      <c r="Y744" s="135"/>
      <c r="Z744" s="135"/>
      <c r="AA744" s="135"/>
      <c r="AB744" s="135"/>
      <c r="AC744" s="135"/>
      <c r="AD744" s="133"/>
      <c r="AE744" s="133"/>
      <c r="AF744" s="132" t="str">
        <f t="shared" si="82"/>
        <v>Нет инфо</v>
      </c>
      <c r="AG744" s="132" t="str">
        <f t="shared" si="83"/>
        <v>Нет инфо</v>
      </c>
      <c r="AH744" s="2"/>
      <c r="AI744" s="136"/>
      <c r="AJ744" s="2"/>
      <c r="AK744" s="136"/>
      <c r="AL744" s="136"/>
      <c r="AM744" s="2"/>
      <c r="AN744" s="2"/>
      <c r="AO744" s="2"/>
      <c r="AP744" s="2"/>
      <c r="AQ744" s="136"/>
    </row>
    <row r="745" spans="1:43" s="115" customFormat="1" ht="12.75" hidden="1" customHeight="1" x14ac:dyDescent="0.2">
      <c r="A745" s="2">
        <v>2774</v>
      </c>
      <c r="B745" s="2"/>
      <c r="C745" s="131"/>
      <c r="D745" s="131"/>
      <c r="E745" s="131"/>
      <c r="F745" s="2"/>
      <c r="G745" s="2"/>
      <c r="H745" s="132">
        <v>0</v>
      </c>
      <c r="I745" s="132"/>
      <c r="J745" s="132"/>
      <c r="K745" s="132"/>
      <c r="L745" s="132">
        <f t="shared" si="79"/>
        <v>0</v>
      </c>
      <c r="M745" s="132">
        <f t="shared" si="80"/>
        <v>0</v>
      </c>
      <c r="N745" s="133"/>
      <c r="O745" s="133">
        <f t="shared" si="81"/>
        <v>0</v>
      </c>
      <c r="P745" s="134"/>
      <c r="Q745" s="133"/>
      <c r="R745" s="133"/>
      <c r="S745" s="153">
        <v>0</v>
      </c>
      <c r="T745" s="153">
        <v>0</v>
      </c>
      <c r="U745" s="153">
        <v>0</v>
      </c>
      <c r="V745" s="135"/>
      <c r="W745" s="135"/>
      <c r="X745" s="135"/>
      <c r="Y745" s="135"/>
      <c r="Z745" s="135"/>
      <c r="AA745" s="135"/>
      <c r="AB745" s="135"/>
      <c r="AC745" s="135"/>
      <c r="AD745" s="133"/>
      <c r="AE745" s="133"/>
      <c r="AF745" s="132" t="str">
        <f t="shared" si="82"/>
        <v>Нет инфо</v>
      </c>
      <c r="AG745" s="132" t="str">
        <f t="shared" si="83"/>
        <v>Нет инфо</v>
      </c>
      <c r="AH745" s="2"/>
      <c r="AI745" s="136"/>
      <c r="AJ745" s="2"/>
      <c r="AK745" s="136"/>
      <c r="AL745" s="136"/>
      <c r="AM745" s="2"/>
      <c r="AN745" s="2"/>
      <c r="AO745" s="2"/>
      <c r="AP745" s="2"/>
      <c r="AQ745" s="136"/>
    </row>
    <row r="746" spans="1:43" s="115" customFormat="1" ht="12.75" hidden="1" customHeight="1" x14ac:dyDescent="0.2">
      <c r="A746" s="2">
        <v>2775</v>
      </c>
      <c r="B746" s="2"/>
      <c r="C746" s="131"/>
      <c r="D746" s="131"/>
      <c r="E746" s="131"/>
      <c r="F746" s="2"/>
      <c r="G746" s="2"/>
      <c r="H746" s="132">
        <v>0</v>
      </c>
      <c r="I746" s="132"/>
      <c r="J746" s="132"/>
      <c r="K746" s="132"/>
      <c r="L746" s="132">
        <f t="shared" si="79"/>
        <v>0</v>
      </c>
      <c r="M746" s="132">
        <f t="shared" si="80"/>
        <v>0</v>
      </c>
      <c r="N746" s="133"/>
      <c r="O746" s="133">
        <f t="shared" si="81"/>
        <v>0</v>
      </c>
      <c r="P746" s="134"/>
      <c r="Q746" s="133"/>
      <c r="R746" s="133"/>
      <c r="S746" s="153">
        <v>0</v>
      </c>
      <c r="T746" s="153">
        <v>0</v>
      </c>
      <c r="U746" s="153">
        <v>0</v>
      </c>
      <c r="V746" s="135"/>
      <c r="W746" s="135"/>
      <c r="X746" s="135"/>
      <c r="Y746" s="135"/>
      <c r="Z746" s="135"/>
      <c r="AA746" s="135"/>
      <c r="AB746" s="135"/>
      <c r="AC746" s="135"/>
      <c r="AD746" s="133"/>
      <c r="AE746" s="133"/>
      <c r="AF746" s="132" t="str">
        <f t="shared" si="82"/>
        <v>Нет инфо</v>
      </c>
      <c r="AG746" s="132" t="str">
        <f t="shared" si="83"/>
        <v>Нет инфо</v>
      </c>
      <c r="AH746" s="2"/>
      <c r="AI746" s="136"/>
      <c r="AJ746" s="2"/>
      <c r="AK746" s="136"/>
      <c r="AL746" s="136"/>
      <c r="AM746" s="2"/>
      <c r="AN746" s="2"/>
      <c r="AO746" s="2"/>
      <c r="AP746" s="2"/>
      <c r="AQ746" s="136"/>
    </row>
    <row r="747" spans="1:43" s="115" customFormat="1" ht="12.75" hidden="1" customHeight="1" x14ac:dyDescent="0.2">
      <c r="A747" s="2">
        <v>2776</v>
      </c>
      <c r="B747" s="2"/>
      <c r="C747" s="131"/>
      <c r="D747" s="131"/>
      <c r="E747" s="131"/>
      <c r="F747" s="2"/>
      <c r="G747" s="2"/>
      <c r="H747" s="132">
        <v>0</v>
      </c>
      <c r="I747" s="132"/>
      <c r="J747" s="132"/>
      <c r="K747" s="132"/>
      <c r="L747" s="132">
        <f t="shared" si="79"/>
        <v>0</v>
      </c>
      <c r="M747" s="132">
        <f t="shared" si="80"/>
        <v>0</v>
      </c>
      <c r="N747" s="133"/>
      <c r="O747" s="133">
        <f t="shared" si="81"/>
        <v>0</v>
      </c>
      <c r="P747" s="134"/>
      <c r="Q747" s="133"/>
      <c r="R747" s="133"/>
      <c r="S747" s="153">
        <v>0</v>
      </c>
      <c r="T747" s="153">
        <v>0</v>
      </c>
      <c r="U747" s="153">
        <v>0</v>
      </c>
      <c r="V747" s="135"/>
      <c r="W747" s="135"/>
      <c r="X747" s="135"/>
      <c r="Y747" s="135"/>
      <c r="Z747" s="135"/>
      <c r="AA747" s="135"/>
      <c r="AB747" s="135"/>
      <c r="AC747" s="135"/>
      <c r="AD747" s="133"/>
      <c r="AE747" s="133"/>
      <c r="AF747" s="132" t="str">
        <f t="shared" si="82"/>
        <v>Нет инфо</v>
      </c>
      <c r="AG747" s="132" t="str">
        <f t="shared" si="83"/>
        <v>Нет инфо</v>
      </c>
      <c r="AH747" s="2"/>
      <c r="AI747" s="136"/>
      <c r="AJ747" s="2"/>
      <c r="AK747" s="136"/>
      <c r="AL747" s="136"/>
      <c r="AM747" s="2"/>
      <c r="AN747" s="2"/>
      <c r="AO747" s="2"/>
      <c r="AP747" s="2"/>
      <c r="AQ747" s="136"/>
    </row>
    <row r="748" spans="1:43" s="115" customFormat="1" ht="12.75" hidden="1" customHeight="1" x14ac:dyDescent="0.2">
      <c r="A748" s="2">
        <v>2777</v>
      </c>
      <c r="B748" s="2"/>
      <c r="C748" s="131"/>
      <c r="D748" s="131"/>
      <c r="E748" s="131"/>
      <c r="F748" s="2"/>
      <c r="G748" s="2"/>
      <c r="H748" s="132">
        <v>0</v>
      </c>
      <c r="I748" s="132"/>
      <c r="J748" s="132"/>
      <c r="K748" s="132"/>
      <c r="L748" s="132">
        <f t="shared" si="79"/>
        <v>0</v>
      </c>
      <c r="M748" s="132">
        <f t="shared" si="80"/>
        <v>0</v>
      </c>
      <c r="N748" s="133"/>
      <c r="O748" s="133">
        <f t="shared" si="81"/>
        <v>0</v>
      </c>
      <c r="P748" s="134"/>
      <c r="Q748" s="133"/>
      <c r="R748" s="133"/>
      <c r="S748" s="153">
        <v>0</v>
      </c>
      <c r="T748" s="153">
        <v>0</v>
      </c>
      <c r="U748" s="153">
        <v>0</v>
      </c>
      <c r="V748" s="135"/>
      <c r="W748" s="135"/>
      <c r="X748" s="135"/>
      <c r="Y748" s="135"/>
      <c r="Z748" s="135"/>
      <c r="AA748" s="135"/>
      <c r="AB748" s="135"/>
      <c r="AC748" s="135"/>
      <c r="AD748" s="133"/>
      <c r="AE748" s="133"/>
      <c r="AF748" s="132" t="str">
        <f t="shared" si="82"/>
        <v>Нет инфо</v>
      </c>
      <c r="AG748" s="132" t="str">
        <f t="shared" si="83"/>
        <v>Нет инфо</v>
      </c>
      <c r="AH748" s="2"/>
      <c r="AI748" s="136"/>
      <c r="AJ748" s="2"/>
      <c r="AK748" s="136"/>
      <c r="AL748" s="136"/>
      <c r="AM748" s="2"/>
      <c r="AN748" s="2"/>
      <c r="AO748" s="2"/>
      <c r="AP748" s="2"/>
      <c r="AQ748" s="136"/>
    </row>
    <row r="749" spans="1:43" s="115" customFormat="1" ht="12.75" hidden="1" customHeight="1" x14ac:dyDescent="0.2">
      <c r="A749" s="2">
        <v>2778</v>
      </c>
      <c r="B749" s="2"/>
      <c r="C749" s="131"/>
      <c r="D749" s="131"/>
      <c r="E749" s="131"/>
      <c r="F749" s="2"/>
      <c r="G749" s="2"/>
      <c r="H749" s="132">
        <v>0</v>
      </c>
      <c r="I749" s="132"/>
      <c r="J749" s="132"/>
      <c r="K749" s="132"/>
      <c r="L749" s="132">
        <f t="shared" si="79"/>
        <v>0</v>
      </c>
      <c r="M749" s="132">
        <f t="shared" si="80"/>
        <v>0</v>
      </c>
      <c r="N749" s="133"/>
      <c r="O749" s="133">
        <f t="shared" si="81"/>
        <v>0</v>
      </c>
      <c r="P749" s="134"/>
      <c r="Q749" s="133"/>
      <c r="R749" s="133"/>
      <c r="S749" s="153">
        <v>0</v>
      </c>
      <c r="T749" s="153">
        <v>0</v>
      </c>
      <c r="U749" s="153">
        <v>0</v>
      </c>
      <c r="V749" s="135"/>
      <c r="W749" s="135"/>
      <c r="X749" s="135"/>
      <c r="Y749" s="135"/>
      <c r="Z749" s="135"/>
      <c r="AA749" s="135"/>
      <c r="AB749" s="135"/>
      <c r="AC749" s="135"/>
      <c r="AD749" s="133"/>
      <c r="AE749" s="133"/>
      <c r="AF749" s="132" t="str">
        <f t="shared" si="82"/>
        <v>Нет инфо</v>
      </c>
      <c r="AG749" s="132" t="str">
        <f t="shared" si="83"/>
        <v>Нет инфо</v>
      </c>
      <c r="AH749" s="2"/>
      <c r="AI749" s="136"/>
      <c r="AJ749" s="2"/>
      <c r="AK749" s="136"/>
      <c r="AL749" s="136"/>
      <c r="AM749" s="2"/>
      <c r="AN749" s="2"/>
      <c r="AO749" s="2"/>
      <c r="AP749" s="2"/>
      <c r="AQ749" s="136"/>
    </row>
    <row r="750" spans="1:43" s="115" customFormat="1" ht="12.75" hidden="1" customHeight="1" x14ac:dyDescent="0.2">
      <c r="A750" s="2">
        <v>2779</v>
      </c>
      <c r="B750" s="2"/>
      <c r="C750" s="131"/>
      <c r="D750" s="131"/>
      <c r="E750" s="131"/>
      <c r="F750" s="2"/>
      <c r="G750" s="2"/>
      <c r="H750" s="132">
        <v>0</v>
      </c>
      <c r="I750" s="132"/>
      <c r="J750" s="132"/>
      <c r="K750" s="132"/>
      <c r="L750" s="132">
        <f t="shared" si="79"/>
        <v>0</v>
      </c>
      <c r="M750" s="132">
        <f t="shared" si="80"/>
        <v>0</v>
      </c>
      <c r="N750" s="133"/>
      <c r="O750" s="133">
        <f t="shared" si="81"/>
        <v>0</v>
      </c>
      <c r="P750" s="134"/>
      <c r="Q750" s="133"/>
      <c r="R750" s="133"/>
      <c r="S750" s="153">
        <v>0</v>
      </c>
      <c r="T750" s="153">
        <v>0</v>
      </c>
      <c r="U750" s="153">
        <v>0</v>
      </c>
      <c r="V750" s="135"/>
      <c r="W750" s="135"/>
      <c r="X750" s="135"/>
      <c r="Y750" s="135"/>
      <c r="Z750" s="135"/>
      <c r="AA750" s="135"/>
      <c r="AB750" s="135"/>
      <c r="AC750" s="135"/>
      <c r="AD750" s="133"/>
      <c r="AE750" s="133"/>
      <c r="AF750" s="132" t="str">
        <f t="shared" si="82"/>
        <v>Нет инфо</v>
      </c>
      <c r="AG750" s="132" t="str">
        <f t="shared" si="83"/>
        <v>Нет инфо</v>
      </c>
      <c r="AH750" s="2"/>
      <c r="AI750" s="136"/>
      <c r="AJ750" s="2"/>
      <c r="AK750" s="136"/>
      <c r="AL750" s="136"/>
      <c r="AM750" s="2"/>
      <c r="AN750" s="2"/>
      <c r="AO750" s="2"/>
      <c r="AP750" s="2"/>
      <c r="AQ750" s="136"/>
    </row>
    <row r="751" spans="1:43" s="115" customFormat="1" ht="12.75" hidden="1" customHeight="1" x14ac:dyDescent="0.2">
      <c r="A751" s="2">
        <v>2780</v>
      </c>
      <c r="B751" s="2"/>
      <c r="C751" s="131"/>
      <c r="D751" s="131"/>
      <c r="E751" s="131"/>
      <c r="F751" s="2"/>
      <c r="G751" s="2"/>
      <c r="H751" s="132">
        <v>0</v>
      </c>
      <c r="I751" s="132"/>
      <c r="J751" s="132"/>
      <c r="K751" s="132"/>
      <c r="L751" s="132">
        <f t="shared" si="79"/>
        <v>0</v>
      </c>
      <c r="M751" s="132">
        <f t="shared" si="80"/>
        <v>0</v>
      </c>
      <c r="N751" s="133"/>
      <c r="O751" s="133">
        <f t="shared" si="81"/>
        <v>0</v>
      </c>
      <c r="P751" s="134"/>
      <c r="Q751" s="133"/>
      <c r="R751" s="133"/>
      <c r="S751" s="153">
        <v>0</v>
      </c>
      <c r="T751" s="153">
        <v>0</v>
      </c>
      <c r="U751" s="153">
        <v>0</v>
      </c>
      <c r="V751" s="135"/>
      <c r="W751" s="135"/>
      <c r="X751" s="135"/>
      <c r="Y751" s="135"/>
      <c r="Z751" s="135"/>
      <c r="AA751" s="135"/>
      <c r="AB751" s="135"/>
      <c r="AC751" s="135"/>
      <c r="AD751" s="133"/>
      <c r="AE751" s="133"/>
      <c r="AF751" s="132" t="str">
        <f t="shared" si="82"/>
        <v>Нет инфо</v>
      </c>
      <c r="AG751" s="132" t="str">
        <f t="shared" si="83"/>
        <v>Нет инфо</v>
      </c>
      <c r="AH751" s="2"/>
      <c r="AI751" s="136"/>
      <c r="AJ751" s="2"/>
      <c r="AK751" s="136"/>
      <c r="AL751" s="136"/>
      <c r="AM751" s="2"/>
      <c r="AN751" s="2"/>
      <c r="AO751" s="2"/>
      <c r="AP751" s="2"/>
      <c r="AQ751" s="136"/>
    </row>
    <row r="752" spans="1:43" s="115" customFormat="1" ht="12.75" hidden="1" customHeight="1" x14ac:dyDescent="0.2">
      <c r="A752" s="2">
        <v>2781</v>
      </c>
      <c r="B752" s="2"/>
      <c r="C752" s="131"/>
      <c r="D752" s="131"/>
      <c r="E752" s="131"/>
      <c r="F752" s="2"/>
      <c r="G752" s="2"/>
      <c r="H752" s="132">
        <v>0</v>
      </c>
      <c r="I752" s="132"/>
      <c r="J752" s="132"/>
      <c r="K752" s="132"/>
      <c r="L752" s="132">
        <f t="shared" si="79"/>
        <v>0</v>
      </c>
      <c r="M752" s="132">
        <f t="shared" si="80"/>
        <v>0</v>
      </c>
      <c r="N752" s="133"/>
      <c r="O752" s="133">
        <f t="shared" si="81"/>
        <v>0</v>
      </c>
      <c r="P752" s="134"/>
      <c r="Q752" s="133"/>
      <c r="R752" s="133"/>
      <c r="S752" s="153">
        <v>0</v>
      </c>
      <c r="T752" s="153">
        <v>0</v>
      </c>
      <c r="U752" s="153">
        <v>0</v>
      </c>
      <c r="V752" s="135"/>
      <c r="W752" s="135"/>
      <c r="X752" s="135"/>
      <c r="Y752" s="135"/>
      <c r="Z752" s="135"/>
      <c r="AA752" s="135"/>
      <c r="AB752" s="135"/>
      <c r="AC752" s="135"/>
      <c r="AD752" s="133"/>
      <c r="AE752" s="133"/>
      <c r="AF752" s="132" t="str">
        <f t="shared" si="82"/>
        <v>Нет инфо</v>
      </c>
      <c r="AG752" s="132" t="str">
        <f t="shared" si="83"/>
        <v>Нет инфо</v>
      </c>
      <c r="AH752" s="2"/>
      <c r="AI752" s="136"/>
      <c r="AJ752" s="2"/>
      <c r="AK752" s="136"/>
      <c r="AL752" s="136"/>
      <c r="AM752" s="2"/>
      <c r="AN752" s="2"/>
      <c r="AO752" s="2"/>
      <c r="AP752" s="2"/>
      <c r="AQ752" s="136"/>
    </row>
    <row r="753" spans="1:43" s="115" customFormat="1" ht="12.75" hidden="1" customHeight="1" x14ac:dyDescent="0.2">
      <c r="A753" s="2">
        <v>2782</v>
      </c>
      <c r="B753" s="2"/>
      <c r="C753" s="131"/>
      <c r="D753" s="131"/>
      <c r="E753" s="131"/>
      <c r="F753" s="2"/>
      <c r="G753" s="2"/>
      <c r="H753" s="132">
        <v>0</v>
      </c>
      <c r="I753" s="132"/>
      <c r="J753" s="132"/>
      <c r="K753" s="132"/>
      <c r="L753" s="132">
        <f t="shared" si="79"/>
        <v>0</v>
      </c>
      <c r="M753" s="132">
        <f t="shared" si="80"/>
        <v>0</v>
      </c>
      <c r="N753" s="133"/>
      <c r="O753" s="133">
        <f t="shared" si="81"/>
        <v>0</v>
      </c>
      <c r="P753" s="134"/>
      <c r="Q753" s="133"/>
      <c r="R753" s="133"/>
      <c r="S753" s="153">
        <v>0</v>
      </c>
      <c r="T753" s="153">
        <v>0</v>
      </c>
      <c r="U753" s="153">
        <v>0</v>
      </c>
      <c r="V753" s="135"/>
      <c r="W753" s="135"/>
      <c r="X753" s="135"/>
      <c r="Y753" s="135"/>
      <c r="Z753" s="135"/>
      <c r="AA753" s="135"/>
      <c r="AB753" s="135"/>
      <c r="AC753" s="135"/>
      <c r="AD753" s="133"/>
      <c r="AE753" s="133"/>
      <c r="AF753" s="132" t="str">
        <f t="shared" si="82"/>
        <v>Нет инфо</v>
      </c>
      <c r="AG753" s="132" t="str">
        <f t="shared" si="83"/>
        <v>Нет инфо</v>
      </c>
      <c r="AH753" s="2"/>
      <c r="AI753" s="136"/>
      <c r="AJ753" s="2"/>
      <c r="AK753" s="136"/>
      <c r="AL753" s="136"/>
      <c r="AM753" s="2"/>
      <c r="AN753" s="2"/>
      <c r="AO753" s="2"/>
      <c r="AP753" s="2"/>
      <c r="AQ753" s="136"/>
    </row>
    <row r="754" spans="1:43" s="115" customFormat="1" ht="12.75" hidden="1" customHeight="1" x14ac:dyDescent="0.2">
      <c r="A754" s="2">
        <v>2783</v>
      </c>
      <c r="B754" s="2"/>
      <c r="C754" s="131"/>
      <c r="D754" s="131"/>
      <c r="E754" s="131"/>
      <c r="F754" s="2"/>
      <c r="G754" s="2"/>
      <c r="H754" s="132">
        <v>0</v>
      </c>
      <c r="I754" s="132"/>
      <c r="J754" s="132"/>
      <c r="K754" s="132"/>
      <c r="L754" s="132">
        <f t="shared" si="79"/>
        <v>0</v>
      </c>
      <c r="M754" s="132">
        <f t="shared" si="80"/>
        <v>0</v>
      </c>
      <c r="N754" s="133"/>
      <c r="O754" s="133">
        <f t="shared" si="81"/>
        <v>0</v>
      </c>
      <c r="P754" s="134"/>
      <c r="Q754" s="133"/>
      <c r="R754" s="133"/>
      <c r="S754" s="153">
        <v>0</v>
      </c>
      <c r="T754" s="153">
        <v>0</v>
      </c>
      <c r="U754" s="153">
        <v>0</v>
      </c>
      <c r="V754" s="135"/>
      <c r="W754" s="135"/>
      <c r="X754" s="135"/>
      <c r="Y754" s="135"/>
      <c r="Z754" s="135"/>
      <c r="AA754" s="135"/>
      <c r="AB754" s="135"/>
      <c r="AC754" s="135"/>
      <c r="AD754" s="133"/>
      <c r="AE754" s="133"/>
      <c r="AF754" s="132" t="str">
        <f t="shared" si="82"/>
        <v>Нет инфо</v>
      </c>
      <c r="AG754" s="132" t="str">
        <f t="shared" si="83"/>
        <v>Нет инфо</v>
      </c>
      <c r="AH754" s="2"/>
      <c r="AI754" s="136"/>
      <c r="AJ754" s="2"/>
      <c r="AK754" s="136"/>
      <c r="AL754" s="136"/>
      <c r="AM754" s="2"/>
      <c r="AN754" s="2"/>
      <c r="AO754" s="2"/>
      <c r="AP754" s="2"/>
      <c r="AQ754" s="136"/>
    </row>
    <row r="755" spans="1:43" s="115" customFormat="1" ht="12.75" hidden="1" customHeight="1" x14ac:dyDescent="0.2">
      <c r="A755" s="2">
        <v>2784</v>
      </c>
      <c r="B755" s="2"/>
      <c r="C755" s="131"/>
      <c r="D755" s="131"/>
      <c r="E755" s="131"/>
      <c r="F755" s="2"/>
      <c r="G755" s="2"/>
      <c r="H755" s="132">
        <v>0</v>
      </c>
      <c r="I755" s="132"/>
      <c r="J755" s="132"/>
      <c r="K755" s="132"/>
      <c r="L755" s="132">
        <f t="shared" si="79"/>
        <v>0</v>
      </c>
      <c r="M755" s="132">
        <f t="shared" si="80"/>
        <v>0</v>
      </c>
      <c r="N755" s="133"/>
      <c r="O755" s="133">
        <f t="shared" si="81"/>
        <v>0</v>
      </c>
      <c r="P755" s="134"/>
      <c r="Q755" s="133"/>
      <c r="R755" s="133"/>
      <c r="S755" s="153">
        <v>0</v>
      </c>
      <c r="T755" s="153">
        <v>0</v>
      </c>
      <c r="U755" s="153">
        <v>0</v>
      </c>
      <c r="V755" s="135"/>
      <c r="W755" s="135"/>
      <c r="X755" s="135"/>
      <c r="Y755" s="135"/>
      <c r="Z755" s="135"/>
      <c r="AA755" s="135"/>
      <c r="AB755" s="135"/>
      <c r="AC755" s="135"/>
      <c r="AD755" s="133"/>
      <c r="AE755" s="133"/>
      <c r="AF755" s="132" t="str">
        <f t="shared" si="82"/>
        <v>Нет инфо</v>
      </c>
      <c r="AG755" s="132" t="str">
        <f t="shared" si="83"/>
        <v>Нет инфо</v>
      </c>
      <c r="AH755" s="2"/>
      <c r="AI755" s="136"/>
      <c r="AJ755" s="2"/>
      <c r="AK755" s="136"/>
      <c r="AL755" s="136"/>
      <c r="AM755" s="2"/>
      <c r="AN755" s="2"/>
      <c r="AO755" s="2"/>
      <c r="AP755" s="2"/>
      <c r="AQ755" s="136"/>
    </row>
    <row r="756" spans="1:43" s="115" customFormat="1" ht="12.75" hidden="1" customHeight="1" x14ac:dyDescent="0.2">
      <c r="A756" s="2">
        <v>2785</v>
      </c>
      <c r="B756" s="2"/>
      <c r="C756" s="131"/>
      <c r="D756" s="131"/>
      <c r="E756" s="131"/>
      <c r="F756" s="2"/>
      <c r="G756" s="2"/>
      <c r="H756" s="132">
        <v>0</v>
      </c>
      <c r="I756" s="132"/>
      <c r="J756" s="132"/>
      <c r="K756" s="132"/>
      <c r="L756" s="132">
        <f t="shared" si="79"/>
        <v>0</v>
      </c>
      <c r="M756" s="132">
        <f t="shared" si="80"/>
        <v>0</v>
      </c>
      <c r="N756" s="133"/>
      <c r="O756" s="133">
        <f t="shared" si="81"/>
        <v>0</v>
      </c>
      <c r="P756" s="134"/>
      <c r="Q756" s="133"/>
      <c r="R756" s="133"/>
      <c r="S756" s="153">
        <v>0</v>
      </c>
      <c r="T756" s="153">
        <v>0</v>
      </c>
      <c r="U756" s="153">
        <v>0</v>
      </c>
      <c r="V756" s="135"/>
      <c r="W756" s="135"/>
      <c r="X756" s="135"/>
      <c r="Y756" s="135"/>
      <c r="Z756" s="135"/>
      <c r="AA756" s="135"/>
      <c r="AB756" s="135"/>
      <c r="AC756" s="135"/>
      <c r="AD756" s="133"/>
      <c r="AE756" s="133"/>
      <c r="AF756" s="132" t="str">
        <f t="shared" si="82"/>
        <v>Нет инфо</v>
      </c>
      <c r="AG756" s="132" t="str">
        <f t="shared" si="83"/>
        <v>Нет инфо</v>
      </c>
      <c r="AH756" s="2"/>
      <c r="AI756" s="136"/>
      <c r="AJ756" s="2"/>
      <c r="AK756" s="136"/>
      <c r="AL756" s="136"/>
      <c r="AM756" s="2"/>
      <c r="AN756" s="2"/>
      <c r="AO756" s="2"/>
      <c r="AP756" s="2"/>
      <c r="AQ756" s="136"/>
    </row>
    <row r="757" spans="1:43" s="115" customFormat="1" ht="12.75" hidden="1" customHeight="1" x14ac:dyDescent="0.2">
      <c r="A757" s="2">
        <v>2786</v>
      </c>
      <c r="B757" s="2"/>
      <c r="C757" s="131"/>
      <c r="D757" s="131"/>
      <c r="E757" s="131"/>
      <c r="F757" s="2"/>
      <c r="G757" s="2"/>
      <c r="H757" s="132">
        <v>0</v>
      </c>
      <c r="I757" s="132"/>
      <c r="J757" s="132"/>
      <c r="K757" s="132"/>
      <c r="L757" s="132">
        <f t="shared" si="79"/>
        <v>0</v>
      </c>
      <c r="M757" s="132">
        <f t="shared" si="80"/>
        <v>0</v>
      </c>
      <c r="N757" s="133"/>
      <c r="O757" s="133">
        <f t="shared" si="81"/>
        <v>0</v>
      </c>
      <c r="P757" s="134"/>
      <c r="Q757" s="133"/>
      <c r="R757" s="133"/>
      <c r="S757" s="153">
        <v>0</v>
      </c>
      <c r="T757" s="153">
        <v>0</v>
      </c>
      <c r="U757" s="153">
        <v>0</v>
      </c>
      <c r="V757" s="135"/>
      <c r="W757" s="135"/>
      <c r="X757" s="135"/>
      <c r="Y757" s="135"/>
      <c r="Z757" s="135"/>
      <c r="AA757" s="135"/>
      <c r="AB757" s="135"/>
      <c r="AC757" s="135"/>
      <c r="AD757" s="133"/>
      <c r="AE757" s="133"/>
      <c r="AF757" s="132" t="str">
        <f t="shared" si="82"/>
        <v>Нет инфо</v>
      </c>
      <c r="AG757" s="132" t="str">
        <f t="shared" si="83"/>
        <v>Нет инфо</v>
      </c>
      <c r="AH757" s="2"/>
      <c r="AI757" s="136"/>
      <c r="AJ757" s="2"/>
      <c r="AK757" s="136"/>
      <c r="AL757" s="136"/>
      <c r="AM757" s="2"/>
      <c r="AN757" s="2"/>
      <c r="AO757" s="2"/>
      <c r="AP757" s="2"/>
      <c r="AQ757" s="136"/>
    </row>
    <row r="758" spans="1:43" s="115" customFormat="1" ht="12.75" hidden="1" customHeight="1" x14ac:dyDescent="0.2">
      <c r="A758" s="2">
        <v>2787</v>
      </c>
      <c r="B758" s="2"/>
      <c r="C758" s="131"/>
      <c r="D758" s="131"/>
      <c r="E758" s="131"/>
      <c r="F758" s="2"/>
      <c r="G758" s="2"/>
      <c r="H758" s="132">
        <v>0</v>
      </c>
      <c r="I758" s="132"/>
      <c r="J758" s="132"/>
      <c r="K758" s="132"/>
      <c r="L758" s="132">
        <f t="shared" si="79"/>
        <v>0</v>
      </c>
      <c r="M758" s="132">
        <f t="shared" si="80"/>
        <v>0</v>
      </c>
      <c r="N758" s="133"/>
      <c r="O758" s="133">
        <f t="shared" si="81"/>
        <v>0</v>
      </c>
      <c r="P758" s="134"/>
      <c r="Q758" s="133"/>
      <c r="R758" s="133"/>
      <c r="S758" s="153">
        <v>0</v>
      </c>
      <c r="T758" s="153">
        <v>0</v>
      </c>
      <c r="U758" s="153">
        <v>0</v>
      </c>
      <c r="V758" s="135"/>
      <c r="W758" s="135"/>
      <c r="X758" s="135"/>
      <c r="Y758" s="135"/>
      <c r="Z758" s="135"/>
      <c r="AA758" s="135"/>
      <c r="AB758" s="135"/>
      <c r="AC758" s="135"/>
      <c r="AD758" s="133"/>
      <c r="AE758" s="133"/>
      <c r="AF758" s="132" t="str">
        <f t="shared" si="82"/>
        <v>Нет инфо</v>
      </c>
      <c r="AG758" s="132" t="str">
        <f t="shared" si="83"/>
        <v>Нет инфо</v>
      </c>
      <c r="AH758" s="2"/>
      <c r="AI758" s="136"/>
      <c r="AJ758" s="2"/>
      <c r="AK758" s="136"/>
      <c r="AL758" s="136"/>
      <c r="AM758" s="2"/>
      <c r="AN758" s="2"/>
      <c r="AO758" s="2"/>
      <c r="AP758" s="2"/>
      <c r="AQ758" s="136"/>
    </row>
    <row r="759" spans="1:43" s="115" customFormat="1" ht="12.75" hidden="1" customHeight="1" x14ac:dyDescent="0.2">
      <c r="A759" s="2">
        <v>2788</v>
      </c>
      <c r="B759" s="2"/>
      <c r="C759" s="131"/>
      <c r="D759" s="131"/>
      <c r="E759" s="131"/>
      <c r="F759" s="2"/>
      <c r="G759" s="2"/>
      <c r="H759" s="132">
        <v>0</v>
      </c>
      <c r="I759" s="132"/>
      <c r="J759" s="132"/>
      <c r="K759" s="132"/>
      <c r="L759" s="132">
        <f t="shared" si="79"/>
        <v>0</v>
      </c>
      <c r="M759" s="132">
        <f t="shared" si="80"/>
        <v>0</v>
      </c>
      <c r="N759" s="133"/>
      <c r="O759" s="133">
        <f t="shared" si="81"/>
        <v>0</v>
      </c>
      <c r="P759" s="134"/>
      <c r="Q759" s="133"/>
      <c r="R759" s="133"/>
      <c r="S759" s="153">
        <v>0</v>
      </c>
      <c r="T759" s="153">
        <v>0</v>
      </c>
      <c r="U759" s="153">
        <v>0</v>
      </c>
      <c r="V759" s="135"/>
      <c r="W759" s="135"/>
      <c r="X759" s="135"/>
      <c r="Y759" s="135"/>
      <c r="Z759" s="135"/>
      <c r="AA759" s="135"/>
      <c r="AB759" s="135"/>
      <c r="AC759" s="135"/>
      <c r="AD759" s="133"/>
      <c r="AE759" s="133"/>
      <c r="AF759" s="132" t="str">
        <f t="shared" si="82"/>
        <v>Нет инфо</v>
      </c>
      <c r="AG759" s="132" t="str">
        <f t="shared" si="83"/>
        <v>Нет инфо</v>
      </c>
      <c r="AH759" s="2"/>
      <c r="AI759" s="136"/>
      <c r="AJ759" s="2"/>
      <c r="AK759" s="136"/>
      <c r="AL759" s="136"/>
      <c r="AM759" s="2"/>
      <c r="AN759" s="2"/>
      <c r="AO759" s="2"/>
      <c r="AP759" s="2"/>
      <c r="AQ759" s="136"/>
    </row>
    <row r="760" spans="1:43" s="115" customFormat="1" ht="12.75" hidden="1" customHeight="1" x14ac:dyDescent="0.2">
      <c r="A760" s="2">
        <v>2789</v>
      </c>
      <c r="B760" s="2"/>
      <c r="C760" s="131"/>
      <c r="D760" s="131"/>
      <c r="E760" s="131"/>
      <c r="F760" s="2"/>
      <c r="G760" s="2"/>
      <c r="H760" s="132">
        <v>0</v>
      </c>
      <c r="I760" s="132"/>
      <c r="J760" s="132"/>
      <c r="K760" s="132"/>
      <c r="L760" s="132">
        <f t="shared" si="79"/>
        <v>0</v>
      </c>
      <c r="M760" s="132">
        <f t="shared" si="80"/>
        <v>0</v>
      </c>
      <c r="N760" s="133"/>
      <c r="O760" s="133">
        <f t="shared" si="81"/>
        <v>0</v>
      </c>
      <c r="P760" s="134"/>
      <c r="Q760" s="133"/>
      <c r="R760" s="133"/>
      <c r="S760" s="153">
        <v>0</v>
      </c>
      <c r="T760" s="153">
        <v>0</v>
      </c>
      <c r="U760" s="153">
        <v>0</v>
      </c>
      <c r="V760" s="135"/>
      <c r="W760" s="135"/>
      <c r="X760" s="135"/>
      <c r="Y760" s="135"/>
      <c r="Z760" s="135"/>
      <c r="AA760" s="135"/>
      <c r="AB760" s="135"/>
      <c r="AC760" s="135"/>
      <c r="AD760" s="133"/>
      <c r="AE760" s="133"/>
      <c r="AF760" s="132" t="str">
        <f t="shared" si="82"/>
        <v>Нет инфо</v>
      </c>
      <c r="AG760" s="132" t="str">
        <f t="shared" si="83"/>
        <v>Нет инфо</v>
      </c>
      <c r="AH760" s="2"/>
      <c r="AI760" s="136"/>
      <c r="AJ760" s="2"/>
      <c r="AK760" s="136"/>
      <c r="AL760" s="136"/>
      <c r="AM760" s="2"/>
      <c r="AN760" s="2"/>
      <c r="AO760" s="2"/>
      <c r="AP760" s="2"/>
      <c r="AQ760" s="136"/>
    </row>
    <row r="761" spans="1:43" s="115" customFormat="1" ht="12.75" hidden="1" customHeight="1" x14ac:dyDescent="0.2">
      <c r="A761" s="2">
        <v>2790</v>
      </c>
      <c r="B761" s="2"/>
      <c r="C761" s="131"/>
      <c r="D761" s="131"/>
      <c r="E761" s="131"/>
      <c r="F761" s="2"/>
      <c r="G761" s="2"/>
      <c r="H761" s="132">
        <v>0</v>
      </c>
      <c r="I761" s="132"/>
      <c r="J761" s="132"/>
      <c r="K761" s="132"/>
      <c r="L761" s="132">
        <f t="shared" si="79"/>
        <v>0</v>
      </c>
      <c r="M761" s="132">
        <f t="shared" si="80"/>
        <v>0</v>
      </c>
      <c r="N761" s="133"/>
      <c r="O761" s="133">
        <f t="shared" si="81"/>
        <v>0</v>
      </c>
      <c r="P761" s="134"/>
      <c r="Q761" s="133"/>
      <c r="R761" s="133"/>
      <c r="S761" s="153">
        <v>0</v>
      </c>
      <c r="T761" s="153">
        <v>0</v>
      </c>
      <c r="U761" s="153">
        <v>0</v>
      </c>
      <c r="V761" s="135"/>
      <c r="W761" s="135"/>
      <c r="X761" s="135"/>
      <c r="Y761" s="135"/>
      <c r="Z761" s="135"/>
      <c r="AA761" s="135"/>
      <c r="AB761" s="135"/>
      <c r="AC761" s="135"/>
      <c r="AD761" s="133"/>
      <c r="AE761" s="133"/>
      <c r="AF761" s="132" t="str">
        <f t="shared" si="82"/>
        <v>Нет инфо</v>
      </c>
      <c r="AG761" s="132" t="str">
        <f t="shared" si="83"/>
        <v>Нет инфо</v>
      </c>
      <c r="AH761" s="2"/>
      <c r="AI761" s="136"/>
      <c r="AJ761" s="2"/>
      <c r="AK761" s="136"/>
      <c r="AL761" s="136"/>
      <c r="AM761" s="2"/>
      <c r="AN761" s="2"/>
      <c r="AO761" s="2"/>
      <c r="AP761" s="2"/>
      <c r="AQ761" s="136"/>
    </row>
    <row r="762" spans="1:43" s="115" customFormat="1" ht="12.75" hidden="1" customHeight="1" x14ac:dyDescent="0.2">
      <c r="A762" s="2">
        <v>2791</v>
      </c>
      <c r="B762" s="2"/>
      <c r="C762" s="131"/>
      <c r="D762" s="131"/>
      <c r="E762" s="131"/>
      <c r="F762" s="2"/>
      <c r="G762" s="2"/>
      <c r="H762" s="132">
        <v>0</v>
      </c>
      <c r="I762" s="132"/>
      <c r="J762" s="132"/>
      <c r="K762" s="132"/>
      <c r="L762" s="132">
        <f t="shared" si="79"/>
        <v>0</v>
      </c>
      <c r="M762" s="132">
        <f t="shared" si="80"/>
        <v>0</v>
      </c>
      <c r="N762" s="133"/>
      <c r="O762" s="133">
        <f t="shared" si="81"/>
        <v>0</v>
      </c>
      <c r="P762" s="134"/>
      <c r="Q762" s="133"/>
      <c r="R762" s="133"/>
      <c r="S762" s="153">
        <v>0</v>
      </c>
      <c r="T762" s="153">
        <v>0</v>
      </c>
      <c r="U762" s="153">
        <v>0</v>
      </c>
      <c r="V762" s="135"/>
      <c r="W762" s="135"/>
      <c r="X762" s="135"/>
      <c r="Y762" s="135"/>
      <c r="Z762" s="135"/>
      <c r="AA762" s="135"/>
      <c r="AB762" s="135"/>
      <c r="AC762" s="135"/>
      <c r="AD762" s="133"/>
      <c r="AE762" s="133"/>
      <c r="AF762" s="132" t="str">
        <f t="shared" si="82"/>
        <v>Нет инфо</v>
      </c>
      <c r="AG762" s="132" t="str">
        <f t="shared" si="83"/>
        <v>Нет инфо</v>
      </c>
      <c r="AH762" s="2"/>
      <c r="AI762" s="136"/>
      <c r="AJ762" s="2"/>
      <c r="AK762" s="136"/>
      <c r="AL762" s="136"/>
      <c r="AM762" s="2"/>
      <c r="AN762" s="2"/>
      <c r="AO762" s="2"/>
      <c r="AP762" s="2"/>
      <c r="AQ762" s="136"/>
    </row>
    <row r="763" spans="1:43" s="115" customFormat="1" ht="12.75" hidden="1" customHeight="1" x14ac:dyDescent="0.2">
      <c r="A763" s="2">
        <v>2792</v>
      </c>
      <c r="B763" s="2"/>
      <c r="C763" s="131"/>
      <c r="D763" s="131"/>
      <c r="E763" s="131"/>
      <c r="F763" s="2"/>
      <c r="G763" s="2"/>
      <c r="H763" s="132">
        <v>0</v>
      </c>
      <c r="I763" s="132"/>
      <c r="J763" s="132"/>
      <c r="K763" s="132"/>
      <c r="L763" s="132">
        <f t="shared" si="79"/>
        <v>0</v>
      </c>
      <c r="M763" s="132">
        <f t="shared" si="80"/>
        <v>0</v>
      </c>
      <c r="N763" s="133"/>
      <c r="O763" s="133">
        <f t="shared" si="81"/>
        <v>0</v>
      </c>
      <c r="P763" s="134"/>
      <c r="Q763" s="133"/>
      <c r="R763" s="133"/>
      <c r="S763" s="153">
        <v>0</v>
      </c>
      <c r="T763" s="153">
        <v>0</v>
      </c>
      <c r="U763" s="153">
        <v>0</v>
      </c>
      <c r="V763" s="135"/>
      <c r="W763" s="135"/>
      <c r="X763" s="135"/>
      <c r="Y763" s="135"/>
      <c r="Z763" s="135"/>
      <c r="AA763" s="135"/>
      <c r="AB763" s="135"/>
      <c r="AC763" s="135"/>
      <c r="AD763" s="133"/>
      <c r="AE763" s="133"/>
      <c r="AF763" s="132" t="str">
        <f t="shared" si="82"/>
        <v>Нет инфо</v>
      </c>
      <c r="AG763" s="132" t="str">
        <f t="shared" si="83"/>
        <v>Нет инфо</v>
      </c>
      <c r="AH763" s="2"/>
      <c r="AI763" s="136"/>
      <c r="AJ763" s="2"/>
      <c r="AK763" s="136"/>
      <c r="AL763" s="136"/>
      <c r="AM763" s="2"/>
      <c r="AN763" s="2"/>
      <c r="AO763" s="2"/>
      <c r="AP763" s="2"/>
      <c r="AQ763" s="136"/>
    </row>
    <row r="764" spans="1:43" s="115" customFormat="1" ht="12.75" hidden="1" customHeight="1" x14ac:dyDescent="0.2">
      <c r="A764" s="2">
        <v>2793</v>
      </c>
      <c r="B764" s="2"/>
      <c r="C764" s="131"/>
      <c r="D764" s="131"/>
      <c r="E764" s="131"/>
      <c r="F764" s="2"/>
      <c r="G764" s="2"/>
      <c r="H764" s="132">
        <v>0</v>
      </c>
      <c r="I764" s="132"/>
      <c r="J764" s="132"/>
      <c r="K764" s="132"/>
      <c r="L764" s="132">
        <f t="shared" si="79"/>
        <v>0</v>
      </c>
      <c r="M764" s="132">
        <f t="shared" si="80"/>
        <v>0</v>
      </c>
      <c r="N764" s="133"/>
      <c r="O764" s="133">
        <f t="shared" si="81"/>
        <v>0</v>
      </c>
      <c r="P764" s="134"/>
      <c r="Q764" s="133"/>
      <c r="R764" s="133"/>
      <c r="S764" s="153">
        <v>0</v>
      </c>
      <c r="T764" s="153">
        <v>0</v>
      </c>
      <c r="U764" s="153">
        <v>0</v>
      </c>
      <c r="V764" s="135"/>
      <c r="W764" s="135"/>
      <c r="X764" s="135"/>
      <c r="Y764" s="135"/>
      <c r="Z764" s="135"/>
      <c r="AA764" s="135"/>
      <c r="AB764" s="135"/>
      <c r="AC764" s="135"/>
      <c r="AD764" s="133"/>
      <c r="AE764" s="133"/>
      <c r="AF764" s="132" t="str">
        <f t="shared" si="82"/>
        <v>Нет инфо</v>
      </c>
      <c r="AG764" s="132" t="str">
        <f t="shared" si="83"/>
        <v>Нет инфо</v>
      </c>
      <c r="AH764" s="2"/>
      <c r="AI764" s="136"/>
      <c r="AJ764" s="2"/>
      <c r="AK764" s="136"/>
      <c r="AL764" s="136"/>
      <c r="AM764" s="2"/>
      <c r="AN764" s="2"/>
      <c r="AO764" s="2"/>
      <c r="AP764" s="2"/>
      <c r="AQ764" s="136"/>
    </row>
    <row r="765" spans="1:43" s="115" customFormat="1" ht="12.75" hidden="1" customHeight="1" x14ac:dyDescent="0.2">
      <c r="A765" s="2">
        <v>2794</v>
      </c>
      <c r="B765" s="2"/>
      <c r="C765" s="131"/>
      <c r="D765" s="131"/>
      <c r="E765" s="131"/>
      <c r="F765" s="2"/>
      <c r="G765" s="2"/>
      <c r="H765" s="132">
        <v>0</v>
      </c>
      <c r="I765" s="132"/>
      <c r="J765" s="132"/>
      <c r="K765" s="132"/>
      <c r="L765" s="132">
        <f t="shared" si="79"/>
        <v>0</v>
      </c>
      <c r="M765" s="132">
        <f t="shared" si="80"/>
        <v>0</v>
      </c>
      <c r="N765" s="133"/>
      <c r="O765" s="133">
        <f t="shared" si="81"/>
        <v>0</v>
      </c>
      <c r="P765" s="134"/>
      <c r="Q765" s="133"/>
      <c r="R765" s="133"/>
      <c r="S765" s="153">
        <v>0</v>
      </c>
      <c r="T765" s="153">
        <v>0</v>
      </c>
      <c r="U765" s="153">
        <v>0</v>
      </c>
      <c r="V765" s="135"/>
      <c r="W765" s="135"/>
      <c r="X765" s="135"/>
      <c r="Y765" s="135"/>
      <c r="Z765" s="135"/>
      <c r="AA765" s="135"/>
      <c r="AB765" s="135"/>
      <c r="AC765" s="135"/>
      <c r="AD765" s="133"/>
      <c r="AE765" s="133"/>
      <c r="AF765" s="132" t="str">
        <f t="shared" si="82"/>
        <v>Нет инфо</v>
      </c>
      <c r="AG765" s="132" t="str">
        <f t="shared" si="83"/>
        <v>Нет инфо</v>
      </c>
      <c r="AH765" s="2"/>
      <c r="AI765" s="136"/>
      <c r="AJ765" s="2"/>
      <c r="AK765" s="136"/>
      <c r="AL765" s="136"/>
      <c r="AM765" s="2"/>
      <c r="AN765" s="2"/>
      <c r="AO765" s="2"/>
      <c r="AP765" s="2"/>
      <c r="AQ765" s="136"/>
    </row>
    <row r="766" spans="1:43" s="115" customFormat="1" ht="12.75" hidden="1" customHeight="1" x14ac:dyDescent="0.2">
      <c r="A766" s="2">
        <v>2795</v>
      </c>
      <c r="B766" s="2"/>
      <c r="C766" s="131"/>
      <c r="D766" s="131"/>
      <c r="E766" s="131"/>
      <c r="F766" s="2"/>
      <c r="G766" s="2"/>
      <c r="H766" s="132">
        <v>0</v>
      </c>
      <c r="I766" s="132"/>
      <c r="J766" s="132"/>
      <c r="K766" s="132"/>
      <c r="L766" s="132">
        <f t="shared" si="79"/>
        <v>0</v>
      </c>
      <c r="M766" s="132">
        <f t="shared" si="80"/>
        <v>0</v>
      </c>
      <c r="N766" s="133"/>
      <c r="O766" s="133">
        <f t="shared" si="81"/>
        <v>0</v>
      </c>
      <c r="P766" s="134"/>
      <c r="Q766" s="133"/>
      <c r="R766" s="133"/>
      <c r="S766" s="153">
        <v>0</v>
      </c>
      <c r="T766" s="153">
        <v>0</v>
      </c>
      <c r="U766" s="153">
        <v>0</v>
      </c>
      <c r="V766" s="135"/>
      <c r="W766" s="135"/>
      <c r="X766" s="135"/>
      <c r="Y766" s="135"/>
      <c r="Z766" s="135"/>
      <c r="AA766" s="135"/>
      <c r="AB766" s="135"/>
      <c r="AC766" s="135"/>
      <c r="AD766" s="133"/>
      <c r="AE766" s="133"/>
      <c r="AF766" s="132" t="str">
        <f t="shared" si="82"/>
        <v>Нет инфо</v>
      </c>
      <c r="AG766" s="132" t="str">
        <f t="shared" si="83"/>
        <v>Нет инфо</v>
      </c>
      <c r="AH766" s="2"/>
      <c r="AI766" s="136"/>
      <c r="AJ766" s="2"/>
      <c r="AK766" s="136"/>
      <c r="AL766" s="136"/>
      <c r="AM766" s="2"/>
      <c r="AN766" s="2"/>
      <c r="AO766" s="2"/>
      <c r="AP766" s="2"/>
      <c r="AQ766" s="136"/>
    </row>
    <row r="767" spans="1:43" s="115" customFormat="1" ht="12.75" hidden="1" customHeight="1" x14ac:dyDescent="0.2">
      <c r="A767" s="2">
        <v>2796</v>
      </c>
      <c r="B767" s="2"/>
      <c r="C767" s="131"/>
      <c r="D767" s="131"/>
      <c r="E767" s="131"/>
      <c r="F767" s="2"/>
      <c r="G767" s="2"/>
      <c r="H767" s="132">
        <v>0</v>
      </c>
      <c r="I767" s="132"/>
      <c r="J767" s="132"/>
      <c r="K767" s="132"/>
      <c r="L767" s="132">
        <f t="shared" si="79"/>
        <v>0</v>
      </c>
      <c r="M767" s="132">
        <f t="shared" si="80"/>
        <v>0</v>
      </c>
      <c r="N767" s="133"/>
      <c r="O767" s="133">
        <f t="shared" si="81"/>
        <v>0</v>
      </c>
      <c r="P767" s="134"/>
      <c r="Q767" s="133"/>
      <c r="R767" s="133"/>
      <c r="S767" s="153">
        <v>0</v>
      </c>
      <c r="T767" s="153">
        <v>0</v>
      </c>
      <c r="U767" s="153">
        <v>0</v>
      </c>
      <c r="V767" s="135"/>
      <c r="W767" s="135"/>
      <c r="X767" s="135"/>
      <c r="Y767" s="135"/>
      <c r="Z767" s="135"/>
      <c r="AA767" s="135"/>
      <c r="AB767" s="135"/>
      <c r="AC767" s="135"/>
      <c r="AD767" s="133"/>
      <c r="AE767" s="133"/>
      <c r="AF767" s="132" t="str">
        <f t="shared" si="82"/>
        <v>Нет инфо</v>
      </c>
      <c r="AG767" s="132" t="str">
        <f t="shared" si="83"/>
        <v>Нет инфо</v>
      </c>
      <c r="AH767" s="2"/>
      <c r="AI767" s="136"/>
      <c r="AJ767" s="2"/>
      <c r="AK767" s="136"/>
      <c r="AL767" s="136"/>
      <c r="AM767" s="2"/>
      <c r="AN767" s="2"/>
      <c r="AO767" s="2"/>
      <c r="AP767" s="2"/>
      <c r="AQ767" s="136"/>
    </row>
    <row r="768" spans="1:43" s="115" customFormat="1" ht="12.75" hidden="1" customHeight="1" x14ac:dyDescent="0.2">
      <c r="A768" s="2">
        <v>2797</v>
      </c>
      <c r="B768" s="2"/>
      <c r="C768" s="131"/>
      <c r="D768" s="131"/>
      <c r="E768" s="131"/>
      <c r="F768" s="2"/>
      <c r="G768" s="2"/>
      <c r="H768" s="132">
        <v>0</v>
      </c>
      <c r="I768" s="132"/>
      <c r="J768" s="132"/>
      <c r="K768" s="132"/>
      <c r="L768" s="132">
        <f t="shared" si="79"/>
        <v>0</v>
      </c>
      <c r="M768" s="132">
        <f t="shared" si="80"/>
        <v>0</v>
      </c>
      <c r="N768" s="133"/>
      <c r="O768" s="133">
        <f t="shared" si="81"/>
        <v>0</v>
      </c>
      <c r="P768" s="134"/>
      <c r="Q768" s="133"/>
      <c r="R768" s="133"/>
      <c r="S768" s="153">
        <v>0</v>
      </c>
      <c r="T768" s="153">
        <v>0</v>
      </c>
      <c r="U768" s="153">
        <v>0</v>
      </c>
      <c r="V768" s="135"/>
      <c r="W768" s="135"/>
      <c r="X768" s="135"/>
      <c r="Y768" s="135"/>
      <c r="Z768" s="135"/>
      <c r="AA768" s="135"/>
      <c r="AB768" s="135"/>
      <c r="AC768" s="135"/>
      <c r="AD768" s="133"/>
      <c r="AE768" s="133"/>
      <c r="AF768" s="132" t="str">
        <f t="shared" si="82"/>
        <v>Нет инфо</v>
      </c>
      <c r="AG768" s="132" t="str">
        <f t="shared" si="83"/>
        <v>Нет инфо</v>
      </c>
      <c r="AH768" s="2"/>
      <c r="AI768" s="136"/>
      <c r="AJ768" s="2"/>
      <c r="AK768" s="136"/>
      <c r="AL768" s="136"/>
      <c r="AM768" s="2"/>
      <c r="AN768" s="2"/>
      <c r="AO768" s="2"/>
      <c r="AP768" s="2"/>
      <c r="AQ768" s="136"/>
    </row>
    <row r="769" spans="1:43" s="115" customFormat="1" ht="12.75" hidden="1" customHeight="1" x14ac:dyDescent="0.2">
      <c r="A769" s="2">
        <v>2798</v>
      </c>
      <c r="B769" s="2"/>
      <c r="C769" s="131"/>
      <c r="D769" s="131"/>
      <c r="E769" s="131"/>
      <c r="F769" s="2"/>
      <c r="G769" s="2"/>
      <c r="H769" s="132">
        <v>0</v>
      </c>
      <c r="I769" s="132"/>
      <c r="J769" s="132"/>
      <c r="K769" s="132"/>
      <c r="L769" s="132">
        <f t="shared" si="79"/>
        <v>0</v>
      </c>
      <c r="M769" s="132">
        <f t="shared" si="80"/>
        <v>0</v>
      </c>
      <c r="N769" s="133"/>
      <c r="O769" s="133">
        <f t="shared" si="81"/>
        <v>0</v>
      </c>
      <c r="P769" s="134"/>
      <c r="Q769" s="133"/>
      <c r="R769" s="133"/>
      <c r="S769" s="153">
        <v>0</v>
      </c>
      <c r="T769" s="153">
        <v>0</v>
      </c>
      <c r="U769" s="153">
        <v>0</v>
      </c>
      <c r="V769" s="135"/>
      <c r="W769" s="135"/>
      <c r="X769" s="135"/>
      <c r="Y769" s="135"/>
      <c r="Z769" s="135"/>
      <c r="AA769" s="135"/>
      <c r="AB769" s="135"/>
      <c r="AC769" s="135"/>
      <c r="AD769" s="133"/>
      <c r="AE769" s="133"/>
      <c r="AF769" s="132" t="str">
        <f t="shared" si="82"/>
        <v>Нет инфо</v>
      </c>
      <c r="AG769" s="132" t="str">
        <f t="shared" si="83"/>
        <v>Нет инфо</v>
      </c>
      <c r="AH769" s="2"/>
      <c r="AI769" s="136"/>
      <c r="AJ769" s="2"/>
      <c r="AK769" s="136"/>
      <c r="AL769" s="136"/>
      <c r="AM769" s="2"/>
      <c r="AN769" s="2"/>
      <c r="AO769" s="2"/>
      <c r="AP769" s="2"/>
      <c r="AQ769" s="136"/>
    </row>
    <row r="770" spans="1:43" s="115" customFormat="1" ht="12.75" hidden="1" customHeight="1" x14ac:dyDescent="0.2">
      <c r="A770" s="2">
        <v>2799</v>
      </c>
      <c r="B770" s="2"/>
      <c r="C770" s="131"/>
      <c r="D770" s="131"/>
      <c r="E770" s="131"/>
      <c r="F770" s="2"/>
      <c r="G770" s="2"/>
      <c r="H770" s="132">
        <v>0</v>
      </c>
      <c r="I770" s="132"/>
      <c r="J770" s="132"/>
      <c r="K770" s="132"/>
      <c r="L770" s="132">
        <f t="shared" si="79"/>
        <v>0</v>
      </c>
      <c r="M770" s="132">
        <f t="shared" si="80"/>
        <v>0</v>
      </c>
      <c r="N770" s="133"/>
      <c r="O770" s="133">
        <f t="shared" si="81"/>
        <v>0</v>
      </c>
      <c r="P770" s="134"/>
      <c r="Q770" s="133"/>
      <c r="R770" s="133"/>
      <c r="S770" s="153">
        <v>0</v>
      </c>
      <c r="T770" s="153">
        <v>0</v>
      </c>
      <c r="U770" s="153">
        <v>0</v>
      </c>
      <c r="V770" s="135"/>
      <c r="W770" s="135"/>
      <c r="X770" s="135"/>
      <c r="Y770" s="135"/>
      <c r="Z770" s="135"/>
      <c r="AA770" s="135"/>
      <c r="AB770" s="135"/>
      <c r="AC770" s="135"/>
      <c r="AD770" s="133"/>
      <c r="AE770" s="133"/>
      <c r="AF770" s="132" t="str">
        <f t="shared" si="82"/>
        <v>Нет инфо</v>
      </c>
      <c r="AG770" s="132" t="str">
        <f t="shared" si="83"/>
        <v>Нет инфо</v>
      </c>
      <c r="AH770" s="2"/>
      <c r="AI770" s="136"/>
      <c r="AJ770" s="2"/>
      <c r="AK770" s="136"/>
      <c r="AL770" s="136"/>
      <c r="AM770" s="2"/>
      <c r="AN770" s="2"/>
      <c r="AO770" s="2"/>
      <c r="AP770" s="2"/>
      <c r="AQ770" s="136"/>
    </row>
    <row r="771" spans="1:43" s="115" customFormat="1" ht="12.75" hidden="1" customHeight="1" x14ac:dyDescent="0.2">
      <c r="A771" s="2">
        <v>2800</v>
      </c>
      <c r="B771" s="2"/>
      <c r="C771" s="131"/>
      <c r="D771" s="131"/>
      <c r="E771" s="131"/>
      <c r="F771" s="2"/>
      <c r="G771" s="2"/>
      <c r="H771" s="132">
        <v>0</v>
      </c>
      <c r="I771" s="132"/>
      <c r="J771" s="132"/>
      <c r="K771" s="132"/>
      <c r="L771" s="132">
        <f t="shared" si="79"/>
        <v>0</v>
      </c>
      <c r="M771" s="132">
        <f t="shared" si="80"/>
        <v>0</v>
      </c>
      <c r="N771" s="133"/>
      <c r="O771" s="133">
        <f t="shared" si="81"/>
        <v>0</v>
      </c>
      <c r="P771" s="134"/>
      <c r="Q771" s="133"/>
      <c r="R771" s="133"/>
      <c r="S771" s="153">
        <v>0</v>
      </c>
      <c r="T771" s="153">
        <v>0</v>
      </c>
      <c r="U771" s="153">
        <v>0</v>
      </c>
      <c r="V771" s="135"/>
      <c r="W771" s="135"/>
      <c r="X771" s="135"/>
      <c r="Y771" s="135"/>
      <c r="Z771" s="135"/>
      <c r="AA771" s="135"/>
      <c r="AB771" s="135"/>
      <c r="AC771" s="135"/>
      <c r="AD771" s="133"/>
      <c r="AE771" s="133"/>
      <c r="AF771" s="132" t="str">
        <f t="shared" si="82"/>
        <v>Нет инфо</v>
      </c>
      <c r="AG771" s="132" t="str">
        <f t="shared" si="83"/>
        <v>Нет инфо</v>
      </c>
      <c r="AH771" s="2"/>
      <c r="AI771" s="136"/>
      <c r="AJ771" s="2"/>
      <c r="AK771" s="136"/>
      <c r="AL771" s="136"/>
      <c r="AM771" s="2"/>
      <c r="AN771" s="2"/>
      <c r="AO771" s="2"/>
      <c r="AP771" s="2"/>
      <c r="AQ771" s="136"/>
    </row>
    <row r="772" spans="1:43" s="115" customFormat="1" ht="12.75" hidden="1" customHeight="1" x14ac:dyDescent="0.2">
      <c r="A772" s="2">
        <v>2801</v>
      </c>
      <c r="B772" s="2"/>
      <c r="C772" s="131"/>
      <c r="D772" s="131"/>
      <c r="E772" s="131"/>
      <c r="F772" s="2"/>
      <c r="G772" s="2"/>
      <c r="H772" s="132">
        <v>0</v>
      </c>
      <c r="I772" s="132"/>
      <c r="J772" s="132"/>
      <c r="K772" s="132"/>
      <c r="L772" s="132">
        <f t="shared" si="79"/>
        <v>0</v>
      </c>
      <c r="M772" s="132">
        <f t="shared" si="80"/>
        <v>0</v>
      </c>
      <c r="N772" s="133"/>
      <c r="O772" s="133">
        <f t="shared" si="81"/>
        <v>0</v>
      </c>
      <c r="P772" s="134"/>
      <c r="Q772" s="133"/>
      <c r="R772" s="133"/>
      <c r="S772" s="153">
        <v>0</v>
      </c>
      <c r="T772" s="153">
        <v>0</v>
      </c>
      <c r="U772" s="153">
        <v>0</v>
      </c>
      <c r="V772" s="135"/>
      <c r="W772" s="135"/>
      <c r="X772" s="135"/>
      <c r="Y772" s="135"/>
      <c r="Z772" s="135"/>
      <c r="AA772" s="135"/>
      <c r="AB772" s="135"/>
      <c r="AC772" s="135"/>
      <c r="AD772" s="133"/>
      <c r="AE772" s="133"/>
      <c r="AF772" s="132" t="str">
        <f t="shared" si="82"/>
        <v>Нет инфо</v>
      </c>
      <c r="AG772" s="132" t="str">
        <f t="shared" si="83"/>
        <v>Нет инфо</v>
      </c>
      <c r="AH772" s="2"/>
      <c r="AI772" s="136"/>
      <c r="AJ772" s="2"/>
      <c r="AK772" s="136"/>
      <c r="AL772" s="136"/>
      <c r="AM772" s="2"/>
      <c r="AN772" s="2"/>
      <c r="AO772" s="2"/>
      <c r="AP772" s="2"/>
      <c r="AQ772" s="136"/>
    </row>
    <row r="773" spans="1:43" s="115" customFormat="1" ht="12.75" hidden="1" customHeight="1" x14ac:dyDescent="0.2">
      <c r="A773" s="2">
        <v>2802</v>
      </c>
      <c r="B773" s="2"/>
      <c r="C773" s="131"/>
      <c r="D773" s="131"/>
      <c r="E773" s="131"/>
      <c r="F773" s="2"/>
      <c r="G773" s="2"/>
      <c r="H773" s="132">
        <v>0</v>
      </c>
      <c r="I773" s="132"/>
      <c r="J773" s="132"/>
      <c r="K773" s="132"/>
      <c r="L773" s="132">
        <f t="shared" si="79"/>
        <v>0</v>
      </c>
      <c r="M773" s="132">
        <f t="shared" si="80"/>
        <v>0</v>
      </c>
      <c r="N773" s="133"/>
      <c r="O773" s="133">
        <f t="shared" si="81"/>
        <v>0</v>
      </c>
      <c r="P773" s="134"/>
      <c r="Q773" s="133"/>
      <c r="R773" s="133"/>
      <c r="S773" s="153">
        <v>0</v>
      </c>
      <c r="T773" s="153">
        <v>0</v>
      </c>
      <c r="U773" s="153">
        <v>0</v>
      </c>
      <c r="V773" s="135"/>
      <c r="W773" s="135"/>
      <c r="X773" s="135"/>
      <c r="Y773" s="135"/>
      <c r="Z773" s="135"/>
      <c r="AA773" s="135"/>
      <c r="AB773" s="135"/>
      <c r="AC773" s="135"/>
      <c r="AD773" s="133"/>
      <c r="AE773" s="133"/>
      <c r="AF773" s="132" t="str">
        <f t="shared" si="82"/>
        <v>Нет инфо</v>
      </c>
      <c r="AG773" s="132" t="str">
        <f t="shared" si="83"/>
        <v>Нет инфо</v>
      </c>
      <c r="AH773" s="2"/>
      <c r="AI773" s="136"/>
      <c r="AJ773" s="2"/>
      <c r="AK773" s="136"/>
      <c r="AL773" s="136"/>
      <c r="AM773" s="2"/>
      <c r="AN773" s="2"/>
      <c r="AO773" s="2"/>
      <c r="AP773" s="2"/>
      <c r="AQ773" s="136"/>
    </row>
    <row r="774" spans="1:43" s="115" customFormat="1" ht="12.75" hidden="1" customHeight="1" x14ac:dyDescent="0.2">
      <c r="A774" s="2">
        <v>2803</v>
      </c>
      <c r="B774" s="2"/>
      <c r="C774" s="131"/>
      <c r="D774" s="131"/>
      <c r="E774" s="131"/>
      <c r="F774" s="2"/>
      <c r="G774" s="2"/>
      <c r="H774" s="132">
        <v>0</v>
      </c>
      <c r="I774" s="132"/>
      <c r="J774" s="132"/>
      <c r="K774" s="132"/>
      <c r="L774" s="132">
        <f t="shared" si="79"/>
        <v>0</v>
      </c>
      <c r="M774" s="132">
        <f t="shared" si="80"/>
        <v>0</v>
      </c>
      <c r="N774" s="133"/>
      <c r="O774" s="133">
        <f t="shared" si="81"/>
        <v>0</v>
      </c>
      <c r="P774" s="134"/>
      <c r="Q774" s="133"/>
      <c r="R774" s="133"/>
      <c r="S774" s="153">
        <v>0</v>
      </c>
      <c r="T774" s="153">
        <v>0</v>
      </c>
      <c r="U774" s="153">
        <v>0</v>
      </c>
      <c r="V774" s="135"/>
      <c r="W774" s="135"/>
      <c r="X774" s="135"/>
      <c r="Y774" s="135"/>
      <c r="Z774" s="135"/>
      <c r="AA774" s="135"/>
      <c r="AB774" s="135"/>
      <c r="AC774" s="135"/>
      <c r="AD774" s="133"/>
      <c r="AE774" s="133"/>
      <c r="AF774" s="132" t="str">
        <f t="shared" si="82"/>
        <v>Нет инфо</v>
      </c>
      <c r="AG774" s="132" t="str">
        <f t="shared" si="83"/>
        <v>Нет инфо</v>
      </c>
      <c r="AH774" s="2"/>
      <c r="AI774" s="136"/>
      <c r="AJ774" s="2"/>
      <c r="AK774" s="136"/>
      <c r="AL774" s="136"/>
      <c r="AM774" s="2"/>
      <c r="AN774" s="2"/>
      <c r="AO774" s="2"/>
      <c r="AP774" s="2"/>
      <c r="AQ774" s="136"/>
    </row>
    <row r="775" spans="1:43" s="115" customFormat="1" ht="12.75" hidden="1" customHeight="1" x14ac:dyDescent="0.2">
      <c r="A775" s="2">
        <v>2804</v>
      </c>
      <c r="B775" s="2"/>
      <c r="C775" s="131"/>
      <c r="D775" s="131"/>
      <c r="E775" s="131"/>
      <c r="F775" s="2"/>
      <c r="G775" s="2"/>
      <c r="H775" s="132">
        <v>0</v>
      </c>
      <c r="I775" s="132"/>
      <c r="J775" s="132"/>
      <c r="K775" s="132"/>
      <c r="L775" s="132">
        <f t="shared" si="79"/>
        <v>0</v>
      </c>
      <c r="M775" s="132">
        <f t="shared" si="80"/>
        <v>0</v>
      </c>
      <c r="N775" s="133"/>
      <c r="O775" s="133">
        <f t="shared" si="81"/>
        <v>0</v>
      </c>
      <c r="P775" s="134"/>
      <c r="Q775" s="133"/>
      <c r="R775" s="133"/>
      <c r="S775" s="153">
        <v>0</v>
      </c>
      <c r="T775" s="153">
        <v>0</v>
      </c>
      <c r="U775" s="153">
        <v>0</v>
      </c>
      <c r="V775" s="135"/>
      <c r="W775" s="135"/>
      <c r="X775" s="135"/>
      <c r="Y775" s="135"/>
      <c r="Z775" s="135"/>
      <c r="AA775" s="135"/>
      <c r="AB775" s="135"/>
      <c r="AC775" s="135"/>
      <c r="AD775" s="133"/>
      <c r="AE775" s="133"/>
      <c r="AF775" s="132" t="str">
        <f t="shared" si="82"/>
        <v>Нет инфо</v>
      </c>
      <c r="AG775" s="132" t="str">
        <f t="shared" si="83"/>
        <v>Нет инфо</v>
      </c>
      <c r="AH775" s="2"/>
      <c r="AI775" s="136"/>
      <c r="AJ775" s="2"/>
      <c r="AK775" s="136"/>
      <c r="AL775" s="136"/>
      <c r="AM775" s="2"/>
      <c r="AN775" s="2"/>
      <c r="AO775" s="2"/>
      <c r="AP775" s="2"/>
      <c r="AQ775" s="136"/>
    </row>
    <row r="776" spans="1:43" s="115" customFormat="1" ht="12.75" hidden="1" customHeight="1" x14ac:dyDescent="0.2">
      <c r="A776" s="2">
        <v>2805</v>
      </c>
      <c r="B776" s="2"/>
      <c r="C776" s="131"/>
      <c r="D776" s="131"/>
      <c r="E776" s="131"/>
      <c r="F776" s="2"/>
      <c r="G776" s="2"/>
      <c r="H776" s="132">
        <v>0</v>
      </c>
      <c r="I776" s="132"/>
      <c r="J776" s="132"/>
      <c r="K776" s="132"/>
      <c r="L776" s="132">
        <f t="shared" si="79"/>
        <v>0</v>
      </c>
      <c r="M776" s="132">
        <f t="shared" si="80"/>
        <v>0</v>
      </c>
      <c r="N776" s="133"/>
      <c r="O776" s="133">
        <f t="shared" si="81"/>
        <v>0</v>
      </c>
      <c r="P776" s="134"/>
      <c r="Q776" s="133"/>
      <c r="R776" s="133"/>
      <c r="S776" s="153">
        <v>0</v>
      </c>
      <c r="T776" s="153">
        <v>0</v>
      </c>
      <c r="U776" s="153">
        <v>0</v>
      </c>
      <c r="V776" s="135"/>
      <c r="W776" s="135"/>
      <c r="X776" s="135"/>
      <c r="Y776" s="135"/>
      <c r="Z776" s="135"/>
      <c r="AA776" s="135"/>
      <c r="AB776" s="135"/>
      <c r="AC776" s="135"/>
      <c r="AD776" s="133"/>
      <c r="AE776" s="133"/>
      <c r="AF776" s="132" t="str">
        <f t="shared" si="82"/>
        <v>Нет инфо</v>
      </c>
      <c r="AG776" s="132" t="str">
        <f t="shared" si="83"/>
        <v>Нет инфо</v>
      </c>
      <c r="AH776" s="2"/>
      <c r="AI776" s="136"/>
      <c r="AJ776" s="2"/>
      <c r="AK776" s="136"/>
      <c r="AL776" s="136"/>
      <c r="AM776" s="2"/>
      <c r="AN776" s="2"/>
      <c r="AO776" s="2"/>
      <c r="AP776" s="2"/>
      <c r="AQ776" s="136"/>
    </row>
    <row r="777" spans="1:43" s="115" customFormat="1" ht="12.75" hidden="1" customHeight="1" x14ac:dyDescent="0.2">
      <c r="A777" s="2">
        <v>2806</v>
      </c>
      <c r="B777" s="2"/>
      <c r="C777" s="131"/>
      <c r="D777" s="131"/>
      <c r="E777" s="131"/>
      <c r="F777" s="2"/>
      <c r="G777" s="2"/>
      <c r="H777" s="132">
        <v>0</v>
      </c>
      <c r="I777" s="132"/>
      <c r="J777" s="132"/>
      <c r="K777" s="132"/>
      <c r="L777" s="132">
        <f t="shared" si="79"/>
        <v>0</v>
      </c>
      <c r="M777" s="132">
        <f t="shared" si="80"/>
        <v>0</v>
      </c>
      <c r="N777" s="133"/>
      <c r="O777" s="133">
        <f t="shared" si="81"/>
        <v>0</v>
      </c>
      <c r="P777" s="134"/>
      <c r="Q777" s="133"/>
      <c r="R777" s="133"/>
      <c r="S777" s="153">
        <v>0</v>
      </c>
      <c r="T777" s="153">
        <v>0</v>
      </c>
      <c r="U777" s="153">
        <v>0</v>
      </c>
      <c r="V777" s="135"/>
      <c r="W777" s="135"/>
      <c r="X777" s="135"/>
      <c r="Y777" s="135"/>
      <c r="Z777" s="135"/>
      <c r="AA777" s="135"/>
      <c r="AB777" s="135"/>
      <c r="AC777" s="135"/>
      <c r="AD777" s="133"/>
      <c r="AE777" s="133"/>
      <c r="AF777" s="132" t="str">
        <f t="shared" si="82"/>
        <v>Нет инфо</v>
      </c>
      <c r="AG777" s="132" t="str">
        <f t="shared" si="83"/>
        <v>Нет инфо</v>
      </c>
      <c r="AH777" s="2"/>
      <c r="AI777" s="136"/>
      <c r="AJ777" s="2"/>
      <c r="AK777" s="136"/>
      <c r="AL777" s="136"/>
      <c r="AM777" s="2"/>
      <c r="AN777" s="2"/>
      <c r="AO777" s="2"/>
      <c r="AP777" s="2"/>
      <c r="AQ777" s="136"/>
    </row>
    <row r="778" spans="1:43" s="115" customFormat="1" ht="12.75" hidden="1" customHeight="1" x14ac:dyDescent="0.2">
      <c r="A778" s="2">
        <v>2807</v>
      </c>
      <c r="B778" s="2"/>
      <c r="C778" s="131"/>
      <c r="D778" s="131"/>
      <c r="E778" s="131"/>
      <c r="F778" s="2"/>
      <c r="G778" s="2"/>
      <c r="H778" s="132">
        <v>0</v>
      </c>
      <c r="I778" s="132"/>
      <c r="J778" s="132"/>
      <c r="K778" s="132"/>
      <c r="L778" s="132">
        <f t="shared" si="79"/>
        <v>0</v>
      </c>
      <c r="M778" s="132">
        <f t="shared" si="80"/>
        <v>0</v>
      </c>
      <c r="N778" s="133"/>
      <c r="O778" s="133">
        <f t="shared" si="81"/>
        <v>0</v>
      </c>
      <c r="P778" s="134"/>
      <c r="Q778" s="133"/>
      <c r="R778" s="133"/>
      <c r="S778" s="153">
        <v>0</v>
      </c>
      <c r="T778" s="153">
        <v>0</v>
      </c>
      <c r="U778" s="153">
        <v>0</v>
      </c>
      <c r="V778" s="135"/>
      <c r="W778" s="135"/>
      <c r="X778" s="135"/>
      <c r="Y778" s="135"/>
      <c r="Z778" s="135"/>
      <c r="AA778" s="135"/>
      <c r="AB778" s="135"/>
      <c r="AC778" s="135"/>
      <c r="AD778" s="133"/>
      <c r="AE778" s="133"/>
      <c r="AF778" s="132" t="str">
        <f t="shared" si="82"/>
        <v>Нет инфо</v>
      </c>
      <c r="AG778" s="132" t="str">
        <f t="shared" si="83"/>
        <v>Нет инфо</v>
      </c>
      <c r="AH778" s="2"/>
      <c r="AI778" s="136"/>
      <c r="AJ778" s="2"/>
      <c r="AK778" s="136"/>
      <c r="AL778" s="136"/>
      <c r="AM778" s="2"/>
      <c r="AN778" s="2"/>
      <c r="AO778" s="2"/>
      <c r="AP778" s="2"/>
      <c r="AQ778" s="136"/>
    </row>
    <row r="779" spans="1:43" s="115" customFormat="1" ht="12.75" hidden="1" customHeight="1" x14ac:dyDescent="0.2">
      <c r="A779" s="2">
        <v>2808</v>
      </c>
      <c r="B779" s="2"/>
      <c r="C779" s="131"/>
      <c r="D779" s="131"/>
      <c r="E779" s="131"/>
      <c r="F779" s="2"/>
      <c r="G779" s="2"/>
      <c r="H779" s="132">
        <v>0</v>
      </c>
      <c r="I779" s="132"/>
      <c r="J779" s="132"/>
      <c r="K779" s="132"/>
      <c r="L779" s="132">
        <f t="shared" ref="L779:L842" si="84">H779-K779</f>
        <v>0</v>
      </c>
      <c r="M779" s="132">
        <f t="shared" ref="M779:M842" si="85">I779-K779</f>
        <v>0</v>
      </c>
      <c r="N779" s="133"/>
      <c r="O779" s="133">
        <f t="shared" ref="O779:O842" si="86">IF(OR(AJ779="принят",AJ779="Завершено",AJ779="ПриПро"),I779-K779,H779-K779)</f>
        <v>0</v>
      </c>
      <c r="P779" s="134"/>
      <c r="Q779" s="133"/>
      <c r="R779" s="133"/>
      <c r="S779" s="153">
        <v>0</v>
      </c>
      <c r="T779" s="153">
        <v>0</v>
      </c>
      <c r="U779" s="153">
        <v>0</v>
      </c>
      <c r="V779" s="135"/>
      <c r="W779" s="135"/>
      <c r="X779" s="135"/>
      <c r="Y779" s="135"/>
      <c r="Z779" s="135"/>
      <c r="AA779" s="135"/>
      <c r="AB779" s="135"/>
      <c r="AC779" s="135"/>
      <c r="AD779" s="133"/>
      <c r="AE779" s="133"/>
      <c r="AF779" s="132" t="str">
        <f t="shared" si="82"/>
        <v>Нет инфо</v>
      </c>
      <c r="AG779" s="132" t="str">
        <f t="shared" si="83"/>
        <v>Нет инфо</v>
      </c>
      <c r="AH779" s="2"/>
      <c r="AI779" s="136"/>
      <c r="AJ779" s="2"/>
      <c r="AK779" s="136"/>
      <c r="AL779" s="136"/>
      <c r="AM779" s="2"/>
      <c r="AN779" s="2"/>
      <c r="AO779" s="2"/>
      <c r="AP779" s="2"/>
      <c r="AQ779" s="136"/>
    </row>
    <row r="780" spans="1:43" s="115" customFormat="1" ht="12.75" hidden="1" customHeight="1" x14ac:dyDescent="0.2">
      <c r="A780" s="2">
        <v>2809</v>
      </c>
      <c r="B780" s="2"/>
      <c r="C780" s="131"/>
      <c r="D780" s="131"/>
      <c r="E780" s="131"/>
      <c r="F780" s="2"/>
      <c r="G780" s="2"/>
      <c r="H780" s="132">
        <v>0</v>
      </c>
      <c r="I780" s="132"/>
      <c r="J780" s="132"/>
      <c r="K780" s="132"/>
      <c r="L780" s="132">
        <f t="shared" si="84"/>
        <v>0</v>
      </c>
      <c r="M780" s="132">
        <f t="shared" si="85"/>
        <v>0</v>
      </c>
      <c r="N780" s="133"/>
      <c r="O780" s="133">
        <f t="shared" si="86"/>
        <v>0</v>
      </c>
      <c r="P780" s="134"/>
      <c r="Q780" s="133"/>
      <c r="R780" s="133"/>
      <c r="S780" s="153">
        <v>0</v>
      </c>
      <c r="T780" s="153">
        <v>0</v>
      </c>
      <c r="U780" s="153">
        <v>0</v>
      </c>
      <c r="V780" s="135"/>
      <c r="W780" s="135"/>
      <c r="X780" s="135"/>
      <c r="Y780" s="135"/>
      <c r="Z780" s="135"/>
      <c r="AA780" s="135"/>
      <c r="AB780" s="135"/>
      <c r="AC780" s="135"/>
      <c r="AD780" s="133"/>
      <c r="AE780" s="133"/>
      <c r="AF780" s="132" t="str">
        <f t="shared" si="82"/>
        <v>Нет инфо</v>
      </c>
      <c r="AG780" s="132" t="str">
        <f t="shared" si="83"/>
        <v>Нет инфо</v>
      </c>
      <c r="AH780" s="2"/>
      <c r="AI780" s="136"/>
      <c r="AJ780" s="2"/>
      <c r="AK780" s="136"/>
      <c r="AL780" s="136"/>
      <c r="AM780" s="2"/>
      <c r="AN780" s="2"/>
      <c r="AO780" s="2"/>
      <c r="AP780" s="2"/>
      <c r="AQ780" s="136"/>
    </row>
    <row r="781" spans="1:43" s="115" customFormat="1" ht="12.75" hidden="1" customHeight="1" x14ac:dyDescent="0.2">
      <c r="A781" s="2">
        <v>2810</v>
      </c>
      <c r="B781" s="2"/>
      <c r="C781" s="131"/>
      <c r="D781" s="131"/>
      <c r="E781" s="131"/>
      <c r="F781" s="2"/>
      <c r="G781" s="2"/>
      <c r="H781" s="132">
        <v>0</v>
      </c>
      <c r="I781" s="132"/>
      <c r="J781" s="132"/>
      <c r="K781" s="132"/>
      <c r="L781" s="132">
        <f t="shared" si="84"/>
        <v>0</v>
      </c>
      <c r="M781" s="132">
        <f t="shared" si="85"/>
        <v>0</v>
      </c>
      <c r="N781" s="133"/>
      <c r="O781" s="133">
        <f t="shared" si="86"/>
        <v>0</v>
      </c>
      <c r="P781" s="134"/>
      <c r="Q781" s="133"/>
      <c r="R781" s="133"/>
      <c r="S781" s="153">
        <v>0</v>
      </c>
      <c r="T781" s="153">
        <v>0</v>
      </c>
      <c r="U781" s="153">
        <v>0</v>
      </c>
      <c r="V781" s="135"/>
      <c r="W781" s="135"/>
      <c r="X781" s="135"/>
      <c r="Y781" s="135"/>
      <c r="Z781" s="135"/>
      <c r="AA781" s="135"/>
      <c r="AB781" s="135"/>
      <c r="AC781" s="135"/>
      <c r="AD781" s="133"/>
      <c r="AE781" s="133"/>
      <c r="AF781" s="132" t="str">
        <f t="shared" si="82"/>
        <v>Нет инфо</v>
      </c>
      <c r="AG781" s="132" t="str">
        <f t="shared" si="83"/>
        <v>Нет инфо</v>
      </c>
      <c r="AH781" s="2"/>
      <c r="AI781" s="136"/>
      <c r="AJ781" s="2"/>
      <c r="AK781" s="136"/>
      <c r="AL781" s="136"/>
      <c r="AM781" s="2"/>
      <c r="AN781" s="2"/>
      <c r="AO781" s="2"/>
      <c r="AP781" s="2"/>
      <c r="AQ781" s="136"/>
    </row>
    <row r="782" spans="1:43" s="115" customFormat="1" ht="12.75" hidden="1" customHeight="1" x14ac:dyDescent="0.2">
      <c r="A782" s="2">
        <v>2811</v>
      </c>
      <c r="B782" s="2"/>
      <c r="C782" s="131"/>
      <c r="D782" s="131"/>
      <c r="E782" s="131"/>
      <c r="F782" s="2"/>
      <c r="G782" s="2"/>
      <c r="H782" s="132">
        <v>0</v>
      </c>
      <c r="I782" s="132"/>
      <c r="J782" s="132"/>
      <c r="K782" s="132"/>
      <c r="L782" s="132">
        <f t="shared" si="84"/>
        <v>0</v>
      </c>
      <c r="M782" s="132">
        <f t="shared" si="85"/>
        <v>0</v>
      </c>
      <c r="N782" s="133"/>
      <c r="O782" s="133">
        <f t="shared" si="86"/>
        <v>0</v>
      </c>
      <c r="P782" s="134"/>
      <c r="Q782" s="133"/>
      <c r="R782" s="133"/>
      <c r="S782" s="153">
        <v>0</v>
      </c>
      <c r="T782" s="153">
        <v>0</v>
      </c>
      <c r="U782" s="153">
        <v>0</v>
      </c>
      <c r="V782" s="135"/>
      <c r="W782" s="135"/>
      <c r="X782" s="135"/>
      <c r="Y782" s="135"/>
      <c r="Z782" s="135"/>
      <c r="AA782" s="135"/>
      <c r="AB782" s="135"/>
      <c r="AC782" s="135"/>
      <c r="AD782" s="133"/>
      <c r="AE782" s="133"/>
      <c r="AF782" s="132" t="str">
        <f t="shared" si="82"/>
        <v>Нет инфо</v>
      </c>
      <c r="AG782" s="132" t="str">
        <f t="shared" si="83"/>
        <v>Нет инфо</v>
      </c>
      <c r="AH782" s="2"/>
      <c r="AI782" s="136"/>
      <c r="AJ782" s="2"/>
      <c r="AK782" s="136"/>
      <c r="AL782" s="136"/>
      <c r="AM782" s="2"/>
      <c r="AN782" s="2"/>
      <c r="AO782" s="2"/>
      <c r="AP782" s="2"/>
      <c r="AQ782" s="136"/>
    </row>
    <row r="783" spans="1:43" s="115" customFormat="1" ht="12.75" hidden="1" customHeight="1" x14ac:dyDescent="0.2">
      <c r="A783" s="2">
        <v>2812</v>
      </c>
      <c r="B783" s="2"/>
      <c r="C783" s="131"/>
      <c r="D783" s="131"/>
      <c r="E783" s="131"/>
      <c r="F783" s="2"/>
      <c r="G783" s="2"/>
      <c r="H783" s="132">
        <v>0</v>
      </c>
      <c r="I783" s="132"/>
      <c r="J783" s="132"/>
      <c r="K783" s="132"/>
      <c r="L783" s="132">
        <f t="shared" si="84"/>
        <v>0</v>
      </c>
      <c r="M783" s="132">
        <f t="shared" si="85"/>
        <v>0</v>
      </c>
      <c r="N783" s="133"/>
      <c r="O783" s="133">
        <f t="shared" si="86"/>
        <v>0</v>
      </c>
      <c r="P783" s="134"/>
      <c r="Q783" s="133"/>
      <c r="R783" s="133"/>
      <c r="S783" s="153">
        <v>0</v>
      </c>
      <c r="T783" s="153">
        <v>0</v>
      </c>
      <c r="U783" s="153">
        <v>0</v>
      </c>
      <c r="V783" s="135"/>
      <c r="W783" s="135"/>
      <c r="X783" s="135"/>
      <c r="Y783" s="135"/>
      <c r="Z783" s="135"/>
      <c r="AA783" s="135"/>
      <c r="AB783" s="135"/>
      <c r="AC783" s="135"/>
      <c r="AD783" s="133"/>
      <c r="AE783" s="133"/>
      <c r="AF783" s="132" t="str">
        <f t="shared" si="82"/>
        <v>Нет инфо</v>
      </c>
      <c r="AG783" s="132" t="str">
        <f t="shared" si="83"/>
        <v>Нет инфо</v>
      </c>
      <c r="AH783" s="2"/>
      <c r="AI783" s="136"/>
      <c r="AJ783" s="2"/>
      <c r="AK783" s="136"/>
      <c r="AL783" s="136"/>
      <c r="AM783" s="2"/>
      <c r="AN783" s="2"/>
      <c r="AO783" s="2"/>
      <c r="AP783" s="2"/>
      <c r="AQ783" s="136"/>
    </row>
    <row r="784" spans="1:43" s="115" customFormat="1" ht="12.75" hidden="1" customHeight="1" x14ac:dyDescent="0.2">
      <c r="A784" s="2">
        <v>2813</v>
      </c>
      <c r="B784" s="2"/>
      <c r="C784" s="131"/>
      <c r="D784" s="131"/>
      <c r="E784" s="131"/>
      <c r="F784" s="2"/>
      <c r="G784" s="2"/>
      <c r="H784" s="132">
        <v>0</v>
      </c>
      <c r="I784" s="132"/>
      <c r="J784" s="132"/>
      <c r="K784" s="132"/>
      <c r="L784" s="132">
        <f t="shared" si="84"/>
        <v>0</v>
      </c>
      <c r="M784" s="132">
        <f t="shared" si="85"/>
        <v>0</v>
      </c>
      <c r="N784" s="133"/>
      <c r="O784" s="133">
        <f t="shared" si="86"/>
        <v>0</v>
      </c>
      <c r="P784" s="134"/>
      <c r="Q784" s="133"/>
      <c r="R784" s="133"/>
      <c r="S784" s="153">
        <v>0</v>
      </c>
      <c r="T784" s="153">
        <v>0</v>
      </c>
      <c r="U784" s="153">
        <v>0</v>
      </c>
      <c r="V784" s="135"/>
      <c r="W784" s="135"/>
      <c r="X784" s="135"/>
      <c r="Y784" s="135"/>
      <c r="Z784" s="135"/>
      <c r="AA784" s="135"/>
      <c r="AB784" s="135"/>
      <c r="AC784" s="135"/>
      <c r="AD784" s="133"/>
      <c r="AE784" s="133"/>
      <c r="AF784" s="132" t="str">
        <f t="shared" si="82"/>
        <v>Нет инфо</v>
      </c>
      <c r="AG784" s="132" t="str">
        <f t="shared" si="83"/>
        <v>Нет инфо</v>
      </c>
      <c r="AH784" s="2"/>
      <c r="AI784" s="136"/>
      <c r="AJ784" s="2"/>
      <c r="AK784" s="136"/>
      <c r="AL784" s="136"/>
      <c r="AM784" s="2"/>
      <c r="AN784" s="2"/>
      <c r="AO784" s="2"/>
      <c r="AP784" s="2"/>
      <c r="AQ784" s="136"/>
    </row>
    <row r="785" spans="1:43" s="115" customFormat="1" ht="12.75" hidden="1" customHeight="1" x14ac:dyDescent="0.2">
      <c r="A785" s="2">
        <v>2814</v>
      </c>
      <c r="B785" s="2"/>
      <c r="C785" s="131"/>
      <c r="D785" s="131"/>
      <c r="E785" s="131"/>
      <c r="F785" s="2"/>
      <c r="G785" s="2"/>
      <c r="H785" s="132">
        <v>0</v>
      </c>
      <c r="I785" s="132"/>
      <c r="J785" s="132"/>
      <c r="K785" s="132"/>
      <c r="L785" s="132">
        <f t="shared" si="84"/>
        <v>0</v>
      </c>
      <c r="M785" s="132">
        <f t="shared" si="85"/>
        <v>0</v>
      </c>
      <c r="N785" s="133"/>
      <c r="O785" s="133">
        <f t="shared" si="86"/>
        <v>0</v>
      </c>
      <c r="P785" s="134"/>
      <c r="Q785" s="133"/>
      <c r="R785" s="133"/>
      <c r="S785" s="153">
        <v>0</v>
      </c>
      <c r="T785" s="153">
        <v>0</v>
      </c>
      <c r="U785" s="153">
        <v>0</v>
      </c>
      <c r="V785" s="135"/>
      <c r="W785" s="135"/>
      <c r="X785" s="135"/>
      <c r="Y785" s="135"/>
      <c r="Z785" s="135"/>
      <c r="AA785" s="135"/>
      <c r="AB785" s="135"/>
      <c r="AC785" s="135"/>
      <c r="AD785" s="133"/>
      <c r="AE785" s="133"/>
      <c r="AF785" s="132" t="str">
        <f t="shared" si="82"/>
        <v>Нет инфо</v>
      </c>
      <c r="AG785" s="132" t="str">
        <f t="shared" si="83"/>
        <v>Нет инфо</v>
      </c>
      <c r="AH785" s="2"/>
      <c r="AI785" s="136"/>
      <c r="AJ785" s="2"/>
      <c r="AK785" s="136"/>
      <c r="AL785" s="136"/>
      <c r="AM785" s="2"/>
      <c r="AN785" s="2"/>
      <c r="AO785" s="2"/>
      <c r="AP785" s="2"/>
      <c r="AQ785" s="136"/>
    </row>
    <row r="786" spans="1:43" s="115" customFormat="1" ht="12.75" hidden="1" customHeight="1" x14ac:dyDescent="0.2">
      <c r="A786" s="2">
        <v>2815</v>
      </c>
      <c r="B786" s="2"/>
      <c r="C786" s="131"/>
      <c r="D786" s="131"/>
      <c r="E786" s="131"/>
      <c r="F786" s="2"/>
      <c r="G786" s="2"/>
      <c r="H786" s="132">
        <v>0</v>
      </c>
      <c r="I786" s="132"/>
      <c r="J786" s="132"/>
      <c r="K786" s="132"/>
      <c r="L786" s="132">
        <f t="shared" si="84"/>
        <v>0</v>
      </c>
      <c r="M786" s="132">
        <f t="shared" si="85"/>
        <v>0</v>
      </c>
      <c r="N786" s="133"/>
      <c r="O786" s="133">
        <f t="shared" si="86"/>
        <v>0</v>
      </c>
      <c r="P786" s="134"/>
      <c r="Q786" s="133"/>
      <c r="R786" s="133"/>
      <c r="S786" s="153">
        <v>0</v>
      </c>
      <c r="T786" s="153">
        <v>0</v>
      </c>
      <c r="U786" s="153">
        <v>0</v>
      </c>
      <c r="V786" s="135"/>
      <c r="W786" s="135"/>
      <c r="X786" s="135"/>
      <c r="Y786" s="135"/>
      <c r="Z786" s="135"/>
      <c r="AA786" s="135"/>
      <c r="AB786" s="135"/>
      <c r="AC786" s="135"/>
      <c r="AD786" s="133"/>
      <c r="AE786" s="133"/>
      <c r="AF786" s="132" t="str">
        <f t="shared" si="82"/>
        <v>Нет инфо</v>
      </c>
      <c r="AG786" s="132" t="str">
        <f t="shared" si="83"/>
        <v>Нет инфо</v>
      </c>
      <c r="AH786" s="2"/>
      <c r="AI786" s="136"/>
      <c r="AJ786" s="2"/>
      <c r="AK786" s="136"/>
      <c r="AL786" s="136"/>
      <c r="AM786" s="2"/>
      <c r="AN786" s="2"/>
      <c r="AO786" s="2"/>
      <c r="AP786" s="2"/>
      <c r="AQ786" s="136"/>
    </row>
    <row r="787" spans="1:43" s="115" customFormat="1" ht="12.75" hidden="1" customHeight="1" x14ac:dyDescent="0.2">
      <c r="A787" s="2">
        <v>2816</v>
      </c>
      <c r="B787" s="2"/>
      <c r="C787" s="131"/>
      <c r="D787" s="131"/>
      <c r="E787" s="131"/>
      <c r="F787" s="2"/>
      <c r="G787" s="2"/>
      <c r="H787" s="132">
        <v>0</v>
      </c>
      <c r="I787" s="132"/>
      <c r="J787" s="132"/>
      <c r="K787" s="132"/>
      <c r="L787" s="132">
        <f t="shared" si="84"/>
        <v>0</v>
      </c>
      <c r="M787" s="132">
        <f t="shared" si="85"/>
        <v>0</v>
      </c>
      <c r="N787" s="133"/>
      <c r="O787" s="133">
        <f t="shared" si="86"/>
        <v>0</v>
      </c>
      <c r="P787" s="134"/>
      <c r="Q787" s="133"/>
      <c r="R787" s="133"/>
      <c r="S787" s="153">
        <v>0</v>
      </c>
      <c r="T787" s="153">
        <v>0</v>
      </c>
      <c r="U787" s="153">
        <v>0</v>
      </c>
      <c r="V787" s="135"/>
      <c r="W787" s="135"/>
      <c r="X787" s="135"/>
      <c r="Y787" s="135"/>
      <c r="Z787" s="135"/>
      <c r="AA787" s="135"/>
      <c r="AB787" s="135"/>
      <c r="AC787" s="135"/>
      <c r="AD787" s="133"/>
      <c r="AE787" s="133"/>
      <c r="AF787" s="132" t="str">
        <f t="shared" si="82"/>
        <v>Нет инфо</v>
      </c>
      <c r="AG787" s="132" t="str">
        <f t="shared" si="83"/>
        <v>Нет инфо</v>
      </c>
      <c r="AH787" s="2"/>
      <c r="AI787" s="136"/>
      <c r="AJ787" s="2"/>
      <c r="AK787" s="136"/>
      <c r="AL787" s="136"/>
      <c r="AM787" s="2"/>
      <c r="AN787" s="2"/>
      <c r="AO787" s="2"/>
      <c r="AP787" s="2"/>
      <c r="AQ787" s="136"/>
    </row>
    <row r="788" spans="1:43" s="115" customFormat="1" ht="12.75" hidden="1" customHeight="1" x14ac:dyDescent="0.2">
      <c r="A788" s="2">
        <v>2817</v>
      </c>
      <c r="B788" s="2"/>
      <c r="C788" s="131"/>
      <c r="D788" s="131"/>
      <c r="E788" s="131"/>
      <c r="F788" s="2"/>
      <c r="G788" s="2"/>
      <c r="H788" s="132">
        <v>0</v>
      </c>
      <c r="I788" s="132"/>
      <c r="J788" s="132"/>
      <c r="K788" s="132"/>
      <c r="L788" s="132">
        <f t="shared" si="84"/>
        <v>0</v>
      </c>
      <c r="M788" s="132">
        <f t="shared" si="85"/>
        <v>0</v>
      </c>
      <c r="N788" s="133"/>
      <c r="O788" s="133">
        <f t="shared" si="86"/>
        <v>0</v>
      </c>
      <c r="P788" s="134"/>
      <c r="Q788" s="133"/>
      <c r="R788" s="133"/>
      <c r="S788" s="153">
        <v>0</v>
      </c>
      <c r="T788" s="153">
        <v>0</v>
      </c>
      <c r="U788" s="153">
        <v>0</v>
      </c>
      <c r="V788" s="135"/>
      <c r="W788" s="135"/>
      <c r="X788" s="135"/>
      <c r="Y788" s="135"/>
      <c r="Z788" s="135"/>
      <c r="AA788" s="135"/>
      <c r="AB788" s="135"/>
      <c r="AC788" s="135"/>
      <c r="AD788" s="133"/>
      <c r="AE788" s="133"/>
      <c r="AF788" s="132" t="str">
        <f t="shared" si="82"/>
        <v>Нет инфо</v>
      </c>
      <c r="AG788" s="132" t="str">
        <f t="shared" si="83"/>
        <v>Нет инфо</v>
      </c>
      <c r="AH788" s="2"/>
      <c r="AI788" s="136"/>
      <c r="AJ788" s="2"/>
      <c r="AK788" s="136"/>
      <c r="AL788" s="136"/>
      <c r="AM788" s="2"/>
      <c r="AN788" s="2"/>
      <c r="AO788" s="2"/>
      <c r="AP788" s="2"/>
      <c r="AQ788" s="136"/>
    </row>
    <row r="789" spans="1:43" s="115" customFormat="1" ht="12.75" hidden="1" customHeight="1" x14ac:dyDescent="0.2">
      <c r="A789" s="2">
        <v>2818</v>
      </c>
      <c r="B789" s="2"/>
      <c r="C789" s="131"/>
      <c r="D789" s="131"/>
      <c r="E789" s="131"/>
      <c r="F789" s="2"/>
      <c r="G789" s="2"/>
      <c r="H789" s="132">
        <v>0</v>
      </c>
      <c r="I789" s="132"/>
      <c r="J789" s="132"/>
      <c r="K789" s="132"/>
      <c r="L789" s="132">
        <f t="shared" si="84"/>
        <v>0</v>
      </c>
      <c r="M789" s="132">
        <f t="shared" si="85"/>
        <v>0</v>
      </c>
      <c r="N789" s="133"/>
      <c r="O789" s="133">
        <f t="shared" si="86"/>
        <v>0</v>
      </c>
      <c r="P789" s="134"/>
      <c r="Q789" s="133"/>
      <c r="R789" s="133"/>
      <c r="S789" s="153">
        <v>0</v>
      </c>
      <c r="T789" s="153">
        <v>0</v>
      </c>
      <c r="U789" s="153">
        <v>0</v>
      </c>
      <c r="V789" s="135"/>
      <c r="W789" s="135"/>
      <c r="X789" s="135"/>
      <c r="Y789" s="135"/>
      <c r="Z789" s="135"/>
      <c r="AA789" s="135"/>
      <c r="AB789" s="135"/>
      <c r="AC789" s="135"/>
      <c r="AD789" s="133"/>
      <c r="AE789" s="133"/>
      <c r="AF789" s="132" t="str">
        <f t="shared" si="82"/>
        <v>Нет инфо</v>
      </c>
      <c r="AG789" s="132" t="str">
        <f t="shared" si="83"/>
        <v>Нет инфо</v>
      </c>
      <c r="AH789" s="2"/>
      <c r="AI789" s="136"/>
      <c r="AJ789" s="2"/>
      <c r="AK789" s="136"/>
      <c r="AL789" s="136"/>
      <c r="AM789" s="2"/>
      <c r="AN789" s="2"/>
      <c r="AO789" s="2"/>
      <c r="AP789" s="2"/>
      <c r="AQ789" s="136"/>
    </row>
    <row r="790" spans="1:43" s="115" customFormat="1" ht="12.75" hidden="1" customHeight="1" x14ac:dyDescent="0.2">
      <c r="A790" s="2">
        <v>2819</v>
      </c>
      <c r="B790" s="2"/>
      <c r="C790" s="131"/>
      <c r="D790" s="131"/>
      <c r="E790" s="131"/>
      <c r="F790" s="2"/>
      <c r="G790" s="2"/>
      <c r="H790" s="132">
        <v>0</v>
      </c>
      <c r="I790" s="132"/>
      <c r="J790" s="132"/>
      <c r="K790" s="132"/>
      <c r="L790" s="132">
        <f t="shared" si="84"/>
        <v>0</v>
      </c>
      <c r="M790" s="132">
        <f t="shared" si="85"/>
        <v>0</v>
      </c>
      <c r="N790" s="133"/>
      <c r="O790" s="133">
        <f t="shared" si="86"/>
        <v>0</v>
      </c>
      <c r="P790" s="134"/>
      <c r="Q790" s="133"/>
      <c r="R790" s="133"/>
      <c r="S790" s="153">
        <v>0</v>
      </c>
      <c r="T790" s="153">
        <v>0</v>
      </c>
      <c r="U790" s="153">
        <v>0</v>
      </c>
      <c r="V790" s="135"/>
      <c r="W790" s="135"/>
      <c r="X790" s="135"/>
      <c r="Y790" s="135"/>
      <c r="Z790" s="135"/>
      <c r="AA790" s="135"/>
      <c r="AB790" s="135"/>
      <c r="AC790" s="135"/>
      <c r="AD790" s="133"/>
      <c r="AE790" s="133"/>
      <c r="AF790" s="132" t="str">
        <f t="shared" si="82"/>
        <v>Нет инфо</v>
      </c>
      <c r="AG790" s="132" t="str">
        <f t="shared" si="83"/>
        <v>Нет инфо</v>
      </c>
      <c r="AH790" s="2"/>
      <c r="AI790" s="136"/>
      <c r="AJ790" s="2"/>
      <c r="AK790" s="136"/>
      <c r="AL790" s="136"/>
      <c r="AM790" s="2"/>
      <c r="AN790" s="2"/>
      <c r="AO790" s="2"/>
      <c r="AP790" s="2"/>
      <c r="AQ790" s="136"/>
    </row>
    <row r="791" spans="1:43" s="115" customFormat="1" ht="12.75" hidden="1" customHeight="1" x14ac:dyDescent="0.2">
      <c r="A791" s="2">
        <v>2820</v>
      </c>
      <c r="B791" s="2"/>
      <c r="C791" s="131"/>
      <c r="D791" s="131"/>
      <c r="E791" s="131"/>
      <c r="F791" s="2"/>
      <c r="G791" s="2"/>
      <c r="H791" s="132">
        <v>0</v>
      </c>
      <c r="I791" s="132"/>
      <c r="J791" s="132"/>
      <c r="K791" s="132"/>
      <c r="L791" s="132">
        <f t="shared" si="84"/>
        <v>0</v>
      </c>
      <c r="M791" s="132">
        <f t="shared" si="85"/>
        <v>0</v>
      </c>
      <c r="N791" s="133"/>
      <c r="O791" s="133">
        <f t="shared" si="86"/>
        <v>0</v>
      </c>
      <c r="P791" s="134"/>
      <c r="Q791" s="133"/>
      <c r="R791" s="133"/>
      <c r="S791" s="153">
        <v>0</v>
      </c>
      <c r="T791" s="153">
        <v>0</v>
      </c>
      <c r="U791" s="153">
        <v>0</v>
      </c>
      <c r="V791" s="135"/>
      <c r="W791" s="135"/>
      <c r="X791" s="135"/>
      <c r="Y791" s="135"/>
      <c r="Z791" s="135"/>
      <c r="AA791" s="135"/>
      <c r="AB791" s="135"/>
      <c r="AC791" s="135"/>
      <c r="AD791" s="133"/>
      <c r="AE791" s="133"/>
      <c r="AF791" s="132" t="str">
        <f t="shared" si="82"/>
        <v>Нет инфо</v>
      </c>
      <c r="AG791" s="132" t="str">
        <f t="shared" si="83"/>
        <v>Нет инфо</v>
      </c>
      <c r="AH791" s="2"/>
      <c r="AI791" s="136"/>
      <c r="AJ791" s="2"/>
      <c r="AK791" s="136"/>
      <c r="AL791" s="136"/>
      <c r="AM791" s="2"/>
      <c r="AN791" s="2"/>
      <c r="AO791" s="2"/>
      <c r="AP791" s="2"/>
      <c r="AQ791" s="136"/>
    </row>
    <row r="792" spans="1:43" s="115" customFormat="1" ht="12.75" hidden="1" customHeight="1" x14ac:dyDescent="0.2">
      <c r="A792" s="2">
        <v>2821</v>
      </c>
      <c r="B792" s="2"/>
      <c r="C792" s="131"/>
      <c r="D792" s="131"/>
      <c r="E792" s="131"/>
      <c r="F792" s="2"/>
      <c r="G792" s="2"/>
      <c r="H792" s="132">
        <v>0</v>
      </c>
      <c r="I792" s="132"/>
      <c r="J792" s="132"/>
      <c r="K792" s="132"/>
      <c r="L792" s="132">
        <f t="shared" si="84"/>
        <v>0</v>
      </c>
      <c r="M792" s="132">
        <f t="shared" si="85"/>
        <v>0</v>
      </c>
      <c r="N792" s="133"/>
      <c r="O792" s="133">
        <f t="shared" si="86"/>
        <v>0</v>
      </c>
      <c r="P792" s="134"/>
      <c r="Q792" s="133"/>
      <c r="R792" s="133"/>
      <c r="S792" s="153">
        <v>0</v>
      </c>
      <c r="T792" s="153">
        <v>0</v>
      </c>
      <c r="U792" s="153">
        <v>0</v>
      </c>
      <c r="V792" s="135"/>
      <c r="W792" s="135"/>
      <c r="X792" s="135"/>
      <c r="Y792" s="135"/>
      <c r="Z792" s="135"/>
      <c r="AA792" s="135"/>
      <c r="AB792" s="135"/>
      <c r="AC792" s="135"/>
      <c r="AD792" s="133"/>
      <c r="AE792" s="133"/>
      <c r="AF792" s="132" t="str">
        <f t="shared" si="82"/>
        <v>Нет инфо</v>
      </c>
      <c r="AG792" s="132" t="str">
        <f t="shared" si="83"/>
        <v>Нет инфо</v>
      </c>
      <c r="AH792" s="2"/>
      <c r="AI792" s="136"/>
      <c r="AJ792" s="2"/>
      <c r="AK792" s="136"/>
      <c r="AL792" s="136"/>
      <c r="AM792" s="2"/>
      <c r="AN792" s="2"/>
      <c r="AO792" s="2"/>
      <c r="AP792" s="2"/>
      <c r="AQ792" s="136"/>
    </row>
    <row r="793" spans="1:43" s="115" customFormat="1" ht="12.75" hidden="1" customHeight="1" x14ac:dyDescent="0.2">
      <c r="A793" s="2">
        <v>2822</v>
      </c>
      <c r="B793" s="2"/>
      <c r="C793" s="131"/>
      <c r="D793" s="131"/>
      <c r="E793" s="131"/>
      <c r="F793" s="2"/>
      <c r="G793" s="2"/>
      <c r="H793" s="132">
        <v>0</v>
      </c>
      <c r="I793" s="132"/>
      <c r="J793" s="132"/>
      <c r="K793" s="132"/>
      <c r="L793" s="132">
        <f t="shared" si="84"/>
        <v>0</v>
      </c>
      <c r="M793" s="132">
        <f t="shared" si="85"/>
        <v>0</v>
      </c>
      <c r="N793" s="133"/>
      <c r="O793" s="133">
        <f t="shared" si="86"/>
        <v>0</v>
      </c>
      <c r="P793" s="134"/>
      <c r="Q793" s="133"/>
      <c r="R793" s="133"/>
      <c r="S793" s="153">
        <v>0</v>
      </c>
      <c r="T793" s="153">
        <v>0</v>
      </c>
      <c r="U793" s="153">
        <v>0</v>
      </c>
      <c r="V793" s="135"/>
      <c r="W793" s="135"/>
      <c r="X793" s="135"/>
      <c r="Y793" s="135"/>
      <c r="Z793" s="135"/>
      <c r="AA793" s="135"/>
      <c r="AB793" s="135"/>
      <c r="AC793" s="135"/>
      <c r="AD793" s="133"/>
      <c r="AE793" s="133"/>
      <c r="AF793" s="132" t="str">
        <f t="shared" si="82"/>
        <v>Нет инфо</v>
      </c>
      <c r="AG793" s="132" t="str">
        <f t="shared" si="83"/>
        <v>Нет инфо</v>
      </c>
      <c r="AH793" s="2"/>
      <c r="AI793" s="136"/>
      <c r="AJ793" s="2"/>
      <c r="AK793" s="136"/>
      <c r="AL793" s="136"/>
      <c r="AM793" s="2"/>
      <c r="AN793" s="2"/>
      <c r="AO793" s="2"/>
      <c r="AP793" s="2"/>
      <c r="AQ793" s="136"/>
    </row>
    <row r="794" spans="1:43" s="115" customFormat="1" ht="12.75" hidden="1" customHeight="1" x14ac:dyDescent="0.2">
      <c r="A794" s="2">
        <v>2823</v>
      </c>
      <c r="B794" s="2"/>
      <c r="C794" s="131"/>
      <c r="D794" s="131"/>
      <c r="E794" s="131"/>
      <c r="F794" s="2"/>
      <c r="G794" s="2"/>
      <c r="H794" s="132">
        <v>0</v>
      </c>
      <c r="I794" s="132"/>
      <c r="J794" s="132"/>
      <c r="K794" s="132"/>
      <c r="L794" s="132">
        <f t="shared" si="84"/>
        <v>0</v>
      </c>
      <c r="M794" s="132">
        <f t="shared" si="85"/>
        <v>0</v>
      </c>
      <c r="N794" s="133"/>
      <c r="O794" s="133">
        <f t="shared" si="86"/>
        <v>0</v>
      </c>
      <c r="P794" s="134"/>
      <c r="Q794" s="133"/>
      <c r="R794" s="133"/>
      <c r="S794" s="153">
        <v>0</v>
      </c>
      <c r="T794" s="153">
        <v>0</v>
      </c>
      <c r="U794" s="153">
        <v>0</v>
      </c>
      <c r="V794" s="135"/>
      <c r="W794" s="135"/>
      <c r="X794" s="135"/>
      <c r="Y794" s="135"/>
      <c r="Z794" s="135"/>
      <c r="AA794" s="135"/>
      <c r="AB794" s="135"/>
      <c r="AC794" s="135"/>
      <c r="AD794" s="133"/>
      <c r="AE794" s="133"/>
      <c r="AF794" s="132" t="str">
        <f t="shared" si="82"/>
        <v>Нет инфо</v>
      </c>
      <c r="AG794" s="132" t="str">
        <f t="shared" si="83"/>
        <v>Нет инфо</v>
      </c>
      <c r="AH794" s="2"/>
      <c r="AI794" s="136"/>
      <c r="AJ794" s="2"/>
      <c r="AK794" s="136"/>
      <c r="AL794" s="136"/>
      <c r="AM794" s="2"/>
      <c r="AN794" s="2"/>
      <c r="AO794" s="2"/>
      <c r="AP794" s="2"/>
      <c r="AQ794" s="136"/>
    </row>
    <row r="795" spans="1:43" s="115" customFormat="1" ht="12.75" hidden="1" customHeight="1" x14ac:dyDescent="0.2">
      <c r="A795" s="2">
        <v>2824</v>
      </c>
      <c r="B795" s="2"/>
      <c r="C795" s="131"/>
      <c r="D795" s="131"/>
      <c r="E795" s="131"/>
      <c r="F795" s="2"/>
      <c r="G795" s="2"/>
      <c r="H795" s="132">
        <v>0</v>
      </c>
      <c r="I795" s="132"/>
      <c r="J795" s="132"/>
      <c r="K795" s="132"/>
      <c r="L795" s="132">
        <f t="shared" si="84"/>
        <v>0</v>
      </c>
      <c r="M795" s="132">
        <f t="shared" si="85"/>
        <v>0</v>
      </c>
      <c r="N795" s="133"/>
      <c r="O795" s="133">
        <f t="shared" si="86"/>
        <v>0</v>
      </c>
      <c r="P795" s="134"/>
      <c r="Q795" s="133"/>
      <c r="R795" s="133"/>
      <c r="S795" s="153">
        <v>0</v>
      </c>
      <c r="T795" s="153">
        <v>0</v>
      </c>
      <c r="U795" s="153">
        <v>0</v>
      </c>
      <c r="V795" s="135"/>
      <c r="W795" s="135"/>
      <c r="X795" s="135"/>
      <c r="Y795" s="135"/>
      <c r="Z795" s="135"/>
      <c r="AA795" s="135"/>
      <c r="AB795" s="135"/>
      <c r="AC795" s="135"/>
      <c r="AD795" s="133"/>
      <c r="AE795" s="133"/>
      <c r="AF795" s="132" t="str">
        <f t="shared" si="82"/>
        <v>Нет инфо</v>
      </c>
      <c r="AG795" s="132" t="str">
        <f t="shared" si="83"/>
        <v>Нет инфо</v>
      </c>
      <c r="AH795" s="2"/>
      <c r="AI795" s="136"/>
      <c r="AJ795" s="2"/>
      <c r="AK795" s="136"/>
      <c r="AL795" s="136"/>
      <c r="AM795" s="2"/>
      <c r="AN795" s="2"/>
      <c r="AO795" s="2"/>
      <c r="AP795" s="2"/>
      <c r="AQ795" s="136"/>
    </row>
    <row r="796" spans="1:43" s="115" customFormat="1" ht="12.75" hidden="1" customHeight="1" x14ac:dyDescent="0.2">
      <c r="A796" s="2">
        <v>2825</v>
      </c>
      <c r="B796" s="2"/>
      <c r="C796" s="131"/>
      <c r="D796" s="131"/>
      <c r="E796" s="131"/>
      <c r="F796" s="2"/>
      <c r="G796" s="2"/>
      <c r="H796" s="132">
        <v>0</v>
      </c>
      <c r="I796" s="132"/>
      <c r="J796" s="132"/>
      <c r="K796" s="132"/>
      <c r="L796" s="132">
        <f t="shared" si="84"/>
        <v>0</v>
      </c>
      <c r="M796" s="132">
        <f t="shared" si="85"/>
        <v>0</v>
      </c>
      <c r="N796" s="133"/>
      <c r="O796" s="133">
        <f t="shared" si="86"/>
        <v>0</v>
      </c>
      <c r="P796" s="134"/>
      <c r="Q796" s="133"/>
      <c r="R796" s="133"/>
      <c r="S796" s="153">
        <v>0</v>
      </c>
      <c r="T796" s="153">
        <v>0</v>
      </c>
      <c r="U796" s="153">
        <v>0</v>
      </c>
      <c r="V796" s="135"/>
      <c r="W796" s="135"/>
      <c r="X796" s="135"/>
      <c r="Y796" s="135"/>
      <c r="Z796" s="135"/>
      <c r="AA796" s="135"/>
      <c r="AB796" s="135"/>
      <c r="AC796" s="135"/>
      <c r="AD796" s="133"/>
      <c r="AE796" s="133"/>
      <c r="AF796" s="132" t="str">
        <f t="shared" si="82"/>
        <v>Нет инфо</v>
      </c>
      <c r="AG796" s="132" t="str">
        <f t="shared" si="83"/>
        <v>Нет инфо</v>
      </c>
      <c r="AH796" s="2"/>
      <c r="AI796" s="136"/>
      <c r="AJ796" s="2"/>
      <c r="AK796" s="136"/>
      <c r="AL796" s="136"/>
      <c r="AM796" s="2"/>
      <c r="AN796" s="2"/>
      <c r="AO796" s="2"/>
      <c r="AP796" s="2"/>
      <c r="AQ796" s="136"/>
    </row>
    <row r="797" spans="1:43" s="115" customFormat="1" ht="12.75" hidden="1" customHeight="1" x14ac:dyDescent="0.2">
      <c r="A797" s="2">
        <v>2826</v>
      </c>
      <c r="B797" s="2"/>
      <c r="C797" s="131"/>
      <c r="D797" s="131"/>
      <c r="E797" s="131"/>
      <c r="F797" s="2"/>
      <c r="G797" s="2"/>
      <c r="H797" s="132">
        <v>0</v>
      </c>
      <c r="I797" s="132"/>
      <c r="J797" s="132"/>
      <c r="K797" s="132"/>
      <c r="L797" s="132">
        <f t="shared" si="84"/>
        <v>0</v>
      </c>
      <c r="M797" s="132">
        <f t="shared" si="85"/>
        <v>0</v>
      </c>
      <c r="N797" s="133"/>
      <c r="O797" s="133">
        <f t="shared" si="86"/>
        <v>0</v>
      </c>
      <c r="P797" s="134"/>
      <c r="Q797" s="133"/>
      <c r="R797" s="133"/>
      <c r="S797" s="153">
        <v>0</v>
      </c>
      <c r="T797" s="153">
        <v>0</v>
      </c>
      <c r="U797" s="153">
        <v>0</v>
      </c>
      <c r="V797" s="135"/>
      <c r="W797" s="135"/>
      <c r="X797" s="135"/>
      <c r="Y797" s="135"/>
      <c r="Z797" s="135"/>
      <c r="AA797" s="135"/>
      <c r="AB797" s="135"/>
      <c r="AC797" s="135"/>
      <c r="AD797" s="133"/>
      <c r="AE797" s="133"/>
      <c r="AF797" s="132" t="str">
        <f t="shared" si="82"/>
        <v>Нет инфо</v>
      </c>
      <c r="AG797" s="132" t="str">
        <f t="shared" si="83"/>
        <v>Нет инфо</v>
      </c>
      <c r="AH797" s="2"/>
      <c r="AI797" s="136"/>
      <c r="AJ797" s="2"/>
      <c r="AK797" s="136"/>
      <c r="AL797" s="136"/>
      <c r="AM797" s="2"/>
      <c r="AN797" s="2"/>
      <c r="AO797" s="2"/>
      <c r="AP797" s="2"/>
      <c r="AQ797" s="136"/>
    </row>
    <row r="798" spans="1:43" s="115" customFormat="1" ht="12.75" hidden="1" customHeight="1" x14ac:dyDescent="0.2">
      <c r="A798" s="2">
        <v>2827</v>
      </c>
      <c r="B798" s="2"/>
      <c r="C798" s="131"/>
      <c r="D798" s="131"/>
      <c r="E798" s="131"/>
      <c r="F798" s="2"/>
      <c r="G798" s="2"/>
      <c r="H798" s="132">
        <v>0</v>
      </c>
      <c r="I798" s="132"/>
      <c r="J798" s="132"/>
      <c r="K798" s="132"/>
      <c r="L798" s="132">
        <f t="shared" si="84"/>
        <v>0</v>
      </c>
      <c r="M798" s="132">
        <f t="shared" si="85"/>
        <v>0</v>
      </c>
      <c r="N798" s="133"/>
      <c r="O798" s="133">
        <f t="shared" si="86"/>
        <v>0</v>
      </c>
      <c r="P798" s="134"/>
      <c r="Q798" s="133"/>
      <c r="R798" s="133"/>
      <c r="S798" s="153">
        <v>0</v>
      </c>
      <c r="T798" s="153">
        <v>0</v>
      </c>
      <c r="U798" s="153">
        <v>0</v>
      </c>
      <c r="V798" s="135"/>
      <c r="W798" s="135"/>
      <c r="X798" s="135"/>
      <c r="Y798" s="135"/>
      <c r="Z798" s="135"/>
      <c r="AA798" s="135"/>
      <c r="AB798" s="135"/>
      <c r="AC798" s="135"/>
      <c r="AD798" s="133"/>
      <c r="AE798" s="133"/>
      <c r="AF798" s="132" t="str">
        <f t="shared" si="82"/>
        <v>Нет инфо</v>
      </c>
      <c r="AG798" s="132" t="str">
        <f t="shared" si="83"/>
        <v>Нет инфо</v>
      </c>
      <c r="AH798" s="2"/>
      <c r="AI798" s="136"/>
      <c r="AJ798" s="2"/>
      <c r="AK798" s="136"/>
      <c r="AL798" s="136"/>
      <c r="AM798" s="2"/>
      <c r="AN798" s="2"/>
      <c r="AO798" s="2"/>
      <c r="AP798" s="2"/>
      <c r="AQ798" s="136"/>
    </row>
    <row r="799" spans="1:43" s="115" customFormat="1" ht="12.75" hidden="1" customHeight="1" x14ac:dyDescent="0.2">
      <c r="A799" s="2">
        <v>2828</v>
      </c>
      <c r="B799" s="2"/>
      <c r="C799" s="131"/>
      <c r="D799" s="131"/>
      <c r="E799" s="131"/>
      <c r="F799" s="2"/>
      <c r="G799" s="2"/>
      <c r="H799" s="132">
        <v>0</v>
      </c>
      <c r="I799" s="132"/>
      <c r="J799" s="132"/>
      <c r="K799" s="132"/>
      <c r="L799" s="132">
        <f t="shared" si="84"/>
        <v>0</v>
      </c>
      <c r="M799" s="132">
        <f t="shared" si="85"/>
        <v>0</v>
      </c>
      <c r="N799" s="133"/>
      <c r="O799" s="133">
        <f t="shared" si="86"/>
        <v>0</v>
      </c>
      <c r="P799" s="134"/>
      <c r="Q799" s="133"/>
      <c r="R799" s="133"/>
      <c r="S799" s="153">
        <v>0</v>
      </c>
      <c r="T799" s="153">
        <v>0</v>
      </c>
      <c r="U799" s="153">
        <v>0</v>
      </c>
      <c r="V799" s="135"/>
      <c r="W799" s="135"/>
      <c r="X799" s="135"/>
      <c r="Y799" s="135"/>
      <c r="Z799" s="135"/>
      <c r="AA799" s="135"/>
      <c r="AB799" s="135"/>
      <c r="AC799" s="135"/>
      <c r="AD799" s="133"/>
      <c r="AE799" s="133"/>
      <c r="AF799" s="132" t="str">
        <f t="shared" si="82"/>
        <v>Нет инфо</v>
      </c>
      <c r="AG799" s="132" t="str">
        <f t="shared" si="83"/>
        <v>Нет инфо</v>
      </c>
      <c r="AH799" s="2"/>
      <c r="AI799" s="136"/>
      <c r="AJ799" s="2"/>
      <c r="AK799" s="136"/>
      <c r="AL799" s="136"/>
      <c r="AM799" s="2"/>
      <c r="AN799" s="2"/>
      <c r="AO799" s="2"/>
      <c r="AP799" s="2"/>
      <c r="AQ799" s="136"/>
    </row>
    <row r="800" spans="1:43" s="115" customFormat="1" ht="12.75" hidden="1" customHeight="1" x14ac:dyDescent="0.2">
      <c r="A800" s="2">
        <v>2829</v>
      </c>
      <c r="B800" s="2"/>
      <c r="C800" s="131"/>
      <c r="D800" s="131"/>
      <c r="E800" s="131"/>
      <c r="F800" s="2"/>
      <c r="G800" s="2"/>
      <c r="H800" s="132">
        <v>0</v>
      </c>
      <c r="I800" s="132"/>
      <c r="J800" s="132"/>
      <c r="K800" s="132"/>
      <c r="L800" s="132">
        <f t="shared" si="84"/>
        <v>0</v>
      </c>
      <c r="M800" s="132">
        <f t="shared" si="85"/>
        <v>0</v>
      </c>
      <c r="N800" s="133"/>
      <c r="O800" s="133">
        <f t="shared" si="86"/>
        <v>0</v>
      </c>
      <c r="P800" s="134"/>
      <c r="Q800" s="133"/>
      <c r="R800" s="133"/>
      <c r="S800" s="153">
        <v>0</v>
      </c>
      <c r="T800" s="153">
        <v>0</v>
      </c>
      <c r="U800" s="153">
        <v>0</v>
      </c>
      <c r="V800" s="135"/>
      <c r="W800" s="135"/>
      <c r="X800" s="135"/>
      <c r="Y800" s="135"/>
      <c r="Z800" s="135"/>
      <c r="AA800" s="135"/>
      <c r="AB800" s="135"/>
      <c r="AC800" s="135"/>
      <c r="AD800" s="133"/>
      <c r="AE800" s="133"/>
      <c r="AF800" s="132" t="str">
        <f t="shared" si="82"/>
        <v>Нет инфо</v>
      </c>
      <c r="AG800" s="132" t="str">
        <f t="shared" si="83"/>
        <v>Нет инфо</v>
      </c>
      <c r="AH800" s="2"/>
      <c r="AI800" s="136"/>
      <c r="AJ800" s="2"/>
      <c r="AK800" s="136"/>
      <c r="AL800" s="136"/>
      <c r="AM800" s="2"/>
      <c r="AN800" s="2"/>
      <c r="AO800" s="2"/>
      <c r="AP800" s="2"/>
      <c r="AQ800" s="136"/>
    </row>
    <row r="801" spans="1:43" s="115" customFormat="1" ht="12.75" hidden="1" customHeight="1" x14ac:dyDescent="0.2">
      <c r="A801" s="2">
        <v>2830</v>
      </c>
      <c r="B801" s="2"/>
      <c r="C801" s="131"/>
      <c r="D801" s="131"/>
      <c r="E801" s="131"/>
      <c r="F801" s="2"/>
      <c r="G801" s="2"/>
      <c r="H801" s="132">
        <v>0</v>
      </c>
      <c r="I801" s="132"/>
      <c r="J801" s="132"/>
      <c r="K801" s="132"/>
      <c r="L801" s="132">
        <f t="shared" si="84"/>
        <v>0</v>
      </c>
      <c r="M801" s="132">
        <f t="shared" si="85"/>
        <v>0</v>
      </c>
      <c r="N801" s="133"/>
      <c r="O801" s="133">
        <f t="shared" si="86"/>
        <v>0</v>
      </c>
      <c r="P801" s="134"/>
      <c r="Q801" s="133"/>
      <c r="R801" s="133"/>
      <c r="S801" s="153">
        <v>0</v>
      </c>
      <c r="T801" s="153">
        <v>0</v>
      </c>
      <c r="U801" s="153">
        <v>0</v>
      </c>
      <c r="V801" s="135"/>
      <c r="W801" s="135"/>
      <c r="X801" s="135"/>
      <c r="Y801" s="135"/>
      <c r="Z801" s="135"/>
      <c r="AA801" s="135"/>
      <c r="AB801" s="135"/>
      <c r="AC801" s="135"/>
      <c r="AD801" s="133"/>
      <c r="AE801" s="133"/>
      <c r="AF801" s="132" t="str">
        <f t="shared" si="82"/>
        <v>Нет инфо</v>
      </c>
      <c r="AG801" s="132" t="str">
        <f t="shared" si="83"/>
        <v>Нет инфо</v>
      </c>
      <c r="AH801" s="2"/>
      <c r="AI801" s="136"/>
      <c r="AJ801" s="2"/>
      <c r="AK801" s="136"/>
      <c r="AL801" s="136"/>
      <c r="AM801" s="2"/>
      <c r="AN801" s="2"/>
      <c r="AO801" s="2"/>
      <c r="AP801" s="2"/>
      <c r="AQ801" s="136"/>
    </row>
    <row r="802" spans="1:43" s="115" customFormat="1" ht="12.75" hidden="1" customHeight="1" x14ac:dyDescent="0.2">
      <c r="A802" s="2">
        <v>2831</v>
      </c>
      <c r="B802" s="2"/>
      <c r="C802" s="131"/>
      <c r="D802" s="131"/>
      <c r="E802" s="131"/>
      <c r="F802" s="2"/>
      <c r="G802" s="2"/>
      <c r="H802" s="132">
        <v>0</v>
      </c>
      <c r="I802" s="132"/>
      <c r="J802" s="132"/>
      <c r="K802" s="132"/>
      <c r="L802" s="132">
        <f t="shared" si="84"/>
        <v>0</v>
      </c>
      <c r="M802" s="132">
        <f t="shared" si="85"/>
        <v>0</v>
      </c>
      <c r="N802" s="133"/>
      <c r="O802" s="133">
        <f t="shared" si="86"/>
        <v>0</v>
      </c>
      <c r="P802" s="134"/>
      <c r="Q802" s="133"/>
      <c r="R802" s="133"/>
      <c r="S802" s="153">
        <v>0</v>
      </c>
      <c r="T802" s="153">
        <v>0</v>
      </c>
      <c r="U802" s="153">
        <v>0</v>
      </c>
      <c r="V802" s="135"/>
      <c r="W802" s="135"/>
      <c r="X802" s="135"/>
      <c r="Y802" s="135"/>
      <c r="Z802" s="135"/>
      <c r="AA802" s="135"/>
      <c r="AB802" s="135"/>
      <c r="AC802" s="135"/>
      <c r="AD802" s="133"/>
      <c r="AE802" s="133"/>
      <c r="AF802" s="132" t="str">
        <f t="shared" si="82"/>
        <v>Нет инфо</v>
      </c>
      <c r="AG802" s="132" t="str">
        <f t="shared" si="83"/>
        <v>Нет инфо</v>
      </c>
      <c r="AH802" s="2"/>
      <c r="AI802" s="136"/>
      <c r="AJ802" s="2"/>
      <c r="AK802" s="136"/>
      <c r="AL802" s="136"/>
      <c r="AM802" s="2"/>
      <c r="AN802" s="2"/>
      <c r="AO802" s="2"/>
      <c r="AP802" s="2"/>
      <c r="AQ802" s="136"/>
    </row>
    <row r="803" spans="1:43" s="115" customFormat="1" ht="12.75" hidden="1" customHeight="1" x14ac:dyDescent="0.2">
      <c r="A803" s="2">
        <v>2832</v>
      </c>
      <c r="B803" s="2"/>
      <c r="C803" s="131"/>
      <c r="D803" s="131"/>
      <c r="E803" s="131"/>
      <c r="F803" s="2"/>
      <c r="G803" s="2"/>
      <c r="H803" s="132">
        <v>0</v>
      </c>
      <c r="I803" s="132"/>
      <c r="J803" s="132"/>
      <c r="K803" s="132"/>
      <c r="L803" s="132">
        <f t="shared" si="84"/>
        <v>0</v>
      </c>
      <c r="M803" s="132">
        <f t="shared" si="85"/>
        <v>0</v>
      </c>
      <c r="N803" s="133"/>
      <c r="O803" s="133">
        <f t="shared" si="86"/>
        <v>0</v>
      </c>
      <c r="P803" s="134"/>
      <c r="Q803" s="133"/>
      <c r="R803" s="133"/>
      <c r="S803" s="153">
        <v>0</v>
      </c>
      <c r="T803" s="153">
        <v>0</v>
      </c>
      <c r="U803" s="153">
        <v>0</v>
      </c>
      <c r="V803" s="135"/>
      <c r="W803" s="135"/>
      <c r="X803" s="135"/>
      <c r="Y803" s="135"/>
      <c r="Z803" s="135"/>
      <c r="AA803" s="135"/>
      <c r="AB803" s="135"/>
      <c r="AC803" s="135"/>
      <c r="AD803" s="133"/>
      <c r="AE803" s="133"/>
      <c r="AF803" s="132" t="str">
        <f t="shared" si="82"/>
        <v>Нет инфо</v>
      </c>
      <c r="AG803" s="132" t="str">
        <f t="shared" si="83"/>
        <v>Нет инфо</v>
      </c>
      <c r="AH803" s="2"/>
      <c r="AI803" s="136"/>
      <c r="AJ803" s="2"/>
      <c r="AK803" s="136"/>
      <c r="AL803" s="136"/>
      <c r="AM803" s="2"/>
      <c r="AN803" s="2"/>
      <c r="AO803" s="2"/>
      <c r="AP803" s="2"/>
      <c r="AQ803" s="136"/>
    </row>
    <row r="804" spans="1:43" s="115" customFormat="1" ht="12.75" hidden="1" customHeight="1" x14ac:dyDescent="0.2">
      <c r="A804" s="2">
        <v>2833</v>
      </c>
      <c r="B804" s="2"/>
      <c r="C804" s="131"/>
      <c r="D804" s="131"/>
      <c r="E804" s="131"/>
      <c r="F804" s="2"/>
      <c r="G804" s="2"/>
      <c r="H804" s="132">
        <v>0</v>
      </c>
      <c r="I804" s="132"/>
      <c r="J804" s="132"/>
      <c r="K804" s="132"/>
      <c r="L804" s="132">
        <f t="shared" si="84"/>
        <v>0</v>
      </c>
      <c r="M804" s="132">
        <f t="shared" si="85"/>
        <v>0</v>
      </c>
      <c r="N804" s="133"/>
      <c r="O804" s="133">
        <f t="shared" si="86"/>
        <v>0</v>
      </c>
      <c r="P804" s="134"/>
      <c r="Q804" s="133"/>
      <c r="R804" s="133"/>
      <c r="S804" s="153">
        <v>0</v>
      </c>
      <c r="T804" s="153">
        <v>0</v>
      </c>
      <c r="U804" s="153">
        <v>0</v>
      </c>
      <c r="V804" s="135"/>
      <c r="W804" s="135"/>
      <c r="X804" s="135"/>
      <c r="Y804" s="135"/>
      <c r="Z804" s="135"/>
      <c r="AA804" s="135"/>
      <c r="AB804" s="135"/>
      <c r="AC804" s="135"/>
      <c r="AD804" s="133"/>
      <c r="AE804" s="133"/>
      <c r="AF804" s="132" t="str">
        <f t="shared" si="82"/>
        <v>Нет инфо</v>
      </c>
      <c r="AG804" s="132" t="str">
        <f t="shared" si="83"/>
        <v>Нет инфо</v>
      </c>
      <c r="AH804" s="2"/>
      <c r="AI804" s="136"/>
      <c r="AJ804" s="2"/>
      <c r="AK804" s="136"/>
      <c r="AL804" s="136"/>
      <c r="AM804" s="2"/>
      <c r="AN804" s="2"/>
      <c r="AO804" s="2"/>
      <c r="AP804" s="2"/>
      <c r="AQ804" s="136"/>
    </row>
    <row r="805" spans="1:43" s="115" customFormat="1" ht="12.75" hidden="1" customHeight="1" x14ac:dyDescent="0.2">
      <c r="A805" s="2">
        <v>2834</v>
      </c>
      <c r="B805" s="2"/>
      <c r="C805" s="131"/>
      <c r="D805" s="131"/>
      <c r="E805" s="131"/>
      <c r="F805" s="2"/>
      <c r="G805" s="2"/>
      <c r="H805" s="132">
        <v>0</v>
      </c>
      <c r="I805" s="132"/>
      <c r="J805" s="132"/>
      <c r="K805" s="132"/>
      <c r="L805" s="132">
        <f t="shared" si="84"/>
        <v>0</v>
      </c>
      <c r="M805" s="132">
        <f t="shared" si="85"/>
        <v>0</v>
      </c>
      <c r="N805" s="133"/>
      <c r="O805" s="133">
        <f t="shared" si="86"/>
        <v>0</v>
      </c>
      <c r="P805" s="134"/>
      <c r="Q805" s="133"/>
      <c r="R805" s="133"/>
      <c r="S805" s="153">
        <v>0</v>
      </c>
      <c r="T805" s="153">
        <v>0</v>
      </c>
      <c r="U805" s="153">
        <v>0</v>
      </c>
      <c r="V805" s="135"/>
      <c r="W805" s="135"/>
      <c r="X805" s="135"/>
      <c r="Y805" s="135"/>
      <c r="Z805" s="135"/>
      <c r="AA805" s="135"/>
      <c r="AB805" s="135"/>
      <c r="AC805" s="135"/>
      <c r="AD805" s="133"/>
      <c r="AE805" s="133"/>
      <c r="AF805" s="132" t="str">
        <f t="shared" ref="AF805:AF868" si="87">IF(OR(I805="",I805=0,N805="",N805=0),"Нет инфо",I805/N805)</f>
        <v>Нет инфо</v>
      </c>
      <c r="AG805" s="132" t="str">
        <f t="shared" ref="AG805:AG868" si="88">IF(OR(I805="",I805=0,R805="",R805=0),"Нет инфо",I805/R805)</f>
        <v>Нет инфо</v>
      </c>
      <c r="AH805" s="2"/>
      <c r="AI805" s="136"/>
      <c r="AJ805" s="2"/>
      <c r="AK805" s="136"/>
      <c r="AL805" s="136"/>
      <c r="AM805" s="2"/>
      <c r="AN805" s="2"/>
      <c r="AO805" s="2"/>
      <c r="AP805" s="2"/>
      <c r="AQ805" s="136"/>
    </row>
    <row r="806" spans="1:43" s="115" customFormat="1" ht="12.75" hidden="1" customHeight="1" x14ac:dyDescent="0.2">
      <c r="A806" s="2">
        <v>2835</v>
      </c>
      <c r="B806" s="2"/>
      <c r="C806" s="131"/>
      <c r="D806" s="131"/>
      <c r="E806" s="131"/>
      <c r="F806" s="2"/>
      <c r="G806" s="2"/>
      <c r="H806" s="132">
        <v>0</v>
      </c>
      <c r="I806" s="132"/>
      <c r="J806" s="132"/>
      <c r="K806" s="132"/>
      <c r="L806" s="132">
        <f t="shared" si="84"/>
        <v>0</v>
      </c>
      <c r="M806" s="132">
        <f t="shared" si="85"/>
        <v>0</v>
      </c>
      <c r="N806" s="133"/>
      <c r="O806" s="133">
        <f t="shared" si="86"/>
        <v>0</v>
      </c>
      <c r="P806" s="134"/>
      <c r="Q806" s="133"/>
      <c r="R806" s="133"/>
      <c r="S806" s="153">
        <v>0</v>
      </c>
      <c r="T806" s="153">
        <v>0</v>
      </c>
      <c r="U806" s="153">
        <v>0</v>
      </c>
      <c r="V806" s="135"/>
      <c r="W806" s="135"/>
      <c r="X806" s="135"/>
      <c r="Y806" s="135"/>
      <c r="Z806" s="135"/>
      <c r="AA806" s="135"/>
      <c r="AB806" s="135"/>
      <c r="AC806" s="135"/>
      <c r="AD806" s="133"/>
      <c r="AE806" s="133"/>
      <c r="AF806" s="132" t="str">
        <f t="shared" si="87"/>
        <v>Нет инфо</v>
      </c>
      <c r="AG806" s="132" t="str">
        <f t="shared" si="88"/>
        <v>Нет инфо</v>
      </c>
      <c r="AH806" s="2"/>
      <c r="AI806" s="136"/>
      <c r="AJ806" s="2"/>
      <c r="AK806" s="136"/>
      <c r="AL806" s="136"/>
      <c r="AM806" s="2"/>
      <c r="AN806" s="2"/>
      <c r="AO806" s="2"/>
      <c r="AP806" s="2"/>
      <c r="AQ806" s="136"/>
    </row>
    <row r="807" spans="1:43" s="115" customFormat="1" ht="12.75" hidden="1" customHeight="1" x14ac:dyDescent="0.2">
      <c r="A807" s="2">
        <v>2836</v>
      </c>
      <c r="B807" s="2"/>
      <c r="C807" s="131"/>
      <c r="D807" s="131"/>
      <c r="E807" s="131"/>
      <c r="F807" s="2"/>
      <c r="G807" s="2"/>
      <c r="H807" s="132">
        <v>0</v>
      </c>
      <c r="I807" s="132"/>
      <c r="J807" s="132"/>
      <c r="K807" s="132"/>
      <c r="L807" s="132">
        <f t="shared" si="84"/>
        <v>0</v>
      </c>
      <c r="M807" s="132">
        <f t="shared" si="85"/>
        <v>0</v>
      </c>
      <c r="N807" s="133"/>
      <c r="O807" s="133">
        <f t="shared" si="86"/>
        <v>0</v>
      </c>
      <c r="P807" s="134"/>
      <c r="Q807" s="133"/>
      <c r="R807" s="133"/>
      <c r="S807" s="153">
        <v>0</v>
      </c>
      <c r="T807" s="153">
        <v>0</v>
      </c>
      <c r="U807" s="153">
        <v>0</v>
      </c>
      <c r="V807" s="135"/>
      <c r="W807" s="135"/>
      <c r="X807" s="135"/>
      <c r="Y807" s="135"/>
      <c r="Z807" s="135"/>
      <c r="AA807" s="135"/>
      <c r="AB807" s="135"/>
      <c r="AC807" s="135"/>
      <c r="AD807" s="133"/>
      <c r="AE807" s="133"/>
      <c r="AF807" s="132" t="str">
        <f t="shared" si="87"/>
        <v>Нет инфо</v>
      </c>
      <c r="AG807" s="132" t="str">
        <f t="shared" si="88"/>
        <v>Нет инфо</v>
      </c>
      <c r="AH807" s="2"/>
      <c r="AI807" s="136"/>
      <c r="AJ807" s="2"/>
      <c r="AK807" s="136"/>
      <c r="AL807" s="136"/>
      <c r="AM807" s="2"/>
      <c r="AN807" s="2"/>
      <c r="AO807" s="2"/>
      <c r="AP807" s="2"/>
      <c r="AQ807" s="136"/>
    </row>
    <row r="808" spans="1:43" s="115" customFormat="1" ht="12.75" hidden="1" customHeight="1" x14ac:dyDescent="0.2">
      <c r="A808" s="2">
        <v>2837</v>
      </c>
      <c r="B808" s="2"/>
      <c r="C808" s="131"/>
      <c r="D808" s="131"/>
      <c r="E808" s="131"/>
      <c r="F808" s="2"/>
      <c r="G808" s="2"/>
      <c r="H808" s="132">
        <v>0</v>
      </c>
      <c r="I808" s="132"/>
      <c r="J808" s="132"/>
      <c r="K808" s="132"/>
      <c r="L808" s="132">
        <f t="shared" si="84"/>
        <v>0</v>
      </c>
      <c r="M808" s="132">
        <f t="shared" si="85"/>
        <v>0</v>
      </c>
      <c r="N808" s="133"/>
      <c r="O808" s="133">
        <f t="shared" si="86"/>
        <v>0</v>
      </c>
      <c r="P808" s="134"/>
      <c r="Q808" s="133"/>
      <c r="R808" s="133"/>
      <c r="S808" s="153">
        <v>0</v>
      </c>
      <c r="T808" s="153">
        <v>0</v>
      </c>
      <c r="U808" s="153">
        <v>0</v>
      </c>
      <c r="V808" s="135"/>
      <c r="W808" s="135"/>
      <c r="X808" s="135"/>
      <c r="Y808" s="135"/>
      <c r="Z808" s="135"/>
      <c r="AA808" s="135"/>
      <c r="AB808" s="135"/>
      <c r="AC808" s="135"/>
      <c r="AD808" s="133"/>
      <c r="AE808" s="133"/>
      <c r="AF808" s="132" t="str">
        <f t="shared" si="87"/>
        <v>Нет инфо</v>
      </c>
      <c r="AG808" s="132" t="str">
        <f t="shared" si="88"/>
        <v>Нет инфо</v>
      </c>
      <c r="AH808" s="2"/>
      <c r="AI808" s="136"/>
      <c r="AJ808" s="2"/>
      <c r="AK808" s="136"/>
      <c r="AL808" s="136"/>
      <c r="AM808" s="2"/>
      <c r="AN808" s="2"/>
      <c r="AO808" s="2"/>
      <c r="AP808" s="2"/>
      <c r="AQ808" s="136"/>
    </row>
    <row r="809" spans="1:43" s="115" customFormat="1" ht="12.75" hidden="1" customHeight="1" x14ac:dyDescent="0.2">
      <c r="A809" s="2">
        <v>2838</v>
      </c>
      <c r="B809" s="2"/>
      <c r="C809" s="131"/>
      <c r="D809" s="131"/>
      <c r="E809" s="131"/>
      <c r="F809" s="2"/>
      <c r="G809" s="2"/>
      <c r="H809" s="132">
        <v>0</v>
      </c>
      <c r="I809" s="132"/>
      <c r="J809" s="132"/>
      <c r="K809" s="132"/>
      <c r="L809" s="132">
        <f t="shared" si="84"/>
        <v>0</v>
      </c>
      <c r="M809" s="132">
        <f t="shared" si="85"/>
        <v>0</v>
      </c>
      <c r="N809" s="133"/>
      <c r="O809" s="133">
        <f t="shared" si="86"/>
        <v>0</v>
      </c>
      <c r="P809" s="134"/>
      <c r="Q809" s="133"/>
      <c r="R809" s="133"/>
      <c r="S809" s="153">
        <v>0</v>
      </c>
      <c r="T809" s="153">
        <v>0</v>
      </c>
      <c r="U809" s="153">
        <v>0</v>
      </c>
      <c r="V809" s="135"/>
      <c r="W809" s="135"/>
      <c r="X809" s="135"/>
      <c r="Y809" s="135"/>
      <c r="Z809" s="135"/>
      <c r="AA809" s="135"/>
      <c r="AB809" s="135"/>
      <c r="AC809" s="135"/>
      <c r="AD809" s="133"/>
      <c r="AE809" s="133"/>
      <c r="AF809" s="132" t="str">
        <f t="shared" si="87"/>
        <v>Нет инфо</v>
      </c>
      <c r="AG809" s="132" t="str">
        <f t="shared" si="88"/>
        <v>Нет инфо</v>
      </c>
      <c r="AH809" s="2"/>
      <c r="AI809" s="136"/>
      <c r="AJ809" s="2"/>
      <c r="AK809" s="136"/>
      <c r="AL809" s="136"/>
      <c r="AM809" s="2"/>
      <c r="AN809" s="2"/>
      <c r="AO809" s="2"/>
      <c r="AP809" s="2"/>
      <c r="AQ809" s="136"/>
    </row>
    <row r="810" spans="1:43" s="115" customFormat="1" ht="12.75" hidden="1" customHeight="1" x14ac:dyDescent="0.2">
      <c r="A810" s="2">
        <v>2839</v>
      </c>
      <c r="B810" s="2"/>
      <c r="C810" s="131"/>
      <c r="D810" s="131"/>
      <c r="E810" s="131"/>
      <c r="F810" s="2"/>
      <c r="G810" s="2"/>
      <c r="H810" s="132">
        <v>0</v>
      </c>
      <c r="I810" s="132"/>
      <c r="J810" s="132"/>
      <c r="K810" s="132"/>
      <c r="L810" s="132">
        <f t="shared" si="84"/>
        <v>0</v>
      </c>
      <c r="M810" s="132">
        <f t="shared" si="85"/>
        <v>0</v>
      </c>
      <c r="N810" s="133"/>
      <c r="O810" s="133">
        <f t="shared" si="86"/>
        <v>0</v>
      </c>
      <c r="P810" s="134"/>
      <c r="Q810" s="133"/>
      <c r="R810" s="133"/>
      <c r="S810" s="153">
        <v>0</v>
      </c>
      <c r="T810" s="153">
        <v>0</v>
      </c>
      <c r="U810" s="153">
        <v>0</v>
      </c>
      <c r="V810" s="135"/>
      <c r="W810" s="135"/>
      <c r="X810" s="135"/>
      <c r="Y810" s="135"/>
      <c r="Z810" s="135"/>
      <c r="AA810" s="135"/>
      <c r="AB810" s="135"/>
      <c r="AC810" s="135"/>
      <c r="AD810" s="133"/>
      <c r="AE810" s="133"/>
      <c r="AF810" s="132" t="str">
        <f t="shared" si="87"/>
        <v>Нет инфо</v>
      </c>
      <c r="AG810" s="132" t="str">
        <f t="shared" si="88"/>
        <v>Нет инфо</v>
      </c>
      <c r="AH810" s="2"/>
      <c r="AI810" s="136"/>
      <c r="AJ810" s="2"/>
      <c r="AK810" s="136"/>
      <c r="AL810" s="136"/>
      <c r="AM810" s="2"/>
      <c r="AN810" s="2"/>
      <c r="AO810" s="2"/>
      <c r="AP810" s="2"/>
      <c r="AQ810" s="136"/>
    </row>
    <row r="811" spans="1:43" s="115" customFormat="1" ht="12.75" hidden="1" customHeight="1" x14ac:dyDescent="0.2">
      <c r="A811" s="2">
        <v>2840</v>
      </c>
      <c r="B811" s="2"/>
      <c r="C811" s="131"/>
      <c r="D811" s="131"/>
      <c r="E811" s="131"/>
      <c r="F811" s="2"/>
      <c r="G811" s="2"/>
      <c r="H811" s="132">
        <v>0</v>
      </c>
      <c r="I811" s="132"/>
      <c r="J811" s="132"/>
      <c r="K811" s="132"/>
      <c r="L811" s="132">
        <f t="shared" si="84"/>
        <v>0</v>
      </c>
      <c r="M811" s="132">
        <f t="shared" si="85"/>
        <v>0</v>
      </c>
      <c r="N811" s="133"/>
      <c r="O811" s="133">
        <f t="shared" si="86"/>
        <v>0</v>
      </c>
      <c r="P811" s="134"/>
      <c r="Q811" s="133"/>
      <c r="R811" s="133"/>
      <c r="S811" s="153">
        <v>0</v>
      </c>
      <c r="T811" s="153">
        <v>0</v>
      </c>
      <c r="U811" s="153">
        <v>0</v>
      </c>
      <c r="V811" s="135"/>
      <c r="W811" s="135"/>
      <c r="X811" s="135"/>
      <c r="Y811" s="135"/>
      <c r="Z811" s="135"/>
      <c r="AA811" s="135"/>
      <c r="AB811" s="135"/>
      <c r="AC811" s="135"/>
      <c r="AD811" s="133"/>
      <c r="AE811" s="133"/>
      <c r="AF811" s="132" t="str">
        <f t="shared" si="87"/>
        <v>Нет инфо</v>
      </c>
      <c r="AG811" s="132" t="str">
        <f t="shared" si="88"/>
        <v>Нет инфо</v>
      </c>
      <c r="AH811" s="2"/>
      <c r="AI811" s="136"/>
      <c r="AJ811" s="2"/>
      <c r="AK811" s="136"/>
      <c r="AL811" s="136"/>
      <c r="AM811" s="2"/>
      <c r="AN811" s="2"/>
      <c r="AO811" s="2"/>
      <c r="AP811" s="2"/>
      <c r="AQ811" s="136"/>
    </row>
    <row r="812" spans="1:43" s="115" customFormat="1" ht="12.75" hidden="1" customHeight="1" x14ac:dyDescent="0.2">
      <c r="A812" s="2">
        <v>2841</v>
      </c>
      <c r="B812" s="2"/>
      <c r="C812" s="131"/>
      <c r="D812" s="131"/>
      <c r="E812" s="131"/>
      <c r="F812" s="2"/>
      <c r="G812" s="2"/>
      <c r="H812" s="132">
        <v>0</v>
      </c>
      <c r="I812" s="132"/>
      <c r="J812" s="132"/>
      <c r="K812" s="132"/>
      <c r="L812" s="132">
        <f t="shared" si="84"/>
        <v>0</v>
      </c>
      <c r="M812" s="132">
        <f t="shared" si="85"/>
        <v>0</v>
      </c>
      <c r="N812" s="133"/>
      <c r="O812" s="133">
        <f t="shared" si="86"/>
        <v>0</v>
      </c>
      <c r="P812" s="134"/>
      <c r="Q812" s="133"/>
      <c r="R812" s="133"/>
      <c r="S812" s="153">
        <v>0</v>
      </c>
      <c r="T812" s="153">
        <v>0</v>
      </c>
      <c r="U812" s="153">
        <v>0</v>
      </c>
      <c r="V812" s="135"/>
      <c r="W812" s="135"/>
      <c r="X812" s="135"/>
      <c r="Y812" s="135"/>
      <c r="Z812" s="135"/>
      <c r="AA812" s="135"/>
      <c r="AB812" s="135"/>
      <c r="AC812" s="135"/>
      <c r="AD812" s="133"/>
      <c r="AE812" s="133"/>
      <c r="AF812" s="132" t="str">
        <f t="shared" si="87"/>
        <v>Нет инфо</v>
      </c>
      <c r="AG812" s="132" t="str">
        <f t="shared" si="88"/>
        <v>Нет инфо</v>
      </c>
      <c r="AH812" s="2"/>
      <c r="AI812" s="136"/>
      <c r="AJ812" s="2"/>
      <c r="AK812" s="136"/>
      <c r="AL812" s="136"/>
      <c r="AM812" s="2"/>
      <c r="AN812" s="2"/>
      <c r="AO812" s="2"/>
      <c r="AP812" s="2"/>
      <c r="AQ812" s="136"/>
    </row>
    <row r="813" spans="1:43" s="115" customFormat="1" ht="12.75" hidden="1" customHeight="1" x14ac:dyDescent="0.2">
      <c r="A813" s="2">
        <v>2842</v>
      </c>
      <c r="B813" s="2"/>
      <c r="C813" s="131"/>
      <c r="D813" s="131"/>
      <c r="E813" s="131"/>
      <c r="F813" s="2"/>
      <c r="G813" s="2"/>
      <c r="H813" s="132">
        <v>0</v>
      </c>
      <c r="I813" s="132"/>
      <c r="J813" s="132"/>
      <c r="K813" s="132"/>
      <c r="L813" s="132">
        <f t="shared" si="84"/>
        <v>0</v>
      </c>
      <c r="M813" s="132">
        <f t="shared" si="85"/>
        <v>0</v>
      </c>
      <c r="N813" s="133"/>
      <c r="O813" s="133">
        <f t="shared" si="86"/>
        <v>0</v>
      </c>
      <c r="P813" s="134"/>
      <c r="Q813" s="133"/>
      <c r="R813" s="133"/>
      <c r="S813" s="153">
        <v>0</v>
      </c>
      <c r="T813" s="153">
        <v>0</v>
      </c>
      <c r="U813" s="153">
        <v>0</v>
      </c>
      <c r="V813" s="135"/>
      <c r="W813" s="135"/>
      <c r="X813" s="135"/>
      <c r="Y813" s="135"/>
      <c r="Z813" s="135"/>
      <c r="AA813" s="135"/>
      <c r="AB813" s="135"/>
      <c r="AC813" s="135"/>
      <c r="AD813" s="133"/>
      <c r="AE813" s="133"/>
      <c r="AF813" s="132" t="str">
        <f t="shared" si="87"/>
        <v>Нет инфо</v>
      </c>
      <c r="AG813" s="132" t="str">
        <f t="shared" si="88"/>
        <v>Нет инфо</v>
      </c>
      <c r="AH813" s="2"/>
      <c r="AI813" s="136"/>
      <c r="AJ813" s="2"/>
      <c r="AK813" s="136"/>
      <c r="AL813" s="136"/>
      <c r="AM813" s="2"/>
      <c r="AN813" s="2"/>
      <c r="AO813" s="2"/>
      <c r="AP813" s="2"/>
      <c r="AQ813" s="136"/>
    </row>
    <row r="814" spans="1:43" s="115" customFormat="1" ht="12.75" hidden="1" customHeight="1" x14ac:dyDescent="0.2">
      <c r="A814" s="2">
        <v>2843</v>
      </c>
      <c r="B814" s="2"/>
      <c r="C814" s="131"/>
      <c r="D814" s="131"/>
      <c r="E814" s="131"/>
      <c r="F814" s="2"/>
      <c r="G814" s="2"/>
      <c r="H814" s="132">
        <v>0</v>
      </c>
      <c r="I814" s="132"/>
      <c r="J814" s="132"/>
      <c r="K814" s="132"/>
      <c r="L814" s="132">
        <f t="shared" si="84"/>
        <v>0</v>
      </c>
      <c r="M814" s="132">
        <f t="shared" si="85"/>
        <v>0</v>
      </c>
      <c r="N814" s="133"/>
      <c r="O814" s="133">
        <f t="shared" si="86"/>
        <v>0</v>
      </c>
      <c r="P814" s="134"/>
      <c r="Q814" s="133"/>
      <c r="R814" s="133"/>
      <c r="S814" s="153">
        <v>0</v>
      </c>
      <c r="T814" s="153">
        <v>0</v>
      </c>
      <c r="U814" s="153">
        <v>0</v>
      </c>
      <c r="V814" s="135"/>
      <c r="W814" s="135"/>
      <c r="X814" s="135"/>
      <c r="Y814" s="135"/>
      <c r="Z814" s="135"/>
      <c r="AA814" s="135"/>
      <c r="AB814" s="135"/>
      <c r="AC814" s="135"/>
      <c r="AD814" s="133"/>
      <c r="AE814" s="133"/>
      <c r="AF814" s="132" t="str">
        <f t="shared" si="87"/>
        <v>Нет инфо</v>
      </c>
      <c r="AG814" s="132" t="str">
        <f t="shared" si="88"/>
        <v>Нет инфо</v>
      </c>
      <c r="AH814" s="2"/>
      <c r="AI814" s="136"/>
      <c r="AJ814" s="2"/>
      <c r="AK814" s="136"/>
      <c r="AL814" s="136"/>
      <c r="AM814" s="2"/>
      <c r="AN814" s="2"/>
      <c r="AO814" s="2"/>
      <c r="AP814" s="2"/>
      <c r="AQ814" s="136"/>
    </row>
    <row r="815" spans="1:43" s="115" customFormat="1" ht="12.75" hidden="1" customHeight="1" x14ac:dyDescent="0.2">
      <c r="A815" s="2">
        <v>2844</v>
      </c>
      <c r="B815" s="2"/>
      <c r="C815" s="131"/>
      <c r="D815" s="131"/>
      <c r="E815" s="131"/>
      <c r="F815" s="2"/>
      <c r="G815" s="2"/>
      <c r="H815" s="132">
        <v>0</v>
      </c>
      <c r="I815" s="132"/>
      <c r="J815" s="132"/>
      <c r="K815" s="132"/>
      <c r="L815" s="132">
        <f t="shared" si="84"/>
        <v>0</v>
      </c>
      <c r="M815" s="132">
        <f t="shared" si="85"/>
        <v>0</v>
      </c>
      <c r="N815" s="133"/>
      <c r="O815" s="133">
        <f t="shared" si="86"/>
        <v>0</v>
      </c>
      <c r="P815" s="134"/>
      <c r="Q815" s="133"/>
      <c r="R815" s="133"/>
      <c r="S815" s="153">
        <v>0</v>
      </c>
      <c r="T815" s="153">
        <v>0</v>
      </c>
      <c r="U815" s="153">
        <v>0</v>
      </c>
      <c r="V815" s="135"/>
      <c r="W815" s="135"/>
      <c r="X815" s="135"/>
      <c r="Y815" s="135"/>
      <c r="Z815" s="135"/>
      <c r="AA815" s="135"/>
      <c r="AB815" s="135"/>
      <c r="AC815" s="135"/>
      <c r="AD815" s="133"/>
      <c r="AE815" s="133"/>
      <c r="AF815" s="132" t="str">
        <f t="shared" si="87"/>
        <v>Нет инфо</v>
      </c>
      <c r="AG815" s="132" t="str">
        <f t="shared" si="88"/>
        <v>Нет инфо</v>
      </c>
      <c r="AH815" s="2"/>
      <c r="AI815" s="136"/>
      <c r="AJ815" s="2"/>
      <c r="AK815" s="136"/>
      <c r="AL815" s="136"/>
      <c r="AM815" s="2"/>
      <c r="AN815" s="2"/>
      <c r="AO815" s="2"/>
      <c r="AP815" s="2"/>
      <c r="AQ815" s="136"/>
    </row>
    <row r="816" spans="1:43" s="115" customFormat="1" ht="12.75" hidden="1" customHeight="1" x14ac:dyDescent="0.2">
      <c r="A816" s="2">
        <v>2845</v>
      </c>
      <c r="B816" s="2"/>
      <c r="C816" s="131"/>
      <c r="D816" s="131"/>
      <c r="E816" s="131"/>
      <c r="F816" s="2"/>
      <c r="G816" s="2"/>
      <c r="H816" s="132">
        <v>0</v>
      </c>
      <c r="I816" s="132"/>
      <c r="J816" s="132"/>
      <c r="K816" s="132"/>
      <c r="L816" s="132">
        <f t="shared" si="84"/>
        <v>0</v>
      </c>
      <c r="M816" s="132">
        <f t="shared" si="85"/>
        <v>0</v>
      </c>
      <c r="N816" s="133"/>
      <c r="O816" s="133">
        <f t="shared" si="86"/>
        <v>0</v>
      </c>
      <c r="P816" s="134"/>
      <c r="Q816" s="133"/>
      <c r="R816" s="133"/>
      <c r="S816" s="153">
        <v>0</v>
      </c>
      <c r="T816" s="153">
        <v>0</v>
      </c>
      <c r="U816" s="153">
        <v>0</v>
      </c>
      <c r="V816" s="135"/>
      <c r="W816" s="135"/>
      <c r="X816" s="135"/>
      <c r="Y816" s="135"/>
      <c r="Z816" s="135"/>
      <c r="AA816" s="135"/>
      <c r="AB816" s="135"/>
      <c r="AC816" s="135"/>
      <c r="AD816" s="133"/>
      <c r="AE816" s="133"/>
      <c r="AF816" s="132" t="str">
        <f t="shared" si="87"/>
        <v>Нет инфо</v>
      </c>
      <c r="AG816" s="132" t="str">
        <f t="shared" si="88"/>
        <v>Нет инфо</v>
      </c>
      <c r="AH816" s="2"/>
      <c r="AI816" s="136"/>
      <c r="AJ816" s="2"/>
      <c r="AK816" s="136"/>
      <c r="AL816" s="136"/>
      <c r="AM816" s="2"/>
      <c r="AN816" s="2"/>
      <c r="AO816" s="2"/>
      <c r="AP816" s="2"/>
      <c r="AQ816" s="136"/>
    </row>
    <row r="817" spans="1:43" s="115" customFormat="1" ht="12.75" hidden="1" customHeight="1" x14ac:dyDescent="0.2">
      <c r="A817" s="2">
        <v>2846</v>
      </c>
      <c r="B817" s="2"/>
      <c r="C817" s="131"/>
      <c r="D817" s="131"/>
      <c r="E817" s="131"/>
      <c r="F817" s="2"/>
      <c r="G817" s="2"/>
      <c r="H817" s="132">
        <v>0</v>
      </c>
      <c r="I817" s="132"/>
      <c r="J817" s="132"/>
      <c r="K817" s="132"/>
      <c r="L817" s="132">
        <f t="shared" si="84"/>
        <v>0</v>
      </c>
      <c r="M817" s="132">
        <f t="shared" si="85"/>
        <v>0</v>
      </c>
      <c r="N817" s="133"/>
      <c r="O817" s="133">
        <f t="shared" si="86"/>
        <v>0</v>
      </c>
      <c r="P817" s="134"/>
      <c r="Q817" s="133"/>
      <c r="R817" s="133"/>
      <c r="S817" s="153">
        <v>0</v>
      </c>
      <c r="T817" s="153">
        <v>0</v>
      </c>
      <c r="U817" s="153">
        <v>0</v>
      </c>
      <c r="V817" s="135"/>
      <c r="W817" s="135"/>
      <c r="X817" s="135"/>
      <c r="Y817" s="135"/>
      <c r="Z817" s="135"/>
      <c r="AA817" s="135"/>
      <c r="AB817" s="135"/>
      <c r="AC817" s="135"/>
      <c r="AD817" s="133"/>
      <c r="AE817" s="133"/>
      <c r="AF817" s="132" t="str">
        <f t="shared" si="87"/>
        <v>Нет инфо</v>
      </c>
      <c r="AG817" s="132" t="str">
        <f t="shared" si="88"/>
        <v>Нет инфо</v>
      </c>
      <c r="AH817" s="2"/>
      <c r="AI817" s="136"/>
      <c r="AJ817" s="2"/>
      <c r="AK817" s="136"/>
      <c r="AL817" s="136"/>
      <c r="AM817" s="2"/>
      <c r="AN817" s="2"/>
      <c r="AO817" s="2"/>
      <c r="AP817" s="2"/>
      <c r="AQ817" s="136"/>
    </row>
    <row r="818" spans="1:43" s="115" customFormat="1" ht="12.75" hidden="1" customHeight="1" x14ac:dyDescent="0.2">
      <c r="A818" s="2">
        <v>2847</v>
      </c>
      <c r="B818" s="2"/>
      <c r="C818" s="131"/>
      <c r="D818" s="131"/>
      <c r="E818" s="131"/>
      <c r="F818" s="2"/>
      <c r="G818" s="2"/>
      <c r="H818" s="132">
        <v>0</v>
      </c>
      <c r="I818" s="132"/>
      <c r="J818" s="132"/>
      <c r="K818" s="132"/>
      <c r="L818" s="132">
        <f t="shared" si="84"/>
        <v>0</v>
      </c>
      <c r="M818" s="132">
        <f t="shared" si="85"/>
        <v>0</v>
      </c>
      <c r="N818" s="133"/>
      <c r="O818" s="133">
        <f t="shared" si="86"/>
        <v>0</v>
      </c>
      <c r="P818" s="134"/>
      <c r="Q818" s="133"/>
      <c r="R818" s="133"/>
      <c r="S818" s="153">
        <v>0</v>
      </c>
      <c r="T818" s="153">
        <v>0</v>
      </c>
      <c r="U818" s="153">
        <v>0</v>
      </c>
      <c r="V818" s="135"/>
      <c r="W818" s="135"/>
      <c r="X818" s="135"/>
      <c r="Y818" s="135"/>
      <c r="Z818" s="135"/>
      <c r="AA818" s="135"/>
      <c r="AB818" s="135"/>
      <c r="AC818" s="135"/>
      <c r="AD818" s="133"/>
      <c r="AE818" s="133"/>
      <c r="AF818" s="132" t="str">
        <f t="shared" si="87"/>
        <v>Нет инфо</v>
      </c>
      <c r="AG818" s="132" t="str">
        <f t="shared" si="88"/>
        <v>Нет инфо</v>
      </c>
      <c r="AH818" s="2"/>
      <c r="AI818" s="136"/>
      <c r="AJ818" s="2"/>
      <c r="AK818" s="136"/>
      <c r="AL818" s="136"/>
      <c r="AM818" s="2"/>
      <c r="AN818" s="2"/>
      <c r="AO818" s="2"/>
      <c r="AP818" s="2"/>
      <c r="AQ818" s="136"/>
    </row>
    <row r="819" spans="1:43" s="115" customFormat="1" ht="12.75" hidden="1" customHeight="1" x14ac:dyDescent="0.2">
      <c r="A819" s="2">
        <v>2848</v>
      </c>
      <c r="B819" s="2"/>
      <c r="C819" s="131"/>
      <c r="D819" s="131"/>
      <c r="E819" s="131"/>
      <c r="F819" s="2"/>
      <c r="G819" s="2"/>
      <c r="H819" s="132">
        <v>0</v>
      </c>
      <c r="I819" s="132"/>
      <c r="J819" s="132"/>
      <c r="K819" s="132"/>
      <c r="L819" s="132">
        <f t="shared" si="84"/>
        <v>0</v>
      </c>
      <c r="M819" s="132">
        <f t="shared" si="85"/>
        <v>0</v>
      </c>
      <c r="N819" s="133"/>
      <c r="O819" s="133">
        <f t="shared" si="86"/>
        <v>0</v>
      </c>
      <c r="P819" s="134"/>
      <c r="Q819" s="133"/>
      <c r="R819" s="133"/>
      <c r="S819" s="153">
        <v>0</v>
      </c>
      <c r="T819" s="153">
        <v>0</v>
      </c>
      <c r="U819" s="153">
        <v>0</v>
      </c>
      <c r="V819" s="135"/>
      <c r="W819" s="135"/>
      <c r="X819" s="135"/>
      <c r="Y819" s="135"/>
      <c r="Z819" s="135"/>
      <c r="AA819" s="135"/>
      <c r="AB819" s="135"/>
      <c r="AC819" s="135"/>
      <c r="AD819" s="133"/>
      <c r="AE819" s="133"/>
      <c r="AF819" s="132" t="str">
        <f t="shared" si="87"/>
        <v>Нет инфо</v>
      </c>
      <c r="AG819" s="132" t="str">
        <f t="shared" si="88"/>
        <v>Нет инфо</v>
      </c>
      <c r="AH819" s="2"/>
      <c r="AI819" s="136"/>
      <c r="AJ819" s="2"/>
      <c r="AK819" s="136"/>
      <c r="AL819" s="136"/>
      <c r="AM819" s="2"/>
      <c r="AN819" s="2"/>
      <c r="AO819" s="2"/>
      <c r="AP819" s="2"/>
      <c r="AQ819" s="136"/>
    </row>
    <row r="820" spans="1:43" s="115" customFormat="1" ht="12.75" hidden="1" customHeight="1" x14ac:dyDescent="0.2">
      <c r="A820" s="2">
        <v>2849</v>
      </c>
      <c r="B820" s="2"/>
      <c r="C820" s="131"/>
      <c r="D820" s="131"/>
      <c r="E820" s="131"/>
      <c r="F820" s="2"/>
      <c r="G820" s="2"/>
      <c r="H820" s="132">
        <v>0</v>
      </c>
      <c r="I820" s="132"/>
      <c r="J820" s="132"/>
      <c r="K820" s="132"/>
      <c r="L820" s="132">
        <f t="shared" si="84"/>
        <v>0</v>
      </c>
      <c r="M820" s="132">
        <f t="shared" si="85"/>
        <v>0</v>
      </c>
      <c r="N820" s="133"/>
      <c r="O820" s="133">
        <f t="shared" si="86"/>
        <v>0</v>
      </c>
      <c r="P820" s="134"/>
      <c r="Q820" s="133"/>
      <c r="R820" s="133"/>
      <c r="S820" s="153">
        <v>0</v>
      </c>
      <c r="T820" s="153">
        <v>0</v>
      </c>
      <c r="U820" s="153">
        <v>0</v>
      </c>
      <c r="V820" s="135"/>
      <c r="W820" s="135"/>
      <c r="X820" s="135"/>
      <c r="Y820" s="135"/>
      <c r="Z820" s="135"/>
      <c r="AA820" s="135"/>
      <c r="AB820" s="135"/>
      <c r="AC820" s="135"/>
      <c r="AD820" s="133"/>
      <c r="AE820" s="133"/>
      <c r="AF820" s="132" t="str">
        <f t="shared" si="87"/>
        <v>Нет инфо</v>
      </c>
      <c r="AG820" s="132" t="str">
        <f t="shared" si="88"/>
        <v>Нет инфо</v>
      </c>
      <c r="AH820" s="2"/>
      <c r="AI820" s="136"/>
      <c r="AJ820" s="2"/>
      <c r="AK820" s="136"/>
      <c r="AL820" s="136"/>
      <c r="AM820" s="2"/>
      <c r="AN820" s="2"/>
      <c r="AO820" s="2"/>
      <c r="AP820" s="2"/>
      <c r="AQ820" s="136"/>
    </row>
    <row r="821" spans="1:43" s="115" customFormat="1" ht="12.75" hidden="1" customHeight="1" x14ac:dyDescent="0.2">
      <c r="A821" s="2">
        <v>2850</v>
      </c>
      <c r="B821" s="2"/>
      <c r="C821" s="131"/>
      <c r="D821" s="131"/>
      <c r="E821" s="131"/>
      <c r="F821" s="2"/>
      <c r="G821" s="2"/>
      <c r="H821" s="132">
        <v>0</v>
      </c>
      <c r="I821" s="132"/>
      <c r="J821" s="132"/>
      <c r="K821" s="132"/>
      <c r="L821" s="132">
        <f t="shared" si="84"/>
        <v>0</v>
      </c>
      <c r="M821" s="132">
        <f t="shared" si="85"/>
        <v>0</v>
      </c>
      <c r="N821" s="133"/>
      <c r="O821" s="133">
        <f t="shared" si="86"/>
        <v>0</v>
      </c>
      <c r="P821" s="134"/>
      <c r="Q821" s="133"/>
      <c r="R821" s="133"/>
      <c r="S821" s="153">
        <v>0</v>
      </c>
      <c r="T821" s="153">
        <v>0</v>
      </c>
      <c r="U821" s="153">
        <v>0</v>
      </c>
      <c r="V821" s="135"/>
      <c r="W821" s="135"/>
      <c r="X821" s="135"/>
      <c r="Y821" s="135"/>
      <c r="Z821" s="135"/>
      <c r="AA821" s="135"/>
      <c r="AB821" s="135"/>
      <c r="AC821" s="135"/>
      <c r="AD821" s="133"/>
      <c r="AE821" s="133"/>
      <c r="AF821" s="132" t="str">
        <f t="shared" si="87"/>
        <v>Нет инфо</v>
      </c>
      <c r="AG821" s="132" t="str">
        <f t="shared" si="88"/>
        <v>Нет инфо</v>
      </c>
      <c r="AH821" s="2"/>
      <c r="AI821" s="136"/>
      <c r="AJ821" s="2"/>
      <c r="AK821" s="136"/>
      <c r="AL821" s="136"/>
      <c r="AM821" s="2"/>
      <c r="AN821" s="2"/>
      <c r="AO821" s="2"/>
      <c r="AP821" s="2"/>
      <c r="AQ821" s="136"/>
    </row>
    <row r="822" spans="1:43" s="115" customFormat="1" ht="12.75" hidden="1" customHeight="1" x14ac:dyDescent="0.2">
      <c r="A822" s="2">
        <v>2851</v>
      </c>
      <c r="B822" s="2"/>
      <c r="C822" s="131"/>
      <c r="D822" s="131"/>
      <c r="E822" s="131"/>
      <c r="F822" s="2"/>
      <c r="G822" s="2"/>
      <c r="H822" s="132">
        <v>0</v>
      </c>
      <c r="I822" s="132"/>
      <c r="J822" s="132"/>
      <c r="K822" s="132"/>
      <c r="L822" s="132">
        <f t="shared" si="84"/>
        <v>0</v>
      </c>
      <c r="M822" s="132">
        <f t="shared" si="85"/>
        <v>0</v>
      </c>
      <c r="N822" s="133"/>
      <c r="O822" s="133">
        <f t="shared" si="86"/>
        <v>0</v>
      </c>
      <c r="P822" s="134"/>
      <c r="Q822" s="133"/>
      <c r="R822" s="133"/>
      <c r="S822" s="153">
        <v>0</v>
      </c>
      <c r="T822" s="153">
        <v>0</v>
      </c>
      <c r="U822" s="153">
        <v>0</v>
      </c>
      <c r="V822" s="135"/>
      <c r="W822" s="135"/>
      <c r="X822" s="135"/>
      <c r="Y822" s="135"/>
      <c r="Z822" s="135"/>
      <c r="AA822" s="135"/>
      <c r="AB822" s="135"/>
      <c r="AC822" s="135"/>
      <c r="AD822" s="133"/>
      <c r="AE822" s="133"/>
      <c r="AF822" s="132" t="str">
        <f t="shared" si="87"/>
        <v>Нет инфо</v>
      </c>
      <c r="AG822" s="132" t="str">
        <f t="shared" si="88"/>
        <v>Нет инфо</v>
      </c>
      <c r="AH822" s="2"/>
      <c r="AI822" s="136"/>
      <c r="AJ822" s="2"/>
      <c r="AK822" s="136"/>
      <c r="AL822" s="136"/>
      <c r="AM822" s="2"/>
      <c r="AN822" s="2"/>
      <c r="AO822" s="2"/>
      <c r="AP822" s="2"/>
      <c r="AQ822" s="136"/>
    </row>
    <row r="823" spans="1:43" s="115" customFormat="1" ht="12.75" hidden="1" customHeight="1" x14ac:dyDescent="0.2">
      <c r="A823" s="2">
        <v>2852</v>
      </c>
      <c r="B823" s="2"/>
      <c r="C823" s="131"/>
      <c r="D823" s="131"/>
      <c r="E823" s="131"/>
      <c r="F823" s="2"/>
      <c r="G823" s="2"/>
      <c r="H823" s="132">
        <v>0</v>
      </c>
      <c r="I823" s="132"/>
      <c r="J823" s="132"/>
      <c r="K823" s="132"/>
      <c r="L823" s="132">
        <f t="shared" si="84"/>
        <v>0</v>
      </c>
      <c r="M823" s="132">
        <f t="shared" si="85"/>
        <v>0</v>
      </c>
      <c r="N823" s="133"/>
      <c r="O823" s="133">
        <f t="shared" si="86"/>
        <v>0</v>
      </c>
      <c r="P823" s="134"/>
      <c r="Q823" s="133"/>
      <c r="R823" s="133"/>
      <c r="S823" s="153">
        <v>0</v>
      </c>
      <c r="T823" s="153">
        <v>0</v>
      </c>
      <c r="U823" s="153">
        <v>0</v>
      </c>
      <c r="V823" s="135"/>
      <c r="W823" s="135"/>
      <c r="X823" s="135"/>
      <c r="Y823" s="135"/>
      <c r="Z823" s="135"/>
      <c r="AA823" s="135"/>
      <c r="AB823" s="135"/>
      <c r="AC823" s="135"/>
      <c r="AD823" s="133"/>
      <c r="AE823" s="133"/>
      <c r="AF823" s="132" t="str">
        <f t="shared" si="87"/>
        <v>Нет инфо</v>
      </c>
      <c r="AG823" s="132" t="str">
        <f t="shared" si="88"/>
        <v>Нет инфо</v>
      </c>
      <c r="AH823" s="2"/>
      <c r="AI823" s="136"/>
      <c r="AJ823" s="2"/>
      <c r="AK823" s="136"/>
      <c r="AL823" s="136"/>
      <c r="AM823" s="2"/>
      <c r="AN823" s="2"/>
      <c r="AO823" s="2"/>
      <c r="AP823" s="2"/>
      <c r="AQ823" s="136"/>
    </row>
    <row r="824" spans="1:43" s="115" customFormat="1" ht="12.75" hidden="1" customHeight="1" x14ac:dyDescent="0.2">
      <c r="A824" s="2">
        <v>2853</v>
      </c>
      <c r="B824" s="2"/>
      <c r="C824" s="131"/>
      <c r="D824" s="131"/>
      <c r="E824" s="131"/>
      <c r="F824" s="2"/>
      <c r="G824" s="2"/>
      <c r="H824" s="132">
        <v>0</v>
      </c>
      <c r="I824" s="132"/>
      <c r="J824" s="132"/>
      <c r="K824" s="132"/>
      <c r="L824" s="132">
        <f t="shared" si="84"/>
        <v>0</v>
      </c>
      <c r="M824" s="132">
        <f t="shared" si="85"/>
        <v>0</v>
      </c>
      <c r="N824" s="133"/>
      <c r="O824" s="133">
        <f t="shared" si="86"/>
        <v>0</v>
      </c>
      <c r="P824" s="134"/>
      <c r="Q824" s="133"/>
      <c r="R824" s="133"/>
      <c r="S824" s="153">
        <v>0</v>
      </c>
      <c r="T824" s="153">
        <v>0</v>
      </c>
      <c r="U824" s="153">
        <v>0</v>
      </c>
      <c r="V824" s="135"/>
      <c r="W824" s="135"/>
      <c r="X824" s="135"/>
      <c r="Y824" s="135"/>
      <c r="Z824" s="135"/>
      <c r="AA824" s="135"/>
      <c r="AB824" s="135"/>
      <c r="AC824" s="135"/>
      <c r="AD824" s="133"/>
      <c r="AE824" s="133"/>
      <c r="AF824" s="132" t="str">
        <f t="shared" si="87"/>
        <v>Нет инфо</v>
      </c>
      <c r="AG824" s="132" t="str">
        <f t="shared" si="88"/>
        <v>Нет инфо</v>
      </c>
      <c r="AH824" s="2"/>
      <c r="AI824" s="136"/>
      <c r="AJ824" s="2"/>
      <c r="AK824" s="136"/>
      <c r="AL824" s="136"/>
      <c r="AM824" s="2"/>
      <c r="AN824" s="2"/>
      <c r="AO824" s="2"/>
      <c r="AP824" s="2"/>
      <c r="AQ824" s="136"/>
    </row>
    <row r="825" spans="1:43" s="115" customFormat="1" ht="12.75" hidden="1" customHeight="1" x14ac:dyDescent="0.2">
      <c r="A825" s="2">
        <v>2854</v>
      </c>
      <c r="B825" s="2"/>
      <c r="C825" s="131"/>
      <c r="D825" s="131"/>
      <c r="E825" s="131"/>
      <c r="F825" s="2"/>
      <c r="G825" s="2"/>
      <c r="H825" s="132">
        <v>0</v>
      </c>
      <c r="I825" s="132"/>
      <c r="J825" s="132"/>
      <c r="K825" s="132"/>
      <c r="L825" s="132">
        <f t="shared" si="84"/>
        <v>0</v>
      </c>
      <c r="M825" s="132">
        <f t="shared" si="85"/>
        <v>0</v>
      </c>
      <c r="N825" s="133"/>
      <c r="O825" s="133">
        <f t="shared" si="86"/>
        <v>0</v>
      </c>
      <c r="P825" s="134"/>
      <c r="Q825" s="133"/>
      <c r="R825" s="133"/>
      <c r="S825" s="153">
        <v>0</v>
      </c>
      <c r="T825" s="153">
        <v>0</v>
      </c>
      <c r="U825" s="153">
        <v>0</v>
      </c>
      <c r="V825" s="135"/>
      <c r="W825" s="135"/>
      <c r="X825" s="135"/>
      <c r="Y825" s="135"/>
      <c r="Z825" s="135"/>
      <c r="AA825" s="135"/>
      <c r="AB825" s="135"/>
      <c r="AC825" s="135"/>
      <c r="AD825" s="133"/>
      <c r="AE825" s="133"/>
      <c r="AF825" s="132" t="str">
        <f t="shared" si="87"/>
        <v>Нет инфо</v>
      </c>
      <c r="AG825" s="132" t="str">
        <f t="shared" si="88"/>
        <v>Нет инфо</v>
      </c>
      <c r="AH825" s="2"/>
      <c r="AI825" s="136"/>
      <c r="AJ825" s="2"/>
      <c r="AK825" s="136"/>
      <c r="AL825" s="136"/>
      <c r="AM825" s="2"/>
      <c r="AN825" s="2"/>
      <c r="AO825" s="2"/>
      <c r="AP825" s="2"/>
      <c r="AQ825" s="136"/>
    </row>
    <row r="826" spans="1:43" s="115" customFormat="1" ht="12.75" hidden="1" customHeight="1" x14ac:dyDescent="0.2">
      <c r="A826" s="2">
        <v>2855</v>
      </c>
      <c r="B826" s="2"/>
      <c r="C826" s="131"/>
      <c r="D826" s="131"/>
      <c r="E826" s="131"/>
      <c r="F826" s="2"/>
      <c r="G826" s="2"/>
      <c r="H826" s="132">
        <v>0</v>
      </c>
      <c r="I826" s="132"/>
      <c r="J826" s="132"/>
      <c r="K826" s="132"/>
      <c r="L826" s="132">
        <f t="shared" si="84"/>
        <v>0</v>
      </c>
      <c r="M826" s="132">
        <f t="shared" si="85"/>
        <v>0</v>
      </c>
      <c r="N826" s="133"/>
      <c r="O826" s="133">
        <f t="shared" si="86"/>
        <v>0</v>
      </c>
      <c r="P826" s="134"/>
      <c r="Q826" s="133"/>
      <c r="R826" s="133"/>
      <c r="S826" s="153">
        <v>0</v>
      </c>
      <c r="T826" s="153">
        <v>0</v>
      </c>
      <c r="U826" s="153">
        <v>0</v>
      </c>
      <c r="V826" s="135"/>
      <c r="W826" s="135"/>
      <c r="X826" s="135"/>
      <c r="Y826" s="135"/>
      <c r="Z826" s="135"/>
      <c r="AA826" s="135"/>
      <c r="AB826" s="135"/>
      <c r="AC826" s="135"/>
      <c r="AD826" s="133"/>
      <c r="AE826" s="133"/>
      <c r="AF826" s="132" t="str">
        <f t="shared" si="87"/>
        <v>Нет инфо</v>
      </c>
      <c r="AG826" s="132" t="str">
        <f t="shared" si="88"/>
        <v>Нет инфо</v>
      </c>
      <c r="AH826" s="2"/>
      <c r="AI826" s="136"/>
      <c r="AJ826" s="2"/>
      <c r="AK826" s="136"/>
      <c r="AL826" s="136"/>
      <c r="AM826" s="2"/>
      <c r="AN826" s="2"/>
      <c r="AO826" s="2"/>
      <c r="AP826" s="2"/>
      <c r="AQ826" s="136"/>
    </row>
    <row r="827" spans="1:43" s="115" customFormat="1" ht="12.75" hidden="1" customHeight="1" x14ac:dyDescent="0.2">
      <c r="A827" s="2">
        <v>2856</v>
      </c>
      <c r="B827" s="2"/>
      <c r="C827" s="131"/>
      <c r="D827" s="131"/>
      <c r="E827" s="131"/>
      <c r="F827" s="2"/>
      <c r="G827" s="2"/>
      <c r="H827" s="132">
        <v>0</v>
      </c>
      <c r="I827" s="132"/>
      <c r="J827" s="132"/>
      <c r="K827" s="132"/>
      <c r="L827" s="132">
        <f t="shared" si="84"/>
        <v>0</v>
      </c>
      <c r="M827" s="132">
        <f t="shared" si="85"/>
        <v>0</v>
      </c>
      <c r="N827" s="133"/>
      <c r="O827" s="133">
        <f t="shared" si="86"/>
        <v>0</v>
      </c>
      <c r="P827" s="134"/>
      <c r="Q827" s="133"/>
      <c r="R827" s="133"/>
      <c r="S827" s="153">
        <v>0</v>
      </c>
      <c r="T827" s="153">
        <v>0</v>
      </c>
      <c r="U827" s="153">
        <v>0</v>
      </c>
      <c r="V827" s="135"/>
      <c r="W827" s="135"/>
      <c r="X827" s="135"/>
      <c r="Y827" s="135"/>
      <c r="Z827" s="135"/>
      <c r="AA827" s="135"/>
      <c r="AB827" s="135"/>
      <c r="AC827" s="135"/>
      <c r="AD827" s="133"/>
      <c r="AE827" s="133"/>
      <c r="AF827" s="132" t="str">
        <f t="shared" si="87"/>
        <v>Нет инфо</v>
      </c>
      <c r="AG827" s="132" t="str">
        <f t="shared" si="88"/>
        <v>Нет инфо</v>
      </c>
      <c r="AH827" s="2"/>
      <c r="AI827" s="136"/>
      <c r="AJ827" s="2"/>
      <c r="AK827" s="136"/>
      <c r="AL827" s="136"/>
      <c r="AM827" s="2"/>
      <c r="AN827" s="2"/>
      <c r="AO827" s="2"/>
      <c r="AP827" s="2"/>
      <c r="AQ827" s="136"/>
    </row>
    <row r="828" spans="1:43" s="115" customFormat="1" ht="12.75" hidden="1" customHeight="1" x14ac:dyDescent="0.2">
      <c r="A828" s="2">
        <v>2857</v>
      </c>
      <c r="B828" s="2"/>
      <c r="C828" s="131"/>
      <c r="D828" s="131"/>
      <c r="E828" s="131"/>
      <c r="F828" s="2"/>
      <c r="G828" s="2"/>
      <c r="H828" s="132">
        <v>0</v>
      </c>
      <c r="I828" s="132"/>
      <c r="J828" s="132"/>
      <c r="K828" s="132"/>
      <c r="L828" s="132">
        <f t="shared" si="84"/>
        <v>0</v>
      </c>
      <c r="M828" s="132">
        <f t="shared" si="85"/>
        <v>0</v>
      </c>
      <c r="N828" s="133"/>
      <c r="O828" s="133">
        <f t="shared" si="86"/>
        <v>0</v>
      </c>
      <c r="P828" s="134"/>
      <c r="Q828" s="133"/>
      <c r="R828" s="133"/>
      <c r="S828" s="153">
        <v>0</v>
      </c>
      <c r="T828" s="153">
        <v>0</v>
      </c>
      <c r="U828" s="153">
        <v>0</v>
      </c>
      <c r="V828" s="135"/>
      <c r="W828" s="135"/>
      <c r="X828" s="135"/>
      <c r="Y828" s="135"/>
      <c r="Z828" s="135"/>
      <c r="AA828" s="135"/>
      <c r="AB828" s="135"/>
      <c r="AC828" s="135"/>
      <c r="AD828" s="133"/>
      <c r="AE828" s="133"/>
      <c r="AF828" s="132" t="str">
        <f t="shared" si="87"/>
        <v>Нет инфо</v>
      </c>
      <c r="AG828" s="132" t="str">
        <f t="shared" si="88"/>
        <v>Нет инфо</v>
      </c>
      <c r="AH828" s="2"/>
      <c r="AI828" s="136"/>
      <c r="AJ828" s="2"/>
      <c r="AK828" s="136"/>
      <c r="AL828" s="136"/>
      <c r="AM828" s="2"/>
      <c r="AN828" s="2"/>
      <c r="AO828" s="2"/>
      <c r="AP828" s="2"/>
      <c r="AQ828" s="136"/>
    </row>
    <row r="829" spans="1:43" s="115" customFormat="1" ht="12.75" hidden="1" customHeight="1" x14ac:dyDescent="0.2">
      <c r="A829" s="2">
        <v>2858</v>
      </c>
      <c r="B829" s="2"/>
      <c r="C829" s="131"/>
      <c r="D829" s="131"/>
      <c r="E829" s="131"/>
      <c r="F829" s="2"/>
      <c r="G829" s="2"/>
      <c r="H829" s="132">
        <v>0</v>
      </c>
      <c r="I829" s="132"/>
      <c r="J829" s="132"/>
      <c r="K829" s="132"/>
      <c r="L829" s="132">
        <f t="shared" si="84"/>
        <v>0</v>
      </c>
      <c r="M829" s="132">
        <f t="shared" si="85"/>
        <v>0</v>
      </c>
      <c r="N829" s="133"/>
      <c r="O829" s="133">
        <f t="shared" si="86"/>
        <v>0</v>
      </c>
      <c r="P829" s="134"/>
      <c r="Q829" s="133"/>
      <c r="R829" s="133"/>
      <c r="S829" s="153">
        <v>0</v>
      </c>
      <c r="T829" s="153">
        <v>0</v>
      </c>
      <c r="U829" s="153">
        <v>0</v>
      </c>
      <c r="V829" s="135"/>
      <c r="W829" s="135"/>
      <c r="X829" s="135"/>
      <c r="Y829" s="135"/>
      <c r="Z829" s="135"/>
      <c r="AA829" s="135"/>
      <c r="AB829" s="135"/>
      <c r="AC829" s="135"/>
      <c r="AD829" s="133"/>
      <c r="AE829" s="133"/>
      <c r="AF829" s="132" t="str">
        <f t="shared" si="87"/>
        <v>Нет инфо</v>
      </c>
      <c r="AG829" s="132" t="str">
        <f t="shared" si="88"/>
        <v>Нет инфо</v>
      </c>
      <c r="AH829" s="2"/>
      <c r="AI829" s="136"/>
      <c r="AJ829" s="2"/>
      <c r="AK829" s="136"/>
      <c r="AL829" s="136"/>
      <c r="AM829" s="2"/>
      <c r="AN829" s="2"/>
      <c r="AO829" s="2"/>
      <c r="AP829" s="2"/>
      <c r="AQ829" s="136"/>
    </row>
    <row r="830" spans="1:43" s="115" customFormat="1" ht="12.75" hidden="1" customHeight="1" x14ac:dyDescent="0.2">
      <c r="A830" s="2">
        <v>2859</v>
      </c>
      <c r="B830" s="2"/>
      <c r="C830" s="131"/>
      <c r="D830" s="131"/>
      <c r="E830" s="131"/>
      <c r="F830" s="2"/>
      <c r="G830" s="2"/>
      <c r="H830" s="132">
        <v>0</v>
      </c>
      <c r="I830" s="132"/>
      <c r="J830" s="132"/>
      <c r="K830" s="132"/>
      <c r="L830" s="132">
        <f t="shared" si="84"/>
        <v>0</v>
      </c>
      <c r="M830" s="132">
        <f t="shared" si="85"/>
        <v>0</v>
      </c>
      <c r="N830" s="133"/>
      <c r="O830" s="133">
        <f t="shared" si="86"/>
        <v>0</v>
      </c>
      <c r="P830" s="134"/>
      <c r="Q830" s="133"/>
      <c r="R830" s="133"/>
      <c r="S830" s="153">
        <v>0</v>
      </c>
      <c r="T830" s="153">
        <v>0</v>
      </c>
      <c r="U830" s="153">
        <v>0</v>
      </c>
      <c r="V830" s="135"/>
      <c r="W830" s="135"/>
      <c r="X830" s="135"/>
      <c r="Y830" s="135"/>
      <c r="Z830" s="135"/>
      <c r="AA830" s="135"/>
      <c r="AB830" s="135"/>
      <c r="AC830" s="135"/>
      <c r="AD830" s="133"/>
      <c r="AE830" s="133"/>
      <c r="AF830" s="132" t="str">
        <f t="shared" si="87"/>
        <v>Нет инфо</v>
      </c>
      <c r="AG830" s="132" t="str">
        <f t="shared" si="88"/>
        <v>Нет инфо</v>
      </c>
      <c r="AH830" s="2"/>
      <c r="AI830" s="136"/>
      <c r="AJ830" s="2"/>
      <c r="AK830" s="136"/>
      <c r="AL830" s="136"/>
      <c r="AM830" s="2"/>
      <c r="AN830" s="2"/>
      <c r="AO830" s="2"/>
      <c r="AP830" s="2"/>
      <c r="AQ830" s="136"/>
    </row>
    <row r="831" spans="1:43" s="115" customFormat="1" ht="12.75" hidden="1" customHeight="1" x14ac:dyDescent="0.2">
      <c r="A831" s="2">
        <v>2860</v>
      </c>
      <c r="B831" s="2"/>
      <c r="C831" s="131"/>
      <c r="D831" s="131"/>
      <c r="E831" s="131"/>
      <c r="F831" s="2"/>
      <c r="G831" s="2"/>
      <c r="H831" s="132">
        <v>0</v>
      </c>
      <c r="I831" s="132"/>
      <c r="J831" s="132"/>
      <c r="K831" s="132"/>
      <c r="L831" s="132">
        <f t="shared" si="84"/>
        <v>0</v>
      </c>
      <c r="M831" s="132">
        <f t="shared" si="85"/>
        <v>0</v>
      </c>
      <c r="N831" s="133"/>
      <c r="O831" s="133">
        <f t="shared" si="86"/>
        <v>0</v>
      </c>
      <c r="P831" s="134"/>
      <c r="Q831" s="133"/>
      <c r="R831" s="133"/>
      <c r="S831" s="153">
        <v>0</v>
      </c>
      <c r="T831" s="153">
        <v>0</v>
      </c>
      <c r="U831" s="153">
        <v>0</v>
      </c>
      <c r="V831" s="135"/>
      <c r="W831" s="135"/>
      <c r="X831" s="135"/>
      <c r="Y831" s="135"/>
      <c r="Z831" s="135"/>
      <c r="AA831" s="135"/>
      <c r="AB831" s="135"/>
      <c r="AC831" s="135"/>
      <c r="AD831" s="133"/>
      <c r="AE831" s="133"/>
      <c r="AF831" s="132" t="str">
        <f t="shared" si="87"/>
        <v>Нет инфо</v>
      </c>
      <c r="AG831" s="132" t="str">
        <f t="shared" si="88"/>
        <v>Нет инфо</v>
      </c>
      <c r="AH831" s="2"/>
      <c r="AI831" s="136"/>
      <c r="AJ831" s="2"/>
      <c r="AK831" s="136"/>
      <c r="AL831" s="136"/>
      <c r="AM831" s="2"/>
      <c r="AN831" s="2"/>
      <c r="AO831" s="2"/>
      <c r="AP831" s="2"/>
      <c r="AQ831" s="136"/>
    </row>
    <row r="832" spans="1:43" s="115" customFormat="1" ht="12.75" hidden="1" customHeight="1" x14ac:dyDescent="0.2">
      <c r="A832" s="2">
        <v>2861</v>
      </c>
      <c r="B832" s="2"/>
      <c r="C832" s="131"/>
      <c r="D832" s="131"/>
      <c r="E832" s="131"/>
      <c r="F832" s="2"/>
      <c r="G832" s="2"/>
      <c r="H832" s="132">
        <v>0</v>
      </c>
      <c r="I832" s="132"/>
      <c r="J832" s="132"/>
      <c r="K832" s="132"/>
      <c r="L832" s="132">
        <f t="shared" si="84"/>
        <v>0</v>
      </c>
      <c r="M832" s="132">
        <f t="shared" si="85"/>
        <v>0</v>
      </c>
      <c r="N832" s="133"/>
      <c r="O832" s="133">
        <f t="shared" si="86"/>
        <v>0</v>
      </c>
      <c r="P832" s="134"/>
      <c r="Q832" s="133"/>
      <c r="R832" s="133"/>
      <c r="S832" s="153">
        <v>0</v>
      </c>
      <c r="T832" s="153">
        <v>0</v>
      </c>
      <c r="U832" s="153">
        <v>0</v>
      </c>
      <c r="V832" s="135"/>
      <c r="W832" s="135"/>
      <c r="X832" s="135"/>
      <c r="Y832" s="135"/>
      <c r="Z832" s="135"/>
      <c r="AA832" s="135"/>
      <c r="AB832" s="135"/>
      <c r="AC832" s="135"/>
      <c r="AD832" s="133"/>
      <c r="AE832" s="133"/>
      <c r="AF832" s="132" t="str">
        <f t="shared" si="87"/>
        <v>Нет инфо</v>
      </c>
      <c r="AG832" s="132" t="str">
        <f t="shared" si="88"/>
        <v>Нет инфо</v>
      </c>
      <c r="AH832" s="2"/>
      <c r="AI832" s="136"/>
      <c r="AJ832" s="2"/>
      <c r="AK832" s="136"/>
      <c r="AL832" s="136"/>
      <c r="AM832" s="2"/>
      <c r="AN832" s="2"/>
      <c r="AO832" s="2"/>
      <c r="AP832" s="2"/>
      <c r="AQ832" s="136"/>
    </row>
    <row r="833" spans="1:43" s="115" customFormat="1" ht="12.75" hidden="1" customHeight="1" x14ac:dyDescent="0.2">
      <c r="A833" s="2">
        <v>2862</v>
      </c>
      <c r="B833" s="2"/>
      <c r="C833" s="131"/>
      <c r="D833" s="131"/>
      <c r="E833" s="131"/>
      <c r="F833" s="2"/>
      <c r="G833" s="2"/>
      <c r="H833" s="132">
        <v>0</v>
      </c>
      <c r="I833" s="132"/>
      <c r="J833" s="132"/>
      <c r="K833" s="132"/>
      <c r="L833" s="132">
        <f t="shared" si="84"/>
        <v>0</v>
      </c>
      <c r="M833" s="132">
        <f t="shared" si="85"/>
        <v>0</v>
      </c>
      <c r="N833" s="133"/>
      <c r="O833" s="133">
        <f t="shared" si="86"/>
        <v>0</v>
      </c>
      <c r="P833" s="134"/>
      <c r="Q833" s="133"/>
      <c r="R833" s="133"/>
      <c r="S833" s="153">
        <v>0</v>
      </c>
      <c r="T833" s="153">
        <v>0</v>
      </c>
      <c r="U833" s="153">
        <v>0</v>
      </c>
      <c r="V833" s="135"/>
      <c r="W833" s="135"/>
      <c r="X833" s="135"/>
      <c r="Y833" s="135"/>
      <c r="Z833" s="135"/>
      <c r="AA833" s="135"/>
      <c r="AB833" s="135"/>
      <c r="AC833" s="135"/>
      <c r="AD833" s="133"/>
      <c r="AE833" s="133"/>
      <c r="AF833" s="132" t="str">
        <f t="shared" si="87"/>
        <v>Нет инфо</v>
      </c>
      <c r="AG833" s="132" t="str">
        <f t="shared" si="88"/>
        <v>Нет инфо</v>
      </c>
      <c r="AH833" s="2"/>
      <c r="AI833" s="136"/>
      <c r="AJ833" s="2"/>
      <c r="AK833" s="136"/>
      <c r="AL833" s="136"/>
      <c r="AM833" s="2"/>
      <c r="AN833" s="2"/>
      <c r="AO833" s="2"/>
      <c r="AP833" s="2"/>
      <c r="AQ833" s="136"/>
    </row>
    <row r="834" spans="1:43" s="115" customFormat="1" ht="12.75" hidden="1" customHeight="1" x14ac:dyDescent="0.2">
      <c r="A834" s="2">
        <v>2863</v>
      </c>
      <c r="B834" s="2"/>
      <c r="C834" s="131"/>
      <c r="D834" s="131"/>
      <c r="E834" s="131"/>
      <c r="F834" s="2"/>
      <c r="G834" s="2"/>
      <c r="H834" s="132">
        <v>0</v>
      </c>
      <c r="I834" s="132"/>
      <c r="J834" s="132"/>
      <c r="K834" s="132"/>
      <c r="L834" s="132">
        <f t="shared" si="84"/>
        <v>0</v>
      </c>
      <c r="M834" s="132">
        <f t="shared" si="85"/>
        <v>0</v>
      </c>
      <c r="N834" s="133"/>
      <c r="O834" s="133">
        <f t="shared" si="86"/>
        <v>0</v>
      </c>
      <c r="P834" s="134"/>
      <c r="Q834" s="133"/>
      <c r="R834" s="133"/>
      <c r="S834" s="153">
        <v>0</v>
      </c>
      <c r="T834" s="153">
        <v>0</v>
      </c>
      <c r="U834" s="153">
        <v>0</v>
      </c>
      <c r="V834" s="135"/>
      <c r="W834" s="135"/>
      <c r="X834" s="135"/>
      <c r="Y834" s="135"/>
      <c r="Z834" s="135"/>
      <c r="AA834" s="135"/>
      <c r="AB834" s="135"/>
      <c r="AC834" s="135"/>
      <c r="AD834" s="133"/>
      <c r="AE834" s="133"/>
      <c r="AF834" s="132" t="str">
        <f t="shared" si="87"/>
        <v>Нет инфо</v>
      </c>
      <c r="AG834" s="132" t="str">
        <f t="shared" si="88"/>
        <v>Нет инфо</v>
      </c>
      <c r="AH834" s="2"/>
      <c r="AI834" s="136"/>
      <c r="AJ834" s="2"/>
      <c r="AK834" s="136"/>
      <c r="AL834" s="136"/>
      <c r="AM834" s="2"/>
      <c r="AN834" s="2"/>
      <c r="AO834" s="2"/>
      <c r="AP834" s="2"/>
      <c r="AQ834" s="136"/>
    </row>
    <row r="835" spans="1:43" s="115" customFormat="1" ht="12.75" hidden="1" customHeight="1" x14ac:dyDescent="0.2">
      <c r="A835" s="2">
        <v>2864</v>
      </c>
      <c r="B835" s="2"/>
      <c r="C835" s="131"/>
      <c r="D835" s="131"/>
      <c r="E835" s="131"/>
      <c r="F835" s="2"/>
      <c r="G835" s="2"/>
      <c r="H835" s="132">
        <v>0</v>
      </c>
      <c r="I835" s="132"/>
      <c r="J835" s="132"/>
      <c r="K835" s="132"/>
      <c r="L835" s="132">
        <f t="shared" si="84"/>
        <v>0</v>
      </c>
      <c r="M835" s="132">
        <f t="shared" si="85"/>
        <v>0</v>
      </c>
      <c r="N835" s="133"/>
      <c r="O835" s="133">
        <f t="shared" si="86"/>
        <v>0</v>
      </c>
      <c r="P835" s="134"/>
      <c r="Q835" s="133"/>
      <c r="R835" s="133"/>
      <c r="S835" s="153">
        <v>0</v>
      </c>
      <c r="T835" s="153">
        <v>0</v>
      </c>
      <c r="U835" s="153">
        <v>0</v>
      </c>
      <c r="V835" s="135"/>
      <c r="W835" s="135"/>
      <c r="X835" s="135"/>
      <c r="Y835" s="135"/>
      <c r="Z835" s="135"/>
      <c r="AA835" s="135"/>
      <c r="AB835" s="135"/>
      <c r="AC835" s="135"/>
      <c r="AD835" s="133"/>
      <c r="AE835" s="133"/>
      <c r="AF835" s="132" t="str">
        <f t="shared" si="87"/>
        <v>Нет инфо</v>
      </c>
      <c r="AG835" s="132" t="str">
        <f t="shared" si="88"/>
        <v>Нет инфо</v>
      </c>
      <c r="AH835" s="2"/>
      <c r="AI835" s="136"/>
      <c r="AJ835" s="2"/>
      <c r="AK835" s="136"/>
      <c r="AL835" s="136"/>
      <c r="AM835" s="2"/>
      <c r="AN835" s="2"/>
      <c r="AO835" s="2"/>
      <c r="AP835" s="2"/>
      <c r="AQ835" s="136"/>
    </row>
    <row r="836" spans="1:43" s="115" customFormat="1" ht="12.75" hidden="1" customHeight="1" x14ac:dyDescent="0.2">
      <c r="A836" s="2">
        <v>2865</v>
      </c>
      <c r="B836" s="2"/>
      <c r="C836" s="131"/>
      <c r="D836" s="131"/>
      <c r="E836" s="131"/>
      <c r="F836" s="2"/>
      <c r="G836" s="2"/>
      <c r="H836" s="132">
        <v>0</v>
      </c>
      <c r="I836" s="132"/>
      <c r="J836" s="132"/>
      <c r="K836" s="132"/>
      <c r="L836" s="132">
        <f t="shared" si="84"/>
        <v>0</v>
      </c>
      <c r="M836" s="132">
        <f t="shared" si="85"/>
        <v>0</v>
      </c>
      <c r="N836" s="133"/>
      <c r="O836" s="133">
        <f t="shared" si="86"/>
        <v>0</v>
      </c>
      <c r="P836" s="134"/>
      <c r="Q836" s="133"/>
      <c r="R836" s="133"/>
      <c r="S836" s="153">
        <v>0</v>
      </c>
      <c r="T836" s="153">
        <v>0</v>
      </c>
      <c r="U836" s="153">
        <v>0</v>
      </c>
      <c r="V836" s="135"/>
      <c r="W836" s="135"/>
      <c r="X836" s="135"/>
      <c r="Y836" s="135"/>
      <c r="Z836" s="135"/>
      <c r="AA836" s="135"/>
      <c r="AB836" s="135"/>
      <c r="AC836" s="135"/>
      <c r="AD836" s="133"/>
      <c r="AE836" s="133"/>
      <c r="AF836" s="132" t="str">
        <f t="shared" si="87"/>
        <v>Нет инфо</v>
      </c>
      <c r="AG836" s="132" t="str">
        <f t="shared" si="88"/>
        <v>Нет инфо</v>
      </c>
      <c r="AH836" s="2"/>
      <c r="AI836" s="136"/>
      <c r="AJ836" s="2"/>
      <c r="AK836" s="136"/>
      <c r="AL836" s="136"/>
      <c r="AM836" s="2"/>
      <c r="AN836" s="2"/>
      <c r="AO836" s="2"/>
      <c r="AP836" s="2"/>
      <c r="AQ836" s="136"/>
    </row>
    <row r="837" spans="1:43" s="115" customFormat="1" ht="12.75" hidden="1" customHeight="1" x14ac:dyDescent="0.2">
      <c r="A837" s="2">
        <v>2866</v>
      </c>
      <c r="B837" s="2"/>
      <c r="C837" s="131"/>
      <c r="D837" s="131"/>
      <c r="E837" s="131"/>
      <c r="F837" s="2"/>
      <c r="G837" s="2"/>
      <c r="H837" s="132">
        <v>0</v>
      </c>
      <c r="I837" s="132"/>
      <c r="J837" s="132"/>
      <c r="K837" s="132"/>
      <c r="L837" s="132">
        <f t="shared" si="84"/>
        <v>0</v>
      </c>
      <c r="M837" s="132">
        <f t="shared" si="85"/>
        <v>0</v>
      </c>
      <c r="N837" s="133"/>
      <c r="O837" s="133">
        <f t="shared" si="86"/>
        <v>0</v>
      </c>
      <c r="P837" s="134"/>
      <c r="Q837" s="133"/>
      <c r="R837" s="133"/>
      <c r="S837" s="153">
        <v>0</v>
      </c>
      <c r="T837" s="153">
        <v>0</v>
      </c>
      <c r="U837" s="153">
        <v>0</v>
      </c>
      <c r="V837" s="135"/>
      <c r="W837" s="135"/>
      <c r="X837" s="135"/>
      <c r="Y837" s="135"/>
      <c r="Z837" s="135"/>
      <c r="AA837" s="135"/>
      <c r="AB837" s="135"/>
      <c r="AC837" s="135"/>
      <c r="AD837" s="133"/>
      <c r="AE837" s="133"/>
      <c r="AF837" s="132" t="str">
        <f t="shared" si="87"/>
        <v>Нет инфо</v>
      </c>
      <c r="AG837" s="132" t="str">
        <f t="shared" si="88"/>
        <v>Нет инфо</v>
      </c>
      <c r="AH837" s="2"/>
      <c r="AI837" s="136"/>
      <c r="AJ837" s="2"/>
      <c r="AK837" s="136"/>
      <c r="AL837" s="136"/>
      <c r="AM837" s="2"/>
      <c r="AN837" s="2"/>
      <c r="AO837" s="2"/>
      <c r="AP837" s="2"/>
      <c r="AQ837" s="136"/>
    </row>
    <row r="838" spans="1:43" s="115" customFormat="1" ht="12.75" hidden="1" customHeight="1" x14ac:dyDescent="0.2">
      <c r="A838" s="2">
        <v>2867</v>
      </c>
      <c r="B838" s="2"/>
      <c r="C838" s="131"/>
      <c r="D838" s="131"/>
      <c r="E838" s="131"/>
      <c r="F838" s="2"/>
      <c r="G838" s="2"/>
      <c r="H838" s="132">
        <v>0</v>
      </c>
      <c r="I838" s="132"/>
      <c r="J838" s="132"/>
      <c r="K838" s="132"/>
      <c r="L838" s="132">
        <f t="shared" si="84"/>
        <v>0</v>
      </c>
      <c r="M838" s="132">
        <f t="shared" si="85"/>
        <v>0</v>
      </c>
      <c r="N838" s="133"/>
      <c r="O838" s="133">
        <f t="shared" si="86"/>
        <v>0</v>
      </c>
      <c r="P838" s="134"/>
      <c r="Q838" s="133"/>
      <c r="R838" s="133"/>
      <c r="S838" s="153">
        <v>0</v>
      </c>
      <c r="T838" s="153">
        <v>0</v>
      </c>
      <c r="U838" s="153">
        <v>0</v>
      </c>
      <c r="V838" s="135"/>
      <c r="W838" s="135"/>
      <c r="X838" s="135"/>
      <c r="Y838" s="135"/>
      <c r="Z838" s="135"/>
      <c r="AA838" s="135"/>
      <c r="AB838" s="135"/>
      <c r="AC838" s="135"/>
      <c r="AD838" s="133"/>
      <c r="AE838" s="133"/>
      <c r="AF838" s="132" t="str">
        <f t="shared" si="87"/>
        <v>Нет инфо</v>
      </c>
      <c r="AG838" s="132" t="str">
        <f t="shared" si="88"/>
        <v>Нет инфо</v>
      </c>
      <c r="AH838" s="2"/>
      <c r="AI838" s="136"/>
      <c r="AJ838" s="2"/>
      <c r="AK838" s="136"/>
      <c r="AL838" s="136"/>
      <c r="AM838" s="2"/>
      <c r="AN838" s="2"/>
      <c r="AO838" s="2"/>
      <c r="AP838" s="2"/>
      <c r="AQ838" s="136"/>
    </row>
    <row r="839" spans="1:43" s="115" customFormat="1" ht="12.75" hidden="1" customHeight="1" x14ac:dyDescent="0.2">
      <c r="A839" s="2">
        <v>2868</v>
      </c>
      <c r="B839" s="2"/>
      <c r="C839" s="131"/>
      <c r="D839" s="131"/>
      <c r="E839" s="131"/>
      <c r="F839" s="2"/>
      <c r="G839" s="2"/>
      <c r="H839" s="132">
        <v>0</v>
      </c>
      <c r="I839" s="132"/>
      <c r="J839" s="132"/>
      <c r="K839" s="132"/>
      <c r="L839" s="132">
        <f t="shared" si="84"/>
        <v>0</v>
      </c>
      <c r="M839" s="132">
        <f t="shared" si="85"/>
        <v>0</v>
      </c>
      <c r="N839" s="133"/>
      <c r="O839" s="133">
        <f t="shared" si="86"/>
        <v>0</v>
      </c>
      <c r="P839" s="134"/>
      <c r="Q839" s="133"/>
      <c r="R839" s="133"/>
      <c r="S839" s="153">
        <v>0</v>
      </c>
      <c r="T839" s="153">
        <v>0</v>
      </c>
      <c r="U839" s="153">
        <v>0</v>
      </c>
      <c r="V839" s="135"/>
      <c r="W839" s="135"/>
      <c r="X839" s="135"/>
      <c r="Y839" s="135"/>
      <c r="Z839" s="135"/>
      <c r="AA839" s="135"/>
      <c r="AB839" s="135"/>
      <c r="AC839" s="135"/>
      <c r="AD839" s="133"/>
      <c r="AE839" s="133"/>
      <c r="AF839" s="132" t="str">
        <f t="shared" si="87"/>
        <v>Нет инфо</v>
      </c>
      <c r="AG839" s="132" t="str">
        <f t="shared" si="88"/>
        <v>Нет инфо</v>
      </c>
      <c r="AH839" s="2"/>
      <c r="AI839" s="136"/>
      <c r="AJ839" s="2"/>
      <c r="AK839" s="136"/>
      <c r="AL839" s="136"/>
      <c r="AM839" s="2"/>
      <c r="AN839" s="2"/>
      <c r="AO839" s="2"/>
      <c r="AP839" s="2"/>
      <c r="AQ839" s="136"/>
    </row>
    <row r="840" spans="1:43" s="115" customFormat="1" ht="12.75" hidden="1" customHeight="1" x14ac:dyDescent="0.2">
      <c r="A840" s="2">
        <v>2869</v>
      </c>
      <c r="B840" s="2"/>
      <c r="C840" s="131"/>
      <c r="D840" s="131"/>
      <c r="E840" s="131"/>
      <c r="F840" s="2"/>
      <c r="G840" s="2"/>
      <c r="H840" s="132">
        <v>0</v>
      </c>
      <c r="I840" s="132"/>
      <c r="J840" s="132"/>
      <c r="K840" s="132"/>
      <c r="L840" s="132">
        <f t="shared" si="84"/>
        <v>0</v>
      </c>
      <c r="M840" s="132">
        <f t="shared" si="85"/>
        <v>0</v>
      </c>
      <c r="N840" s="133"/>
      <c r="O840" s="133">
        <f t="shared" si="86"/>
        <v>0</v>
      </c>
      <c r="P840" s="134"/>
      <c r="Q840" s="133"/>
      <c r="R840" s="133"/>
      <c r="S840" s="153">
        <v>0</v>
      </c>
      <c r="T840" s="153">
        <v>0</v>
      </c>
      <c r="U840" s="153">
        <v>0</v>
      </c>
      <c r="V840" s="135"/>
      <c r="W840" s="135"/>
      <c r="X840" s="135"/>
      <c r="Y840" s="135"/>
      <c r="Z840" s="135"/>
      <c r="AA840" s="135"/>
      <c r="AB840" s="135"/>
      <c r="AC840" s="135"/>
      <c r="AD840" s="133"/>
      <c r="AE840" s="133"/>
      <c r="AF840" s="132" t="str">
        <f t="shared" si="87"/>
        <v>Нет инфо</v>
      </c>
      <c r="AG840" s="132" t="str">
        <f t="shared" si="88"/>
        <v>Нет инфо</v>
      </c>
      <c r="AH840" s="2"/>
      <c r="AI840" s="136"/>
      <c r="AJ840" s="2"/>
      <c r="AK840" s="136"/>
      <c r="AL840" s="136"/>
      <c r="AM840" s="2"/>
      <c r="AN840" s="2"/>
      <c r="AO840" s="2"/>
      <c r="AP840" s="2"/>
      <c r="AQ840" s="136"/>
    </row>
    <row r="841" spans="1:43" s="115" customFormat="1" ht="12.75" hidden="1" customHeight="1" x14ac:dyDescent="0.2">
      <c r="A841" s="2">
        <v>2870</v>
      </c>
      <c r="B841" s="2"/>
      <c r="C841" s="131"/>
      <c r="D841" s="131"/>
      <c r="E841" s="131"/>
      <c r="F841" s="2"/>
      <c r="G841" s="2"/>
      <c r="H841" s="132">
        <v>0</v>
      </c>
      <c r="I841" s="132"/>
      <c r="J841" s="132"/>
      <c r="K841" s="132"/>
      <c r="L841" s="132">
        <f t="shared" si="84"/>
        <v>0</v>
      </c>
      <c r="M841" s="132">
        <f t="shared" si="85"/>
        <v>0</v>
      </c>
      <c r="N841" s="133"/>
      <c r="O841" s="133">
        <f t="shared" si="86"/>
        <v>0</v>
      </c>
      <c r="P841" s="134"/>
      <c r="Q841" s="133"/>
      <c r="R841" s="133"/>
      <c r="S841" s="153">
        <v>0</v>
      </c>
      <c r="T841" s="153">
        <v>0</v>
      </c>
      <c r="U841" s="153">
        <v>0</v>
      </c>
      <c r="V841" s="135"/>
      <c r="W841" s="135"/>
      <c r="X841" s="135"/>
      <c r="Y841" s="135"/>
      <c r="Z841" s="135"/>
      <c r="AA841" s="135"/>
      <c r="AB841" s="135"/>
      <c r="AC841" s="135"/>
      <c r="AD841" s="133"/>
      <c r="AE841" s="133"/>
      <c r="AF841" s="132" t="str">
        <f t="shared" si="87"/>
        <v>Нет инфо</v>
      </c>
      <c r="AG841" s="132" t="str">
        <f t="shared" si="88"/>
        <v>Нет инфо</v>
      </c>
      <c r="AH841" s="2"/>
      <c r="AI841" s="136"/>
      <c r="AJ841" s="2"/>
      <c r="AK841" s="136"/>
      <c r="AL841" s="136"/>
      <c r="AM841" s="2"/>
      <c r="AN841" s="2"/>
      <c r="AO841" s="2"/>
      <c r="AP841" s="2"/>
      <c r="AQ841" s="136"/>
    </row>
    <row r="842" spans="1:43" s="115" customFormat="1" ht="12.75" hidden="1" customHeight="1" x14ac:dyDescent="0.2">
      <c r="A842" s="2">
        <v>2871</v>
      </c>
      <c r="B842" s="2"/>
      <c r="C842" s="131"/>
      <c r="D842" s="131"/>
      <c r="E842" s="131"/>
      <c r="F842" s="2"/>
      <c r="G842" s="2"/>
      <c r="H842" s="132">
        <v>0</v>
      </c>
      <c r="I842" s="132"/>
      <c r="J842" s="132"/>
      <c r="K842" s="132"/>
      <c r="L842" s="132">
        <f t="shared" si="84"/>
        <v>0</v>
      </c>
      <c r="M842" s="132">
        <f t="shared" si="85"/>
        <v>0</v>
      </c>
      <c r="N842" s="133"/>
      <c r="O842" s="133">
        <f t="shared" si="86"/>
        <v>0</v>
      </c>
      <c r="P842" s="134"/>
      <c r="Q842" s="133"/>
      <c r="R842" s="133"/>
      <c r="S842" s="153">
        <v>0</v>
      </c>
      <c r="T842" s="153">
        <v>0</v>
      </c>
      <c r="U842" s="153">
        <v>0</v>
      </c>
      <c r="V842" s="135"/>
      <c r="W842" s="135"/>
      <c r="X842" s="135"/>
      <c r="Y842" s="135"/>
      <c r="Z842" s="135"/>
      <c r="AA842" s="135"/>
      <c r="AB842" s="135"/>
      <c r="AC842" s="135"/>
      <c r="AD842" s="133"/>
      <c r="AE842" s="133"/>
      <c r="AF842" s="132" t="str">
        <f t="shared" si="87"/>
        <v>Нет инфо</v>
      </c>
      <c r="AG842" s="132" t="str">
        <f t="shared" si="88"/>
        <v>Нет инфо</v>
      </c>
      <c r="AH842" s="2"/>
      <c r="AI842" s="136"/>
      <c r="AJ842" s="2"/>
      <c r="AK842" s="136"/>
      <c r="AL842" s="136"/>
      <c r="AM842" s="2"/>
      <c r="AN842" s="2"/>
      <c r="AO842" s="2"/>
      <c r="AP842" s="2"/>
      <c r="AQ842" s="136"/>
    </row>
    <row r="843" spans="1:43" s="115" customFormat="1" ht="12.75" hidden="1" customHeight="1" x14ac:dyDescent="0.2">
      <c r="A843" s="2">
        <v>2872</v>
      </c>
      <c r="B843" s="2"/>
      <c r="C843" s="131"/>
      <c r="D843" s="131"/>
      <c r="E843" s="131"/>
      <c r="F843" s="2"/>
      <c r="G843" s="2"/>
      <c r="H843" s="132">
        <v>0</v>
      </c>
      <c r="I843" s="132"/>
      <c r="J843" s="132"/>
      <c r="K843" s="132"/>
      <c r="L843" s="132">
        <f t="shared" ref="L843:L906" si="89">H843-K843</f>
        <v>0</v>
      </c>
      <c r="M843" s="132">
        <f t="shared" ref="M843:M906" si="90">I843-K843</f>
        <v>0</v>
      </c>
      <c r="N843" s="133"/>
      <c r="O843" s="133">
        <f t="shared" ref="O843:O906" si="91">IF(OR(AJ843="принят",AJ843="Завершено",AJ843="ПриПро"),I843-K843,H843-K843)</f>
        <v>0</v>
      </c>
      <c r="P843" s="134"/>
      <c r="Q843" s="133"/>
      <c r="R843" s="133"/>
      <c r="S843" s="153">
        <v>0</v>
      </c>
      <c r="T843" s="153">
        <v>0</v>
      </c>
      <c r="U843" s="153">
        <v>0</v>
      </c>
      <c r="V843" s="135"/>
      <c r="W843" s="135"/>
      <c r="X843" s="135"/>
      <c r="Y843" s="135"/>
      <c r="Z843" s="135"/>
      <c r="AA843" s="135"/>
      <c r="AB843" s="135"/>
      <c r="AC843" s="135"/>
      <c r="AD843" s="133"/>
      <c r="AE843" s="133"/>
      <c r="AF843" s="132" t="str">
        <f t="shared" si="87"/>
        <v>Нет инфо</v>
      </c>
      <c r="AG843" s="132" t="str">
        <f t="shared" si="88"/>
        <v>Нет инфо</v>
      </c>
      <c r="AH843" s="2"/>
      <c r="AI843" s="136"/>
      <c r="AJ843" s="2"/>
      <c r="AK843" s="136"/>
      <c r="AL843" s="136"/>
      <c r="AM843" s="2"/>
      <c r="AN843" s="2"/>
      <c r="AO843" s="2"/>
      <c r="AP843" s="2"/>
      <c r="AQ843" s="136"/>
    </row>
    <row r="844" spans="1:43" s="115" customFormat="1" ht="12.75" hidden="1" customHeight="1" x14ac:dyDescent="0.2">
      <c r="A844" s="2">
        <v>2873</v>
      </c>
      <c r="B844" s="2"/>
      <c r="C844" s="131"/>
      <c r="D844" s="131"/>
      <c r="E844" s="131"/>
      <c r="F844" s="2"/>
      <c r="G844" s="2"/>
      <c r="H844" s="132">
        <v>0</v>
      </c>
      <c r="I844" s="132"/>
      <c r="J844" s="132"/>
      <c r="K844" s="132"/>
      <c r="L844" s="132">
        <f t="shared" si="89"/>
        <v>0</v>
      </c>
      <c r="M844" s="132">
        <f t="shared" si="90"/>
        <v>0</v>
      </c>
      <c r="N844" s="133"/>
      <c r="O844" s="133">
        <f t="shared" si="91"/>
        <v>0</v>
      </c>
      <c r="P844" s="134"/>
      <c r="Q844" s="133"/>
      <c r="R844" s="133"/>
      <c r="S844" s="153">
        <v>0</v>
      </c>
      <c r="T844" s="153">
        <v>0</v>
      </c>
      <c r="U844" s="153">
        <v>0</v>
      </c>
      <c r="V844" s="135"/>
      <c r="W844" s="135"/>
      <c r="X844" s="135"/>
      <c r="Y844" s="135"/>
      <c r="Z844" s="135"/>
      <c r="AA844" s="135"/>
      <c r="AB844" s="135"/>
      <c r="AC844" s="135"/>
      <c r="AD844" s="133"/>
      <c r="AE844" s="133"/>
      <c r="AF844" s="132" t="str">
        <f t="shared" si="87"/>
        <v>Нет инфо</v>
      </c>
      <c r="AG844" s="132" t="str">
        <f t="shared" si="88"/>
        <v>Нет инфо</v>
      </c>
      <c r="AH844" s="2"/>
      <c r="AI844" s="136"/>
      <c r="AJ844" s="2"/>
      <c r="AK844" s="136"/>
      <c r="AL844" s="136"/>
      <c r="AM844" s="2"/>
      <c r="AN844" s="2"/>
      <c r="AO844" s="2"/>
      <c r="AP844" s="2"/>
      <c r="AQ844" s="136"/>
    </row>
    <row r="845" spans="1:43" s="115" customFormat="1" ht="12.75" hidden="1" customHeight="1" x14ac:dyDescent="0.2">
      <c r="A845" s="2">
        <v>2874</v>
      </c>
      <c r="B845" s="2"/>
      <c r="C845" s="131"/>
      <c r="D845" s="131"/>
      <c r="E845" s="131"/>
      <c r="F845" s="2"/>
      <c r="G845" s="2"/>
      <c r="H845" s="132">
        <v>0</v>
      </c>
      <c r="I845" s="132"/>
      <c r="J845" s="132"/>
      <c r="K845" s="132"/>
      <c r="L845" s="132">
        <f t="shared" si="89"/>
        <v>0</v>
      </c>
      <c r="M845" s="132">
        <f t="shared" si="90"/>
        <v>0</v>
      </c>
      <c r="N845" s="133"/>
      <c r="O845" s="133">
        <f t="shared" si="91"/>
        <v>0</v>
      </c>
      <c r="P845" s="134"/>
      <c r="Q845" s="133"/>
      <c r="R845" s="133"/>
      <c r="S845" s="153">
        <v>0</v>
      </c>
      <c r="T845" s="153">
        <v>0</v>
      </c>
      <c r="U845" s="153">
        <v>0</v>
      </c>
      <c r="V845" s="135"/>
      <c r="W845" s="135"/>
      <c r="X845" s="135"/>
      <c r="Y845" s="135"/>
      <c r="Z845" s="135"/>
      <c r="AA845" s="135"/>
      <c r="AB845" s="135"/>
      <c r="AC845" s="135"/>
      <c r="AD845" s="133"/>
      <c r="AE845" s="133"/>
      <c r="AF845" s="132" t="str">
        <f t="shared" si="87"/>
        <v>Нет инфо</v>
      </c>
      <c r="AG845" s="132" t="str">
        <f t="shared" si="88"/>
        <v>Нет инфо</v>
      </c>
      <c r="AH845" s="2"/>
      <c r="AI845" s="136"/>
      <c r="AJ845" s="2"/>
      <c r="AK845" s="136"/>
      <c r="AL845" s="136"/>
      <c r="AM845" s="2"/>
      <c r="AN845" s="2"/>
      <c r="AO845" s="2"/>
      <c r="AP845" s="2"/>
      <c r="AQ845" s="136"/>
    </row>
    <row r="846" spans="1:43" s="115" customFormat="1" ht="12.75" hidden="1" customHeight="1" x14ac:dyDescent="0.2">
      <c r="A846" s="2">
        <v>2875</v>
      </c>
      <c r="B846" s="2"/>
      <c r="C846" s="131"/>
      <c r="D846" s="131"/>
      <c r="E846" s="131"/>
      <c r="F846" s="2"/>
      <c r="G846" s="2"/>
      <c r="H846" s="132">
        <v>0</v>
      </c>
      <c r="I846" s="132"/>
      <c r="J846" s="132"/>
      <c r="K846" s="132"/>
      <c r="L846" s="132">
        <f t="shared" si="89"/>
        <v>0</v>
      </c>
      <c r="M846" s="132">
        <f t="shared" si="90"/>
        <v>0</v>
      </c>
      <c r="N846" s="133"/>
      <c r="O846" s="133">
        <f t="shared" si="91"/>
        <v>0</v>
      </c>
      <c r="P846" s="134"/>
      <c r="Q846" s="133"/>
      <c r="R846" s="133"/>
      <c r="S846" s="153">
        <v>0</v>
      </c>
      <c r="T846" s="153">
        <v>0</v>
      </c>
      <c r="U846" s="153">
        <v>0</v>
      </c>
      <c r="V846" s="135"/>
      <c r="W846" s="135"/>
      <c r="X846" s="135"/>
      <c r="Y846" s="135"/>
      <c r="Z846" s="135"/>
      <c r="AA846" s="135"/>
      <c r="AB846" s="135"/>
      <c r="AC846" s="135"/>
      <c r="AD846" s="133"/>
      <c r="AE846" s="133"/>
      <c r="AF846" s="132" t="str">
        <f t="shared" si="87"/>
        <v>Нет инфо</v>
      </c>
      <c r="AG846" s="132" t="str">
        <f t="shared" si="88"/>
        <v>Нет инфо</v>
      </c>
      <c r="AH846" s="2"/>
      <c r="AI846" s="136"/>
      <c r="AJ846" s="2"/>
      <c r="AK846" s="136"/>
      <c r="AL846" s="136"/>
      <c r="AM846" s="2"/>
      <c r="AN846" s="2"/>
      <c r="AO846" s="2"/>
      <c r="AP846" s="2"/>
      <c r="AQ846" s="136"/>
    </row>
    <row r="847" spans="1:43" s="115" customFormat="1" ht="12.75" hidden="1" customHeight="1" x14ac:dyDescent="0.2">
      <c r="A847" s="2">
        <v>2876</v>
      </c>
      <c r="B847" s="2"/>
      <c r="C847" s="131"/>
      <c r="D847" s="131"/>
      <c r="E847" s="131"/>
      <c r="F847" s="2"/>
      <c r="G847" s="2"/>
      <c r="H847" s="132">
        <v>0</v>
      </c>
      <c r="I847" s="132"/>
      <c r="J847" s="132"/>
      <c r="K847" s="132"/>
      <c r="L847" s="132">
        <f t="shared" si="89"/>
        <v>0</v>
      </c>
      <c r="M847" s="132">
        <f t="shared" si="90"/>
        <v>0</v>
      </c>
      <c r="N847" s="133"/>
      <c r="O847" s="133">
        <f t="shared" si="91"/>
        <v>0</v>
      </c>
      <c r="P847" s="134"/>
      <c r="Q847" s="133"/>
      <c r="R847" s="133"/>
      <c r="S847" s="153">
        <v>0</v>
      </c>
      <c r="T847" s="153">
        <v>0</v>
      </c>
      <c r="U847" s="153">
        <v>0</v>
      </c>
      <c r="V847" s="135"/>
      <c r="W847" s="135"/>
      <c r="X847" s="135"/>
      <c r="Y847" s="135"/>
      <c r="Z847" s="135"/>
      <c r="AA847" s="135"/>
      <c r="AB847" s="135"/>
      <c r="AC847" s="135"/>
      <c r="AD847" s="133"/>
      <c r="AE847" s="133"/>
      <c r="AF847" s="132" t="str">
        <f t="shared" si="87"/>
        <v>Нет инфо</v>
      </c>
      <c r="AG847" s="132" t="str">
        <f t="shared" si="88"/>
        <v>Нет инфо</v>
      </c>
      <c r="AH847" s="2"/>
      <c r="AI847" s="136"/>
      <c r="AJ847" s="2"/>
      <c r="AK847" s="136"/>
      <c r="AL847" s="136"/>
      <c r="AM847" s="2"/>
      <c r="AN847" s="2"/>
      <c r="AO847" s="2"/>
      <c r="AP847" s="2"/>
      <c r="AQ847" s="136"/>
    </row>
    <row r="848" spans="1:43" s="115" customFormat="1" ht="12.75" hidden="1" customHeight="1" x14ac:dyDescent="0.2">
      <c r="A848" s="2">
        <v>2877</v>
      </c>
      <c r="B848" s="2"/>
      <c r="C848" s="131"/>
      <c r="D848" s="131"/>
      <c r="E848" s="131"/>
      <c r="F848" s="2"/>
      <c r="G848" s="2"/>
      <c r="H848" s="132">
        <v>0</v>
      </c>
      <c r="I848" s="132"/>
      <c r="J848" s="132"/>
      <c r="K848" s="132"/>
      <c r="L848" s="132">
        <f t="shared" si="89"/>
        <v>0</v>
      </c>
      <c r="M848" s="132">
        <f t="shared" si="90"/>
        <v>0</v>
      </c>
      <c r="N848" s="133"/>
      <c r="O848" s="133">
        <f t="shared" si="91"/>
        <v>0</v>
      </c>
      <c r="P848" s="134"/>
      <c r="Q848" s="133"/>
      <c r="R848" s="133"/>
      <c r="S848" s="153">
        <v>0</v>
      </c>
      <c r="T848" s="153">
        <v>0</v>
      </c>
      <c r="U848" s="153">
        <v>0</v>
      </c>
      <c r="V848" s="135"/>
      <c r="W848" s="135"/>
      <c r="X848" s="135"/>
      <c r="Y848" s="135"/>
      <c r="Z848" s="135"/>
      <c r="AA848" s="135"/>
      <c r="AB848" s="135"/>
      <c r="AC848" s="135"/>
      <c r="AD848" s="133"/>
      <c r="AE848" s="133"/>
      <c r="AF848" s="132" t="str">
        <f t="shared" si="87"/>
        <v>Нет инфо</v>
      </c>
      <c r="AG848" s="132" t="str">
        <f t="shared" si="88"/>
        <v>Нет инфо</v>
      </c>
      <c r="AH848" s="2"/>
      <c r="AI848" s="136"/>
      <c r="AJ848" s="2"/>
      <c r="AK848" s="136"/>
      <c r="AL848" s="136"/>
      <c r="AM848" s="2"/>
      <c r="AN848" s="2"/>
      <c r="AO848" s="2"/>
      <c r="AP848" s="2"/>
      <c r="AQ848" s="136"/>
    </row>
    <row r="849" spans="1:43" s="115" customFormat="1" ht="12.75" hidden="1" customHeight="1" x14ac:dyDescent="0.2">
      <c r="A849" s="2">
        <v>2878</v>
      </c>
      <c r="B849" s="2"/>
      <c r="C849" s="131"/>
      <c r="D849" s="131"/>
      <c r="E849" s="131"/>
      <c r="F849" s="2"/>
      <c r="G849" s="2"/>
      <c r="H849" s="132">
        <v>0</v>
      </c>
      <c r="I849" s="132"/>
      <c r="J849" s="132"/>
      <c r="K849" s="132"/>
      <c r="L849" s="132">
        <f t="shared" si="89"/>
        <v>0</v>
      </c>
      <c r="M849" s="132">
        <f t="shared" si="90"/>
        <v>0</v>
      </c>
      <c r="N849" s="133"/>
      <c r="O849" s="133">
        <f t="shared" si="91"/>
        <v>0</v>
      </c>
      <c r="P849" s="134"/>
      <c r="Q849" s="133"/>
      <c r="R849" s="133"/>
      <c r="S849" s="153">
        <v>0</v>
      </c>
      <c r="T849" s="153">
        <v>0</v>
      </c>
      <c r="U849" s="153">
        <v>0</v>
      </c>
      <c r="V849" s="135"/>
      <c r="W849" s="135"/>
      <c r="X849" s="135"/>
      <c r="Y849" s="135"/>
      <c r="Z849" s="135"/>
      <c r="AA849" s="135"/>
      <c r="AB849" s="135"/>
      <c r="AC849" s="135"/>
      <c r="AD849" s="133"/>
      <c r="AE849" s="133"/>
      <c r="AF849" s="132" t="str">
        <f t="shared" si="87"/>
        <v>Нет инфо</v>
      </c>
      <c r="AG849" s="132" t="str">
        <f t="shared" si="88"/>
        <v>Нет инфо</v>
      </c>
      <c r="AH849" s="2"/>
      <c r="AI849" s="136"/>
      <c r="AJ849" s="2"/>
      <c r="AK849" s="136"/>
      <c r="AL849" s="136"/>
      <c r="AM849" s="2"/>
      <c r="AN849" s="2"/>
      <c r="AO849" s="2"/>
      <c r="AP849" s="2"/>
      <c r="AQ849" s="136"/>
    </row>
    <row r="850" spans="1:43" s="115" customFormat="1" ht="12.75" hidden="1" customHeight="1" x14ac:dyDescent="0.2">
      <c r="A850" s="2">
        <v>2879</v>
      </c>
      <c r="B850" s="2"/>
      <c r="C850" s="131"/>
      <c r="D850" s="131"/>
      <c r="E850" s="131"/>
      <c r="F850" s="2"/>
      <c r="G850" s="2"/>
      <c r="H850" s="132">
        <v>0</v>
      </c>
      <c r="I850" s="132"/>
      <c r="J850" s="132"/>
      <c r="K850" s="132"/>
      <c r="L850" s="132">
        <f t="shared" si="89"/>
        <v>0</v>
      </c>
      <c r="M850" s="132">
        <f t="shared" si="90"/>
        <v>0</v>
      </c>
      <c r="N850" s="133"/>
      <c r="O850" s="133">
        <f t="shared" si="91"/>
        <v>0</v>
      </c>
      <c r="P850" s="134"/>
      <c r="Q850" s="133"/>
      <c r="R850" s="133"/>
      <c r="S850" s="153">
        <v>0</v>
      </c>
      <c r="T850" s="153">
        <v>0</v>
      </c>
      <c r="U850" s="153">
        <v>0</v>
      </c>
      <c r="V850" s="135"/>
      <c r="W850" s="135"/>
      <c r="X850" s="135"/>
      <c r="Y850" s="135"/>
      <c r="Z850" s="135"/>
      <c r="AA850" s="135"/>
      <c r="AB850" s="135"/>
      <c r="AC850" s="135"/>
      <c r="AD850" s="133"/>
      <c r="AE850" s="133"/>
      <c r="AF850" s="132" t="str">
        <f t="shared" si="87"/>
        <v>Нет инфо</v>
      </c>
      <c r="AG850" s="132" t="str">
        <f t="shared" si="88"/>
        <v>Нет инфо</v>
      </c>
      <c r="AH850" s="2"/>
      <c r="AI850" s="136"/>
      <c r="AJ850" s="2"/>
      <c r="AK850" s="136"/>
      <c r="AL850" s="136"/>
      <c r="AM850" s="2"/>
      <c r="AN850" s="2"/>
      <c r="AO850" s="2"/>
      <c r="AP850" s="2"/>
      <c r="AQ850" s="136"/>
    </row>
    <row r="851" spans="1:43" s="115" customFormat="1" ht="12.75" hidden="1" customHeight="1" x14ac:dyDescent="0.2">
      <c r="A851" s="2">
        <v>2880</v>
      </c>
      <c r="B851" s="2"/>
      <c r="C851" s="131"/>
      <c r="D851" s="131"/>
      <c r="E851" s="131"/>
      <c r="F851" s="2"/>
      <c r="G851" s="2"/>
      <c r="H851" s="132">
        <v>0</v>
      </c>
      <c r="I851" s="132"/>
      <c r="J851" s="132"/>
      <c r="K851" s="132"/>
      <c r="L851" s="132">
        <f t="shared" si="89"/>
        <v>0</v>
      </c>
      <c r="M851" s="132">
        <f t="shared" si="90"/>
        <v>0</v>
      </c>
      <c r="N851" s="133"/>
      <c r="O851" s="133">
        <f t="shared" si="91"/>
        <v>0</v>
      </c>
      <c r="P851" s="134"/>
      <c r="Q851" s="133"/>
      <c r="R851" s="133"/>
      <c r="S851" s="153">
        <v>0</v>
      </c>
      <c r="T851" s="153">
        <v>0</v>
      </c>
      <c r="U851" s="153">
        <v>0</v>
      </c>
      <c r="V851" s="135"/>
      <c r="W851" s="135"/>
      <c r="X851" s="135"/>
      <c r="Y851" s="135"/>
      <c r="Z851" s="135"/>
      <c r="AA851" s="135"/>
      <c r="AB851" s="135"/>
      <c r="AC851" s="135"/>
      <c r="AD851" s="133"/>
      <c r="AE851" s="133"/>
      <c r="AF851" s="132" t="str">
        <f t="shared" si="87"/>
        <v>Нет инфо</v>
      </c>
      <c r="AG851" s="132" t="str">
        <f t="shared" si="88"/>
        <v>Нет инфо</v>
      </c>
      <c r="AH851" s="2"/>
      <c r="AI851" s="136"/>
      <c r="AJ851" s="2"/>
      <c r="AK851" s="136"/>
      <c r="AL851" s="136"/>
      <c r="AM851" s="2"/>
      <c r="AN851" s="2"/>
      <c r="AO851" s="2"/>
      <c r="AP851" s="2"/>
      <c r="AQ851" s="136"/>
    </row>
    <row r="852" spans="1:43" s="115" customFormat="1" ht="12.75" hidden="1" customHeight="1" x14ac:dyDescent="0.2">
      <c r="A852" s="2">
        <v>2881</v>
      </c>
      <c r="B852" s="2"/>
      <c r="C852" s="131"/>
      <c r="D852" s="131"/>
      <c r="E852" s="131"/>
      <c r="F852" s="2"/>
      <c r="G852" s="2"/>
      <c r="H852" s="132">
        <v>0</v>
      </c>
      <c r="I852" s="132"/>
      <c r="J852" s="132"/>
      <c r="K852" s="132"/>
      <c r="L852" s="132">
        <f t="shared" si="89"/>
        <v>0</v>
      </c>
      <c r="M852" s="132">
        <f t="shared" si="90"/>
        <v>0</v>
      </c>
      <c r="N852" s="133"/>
      <c r="O852" s="133">
        <f t="shared" si="91"/>
        <v>0</v>
      </c>
      <c r="P852" s="134"/>
      <c r="Q852" s="133"/>
      <c r="R852" s="133"/>
      <c r="S852" s="153">
        <v>0</v>
      </c>
      <c r="T852" s="153">
        <v>0</v>
      </c>
      <c r="U852" s="153">
        <v>0</v>
      </c>
      <c r="V852" s="135"/>
      <c r="W852" s="135"/>
      <c r="X852" s="135"/>
      <c r="Y852" s="135"/>
      <c r="Z852" s="135"/>
      <c r="AA852" s="135"/>
      <c r="AB852" s="135"/>
      <c r="AC852" s="135"/>
      <c r="AD852" s="133"/>
      <c r="AE852" s="133"/>
      <c r="AF852" s="132" t="str">
        <f t="shared" si="87"/>
        <v>Нет инфо</v>
      </c>
      <c r="AG852" s="132" t="str">
        <f t="shared" si="88"/>
        <v>Нет инфо</v>
      </c>
      <c r="AH852" s="2"/>
      <c r="AI852" s="136"/>
      <c r="AJ852" s="2"/>
      <c r="AK852" s="136"/>
      <c r="AL852" s="136"/>
      <c r="AM852" s="2"/>
      <c r="AN852" s="2"/>
      <c r="AO852" s="2"/>
      <c r="AP852" s="2"/>
      <c r="AQ852" s="136"/>
    </row>
    <row r="853" spans="1:43" s="115" customFormat="1" ht="12.75" hidden="1" customHeight="1" x14ac:dyDescent="0.2">
      <c r="A853" s="2">
        <v>2882</v>
      </c>
      <c r="B853" s="2"/>
      <c r="C853" s="131"/>
      <c r="D853" s="131"/>
      <c r="E853" s="131"/>
      <c r="F853" s="2"/>
      <c r="G853" s="2"/>
      <c r="H853" s="132">
        <v>0</v>
      </c>
      <c r="I853" s="132"/>
      <c r="J853" s="132"/>
      <c r="K853" s="132"/>
      <c r="L853" s="132">
        <f t="shared" si="89"/>
        <v>0</v>
      </c>
      <c r="M853" s="132">
        <f t="shared" si="90"/>
        <v>0</v>
      </c>
      <c r="N853" s="133"/>
      <c r="O853" s="133">
        <f t="shared" si="91"/>
        <v>0</v>
      </c>
      <c r="P853" s="134"/>
      <c r="Q853" s="133"/>
      <c r="R853" s="133"/>
      <c r="S853" s="153">
        <v>0</v>
      </c>
      <c r="T853" s="153">
        <v>0</v>
      </c>
      <c r="U853" s="153">
        <v>0</v>
      </c>
      <c r="V853" s="135"/>
      <c r="W853" s="135"/>
      <c r="X853" s="135"/>
      <c r="Y853" s="135"/>
      <c r="Z853" s="135"/>
      <c r="AA853" s="135"/>
      <c r="AB853" s="135"/>
      <c r="AC853" s="135"/>
      <c r="AD853" s="133"/>
      <c r="AE853" s="133"/>
      <c r="AF853" s="132" t="str">
        <f t="shared" si="87"/>
        <v>Нет инфо</v>
      </c>
      <c r="AG853" s="132" t="str">
        <f t="shared" si="88"/>
        <v>Нет инфо</v>
      </c>
      <c r="AH853" s="2"/>
      <c r="AI853" s="136"/>
      <c r="AJ853" s="2"/>
      <c r="AK853" s="136"/>
      <c r="AL853" s="136"/>
      <c r="AM853" s="2"/>
      <c r="AN853" s="2"/>
      <c r="AO853" s="2"/>
      <c r="AP853" s="2"/>
      <c r="AQ853" s="136"/>
    </row>
    <row r="854" spans="1:43" s="115" customFormat="1" ht="12.75" hidden="1" customHeight="1" x14ac:dyDescent="0.2">
      <c r="A854" s="2">
        <v>2883</v>
      </c>
      <c r="B854" s="2"/>
      <c r="C854" s="131"/>
      <c r="D854" s="131"/>
      <c r="E854" s="131"/>
      <c r="F854" s="2"/>
      <c r="G854" s="2"/>
      <c r="H854" s="132">
        <v>0</v>
      </c>
      <c r="I854" s="132"/>
      <c r="J854" s="132"/>
      <c r="K854" s="132"/>
      <c r="L854" s="132">
        <f t="shared" si="89"/>
        <v>0</v>
      </c>
      <c r="M854" s="132">
        <f t="shared" si="90"/>
        <v>0</v>
      </c>
      <c r="N854" s="133"/>
      <c r="O854" s="133">
        <f t="shared" si="91"/>
        <v>0</v>
      </c>
      <c r="P854" s="134"/>
      <c r="Q854" s="133"/>
      <c r="R854" s="133"/>
      <c r="S854" s="153">
        <v>0</v>
      </c>
      <c r="T854" s="153">
        <v>0</v>
      </c>
      <c r="U854" s="153">
        <v>0</v>
      </c>
      <c r="V854" s="135"/>
      <c r="W854" s="135"/>
      <c r="X854" s="135"/>
      <c r="Y854" s="135"/>
      <c r="Z854" s="135"/>
      <c r="AA854" s="135"/>
      <c r="AB854" s="135"/>
      <c r="AC854" s="135"/>
      <c r="AD854" s="133"/>
      <c r="AE854" s="133"/>
      <c r="AF854" s="132" t="str">
        <f t="shared" si="87"/>
        <v>Нет инфо</v>
      </c>
      <c r="AG854" s="132" t="str">
        <f t="shared" si="88"/>
        <v>Нет инфо</v>
      </c>
      <c r="AH854" s="2"/>
      <c r="AI854" s="136"/>
      <c r="AJ854" s="2"/>
      <c r="AK854" s="136"/>
      <c r="AL854" s="136"/>
      <c r="AM854" s="2"/>
      <c r="AN854" s="2"/>
      <c r="AO854" s="2"/>
      <c r="AP854" s="2"/>
      <c r="AQ854" s="136"/>
    </row>
    <row r="855" spans="1:43" s="115" customFormat="1" ht="12.75" hidden="1" customHeight="1" x14ac:dyDescent="0.2">
      <c r="A855" s="2">
        <v>2884</v>
      </c>
      <c r="B855" s="2"/>
      <c r="C855" s="131"/>
      <c r="D855" s="131"/>
      <c r="E855" s="131"/>
      <c r="F855" s="2"/>
      <c r="G855" s="2"/>
      <c r="H855" s="132">
        <v>0</v>
      </c>
      <c r="I855" s="132"/>
      <c r="J855" s="132"/>
      <c r="K855" s="132"/>
      <c r="L855" s="132">
        <f t="shared" si="89"/>
        <v>0</v>
      </c>
      <c r="M855" s="132">
        <f t="shared" si="90"/>
        <v>0</v>
      </c>
      <c r="N855" s="133"/>
      <c r="O855" s="133">
        <f t="shared" si="91"/>
        <v>0</v>
      </c>
      <c r="P855" s="134"/>
      <c r="Q855" s="133"/>
      <c r="R855" s="133"/>
      <c r="S855" s="153">
        <v>0</v>
      </c>
      <c r="T855" s="153">
        <v>0</v>
      </c>
      <c r="U855" s="153">
        <v>0</v>
      </c>
      <c r="V855" s="135"/>
      <c r="W855" s="135"/>
      <c r="X855" s="135"/>
      <c r="Y855" s="135"/>
      <c r="Z855" s="135"/>
      <c r="AA855" s="135"/>
      <c r="AB855" s="135"/>
      <c r="AC855" s="135"/>
      <c r="AD855" s="133"/>
      <c r="AE855" s="133"/>
      <c r="AF855" s="132" t="str">
        <f t="shared" si="87"/>
        <v>Нет инфо</v>
      </c>
      <c r="AG855" s="132" t="str">
        <f t="shared" si="88"/>
        <v>Нет инфо</v>
      </c>
      <c r="AH855" s="2"/>
      <c r="AI855" s="136"/>
      <c r="AJ855" s="2"/>
      <c r="AK855" s="136"/>
      <c r="AL855" s="136"/>
      <c r="AM855" s="2"/>
      <c r="AN855" s="2"/>
      <c r="AO855" s="2"/>
      <c r="AP855" s="2"/>
      <c r="AQ855" s="136"/>
    </row>
    <row r="856" spans="1:43" s="115" customFormat="1" ht="12.75" hidden="1" customHeight="1" x14ac:dyDescent="0.2">
      <c r="A856" s="2">
        <v>2885</v>
      </c>
      <c r="B856" s="2"/>
      <c r="C856" s="131"/>
      <c r="D856" s="131"/>
      <c r="E856" s="131"/>
      <c r="F856" s="2"/>
      <c r="G856" s="2"/>
      <c r="H856" s="132">
        <v>0</v>
      </c>
      <c r="I856" s="132"/>
      <c r="J856" s="132"/>
      <c r="K856" s="132"/>
      <c r="L856" s="132">
        <f t="shared" si="89"/>
        <v>0</v>
      </c>
      <c r="M856" s="132">
        <f t="shared" si="90"/>
        <v>0</v>
      </c>
      <c r="N856" s="133"/>
      <c r="O856" s="133">
        <f t="shared" si="91"/>
        <v>0</v>
      </c>
      <c r="P856" s="134"/>
      <c r="Q856" s="133"/>
      <c r="R856" s="133"/>
      <c r="S856" s="153">
        <v>0</v>
      </c>
      <c r="T856" s="153">
        <v>0</v>
      </c>
      <c r="U856" s="153">
        <v>0</v>
      </c>
      <c r="V856" s="135"/>
      <c r="W856" s="135"/>
      <c r="X856" s="135"/>
      <c r="Y856" s="135"/>
      <c r="Z856" s="135"/>
      <c r="AA856" s="135"/>
      <c r="AB856" s="135"/>
      <c r="AC856" s="135"/>
      <c r="AD856" s="133"/>
      <c r="AE856" s="133"/>
      <c r="AF856" s="132" t="str">
        <f t="shared" si="87"/>
        <v>Нет инфо</v>
      </c>
      <c r="AG856" s="132" t="str">
        <f t="shared" si="88"/>
        <v>Нет инфо</v>
      </c>
      <c r="AH856" s="2"/>
      <c r="AI856" s="136"/>
      <c r="AJ856" s="2"/>
      <c r="AK856" s="136"/>
      <c r="AL856" s="136"/>
      <c r="AM856" s="2"/>
      <c r="AN856" s="2"/>
      <c r="AO856" s="2"/>
      <c r="AP856" s="2"/>
      <c r="AQ856" s="136"/>
    </row>
    <row r="857" spans="1:43" s="115" customFormat="1" ht="12.75" hidden="1" customHeight="1" x14ac:dyDescent="0.2">
      <c r="A857" s="2">
        <v>2886</v>
      </c>
      <c r="B857" s="2"/>
      <c r="C857" s="131"/>
      <c r="D857" s="131"/>
      <c r="E857" s="131"/>
      <c r="F857" s="2"/>
      <c r="G857" s="2"/>
      <c r="H857" s="132">
        <v>0</v>
      </c>
      <c r="I857" s="132"/>
      <c r="J857" s="132"/>
      <c r="K857" s="132"/>
      <c r="L857" s="132">
        <f t="shared" si="89"/>
        <v>0</v>
      </c>
      <c r="M857" s="132">
        <f t="shared" si="90"/>
        <v>0</v>
      </c>
      <c r="N857" s="133"/>
      <c r="O857" s="133">
        <f t="shared" si="91"/>
        <v>0</v>
      </c>
      <c r="P857" s="134"/>
      <c r="Q857" s="133"/>
      <c r="R857" s="133"/>
      <c r="S857" s="153">
        <v>0</v>
      </c>
      <c r="T857" s="153">
        <v>0</v>
      </c>
      <c r="U857" s="153">
        <v>0</v>
      </c>
      <c r="V857" s="135"/>
      <c r="W857" s="135"/>
      <c r="X857" s="135"/>
      <c r="Y857" s="135"/>
      <c r="Z857" s="135"/>
      <c r="AA857" s="135"/>
      <c r="AB857" s="135"/>
      <c r="AC857" s="135"/>
      <c r="AD857" s="133"/>
      <c r="AE857" s="133"/>
      <c r="AF857" s="132" t="str">
        <f t="shared" si="87"/>
        <v>Нет инфо</v>
      </c>
      <c r="AG857" s="132" t="str">
        <f t="shared" si="88"/>
        <v>Нет инфо</v>
      </c>
      <c r="AH857" s="2"/>
      <c r="AI857" s="136"/>
      <c r="AJ857" s="2"/>
      <c r="AK857" s="136"/>
      <c r="AL857" s="136"/>
      <c r="AM857" s="2"/>
      <c r="AN857" s="2"/>
      <c r="AO857" s="2"/>
      <c r="AP857" s="2"/>
      <c r="AQ857" s="136"/>
    </row>
    <row r="858" spans="1:43" s="115" customFormat="1" ht="12.75" hidden="1" customHeight="1" x14ac:dyDescent="0.2">
      <c r="A858" s="2">
        <v>2887</v>
      </c>
      <c r="B858" s="2"/>
      <c r="C858" s="131"/>
      <c r="D858" s="131"/>
      <c r="E858" s="131"/>
      <c r="F858" s="2"/>
      <c r="G858" s="2"/>
      <c r="H858" s="132">
        <v>0</v>
      </c>
      <c r="I858" s="132"/>
      <c r="J858" s="132"/>
      <c r="K858" s="132"/>
      <c r="L858" s="132">
        <f t="shared" si="89"/>
        <v>0</v>
      </c>
      <c r="M858" s="132">
        <f t="shared" si="90"/>
        <v>0</v>
      </c>
      <c r="N858" s="133"/>
      <c r="O858" s="133">
        <f t="shared" si="91"/>
        <v>0</v>
      </c>
      <c r="P858" s="134"/>
      <c r="Q858" s="133"/>
      <c r="R858" s="133"/>
      <c r="S858" s="153">
        <v>0</v>
      </c>
      <c r="T858" s="153">
        <v>0</v>
      </c>
      <c r="U858" s="153">
        <v>0</v>
      </c>
      <c r="V858" s="135"/>
      <c r="W858" s="135"/>
      <c r="X858" s="135"/>
      <c r="Y858" s="135"/>
      <c r="Z858" s="135"/>
      <c r="AA858" s="135"/>
      <c r="AB858" s="135"/>
      <c r="AC858" s="135"/>
      <c r="AD858" s="133"/>
      <c r="AE858" s="133"/>
      <c r="AF858" s="132" t="str">
        <f t="shared" si="87"/>
        <v>Нет инфо</v>
      </c>
      <c r="AG858" s="132" t="str">
        <f t="shared" si="88"/>
        <v>Нет инфо</v>
      </c>
      <c r="AH858" s="2"/>
      <c r="AI858" s="136"/>
      <c r="AJ858" s="2"/>
      <c r="AK858" s="136"/>
      <c r="AL858" s="136"/>
      <c r="AM858" s="2"/>
      <c r="AN858" s="2"/>
      <c r="AO858" s="2"/>
      <c r="AP858" s="2"/>
      <c r="AQ858" s="136"/>
    </row>
    <row r="859" spans="1:43" s="115" customFormat="1" ht="12.75" hidden="1" customHeight="1" x14ac:dyDescent="0.2">
      <c r="A859" s="2">
        <v>2888</v>
      </c>
      <c r="B859" s="2"/>
      <c r="C859" s="131"/>
      <c r="D859" s="131"/>
      <c r="E859" s="131"/>
      <c r="F859" s="2"/>
      <c r="G859" s="2"/>
      <c r="H859" s="132">
        <v>0</v>
      </c>
      <c r="I859" s="132"/>
      <c r="J859" s="132"/>
      <c r="K859" s="132"/>
      <c r="L859" s="132">
        <f t="shared" si="89"/>
        <v>0</v>
      </c>
      <c r="M859" s="132">
        <f t="shared" si="90"/>
        <v>0</v>
      </c>
      <c r="N859" s="133"/>
      <c r="O859" s="133">
        <f t="shared" si="91"/>
        <v>0</v>
      </c>
      <c r="P859" s="134"/>
      <c r="Q859" s="133"/>
      <c r="R859" s="133"/>
      <c r="S859" s="153">
        <v>0</v>
      </c>
      <c r="T859" s="153">
        <v>0</v>
      </c>
      <c r="U859" s="153">
        <v>0</v>
      </c>
      <c r="V859" s="135"/>
      <c r="W859" s="135"/>
      <c r="X859" s="135"/>
      <c r="Y859" s="135"/>
      <c r="Z859" s="135"/>
      <c r="AA859" s="135"/>
      <c r="AB859" s="135"/>
      <c r="AC859" s="135"/>
      <c r="AD859" s="133"/>
      <c r="AE859" s="133"/>
      <c r="AF859" s="132" t="str">
        <f t="shared" si="87"/>
        <v>Нет инфо</v>
      </c>
      <c r="AG859" s="132" t="str">
        <f t="shared" si="88"/>
        <v>Нет инфо</v>
      </c>
      <c r="AH859" s="2"/>
      <c r="AI859" s="136"/>
      <c r="AJ859" s="2"/>
      <c r="AK859" s="136"/>
      <c r="AL859" s="136"/>
      <c r="AM859" s="2"/>
      <c r="AN859" s="2"/>
      <c r="AO859" s="2"/>
      <c r="AP859" s="2"/>
      <c r="AQ859" s="136"/>
    </row>
    <row r="860" spans="1:43" s="115" customFormat="1" ht="12.75" hidden="1" customHeight="1" x14ac:dyDescent="0.2">
      <c r="A860" s="2">
        <v>2889</v>
      </c>
      <c r="B860" s="2"/>
      <c r="C860" s="131"/>
      <c r="D860" s="131"/>
      <c r="E860" s="131"/>
      <c r="F860" s="2"/>
      <c r="G860" s="2"/>
      <c r="H860" s="132">
        <v>0</v>
      </c>
      <c r="I860" s="132"/>
      <c r="J860" s="132"/>
      <c r="K860" s="132"/>
      <c r="L860" s="132">
        <f t="shared" si="89"/>
        <v>0</v>
      </c>
      <c r="M860" s="132">
        <f t="shared" si="90"/>
        <v>0</v>
      </c>
      <c r="N860" s="133"/>
      <c r="O860" s="133">
        <f t="shared" si="91"/>
        <v>0</v>
      </c>
      <c r="P860" s="134"/>
      <c r="Q860" s="133"/>
      <c r="R860" s="133"/>
      <c r="S860" s="153">
        <v>0</v>
      </c>
      <c r="T860" s="153">
        <v>0</v>
      </c>
      <c r="U860" s="153">
        <v>0</v>
      </c>
      <c r="V860" s="135"/>
      <c r="W860" s="135"/>
      <c r="X860" s="135"/>
      <c r="Y860" s="135"/>
      <c r="Z860" s="135"/>
      <c r="AA860" s="135"/>
      <c r="AB860" s="135"/>
      <c r="AC860" s="135"/>
      <c r="AD860" s="133"/>
      <c r="AE860" s="133"/>
      <c r="AF860" s="132" t="str">
        <f t="shared" si="87"/>
        <v>Нет инфо</v>
      </c>
      <c r="AG860" s="132" t="str">
        <f t="shared" si="88"/>
        <v>Нет инфо</v>
      </c>
      <c r="AH860" s="2"/>
      <c r="AI860" s="136"/>
      <c r="AJ860" s="2"/>
      <c r="AK860" s="136"/>
      <c r="AL860" s="136"/>
      <c r="AM860" s="2"/>
      <c r="AN860" s="2"/>
      <c r="AO860" s="2"/>
      <c r="AP860" s="2"/>
      <c r="AQ860" s="136"/>
    </row>
    <row r="861" spans="1:43" s="115" customFormat="1" ht="12.75" hidden="1" customHeight="1" x14ac:dyDescent="0.2">
      <c r="A861" s="2">
        <v>2890</v>
      </c>
      <c r="B861" s="2"/>
      <c r="C861" s="131"/>
      <c r="D861" s="131"/>
      <c r="E861" s="131"/>
      <c r="F861" s="2"/>
      <c r="G861" s="2"/>
      <c r="H861" s="132">
        <v>0</v>
      </c>
      <c r="I861" s="132"/>
      <c r="J861" s="132"/>
      <c r="K861" s="132"/>
      <c r="L861" s="132">
        <f t="shared" si="89"/>
        <v>0</v>
      </c>
      <c r="M861" s="132">
        <f t="shared" si="90"/>
        <v>0</v>
      </c>
      <c r="N861" s="133"/>
      <c r="O861" s="133">
        <f t="shared" si="91"/>
        <v>0</v>
      </c>
      <c r="P861" s="134"/>
      <c r="Q861" s="133"/>
      <c r="R861" s="133"/>
      <c r="S861" s="153">
        <v>0</v>
      </c>
      <c r="T861" s="153">
        <v>0</v>
      </c>
      <c r="U861" s="153">
        <v>0</v>
      </c>
      <c r="V861" s="135"/>
      <c r="W861" s="135"/>
      <c r="X861" s="135"/>
      <c r="Y861" s="135"/>
      <c r="Z861" s="135"/>
      <c r="AA861" s="135"/>
      <c r="AB861" s="135"/>
      <c r="AC861" s="135"/>
      <c r="AD861" s="133"/>
      <c r="AE861" s="133"/>
      <c r="AF861" s="132" t="str">
        <f t="shared" si="87"/>
        <v>Нет инфо</v>
      </c>
      <c r="AG861" s="132" t="str">
        <f t="shared" si="88"/>
        <v>Нет инфо</v>
      </c>
      <c r="AH861" s="2"/>
      <c r="AI861" s="136"/>
      <c r="AJ861" s="2"/>
      <c r="AK861" s="136"/>
      <c r="AL861" s="136"/>
      <c r="AM861" s="2"/>
      <c r="AN861" s="2"/>
      <c r="AO861" s="2"/>
      <c r="AP861" s="2"/>
      <c r="AQ861" s="136"/>
    </row>
    <row r="862" spans="1:43" s="115" customFormat="1" ht="12.75" hidden="1" customHeight="1" x14ac:dyDescent="0.2">
      <c r="A862" s="2">
        <v>2891</v>
      </c>
      <c r="B862" s="2"/>
      <c r="C862" s="131"/>
      <c r="D862" s="131"/>
      <c r="E862" s="131"/>
      <c r="F862" s="2"/>
      <c r="G862" s="2"/>
      <c r="H862" s="132">
        <v>0</v>
      </c>
      <c r="I862" s="132"/>
      <c r="J862" s="132"/>
      <c r="K862" s="132"/>
      <c r="L862" s="132">
        <f t="shared" si="89"/>
        <v>0</v>
      </c>
      <c r="M862" s="132">
        <f t="shared" si="90"/>
        <v>0</v>
      </c>
      <c r="N862" s="133"/>
      <c r="O862" s="133">
        <f t="shared" si="91"/>
        <v>0</v>
      </c>
      <c r="P862" s="134"/>
      <c r="Q862" s="133"/>
      <c r="R862" s="133"/>
      <c r="S862" s="153">
        <v>0</v>
      </c>
      <c r="T862" s="153">
        <v>0</v>
      </c>
      <c r="U862" s="153">
        <v>0</v>
      </c>
      <c r="V862" s="135"/>
      <c r="W862" s="135"/>
      <c r="X862" s="135"/>
      <c r="Y862" s="135"/>
      <c r="Z862" s="135"/>
      <c r="AA862" s="135"/>
      <c r="AB862" s="135"/>
      <c r="AC862" s="135"/>
      <c r="AD862" s="133"/>
      <c r="AE862" s="133"/>
      <c r="AF862" s="132" t="str">
        <f t="shared" si="87"/>
        <v>Нет инфо</v>
      </c>
      <c r="AG862" s="132" t="str">
        <f t="shared" si="88"/>
        <v>Нет инфо</v>
      </c>
      <c r="AH862" s="2"/>
      <c r="AI862" s="136"/>
      <c r="AJ862" s="2"/>
      <c r="AK862" s="136"/>
      <c r="AL862" s="136"/>
      <c r="AM862" s="2"/>
      <c r="AN862" s="2"/>
      <c r="AO862" s="2"/>
      <c r="AP862" s="2"/>
      <c r="AQ862" s="136"/>
    </row>
    <row r="863" spans="1:43" s="115" customFormat="1" ht="12.75" hidden="1" customHeight="1" x14ac:dyDescent="0.2">
      <c r="A863" s="2">
        <v>2892</v>
      </c>
      <c r="B863" s="2"/>
      <c r="C863" s="131"/>
      <c r="D863" s="131"/>
      <c r="E863" s="131"/>
      <c r="F863" s="2"/>
      <c r="G863" s="2"/>
      <c r="H863" s="132">
        <v>0</v>
      </c>
      <c r="I863" s="132"/>
      <c r="J863" s="132"/>
      <c r="K863" s="132"/>
      <c r="L863" s="132">
        <f t="shared" si="89"/>
        <v>0</v>
      </c>
      <c r="M863" s="132">
        <f t="shared" si="90"/>
        <v>0</v>
      </c>
      <c r="N863" s="133"/>
      <c r="O863" s="133">
        <f t="shared" si="91"/>
        <v>0</v>
      </c>
      <c r="P863" s="134"/>
      <c r="Q863" s="133"/>
      <c r="R863" s="133"/>
      <c r="S863" s="153">
        <v>0</v>
      </c>
      <c r="T863" s="153">
        <v>0</v>
      </c>
      <c r="U863" s="153">
        <v>0</v>
      </c>
      <c r="V863" s="135"/>
      <c r="W863" s="135"/>
      <c r="X863" s="135"/>
      <c r="Y863" s="135"/>
      <c r="Z863" s="135"/>
      <c r="AA863" s="135"/>
      <c r="AB863" s="135"/>
      <c r="AC863" s="135"/>
      <c r="AD863" s="133"/>
      <c r="AE863" s="133"/>
      <c r="AF863" s="132" t="str">
        <f t="shared" si="87"/>
        <v>Нет инфо</v>
      </c>
      <c r="AG863" s="132" t="str">
        <f t="shared" si="88"/>
        <v>Нет инфо</v>
      </c>
      <c r="AH863" s="2"/>
      <c r="AI863" s="136"/>
      <c r="AJ863" s="2"/>
      <c r="AK863" s="136"/>
      <c r="AL863" s="136"/>
      <c r="AM863" s="2"/>
      <c r="AN863" s="2"/>
      <c r="AO863" s="2"/>
      <c r="AP863" s="2"/>
      <c r="AQ863" s="136"/>
    </row>
    <row r="864" spans="1:43" s="115" customFormat="1" ht="12.75" hidden="1" customHeight="1" x14ac:dyDescent="0.2">
      <c r="A864" s="2">
        <v>2893</v>
      </c>
      <c r="B864" s="2"/>
      <c r="C864" s="131"/>
      <c r="D864" s="131"/>
      <c r="E864" s="131"/>
      <c r="F864" s="2"/>
      <c r="G864" s="2"/>
      <c r="H864" s="132">
        <v>0</v>
      </c>
      <c r="I864" s="132"/>
      <c r="J864" s="132"/>
      <c r="K864" s="132"/>
      <c r="L864" s="132">
        <f t="shared" si="89"/>
        <v>0</v>
      </c>
      <c r="M864" s="132">
        <f t="shared" si="90"/>
        <v>0</v>
      </c>
      <c r="N864" s="133"/>
      <c r="O864" s="133">
        <f t="shared" si="91"/>
        <v>0</v>
      </c>
      <c r="P864" s="134"/>
      <c r="Q864" s="133"/>
      <c r="R864" s="133"/>
      <c r="S864" s="153">
        <v>0</v>
      </c>
      <c r="T864" s="153">
        <v>0</v>
      </c>
      <c r="U864" s="153">
        <v>0</v>
      </c>
      <c r="V864" s="135"/>
      <c r="W864" s="135"/>
      <c r="X864" s="135"/>
      <c r="Y864" s="135"/>
      <c r="Z864" s="135"/>
      <c r="AA864" s="135"/>
      <c r="AB864" s="135"/>
      <c r="AC864" s="135"/>
      <c r="AD864" s="133"/>
      <c r="AE864" s="133"/>
      <c r="AF864" s="132" t="str">
        <f t="shared" si="87"/>
        <v>Нет инфо</v>
      </c>
      <c r="AG864" s="132" t="str">
        <f t="shared" si="88"/>
        <v>Нет инфо</v>
      </c>
      <c r="AH864" s="2"/>
      <c r="AI864" s="136"/>
      <c r="AJ864" s="2"/>
      <c r="AK864" s="136"/>
      <c r="AL864" s="136"/>
      <c r="AM864" s="2"/>
      <c r="AN864" s="2"/>
      <c r="AO864" s="2"/>
      <c r="AP864" s="2"/>
      <c r="AQ864" s="136"/>
    </row>
    <row r="865" spans="1:43" s="115" customFormat="1" ht="12.75" hidden="1" customHeight="1" x14ac:dyDescent="0.2">
      <c r="A865" s="2">
        <v>2894</v>
      </c>
      <c r="B865" s="2"/>
      <c r="C865" s="131"/>
      <c r="D865" s="131"/>
      <c r="E865" s="131"/>
      <c r="F865" s="2"/>
      <c r="G865" s="2"/>
      <c r="H865" s="132">
        <v>0</v>
      </c>
      <c r="I865" s="132"/>
      <c r="J865" s="132"/>
      <c r="K865" s="132"/>
      <c r="L865" s="132">
        <f t="shared" si="89"/>
        <v>0</v>
      </c>
      <c r="M865" s="132">
        <f t="shared" si="90"/>
        <v>0</v>
      </c>
      <c r="N865" s="133"/>
      <c r="O865" s="133">
        <f t="shared" si="91"/>
        <v>0</v>
      </c>
      <c r="P865" s="134"/>
      <c r="Q865" s="133"/>
      <c r="R865" s="133"/>
      <c r="S865" s="153">
        <v>0</v>
      </c>
      <c r="T865" s="153">
        <v>0</v>
      </c>
      <c r="U865" s="153">
        <v>0</v>
      </c>
      <c r="V865" s="135"/>
      <c r="W865" s="135"/>
      <c r="X865" s="135"/>
      <c r="Y865" s="135"/>
      <c r="Z865" s="135"/>
      <c r="AA865" s="135"/>
      <c r="AB865" s="135"/>
      <c r="AC865" s="135"/>
      <c r="AD865" s="133"/>
      <c r="AE865" s="133"/>
      <c r="AF865" s="132" t="str">
        <f t="shared" si="87"/>
        <v>Нет инфо</v>
      </c>
      <c r="AG865" s="132" t="str">
        <f t="shared" si="88"/>
        <v>Нет инфо</v>
      </c>
      <c r="AH865" s="2"/>
      <c r="AI865" s="136"/>
      <c r="AJ865" s="2"/>
      <c r="AK865" s="136"/>
      <c r="AL865" s="136"/>
      <c r="AM865" s="2"/>
      <c r="AN865" s="2"/>
      <c r="AO865" s="2"/>
      <c r="AP865" s="2"/>
      <c r="AQ865" s="136"/>
    </row>
    <row r="866" spans="1:43" s="115" customFormat="1" ht="12.75" hidden="1" customHeight="1" x14ac:dyDescent="0.2">
      <c r="A866" s="2">
        <v>2895</v>
      </c>
      <c r="B866" s="2"/>
      <c r="C866" s="131"/>
      <c r="D866" s="131"/>
      <c r="E866" s="131"/>
      <c r="F866" s="2"/>
      <c r="G866" s="2"/>
      <c r="H866" s="132">
        <v>0</v>
      </c>
      <c r="I866" s="132"/>
      <c r="J866" s="132"/>
      <c r="K866" s="132"/>
      <c r="L866" s="132">
        <f t="shared" si="89"/>
        <v>0</v>
      </c>
      <c r="M866" s="132">
        <f t="shared" si="90"/>
        <v>0</v>
      </c>
      <c r="N866" s="133"/>
      <c r="O866" s="133">
        <f t="shared" si="91"/>
        <v>0</v>
      </c>
      <c r="P866" s="134"/>
      <c r="Q866" s="133"/>
      <c r="R866" s="133"/>
      <c r="S866" s="153">
        <v>0</v>
      </c>
      <c r="T866" s="153">
        <v>0</v>
      </c>
      <c r="U866" s="153">
        <v>0</v>
      </c>
      <c r="V866" s="135"/>
      <c r="W866" s="135"/>
      <c r="X866" s="135"/>
      <c r="Y866" s="135"/>
      <c r="Z866" s="135"/>
      <c r="AA866" s="135"/>
      <c r="AB866" s="135"/>
      <c r="AC866" s="135"/>
      <c r="AD866" s="133"/>
      <c r="AE866" s="133"/>
      <c r="AF866" s="132" t="str">
        <f t="shared" si="87"/>
        <v>Нет инфо</v>
      </c>
      <c r="AG866" s="132" t="str">
        <f t="shared" si="88"/>
        <v>Нет инфо</v>
      </c>
      <c r="AH866" s="2"/>
      <c r="AI866" s="136"/>
      <c r="AJ866" s="2"/>
      <c r="AK866" s="136"/>
      <c r="AL866" s="136"/>
      <c r="AM866" s="2"/>
      <c r="AN866" s="2"/>
      <c r="AO866" s="2"/>
      <c r="AP866" s="2"/>
      <c r="AQ866" s="136"/>
    </row>
    <row r="867" spans="1:43" s="115" customFormat="1" ht="12.75" hidden="1" customHeight="1" x14ac:dyDescent="0.2">
      <c r="A867" s="2">
        <v>2896</v>
      </c>
      <c r="B867" s="2"/>
      <c r="C867" s="131"/>
      <c r="D867" s="131"/>
      <c r="E867" s="131"/>
      <c r="F867" s="2"/>
      <c r="G867" s="2"/>
      <c r="H867" s="132">
        <v>0</v>
      </c>
      <c r="I867" s="132"/>
      <c r="J867" s="132"/>
      <c r="K867" s="132"/>
      <c r="L867" s="132">
        <f t="shared" si="89"/>
        <v>0</v>
      </c>
      <c r="M867" s="132">
        <f t="shared" si="90"/>
        <v>0</v>
      </c>
      <c r="N867" s="133"/>
      <c r="O867" s="133">
        <f t="shared" si="91"/>
        <v>0</v>
      </c>
      <c r="P867" s="134"/>
      <c r="Q867" s="133"/>
      <c r="R867" s="133"/>
      <c r="S867" s="153">
        <v>0</v>
      </c>
      <c r="T867" s="153">
        <v>0</v>
      </c>
      <c r="U867" s="153">
        <v>0</v>
      </c>
      <c r="V867" s="135"/>
      <c r="W867" s="135"/>
      <c r="X867" s="135"/>
      <c r="Y867" s="135"/>
      <c r="Z867" s="135"/>
      <c r="AA867" s="135"/>
      <c r="AB867" s="135"/>
      <c r="AC867" s="135"/>
      <c r="AD867" s="133"/>
      <c r="AE867" s="133"/>
      <c r="AF867" s="132" t="str">
        <f t="shared" si="87"/>
        <v>Нет инфо</v>
      </c>
      <c r="AG867" s="132" t="str">
        <f t="shared" si="88"/>
        <v>Нет инфо</v>
      </c>
      <c r="AH867" s="2"/>
      <c r="AI867" s="136"/>
      <c r="AJ867" s="2"/>
      <c r="AK867" s="136"/>
      <c r="AL867" s="136"/>
      <c r="AM867" s="2"/>
      <c r="AN867" s="2"/>
      <c r="AO867" s="2"/>
      <c r="AP867" s="2"/>
      <c r="AQ867" s="136"/>
    </row>
    <row r="868" spans="1:43" s="115" customFormat="1" ht="12.75" hidden="1" customHeight="1" x14ac:dyDescent="0.2">
      <c r="A868" s="2">
        <v>2897</v>
      </c>
      <c r="B868" s="2"/>
      <c r="C868" s="131"/>
      <c r="D868" s="131"/>
      <c r="E868" s="131"/>
      <c r="F868" s="2"/>
      <c r="G868" s="2"/>
      <c r="H868" s="132">
        <v>0</v>
      </c>
      <c r="I868" s="132"/>
      <c r="J868" s="132"/>
      <c r="K868" s="132"/>
      <c r="L868" s="132">
        <f t="shared" si="89"/>
        <v>0</v>
      </c>
      <c r="M868" s="132">
        <f t="shared" si="90"/>
        <v>0</v>
      </c>
      <c r="N868" s="133"/>
      <c r="O868" s="133">
        <f t="shared" si="91"/>
        <v>0</v>
      </c>
      <c r="P868" s="134"/>
      <c r="Q868" s="133"/>
      <c r="R868" s="133"/>
      <c r="S868" s="153">
        <v>0</v>
      </c>
      <c r="T868" s="153">
        <v>0</v>
      </c>
      <c r="U868" s="153">
        <v>0</v>
      </c>
      <c r="V868" s="135"/>
      <c r="W868" s="135"/>
      <c r="X868" s="135"/>
      <c r="Y868" s="135"/>
      <c r="Z868" s="135"/>
      <c r="AA868" s="135"/>
      <c r="AB868" s="135"/>
      <c r="AC868" s="135"/>
      <c r="AD868" s="133"/>
      <c r="AE868" s="133"/>
      <c r="AF868" s="132" t="str">
        <f t="shared" si="87"/>
        <v>Нет инфо</v>
      </c>
      <c r="AG868" s="132" t="str">
        <f t="shared" si="88"/>
        <v>Нет инфо</v>
      </c>
      <c r="AH868" s="2"/>
      <c r="AI868" s="136"/>
      <c r="AJ868" s="2"/>
      <c r="AK868" s="136"/>
      <c r="AL868" s="136"/>
      <c r="AM868" s="2"/>
      <c r="AN868" s="2"/>
      <c r="AO868" s="2"/>
      <c r="AP868" s="2"/>
      <c r="AQ868" s="136"/>
    </row>
    <row r="869" spans="1:43" s="115" customFormat="1" ht="12.75" hidden="1" customHeight="1" x14ac:dyDescent="0.2">
      <c r="A869" s="2">
        <v>2898</v>
      </c>
      <c r="B869" s="2"/>
      <c r="C869" s="131"/>
      <c r="D869" s="131"/>
      <c r="E869" s="131"/>
      <c r="F869" s="2"/>
      <c r="G869" s="2"/>
      <c r="H869" s="132">
        <v>0</v>
      </c>
      <c r="I869" s="132"/>
      <c r="J869" s="132"/>
      <c r="K869" s="132"/>
      <c r="L869" s="132">
        <f t="shared" si="89"/>
        <v>0</v>
      </c>
      <c r="M869" s="132">
        <f t="shared" si="90"/>
        <v>0</v>
      </c>
      <c r="N869" s="133"/>
      <c r="O869" s="133">
        <f t="shared" si="91"/>
        <v>0</v>
      </c>
      <c r="P869" s="134"/>
      <c r="Q869" s="133"/>
      <c r="R869" s="133"/>
      <c r="S869" s="153">
        <v>0</v>
      </c>
      <c r="T869" s="153">
        <v>0</v>
      </c>
      <c r="U869" s="153">
        <v>0</v>
      </c>
      <c r="V869" s="135"/>
      <c r="W869" s="135"/>
      <c r="X869" s="135"/>
      <c r="Y869" s="135"/>
      <c r="Z869" s="135"/>
      <c r="AA869" s="135"/>
      <c r="AB869" s="135"/>
      <c r="AC869" s="135"/>
      <c r="AD869" s="133"/>
      <c r="AE869" s="133"/>
      <c r="AF869" s="132" t="str">
        <f t="shared" ref="AF869:AF932" si="92">IF(OR(I869="",I869=0,N869="",N869=0),"Нет инфо",I869/N869)</f>
        <v>Нет инфо</v>
      </c>
      <c r="AG869" s="132" t="str">
        <f t="shared" ref="AG869:AG932" si="93">IF(OR(I869="",I869=0,R869="",R869=0),"Нет инфо",I869/R869)</f>
        <v>Нет инфо</v>
      </c>
      <c r="AH869" s="2"/>
      <c r="AI869" s="136"/>
      <c r="AJ869" s="2"/>
      <c r="AK869" s="136"/>
      <c r="AL869" s="136"/>
      <c r="AM869" s="2"/>
      <c r="AN869" s="2"/>
      <c r="AO869" s="2"/>
      <c r="AP869" s="2"/>
      <c r="AQ869" s="136"/>
    </row>
    <row r="870" spans="1:43" s="115" customFormat="1" ht="12.75" hidden="1" customHeight="1" x14ac:dyDescent="0.2">
      <c r="A870" s="2">
        <v>2899</v>
      </c>
      <c r="B870" s="2"/>
      <c r="C870" s="131"/>
      <c r="D870" s="131"/>
      <c r="E870" s="131"/>
      <c r="F870" s="2"/>
      <c r="G870" s="2"/>
      <c r="H870" s="132">
        <v>0</v>
      </c>
      <c r="I870" s="132"/>
      <c r="J870" s="132"/>
      <c r="K870" s="132"/>
      <c r="L870" s="132">
        <f t="shared" si="89"/>
        <v>0</v>
      </c>
      <c r="M870" s="132">
        <f t="shared" si="90"/>
        <v>0</v>
      </c>
      <c r="N870" s="133"/>
      <c r="O870" s="133">
        <f t="shared" si="91"/>
        <v>0</v>
      </c>
      <c r="P870" s="134"/>
      <c r="Q870" s="133"/>
      <c r="R870" s="133"/>
      <c r="S870" s="153">
        <v>0</v>
      </c>
      <c r="T870" s="153">
        <v>0</v>
      </c>
      <c r="U870" s="153">
        <v>0</v>
      </c>
      <c r="V870" s="135"/>
      <c r="W870" s="135"/>
      <c r="X870" s="135"/>
      <c r="Y870" s="135"/>
      <c r="Z870" s="135"/>
      <c r="AA870" s="135"/>
      <c r="AB870" s="135"/>
      <c r="AC870" s="135"/>
      <c r="AD870" s="133"/>
      <c r="AE870" s="133"/>
      <c r="AF870" s="132" t="str">
        <f t="shared" si="92"/>
        <v>Нет инфо</v>
      </c>
      <c r="AG870" s="132" t="str">
        <f t="shared" si="93"/>
        <v>Нет инфо</v>
      </c>
      <c r="AH870" s="2"/>
      <c r="AI870" s="136"/>
      <c r="AJ870" s="2"/>
      <c r="AK870" s="136"/>
      <c r="AL870" s="136"/>
      <c r="AM870" s="2"/>
      <c r="AN870" s="2"/>
      <c r="AO870" s="2"/>
      <c r="AP870" s="2"/>
      <c r="AQ870" s="136"/>
    </row>
    <row r="871" spans="1:43" s="115" customFormat="1" ht="12.75" hidden="1" customHeight="1" x14ac:dyDescent="0.2">
      <c r="A871" s="2">
        <v>2900</v>
      </c>
      <c r="B871" s="2"/>
      <c r="C871" s="131"/>
      <c r="D871" s="131"/>
      <c r="E871" s="131"/>
      <c r="F871" s="2"/>
      <c r="G871" s="2"/>
      <c r="H871" s="132">
        <v>0</v>
      </c>
      <c r="I871" s="132"/>
      <c r="J871" s="132"/>
      <c r="K871" s="132"/>
      <c r="L871" s="132">
        <f t="shared" si="89"/>
        <v>0</v>
      </c>
      <c r="M871" s="132">
        <f t="shared" si="90"/>
        <v>0</v>
      </c>
      <c r="N871" s="133"/>
      <c r="O871" s="133">
        <f t="shared" si="91"/>
        <v>0</v>
      </c>
      <c r="P871" s="134"/>
      <c r="Q871" s="133"/>
      <c r="R871" s="133"/>
      <c r="S871" s="153">
        <v>0</v>
      </c>
      <c r="T871" s="153">
        <v>0</v>
      </c>
      <c r="U871" s="153">
        <v>0</v>
      </c>
      <c r="V871" s="135"/>
      <c r="W871" s="135"/>
      <c r="X871" s="135"/>
      <c r="Y871" s="135"/>
      <c r="Z871" s="135"/>
      <c r="AA871" s="135"/>
      <c r="AB871" s="135"/>
      <c r="AC871" s="135"/>
      <c r="AD871" s="133"/>
      <c r="AE871" s="133"/>
      <c r="AF871" s="132" t="str">
        <f t="shared" si="92"/>
        <v>Нет инфо</v>
      </c>
      <c r="AG871" s="132" t="str">
        <f t="shared" si="93"/>
        <v>Нет инфо</v>
      </c>
      <c r="AH871" s="2"/>
      <c r="AI871" s="136"/>
      <c r="AJ871" s="2"/>
      <c r="AK871" s="136"/>
      <c r="AL871" s="136"/>
      <c r="AM871" s="2"/>
      <c r="AN871" s="2"/>
      <c r="AO871" s="2"/>
      <c r="AP871" s="2"/>
      <c r="AQ871" s="136"/>
    </row>
    <row r="872" spans="1:43" s="115" customFormat="1" ht="12.75" hidden="1" customHeight="1" x14ac:dyDescent="0.2">
      <c r="A872" s="2">
        <v>2901</v>
      </c>
      <c r="B872" s="2"/>
      <c r="C872" s="131"/>
      <c r="D872" s="131"/>
      <c r="E872" s="131"/>
      <c r="F872" s="2"/>
      <c r="G872" s="2"/>
      <c r="H872" s="132">
        <v>0</v>
      </c>
      <c r="I872" s="132"/>
      <c r="J872" s="132"/>
      <c r="K872" s="132"/>
      <c r="L872" s="132">
        <f t="shared" si="89"/>
        <v>0</v>
      </c>
      <c r="M872" s="132">
        <f t="shared" si="90"/>
        <v>0</v>
      </c>
      <c r="N872" s="133"/>
      <c r="O872" s="133">
        <f t="shared" si="91"/>
        <v>0</v>
      </c>
      <c r="P872" s="134"/>
      <c r="Q872" s="133"/>
      <c r="R872" s="133"/>
      <c r="S872" s="153">
        <v>0</v>
      </c>
      <c r="T872" s="153">
        <v>0</v>
      </c>
      <c r="U872" s="153">
        <v>0</v>
      </c>
      <c r="V872" s="135"/>
      <c r="W872" s="135"/>
      <c r="X872" s="135"/>
      <c r="Y872" s="135"/>
      <c r="Z872" s="135"/>
      <c r="AA872" s="135"/>
      <c r="AB872" s="135"/>
      <c r="AC872" s="135"/>
      <c r="AD872" s="133"/>
      <c r="AE872" s="133"/>
      <c r="AF872" s="132" t="str">
        <f t="shared" si="92"/>
        <v>Нет инфо</v>
      </c>
      <c r="AG872" s="132" t="str">
        <f t="shared" si="93"/>
        <v>Нет инфо</v>
      </c>
      <c r="AH872" s="2"/>
      <c r="AI872" s="136"/>
      <c r="AJ872" s="2"/>
      <c r="AK872" s="136"/>
      <c r="AL872" s="136"/>
      <c r="AM872" s="2"/>
      <c r="AN872" s="2"/>
      <c r="AO872" s="2"/>
      <c r="AP872" s="2"/>
      <c r="AQ872" s="136"/>
    </row>
    <row r="873" spans="1:43" s="115" customFormat="1" ht="12.75" hidden="1" customHeight="1" x14ac:dyDescent="0.2">
      <c r="A873" s="2">
        <v>2902</v>
      </c>
      <c r="B873" s="2"/>
      <c r="C873" s="131"/>
      <c r="D873" s="131"/>
      <c r="E873" s="131"/>
      <c r="F873" s="2"/>
      <c r="G873" s="2"/>
      <c r="H873" s="132">
        <v>0</v>
      </c>
      <c r="I873" s="132"/>
      <c r="J873" s="132"/>
      <c r="K873" s="132"/>
      <c r="L873" s="132">
        <f t="shared" si="89"/>
        <v>0</v>
      </c>
      <c r="M873" s="132">
        <f t="shared" si="90"/>
        <v>0</v>
      </c>
      <c r="N873" s="133"/>
      <c r="O873" s="133">
        <f t="shared" si="91"/>
        <v>0</v>
      </c>
      <c r="P873" s="134"/>
      <c r="Q873" s="133"/>
      <c r="R873" s="133"/>
      <c r="S873" s="153">
        <v>0</v>
      </c>
      <c r="T873" s="153">
        <v>0</v>
      </c>
      <c r="U873" s="153">
        <v>0</v>
      </c>
      <c r="V873" s="135"/>
      <c r="W873" s="135"/>
      <c r="X873" s="135"/>
      <c r="Y873" s="135"/>
      <c r="Z873" s="135"/>
      <c r="AA873" s="135"/>
      <c r="AB873" s="135"/>
      <c r="AC873" s="135"/>
      <c r="AD873" s="133"/>
      <c r="AE873" s="133"/>
      <c r="AF873" s="132" t="str">
        <f t="shared" si="92"/>
        <v>Нет инфо</v>
      </c>
      <c r="AG873" s="132" t="str">
        <f t="shared" si="93"/>
        <v>Нет инфо</v>
      </c>
      <c r="AH873" s="2"/>
      <c r="AI873" s="136"/>
      <c r="AJ873" s="2"/>
      <c r="AK873" s="136"/>
      <c r="AL873" s="136"/>
      <c r="AM873" s="2"/>
      <c r="AN873" s="2"/>
      <c r="AO873" s="2"/>
      <c r="AP873" s="2"/>
      <c r="AQ873" s="136"/>
    </row>
    <row r="874" spans="1:43" s="115" customFormat="1" ht="12.75" hidden="1" customHeight="1" x14ac:dyDescent="0.2">
      <c r="A874" s="2">
        <v>2903</v>
      </c>
      <c r="B874" s="2"/>
      <c r="C874" s="131"/>
      <c r="D874" s="131"/>
      <c r="E874" s="131"/>
      <c r="F874" s="2"/>
      <c r="G874" s="2"/>
      <c r="H874" s="132">
        <v>0</v>
      </c>
      <c r="I874" s="132"/>
      <c r="J874" s="132"/>
      <c r="K874" s="132"/>
      <c r="L874" s="132">
        <f t="shared" si="89"/>
        <v>0</v>
      </c>
      <c r="M874" s="132">
        <f t="shared" si="90"/>
        <v>0</v>
      </c>
      <c r="N874" s="133"/>
      <c r="O874" s="133">
        <f t="shared" si="91"/>
        <v>0</v>
      </c>
      <c r="P874" s="134"/>
      <c r="Q874" s="133"/>
      <c r="R874" s="133"/>
      <c r="S874" s="153">
        <v>0</v>
      </c>
      <c r="T874" s="153">
        <v>0</v>
      </c>
      <c r="U874" s="153">
        <v>0</v>
      </c>
      <c r="V874" s="135"/>
      <c r="W874" s="135"/>
      <c r="X874" s="135"/>
      <c r="Y874" s="135"/>
      <c r="Z874" s="135"/>
      <c r="AA874" s="135"/>
      <c r="AB874" s="135"/>
      <c r="AC874" s="135"/>
      <c r="AD874" s="133"/>
      <c r="AE874" s="133"/>
      <c r="AF874" s="132" t="str">
        <f t="shared" si="92"/>
        <v>Нет инфо</v>
      </c>
      <c r="AG874" s="132" t="str">
        <f t="shared" si="93"/>
        <v>Нет инфо</v>
      </c>
      <c r="AH874" s="2"/>
      <c r="AI874" s="136"/>
      <c r="AJ874" s="2"/>
      <c r="AK874" s="136"/>
      <c r="AL874" s="136"/>
      <c r="AM874" s="2"/>
      <c r="AN874" s="2"/>
      <c r="AO874" s="2"/>
      <c r="AP874" s="2"/>
      <c r="AQ874" s="136"/>
    </row>
    <row r="875" spans="1:43" s="115" customFormat="1" ht="12.75" hidden="1" customHeight="1" x14ac:dyDescent="0.2">
      <c r="A875" s="2">
        <v>2904</v>
      </c>
      <c r="B875" s="2"/>
      <c r="C875" s="131"/>
      <c r="D875" s="131"/>
      <c r="E875" s="131"/>
      <c r="F875" s="2"/>
      <c r="G875" s="2"/>
      <c r="H875" s="132">
        <v>0</v>
      </c>
      <c r="I875" s="132"/>
      <c r="J875" s="132"/>
      <c r="K875" s="132"/>
      <c r="L875" s="132">
        <f t="shared" si="89"/>
        <v>0</v>
      </c>
      <c r="M875" s="132">
        <f t="shared" si="90"/>
        <v>0</v>
      </c>
      <c r="N875" s="133"/>
      <c r="O875" s="133">
        <f t="shared" si="91"/>
        <v>0</v>
      </c>
      <c r="P875" s="134"/>
      <c r="Q875" s="133"/>
      <c r="R875" s="133"/>
      <c r="S875" s="153">
        <v>0</v>
      </c>
      <c r="T875" s="153">
        <v>0</v>
      </c>
      <c r="U875" s="153">
        <v>0</v>
      </c>
      <c r="V875" s="135"/>
      <c r="W875" s="135"/>
      <c r="X875" s="135"/>
      <c r="Y875" s="135"/>
      <c r="Z875" s="135"/>
      <c r="AA875" s="135"/>
      <c r="AB875" s="135"/>
      <c r="AC875" s="135"/>
      <c r="AD875" s="133"/>
      <c r="AE875" s="133"/>
      <c r="AF875" s="132" t="str">
        <f t="shared" si="92"/>
        <v>Нет инфо</v>
      </c>
      <c r="AG875" s="132" t="str">
        <f t="shared" si="93"/>
        <v>Нет инфо</v>
      </c>
      <c r="AH875" s="2"/>
      <c r="AI875" s="136"/>
      <c r="AJ875" s="2"/>
      <c r="AK875" s="136"/>
      <c r="AL875" s="136"/>
      <c r="AM875" s="2"/>
      <c r="AN875" s="2"/>
      <c r="AO875" s="2"/>
      <c r="AP875" s="2"/>
      <c r="AQ875" s="136"/>
    </row>
    <row r="876" spans="1:43" s="115" customFormat="1" ht="12.75" hidden="1" customHeight="1" x14ac:dyDescent="0.2">
      <c r="A876" s="2">
        <v>2905</v>
      </c>
      <c r="B876" s="2"/>
      <c r="C876" s="131"/>
      <c r="D876" s="131"/>
      <c r="E876" s="131"/>
      <c r="F876" s="2"/>
      <c r="G876" s="2"/>
      <c r="H876" s="132">
        <v>0</v>
      </c>
      <c r="I876" s="132"/>
      <c r="J876" s="132"/>
      <c r="K876" s="132"/>
      <c r="L876" s="132">
        <f t="shared" si="89"/>
        <v>0</v>
      </c>
      <c r="M876" s="132">
        <f t="shared" si="90"/>
        <v>0</v>
      </c>
      <c r="N876" s="133"/>
      <c r="O876" s="133">
        <f t="shared" si="91"/>
        <v>0</v>
      </c>
      <c r="P876" s="134"/>
      <c r="Q876" s="133"/>
      <c r="R876" s="133"/>
      <c r="S876" s="153">
        <v>0</v>
      </c>
      <c r="T876" s="153">
        <v>0</v>
      </c>
      <c r="U876" s="153">
        <v>0</v>
      </c>
      <c r="V876" s="135"/>
      <c r="W876" s="135"/>
      <c r="X876" s="135"/>
      <c r="Y876" s="135"/>
      <c r="Z876" s="135"/>
      <c r="AA876" s="135"/>
      <c r="AB876" s="135"/>
      <c r="AC876" s="135"/>
      <c r="AD876" s="133"/>
      <c r="AE876" s="133"/>
      <c r="AF876" s="132" t="str">
        <f t="shared" si="92"/>
        <v>Нет инфо</v>
      </c>
      <c r="AG876" s="132" t="str">
        <f t="shared" si="93"/>
        <v>Нет инфо</v>
      </c>
      <c r="AH876" s="2"/>
      <c r="AI876" s="136"/>
      <c r="AJ876" s="2"/>
      <c r="AK876" s="136"/>
      <c r="AL876" s="136"/>
      <c r="AM876" s="2"/>
      <c r="AN876" s="2"/>
      <c r="AO876" s="2"/>
      <c r="AP876" s="2"/>
      <c r="AQ876" s="136"/>
    </row>
    <row r="877" spans="1:43" s="115" customFormat="1" ht="12.75" hidden="1" customHeight="1" x14ac:dyDescent="0.2">
      <c r="A877" s="2">
        <v>2906</v>
      </c>
      <c r="B877" s="2"/>
      <c r="C877" s="131"/>
      <c r="D877" s="131"/>
      <c r="E877" s="131"/>
      <c r="F877" s="2"/>
      <c r="G877" s="2"/>
      <c r="H877" s="132">
        <v>0</v>
      </c>
      <c r="I877" s="132"/>
      <c r="J877" s="132"/>
      <c r="K877" s="132"/>
      <c r="L877" s="132">
        <f t="shared" si="89"/>
        <v>0</v>
      </c>
      <c r="M877" s="132">
        <f t="shared" si="90"/>
        <v>0</v>
      </c>
      <c r="N877" s="133"/>
      <c r="O877" s="133">
        <f t="shared" si="91"/>
        <v>0</v>
      </c>
      <c r="P877" s="134"/>
      <c r="Q877" s="133"/>
      <c r="R877" s="133"/>
      <c r="S877" s="153">
        <v>0</v>
      </c>
      <c r="T877" s="153">
        <v>0</v>
      </c>
      <c r="U877" s="153">
        <v>0</v>
      </c>
      <c r="V877" s="135"/>
      <c r="W877" s="135"/>
      <c r="X877" s="135"/>
      <c r="Y877" s="135"/>
      <c r="Z877" s="135"/>
      <c r="AA877" s="135"/>
      <c r="AB877" s="135"/>
      <c r="AC877" s="135"/>
      <c r="AD877" s="133"/>
      <c r="AE877" s="133"/>
      <c r="AF877" s="132" t="str">
        <f t="shared" si="92"/>
        <v>Нет инфо</v>
      </c>
      <c r="AG877" s="132" t="str">
        <f t="shared" si="93"/>
        <v>Нет инфо</v>
      </c>
      <c r="AH877" s="2"/>
      <c r="AI877" s="136"/>
      <c r="AJ877" s="2"/>
      <c r="AK877" s="136"/>
      <c r="AL877" s="136"/>
      <c r="AM877" s="2"/>
      <c r="AN877" s="2"/>
      <c r="AO877" s="2"/>
      <c r="AP877" s="2"/>
      <c r="AQ877" s="136"/>
    </row>
    <row r="878" spans="1:43" s="115" customFormat="1" ht="12.75" hidden="1" customHeight="1" x14ac:dyDescent="0.2">
      <c r="A878" s="2">
        <v>2907</v>
      </c>
      <c r="B878" s="2"/>
      <c r="C878" s="131"/>
      <c r="D878" s="131"/>
      <c r="E878" s="131"/>
      <c r="F878" s="2"/>
      <c r="G878" s="2"/>
      <c r="H878" s="132">
        <v>0</v>
      </c>
      <c r="I878" s="132"/>
      <c r="J878" s="132"/>
      <c r="K878" s="132"/>
      <c r="L878" s="132">
        <f t="shared" si="89"/>
        <v>0</v>
      </c>
      <c r="M878" s="132">
        <f t="shared" si="90"/>
        <v>0</v>
      </c>
      <c r="N878" s="133"/>
      <c r="O878" s="133">
        <f t="shared" si="91"/>
        <v>0</v>
      </c>
      <c r="P878" s="134"/>
      <c r="Q878" s="133"/>
      <c r="R878" s="133"/>
      <c r="S878" s="153">
        <v>0</v>
      </c>
      <c r="T878" s="153">
        <v>0</v>
      </c>
      <c r="U878" s="153">
        <v>0</v>
      </c>
      <c r="V878" s="135"/>
      <c r="W878" s="135"/>
      <c r="X878" s="135"/>
      <c r="Y878" s="135"/>
      <c r="Z878" s="135"/>
      <c r="AA878" s="135"/>
      <c r="AB878" s="135"/>
      <c r="AC878" s="135"/>
      <c r="AD878" s="133"/>
      <c r="AE878" s="133"/>
      <c r="AF878" s="132" t="str">
        <f t="shared" si="92"/>
        <v>Нет инфо</v>
      </c>
      <c r="AG878" s="132" t="str">
        <f t="shared" si="93"/>
        <v>Нет инфо</v>
      </c>
      <c r="AH878" s="2"/>
      <c r="AI878" s="136"/>
      <c r="AJ878" s="2"/>
      <c r="AK878" s="136"/>
      <c r="AL878" s="136"/>
      <c r="AM878" s="2"/>
      <c r="AN878" s="2"/>
      <c r="AO878" s="2"/>
      <c r="AP878" s="2"/>
      <c r="AQ878" s="136"/>
    </row>
    <row r="879" spans="1:43" s="115" customFormat="1" ht="12.75" hidden="1" customHeight="1" x14ac:dyDescent="0.2">
      <c r="A879" s="2">
        <v>2908</v>
      </c>
      <c r="B879" s="2"/>
      <c r="C879" s="131"/>
      <c r="D879" s="131"/>
      <c r="E879" s="131"/>
      <c r="F879" s="2"/>
      <c r="G879" s="2"/>
      <c r="H879" s="132">
        <v>0</v>
      </c>
      <c r="I879" s="132"/>
      <c r="J879" s="132"/>
      <c r="K879" s="132"/>
      <c r="L879" s="132">
        <f t="shared" si="89"/>
        <v>0</v>
      </c>
      <c r="M879" s="132">
        <f t="shared" si="90"/>
        <v>0</v>
      </c>
      <c r="N879" s="133"/>
      <c r="O879" s="133">
        <f t="shared" si="91"/>
        <v>0</v>
      </c>
      <c r="P879" s="134"/>
      <c r="Q879" s="133"/>
      <c r="R879" s="133"/>
      <c r="S879" s="153">
        <v>0</v>
      </c>
      <c r="T879" s="153">
        <v>0</v>
      </c>
      <c r="U879" s="153">
        <v>0</v>
      </c>
      <c r="V879" s="135"/>
      <c r="W879" s="135"/>
      <c r="X879" s="135"/>
      <c r="Y879" s="135"/>
      <c r="Z879" s="135"/>
      <c r="AA879" s="135"/>
      <c r="AB879" s="135"/>
      <c r="AC879" s="135"/>
      <c r="AD879" s="133"/>
      <c r="AE879" s="133"/>
      <c r="AF879" s="132" t="str">
        <f t="shared" si="92"/>
        <v>Нет инфо</v>
      </c>
      <c r="AG879" s="132" t="str">
        <f t="shared" si="93"/>
        <v>Нет инфо</v>
      </c>
      <c r="AH879" s="2"/>
      <c r="AI879" s="136"/>
      <c r="AJ879" s="2"/>
      <c r="AK879" s="136"/>
      <c r="AL879" s="136"/>
      <c r="AM879" s="2"/>
      <c r="AN879" s="2"/>
      <c r="AO879" s="2"/>
      <c r="AP879" s="2"/>
      <c r="AQ879" s="136"/>
    </row>
    <row r="880" spans="1:43" s="115" customFormat="1" ht="12.75" hidden="1" customHeight="1" x14ac:dyDescent="0.2">
      <c r="A880" s="2">
        <v>2909</v>
      </c>
      <c r="B880" s="2"/>
      <c r="C880" s="131"/>
      <c r="D880" s="131"/>
      <c r="E880" s="131"/>
      <c r="F880" s="2"/>
      <c r="G880" s="2"/>
      <c r="H880" s="132">
        <v>0</v>
      </c>
      <c r="I880" s="132"/>
      <c r="J880" s="132"/>
      <c r="K880" s="132"/>
      <c r="L880" s="132">
        <f t="shared" si="89"/>
        <v>0</v>
      </c>
      <c r="M880" s="132">
        <f t="shared" si="90"/>
        <v>0</v>
      </c>
      <c r="N880" s="133"/>
      <c r="O880" s="133">
        <f t="shared" si="91"/>
        <v>0</v>
      </c>
      <c r="P880" s="134"/>
      <c r="Q880" s="133"/>
      <c r="R880" s="133"/>
      <c r="S880" s="153">
        <v>0</v>
      </c>
      <c r="T880" s="153">
        <v>0</v>
      </c>
      <c r="U880" s="153">
        <v>0</v>
      </c>
      <c r="V880" s="135"/>
      <c r="W880" s="135"/>
      <c r="X880" s="135"/>
      <c r="Y880" s="135"/>
      <c r="Z880" s="135"/>
      <c r="AA880" s="135"/>
      <c r="AB880" s="135"/>
      <c r="AC880" s="135"/>
      <c r="AD880" s="133"/>
      <c r="AE880" s="133"/>
      <c r="AF880" s="132" t="str">
        <f t="shared" si="92"/>
        <v>Нет инфо</v>
      </c>
      <c r="AG880" s="132" t="str">
        <f t="shared" si="93"/>
        <v>Нет инфо</v>
      </c>
      <c r="AH880" s="2"/>
      <c r="AI880" s="136"/>
      <c r="AJ880" s="2"/>
      <c r="AK880" s="136"/>
      <c r="AL880" s="136"/>
      <c r="AM880" s="2"/>
      <c r="AN880" s="2"/>
      <c r="AO880" s="2"/>
      <c r="AP880" s="2"/>
      <c r="AQ880" s="136"/>
    </row>
    <row r="881" spans="1:43" s="115" customFormat="1" ht="12.75" hidden="1" customHeight="1" x14ac:dyDescent="0.2">
      <c r="A881" s="2">
        <v>2910</v>
      </c>
      <c r="B881" s="2"/>
      <c r="C881" s="131"/>
      <c r="D881" s="131"/>
      <c r="E881" s="131"/>
      <c r="F881" s="2"/>
      <c r="G881" s="2"/>
      <c r="H881" s="132">
        <v>0</v>
      </c>
      <c r="I881" s="132"/>
      <c r="J881" s="132"/>
      <c r="K881" s="132"/>
      <c r="L881" s="132">
        <f t="shared" si="89"/>
        <v>0</v>
      </c>
      <c r="M881" s="132">
        <f t="shared" si="90"/>
        <v>0</v>
      </c>
      <c r="N881" s="133"/>
      <c r="O881" s="133">
        <f t="shared" si="91"/>
        <v>0</v>
      </c>
      <c r="P881" s="134"/>
      <c r="Q881" s="133"/>
      <c r="R881" s="133"/>
      <c r="S881" s="153">
        <v>0</v>
      </c>
      <c r="T881" s="153">
        <v>0</v>
      </c>
      <c r="U881" s="153">
        <v>0</v>
      </c>
      <c r="V881" s="135"/>
      <c r="W881" s="135"/>
      <c r="X881" s="135"/>
      <c r="Y881" s="135"/>
      <c r="Z881" s="135"/>
      <c r="AA881" s="135"/>
      <c r="AB881" s="135"/>
      <c r="AC881" s="135"/>
      <c r="AD881" s="133"/>
      <c r="AE881" s="133"/>
      <c r="AF881" s="132" t="str">
        <f t="shared" si="92"/>
        <v>Нет инфо</v>
      </c>
      <c r="AG881" s="132" t="str">
        <f t="shared" si="93"/>
        <v>Нет инфо</v>
      </c>
      <c r="AH881" s="2"/>
      <c r="AI881" s="136"/>
      <c r="AJ881" s="2"/>
      <c r="AK881" s="136"/>
      <c r="AL881" s="136"/>
      <c r="AM881" s="2"/>
      <c r="AN881" s="2"/>
      <c r="AO881" s="2"/>
      <c r="AP881" s="2"/>
      <c r="AQ881" s="136"/>
    </row>
    <row r="882" spans="1:43" s="115" customFormat="1" ht="12.75" hidden="1" customHeight="1" x14ac:dyDescent="0.2">
      <c r="A882" s="2">
        <v>2911</v>
      </c>
      <c r="B882" s="2"/>
      <c r="C882" s="131"/>
      <c r="D882" s="131"/>
      <c r="E882" s="131"/>
      <c r="F882" s="2"/>
      <c r="G882" s="2"/>
      <c r="H882" s="132">
        <v>0</v>
      </c>
      <c r="I882" s="132"/>
      <c r="J882" s="132"/>
      <c r="K882" s="132"/>
      <c r="L882" s="132">
        <f t="shared" si="89"/>
        <v>0</v>
      </c>
      <c r="M882" s="132">
        <f t="shared" si="90"/>
        <v>0</v>
      </c>
      <c r="N882" s="133"/>
      <c r="O882" s="133">
        <f t="shared" si="91"/>
        <v>0</v>
      </c>
      <c r="P882" s="134"/>
      <c r="Q882" s="133"/>
      <c r="R882" s="133"/>
      <c r="S882" s="153">
        <v>0</v>
      </c>
      <c r="T882" s="153">
        <v>0</v>
      </c>
      <c r="U882" s="153">
        <v>0</v>
      </c>
      <c r="V882" s="135"/>
      <c r="W882" s="135"/>
      <c r="X882" s="135"/>
      <c r="Y882" s="135"/>
      <c r="Z882" s="135"/>
      <c r="AA882" s="135"/>
      <c r="AB882" s="135"/>
      <c r="AC882" s="135"/>
      <c r="AD882" s="133"/>
      <c r="AE882" s="133"/>
      <c r="AF882" s="132" t="str">
        <f t="shared" si="92"/>
        <v>Нет инфо</v>
      </c>
      <c r="AG882" s="132" t="str">
        <f t="shared" si="93"/>
        <v>Нет инфо</v>
      </c>
      <c r="AH882" s="2"/>
      <c r="AI882" s="136"/>
      <c r="AJ882" s="2"/>
      <c r="AK882" s="136"/>
      <c r="AL882" s="136"/>
      <c r="AM882" s="2"/>
      <c r="AN882" s="2"/>
      <c r="AO882" s="2"/>
      <c r="AP882" s="2"/>
      <c r="AQ882" s="136"/>
    </row>
    <row r="883" spans="1:43" s="115" customFormat="1" ht="12.75" hidden="1" customHeight="1" x14ac:dyDescent="0.2">
      <c r="A883" s="2">
        <v>2912</v>
      </c>
      <c r="B883" s="2"/>
      <c r="C883" s="131"/>
      <c r="D883" s="131"/>
      <c r="E883" s="131"/>
      <c r="F883" s="2"/>
      <c r="G883" s="2"/>
      <c r="H883" s="132">
        <v>0</v>
      </c>
      <c r="I883" s="132"/>
      <c r="J883" s="132"/>
      <c r="K883" s="132"/>
      <c r="L883" s="132">
        <f t="shared" si="89"/>
        <v>0</v>
      </c>
      <c r="M883" s="132">
        <f t="shared" si="90"/>
        <v>0</v>
      </c>
      <c r="N883" s="133"/>
      <c r="O883" s="133">
        <f t="shared" si="91"/>
        <v>0</v>
      </c>
      <c r="P883" s="134"/>
      <c r="Q883" s="133"/>
      <c r="R883" s="133"/>
      <c r="S883" s="153">
        <v>0</v>
      </c>
      <c r="T883" s="153">
        <v>0</v>
      </c>
      <c r="U883" s="153">
        <v>0</v>
      </c>
      <c r="V883" s="135"/>
      <c r="W883" s="135"/>
      <c r="X883" s="135"/>
      <c r="Y883" s="135"/>
      <c r="Z883" s="135"/>
      <c r="AA883" s="135"/>
      <c r="AB883" s="135"/>
      <c r="AC883" s="135"/>
      <c r="AD883" s="133"/>
      <c r="AE883" s="133"/>
      <c r="AF883" s="132" t="str">
        <f t="shared" si="92"/>
        <v>Нет инфо</v>
      </c>
      <c r="AG883" s="132" t="str">
        <f t="shared" si="93"/>
        <v>Нет инфо</v>
      </c>
      <c r="AH883" s="2"/>
      <c r="AI883" s="136"/>
      <c r="AJ883" s="2"/>
      <c r="AK883" s="136"/>
      <c r="AL883" s="136"/>
      <c r="AM883" s="2"/>
      <c r="AN883" s="2"/>
      <c r="AO883" s="2"/>
      <c r="AP883" s="2"/>
      <c r="AQ883" s="136"/>
    </row>
    <row r="884" spans="1:43" s="115" customFormat="1" ht="12.75" hidden="1" customHeight="1" x14ac:dyDescent="0.2">
      <c r="A884" s="2">
        <v>2913</v>
      </c>
      <c r="B884" s="2"/>
      <c r="C884" s="131"/>
      <c r="D884" s="131"/>
      <c r="E884" s="131"/>
      <c r="F884" s="2"/>
      <c r="G884" s="2"/>
      <c r="H884" s="132">
        <v>0</v>
      </c>
      <c r="I884" s="132"/>
      <c r="J884" s="132"/>
      <c r="K884" s="132"/>
      <c r="L884" s="132">
        <f t="shared" si="89"/>
        <v>0</v>
      </c>
      <c r="M884" s="132">
        <f t="shared" si="90"/>
        <v>0</v>
      </c>
      <c r="N884" s="133"/>
      <c r="O884" s="133">
        <f t="shared" si="91"/>
        <v>0</v>
      </c>
      <c r="P884" s="134"/>
      <c r="Q884" s="133"/>
      <c r="R884" s="133"/>
      <c r="S884" s="153">
        <v>0</v>
      </c>
      <c r="T884" s="153">
        <v>0</v>
      </c>
      <c r="U884" s="153">
        <v>0</v>
      </c>
      <c r="V884" s="135"/>
      <c r="W884" s="135"/>
      <c r="X884" s="135"/>
      <c r="Y884" s="135"/>
      <c r="Z884" s="135"/>
      <c r="AA884" s="135"/>
      <c r="AB884" s="135"/>
      <c r="AC884" s="135"/>
      <c r="AD884" s="133"/>
      <c r="AE884" s="133"/>
      <c r="AF884" s="132" t="str">
        <f t="shared" si="92"/>
        <v>Нет инфо</v>
      </c>
      <c r="AG884" s="132" t="str">
        <f t="shared" si="93"/>
        <v>Нет инфо</v>
      </c>
      <c r="AH884" s="2"/>
      <c r="AI884" s="136"/>
      <c r="AJ884" s="2"/>
      <c r="AK884" s="136"/>
      <c r="AL884" s="136"/>
      <c r="AM884" s="2"/>
      <c r="AN884" s="2"/>
      <c r="AO884" s="2"/>
      <c r="AP884" s="2"/>
      <c r="AQ884" s="136"/>
    </row>
    <row r="885" spans="1:43" s="115" customFormat="1" ht="12.75" hidden="1" customHeight="1" x14ac:dyDescent="0.2">
      <c r="A885" s="2">
        <v>2914</v>
      </c>
      <c r="B885" s="2"/>
      <c r="C885" s="131"/>
      <c r="D885" s="131"/>
      <c r="E885" s="131"/>
      <c r="F885" s="2"/>
      <c r="G885" s="2"/>
      <c r="H885" s="132">
        <v>0</v>
      </c>
      <c r="I885" s="132"/>
      <c r="J885" s="132"/>
      <c r="K885" s="132"/>
      <c r="L885" s="132">
        <f t="shared" si="89"/>
        <v>0</v>
      </c>
      <c r="M885" s="132">
        <f t="shared" si="90"/>
        <v>0</v>
      </c>
      <c r="N885" s="133"/>
      <c r="O885" s="133">
        <f t="shared" si="91"/>
        <v>0</v>
      </c>
      <c r="P885" s="134"/>
      <c r="Q885" s="133"/>
      <c r="R885" s="133"/>
      <c r="S885" s="153">
        <v>0</v>
      </c>
      <c r="T885" s="153">
        <v>0</v>
      </c>
      <c r="U885" s="153">
        <v>0</v>
      </c>
      <c r="V885" s="135"/>
      <c r="W885" s="135"/>
      <c r="X885" s="135"/>
      <c r="Y885" s="135"/>
      <c r="Z885" s="135"/>
      <c r="AA885" s="135"/>
      <c r="AB885" s="135"/>
      <c r="AC885" s="135"/>
      <c r="AD885" s="133"/>
      <c r="AE885" s="133"/>
      <c r="AF885" s="132" t="str">
        <f t="shared" si="92"/>
        <v>Нет инфо</v>
      </c>
      <c r="AG885" s="132" t="str">
        <f t="shared" si="93"/>
        <v>Нет инфо</v>
      </c>
      <c r="AH885" s="2"/>
      <c r="AI885" s="136"/>
      <c r="AJ885" s="2"/>
      <c r="AK885" s="136"/>
      <c r="AL885" s="136"/>
      <c r="AM885" s="2"/>
      <c r="AN885" s="2"/>
      <c r="AO885" s="2"/>
      <c r="AP885" s="2"/>
      <c r="AQ885" s="136"/>
    </row>
    <row r="886" spans="1:43" s="115" customFormat="1" ht="12.75" hidden="1" customHeight="1" x14ac:dyDescent="0.2">
      <c r="A886" s="2">
        <v>2915</v>
      </c>
      <c r="B886" s="2"/>
      <c r="C886" s="131"/>
      <c r="D886" s="131"/>
      <c r="E886" s="131"/>
      <c r="F886" s="2"/>
      <c r="G886" s="2"/>
      <c r="H886" s="132">
        <v>0</v>
      </c>
      <c r="I886" s="132"/>
      <c r="J886" s="132"/>
      <c r="K886" s="132"/>
      <c r="L886" s="132">
        <f t="shared" si="89"/>
        <v>0</v>
      </c>
      <c r="M886" s="132">
        <f t="shared" si="90"/>
        <v>0</v>
      </c>
      <c r="N886" s="133"/>
      <c r="O886" s="133">
        <f t="shared" si="91"/>
        <v>0</v>
      </c>
      <c r="P886" s="134"/>
      <c r="Q886" s="133"/>
      <c r="R886" s="133"/>
      <c r="S886" s="153">
        <v>0</v>
      </c>
      <c r="T886" s="153">
        <v>0</v>
      </c>
      <c r="U886" s="153">
        <v>0</v>
      </c>
      <c r="V886" s="135"/>
      <c r="W886" s="135"/>
      <c r="X886" s="135"/>
      <c r="Y886" s="135"/>
      <c r="Z886" s="135"/>
      <c r="AA886" s="135"/>
      <c r="AB886" s="135"/>
      <c r="AC886" s="135"/>
      <c r="AD886" s="133"/>
      <c r="AE886" s="133"/>
      <c r="AF886" s="132" t="str">
        <f t="shared" si="92"/>
        <v>Нет инфо</v>
      </c>
      <c r="AG886" s="132" t="str">
        <f t="shared" si="93"/>
        <v>Нет инфо</v>
      </c>
      <c r="AH886" s="2"/>
      <c r="AI886" s="136"/>
      <c r="AJ886" s="2"/>
      <c r="AK886" s="136"/>
      <c r="AL886" s="136"/>
      <c r="AM886" s="2"/>
      <c r="AN886" s="2"/>
      <c r="AO886" s="2"/>
      <c r="AP886" s="2"/>
      <c r="AQ886" s="136"/>
    </row>
    <row r="887" spans="1:43" s="115" customFormat="1" ht="12.75" hidden="1" customHeight="1" x14ac:dyDescent="0.2">
      <c r="A887" s="2">
        <v>2916</v>
      </c>
      <c r="B887" s="2"/>
      <c r="C887" s="131"/>
      <c r="D887" s="131"/>
      <c r="E887" s="131"/>
      <c r="F887" s="2"/>
      <c r="G887" s="2"/>
      <c r="H887" s="132">
        <v>0</v>
      </c>
      <c r="I887" s="132"/>
      <c r="J887" s="132"/>
      <c r="K887" s="132"/>
      <c r="L887" s="132">
        <f t="shared" si="89"/>
        <v>0</v>
      </c>
      <c r="M887" s="132">
        <f t="shared" si="90"/>
        <v>0</v>
      </c>
      <c r="N887" s="133"/>
      <c r="O887" s="133">
        <f t="shared" si="91"/>
        <v>0</v>
      </c>
      <c r="P887" s="134"/>
      <c r="Q887" s="133"/>
      <c r="R887" s="133"/>
      <c r="S887" s="153">
        <v>0</v>
      </c>
      <c r="T887" s="153">
        <v>0</v>
      </c>
      <c r="U887" s="153">
        <v>0</v>
      </c>
      <c r="V887" s="135"/>
      <c r="W887" s="135"/>
      <c r="X887" s="135"/>
      <c r="Y887" s="135"/>
      <c r="Z887" s="135"/>
      <c r="AA887" s="135"/>
      <c r="AB887" s="135"/>
      <c r="AC887" s="135"/>
      <c r="AD887" s="133"/>
      <c r="AE887" s="133"/>
      <c r="AF887" s="132" t="str">
        <f t="shared" si="92"/>
        <v>Нет инфо</v>
      </c>
      <c r="AG887" s="132" t="str">
        <f t="shared" si="93"/>
        <v>Нет инфо</v>
      </c>
      <c r="AH887" s="2"/>
      <c r="AI887" s="136"/>
      <c r="AJ887" s="2"/>
      <c r="AK887" s="136"/>
      <c r="AL887" s="136"/>
      <c r="AM887" s="2"/>
      <c r="AN887" s="2"/>
      <c r="AO887" s="2"/>
      <c r="AP887" s="2"/>
      <c r="AQ887" s="136"/>
    </row>
    <row r="888" spans="1:43" s="115" customFormat="1" ht="12.75" hidden="1" customHeight="1" x14ac:dyDescent="0.2">
      <c r="A888" s="2">
        <v>2917</v>
      </c>
      <c r="B888" s="2"/>
      <c r="C888" s="131"/>
      <c r="D888" s="131"/>
      <c r="E888" s="131"/>
      <c r="F888" s="2"/>
      <c r="G888" s="2"/>
      <c r="H888" s="132">
        <v>0</v>
      </c>
      <c r="I888" s="132"/>
      <c r="J888" s="132"/>
      <c r="K888" s="132"/>
      <c r="L888" s="132">
        <f t="shared" si="89"/>
        <v>0</v>
      </c>
      <c r="M888" s="132">
        <f t="shared" si="90"/>
        <v>0</v>
      </c>
      <c r="N888" s="133"/>
      <c r="O888" s="133">
        <f t="shared" si="91"/>
        <v>0</v>
      </c>
      <c r="P888" s="134"/>
      <c r="Q888" s="133"/>
      <c r="R888" s="133"/>
      <c r="S888" s="153">
        <v>0</v>
      </c>
      <c r="T888" s="153">
        <v>0</v>
      </c>
      <c r="U888" s="153">
        <v>0</v>
      </c>
      <c r="V888" s="135"/>
      <c r="W888" s="135"/>
      <c r="X888" s="135"/>
      <c r="Y888" s="135"/>
      <c r="Z888" s="135"/>
      <c r="AA888" s="135"/>
      <c r="AB888" s="135"/>
      <c r="AC888" s="135"/>
      <c r="AD888" s="133"/>
      <c r="AE888" s="133"/>
      <c r="AF888" s="132" t="str">
        <f t="shared" si="92"/>
        <v>Нет инфо</v>
      </c>
      <c r="AG888" s="132" t="str">
        <f t="shared" si="93"/>
        <v>Нет инфо</v>
      </c>
      <c r="AH888" s="2"/>
      <c r="AI888" s="136"/>
      <c r="AJ888" s="2"/>
      <c r="AK888" s="136"/>
      <c r="AL888" s="136"/>
      <c r="AM888" s="2"/>
      <c r="AN888" s="2"/>
      <c r="AO888" s="2"/>
      <c r="AP888" s="2"/>
      <c r="AQ888" s="136"/>
    </row>
    <row r="889" spans="1:43" s="115" customFormat="1" ht="12.75" hidden="1" customHeight="1" x14ac:dyDescent="0.2">
      <c r="A889" s="2">
        <v>2918</v>
      </c>
      <c r="B889" s="2"/>
      <c r="C889" s="131"/>
      <c r="D889" s="131"/>
      <c r="E889" s="131"/>
      <c r="F889" s="2"/>
      <c r="G889" s="2"/>
      <c r="H889" s="132">
        <v>0</v>
      </c>
      <c r="I889" s="132"/>
      <c r="J889" s="132"/>
      <c r="K889" s="132"/>
      <c r="L889" s="132">
        <f t="shared" si="89"/>
        <v>0</v>
      </c>
      <c r="M889" s="132">
        <f t="shared" si="90"/>
        <v>0</v>
      </c>
      <c r="N889" s="133"/>
      <c r="O889" s="133">
        <f t="shared" si="91"/>
        <v>0</v>
      </c>
      <c r="P889" s="134"/>
      <c r="Q889" s="133"/>
      <c r="R889" s="133"/>
      <c r="S889" s="153">
        <v>0</v>
      </c>
      <c r="T889" s="153">
        <v>0</v>
      </c>
      <c r="U889" s="153">
        <v>0</v>
      </c>
      <c r="V889" s="135"/>
      <c r="W889" s="135"/>
      <c r="X889" s="135"/>
      <c r="Y889" s="135"/>
      <c r="Z889" s="135"/>
      <c r="AA889" s="135"/>
      <c r="AB889" s="135"/>
      <c r="AC889" s="135"/>
      <c r="AD889" s="133"/>
      <c r="AE889" s="133"/>
      <c r="AF889" s="132" t="str">
        <f t="shared" si="92"/>
        <v>Нет инфо</v>
      </c>
      <c r="AG889" s="132" t="str">
        <f t="shared" si="93"/>
        <v>Нет инфо</v>
      </c>
      <c r="AH889" s="2"/>
      <c r="AI889" s="136"/>
      <c r="AJ889" s="2"/>
      <c r="AK889" s="136"/>
      <c r="AL889" s="136"/>
      <c r="AM889" s="2"/>
      <c r="AN889" s="2"/>
      <c r="AO889" s="2"/>
      <c r="AP889" s="2"/>
      <c r="AQ889" s="136"/>
    </row>
    <row r="890" spans="1:43" s="115" customFormat="1" ht="12.75" hidden="1" customHeight="1" x14ac:dyDescent="0.2">
      <c r="A890" s="2">
        <v>2919</v>
      </c>
      <c r="B890" s="2"/>
      <c r="C890" s="131"/>
      <c r="D890" s="131"/>
      <c r="E890" s="131"/>
      <c r="F890" s="2"/>
      <c r="G890" s="2"/>
      <c r="H890" s="132">
        <v>0</v>
      </c>
      <c r="I890" s="132"/>
      <c r="J890" s="132"/>
      <c r="K890" s="132"/>
      <c r="L890" s="132">
        <f t="shared" si="89"/>
        <v>0</v>
      </c>
      <c r="M890" s="132">
        <f t="shared" si="90"/>
        <v>0</v>
      </c>
      <c r="N890" s="133"/>
      <c r="O890" s="133">
        <f t="shared" si="91"/>
        <v>0</v>
      </c>
      <c r="P890" s="134"/>
      <c r="Q890" s="133"/>
      <c r="R890" s="133"/>
      <c r="S890" s="153">
        <v>0</v>
      </c>
      <c r="T890" s="153">
        <v>0</v>
      </c>
      <c r="U890" s="153">
        <v>0</v>
      </c>
      <c r="V890" s="135"/>
      <c r="W890" s="135"/>
      <c r="X890" s="135"/>
      <c r="Y890" s="135"/>
      <c r="Z890" s="135"/>
      <c r="AA890" s="135"/>
      <c r="AB890" s="135"/>
      <c r="AC890" s="135"/>
      <c r="AD890" s="133"/>
      <c r="AE890" s="133"/>
      <c r="AF890" s="132" t="str">
        <f t="shared" si="92"/>
        <v>Нет инфо</v>
      </c>
      <c r="AG890" s="132" t="str">
        <f t="shared" si="93"/>
        <v>Нет инфо</v>
      </c>
      <c r="AH890" s="2"/>
      <c r="AI890" s="136"/>
      <c r="AJ890" s="2"/>
      <c r="AK890" s="136"/>
      <c r="AL890" s="136"/>
      <c r="AM890" s="2"/>
      <c r="AN890" s="2"/>
      <c r="AO890" s="2"/>
      <c r="AP890" s="2"/>
      <c r="AQ890" s="136"/>
    </row>
    <row r="891" spans="1:43" s="115" customFormat="1" ht="12.75" hidden="1" customHeight="1" x14ac:dyDescent="0.2">
      <c r="A891" s="2">
        <v>2920</v>
      </c>
      <c r="B891" s="2"/>
      <c r="C891" s="131"/>
      <c r="D891" s="131"/>
      <c r="E891" s="131"/>
      <c r="F891" s="2"/>
      <c r="G891" s="2"/>
      <c r="H891" s="132">
        <v>0</v>
      </c>
      <c r="I891" s="132"/>
      <c r="J891" s="132"/>
      <c r="K891" s="132"/>
      <c r="L891" s="132">
        <f t="shared" si="89"/>
        <v>0</v>
      </c>
      <c r="M891" s="132">
        <f t="shared" si="90"/>
        <v>0</v>
      </c>
      <c r="N891" s="133"/>
      <c r="O891" s="133">
        <f t="shared" si="91"/>
        <v>0</v>
      </c>
      <c r="P891" s="134"/>
      <c r="Q891" s="133"/>
      <c r="R891" s="133"/>
      <c r="S891" s="153">
        <v>0</v>
      </c>
      <c r="T891" s="153">
        <v>0</v>
      </c>
      <c r="U891" s="153">
        <v>0</v>
      </c>
      <c r="V891" s="135"/>
      <c r="W891" s="135"/>
      <c r="X891" s="135"/>
      <c r="Y891" s="135"/>
      <c r="Z891" s="135"/>
      <c r="AA891" s="135"/>
      <c r="AB891" s="135"/>
      <c r="AC891" s="135"/>
      <c r="AD891" s="133"/>
      <c r="AE891" s="133"/>
      <c r="AF891" s="132" t="str">
        <f t="shared" si="92"/>
        <v>Нет инфо</v>
      </c>
      <c r="AG891" s="132" t="str">
        <f t="shared" si="93"/>
        <v>Нет инфо</v>
      </c>
      <c r="AH891" s="2"/>
      <c r="AI891" s="136"/>
      <c r="AJ891" s="2"/>
      <c r="AK891" s="136"/>
      <c r="AL891" s="136"/>
      <c r="AM891" s="2"/>
      <c r="AN891" s="2"/>
      <c r="AO891" s="2"/>
      <c r="AP891" s="2"/>
      <c r="AQ891" s="136"/>
    </row>
    <row r="892" spans="1:43" s="115" customFormat="1" ht="12.75" hidden="1" customHeight="1" x14ac:dyDescent="0.2">
      <c r="A892" s="2">
        <v>2921</v>
      </c>
      <c r="B892" s="2"/>
      <c r="C892" s="131"/>
      <c r="D892" s="131"/>
      <c r="E892" s="131"/>
      <c r="F892" s="2"/>
      <c r="G892" s="2"/>
      <c r="H892" s="132">
        <v>0</v>
      </c>
      <c r="I892" s="132"/>
      <c r="J892" s="132"/>
      <c r="K892" s="132"/>
      <c r="L892" s="132">
        <f t="shared" si="89"/>
        <v>0</v>
      </c>
      <c r="M892" s="132">
        <f t="shared" si="90"/>
        <v>0</v>
      </c>
      <c r="N892" s="133"/>
      <c r="O892" s="133">
        <f t="shared" si="91"/>
        <v>0</v>
      </c>
      <c r="P892" s="134"/>
      <c r="Q892" s="133"/>
      <c r="R892" s="133"/>
      <c r="S892" s="153">
        <v>0</v>
      </c>
      <c r="T892" s="153">
        <v>0</v>
      </c>
      <c r="U892" s="153">
        <v>0</v>
      </c>
      <c r="V892" s="135"/>
      <c r="W892" s="135"/>
      <c r="X892" s="135"/>
      <c r="Y892" s="135"/>
      <c r="Z892" s="135"/>
      <c r="AA892" s="135"/>
      <c r="AB892" s="135"/>
      <c r="AC892" s="135"/>
      <c r="AD892" s="133"/>
      <c r="AE892" s="133"/>
      <c r="AF892" s="132" t="str">
        <f t="shared" si="92"/>
        <v>Нет инфо</v>
      </c>
      <c r="AG892" s="132" t="str">
        <f t="shared" si="93"/>
        <v>Нет инфо</v>
      </c>
      <c r="AH892" s="2"/>
      <c r="AI892" s="136"/>
      <c r="AJ892" s="2"/>
      <c r="AK892" s="136"/>
      <c r="AL892" s="136"/>
      <c r="AM892" s="2"/>
      <c r="AN892" s="2"/>
      <c r="AO892" s="2"/>
      <c r="AP892" s="2"/>
      <c r="AQ892" s="136"/>
    </row>
    <row r="893" spans="1:43" s="115" customFormat="1" ht="12.75" hidden="1" customHeight="1" x14ac:dyDescent="0.2">
      <c r="A893" s="2">
        <v>2922</v>
      </c>
      <c r="B893" s="2"/>
      <c r="C893" s="131"/>
      <c r="D893" s="131"/>
      <c r="E893" s="131"/>
      <c r="F893" s="2"/>
      <c r="G893" s="2"/>
      <c r="H893" s="132">
        <v>0</v>
      </c>
      <c r="I893" s="132"/>
      <c r="J893" s="132"/>
      <c r="K893" s="132"/>
      <c r="L893" s="132">
        <f t="shared" si="89"/>
        <v>0</v>
      </c>
      <c r="M893" s="132">
        <f t="shared" si="90"/>
        <v>0</v>
      </c>
      <c r="N893" s="133"/>
      <c r="O893" s="133">
        <f t="shared" si="91"/>
        <v>0</v>
      </c>
      <c r="P893" s="134"/>
      <c r="Q893" s="133"/>
      <c r="R893" s="133"/>
      <c r="S893" s="153">
        <v>0</v>
      </c>
      <c r="T893" s="153">
        <v>0</v>
      </c>
      <c r="U893" s="153">
        <v>0</v>
      </c>
      <c r="V893" s="135"/>
      <c r="W893" s="135"/>
      <c r="X893" s="135"/>
      <c r="Y893" s="135"/>
      <c r="Z893" s="135"/>
      <c r="AA893" s="135"/>
      <c r="AB893" s="135"/>
      <c r="AC893" s="135"/>
      <c r="AD893" s="133"/>
      <c r="AE893" s="133"/>
      <c r="AF893" s="132" t="str">
        <f t="shared" si="92"/>
        <v>Нет инфо</v>
      </c>
      <c r="AG893" s="132" t="str">
        <f t="shared" si="93"/>
        <v>Нет инфо</v>
      </c>
      <c r="AH893" s="2"/>
      <c r="AI893" s="136"/>
      <c r="AJ893" s="2"/>
      <c r="AK893" s="136"/>
      <c r="AL893" s="136"/>
      <c r="AM893" s="2"/>
      <c r="AN893" s="2"/>
      <c r="AO893" s="2"/>
      <c r="AP893" s="2"/>
      <c r="AQ893" s="136"/>
    </row>
    <row r="894" spans="1:43" s="115" customFormat="1" ht="12.75" hidden="1" customHeight="1" x14ac:dyDescent="0.2">
      <c r="A894" s="2">
        <v>2923</v>
      </c>
      <c r="B894" s="2"/>
      <c r="C894" s="131"/>
      <c r="D894" s="131"/>
      <c r="E894" s="131"/>
      <c r="F894" s="2"/>
      <c r="G894" s="2"/>
      <c r="H894" s="132">
        <v>0</v>
      </c>
      <c r="I894" s="132"/>
      <c r="J894" s="132"/>
      <c r="K894" s="132"/>
      <c r="L894" s="132">
        <f t="shared" si="89"/>
        <v>0</v>
      </c>
      <c r="M894" s="132">
        <f t="shared" si="90"/>
        <v>0</v>
      </c>
      <c r="N894" s="133"/>
      <c r="O894" s="133">
        <f t="shared" si="91"/>
        <v>0</v>
      </c>
      <c r="P894" s="134"/>
      <c r="Q894" s="133"/>
      <c r="R894" s="133"/>
      <c r="S894" s="153">
        <v>0</v>
      </c>
      <c r="T894" s="153">
        <v>0</v>
      </c>
      <c r="U894" s="153">
        <v>0</v>
      </c>
      <c r="V894" s="135"/>
      <c r="W894" s="135"/>
      <c r="X894" s="135"/>
      <c r="Y894" s="135"/>
      <c r="Z894" s="135"/>
      <c r="AA894" s="135"/>
      <c r="AB894" s="135"/>
      <c r="AC894" s="135"/>
      <c r="AD894" s="133"/>
      <c r="AE894" s="133"/>
      <c r="AF894" s="132" t="str">
        <f t="shared" si="92"/>
        <v>Нет инфо</v>
      </c>
      <c r="AG894" s="132" t="str">
        <f t="shared" si="93"/>
        <v>Нет инфо</v>
      </c>
      <c r="AH894" s="2"/>
      <c r="AI894" s="136"/>
      <c r="AJ894" s="2"/>
      <c r="AK894" s="136"/>
      <c r="AL894" s="136"/>
      <c r="AM894" s="2"/>
      <c r="AN894" s="2"/>
      <c r="AO894" s="2"/>
      <c r="AP894" s="2"/>
      <c r="AQ894" s="136"/>
    </row>
    <row r="895" spans="1:43" s="115" customFormat="1" ht="12.75" hidden="1" customHeight="1" x14ac:dyDescent="0.2">
      <c r="A895" s="2">
        <v>2924</v>
      </c>
      <c r="B895" s="2"/>
      <c r="C895" s="131"/>
      <c r="D895" s="131"/>
      <c r="E895" s="131"/>
      <c r="F895" s="2"/>
      <c r="G895" s="2"/>
      <c r="H895" s="132">
        <v>0</v>
      </c>
      <c r="I895" s="132"/>
      <c r="J895" s="132"/>
      <c r="K895" s="132"/>
      <c r="L895" s="132">
        <f t="shared" si="89"/>
        <v>0</v>
      </c>
      <c r="M895" s="132">
        <f t="shared" si="90"/>
        <v>0</v>
      </c>
      <c r="N895" s="133"/>
      <c r="O895" s="133">
        <f t="shared" si="91"/>
        <v>0</v>
      </c>
      <c r="P895" s="134"/>
      <c r="Q895" s="133"/>
      <c r="R895" s="133"/>
      <c r="S895" s="153">
        <v>0</v>
      </c>
      <c r="T895" s="153">
        <v>0</v>
      </c>
      <c r="U895" s="153">
        <v>0</v>
      </c>
      <c r="V895" s="135"/>
      <c r="W895" s="135"/>
      <c r="X895" s="135"/>
      <c r="Y895" s="135"/>
      <c r="Z895" s="135"/>
      <c r="AA895" s="135"/>
      <c r="AB895" s="135"/>
      <c r="AC895" s="135"/>
      <c r="AD895" s="133"/>
      <c r="AE895" s="133"/>
      <c r="AF895" s="132" t="str">
        <f t="shared" si="92"/>
        <v>Нет инфо</v>
      </c>
      <c r="AG895" s="132" t="str">
        <f t="shared" si="93"/>
        <v>Нет инфо</v>
      </c>
      <c r="AH895" s="2"/>
      <c r="AI895" s="136"/>
      <c r="AJ895" s="2"/>
      <c r="AK895" s="136"/>
      <c r="AL895" s="136"/>
      <c r="AM895" s="2"/>
      <c r="AN895" s="2"/>
      <c r="AO895" s="2"/>
      <c r="AP895" s="2"/>
      <c r="AQ895" s="136"/>
    </row>
    <row r="896" spans="1:43" s="115" customFormat="1" ht="12.75" hidden="1" customHeight="1" x14ac:dyDescent="0.2">
      <c r="A896" s="2">
        <v>2925</v>
      </c>
      <c r="B896" s="2"/>
      <c r="C896" s="131"/>
      <c r="D896" s="131"/>
      <c r="E896" s="131"/>
      <c r="F896" s="2"/>
      <c r="G896" s="2"/>
      <c r="H896" s="132">
        <v>0</v>
      </c>
      <c r="I896" s="132"/>
      <c r="J896" s="132"/>
      <c r="K896" s="132"/>
      <c r="L896" s="132">
        <f t="shared" si="89"/>
        <v>0</v>
      </c>
      <c r="M896" s="132">
        <f t="shared" si="90"/>
        <v>0</v>
      </c>
      <c r="N896" s="133"/>
      <c r="O896" s="133">
        <f t="shared" si="91"/>
        <v>0</v>
      </c>
      <c r="P896" s="134"/>
      <c r="Q896" s="133"/>
      <c r="R896" s="133"/>
      <c r="S896" s="153">
        <v>0</v>
      </c>
      <c r="T896" s="153">
        <v>0</v>
      </c>
      <c r="U896" s="153">
        <v>0</v>
      </c>
      <c r="V896" s="135"/>
      <c r="W896" s="135"/>
      <c r="X896" s="135"/>
      <c r="Y896" s="135"/>
      <c r="Z896" s="135"/>
      <c r="AA896" s="135"/>
      <c r="AB896" s="135"/>
      <c r="AC896" s="135"/>
      <c r="AD896" s="133"/>
      <c r="AE896" s="133"/>
      <c r="AF896" s="132" t="str">
        <f t="shared" si="92"/>
        <v>Нет инфо</v>
      </c>
      <c r="AG896" s="132" t="str">
        <f t="shared" si="93"/>
        <v>Нет инфо</v>
      </c>
      <c r="AH896" s="2"/>
      <c r="AI896" s="136"/>
      <c r="AJ896" s="2"/>
      <c r="AK896" s="136"/>
      <c r="AL896" s="136"/>
      <c r="AM896" s="2"/>
      <c r="AN896" s="2"/>
      <c r="AO896" s="2"/>
      <c r="AP896" s="2"/>
      <c r="AQ896" s="136"/>
    </row>
    <row r="897" spans="1:43" s="115" customFormat="1" ht="12.75" hidden="1" customHeight="1" x14ac:dyDescent="0.2">
      <c r="A897" s="2">
        <v>2926</v>
      </c>
      <c r="B897" s="2"/>
      <c r="C897" s="131"/>
      <c r="D897" s="131"/>
      <c r="E897" s="131"/>
      <c r="F897" s="2"/>
      <c r="G897" s="2"/>
      <c r="H897" s="132">
        <v>0</v>
      </c>
      <c r="I897" s="132"/>
      <c r="J897" s="132"/>
      <c r="K897" s="132"/>
      <c r="L897" s="132">
        <f t="shared" si="89"/>
        <v>0</v>
      </c>
      <c r="M897" s="132">
        <f t="shared" si="90"/>
        <v>0</v>
      </c>
      <c r="N897" s="133"/>
      <c r="O897" s="133">
        <f t="shared" si="91"/>
        <v>0</v>
      </c>
      <c r="P897" s="134"/>
      <c r="Q897" s="133"/>
      <c r="R897" s="133"/>
      <c r="S897" s="153">
        <v>0</v>
      </c>
      <c r="T897" s="153">
        <v>0</v>
      </c>
      <c r="U897" s="153">
        <v>0</v>
      </c>
      <c r="V897" s="135"/>
      <c r="W897" s="135"/>
      <c r="X897" s="135"/>
      <c r="Y897" s="135"/>
      <c r="Z897" s="135"/>
      <c r="AA897" s="135"/>
      <c r="AB897" s="135"/>
      <c r="AC897" s="135"/>
      <c r="AD897" s="133"/>
      <c r="AE897" s="133"/>
      <c r="AF897" s="132" t="str">
        <f t="shared" si="92"/>
        <v>Нет инфо</v>
      </c>
      <c r="AG897" s="132" t="str">
        <f t="shared" si="93"/>
        <v>Нет инфо</v>
      </c>
      <c r="AH897" s="2"/>
      <c r="AI897" s="136"/>
      <c r="AJ897" s="2"/>
      <c r="AK897" s="136"/>
      <c r="AL897" s="136"/>
      <c r="AM897" s="2"/>
      <c r="AN897" s="2"/>
      <c r="AO897" s="2"/>
      <c r="AP897" s="2"/>
      <c r="AQ897" s="136"/>
    </row>
    <row r="898" spans="1:43" s="115" customFormat="1" ht="12.75" hidden="1" customHeight="1" x14ac:dyDescent="0.2">
      <c r="A898" s="2">
        <v>2927</v>
      </c>
      <c r="B898" s="2"/>
      <c r="C898" s="131"/>
      <c r="D898" s="131"/>
      <c r="E898" s="131"/>
      <c r="F898" s="2"/>
      <c r="G898" s="2"/>
      <c r="H898" s="132">
        <v>0</v>
      </c>
      <c r="I898" s="132"/>
      <c r="J898" s="132"/>
      <c r="K898" s="132"/>
      <c r="L898" s="132">
        <f t="shared" si="89"/>
        <v>0</v>
      </c>
      <c r="M898" s="132">
        <f t="shared" si="90"/>
        <v>0</v>
      </c>
      <c r="N898" s="133"/>
      <c r="O898" s="133">
        <f t="shared" si="91"/>
        <v>0</v>
      </c>
      <c r="P898" s="134"/>
      <c r="Q898" s="133"/>
      <c r="R898" s="133"/>
      <c r="S898" s="153">
        <v>0</v>
      </c>
      <c r="T898" s="153">
        <v>0</v>
      </c>
      <c r="U898" s="153">
        <v>0</v>
      </c>
      <c r="V898" s="135"/>
      <c r="W898" s="135"/>
      <c r="X898" s="135"/>
      <c r="Y898" s="135"/>
      <c r="Z898" s="135"/>
      <c r="AA898" s="135"/>
      <c r="AB898" s="135"/>
      <c r="AC898" s="135"/>
      <c r="AD898" s="133"/>
      <c r="AE898" s="133"/>
      <c r="AF898" s="132" t="str">
        <f t="shared" si="92"/>
        <v>Нет инфо</v>
      </c>
      <c r="AG898" s="132" t="str">
        <f t="shared" si="93"/>
        <v>Нет инфо</v>
      </c>
      <c r="AH898" s="2"/>
      <c r="AI898" s="136"/>
      <c r="AJ898" s="2"/>
      <c r="AK898" s="136"/>
      <c r="AL898" s="136"/>
      <c r="AM898" s="2"/>
      <c r="AN898" s="2"/>
      <c r="AO898" s="2"/>
      <c r="AP898" s="2"/>
      <c r="AQ898" s="136"/>
    </row>
    <row r="899" spans="1:43" s="115" customFormat="1" ht="12.75" hidden="1" customHeight="1" x14ac:dyDescent="0.2">
      <c r="A899" s="2">
        <v>2928</v>
      </c>
      <c r="B899" s="2"/>
      <c r="C899" s="131"/>
      <c r="D899" s="131"/>
      <c r="E899" s="131"/>
      <c r="F899" s="2"/>
      <c r="G899" s="2"/>
      <c r="H899" s="132">
        <v>0</v>
      </c>
      <c r="I899" s="132"/>
      <c r="J899" s="132"/>
      <c r="K899" s="132"/>
      <c r="L899" s="132">
        <f t="shared" si="89"/>
        <v>0</v>
      </c>
      <c r="M899" s="132">
        <f t="shared" si="90"/>
        <v>0</v>
      </c>
      <c r="N899" s="133"/>
      <c r="O899" s="133">
        <f t="shared" si="91"/>
        <v>0</v>
      </c>
      <c r="P899" s="134"/>
      <c r="Q899" s="133"/>
      <c r="R899" s="133"/>
      <c r="S899" s="153">
        <v>0</v>
      </c>
      <c r="T899" s="153">
        <v>0</v>
      </c>
      <c r="U899" s="153">
        <v>0</v>
      </c>
      <c r="V899" s="135"/>
      <c r="W899" s="135"/>
      <c r="X899" s="135"/>
      <c r="Y899" s="135"/>
      <c r="Z899" s="135"/>
      <c r="AA899" s="135"/>
      <c r="AB899" s="135"/>
      <c r="AC899" s="135"/>
      <c r="AD899" s="133"/>
      <c r="AE899" s="133"/>
      <c r="AF899" s="132" t="str">
        <f t="shared" si="92"/>
        <v>Нет инфо</v>
      </c>
      <c r="AG899" s="132" t="str">
        <f t="shared" si="93"/>
        <v>Нет инфо</v>
      </c>
      <c r="AH899" s="2"/>
      <c r="AI899" s="136"/>
      <c r="AJ899" s="2"/>
      <c r="AK899" s="136"/>
      <c r="AL899" s="136"/>
      <c r="AM899" s="2"/>
      <c r="AN899" s="2"/>
      <c r="AO899" s="2"/>
      <c r="AP899" s="2"/>
      <c r="AQ899" s="136"/>
    </row>
    <row r="900" spans="1:43" s="115" customFormat="1" ht="12.75" hidden="1" customHeight="1" x14ac:dyDescent="0.2">
      <c r="A900" s="2">
        <v>2929</v>
      </c>
      <c r="B900" s="2"/>
      <c r="C900" s="131"/>
      <c r="D900" s="131"/>
      <c r="E900" s="131"/>
      <c r="F900" s="2"/>
      <c r="G900" s="2"/>
      <c r="H900" s="132">
        <v>0</v>
      </c>
      <c r="I900" s="132"/>
      <c r="J900" s="132"/>
      <c r="K900" s="132"/>
      <c r="L900" s="132">
        <f t="shared" si="89"/>
        <v>0</v>
      </c>
      <c r="M900" s="132">
        <f t="shared" si="90"/>
        <v>0</v>
      </c>
      <c r="N900" s="133"/>
      <c r="O900" s="133">
        <f t="shared" si="91"/>
        <v>0</v>
      </c>
      <c r="P900" s="134"/>
      <c r="Q900" s="133"/>
      <c r="R900" s="133"/>
      <c r="S900" s="153">
        <v>0</v>
      </c>
      <c r="T900" s="153">
        <v>0</v>
      </c>
      <c r="U900" s="153">
        <v>0</v>
      </c>
      <c r="V900" s="135"/>
      <c r="W900" s="135"/>
      <c r="X900" s="135"/>
      <c r="Y900" s="135"/>
      <c r="Z900" s="135"/>
      <c r="AA900" s="135"/>
      <c r="AB900" s="135"/>
      <c r="AC900" s="135"/>
      <c r="AD900" s="133"/>
      <c r="AE900" s="133"/>
      <c r="AF900" s="132" t="str">
        <f t="shared" si="92"/>
        <v>Нет инфо</v>
      </c>
      <c r="AG900" s="132" t="str">
        <f t="shared" si="93"/>
        <v>Нет инфо</v>
      </c>
      <c r="AH900" s="2"/>
      <c r="AI900" s="136"/>
      <c r="AJ900" s="2"/>
      <c r="AK900" s="136"/>
      <c r="AL900" s="136"/>
      <c r="AM900" s="2"/>
      <c r="AN900" s="2"/>
      <c r="AO900" s="2"/>
      <c r="AP900" s="2"/>
      <c r="AQ900" s="136"/>
    </row>
    <row r="901" spans="1:43" s="115" customFormat="1" ht="12.75" hidden="1" customHeight="1" x14ac:dyDescent="0.2">
      <c r="A901" s="2">
        <v>2930</v>
      </c>
      <c r="B901" s="2"/>
      <c r="C901" s="131"/>
      <c r="D901" s="131"/>
      <c r="E901" s="131"/>
      <c r="F901" s="2"/>
      <c r="G901" s="2"/>
      <c r="H901" s="132">
        <v>0</v>
      </c>
      <c r="I901" s="132"/>
      <c r="J901" s="132"/>
      <c r="K901" s="132"/>
      <c r="L901" s="132">
        <f t="shared" si="89"/>
        <v>0</v>
      </c>
      <c r="M901" s="132">
        <f t="shared" si="90"/>
        <v>0</v>
      </c>
      <c r="N901" s="133"/>
      <c r="O901" s="133">
        <f t="shared" si="91"/>
        <v>0</v>
      </c>
      <c r="P901" s="134"/>
      <c r="Q901" s="133"/>
      <c r="R901" s="133"/>
      <c r="S901" s="153">
        <v>0</v>
      </c>
      <c r="T901" s="153">
        <v>0</v>
      </c>
      <c r="U901" s="153">
        <v>0</v>
      </c>
      <c r="V901" s="135"/>
      <c r="W901" s="135"/>
      <c r="X901" s="135"/>
      <c r="Y901" s="135"/>
      <c r="Z901" s="135"/>
      <c r="AA901" s="135"/>
      <c r="AB901" s="135"/>
      <c r="AC901" s="135"/>
      <c r="AD901" s="133"/>
      <c r="AE901" s="133"/>
      <c r="AF901" s="132" t="str">
        <f t="shared" si="92"/>
        <v>Нет инфо</v>
      </c>
      <c r="AG901" s="132" t="str">
        <f t="shared" si="93"/>
        <v>Нет инфо</v>
      </c>
      <c r="AH901" s="2"/>
      <c r="AI901" s="136"/>
      <c r="AJ901" s="2"/>
      <c r="AK901" s="136"/>
      <c r="AL901" s="136"/>
      <c r="AM901" s="2"/>
      <c r="AN901" s="2"/>
      <c r="AO901" s="2"/>
      <c r="AP901" s="2"/>
      <c r="AQ901" s="136"/>
    </row>
    <row r="902" spans="1:43" s="115" customFormat="1" ht="12.75" hidden="1" customHeight="1" x14ac:dyDescent="0.2">
      <c r="A902" s="2">
        <v>2931</v>
      </c>
      <c r="B902" s="2"/>
      <c r="C902" s="131"/>
      <c r="D902" s="131"/>
      <c r="E902" s="131"/>
      <c r="F902" s="2"/>
      <c r="G902" s="2"/>
      <c r="H902" s="132">
        <v>0</v>
      </c>
      <c r="I902" s="132"/>
      <c r="J902" s="132"/>
      <c r="K902" s="132"/>
      <c r="L902" s="132">
        <f t="shared" si="89"/>
        <v>0</v>
      </c>
      <c r="M902" s="132">
        <f t="shared" si="90"/>
        <v>0</v>
      </c>
      <c r="N902" s="133"/>
      <c r="O902" s="133">
        <f t="shared" si="91"/>
        <v>0</v>
      </c>
      <c r="P902" s="134"/>
      <c r="Q902" s="133"/>
      <c r="R902" s="133"/>
      <c r="S902" s="153">
        <v>0</v>
      </c>
      <c r="T902" s="153">
        <v>0</v>
      </c>
      <c r="U902" s="153">
        <v>0</v>
      </c>
      <c r="V902" s="135"/>
      <c r="W902" s="135"/>
      <c r="X902" s="135"/>
      <c r="Y902" s="135"/>
      <c r="Z902" s="135"/>
      <c r="AA902" s="135"/>
      <c r="AB902" s="135"/>
      <c r="AC902" s="135"/>
      <c r="AD902" s="133"/>
      <c r="AE902" s="133"/>
      <c r="AF902" s="132" t="str">
        <f t="shared" si="92"/>
        <v>Нет инфо</v>
      </c>
      <c r="AG902" s="132" t="str">
        <f t="shared" si="93"/>
        <v>Нет инфо</v>
      </c>
      <c r="AH902" s="2"/>
      <c r="AI902" s="136"/>
      <c r="AJ902" s="2"/>
      <c r="AK902" s="136"/>
      <c r="AL902" s="136"/>
      <c r="AM902" s="2"/>
      <c r="AN902" s="2"/>
      <c r="AO902" s="2"/>
      <c r="AP902" s="2"/>
      <c r="AQ902" s="136"/>
    </row>
    <row r="903" spans="1:43" s="115" customFormat="1" ht="12.75" hidden="1" customHeight="1" x14ac:dyDescent="0.2">
      <c r="A903" s="2">
        <v>2932</v>
      </c>
      <c r="B903" s="2"/>
      <c r="C903" s="131"/>
      <c r="D903" s="131"/>
      <c r="E903" s="131"/>
      <c r="F903" s="2"/>
      <c r="G903" s="2"/>
      <c r="H903" s="132">
        <v>0</v>
      </c>
      <c r="I903" s="132"/>
      <c r="J903" s="132"/>
      <c r="K903" s="132"/>
      <c r="L903" s="132">
        <f t="shared" si="89"/>
        <v>0</v>
      </c>
      <c r="M903" s="132">
        <f t="shared" si="90"/>
        <v>0</v>
      </c>
      <c r="N903" s="133"/>
      <c r="O903" s="133">
        <f t="shared" si="91"/>
        <v>0</v>
      </c>
      <c r="P903" s="134"/>
      <c r="Q903" s="133"/>
      <c r="R903" s="133"/>
      <c r="S903" s="153">
        <v>0</v>
      </c>
      <c r="T903" s="153">
        <v>0</v>
      </c>
      <c r="U903" s="153">
        <v>0</v>
      </c>
      <c r="V903" s="135"/>
      <c r="W903" s="135"/>
      <c r="X903" s="135"/>
      <c r="Y903" s="135"/>
      <c r="Z903" s="135"/>
      <c r="AA903" s="135"/>
      <c r="AB903" s="135"/>
      <c r="AC903" s="135"/>
      <c r="AD903" s="133"/>
      <c r="AE903" s="133"/>
      <c r="AF903" s="132" t="str">
        <f t="shared" si="92"/>
        <v>Нет инфо</v>
      </c>
      <c r="AG903" s="132" t="str">
        <f t="shared" si="93"/>
        <v>Нет инфо</v>
      </c>
      <c r="AH903" s="2"/>
      <c r="AI903" s="136"/>
      <c r="AJ903" s="2"/>
      <c r="AK903" s="136"/>
      <c r="AL903" s="136"/>
      <c r="AM903" s="2"/>
      <c r="AN903" s="2"/>
      <c r="AO903" s="2"/>
      <c r="AP903" s="2"/>
      <c r="AQ903" s="136"/>
    </row>
    <row r="904" spans="1:43" s="115" customFormat="1" ht="12.75" hidden="1" customHeight="1" x14ac:dyDescent="0.2">
      <c r="A904" s="2">
        <v>2933</v>
      </c>
      <c r="B904" s="2"/>
      <c r="C904" s="131"/>
      <c r="D904" s="131"/>
      <c r="E904" s="131"/>
      <c r="F904" s="2"/>
      <c r="G904" s="2"/>
      <c r="H904" s="132">
        <v>0</v>
      </c>
      <c r="I904" s="132"/>
      <c r="J904" s="132"/>
      <c r="K904" s="132"/>
      <c r="L904" s="132">
        <f t="shared" si="89"/>
        <v>0</v>
      </c>
      <c r="M904" s="132">
        <f t="shared" si="90"/>
        <v>0</v>
      </c>
      <c r="N904" s="133"/>
      <c r="O904" s="133">
        <f t="shared" si="91"/>
        <v>0</v>
      </c>
      <c r="P904" s="134"/>
      <c r="Q904" s="133"/>
      <c r="R904" s="133"/>
      <c r="S904" s="153">
        <v>0</v>
      </c>
      <c r="T904" s="153">
        <v>0</v>
      </c>
      <c r="U904" s="153">
        <v>0</v>
      </c>
      <c r="V904" s="135"/>
      <c r="W904" s="135"/>
      <c r="X904" s="135"/>
      <c r="Y904" s="135"/>
      <c r="Z904" s="135"/>
      <c r="AA904" s="135"/>
      <c r="AB904" s="135"/>
      <c r="AC904" s="135"/>
      <c r="AD904" s="133"/>
      <c r="AE904" s="133"/>
      <c r="AF904" s="132" t="str">
        <f t="shared" si="92"/>
        <v>Нет инфо</v>
      </c>
      <c r="AG904" s="132" t="str">
        <f t="shared" si="93"/>
        <v>Нет инфо</v>
      </c>
      <c r="AH904" s="2"/>
      <c r="AI904" s="136"/>
      <c r="AJ904" s="2"/>
      <c r="AK904" s="136"/>
      <c r="AL904" s="136"/>
      <c r="AM904" s="2"/>
      <c r="AN904" s="2"/>
      <c r="AO904" s="2"/>
      <c r="AP904" s="2"/>
      <c r="AQ904" s="136"/>
    </row>
    <row r="905" spans="1:43" s="115" customFormat="1" ht="12.75" hidden="1" customHeight="1" x14ac:dyDescent="0.2">
      <c r="A905" s="2">
        <v>2934</v>
      </c>
      <c r="B905" s="2"/>
      <c r="C905" s="131"/>
      <c r="D905" s="131"/>
      <c r="E905" s="131"/>
      <c r="F905" s="2"/>
      <c r="G905" s="2"/>
      <c r="H905" s="132">
        <v>0</v>
      </c>
      <c r="I905" s="132"/>
      <c r="J905" s="132"/>
      <c r="K905" s="132"/>
      <c r="L905" s="132">
        <f t="shared" si="89"/>
        <v>0</v>
      </c>
      <c r="M905" s="132">
        <f t="shared" si="90"/>
        <v>0</v>
      </c>
      <c r="N905" s="133"/>
      <c r="O905" s="133">
        <f t="shared" si="91"/>
        <v>0</v>
      </c>
      <c r="P905" s="134"/>
      <c r="Q905" s="133"/>
      <c r="R905" s="133"/>
      <c r="S905" s="153">
        <v>0</v>
      </c>
      <c r="T905" s="153">
        <v>0</v>
      </c>
      <c r="U905" s="153">
        <v>0</v>
      </c>
      <c r="V905" s="135"/>
      <c r="W905" s="135"/>
      <c r="X905" s="135"/>
      <c r="Y905" s="135"/>
      <c r="Z905" s="135"/>
      <c r="AA905" s="135"/>
      <c r="AB905" s="135"/>
      <c r="AC905" s="135"/>
      <c r="AD905" s="133"/>
      <c r="AE905" s="133"/>
      <c r="AF905" s="132" t="str">
        <f t="shared" si="92"/>
        <v>Нет инфо</v>
      </c>
      <c r="AG905" s="132" t="str">
        <f t="shared" si="93"/>
        <v>Нет инфо</v>
      </c>
      <c r="AH905" s="2"/>
      <c r="AI905" s="136"/>
      <c r="AJ905" s="2"/>
      <c r="AK905" s="136"/>
      <c r="AL905" s="136"/>
      <c r="AM905" s="2"/>
      <c r="AN905" s="2"/>
      <c r="AO905" s="2"/>
      <c r="AP905" s="2"/>
      <c r="AQ905" s="136"/>
    </row>
    <row r="906" spans="1:43" s="115" customFormat="1" ht="12.75" hidden="1" customHeight="1" x14ac:dyDescent="0.2">
      <c r="A906" s="2">
        <v>2935</v>
      </c>
      <c r="B906" s="2"/>
      <c r="C906" s="131"/>
      <c r="D906" s="131"/>
      <c r="E906" s="131"/>
      <c r="F906" s="2"/>
      <c r="G906" s="2"/>
      <c r="H906" s="132">
        <v>0</v>
      </c>
      <c r="I906" s="132"/>
      <c r="J906" s="132"/>
      <c r="K906" s="132"/>
      <c r="L906" s="132">
        <f t="shared" si="89"/>
        <v>0</v>
      </c>
      <c r="M906" s="132">
        <f t="shared" si="90"/>
        <v>0</v>
      </c>
      <c r="N906" s="133"/>
      <c r="O906" s="133">
        <f t="shared" si="91"/>
        <v>0</v>
      </c>
      <c r="P906" s="134"/>
      <c r="Q906" s="133"/>
      <c r="R906" s="133"/>
      <c r="S906" s="153">
        <v>0</v>
      </c>
      <c r="T906" s="153">
        <v>0</v>
      </c>
      <c r="U906" s="153">
        <v>0</v>
      </c>
      <c r="V906" s="135"/>
      <c r="W906" s="135"/>
      <c r="X906" s="135"/>
      <c r="Y906" s="135"/>
      <c r="Z906" s="135"/>
      <c r="AA906" s="135"/>
      <c r="AB906" s="135"/>
      <c r="AC906" s="135"/>
      <c r="AD906" s="133"/>
      <c r="AE906" s="133"/>
      <c r="AF906" s="132" t="str">
        <f t="shared" si="92"/>
        <v>Нет инфо</v>
      </c>
      <c r="AG906" s="132" t="str">
        <f t="shared" si="93"/>
        <v>Нет инфо</v>
      </c>
      <c r="AH906" s="2"/>
      <c r="AI906" s="136"/>
      <c r="AJ906" s="2"/>
      <c r="AK906" s="136"/>
      <c r="AL906" s="136"/>
      <c r="AM906" s="2"/>
      <c r="AN906" s="2"/>
      <c r="AO906" s="2"/>
      <c r="AP906" s="2"/>
      <c r="AQ906" s="136"/>
    </row>
    <row r="907" spans="1:43" s="115" customFormat="1" ht="12.75" hidden="1" customHeight="1" x14ac:dyDescent="0.2">
      <c r="A907" s="2">
        <v>2936</v>
      </c>
      <c r="B907" s="2"/>
      <c r="C907" s="131"/>
      <c r="D907" s="131"/>
      <c r="E907" s="131"/>
      <c r="F907" s="2"/>
      <c r="G907" s="2"/>
      <c r="H907" s="132">
        <v>0</v>
      </c>
      <c r="I907" s="132"/>
      <c r="J907" s="132"/>
      <c r="K907" s="132"/>
      <c r="L907" s="132">
        <f t="shared" ref="L907:L961" si="94">H907-K907</f>
        <v>0</v>
      </c>
      <c r="M907" s="132">
        <f t="shared" ref="M907:M961" si="95">I907-K907</f>
        <v>0</v>
      </c>
      <c r="N907" s="133"/>
      <c r="O907" s="133">
        <f t="shared" ref="O907:O961" si="96">IF(OR(AJ907="принят",AJ907="Завершено",AJ907="ПриПро"),I907-K907,H907-K907)</f>
        <v>0</v>
      </c>
      <c r="P907" s="134"/>
      <c r="Q907" s="133"/>
      <c r="R907" s="133"/>
      <c r="S907" s="153">
        <v>0</v>
      </c>
      <c r="T907" s="153">
        <v>0</v>
      </c>
      <c r="U907" s="153">
        <v>0</v>
      </c>
      <c r="V907" s="135"/>
      <c r="W907" s="135"/>
      <c r="X907" s="135"/>
      <c r="Y907" s="135"/>
      <c r="Z907" s="135"/>
      <c r="AA907" s="135"/>
      <c r="AB907" s="135"/>
      <c r="AC907" s="135"/>
      <c r="AD907" s="133"/>
      <c r="AE907" s="133"/>
      <c r="AF907" s="132" t="str">
        <f t="shared" si="92"/>
        <v>Нет инфо</v>
      </c>
      <c r="AG907" s="132" t="str">
        <f t="shared" si="93"/>
        <v>Нет инфо</v>
      </c>
      <c r="AH907" s="2"/>
      <c r="AI907" s="136"/>
      <c r="AJ907" s="2"/>
      <c r="AK907" s="136"/>
      <c r="AL907" s="136"/>
      <c r="AM907" s="2"/>
      <c r="AN907" s="2"/>
      <c r="AO907" s="2"/>
      <c r="AP907" s="2"/>
      <c r="AQ907" s="136"/>
    </row>
    <row r="908" spans="1:43" s="115" customFormat="1" ht="12.75" hidden="1" customHeight="1" x14ac:dyDescent="0.2">
      <c r="A908" s="2">
        <v>2937</v>
      </c>
      <c r="B908" s="2"/>
      <c r="C908" s="131"/>
      <c r="D908" s="131"/>
      <c r="E908" s="131"/>
      <c r="F908" s="2"/>
      <c r="G908" s="2"/>
      <c r="H908" s="132">
        <v>0</v>
      </c>
      <c r="I908" s="132"/>
      <c r="J908" s="132"/>
      <c r="K908" s="132"/>
      <c r="L908" s="132">
        <f t="shared" si="94"/>
        <v>0</v>
      </c>
      <c r="M908" s="132">
        <f t="shared" si="95"/>
        <v>0</v>
      </c>
      <c r="N908" s="133"/>
      <c r="O908" s="133">
        <f t="shared" si="96"/>
        <v>0</v>
      </c>
      <c r="P908" s="134"/>
      <c r="Q908" s="133"/>
      <c r="R908" s="133"/>
      <c r="S908" s="153">
        <v>0</v>
      </c>
      <c r="T908" s="153">
        <v>0</v>
      </c>
      <c r="U908" s="153">
        <v>0</v>
      </c>
      <c r="V908" s="135"/>
      <c r="W908" s="135"/>
      <c r="X908" s="135"/>
      <c r="Y908" s="135"/>
      <c r="Z908" s="135"/>
      <c r="AA908" s="135"/>
      <c r="AB908" s="135"/>
      <c r="AC908" s="135"/>
      <c r="AD908" s="133"/>
      <c r="AE908" s="133"/>
      <c r="AF908" s="132" t="str">
        <f t="shared" si="92"/>
        <v>Нет инфо</v>
      </c>
      <c r="AG908" s="132" t="str">
        <f t="shared" si="93"/>
        <v>Нет инфо</v>
      </c>
      <c r="AH908" s="2"/>
      <c r="AI908" s="136"/>
      <c r="AJ908" s="2"/>
      <c r="AK908" s="136"/>
      <c r="AL908" s="136"/>
      <c r="AM908" s="2"/>
      <c r="AN908" s="2"/>
      <c r="AO908" s="2"/>
      <c r="AP908" s="2"/>
      <c r="AQ908" s="136"/>
    </row>
    <row r="909" spans="1:43" s="115" customFormat="1" ht="12.75" hidden="1" customHeight="1" x14ac:dyDescent="0.2">
      <c r="A909" s="2">
        <v>2938</v>
      </c>
      <c r="B909" s="2"/>
      <c r="C909" s="131"/>
      <c r="D909" s="131"/>
      <c r="E909" s="131"/>
      <c r="F909" s="2"/>
      <c r="G909" s="2"/>
      <c r="H909" s="132">
        <v>0</v>
      </c>
      <c r="I909" s="132"/>
      <c r="J909" s="132"/>
      <c r="K909" s="132"/>
      <c r="L909" s="132">
        <f t="shared" si="94"/>
        <v>0</v>
      </c>
      <c r="M909" s="132">
        <f t="shared" si="95"/>
        <v>0</v>
      </c>
      <c r="N909" s="133"/>
      <c r="O909" s="133">
        <f t="shared" si="96"/>
        <v>0</v>
      </c>
      <c r="P909" s="134"/>
      <c r="Q909" s="133"/>
      <c r="R909" s="133"/>
      <c r="S909" s="153">
        <v>0</v>
      </c>
      <c r="T909" s="153">
        <v>0</v>
      </c>
      <c r="U909" s="153">
        <v>0</v>
      </c>
      <c r="V909" s="135"/>
      <c r="W909" s="135"/>
      <c r="X909" s="135"/>
      <c r="Y909" s="135"/>
      <c r="Z909" s="135"/>
      <c r="AA909" s="135"/>
      <c r="AB909" s="135"/>
      <c r="AC909" s="135"/>
      <c r="AD909" s="133"/>
      <c r="AE909" s="133"/>
      <c r="AF909" s="132" t="str">
        <f t="shared" si="92"/>
        <v>Нет инфо</v>
      </c>
      <c r="AG909" s="132" t="str">
        <f t="shared" si="93"/>
        <v>Нет инфо</v>
      </c>
      <c r="AH909" s="2"/>
      <c r="AI909" s="136"/>
      <c r="AJ909" s="2"/>
      <c r="AK909" s="136"/>
      <c r="AL909" s="136"/>
      <c r="AM909" s="2"/>
      <c r="AN909" s="2"/>
      <c r="AO909" s="2"/>
      <c r="AP909" s="2"/>
      <c r="AQ909" s="136"/>
    </row>
    <row r="910" spans="1:43" s="115" customFormat="1" ht="12.75" hidden="1" customHeight="1" x14ac:dyDescent="0.2">
      <c r="A910" s="2">
        <v>2939</v>
      </c>
      <c r="B910" s="2"/>
      <c r="C910" s="131"/>
      <c r="D910" s="131"/>
      <c r="E910" s="131"/>
      <c r="F910" s="2"/>
      <c r="G910" s="2"/>
      <c r="H910" s="132">
        <v>0</v>
      </c>
      <c r="I910" s="132"/>
      <c r="J910" s="132"/>
      <c r="K910" s="132"/>
      <c r="L910" s="132">
        <f t="shared" si="94"/>
        <v>0</v>
      </c>
      <c r="M910" s="132">
        <f t="shared" si="95"/>
        <v>0</v>
      </c>
      <c r="N910" s="133"/>
      <c r="O910" s="133">
        <f t="shared" si="96"/>
        <v>0</v>
      </c>
      <c r="P910" s="134"/>
      <c r="Q910" s="133"/>
      <c r="R910" s="133"/>
      <c r="S910" s="153">
        <v>0</v>
      </c>
      <c r="T910" s="153">
        <v>0</v>
      </c>
      <c r="U910" s="153">
        <v>0</v>
      </c>
      <c r="V910" s="135"/>
      <c r="W910" s="135"/>
      <c r="X910" s="135"/>
      <c r="Y910" s="135"/>
      <c r="Z910" s="135"/>
      <c r="AA910" s="135"/>
      <c r="AB910" s="135"/>
      <c r="AC910" s="135"/>
      <c r="AD910" s="133"/>
      <c r="AE910" s="133"/>
      <c r="AF910" s="132" t="str">
        <f t="shared" si="92"/>
        <v>Нет инфо</v>
      </c>
      <c r="AG910" s="132" t="str">
        <f t="shared" si="93"/>
        <v>Нет инфо</v>
      </c>
      <c r="AH910" s="2"/>
      <c r="AI910" s="136"/>
      <c r="AJ910" s="2"/>
      <c r="AK910" s="136"/>
      <c r="AL910" s="136"/>
      <c r="AM910" s="2"/>
      <c r="AN910" s="2"/>
      <c r="AO910" s="2"/>
      <c r="AP910" s="2"/>
      <c r="AQ910" s="136"/>
    </row>
    <row r="911" spans="1:43" s="115" customFormat="1" ht="12.75" hidden="1" customHeight="1" x14ac:dyDescent="0.2">
      <c r="A911" s="2">
        <v>2940</v>
      </c>
      <c r="B911" s="2"/>
      <c r="C911" s="131"/>
      <c r="D911" s="131"/>
      <c r="E911" s="131"/>
      <c r="F911" s="2"/>
      <c r="G911" s="2"/>
      <c r="H911" s="132">
        <v>0</v>
      </c>
      <c r="I911" s="132"/>
      <c r="J911" s="132"/>
      <c r="K911" s="132"/>
      <c r="L911" s="132">
        <f t="shared" si="94"/>
        <v>0</v>
      </c>
      <c r="M911" s="132">
        <f t="shared" si="95"/>
        <v>0</v>
      </c>
      <c r="N911" s="133"/>
      <c r="O911" s="133">
        <f t="shared" si="96"/>
        <v>0</v>
      </c>
      <c r="P911" s="134"/>
      <c r="Q911" s="133"/>
      <c r="R911" s="133"/>
      <c r="S911" s="153">
        <v>0</v>
      </c>
      <c r="T911" s="153">
        <v>0</v>
      </c>
      <c r="U911" s="153">
        <v>0</v>
      </c>
      <c r="V911" s="135"/>
      <c r="W911" s="135"/>
      <c r="X911" s="135"/>
      <c r="Y911" s="135"/>
      <c r="Z911" s="135"/>
      <c r="AA911" s="135"/>
      <c r="AB911" s="135"/>
      <c r="AC911" s="135"/>
      <c r="AD911" s="133"/>
      <c r="AE911" s="133"/>
      <c r="AF911" s="132" t="str">
        <f t="shared" si="92"/>
        <v>Нет инфо</v>
      </c>
      <c r="AG911" s="132" t="str">
        <f t="shared" si="93"/>
        <v>Нет инфо</v>
      </c>
      <c r="AH911" s="2"/>
      <c r="AI911" s="136"/>
      <c r="AJ911" s="2"/>
      <c r="AK911" s="136"/>
      <c r="AL911" s="136"/>
      <c r="AM911" s="2"/>
      <c r="AN911" s="2"/>
      <c r="AO911" s="2"/>
      <c r="AP911" s="2"/>
      <c r="AQ911" s="136"/>
    </row>
    <row r="912" spans="1:43" s="115" customFormat="1" ht="12.75" hidden="1" customHeight="1" x14ac:dyDescent="0.2">
      <c r="A912" s="2">
        <v>2941</v>
      </c>
      <c r="B912" s="2"/>
      <c r="C912" s="131"/>
      <c r="D912" s="131"/>
      <c r="E912" s="131"/>
      <c r="F912" s="2"/>
      <c r="G912" s="2"/>
      <c r="H912" s="132">
        <v>0</v>
      </c>
      <c r="I912" s="132"/>
      <c r="J912" s="132"/>
      <c r="K912" s="132"/>
      <c r="L912" s="132">
        <f t="shared" si="94"/>
        <v>0</v>
      </c>
      <c r="M912" s="132">
        <f t="shared" si="95"/>
        <v>0</v>
      </c>
      <c r="N912" s="133"/>
      <c r="O912" s="133">
        <f t="shared" si="96"/>
        <v>0</v>
      </c>
      <c r="P912" s="134"/>
      <c r="Q912" s="133"/>
      <c r="R912" s="133"/>
      <c r="S912" s="153">
        <v>0</v>
      </c>
      <c r="T912" s="153">
        <v>0</v>
      </c>
      <c r="U912" s="153">
        <v>0</v>
      </c>
      <c r="V912" s="135"/>
      <c r="W912" s="135"/>
      <c r="X912" s="135"/>
      <c r="Y912" s="135"/>
      <c r="Z912" s="135"/>
      <c r="AA912" s="135"/>
      <c r="AB912" s="135"/>
      <c r="AC912" s="135"/>
      <c r="AD912" s="133"/>
      <c r="AE912" s="133"/>
      <c r="AF912" s="132" t="str">
        <f t="shared" si="92"/>
        <v>Нет инфо</v>
      </c>
      <c r="AG912" s="132" t="str">
        <f t="shared" si="93"/>
        <v>Нет инфо</v>
      </c>
      <c r="AH912" s="2"/>
      <c r="AI912" s="136"/>
      <c r="AJ912" s="2"/>
      <c r="AK912" s="136"/>
      <c r="AL912" s="136"/>
      <c r="AM912" s="2"/>
      <c r="AN912" s="2"/>
      <c r="AO912" s="2"/>
      <c r="AP912" s="2"/>
      <c r="AQ912" s="136"/>
    </row>
    <row r="913" spans="1:43" s="115" customFormat="1" ht="12.75" hidden="1" customHeight="1" x14ac:dyDescent="0.2">
      <c r="A913" s="2">
        <v>2942</v>
      </c>
      <c r="B913" s="2"/>
      <c r="C913" s="131"/>
      <c r="D913" s="131"/>
      <c r="E913" s="131"/>
      <c r="F913" s="2"/>
      <c r="G913" s="2"/>
      <c r="H913" s="132">
        <v>0</v>
      </c>
      <c r="I913" s="132"/>
      <c r="J913" s="132"/>
      <c r="K913" s="132"/>
      <c r="L913" s="132">
        <f t="shared" si="94"/>
        <v>0</v>
      </c>
      <c r="M913" s="132">
        <f t="shared" si="95"/>
        <v>0</v>
      </c>
      <c r="N913" s="133"/>
      <c r="O913" s="133">
        <f t="shared" si="96"/>
        <v>0</v>
      </c>
      <c r="P913" s="134"/>
      <c r="Q913" s="133"/>
      <c r="R913" s="133"/>
      <c r="S913" s="153">
        <v>0</v>
      </c>
      <c r="T913" s="153">
        <v>0</v>
      </c>
      <c r="U913" s="153">
        <v>0</v>
      </c>
      <c r="V913" s="135"/>
      <c r="W913" s="135"/>
      <c r="X913" s="135"/>
      <c r="Y913" s="135"/>
      <c r="Z913" s="135"/>
      <c r="AA913" s="135"/>
      <c r="AB913" s="135"/>
      <c r="AC913" s="135"/>
      <c r="AD913" s="133"/>
      <c r="AE913" s="133"/>
      <c r="AF913" s="132" t="str">
        <f t="shared" si="92"/>
        <v>Нет инфо</v>
      </c>
      <c r="AG913" s="132" t="str">
        <f t="shared" si="93"/>
        <v>Нет инфо</v>
      </c>
      <c r="AH913" s="2"/>
      <c r="AI913" s="136"/>
      <c r="AJ913" s="2"/>
      <c r="AK913" s="136"/>
      <c r="AL913" s="136"/>
      <c r="AM913" s="2"/>
      <c r="AN913" s="2"/>
      <c r="AO913" s="2"/>
      <c r="AP913" s="2"/>
      <c r="AQ913" s="136"/>
    </row>
    <row r="914" spans="1:43" s="115" customFormat="1" ht="12.75" hidden="1" customHeight="1" x14ac:dyDescent="0.2">
      <c r="A914" s="2">
        <v>2943</v>
      </c>
      <c r="B914" s="2"/>
      <c r="C914" s="131"/>
      <c r="D914" s="131"/>
      <c r="E914" s="131"/>
      <c r="F914" s="2"/>
      <c r="G914" s="2"/>
      <c r="H914" s="132">
        <v>0</v>
      </c>
      <c r="I914" s="132"/>
      <c r="J914" s="132"/>
      <c r="K914" s="132"/>
      <c r="L914" s="132">
        <f t="shared" si="94"/>
        <v>0</v>
      </c>
      <c r="M914" s="132">
        <f t="shared" si="95"/>
        <v>0</v>
      </c>
      <c r="N914" s="133"/>
      <c r="O914" s="133">
        <f t="shared" si="96"/>
        <v>0</v>
      </c>
      <c r="P914" s="134"/>
      <c r="Q914" s="133"/>
      <c r="R914" s="133"/>
      <c r="S914" s="153">
        <v>0</v>
      </c>
      <c r="T914" s="153">
        <v>0</v>
      </c>
      <c r="U914" s="153">
        <v>0</v>
      </c>
      <c r="V914" s="135"/>
      <c r="W914" s="135"/>
      <c r="X914" s="135"/>
      <c r="Y914" s="135"/>
      <c r="Z914" s="135"/>
      <c r="AA914" s="135"/>
      <c r="AB914" s="135"/>
      <c r="AC914" s="135"/>
      <c r="AD914" s="133"/>
      <c r="AE914" s="133"/>
      <c r="AF914" s="132" t="str">
        <f t="shared" si="92"/>
        <v>Нет инфо</v>
      </c>
      <c r="AG914" s="132" t="str">
        <f t="shared" si="93"/>
        <v>Нет инфо</v>
      </c>
      <c r="AH914" s="2"/>
      <c r="AI914" s="136"/>
      <c r="AJ914" s="2"/>
      <c r="AK914" s="136"/>
      <c r="AL914" s="136"/>
      <c r="AM914" s="2"/>
      <c r="AN914" s="2"/>
      <c r="AO914" s="2"/>
      <c r="AP914" s="2"/>
      <c r="AQ914" s="136"/>
    </row>
    <row r="915" spans="1:43" s="115" customFormat="1" ht="12.75" hidden="1" customHeight="1" x14ac:dyDescent="0.2">
      <c r="A915" s="2">
        <v>2944</v>
      </c>
      <c r="B915" s="2"/>
      <c r="C915" s="131"/>
      <c r="D915" s="131"/>
      <c r="E915" s="131"/>
      <c r="F915" s="2"/>
      <c r="G915" s="2"/>
      <c r="H915" s="132">
        <v>0</v>
      </c>
      <c r="I915" s="132"/>
      <c r="J915" s="132"/>
      <c r="K915" s="132"/>
      <c r="L915" s="132">
        <f t="shared" si="94"/>
        <v>0</v>
      </c>
      <c r="M915" s="132">
        <f t="shared" si="95"/>
        <v>0</v>
      </c>
      <c r="N915" s="133"/>
      <c r="O915" s="133">
        <f t="shared" si="96"/>
        <v>0</v>
      </c>
      <c r="P915" s="134"/>
      <c r="Q915" s="133"/>
      <c r="R915" s="133"/>
      <c r="S915" s="153">
        <v>0</v>
      </c>
      <c r="T915" s="153">
        <v>0</v>
      </c>
      <c r="U915" s="153">
        <v>0</v>
      </c>
      <c r="V915" s="135"/>
      <c r="W915" s="135"/>
      <c r="X915" s="135"/>
      <c r="Y915" s="135"/>
      <c r="Z915" s="135"/>
      <c r="AA915" s="135"/>
      <c r="AB915" s="135"/>
      <c r="AC915" s="135"/>
      <c r="AD915" s="133"/>
      <c r="AE915" s="133"/>
      <c r="AF915" s="132" t="str">
        <f t="shared" si="92"/>
        <v>Нет инфо</v>
      </c>
      <c r="AG915" s="132" t="str">
        <f t="shared" si="93"/>
        <v>Нет инфо</v>
      </c>
      <c r="AH915" s="2"/>
      <c r="AI915" s="136"/>
      <c r="AJ915" s="2"/>
      <c r="AK915" s="136"/>
      <c r="AL915" s="136"/>
      <c r="AM915" s="2"/>
      <c r="AN915" s="2"/>
      <c r="AO915" s="2"/>
      <c r="AP915" s="2"/>
      <c r="AQ915" s="136"/>
    </row>
    <row r="916" spans="1:43" s="115" customFormat="1" ht="12.75" hidden="1" customHeight="1" x14ac:dyDescent="0.2">
      <c r="A916" s="2">
        <v>2945</v>
      </c>
      <c r="B916" s="2"/>
      <c r="C916" s="131"/>
      <c r="D916" s="131"/>
      <c r="E916" s="131"/>
      <c r="F916" s="2"/>
      <c r="G916" s="2"/>
      <c r="H916" s="132">
        <v>0</v>
      </c>
      <c r="I916" s="132"/>
      <c r="J916" s="132"/>
      <c r="K916" s="132"/>
      <c r="L916" s="132">
        <f t="shared" si="94"/>
        <v>0</v>
      </c>
      <c r="M916" s="132">
        <f t="shared" si="95"/>
        <v>0</v>
      </c>
      <c r="N916" s="133"/>
      <c r="O916" s="133">
        <f t="shared" si="96"/>
        <v>0</v>
      </c>
      <c r="P916" s="134"/>
      <c r="Q916" s="133"/>
      <c r="R916" s="133"/>
      <c r="S916" s="153">
        <v>0</v>
      </c>
      <c r="T916" s="153">
        <v>0</v>
      </c>
      <c r="U916" s="153">
        <v>0</v>
      </c>
      <c r="V916" s="135"/>
      <c r="W916" s="135"/>
      <c r="X916" s="135"/>
      <c r="Y916" s="135"/>
      <c r="Z916" s="135"/>
      <c r="AA916" s="135"/>
      <c r="AB916" s="135"/>
      <c r="AC916" s="135"/>
      <c r="AD916" s="133"/>
      <c r="AE916" s="133"/>
      <c r="AF916" s="132" t="str">
        <f t="shared" si="92"/>
        <v>Нет инфо</v>
      </c>
      <c r="AG916" s="132" t="str">
        <f t="shared" si="93"/>
        <v>Нет инфо</v>
      </c>
      <c r="AH916" s="2"/>
      <c r="AI916" s="136"/>
      <c r="AJ916" s="2"/>
      <c r="AK916" s="136"/>
      <c r="AL916" s="136"/>
      <c r="AM916" s="2"/>
      <c r="AN916" s="2"/>
      <c r="AO916" s="2"/>
      <c r="AP916" s="2"/>
      <c r="AQ916" s="136"/>
    </row>
    <row r="917" spans="1:43" s="115" customFormat="1" ht="12.75" hidden="1" customHeight="1" x14ac:dyDescent="0.2">
      <c r="A917" s="2">
        <v>2946</v>
      </c>
      <c r="B917" s="2"/>
      <c r="C917" s="131"/>
      <c r="D917" s="131"/>
      <c r="E917" s="131"/>
      <c r="F917" s="2"/>
      <c r="G917" s="2"/>
      <c r="H917" s="132">
        <v>0</v>
      </c>
      <c r="I917" s="132"/>
      <c r="J917" s="132"/>
      <c r="K917" s="132"/>
      <c r="L917" s="132">
        <f t="shared" si="94"/>
        <v>0</v>
      </c>
      <c r="M917" s="132">
        <f t="shared" si="95"/>
        <v>0</v>
      </c>
      <c r="N917" s="133"/>
      <c r="O917" s="133">
        <f t="shared" si="96"/>
        <v>0</v>
      </c>
      <c r="P917" s="134"/>
      <c r="Q917" s="133"/>
      <c r="R917" s="133"/>
      <c r="S917" s="153">
        <v>0</v>
      </c>
      <c r="T917" s="153">
        <v>0</v>
      </c>
      <c r="U917" s="153">
        <v>0</v>
      </c>
      <c r="V917" s="135"/>
      <c r="W917" s="135"/>
      <c r="X917" s="135"/>
      <c r="Y917" s="135"/>
      <c r="Z917" s="135"/>
      <c r="AA917" s="135"/>
      <c r="AB917" s="135"/>
      <c r="AC917" s="135"/>
      <c r="AD917" s="133"/>
      <c r="AE917" s="133"/>
      <c r="AF917" s="132" t="str">
        <f t="shared" si="92"/>
        <v>Нет инфо</v>
      </c>
      <c r="AG917" s="132" t="str">
        <f t="shared" si="93"/>
        <v>Нет инфо</v>
      </c>
      <c r="AH917" s="2"/>
      <c r="AI917" s="136"/>
      <c r="AJ917" s="2"/>
      <c r="AK917" s="136"/>
      <c r="AL917" s="136"/>
      <c r="AM917" s="2"/>
      <c r="AN917" s="2"/>
      <c r="AO917" s="2"/>
      <c r="AP917" s="2"/>
      <c r="AQ917" s="136"/>
    </row>
    <row r="918" spans="1:43" s="115" customFormat="1" ht="12.75" hidden="1" customHeight="1" x14ac:dyDescent="0.2">
      <c r="A918" s="2">
        <v>2947</v>
      </c>
      <c r="B918" s="2"/>
      <c r="C918" s="131"/>
      <c r="D918" s="131"/>
      <c r="E918" s="131"/>
      <c r="F918" s="2"/>
      <c r="G918" s="2"/>
      <c r="H918" s="132">
        <v>0</v>
      </c>
      <c r="I918" s="132"/>
      <c r="J918" s="132"/>
      <c r="K918" s="132"/>
      <c r="L918" s="132">
        <f t="shared" si="94"/>
        <v>0</v>
      </c>
      <c r="M918" s="132">
        <f t="shared" si="95"/>
        <v>0</v>
      </c>
      <c r="N918" s="133"/>
      <c r="O918" s="133">
        <f t="shared" si="96"/>
        <v>0</v>
      </c>
      <c r="P918" s="134"/>
      <c r="Q918" s="133"/>
      <c r="R918" s="133"/>
      <c r="S918" s="153">
        <v>0</v>
      </c>
      <c r="T918" s="153">
        <v>0</v>
      </c>
      <c r="U918" s="153">
        <v>0</v>
      </c>
      <c r="V918" s="135"/>
      <c r="W918" s="135"/>
      <c r="X918" s="135"/>
      <c r="Y918" s="135"/>
      <c r="Z918" s="135"/>
      <c r="AA918" s="135"/>
      <c r="AB918" s="135"/>
      <c r="AC918" s="135"/>
      <c r="AD918" s="133"/>
      <c r="AE918" s="133"/>
      <c r="AF918" s="132" t="str">
        <f t="shared" si="92"/>
        <v>Нет инфо</v>
      </c>
      <c r="AG918" s="132" t="str">
        <f t="shared" si="93"/>
        <v>Нет инфо</v>
      </c>
      <c r="AH918" s="2"/>
      <c r="AI918" s="136"/>
      <c r="AJ918" s="2"/>
      <c r="AK918" s="136"/>
      <c r="AL918" s="136"/>
      <c r="AM918" s="2"/>
      <c r="AN918" s="2"/>
      <c r="AO918" s="2"/>
      <c r="AP918" s="2"/>
      <c r="AQ918" s="136"/>
    </row>
    <row r="919" spans="1:43" s="115" customFormat="1" ht="12.75" hidden="1" customHeight="1" x14ac:dyDescent="0.2">
      <c r="A919" s="2">
        <v>2948</v>
      </c>
      <c r="B919" s="2"/>
      <c r="C919" s="131"/>
      <c r="D919" s="131"/>
      <c r="E919" s="131"/>
      <c r="F919" s="2"/>
      <c r="G919" s="2"/>
      <c r="H919" s="132">
        <v>0</v>
      </c>
      <c r="I919" s="132"/>
      <c r="J919" s="132"/>
      <c r="K919" s="132"/>
      <c r="L919" s="132">
        <f t="shared" si="94"/>
        <v>0</v>
      </c>
      <c r="M919" s="132">
        <f t="shared" si="95"/>
        <v>0</v>
      </c>
      <c r="N919" s="133"/>
      <c r="O919" s="133">
        <f t="shared" si="96"/>
        <v>0</v>
      </c>
      <c r="P919" s="134"/>
      <c r="Q919" s="133"/>
      <c r="R919" s="133"/>
      <c r="S919" s="153">
        <v>0</v>
      </c>
      <c r="T919" s="153">
        <v>0</v>
      </c>
      <c r="U919" s="153">
        <v>0</v>
      </c>
      <c r="V919" s="135"/>
      <c r="W919" s="135"/>
      <c r="X919" s="135"/>
      <c r="Y919" s="135"/>
      <c r="Z919" s="135"/>
      <c r="AA919" s="135"/>
      <c r="AB919" s="135"/>
      <c r="AC919" s="135"/>
      <c r="AD919" s="133"/>
      <c r="AE919" s="133"/>
      <c r="AF919" s="132" t="str">
        <f t="shared" si="92"/>
        <v>Нет инфо</v>
      </c>
      <c r="AG919" s="132" t="str">
        <f t="shared" si="93"/>
        <v>Нет инфо</v>
      </c>
      <c r="AH919" s="2"/>
      <c r="AI919" s="136"/>
      <c r="AJ919" s="2"/>
      <c r="AK919" s="136"/>
      <c r="AL919" s="136"/>
      <c r="AM919" s="2"/>
      <c r="AN919" s="2"/>
      <c r="AO919" s="2"/>
      <c r="AP919" s="2"/>
      <c r="AQ919" s="136"/>
    </row>
    <row r="920" spans="1:43" s="115" customFormat="1" ht="12.75" hidden="1" customHeight="1" x14ac:dyDescent="0.2">
      <c r="A920" s="2">
        <v>2949</v>
      </c>
      <c r="B920" s="2"/>
      <c r="C920" s="131"/>
      <c r="D920" s="131"/>
      <c r="E920" s="131"/>
      <c r="F920" s="2"/>
      <c r="G920" s="2"/>
      <c r="H920" s="132">
        <v>0</v>
      </c>
      <c r="I920" s="132"/>
      <c r="J920" s="132"/>
      <c r="K920" s="132"/>
      <c r="L920" s="132">
        <f t="shared" si="94"/>
        <v>0</v>
      </c>
      <c r="M920" s="132">
        <f t="shared" si="95"/>
        <v>0</v>
      </c>
      <c r="N920" s="133"/>
      <c r="O920" s="133">
        <f t="shared" si="96"/>
        <v>0</v>
      </c>
      <c r="P920" s="134"/>
      <c r="Q920" s="133"/>
      <c r="R920" s="133"/>
      <c r="S920" s="153">
        <v>0</v>
      </c>
      <c r="T920" s="153">
        <v>0</v>
      </c>
      <c r="U920" s="153">
        <v>0</v>
      </c>
      <c r="V920" s="135"/>
      <c r="W920" s="135"/>
      <c r="X920" s="135"/>
      <c r="Y920" s="135"/>
      <c r="Z920" s="135"/>
      <c r="AA920" s="135"/>
      <c r="AB920" s="135"/>
      <c r="AC920" s="135"/>
      <c r="AD920" s="133"/>
      <c r="AE920" s="133"/>
      <c r="AF920" s="132" t="str">
        <f t="shared" si="92"/>
        <v>Нет инфо</v>
      </c>
      <c r="AG920" s="132" t="str">
        <f t="shared" si="93"/>
        <v>Нет инфо</v>
      </c>
      <c r="AH920" s="2"/>
      <c r="AI920" s="136"/>
      <c r="AJ920" s="2"/>
      <c r="AK920" s="136"/>
      <c r="AL920" s="136"/>
      <c r="AM920" s="2"/>
      <c r="AN920" s="2"/>
      <c r="AO920" s="2"/>
      <c r="AP920" s="2"/>
      <c r="AQ920" s="136"/>
    </row>
    <row r="921" spans="1:43" s="115" customFormat="1" ht="12.75" hidden="1" customHeight="1" x14ac:dyDescent="0.2">
      <c r="A921" s="2">
        <v>2950</v>
      </c>
      <c r="B921" s="2"/>
      <c r="C921" s="131"/>
      <c r="D921" s="131"/>
      <c r="E921" s="131"/>
      <c r="F921" s="2"/>
      <c r="G921" s="2"/>
      <c r="H921" s="132">
        <v>0</v>
      </c>
      <c r="I921" s="132"/>
      <c r="J921" s="132"/>
      <c r="K921" s="132"/>
      <c r="L921" s="132">
        <f t="shared" si="94"/>
        <v>0</v>
      </c>
      <c r="M921" s="132">
        <f t="shared" si="95"/>
        <v>0</v>
      </c>
      <c r="N921" s="133"/>
      <c r="O921" s="133">
        <f t="shared" si="96"/>
        <v>0</v>
      </c>
      <c r="P921" s="134"/>
      <c r="Q921" s="133"/>
      <c r="R921" s="133"/>
      <c r="S921" s="153">
        <v>0</v>
      </c>
      <c r="T921" s="153">
        <v>0</v>
      </c>
      <c r="U921" s="153">
        <v>0</v>
      </c>
      <c r="V921" s="135"/>
      <c r="W921" s="135"/>
      <c r="X921" s="135"/>
      <c r="Y921" s="135"/>
      <c r="Z921" s="135"/>
      <c r="AA921" s="135"/>
      <c r="AB921" s="135"/>
      <c r="AC921" s="135"/>
      <c r="AD921" s="133"/>
      <c r="AE921" s="133"/>
      <c r="AF921" s="132" t="str">
        <f t="shared" si="92"/>
        <v>Нет инфо</v>
      </c>
      <c r="AG921" s="132" t="str">
        <f t="shared" si="93"/>
        <v>Нет инфо</v>
      </c>
      <c r="AH921" s="2"/>
      <c r="AI921" s="136"/>
      <c r="AJ921" s="2"/>
      <c r="AK921" s="136"/>
      <c r="AL921" s="136"/>
      <c r="AM921" s="2"/>
      <c r="AN921" s="2"/>
      <c r="AO921" s="2"/>
      <c r="AP921" s="2"/>
      <c r="AQ921" s="136"/>
    </row>
    <row r="922" spans="1:43" s="115" customFormat="1" ht="12.75" hidden="1" customHeight="1" x14ac:dyDescent="0.2">
      <c r="A922" s="2">
        <v>2951</v>
      </c>
      <c r="B922" s="2"/>
      <c r="C922" s="131"/>
      <c r="D922" s="131"/>
      <c r="E922" s="131"/>
      <c r="F922" s="2"/>
      <c r="G922" s="2"/>
      <c r="H922" s="132">
        <v>0</v>
      </c>
      <c r="I922" s="132"/>
      <c r="J922" s="132"/>
      <c r="K922" s="132"/>
      <c r="L922" s="132">
        <f t="shared" si="94"/>
        <v>0</v>
      </c>
      <c r="M922" s="132">
        <f t="shared" si="95"/>
        <v>0</v>
      </c>
      <c r="N922" s="133"/>
      <c r="O922" s="133">
        <f t="shared" si="96"/>
        <v>0</v>
      </c>
      <c r="P922" s="134"/>
      <c r="Q922" s="133"/>
      <c r="R922" s="133"/>
      <c r="S922" s="153">
        <v>0</v>
      </c>
      <c r="T922" s="153">
        <v>0</v>
      </c>
      <c r="U922" s="153">
        <v>0</v>
      </c>
      <c r="V922" s="135"/>
      <c r="W922" s="135"/>
      <c r="X922" s="135"/>
      <c r="Y922" s="135"/>
      <c r="Z922" s="135"/>
      <c r="AA922" s="135"/>
      <c r="AB922" s="135"/>
      <c r="AC922" s="135"/>
      <c r="AD922" s="133"/>
      <c r="AE922" s="133"/>
      <c r="AF922" s="132" t="str">
        <f t="shared" si="92"/>
        <v>Нет инфо</v>
      </c>
      <c r="AG922" s="132" t="str">
        <f t="shared" si="93"/>
        <v>Нет инфо</v>
      </c>
      <c r="AH922" s="2"/>
      <c r="AI922" s="136"/>
      <c r="AJ922" s="2"/>
      <c r="AK922" s="136"/>
      <c r="AL922" s="136"/>
      <c r="AM922" s="2"/>
      <c r="AN922" s="2"/>
      <c r="AO922" s="2"/>
      <c r="AP922" s="2"/>
      <c r="AQ922" s="136"/>
    </row>
    <row r="923" spans="1:43" s="115" customFormat="1" ht="12.75" hidden="1" customHeight="1" x14ac:dyDescent="0.2">
      <c r="A923" s="2">
        <v>2952</v>
      </c>
      <c r="B923" s="2"/>
      <c r="C923" s="131"/>
      <c r="D923" s="131"/>
      <c r="E923" s="131"/>
      <c r="F923" s="2"/>
      <c r="G923" s="2"/>
      <c r="H923" s="132">
        <v>0</v>
      </c>
      <c r="I923" s="132"/>
      <c r="J923" s="132"/>
      <c r="K923" s="132"/>
      <c r="L923" s="132">
        <f t="shared" si="94"/>
        <v>0</v>
      </c>
      <c r="M923" s="132">
        <f t="shared" si="95"/>
        <v>0</v>
      </c>
      <c r="N923" s="133"/>
      <c r="O923" s="133">
        <f t="shared" si="96"/>
        <v>0</v>
      </c>
      <c r="P923" s="134"/>
      <c r="Q923" s="133"/>
      <c r="R923" s="133"/>
      <c r="S923" s="153">
        <v>0</v>
      </c>
      <c r="T923" s="153">
        <v>0</v>
      </c>
      <c r="U923" s="153">
        <v>0</v>
      </c>
      <c r="V923" s="135"/>
      <c r="W923" s="135"/>
      <c r="X923" s="135"/>
      <c r="Y923" s="135"/>
      <c r="Z923" s="135"/>
      <c r="AA923" s="135"/>
      <c r="AB923" s="135"/>
      <c r="AC923" s="135"/>
      <c r="AD923" s="133"/>
      <c r="AE923" s="133"/>
      <c r="AF923" s="132" t="str">
        <f t="shared" si="92"/>
        <v>Нет инфо</v>
      </c>
      <c r="AG923" s="132" t="str">
        <f t="shared" si="93"/>
        <v>Нет инфо</v>
      </c>
      <c r="AH923" s="2"/>
      <c r="AI923" s="136"/>
      <c r="AJ923" s="2"/>
      <c r="AK923" s="136"/>
      <c r="AL923" s="136"/>
      <c r="AM923" s="2"/>
      <c r="AN923" s="2"/>
      <c r="AO923" s="2"/>
      <c r="AP923" s="2"/>
      <c r="AQ923" s="136"/>
    </row>
    <row r="924" spans="1:43" s="115" customFormat="1" ht="12.75" hidden="1" customHeight="1" x14ac:dyDescent="0.2">
      <c r="A924" s="2">
        <v>2953</v>
      </c>
      <c r="B924" s="2"/>
      <c r="C924" s="131"/>
      <c r="D924" s="131"/>
      <c r="E924" s="131"/>
      <c r="F924" s="2"/>
      <c r="G924" s="2"/>
      <c r="H924" s="132">
        <v>0</v>
      </c>
      <c r="I924" s="132"/>
      <c r="J924" s="132"/>
      <c r="K924" s="132"/>
      <c r="L924" s="132">
        <f t="shared" si="94"/>
        <v>0</v>
      </c>
      <c r="M924" s="132">
        <f t="shared" si="95"/>
        <v>0</v>
      </c>
      <c r="N924" s="133"/>
      <c r="O924" s="133">
        <f t="shared" si="96"/>
        <v>0</v>
      </c>
      <c r="P924" s="134"/>
      <c r="Q924" s="133"/>
      <c r="R924" s="133"/>
      <c r="S924" s="153">
        <v>0</v>
      </c>
      <c r="T924" s="153">
        <v>0</v>
      </c>
      <c r="U924" s="153">
        <v>0</v>
      </c>
      <c r="V924" s="135"/>
      <c r="W924" s="135"/>
      <c r="X924" s="135"/>
      <c r="Y924" s="135"/>
      <c r="Z924" s="135"/>
      <c r="AA924" s="135"/>
      <c r="AB924" s="135"/>
      <c r="AC924" s="135"/>
      <c r="AD924" s="133"/>
      <c r="AE924" s="133"/>
      <c r="AF924" s="132" t="str">
        <f t="shared" si="92"/>
        <v>Нет инфо</v>
      </c>
      <c r="AG924" s="132" t="str">
        <f t="shared" si="93"/>
        <v>Нет инфо</v>
      </c>
      <c r="AH924" s="2"/>
      <c r="AI924" s="136"/>
      <c r="AJ924" s="2"/>
      <c r="AK924" s="136"/>
      <c r="AL924" s="136"/>
      <c r="AM924" s="2"/>
      <c r="AN924" s="2"/>
      <c r="AO924" s="2"/>
      <c r="AP924" s="2"/>
      <c r="AQ924" s="136"/>
    </row>
    <row r="925" spans="1:43" s="115" customFormat="1" ht="12.75" hidden="1" customHeight="1" x14ac:dyDescent="0.2">
      <c r="A925" s="2">
        <v>2954</v>
      </c>
      <c r="B925" s="2"/>
      <c r="C925" s="131"/>
      <c r="D925" s="131"/>
      <c r="E925" s="131"/>
      <c r="F925" s="2"/>
      <c r="G925" s="2"/>
      <c r="H925" s="132">
        <v>0</v>
      </c>
      <c r="I925" s="132"/>
      <c r="J925" s="132"/>
      <c r="K925" s="132"/>
      <c r="L925" s="132">
        <f t="shared" si="94"/>
        <v>0</v>
      </c>
      <c r="M925" s="132">
        <f t="shared" si="95"/>
        <v>0</v>
      </c>
      <c r="N925" s="133"/>
      <c r="O925" s="133">
        <f t="shared" si="96"/>
        <v>0</v>
      </c>
      <c r="P925" s="134"/>
      <c r="Q925" s="133"/>
      <c r="R925" s="133"/>
      <c r="S925" s="153">
        <v>0</v>
      </c>
      <c r="T925" s="153">
        <v>0</v>
      </c>
      <c r="U925" s="153">
        <v>0</v>
      </c>
      <c r="V925" s="135"/>
      <c r="W925" s="135"/>
      <c r="X925" s="135"/>
      <c r="Y925" s="135"/>
      <c r="Z925" s="135"/>
      <c r="AA925" s="135"/>
      <c r="AB925" s="135"/>
      <c r="AC925" s="135"/>
      <c r="AD925" s="133"/>
      <c r="AE925" s="133"/>
      <c r="AF925" s="132" t="str">
        <f t="shared" si="92"/>
        <v>Нет инфо</v>
      </c>
      <c r="AG925" s="132" t="str">
        <f t="shared" si="93"/>
        <v>Нет инфо</v>
      </c>
      <c r="AH925" s="2"/>
      <c r="AI925" s="136"/>
      <c r="AJ925" s="2"/>
      <c r="AK925" s="136"/>
      <c r="AL925" s="136"/>
      <c r="AM925" s="2"/>
      <c r="AN925" s="2"/>
      <c r="AO925" s="2"/>
      <c r="AP925" s="2"/>
      <c r="AQ925" s="136"/>
    </row>
    <row r="926" spans="1:43" s="115" customFormat="1" ht="12.75" hidden="1" customHeight="1" x14ac:dyDescent="0.2">
      <c r="A926" s="2">
        <v>2955</v>
      </c>
      <c r="B926" s="2"/>
      <c r="C926" s="131"/>
      <c r="D926" s="131"/>
      <c r="E926" s="131"/>
      <c r="F926" s="2"/>
      <c r="G926" s="2"/>
      <c r="H926" s="132">
        <v>0</v>
      </c>
      <c r="I926" s="132"/>
      <c r="J926" s="132"/>
      <c r="K926" s="132"/>
      <c r="L926" s="132">
        <f t="shared" si="94"/>
        <v>0</v>
      </c>
      <c r="M926" s="132">
        <f t="shared" si="95"/>
        <v>0</v>
      </c>
      <c r="N926" s="133"/>
      <c r="O926" s="133">
        <f t="shared" si="96"/>
        <v>0</v>
      </c>
      <c r="P926" s="134"/>
      <c r="Q926" s="133"/>
      <c r="R926" s="133"/>
      <c r="S926" s="153">
        <v>0</v>
      </c>
      <c r="T926" s="153">
        <v>0</v>
      </c>
      <c r="U926" s="153">
        <v>0</v>
      </c>
      <c r="V926" s="135"/>
      <c r="W926" s="135"/>
      <c r="X926" s="135"/>
      <c r="Y926" s="135"/>
      <c r="Z926" s="135"/>
      <c r="AA926" s="135"/>
      <c r="AB926" s="135"/>
      <c r="AC926" s="135"/>
      <c r="AD926" s="133"/>
      <c r="AE926" s="133"/>
      <c r="AF926" s="132" t="str">
        <f t="shared" si="92"/>
        <v>Нет инфо</v>
      </c>
      <c r="AG926" s="132" t="str">
        <f t="shared" si="93"/>
        <v>Нет инфо</v>
      </c>
      <c r="AH926" s="2"/>
      <c r="AI926" s="136"/>
      <c r="AJ926" s="2"/>
      <c r="AK926" s="136"/>
      <c r="AL926" s="136"/>
      <c r="AM926" s="2"/>
      <c r="AN926" s="2"/>
      <c r="AO926" s="2"/>
      <c r="AP926" s="2"/>
      <c r="AQ926" s="136"/>
    </row>
    <row r="927" spans="1:43" s="115" customFormat="1" ht="12.75" hidden="1" customHeight="1" x14ac:dyDescent="0.2">
      <c r="A927" s="2">
        <v>2956</v>
      </c>
      <c r="B927" s="2"/>
      <c r="C927" s="131"/>
      <c r="D927" s="131"/>
      <c r="E927" s="131"/>
      <c r="F927" s="2"/>
      <c r="G927" s="2"/>
      <c r="H927" s="132">
        <v>0</v>
      </c>
      <c r="I927" s="132"/>
      <c r="J927" s="132"/>
      <c r="K927" s="132"/>
      <c r="L927" s="132">
        <f t="shared" si="94"/>
        <v>0</v>
      </c>
      <c r="M927" s="132">
        <f t="shared" si="95"/>
        <v>0</v>
      </c>
      <c r="N927" s="133"/>
      <c r="O927" s="133">
        <f t="shared" si="96"/>
        <v>0</v>
      </c>
      <c r="P927" s="134"/>
      <c r="Q927" s="133"/>
      <c r="R927" s="133"/>
      <c r="S927" s="153">
        <v>0</v>
      </c>
      <c r="T927" s="153">
        <v>0</v>
      </c>
      <c r="U927" s="153">
        <v>0</v>
      </c>
      <c r="V927" s="135"/>
      <c r="W927" s="135"/>
      <c r="X927" s="135"/>
      <c r="Y927" s="135"/>
      <c r="Z927" s="135"/>
      <c r="AA927" s="135"/>
      <c r="AB927" s="135"/>
      <c r="AC927" s="135"/>
      <c r="AD927" s="133"/>
      <c r="AE927" s="133"/>
      <c r="AF927" s="132" t="str">
        <f t="shared" si="92"/>
        <v>Нет инфо</v>
      </c>
      <c r="AG927" s="132" t="str">
        <f t="shared" si="93"/>
        <v>Нет инфо</v>
      </c>
      <c r="AH927" s="2"/>
      <c r="AI927" s="136"/>
      <c r="AJ927" s="2"/>
      <c r="AK927" s="136"/>
      <c r="AL927" s="136"/>
      <c r="AM927" s="2"/>
      <c r="AN927" s="2"/>
      <c r="AO927" s="2"/>
      <c r="AP927" s="2"/>
      <c r="AQ927" s="136"/>
    </row>
    <row r="928" spans="1:43" s="115" customFormat="1" ht="12.75" hidden="1" customHeight="1" x14ac:dyDescent="0.2">
      <c r="A928" s="2">
        <v>2957</v>
      </c>
      <c r="B928" s="2"/>
      <c r="C928" s="131"/>
      <c r="D928" s="131"/>
      <c r="E928" s="131"/>
      <c r="F928" s="2"/>
      <c r="G928" s="2"/>
      <c r="H928" s="132">
        <v>0</v>
      </c>
      <c r="I928" s="132"/>
      <c r="J928" s="132"/>
      <c r="K928" s="132"/>
      <c r="L928" s="132">
        <f t="shared" si="94"/>
        <v>0</v>
      </c>
      <c r="M928" s="132">
        <f t="shared" si="95"/>
        <v>0</v>
      </c>
      <c r="N928" s="133"/>
      <c r="O928" s="133">
        <f t="shared" si="96"/>
        <v>0</v>
      </c>
      <c r="P928" s="134"/>
      <c r="Q928" s="133"/>
      <c r="R928" s="133"/>
      <c r="S928" s="153">
        <v>0</v>
      </c>
      <c r="T928" s="153">
        <v>0</v>
      </c>
      <c r="U928" s="153">
        <v>0</v>
      </c>
      <c r="V928" s="135"/>
      <c r="W928" s="135"/>
      <c r="X928" s="135"/>
      <c r="Y928" s="135"/>
      <c r="Z928" s="135"/>
      <c r="AA928" s="135"/>
      <c r="AB928" s="135"/>
      <c r="AC928" s="135"/>
      <c r="AD928" s="133"/>
      <c r="AE928" s="133"/>
      <c r="AF928" s="132" t="str">
        <f t="shared" si="92"/>
        <v>Нет инфо</v>
      </c>
      <c r="AG928" s="132" t="str">
        <f t="shared" si="93"/>
        <v>Нет инфо</v>
      </c>
      <c r="AH928" s="2"/>
      <c r="AI928" s="136"/>
      <c r="AJ928" s="2"/>
      <c r="AK928" s="136"/>
      <c r="AL928" s="136"/>
      <c r="AM928" s="2"/>
      <c r="AN928" s="2"/>
      <c r="AO928" s="2"/>
      <c r="AP928" s="2"/>
      <c r="AQ928" s="136"/>
    </row>
    <row r="929" spans="1:43" s="115" customFormat="1" ht="12.75" hidden="1" customHeight="1" x14ac:dyDescent="0.2">
      <c r="A929" s="2">
        <v>2958</v>
      </c>
      <c r="B929" s="2"/>
      <c r="C929" s="131"/>
      <c r="D929" s="131"/>
      <c r="E929" s="131"/>
      <c r="F929" s="2"/>
      <c r="G929" s="2"/>
      <c r="H929" s="132">
        <v>0</v>
      </c>
      <c r="I929" s="132"/>
      <c r="J929" s="132"/>
      <c r="K929" s="132"/>
      <c r="L929" s="132">
        <f t="shared" si="94"/>
        <v>0</v>
      </c>
      <c r="M929" s="132">
        <f t="shared" si="95"/>
        <v>0</v>
      </c>
      <c r="N929" s="133"/>
      <c r="O929" s="133">
        <f t="shared" si="96"/>
        <v>0</v>
      </c>
      <c r="P929" s="134"/>
      <c r="Q929" s="133"/>
      <c r="R929" s="133"/>
      <c r="S929" s="153">
        <v>0</v>
      </c>
      <c r="T929" s="153">
        <v>0</v>
      </c>
      <c r="U929" s="153">
        <v>0</v>
      </c>
      <c r="V929" s="135"/>
      <c r="W929" s="135"/>
      <c r="X929" s="135"/>
      <c r="Y929" s="135"/>
      <c r="Z929" s="135"/>
      <c r="AA929" s="135"/>
      <c r="AB929" s="135"/>
      <c r="AC929" s="135"/>
      <c r="AD929" s="133"/>
      <c r="AE929" s="133"/>
      <c r="AF929" s="132" t="str">
        <f t="shared" si="92"/>
        <v>Нет инфо</v>
      </c>
      <c r="AG929" s="132" t="str">
        <f t="shared" si="93"/>
        <v>Нет инфо</v>
      </c>
      <c r="AH929" s="2"/>
      <c r="AI929" s="136"/>
      <c r="AJ929" s="2"/>
      <c r="AK929" s="136"/>
      <c r="AL929" s="136"/>
      <c r="AM929" s="2"/>
      <c r="AN929" s="2"/>
      <c r="AO929" s="2"/>
      <c r="AP929" s="2"/>
      <c r="AQ929" s="136"/>
    </row>
    <row r="930" spans="1:43" s="115" customFormat="1" ht="12.75" hidden="1" customHeight="1" x14ac:dyDescent="0.2">
      <c r="A930" s="2">
        <v>2959</v>
      </c>
      <c r="B930" s="2"/>
      <c r="C930" s="131"/>
      <c r="D930" s="131"/>
      <c r="E930" s="131"/>
      <c r="F930" s="2"/>
      <c r="G930" s="2"/>
      <c r="H930" s="132">
        <v>0</v>
      </c>
      <c r="I930" s="132"/>
      <c r="J930" s="132"/>
      <c r="K930" s="132"/>
      <c r="L930" s="132">
        <f t="shared" si="94"/>
        <v>0</v>
      </c>
      <c r="M930" s="132">
        <f t="shared" si="95"/>
        <v>0</v>
      </c>
      <c r="N930" s="133"/>
      <c r="O930" s="133">
        <f t="shared" si="96"/>
        <v>0</v>
      </c>
      <c r="P930" s="134"/>
      <c r="Q930" s="133"/>
      <c r="R930" s="133"/>
      <c r="S930" s="153">
        <v>0</v>
      </c>
      <c r="T930" s="153">
        <v>0</v>
      </c>
      <c r="U930" s="153">
        <v>0</v>
      </c>
      <c r="V930" s="135"/>
      <c r="W930" s="135"/>
      <c r="X930" s="135"/>
      <c r="Y930" s="135"/>
      <c r="Z930" s="135"/>
      <c r="AA930" s="135"/>
      <c r="AB930" s="135"/>
      <c r="AC930" s="135"/>
      <c r="AD930" s="133"/>
      <c r="AE930" s="133"/>
      <c r="AF930" s="132" t="str">
        <f t="shared" si="92"/>
        <v>Нет инфо</v>
      </c>
      <c r="AG930" s="132" t="str">
        <f t="shared" si="93"/>
        <v>Нет инфо</v>
      </c>
      <c r="AH930" s="2"/>
      <c r="AI930" s="136"/>
      <c r="AJ930" s="2"/>
      <c r="AK930" s="136"/>
      <c r="AL930" s="136"/>
      <c r="AM930" s="2"/>
      <c r="AN930" s="2"/>
      <c r="AO930" s="2"/>
      <c r="AP930" s="2"/>
      <c r="AQ930" s="136"/>
    </row>
    <row r="931" spans="1:43" s="115" customFormat="1" ht="12.75" hidden="1" customHeight="1" x14ac:dyDescent="0.2">
      <c r="A931" s="2">
        <v>2960</v>
      </c>
      <c r="B931" s="2"/>
      <c r="C931" s="131"/>
      <c r="D931" s="131"/>
      <c r="E931" s="131"/>
      <c r="F931" s="2"/>
      <c r="G931" s="2"/>
      <c r="H931" s="132">
        <v>0</v>
      </c>
      <c r="I931" s="132"/>
      <c r="J931" s="132"/>
      <c r="K931" s="132"/>
      <c r="L931" s="132">
        <f t="shared" si="94"/>
        <v>0</v>
      </c>
      <c r="M931" s="132">
        <f t="shared" si="95"/>
        <v>0</v>
      </c>
      <c r="N931" s="133"/>
      <c r="O931" s="133">
        <f t="shared" si="96"/>
        <v>0</v>
      </c>
      <c r="P931" s="134"/>
      <c r="Q931" s="133"/>
      <c r="R931" s="133"/>
      <c r="S931" s="153">
        <v>0</v>
      </c>
      <c r="T931" s="153">
        <v>0</v>
      </c>
      <c r="U931" s="153">
        <v>0</v>
      </c>
      <c r="V931" s="135"/>
      <c r="W931" s="135"/>
      <c r="X931" s="135"/>
      <c r="Y931" s="135"/>
      <c r="Z931" s="135"/>
      <c r="AA931" s="135"/>
      <c r="AB931" s="135"/>
      <c r="AC931" s="135"/>
      <c r="AD931" s="133"/>
      <c r="AE931" s="133"/>
      <c r="AF931" s="132" t="str">
        <f t="shared" si="92"/>
        <v>Нет инфо</v>
      </c>
      <c r="AG931" s="132" t="str">
        <f t="shared" si="93"/>
        <v>Нет инфо</v>
      </c>
      <c r="AH931" s="2"/>
      <c r="AI931" s="136"/>
      <c r="AJ931" s="2"/>
      <c r="AK931" s="136"/>
      <c r="AL931" s="136"/>
      <c r="AM931" s="2"/>
      <c r="AN931" s="2"/>
      <c r="AO931" s="2"/>
      <c r="AP931" s="2"/>
      <c r="AQ931" s="136"/>
    </row>
    <row r="932" spans="1:43" s="115" customFormat="1" ht="12.75" hidden="1" customHeight="1" x14ac:dyDescent="0.2">
      <c r="A932" s="2">
        <v>2961</v>
      </c>
      <c r="B932" s="2"/>
      <c r="C932" s="131"/>
      <c r="D932" s="131"/>
      <c r="E932" s="131"/>
      <c r="F932" s="2"/>
      <c r="G932" s="2"/>
      <c r="H932" s="132">
        <v>0</v>
      </c>
      <c r="I932" s="132"/>
      <c r="J932" s="132"/>
      <c r="K932" s="132"/>
      <c r="L932" s="132">
        <f t="shared" si="94"/>
        <v>0</v>
      </c>
      <c r="M932" s="132">
        <f t="shared" si="95"/>
        <v>0</v>
      </c>
      <c r="N932" s="133"/>
      <c r="O932" s="133">
        <f t="shared" si="96"/>
        <v>0</v>
      </c>
      <c r="P932" s="134"/>
      <c r="Q932" s="133"/>
      <c r="R932" s="133"/>
      <c r="S932" s="153">
        <v>0</v>
      </c>
      <c r="T932" s="153">
        <v>0</v>
      </c>
      <c r="U932" s="153">
        <v>0</v>
      </c>
      <c r="V932" s="135"/>
      <c r="W932" s="135"/>
      <c r="X932" s="135"/>
      <c r="Y932" s="135"/>
      <c r="Z932" s="135"/>
      <c r="AA932" s="135"/>
      <c r="AB932" s="135"/>
      <c r="AC932" s="135"/>
      <c r="AD932" s="133"/>
      <c r="AE932" s="133"/>
      <c r="AF932" s="132" t="str">
        <f t="shared" si="92"/>
        <v>Нет инфо</v>
      </c>
      <c r="AG932" s="132" t="str">
        <f t="shared" si="93"/>
        <v>Нет инфо</v>
      </c>
      <c r="AH932" s="2"/>
      <c r="AI932" s="136"/>
      <c r="AJ932" s="2"/>
      <c r="AK932" s="136"/>
      <c r="AL932" s="136"/>
      <c r="AM932" s="2"/>
      <c r="AN932" s="2"/>
      <c r="AO932" s="2"/>
      <c r="AP932" s="2"/>
      <c r="AQ932" s="136"/>
    </row>
    <row r="933" spans="1:43" s="115" customFormat="1" ht="12.75" hidden="1" customHeight="1" x14ac:dyDescent="0.2">
      <c r="A933" s="2">
        <v>2962</v>
      </c>
      <c r="B933" s="2"/>
      <c r="C933" s="131"/>
      <c r="D933" s="131"/>
      <c r="E933" s="131"/>
      <c r="F933" s="2"/>
      <c r="G933" s="2"/>
      <c r="H933" s="132">
        <v>0</v>
      </c>
      <c r="I933" s="132"/>
      <c r="J933" s="132"/>
      <c r="K933" s="132"/>
      <c r="L933" s="132">
        <f t="shared" si="94"/>
        <v>0</v>
      </c>
      <c r="M933" s="132">
        <f t="shared" si="95"/>
        <v>0</v>
      </c>
      <c r="N933" s="133"/>
      <c r="O933" s="133">
        <f t="shared" si="96"/>
        <v>0</v>
      </c>
      <c r="P933" s="134"/>
      <c r="Q933" s="133"/>
      <c r="R933" s="133"/>
      <c r="S933" s="153">
        <v>0</v>
      </c>
      <c r="T933" s="153">
        <v>0</v>
      </c>
      <c r="U933" s="153">
        <v>0</v>
      </c>
      <c r="V933" s="135"/>
      <c r="W933" s="135"/>
      <c r="X933" s="135"/>
      <c r="Y933" s="135"/>
      <c r="Z933" s="135"/>
      <c r="AA933" s="135"/>
      <c r="AB933" s="135"/>
      <c r="AC933" s="135"/>
      <c r="AD933" s="133"/>
      <c r="AE933" s="133"/>
      <c r="AF933" s="132" t="str">
        <f t="shared" ref="AF933:AF961" si="97">IF(OR(I933="",I933=0,N933="",N933=0),"Нет инфо",I933/N933)</f>
        <v>Нет инфо</v>
      </c>
      <c r="AG933" s="132" t="str">
        <f t="shared" ref="AG933:AG961" si="98">IF(OR(I933="",I933=0,R933="",R933=0),"Нет инфо",I933/R933)</f>
        <v>Нет инфо</v>
      </c>
      <c r="AH933" s="2"/>
      <c r="AI933" s="136"/>
      <c r="AJ933" s="2"/>
      <c r="AK933" s="136"/>
      <c r="AL933" s="136"/>
      <c r="AM933" s="2"/>
      <c r="AN933" s="2"/>
      <c r="AO933" s="2"/>
      <c r="AP933" s="2"/>
      <c r="AQ933" s="136"/>
    </row>
    <row r="934" spans="1:43" s="115" customFormat="1" ht="12.75" hidden="1" customHeight="1" x14ac:dyDescent="0.2">
      <c r="A934" s="2">
        <v>2963</v>
      </c>
      <c r="B934" s="2"/>
      <c r="C934" s="131"/>
      <c r="D934" s="131"/>
      <c r="E934" s="131"/>
      <c r="F934" s="2"/>
      <c r="G934" s="2"/>
      <c r="H934" s="132">
        <v>0</v>
      </c>
      <c r="I934" s="132"/>
      <c r="J934" s="132"/>
      <c r="K934" s="132"/>
      <c r="L934" s="132">
        <f t="shared" si="94"/>
        <v>0</v>
      </c>
      <c r="M934" s="132">
        <f t="shared" si="95"/>
        <v>0</v>
      </c>
      <c r="N934" s="133"/>
      <c r="O934" s="133">
        <f t="shared" si="96"/>
        <v>0</v>
      </c>
      <c r="P934" s="134"/>
      <c r="Q934" s="133"/>
      <c r="R934" s="133"/>
      <c r="S934" s="153">
        <v>0</v>
      </c>
      <c r="T934" s="153">
        <v>0</v>
      </c>
      <c r="U934" s="153">
        <v>0</v>
      </c>
      <c r="V934" s="135"/>
      <c r="W934" s="135"/>
      <c r="X934" s="135"/>
      <c r="Y934" s="135"/>
      <c r="Z934" s="135"/>
      <c r="AA934" s="135"/>
      <c r="AB934" s="135"/>
      <c r="AC934" s="135"/>
      <c r="AD934" s="133"/>
      <c r="AE934" s="133"/>
      <c r="AF934" s="132" t="str">
        <f t="shared" si="97"/>
        <v>Нет инфо</v>
      </c>
      <c r="AG934" s="132" t="str">
        <f t="shared" si="98"/>
        <v>Нет инфо</v>
      </c>
      <c r="AH934" s="2"/>
      <c r="AI934" s="136"/>
      <c r="AJ934" s="2"/>
      <c r="AK934" s="136"/>
      <c r="AL934" s="136"/>
      <c r="AM934" s="2"/>
      <c r="AN934" s="2"/>
      <c r="AO934" s="2"/>
      <c r="AP934" s="2"/>
      <c r="AQ934" s="136"/>
    </row>
    <row r="935" spans="1:43" s="115" customFormat="1" ht="12.75" hidden="1" customHeight="1" x14ac:dyDescent="0.2">
      <c r="A935" s="2">
        <v>2964</v>
      </c>
      <c r="B935" s="2"/>
      <c r="C935" s="131"/>
      <c r="D935" s="131"/>
      <c r="E935" s="131"/>
      <c r="F935" s="2"/>
      <c r="G935" s="2"/>
      <c r="H935" s="132">
        <v>0</v>
      </c>
      <c r="I935" s="132"/>
      <c r="J935" s="132"/>
      <c r="K935" s="132"/>
      <c r="L935" s="132">
        <f t="shared" si="94"/>
        <v>0</v>
      </c>
      <c r="M935" s="132">
        <f t="shared" si="95"/>
        <v>0</v>
      </c>
      <c r="N935" s="133"/>
      <c r="O935" s="133">
        <f t="shared" si="96"/>
        <v>0</v>
      </c>
      <c r="P935" s="134"/>
      <c r="Q935" s="133"/>
      <c r="R935" s="133"/>
      <c r="S935" s="153">
        <v>0</v>
      </c>
      <c r="T935" s="153">
        <v>0</v>
      </c>
      <c r="U935" s="153">
        <v>0</v>
      </c>
      <c r="V935" s="135"/>
      <c r="W935" s="135"/>
      <c r="X935" s="135"/>
      <c r="Y935" s="135"/>
      <c r="Z935" s="135"/>
      <c r="AA935" s="135"/>
      <c r="AB935" s="135"/>
      <c r="AC935" s="135"/>
      <c r="AD935" s="133"/>
      <c r="AE935" s="133"/>
      <c r="AF935" s="132" t="str">
        <f t="shared" si="97"/>
        <v>Нет инфо</v>
      </c>
      <c r="AG935" s="132" t="str">
        <f t="shared" si="98"/>
        <v>Нет инфо</v>
      </c>
      <c r="AH935" s="2"/>
      <c r="AI935" s="136"/>
      <c r="AJ935" s="2"/>
      <c r="AK935" s="136"/>
      <c r="AL935" s="136"/>
      <c r="AM935" s="2"/>
      <c r="AN935" s="2"/>
      <c r="AO935" s="2"/>
      <c r="AP935" s="2"/>
      <c r="AQ935" s="136"/>
    </row>
    <row r="936" spans="1:43" s="115" customFormat="1" ht="12.75" hidden="1" customHeight="1" x14ac:dyDescent="0.2">
      <c r="A936" s="2">
        <v>2965</v>
      </c>
      <c r="B936" s="2"/>
      <c r="C936" s="131"/>
      <c r="D936" s="131"/>
      <c r="E936" s="131"/>
      <c r="F936" s="2"/>
      <c r="G936" s="2"/>
      <c r="H936" s="132">
        <v>0</v>
      </c>
      <c r="I936" s="132"/>
      <c r="J936" s="132"/>
      <c r="K936" s="132"/>
      <c r="L936" s="132">
        <f t="shared" si="94"/>
        <v>0</v>
      </c>
      <c r="M936" s="132">
        <f t="shared" si="95"/>
        <v>0</v>
      </c>
      <c r="N936" s="133"/>
      <c r="O936" s="133">
        <f t="shared" si="96"/>
        <v>0</v>
      </c>
      <c r="P936" s="134"/>
      <c r="Q936" s="133"/>
      <c r="R936" s="133"/>
      <c r="S936" s="153">
        <v>0</v>
      </c>
      <c r="T936" s="153">
        <v>0</v>
      </c>
      <c r="U936" s="153">
        <v>0</v>
      </c>
      <c r="V936" s="135"/>
      <c r="W936" s="135"/>
      <c r="X936" s="135"/>
      <c r="Y936" s="135"/>
      <c r="Z936" s="135"/>
      <c r="AA936" s="135"/>
      <c r="AB936" s="135"/>
      <c r="AC936" s="135"/>
      <c r="AD936" s="133"/>
      <c r="AE936" s="133"/>
      <c r="AF936" s="132" t="str">
        <f t="shared" si="97"/>
        <v>Нет инфо</v>
      </c>
      <c r="AG936" s="132" t="str">
        <f t="shared" si="98"/>
        <v>Нет инфо</v>
      </c>
      <c r="AH936" s="2"/>
      <c r="AI936" s="136"/>
      <c r="AJ936" s="2"/>
      <c r="AK936" s="136"/>
      <c r="AL936" s="136"/>
      <c r="AM936" s="2"/>
      <c r="AN936" s="2"/>
      <c r="AO936" s="2"/>
      <c r="AP936" s="2"/>
      <c r="AQ936" s="136"/>
    </row>
    <row r="937" spans="1:43" s="115" customFormat="1" ht="12.75" hidden="1" customHeight="1" x14ac:dyDescent="0.2">
      <c r="A937" s="2">
        <v>2966</v>
      </c>
      <c r="B937" s="2"/>
      <c r="C937" s="131"/>
      <c r="D937" s="131"/>
      <c r="E937" s="131"/>
      <c r="F937" s="2"/>
      <c r="G937" s="2"/>
      <c r="H937" s="132">
        <v>0</v>
      </c>
      <c r="I937" s="132"/>
      <c r="J937" s="132"/>
      <c r="K937" s="132"/>
      <c r="L937" s="132">
        <f t="shared" si="94"/>
        <v>0</v>
      </c>
      <c r="M937" s="132">
        <f t="shared" si="95"/>
        <v>0</v>
      </c>
      <c r="N937" s="133"/>
      <c r="O937" s="133">
        <f t="shared" si="96"/>
        <v>0</v>
      </c>
      <c r="P937" s="134"/>
      <c r="Q937" s="133"/>
      <c r="R937" s="133"/>
      <c r="S937" s="153">
        <v>0</v>
      </c>
      <c r="T937" s="153">
        <v>0</v>
      </c>
      <c r="U937" s="153">
        <v>0</v>
      </c>
      <c r="V937" s="135"/>
      <c r="W937" s="135"/>
      <c r="X937" s="135"/>
      <c r="Y937" s="135"/>
      <c r="Z937" s="135"/>
      <c r="AA937" s="135"/>
      <c r="AB937" s="135"/>
      <c r="AC937" s="135"/>
      <c r="AD937" s="133"/>
      <c r="AE937" s="133"/>
      <c r="AF937" s="132" t="str">
        <f t="shared" si="97"/>
        <v>Нет инфо</v>
      </c>
      <c r="AG937" s="132" t="str">
        <f t="shared" si="98"/>
        <v>Нет инфо</v>
      </c>
      <c r="AH937" s="2"/>
      <c r="AI937" s="136"/>
      <c r="AJ937" s="2"/>
      <c r="AK937" s="136"/>
      <c r="AL937" s="136"/>
      <c r="AM937" s="2"/>
      <c r="AN937" s="2"/>
      <c r="AO937" s="2"/>
      <c r="AP937" s="2"/>
      <c r="AQ937" s="136"/>
    </row>
    <row r="938" spans="1:43" s="115" customFormat="1" ht="12.75" hidden="1" customHeight="1" x14ac:dyDescent="0.2">
      <c r="A938" s="2">
        <v>2967</v>
      </c>
      <c r="B938" s="2"/>
      <c r="C938" s="131"/>
      <c r="D938" s="131"/>
      <c r="E938" s="131"/>
      <c r="F938" s="2"/>
      <c r="G938" s="2"/>
      <c r="H938" s="132">
        <v>0</v>
      </c>
      <c r="I938" s="132"/>
      <c r="J938" s="132"/>
      <c r="K938" s="132"/>
      <c r="L938" s="132">
        <f t="shared" si="94"/>
        <v>0</v>
      </c>
      <c r="M938" s="132">
        <f t="shared" si="95"/>
        <v>0</v>
      </c>
      <c r="N938" s="133"/>
      <c r="O938" s="133">
        <f t="shared" si="96"/>
        <v>0</v>
      </c>
      <c r="P938" s="134"/>
      <c r="Q938" s="133"/>
      <c r="R938" s="133"/>
      <c r="S938" s="153">
        <v>0</v>
      </c>
      <c r="T938" s="153">
        <v>0</v>
      </c>
      <c r="U938" s="153">
        <v>0</v>
      </c>
      <c r="V938" s="135"/>
      <c r="W938" s="135"/>
      <c r="X938" s="135"/>
      <c r="Y938" s="135"/>
      <c r="Z938" s="135"/>
      <c r="AA938" s="135"/>
      <c r="AB938" s="135"/>
      <c r="AC938" s="135"/>
      <c r="AD938" s="133"/>
      <c r="AE938" s="133"/>
      <c r="AF938" s="132" t="str">
        <f t="shared" si="97"/>
        <v>Нет инфо</v>
      </c>
      <c r="AG938" s="132" t="str">
        <f t="shared" si="98"/>
        <v>Нет инфо</v>
      </c>
      <c r="AH938" s="2"/>
      <c r="AI938" s="136"/>
      <c r="AJ938" s="2"/>
      <c r="AK938" s="136"/>
      <c r="AL938" s="136"/>
      <c r="AM938" s="2"/>
      <c r="AN938" s="2"/>
      <c r="AO938" s="2"/>
      <c r="AP938" s="2"/>
      <c r="AQ938" s="136"/>
    </row>
    <row r="939" spans="1:43" s="115" customFormat="1" ht="12.75" hidden="1" customHeight="1" x14ac:dyDescent="0.2">
      <c r="A939" s="2">
        <v>2968</v>
      </c>
      <c r="B939" s="2"/>
      <c r="C939" s="131"/>
      <c r="D939" s="131"/>
      <c r="E939" s="131"/>
      <c r="F939" s="2"/>
      <c r="G939" s="2"/>
      <c r="H939" s="132">
        <v>0</v>
      </c>
      <c r="I939" s="132"/>
      <c r="J939" s="132"/>
      <c r="K939" s="132"/>
      <c r="L939" s="132">
        <f t="shared" si="94"/>
        <v>0</v>
      </c>
      <c r="M939" s="132">
        <f t="shared" si="95"/>
        <v>0</v>
      </c>
      <c r="N939" s="133"/>
      <c r="O939" s="133">
        <f t="shared" si="96"/>
        <v>0</v>
      </c>
      <c r="P939" s="134"/>
      <c r="Q939" s="133"/>
      <c r="R939" s="133"/>
      <c r="S939" s="153">
        <v>0</v>
      </c>
      <c r="T939" s="153">
        <v>0</v>
      </c>
      <c r="U939" s="153">
        <v>0</v>
      </c>
      <c r="V939" s="135"/>
      <c r="W939" s="135"/>
      <c r="X939" s="135"/>
      <c r="Y939" s="135"/>
      <c r="Z939" s="135"/>
      <c r="AA939" s="135"/>
      <c r="AB939" s="135"/>
      <c r="AC939" s="135"/>
      <c r="AD939" s="133"/>
      <c r="AE939" s="133"/>
      <c r="AF939" s="132" t="str">
        <f t="shared" si="97"/>
        <v>Нет инфо</v>
      </c>
      <c r="AG939" s="132" t="str">
        <f t="shared" si="98"/>
        <v>Нет инфо</v>
      </c>
      <c r="AH939" s="2"/>
      <c r="AI939" s="136"/>
      <c r="AJ939" s="2"/>
      <c r="AK939" s="136"/>
      <c r="AL939" s="136"/>
      <c r="AM939" s="2"/>
      <c r="AN939" s="2"/>
      <c r="AO939" s="2"/>
      <c r="AP939" s="2"/>
      <c r="AQ939" s="136"/>
    </row>
    <row r="940" spans="1:43" s="115" customFormat="1" ht="12.75" hidden="1" customHeight="1" x14ac:dyDescent="0.2">
      <c r="A940" s="2">
        <v>2969</v>
      </c>
      <c r="B940" s="2"/>
      <c r="C940" s="131"/>
      <c r="D940" s="131"/>
      <c r="E940" s="131"/>
      <c r="F940" s="2"/>
      <c r="G940" s="2"/>
      <c r="H940" s="132">
        <v>0</v>
      </c>
      <c r="I940" s="132"/>
      <c r="J940" s="132"/>
      <c r="K940" s="132"/>
      <c r="L940" s="132">
        <f t="shared" si="94"/>
        <v>0</v>
      </c>
      <c r="M940" s="132">
        <f t="shared" si="95"/>
        <v>0</v>
      </c>
      <c r="N940" s="133"/>
      <c r="O940" s="133">
        <f t="shared" si="96"/>
        <v>0</v>
      </c>
      <c r="P940" s="134"/>
      <c r="Q940" s="133"/>
      <c r="R940" s="133"/>
      <c r="S940" s="153">
        <v>0</v>
      </c>
      <c r="T940" s="153">
        <v>0</v>
      </c>
      <c r="U940" s="153">
        <v>0</v>
      </c>
      <c r="V940" s="135"/>
      <c r="W940" s="135"/>
      <c r="X940" s="135"/>
      <c r="Y940" s="135"/>
      <c r="Z940" s="135"/>
      <c r="AA940" s="135"/>
      <c r="AB940" s="135"/>
      <c r="AC940" s="135"/>
      <c r="AD940" s="133"/>
      <c r="AE940" s="133"/>
      <c r="AF940" s="132" t="str">
        <f t="shared" si="97"/>
        <v>Нет инфо</v>
      </c>
      <c r="AG940" s="132" t="str">
        <f t="shared" si="98"/>
        <v>Нет инфо</v>
      </c>
      <c r="AH940" s="2"/>
      <c r="AI940" s="136"/>
      <c r="AJ940" s="2"/>
      <c r="AK940" s="136"/>
      <c r="AL940" s="136"/>
      <c r="AM940" s="2"/>
      <c r="AN940" s="2"/>
      <c r="AO940" s="2"/>
      <c r="AP940" s="2"/>
      <c r="AQ940" s="136"/>
    </row>
    <row r="941" spans="1:43" s="115" customFormat="1" ht="12.75" hidden="1" customHeight="1" x14ac:dyDescent="0.2">
      <c r="A941" s="2">
        <v>2970</v>
      </c>
      <c r="B941" s="2"/>
      <c r="C941" s="131"/>
      <c r="D941" s="131"/>
      <c r="E941" s="131"/>
      <c r="F941" s="2"/>
      <c r="G941" s="2"/>
      <c r="H941" s="132">
        <v>0</v>
      </c>
      <c r="I941" s="132"/>
      <c r="J941" s="132"/>
      <c r="K941" s="132"/>
      <c r="L941" s="132">
        <f t="shared" si="94"/>
        <v>0</v>
      </c>
      <c r="M941" s="132">
        <f t="shared" si="95"/>
        <v>0</v>
      </c>
      <c r="N941" s="133"/>
      <c r="O941" s="133">
        <f t="shared" si="96"/>
        <v>0</v>
      </c>
      <c r="P941" s="134"/>
      <c r="Q941" s="133"/>
      <c r="R941" s="133"/>
      <c r="S941" s="153">
        <v>0</v>
      </c>
      <c r="T941" s="153">
        <v>0</v>
      </c>
      <c r="U941" s="153">
        <v>0</v>
      </c>
      <c r="V941" s="135"/>
      <c r="W941" s="135"/>
      <c r="X941" s="135"/>
      <c r="Y941" s="135"/>
      <c r="Z941" s="135"/>
      <c r="AA941" s="135"/>
      <c r="AB941" s="135"/>
      <c r="AC941" s="135"/>
      <c r="AD941" s="133"/>
      <c r="AE941" s="133"/>
      <c r="AF941" s="132" t="str">
        <f t="shared" si="97"/>
        <v>Нет инфо</v>
      </c>
      <c r="AG941" s="132" t="str">
        <f t="shared" si="98"/>
        <v>Нет инфо</v>
      </c>
      <c r="AH941" s="2"/>
      <c r="AI941" s="136"/>
      <c r="AJ941" s="2"/>
      <c r="AK941" s="136"/>
      <c r="AL941" s="136"/>
      <c r="AM941" s="2"/>
      <c r="AN941" s="2"/>
      <c r="AO941" s="2"/>
      <c r="AP941" s="2"/>
      <c r="AQ941" s="136"/>
    </row>
    <row r="942" spans="1:43" s="115" customFormat="1" ht="12.75" hidden="1" customHeight="1" x14ac:dyDescent="0.2">
      <c r="A942" s="2">
        <v>2971</v>
      </c>
      <c r="B942" s="2"/>
      <c r="C942" s="131"/>
      <c r="D942" s="131"/>
      <c r="E942" s="131"/>
      <c r="F942" s="2"/>
      <c r="G942" s="2"/>
      <c r="H942" s="132">
        <v>0</v>
      </c>
      <c r="I942" s="132"/>
      <c r="J942" s="132"/>
      <c r="K942" s="132"/>
      <c r="L942" s="132">
        <f t="shared" si="94"/>
        <v>0</v>
      </c>
      <c r="M942" s="132">
        <f t="shared" si="95"/>
        <v>0</v>
      </c>
      <c r="N942" s="133"/>
      <c r="O942" s="133">
        <f t="shared" si="96"/>
        <v>0</v>
      </c>
      <c r="P942" s="134"/>
      <c r="Q942" s="133"/>
      <c r="R942" s="133"/>
      <c r="S942" s="153">
        <v>0</v>
      </c>
      <c r="T942" s="153">
        <v>0</v>
      </c>
      <c r="U942" s="153">
        <v>0</v>
      </c>
      <c r="V942" s="135"/>
      <c r="W942" s="135"/>
      <c r="X942" s="135"/>
      <c r="Y942" s="135"/>
      <c r="Z942" s="135"/>
      <c r="AA942" s="135"/>
      <c r="AB942" s="135"/>
      <c r="AC942" s="135"/>
      <c r="AD942" s="133"/>
      <c r="AE942" s="133"/>
      <c r="AF942" s="132" t="str">
        <f t="shared" si="97"/>
        <v>Нет инфо</v>
      </c>
      <c r="AG942" s="132" t="str">
        <f t="shared" si="98"/>
        <v>Нет инфо</v>
      </c>
      <c r="AH942" s="2"/>
      <c r="AI942" s="136"/>
      <c r="AJ942" s="2"/>
      <c r="AK942" s="136"/>
      <c r="AL942" s="136"/>
      <c r="AM942" s="2"/>
      <c r="AN942" s="2"/>
      <c r="AO942" s="2"/>
      <c r="AP942" s="2"/>
      <c r="AQ942" s="136"/>
    </row>
    <row r="943" spans="1:43" s="115" customFormat="1" ht="12.75" hidden="1" customHeight="1" x14ac:dyDescent="0.2">
      <c r="A943" s="2">
        <v>2972</v>
      </c>
      <c r="B943" s="2"/>
      <c r="C943" s="131"/>
      <c r="D943" s="131"/>
      <c r="E943" s="131"/>
      <c r="F943" s="2"/>
      <c r="G943" s="2"/>
      <c r="H943" s="132">
        <v>0</v>
      </c>
      <c r="I943" s="132"/>
      <c r="J943" s="132"/>
      <c r="K943" s="132"/>
      <c r="L943" s="132">
        <f t="shared" si="94"/>
        <v>0</v>
      </c>
      <c r="M943" s="132">
        <f t="shared" si="95"/>
        <v>0</v>
      </c>
      <c r="N943" s="133"/>
      <c r="O943" s="133">
        <f t="shared" si="96"/>
        <v>0</v>
      </c>
      <c r="P943" s="134"/>
      <c r="Q943" s="133"/>
      <c r="R943" s="133"/>
      <c r="S943" s="153">
        <v>0</v>
      </c>
      <c r="T943" s="153">
        <v>0</v>
      </c>
      <c r="U943" s="153">
        <v>0</v>
      </c>
      <c r="V943" s="135"/>
      <c r="W943" s="135"/>
      <c r="X943" s="135"/>
      <c r="Y943" s="135"/>
      <c r="Z943" s="135"/>
      <c r="AA943" s="135"/>
      <c r="AB943" s="135"/>
      <c r="AC943" s="135"/>
      <c r="AD943" s="133"/>
      <c r="AE943" s="133"/>
      <c r="AF943" s="132" t="str">
        <f t="shared" si="97"/>
        <v>Нет инфо</v>
      </c>
      <c r="AG943" s="132" t="str">
        <f t="shared" si="98"/>
        <v>Нет инфо</v>
      </c>
      <c r="AH943" s="2"/>
      <c r="AI943" s="136"/>
      <c r="AJ943" s="2"/>
      <c r="AK943" s="136"/>
      <c r="AL943" s="136"/>
      <c r="AM943" s="2"/>
      <c r="AN943" s="2"/>
      <c r="AO943" s="2"/>
      <c r="AP943" s="2"/>
      <c r="AQ943" s="136"/>
    </row>
    <row r="944" spans="1:43" s="115" customFormat="1" ht="12.75" hidden="1" customHeight="1" x14ac:dyDescent="0.2">
      <c r="A944" s="2">
        <v>2973</v>
      </c>
      <c r="B944" s="2"/>
      <c r="C944" s="131"/>
      <c r="D944" s="131"/>
      <c r="E944" s="131"/>
      <c r="F944" s="2"/>
      <c r="G944" s="2"/>
      <c r="H944" s="132">
        <v>0</v>
      </c>
      <c r="I944" s="132"/>
      <c r="J944" s="132"/>
      <c r="K944" s="132"/>
      <c r="L944" s="132">
        <f t="shared" si="94"/>
        <v>0</v>
      </c>
      <c r="M944" s="132">
        <f t="shared" si="95"/>
        <v>0</v>
      </c>
      <c r="N944" s="133"/>
      <c r="O944" s="133">
        <f t="shared" si="96"/>
        <v>0</v>
      </c>
      <c r="P944" s="134"/>
      <c r="Q944" s="133"/>
      <c r="R944" s="133"/>
      <c r="S944" s="153">
        <v>0</v>
      </c>
      <c r="T944" s="153">
        <v>0</v>
      </c>
      <c r="U944" s="153">
        <v>0</v>
      </c>
      <c r="V944" s="135"/>
      <c r="W944" s="135"/>
      <c r="X944" s="135"/>
      <c r="Y944" s="135"/>
      <c r="Z944" s="135"/>
      <c r="AA944" s="135"/>
      <c r="AB944" s="135"/>
      <c r="AC944" s="135"/>
      <c r="AD944" s="133"/>
      <c r="AE944" s="133"/>
      <c r="AF944" s="132" t="str">
        <f t="shared" si="97"/>
        <v>Нет инфо</v>
      </c>
      <c r="AG944" s="132" t="str">
        <f t="shared" si="98"/>
        <v>Нет инфо</v>
      </c>
      <c r="AH944" s="2"/>
      <c r="AI944" s="136"/>
      <c r="AJ944" s="2"/>
      <c r="AK944" s="136"/>
      <c r="AL944" s="136"/>
      <c r="AM944" s="2"/>
      <c r="AN944" s="2"/>
      <c r="AO944" s="2"/>
      <c r="AP944" s="2"/>
      <c r="AQ944" s="136"/>
    </row>
    <row r="945" spans="1:43" s="115" customFormat="1" ht="12.75" hidden="1" customHeight="1" x14ac:dyDescent="0.2">
      <c r="A945" s="2">
        <v>2974</v>
      </c>
      <c r="B945" s="2"/>
      <c r="C945" s="131"/>
      <c r="D945" s="131"/>
      <c r="E945" s="131"/>
      <c r="F945" s="2"/>
      <c r="G945" s="2"/>
      <c r="H945" s="132">
        <v>0</v>
      </c>
      <c r="I945" s="132"/>
      <c r="J945" s="132"/>
      <c r="K945" s="132"/>
      <c r="L945" s="132">
        <f t="shared" si="94"/>
        <v>0</v>
      </c>
      <c r="M945" s="132">
        <f t="shared" si="95"/>
        <v>0</v>
      </c>
      <c r="N945" s="133"/>
      <c r="O945" s="133">
        <f t="shared" si="96"/>
        <v>0</v>
      </c>
      <c r="P945" s="134"/>
      <c r="Q945" s="133"/>
      <c r="R945" s="133"/>
      <c r="S945" s="153">
        <v>0</v>
      </c>
      <c r="T945" s="153">
        <v>0</v>
      </c>
      <c r="U945" s="153">
        <v>0</v>
      </c>
      <c r="V945" s="135"/>
      <c r="W945" s="135"/>
      <c r="X945" s="135"/>
      <c r="Y945" s="135"/>
      <c r="Z945" s="135"/>
      <c r="AA945" s="135"/>
      <c r="AB945" s="135"/>
      <c r="AC945" s="135"/>
      <c r="AD945" s="133"/>
      <c r="AE945" s="133"/>
      <c r="AF945" s="132" t="str">
        <f t="shared" si="97"/>
        <v>Нет инфо</v>
      </c>
      <c r="AG945" s="132" t="str">
        <f t="shared" si="98"/>
        <v>Нет инфо</v>
      </c>
      <c r="AH945" s="2"/>
      <c r="AI945" s="136"/>
      <c r="AJ945" s="2"/>
      <c r="AK945" s="136"/>
      <c r="AL945" s="136"/>
      <c r="AM945" s="2"/>
      <c r="AN945" s="2"/>
      <c r="AO945" s="2"/>
      <c r="AP945" s="2"/>
      <c r="AQ945" s="136"/>
    </row>
    <row r="946" spans="1:43" s="115" customFormat="1" ht="12.75" hidden="1" customHeight="1" x14ac:dyDescent="0.2">
      <c r="A946" s="2">
        <v>2975</v>
      </c>
      <c r="B946" s="2"/>
      <c r="C946" s="131"/>
      <c r="D946" s="131"/>
      <c r="E946" s="131"/>
      <c r="F946" s="2"/>
      <c r="G946" s="2"/>
      <c r="H946" s="132">
        <v>0</v>
      </c>
      <c r="I946" s="132"/>
      <c r="J946" s="132"/>
      <c r="K946" s="132"/>
      <c r="L946" s="132">
        <f t="shared" si="94"/>
        <v>0</v>
      </c>
      <c r="M946" s="132">
        <f t="shared" si="95"/>
        <v>0</v>
      </c>
      <c r="N946" s="133"/>
      <c r="O946" s="133">
        <f t="shared" si="96"/>
        <v>0</v>
      </c>
      <c r="P946" s="134"/>
      <c r="Q946" s="133"/>
      <c r="R946" s="133"/>
      <c r="S946" s="153">
        <v>0</v>
      </c>
      <c r="T946" s="153">
        <v>0</v>
      </c>
      <c r="U946" s="153">
        <v>0</v>
      </c>
      <c r="V946" s="135"/>
      <c r="W946" s="135"/>
      <c r="X946" s="135"/>
      <c r="Y946" s="135"/>
      <c r="Z946" s="135"/>
      <c r="AA946" s="135"/>
      <c r="AB946" s="135"/>
      <c r="AC946" s="135"/>
      <c r="AD946" s="133"/>
      <c r="AE946" s="133"/>
      <c r="AF946" s="132" t="str">
        <f t="shared" si="97"/>
        <v>Нет инфо</v>
      </c>
      <c r="AG946" s="132" t="str">
        <f t="shared" si="98"/>
        <v>Нет инфо</v>
      </c>
      <c r="AH946" s="2"/>
      <c r="AI946" s="136"/>
      <c r="AJ946" s="2"/>
      <c r="AK946" s="136"/>
      <c r="AL946" s="136"/>
      <c r="AM946" s="2"/>
      <c r="AN946" s="2"/>
      <c r="AO946" s="2"/>
      <c r="AP946" s="2"/>
      <c r="AQ946" s="136"/>
    </row>
    <row r="947" spans="1:43" s="115" customFormat="1" ht="12.75" hidden="1" customHeight="1" x14ac:dyDescent="0.2">
      <c r="A947" s="2">
        <v>2976</v>
      </c>
      <c r="B947" s="2"/>
      <c r="C947" s="131"/>
      <c r="D947" s="131"/>
      <c r="E947" s="131"/>
      <c r="F947" s="2"/>
      <c r="G947" s="2"/>
      <c r="H947" s="132">
        <v>0</v>
      </c>
      <c r="I947" s="132"/>
      <c r="J947" s="132"/>
      <c r="K947" s="132"/>
      <c r="L947" s="132">
        <f t="shared" si="94"/>
        <v>0</v>
      </c>
      <c r="M947" s="132">
        <f t="shared" si="95"/>
        <v>0</v>
      </c>
      <c r="N947" s="133"/>
      <c r="O947" s="133">
        <f t="shared" si="96"/>
        <v>0</v>
      </c>
      <c r="P947" s="134"/>
      <c r="Q947" s="133"/>
      <c r="R947" s="133"/>
      <c r="S947" s="153">
        <v>0</v>
      </c>
      <c r="T947" s="153">
        <v>0</v>
      </c>
      <c r="U947" s="153">
        <v>0</v>
      </c>
      <c r="V947" s="135"/>
      <c r="W947" s="135"/>
      <c r="X947" s="135"/>
      <c r="Y947" s="135"/>
      <c r="Z947" s="135"/>
      <c r="AA947" s="135"/>
      <c r="AB947" s="135"/>
      <c r="AC947" s="135"/>
      <c r="AD947" s="133"/>
      <c r="AE947" s="133"/>
      <c r="AF947" s="132" t="str">
        <f t="shared" si="97"/>
        <v>Нет инфо</v>
      </c>
      <c r="AG947" s="132" t="str">
        <f t="shared" si="98"/>
        <v>Нет инфо</v>
      </c>
      <c r="AH947" s="2"/>
      <c r="AI947" s="136"/>
      <c r="AJ947" s="2"/>
      <c r="AK947" s="136"/>
      <c r="AL947" s="136"/>
      <c r="AM947" s="2"/>
      <c r="AN947" s="2"/>
      <c r="AO947" s="2"/>
      <c r="AP947" s="2"/>
      <c r="AQ947" s="136"/>
    </row>
    <row r="948" spans="1:43" s="115" customFormat="1" ht="12.75" hidden="1" customHeight="1" x14ac:dyDescent="0.2">
      <c r="A948" s="2">
        <v>2977</v>
      </c>
      <c r="B948" s="2"/>
      <c r="C948" s="131"/>
      <c r="D948" s="131"/>
      <c r="E948" s="131"/>
      <c r="F948" s="2"/>
      <c r="G948" s="2"/>
      <c r="H948" s="132">
        <v>0</v>
      </c>
      <c r="I948" s="132"/>
      <c r="J948" s="132"/>
      <c r="K948" s="132"/>
      <c r="L948" s="132">
        <f t="shared" si="94"/>
        <v>0</v>
      </c>
      <c r="M948" s="132">
        <f t="shared" si="95"/>
        <v>0</v>
      </c>
      <c r="N948" s="133"/>
      <c r="O948" s="133">
        <f t="shared" si="96"/>
        <v>0</v>
      </c>
      <c r="P948" s="134"/>
      <c r="Q948" s="133"/>
      <c r="R948" s="133"/>
      <c r="S948" s="153">
        <v>0</v>
      </c>
      <c r="T948" s="153">
        <v>0</v>
      </c>
      <c r="U948" s="153">
        <v>0</v>
      </c>
      <c r="V948" s="135"/>
      <c r="W948" s="135"/>
      <c r="X948" s="135"/>
      <c r="Y948" s="135"/>
      <c r="Z948" s="135"/>
      <c r="AA948" s="135"/>
      <c r="AB948" s="135"/>
      <c r="AC948" s="135"/>
      <c r="AD948" s="133"/>
      <c r="AE948" s="133"/>
      <c r="AF948" s="132" t="str">
        <f t="shared" si="97"/>
        <v>Нет инфо</v>
      </c>
      <c r="AG948" s="132" t="str">
        <f t="shared" si="98"/>
        <v>Нет инфо</v>
      </c>
      <c r="AH948" s="2"/>
      <c r="AI948" s="136"/>
      <c r="AJ948" s="2"/>
      <c r="AK948" s="136"/>
      <c r="AL948" s="136"/>
      <c r="AM948" s="2"/>
      <c r="AN948" s="2"/>
      <c r="AO948" s="2"/>
      <c r="AP948" s="2"/>
      <c r="AQ948" s="136"/>
    </row>
    <row r="949" spans="1:43" s="115" customFormat="1" ht="12.75" hidden="1" customHeight="1" x14ac:dyDescent="0.2">
      <c r="A949" s="2">
        <v>2978</v>
      </c>
      <c r="B949" s="2"/>
      <c r="C949" s="131"/>
      <c r="D949" s="131"/>
      <c r="E949" s="131"/>
      <c r="F949" s="2"/>
      <c r="G949" s="2"/>
      <c r="H949" s="132">
        <v>0</v>
      </c>
      <c r="I949" s="132"/>
      <c r="J949" s="132"/>
      <c r="K949" s="132"/>
      <c r="L949" s="132">
        <f t="shared" si="94"/>
        <v>0</v>
      </c>
      <c r="M949" s="132">
        <f t="shared" si="95"/>
        <v>0</v>
      </c>
      <c r="N949" s="133"/>
      <c r="O949" s="133">
        <f t="shared" si="96"/>
        <v>0</v>
      </c>
      <c r="P949" s="134"/>
      <c r="Q949" s="133"/>
      <c r="R949" s="133"/>
      <c r="S949" s="153">
        <v>0</v>
      </c>
      <c r="T949" s="153">
        <v>0</v>
      </c>
      <c r="U949" s="153">
        <v>0</v>
      </c>
      <c r="V949" s="135"/>
      <c r="W949" s="135"/>
      <c r="X949" s="135"/>
      <c r="Y949" s="135"/>
      <c r="Z949" s="135"/>
      <c r="AA949" s="135"/>
      <c r="AB949" s="135"/>
      <c r="AC949" s="135"/>
      <c r="AD949" s="133"/>
      <c r="AE949" s="133"/>
      <c r="AF949" s="132" t="str">
        <f t="shared" si="97"/>
        <v>Нет инфо</v>
      </c>
      <c r="AG949" s="132" t="str">
        <f t="shared" si="98"/>
        <v>Нет инфо</v>
      </c>
      <c r="AH949" s="2"/>
      <c r="AI949" s="136"/>
      <c r="AJ949" s="2"/>
      <c r="AK949" s="136"/>
      <c r="AL949" s="136"/>
      <c r="AM949" s="2"/>
      <c r="AN949" s="2"/>
      <c r="AO949" s="2"/>
      <c r="AP949" s="2"/>
      <c r="AQ949" s="136"/>
    </row>
    <row r="950" spans="1:43" s="115" customFormat="1" ht="12.75" hidden="1" customHeight="1" x14ac:dyDescent="0.2">
      <c r="A950" s="2">
        <v>2979</v>
      </c>
      <c r="B950" s="2"/>
      <c r="C950" s="131"/>
      <c r="D950" s="131"/>
      <c r="E950" s="131"/>
      <c r="F950" s="2"/>
      <c r="G950" s="2"/>
      <c r="H950" s="132">
        <v>0</v>
      </c>
      <c r="I950" s="132"/>
      <c r="J950" s="132"/>
      <c r="K950" s="132"/>
      <c r="L950" s="132">
        <f t="shared" si="94"/>
        <v>0</v>
      </c>
      <c r="M950" s="132">
        <f t="shared" si="95"/>
        <v>0</v>
      </c>
      <c r="N950" s="133"/>
      <c r="O950" s="133">
        <f t="shared" si="96"/>
        <v>0</v>
      </c>
      <c r="P950" s="134"/>
      <c r="Q950" s="133"/>
      <c r="R950" s="133"/>
      <c r="S950" s="153">
        <v>0</v>
      </c>
      <c r="T950" s="153">
        <v>0</v>
      </c>
      <c r="U950" s="153">
        <v>0</v>
      </c>
      <c r="V950" s="135"/>
      <c r="W950" s="135"/>
      <c r="X950" s="135"/>
      <c r="Y950" s="135"/>
      <c r="Z950" s="135"/>
      <c r="AA950" s="135"/>
      <c r="AB950" s="135"/>
      <c r="AC950" s="135"/>
      <c r="AD950" s="133"/>
      <c r="AE950" s="133"/>
      <c r="AF950" s="132" t="str">
        <f t="shared" si="97"/>
        <v>Нет инфо</v>
      </c>
      <c r="AG950" s="132" t="str">
        <f t="shared" si="98"/>
        <v>Нет инфо</v>
      </c>
      <c r="AH950" s="2"/>
      <c r="AI950" s="136"/>
      <c r="AJ950" s="2"/>
      <c r="AK950" s="136"/>
      <c r="AL950" s="136"/>
      <c r="AM950" s="2"/>
      <c r="AN950" s="2"/>
      <c r="AO950" s="2"/>
      <c r="AP950" s="2"/>
      <c r="AQ950" s="136"/>
    </row>
    <row r="951" spans="1:43" s="115" customFormat="1" ht="12.75" hidden="1" customHeight="1" x14ac:dyDescent="0.2">
      <c r="A951" s="2">
        <v>2980</v>
      </c>
      <c r="B951" s="2"/>
      <c r="C951" s="131"/>
      <c r="D951" s="131"/>
      <c r="E951" s="131"/>
      <c r="F951" s="2"/>
      <c r="G951" s="2"/>
      <c r="H951" s="132">
        <v>0</v>
      </c>
      <c r="I951" s="132"/>
      <c r="J951" s="132"/>
      <c r="K951" s="132"/>
      <c r="L951" s="132">
        <f t="shared" si="94"/>
        <v>0</v>
      </c>
      <c r="M951" s="132">
        <f t="shared" si="95"/>
        <v>0</v>
      </c>
      <c r="N951" s="133"/>
      <c r="O951" s="133">
        <f t="shared" si="96"/>
        <v>0</v>
      </c>
      <c r="P951" s="134"/>
      <c r="Q951" s="133"/>
      <c r="R951" s="133"/>
      <c r="S951" s="153">
        <v>0</v>
      </c>
      <c r="T951" s="153">
        <v>0</v>
      </c>
      <c r="U951" s="153">
        <v>0</v>
      </c>
      <c r="V951" s="135"/>
      <c r="W951" s="135"/>
      <c r="X951" s="135"/>
      <c r="Y951" s="135"/>
      <c r="Z951" s="135"/>
      <c r="AA951" s="135"/>
      <c r="AB951" s="135"/>
      <c r="AC951" s="135"/>
      <c r="AD951" s="133"/>
      <c r="AE951" s="133"/>
      <c r="AF951" s="132" t="str">
        <f t="shared" si="97"/>
        <v>Нет инфо</v>
      </c>
      <c r="AG951" s="132" t="str">
        <f t="shared" si="98"/>
        <v>Нет инфо</v>
      </c>
      <c r="AH951" s="2"/>
      <c r="AI951" s="136"/>
      <c r="AJ951" s="2"/>
      <c r="AK951" s="136"/>
      <c r="AL951" s="136"/>
      <c r="AM951" s="2"/>
      <c r="AN951" s="2"/>
      <c r="AO951" s="2"/>
      <c r="AP951" s="2"/>
      <c r="AQ951" s="136"/>
    </row>
    <row r="952" spans="1:43" s="115" customFormat="1" ht="12.75" hidden="1" customHeight="1" x14ac:dyDescent="0.2">
      <c r="A952" s="2">
        <v>2981</v>
      </c>
      <c r="B952" s="2"/>
      <c r="C952" s="131"/>
      <c r="D952" s="131"/>
      <c r="E952" s="131"/>
      <c r="F952" s="2"/>
      <c r="G952" s="2"/>
      <c r="H952" s="132">
        <v>0</v>
      </c>
      <c r="I952" s="132"/>
      <c r="J952" s="132"/>
      <c r="K952" s="132"/>
      <c r="L952" s="132">
        <f t="shared" si="94"/>
        <v>0</v>
      </c>
      <c r="M952" s="132">
        <f t="shared" si="95"/>
        <v>0</v>
      </c>
      <c r="N952" s="133"/>
      <c r="O952" s="133">
        <f t="shared" si="96"/>
        <v>0</v>
      </c>
      <c r="P952" s="134"/>
      <c r="Q952" s="133"/>
      <c r="R952" s="133"/>
      <c r="S952" s="153">
        <v>0</v>
      </c>
      <c r="T952" s="153">
        <v>0</v>
      </c>
      <c r="U952" s="153">
        <v>0</v>
      </c>
      <c r="V952" s="135"/>
      <c r="W952" s="135"/>
      <c r="X952" s="135"/>
      <c r="Y952" s="135"/>
      <c r="Z952" s="135"/>
      <c r="AA952" s="135"/>
      <c r="AB952" s="135"/>
      <c r="AC952" s="135"/>
      <c r="AD952" s="133"/>
      <c r="AE952" s="133"/>
      <c r="AF952" s="132" t="str">
        <f t="shared" si="97"/>
        <v>Нет инфо</v>
      </c>
      <c r="AG952" s="132" t="str">
        <f t="shared" si="98"/>
        <v>Нет инфо</v>
      </c>
      <c r="AH952" s="2"/>
      <c r="AI952" s="136"/>
      <c r="AJ952" s="2"/>
      <c r="AK952" s="136"/>
      <c r="AL952" s="136"/>
      <c r="AM952" s="2"/>
      <c r="AN952" s="2"/>
      <c r="AO952" s="2"/>
      <c r="AP952" s="2"/>
      <c r="AQ952" s="136"/>
    </row>
    <row r="953" spans="1:43" s="115" customFormat="1" ht="12.75" hidden="1" customHeight="1" x14ac:dyDescent="0.2">
      <c r="A953" s="2">
        <v>2982</v>
      </c>
      <c r="B953" s="2"/>
      <c r="C953" s="131"/>
      <c r="D953" s="131"/>
      <c r="E953" s="131"/>
      <c r="F953" s="2"/>
      <c r="G953" s="2"/>
      <c r="H953" s="132">
        <v>0</v>
      </c>
      <c r="I953" s="132"/>
      <c r="J953" s="132"/>
      <c r="K953" s="132"/>
      <c r="L953" s="132">
        <f t="shared" si="94"/>
        <v>0</v>
      </c>
      <c r="M953" s="132">
        <f t="shared" si="95"/>
        <v>0</v>
      </c>
      <c r="N953" s="133"/>
      <c r="O953" s="133">
        <f t="shared" si="96"/>
        <v>0</v>
      </c>
      <c r="P953" s="134"/>
      <c r="Q953" s="133"/>
      <c r="R953" s="133"/>
      <c r="S953" s="153">
        <v>0</v>
      </c>
      <c r="T953" s="153">
        <v>0</v>
      </c>
      <c r="U953" s="153">
        <v>0</v>
      </c>
      <c r="V953" s="135"/>
      <c r="W953" s="135"/>
      <c r="X953" s="135"/>
      <c r="Y953" s="135"/>
      <c r="Z953" s="135"/>
      <c r="AA953" s="135"/>
      <c r="AB953" s="135"/>
      <c r="AC953" s="135"/>
      <c r="AD953" s="133"/>
      <c r="AE953" s="133"/>
      <c r="AF953" s="132" t="str">
        <f t="shared" si="97"/>
        <v>Нет инфо</v>
      </c>
      <c r="AG953" s="132" t="str">
        <f t="shared" si="98"/>
        <v>Нет инфо</v>
      </c>
      <c r="AH953" s="2"/>
      <c r="AI953" s="136"/>
      <c r="AJ953" s="2"/>
      <c r="AK953" s="136"/>
      <c r="AL953" s="136"/>
      <c r="AM953" s="2"/>
      <c r="AN953" s="2"/>
      <c r="AO953" s="2"/>
      <c r="AP953" s="2"/>
      <c r="AQ953" s="136"/>
    </row>
    <row r="954" spans="1:43" s="115" customFormat="1" ht="12.75" hidden="1" customHeight="1" x14ac:dyDescent="0.2">
      <c r="A954" s="2">
        <v>2983</v>
      </c>
      <c r="B954" s="2"/>
      <c r="C954" s="131"/>
      <c r="D954" s="131"/>
      <c r="E954" s="131"/>
      <c r="F954" s="2"/>
      <c r="G954" s="2"/>
      <c r="H954" s="132">
        <v>0</v>
      </c>
      <c r="I954" s="132"/>
      <c r="J954" s="132"/>
      <c r="K954" s="132"/>
      <c r="L954" s="132">
        <f t="shared" si="94"/>
        <v>0</v>
      </c>
      <c r="M954" s="132">
        <f t="shared" si="95"/>
        <v>0</v>
      </c>
      <c r="N954" s="133"/>
      <c r="O954" s="133">
        <f t="shared" si="96"/>
        <v>0</v>
      </c>
      <c r="P954" s="134"/>
      <c r="Q954" s="133"/>
      <c r="R954" s="133"/>
      <c r="S954" s="153">
        <v>0</v>
      </c>
      <c r="T954" s="153">
        <v>0</v>
      </c>
      <c r="U954" s="153">
        <v>0</v>
      </c>
      <c r="V954" s="135"/>
      <c r="W954" s="135"/>
      <c r="X954" s="135"/>
      <c r="Y954" s="135"/>
      <c r="Z954" s="135"/>
      <c r="AA954" s="135"/>
      <c r="AB954" s="135"/>
      <c r="AC954" s="135"/>
      <c r="AD954" s="133"/>
      <c r="AE954" s="133"/>
      <c r="AF954" s="132" t="str">
        <f t="shared" si="97"/>
        <v>Нет инфо</v>
      </c>
      <c r="AG954" s="132" t="str">
        <f t="shared" si="98"/>
        <v>Нет инфо</v>
      </c>
      <c r="AH954" s="2"/>
      <c r="AI954" s="136"/>
      <c r="AJ954" s="2"/>
      <c r="AK954" s="136"/>
      <c r="AL954" s="136"/>
      <c r="AM954" s="2"/>
      <c r="AN954" s="2"/>
      <c r="AO954" s="2"/>
      <c r="AP954" s="2"/>
      <c r="AQ954" s="136"/>
    </row>
    <row r="955" spans="1:43" s="115" customFormat="1" ht="12.75" hidden="1" customHeight="1" x14ac:dyDescent="0.2">
      <c r="A955" s="2">
        <v>2984</v>
      </c>
      <c r="B955" s="2"/>
      <c r="C955" s="131"/>
      <c r="D955" s="131"/>
      <c r="E955" s="131"/>
      <c r="F955" s="2"/>
      <c r="G955" s="2"/>
      <c r="H955" s="132">
        <v>0</v>
      </c>
      <c r="I955" s="132"/>
      <c r="J955" s="132"/>
      <c r="K955" s="132"/>
      <c r="L955" s="132">
        <f t="shared" si="94"/>
        <v>0</v>
      </c>
      <c r="M955" s="132">
        <f t="shared" si="95"/>
        <v>0</v>
      </c>
      <c r="N955" s="133"/>
      <c r="O955" s="133">
        <f t="shared" si="96"/>
        <v>0</v>
      </c>
      <c r="P955" s="134"/>
      <c r="Q955" s="133"/>
      <c r="R955" s="133"/>
      <c r="S955" s="153">
        <v>0</v>
      </c>
      <c r="T955" s="153">
        <v>0</v>
      </c>
      <c r="U955" s="153">
        <v>0</v>
      </c>
      <c r="V955" s="135"/>
      <c r="W955" s="135"/>
      <c r="X955" s="135"/>
      <c r="Y955" s="135"/>
      <c r="Z955" s="135"/>
      <c r="AA955" s="135"/>
      <c r="AB955" s="135"/>
      <c r="AC955" s="135"/>
      <c r="AD955" s="133"/>
      <c r="AE955" s="133"/>
      <c r="AF955" s="132" t="str">
        <f t="shared" si="97"/>
        <v>Нет инфо</v>
      </c>
      <c r="AG955" s="132" t="str">
        <f t="shared" si="98"/>
        <v>Нет инфо</v>
      </c>
      <c r="AH955" s="2"/>
      <c r="AI955" s="136"/>
      <c r="AJ955" s="2"/>
      <c r="AK955" s="136"/>
      <c r="AL955" s="136"/>
      <c r="AM955" s="2"/>
      <c r="AN955" s="2"/>
      <c r="AO955" s="2"/>
      <c r="AP955" s="2"/>
      <c r="AQ955" s="136"/>
    </row>
    <row r="956" spans="1:43" s="115" customFormat="1" ht="12.75" hidden="1" customHeight="1" x14ac:dyDescent="0.2">
      <c r="A956" s="2">
        <v>2985</v>
      </c>
      <c r="B956" s="2"/>
      <c r="C956" s="131"/>
      <c r="D956" s="131"/>
      <c r="E956" s="131"/>
      <c r="F956" s="2"/>
      <c r="G956" s="2"/>
      <c r="H956" s="132">
        <v>0</v>
      </c>
      <c r="I956" s="132"/>
      <c r="J956" s="132"/>
      <c r="K956" s="132"/>
      <c r="L956" s="132">
        <f t="shared" si="94"/>
        <v>0</v>
      </c>
      <c r="M956" s="132">
        <f t="shared" si="95"/>
        <v>0</v>
      </c>
      <c r="N956" s="133"/>
      <c r="O956" s="133">
        <f t="shared" si="96"/>
        <v>0</v>
      </c>
      <c r="P956" s="134"/>
      <c r="Q956" s="133"/>
      <c r="R956" s="133"/>
      <c r="S956" s="153">
        <v>0</v>
      </c>
      <c r="T956" s="153">
        <v>0</v>
      </c>
      <c r="U956" s="153">
        <v>0</v>
      </c>
      <c r="V956" s="135"/>
      <c r="W956" s="135"/>
      <c r="X956" s="135"/>
      <c r="Y956" s="135"/>
      <c r="Z956" s="135"/>
      <c r="AA956" s="135"/>
      <c r="AB956" s="135"/>
      <c r="AC956" s="135"/>
      <c r="AD956" s="133"/>
      <c r="AE956" s="133"/>
      <c r="AF956" s="132" t="str">
        <f t="shared" si="97"/>
        <v>Нет инфо</v>
      </c>
      <c r="AG956" s="132" t="str">
        <f t="shared" si="98"/>
        <v>Нет инфо</v>
      </c>
      <c r="AH956" s="2"/>
      <c r="AI956" s="136"/>
      <c r="AJ956" s="2"/>
      <c r="AK956" s="136"/>
      <c r="AL956" s="136"/>
      <c r="AM956" s="2"/>
      <c r="AN956" s="2"/>
      <c r="AO956" s="2"/>
      <c r="AP956" s="2"/>
      <c r="AQ956" s="136"/>
    </row>
    <row r="957" spans="1:43" s="115" customFormat="1" ht="12.75" hidden="1" customHeight="1" x14ac:dyDescent="0.2">
      <c r="A957" s="2">
        <v>2986</v>
      </c>
      <c r="B957" s="2"/>
      <c r="C957" s="131"/>
      <c r="D957" s="131"/>
      <c r="E957" s="131"/>
      <c r="F957" s="2"/>
      <c r="G957" s="2"/>
      <c r="H957" s="132">
        <v>0</v>
      </c>
      <c r="I957" s="132"/>
      <c r="J957" s="132"/>
      <c r="K957" s="132"/>
      <c r="L957" s="132">
        <f t="shared" si="94"/>
        <v>0</v>
      </c>
      <c r="M957" s="132">
        <f t="shared" si="95"/>
        <v>0</v>
      </c>
      <c r="N957" s="133"/>
      <c r="O957" s="133">
        <f t="shared" si="96"/>
        <v>0</v>
      </c>
      <c r="P957" s="134"/>
      <c r="Q957" s="133"/>
      <c r="R957" s="133"/>
      <c r="S957" s="153">
        <v>0</v>
      </c>
      <c r="T957" s="153">
        <v>0</v>
      </c>
      <c r="U957" s="153">
        <v>0</v>
      </c>
      <c r="V957" s="135"/>
      <c r="W957" s="135"/>
      <c r="X957" s="135"/>
      <c r="Y957" s="135"/>
      <c r="Z957" s="135"/>
      <c r="AA957" s="135"/>
      <c r="AB957" s="135"/>
      <c r="AC957" s="135"/>
      <c r="AD957" s="133"/>
      <c r="AE957" s="133"/>
      <c r="AF957" s="132" t="str">
        <f t="shared" si="97"/>
        <v>Нет инфо</v>
      </c>
      <c r="AG957" s="132" t="str">
        <f t="shared" si="98"/>
        <v>Нет инфо</v>
      </c>
      <c r="AH957" s="2"/>
      <c r="AI957" s="136"/>
      <c r="AJ957" s="2"/>
      <c r="AK957" s="136"/>
      <c r="AL957" s="136"/>
      <c r="AM957" s="2"/>
      <c r="AN957" s="2"/>
      <c r="AO957" s="2"/>
      <c r="AP957" s="2"/>
      <c r="AQ957" s="136"/>
    </row>
    <row r="958" spans="1:43" s="115" customFormat="1" ht="12.75" hidden="1" customHeight="1" x14ac:dyDescent="0.2">
      <c r="A958" s="2">
        <v>2987</v>
      </c>
      <c r="B958" s="2"/>
      <c r="C958" s="131"/>
      <c r="D958" s="131"/>
      <c r="E958" s="131"/>
      <c r="F958" s="2"/>
      <c r="G958" s="2"/>
      <c r="H958" s="132">
        <v>0</v>
      </c>
      <c r="I958" s="132"/>
      <c r="J958" s="132"/>
      <c r="K958" s="132"/>
      <c r="L958" s="132">
        <f t="shared" si="94"/>
        <v>0</v>
      </c>
      <c r="M958" s="132">
        <f t="shared" si="95"/>
        <v>0</v>
      </c>
      <c r="N958" s="133"/>
      <c r="O958" s="133">
        <f t="shared" si="96"/>
        <v>0</v>
      </c>
      <c r="P958" s="134"/>
      <c r="Q958" s="133"/>
      <c r="R958" s="133"/>
      <c r="S958" s="153">
        <v>0</v>
      </c>
      <c r="T958" s="153">
        <v>0</v>
      </c>
      <c r="U958" s="153">
        <v>0</v>
      </c>
      <c r="V958" s="135"/>
      <c r="W958" s="135"/>
      <c r="X958" s="135"/>
      <c r="Y958" s="135"/>
      <c r="Z958" s="135"/>
      <c r="AA958" s="135"/>
      <c r="AB958" s="135"/>
      <c r="AC958" s="135"/>
      <c r="AD958" s="133"/>
      <c r="AE958" s="133"/>
      <c r="AF958" s="132" t="str">
        <f t="shared" si="97"/>
        <v>Нет инфо</v>
      </c>
      <c r="AG958" s="132" t="str">
        <f t="shared" si="98"/>
        <v>Нет инфо</v>
      </c>
      <c r="AH958" s="2"/>
      <c r="AI958" s="136"/>
      <c r="AJ958" s="2"/>
      <c r="AK958" s="136"/>
      <c r="AL958" s="136"/>
      <c r="AM958" s="2"/>
      <c r="AN958" s="2"/>
      <c r="AO958" s="2"/>
      <c r="AP958" s="2"/>
      <c r="AQ958" s="136"/>
    </row>
    <row r="959" spans="1:43" s="115" customFormat="1" ht="12.75" hidden="1" customHeight="1" x14ac:dyDescent="0.2">
      <c r="A959" s="2">
        <v>2988</v>
      </c>
      <c r="B959" s="2"/>
      <c r="C959" s="131"/>
      <c r="D959" s="131"/>
      <c r="E959" s="131"/>
      <c r="F959" s="2"/>
      <c r="G959" s="2"/>
      <c r="H959" s="132">
        <v>0</v>
      </c>
      <c r="I959" s="132"/>
      <c r="J959" s="132"/>
      <c r="K959" s="132"/>
      <c r="L959" s="132">
        <f t="shared" si="94"/>
        <v>0</v>
      </c>
      <c r="M959" s="132">
        <f t="shared" si="95"/>
        <v>0</v>
      </c>
      <c r="N959" s="133"/>
      <c r="O959" s="133">
        <f t="shared" si="96"/>
        <v>0</v>
      </c>
      <c r="P959" s="134"/>
      <c r="Q959" s="133"/>
      <c r="R959" s="133"/>
      <c r="S959" s="153">
        <v>0</v>
      </c>
      <c r="T959" s="153">
        <v>0</v>
      </c>
      <c r="U959" s="153">
        <v>0</v>
      </c>
      <c r="V959" s="135"/>
      <c r="W959" s="135"/>
      <c r="X959" s="135"/>
      <c r="Y959" s="135"/>
      <c r="Z959" s="135"/>
      <c r="AA959" s="135"/>
      <c r="AB959" s="135"/>
      <c r="AC959" s="135"/>
      <c r="AD959" s="133"/>
      <c r="AE959" s="133"/>
      <c r="AF959" s="132" t="str">
        <f t="shared" si="97"/>
        <v>Нет инфо</v>
      </c>
      <c r="AG959" s="132" t="str">
        <f t="shared" si="98"/>
        <v>Нет инфо</v>
      </c>
      <c r="AH959" s="2"/>
      <c r="AI959" s="136"/>
      <c r="AJ959" s="2"/>
      <c r="AK959" s="136"/>
      <c r="AL959" s="136"/>
      <c r="AM959" s="2"/>
      <c r="AN959" s="2"/>
      <c r="AO959" s="2"/>
      <c r="AP959" s="2"/>
      <c r="AQ959" s="136"/>
    </row>
    <row r="960" spans="1:43" s="115" customFormat="1" ht="12.75" hidden="1" customHeight="1" x14ac:dyDescent="0.2">
      <c r="A960" s="2">
        <v>2989</v>
      </c>
      <c r="B960" s="2"/>
      <c r="C960" s="131"/>
      <c r="D960" s="131"/>
      <c r="E960" s="131"/>
      <c r="F960" s="2"/>
      <c r="G960" s="2"/>
      <c r="H960" s="132">
        <v>0</v>
      </c>
      <c r="I960" s="132"/>
      <c r="J960" s="132"/>
      <c r="K960" s="132"/>
      <c r="L960" s="132">
        <f t="shared" si="94"/>
        <v>0</v>
      </c>
      <c r="M960" s="132">
        <f t="shared" si="95"/>
        <v>0</v>
      </c>
      <c r="N960" s="133"/>
      <c r="O960" s="133">
        <f t="shared" si="96"/>
        <v>0</v>
      </c>
      <c r="P960" s="134"/>
      <c r="Q960" s="133"/>
      <c r="R960" s="133"/>
      <c r="S960" s="153">
        <v>0</v>
      </c>
      <c r="T960" s="153">
        <v>0</v>
      </c>
      <c r="U960" s="153">
        <v>0</v>
      </c>
      <c r="V960" s="135"/>
      <c r="W960" s="135"/>
      <c r="X960" s="135"/>
      <c r="Y960" s="135"/>
      <c r="Z960" s="135"/>
      <c r="AA960" s="135"/>
      <c r="AB960" s="135"/>
      <c r="AC960" s="135"/>
      <c r="AD960" s="133"/>
      <c r="AE960" s="133"/>
      <c r="AF960" s="132" t="str">
        <f t="shared" si="97"/>
        <v>Нет инфо</v>
      </c>
      <c r="AG960" s="132" t="str">
        <f t="shared" si="98"/>
        <v>Нет инфо</v>
      </c>
      <c r="AH960" s="2"/>
      <c r="AI960" s="136"/>
      <c r="AJ960" s="2"/>
      <c r="AK960" s="136"/>
      <c r="AL960" s="136"/>
      <c r="AM960" s="2"/>
      <c r="AN960" s="2"/>
      <c r="AO960" s="2"/>
      <c r="AP960" s="2"/>
      <c r="AQ960" s="136"/>
    </row>
    <row r="961" spans="1:43" s="115" customFormat="1" ht="12.75" hidden="1" customHeight="1" x14ac:dyDescent="0.2">
      <c r="A961" s="2">
        <v>2990</v>
      </c>
      <c r="B961" s="2"/>
      <c r="C961" s="131"/>
      <c r="D961" s="131"/>
      <c r="E961" s="131"/>
      <c r="F961" s="2"/>
      <c r="G961" s="2"/>
      <c r="H961" s="132">
        <v>0</v>
      </c>
      <c r="I961" s="132"/>
      <c r="J961" s="132"/>
      <c r="K961" s="132"/>
      <c r="L961" s="132">
        <f t="shared" si="94"/>
        <v>0</v>
      </c>
      <c r="M961" s="132">
        <f t="shared" si="95"/>
        <v>0</v>
      </c>
      <c r="N961" s="133"/>
      <c r="O961" s="133">
        <f t="shared" si="96"/>
        <v>0</v>
      </c>
      <c r="P961" s="134"/>
      <c r="Q961" s="133"/>
      <c r="R961" s="133"/>
      <c r="S961" s="153">
        <v>0</v>
      </c>
      <c r="T961" s="153">
        <v>0</v>
      </c>
      <c r="U961" s="153">
        <v>0</v>
      </c>
      <c r="V961" s="135"/>
      <c r="W961" s="135"/>
      <c r="X961" s="135"/>
      <c r="Y961" s="135"/>
      <c r="Z961" s="135"/>
      <c r="AA961" s="135"/>
      <c r="AB961" s="135"/>
      <c r="AC961" s="135"/>
      <c r="AD961" s="133"/>
      <c r="AE961" s="133"/>
      <c r="AF961" s="132" t="str">
        <f t="shared" si="97"/>
        <v>Нет инфо</v>
      </c>
      <c r="AG961" s="132" t="str">
        <f t="shared" si="98"/>
        <v>Нет инфо</v>
      </c>
      <c r="AH961" s="2"/>
      <c r="AI961" s="136"/>
      <c r="AJ961" s="2"/>
      <c r="AK961" s="136"/>
      <c r="AL961" s="136"/>
      <c r="AM961" s="2"/>
      <c r="AN961" s="2"/>
      <c r="AO961" s="2"/>
      <c r="AP961" s="2"/>
      <c r="AQ961" s="136"/>
    </row>
  </sheetData>
  <sheetProtection formatCells="0" formatColumns="0" sort="0" autoFilter="0" pivotTables="0"/>
  <autoFilter ref="A10:AQ961" xr:uid="{00000000-0009-0000-0000-000003000000}">
    <filterColumn colId="5">
      <filters>
        <filter val="Бриджи"/>
      </filters>
    </filterColumn>
  </autoFilter>
  <conditionalFormatting sqref="K6 D7:E7 L11:M961">
    <cfRule type="cellIs" dxfId="5" priority="120" operator="lessThan">
      <formula>0</formula>
    </cfRule>
  </conditionalFormatting>
  <conditionalFormatting sqref="AF11:AG961">
    <cfRule type="cellIs" dxfId="4" priority="1" operator="equal">
      <formula>"Нет инфо"</formula>
    </cfRule>
  </conditionalFormatting>
  <dataValidations count="2">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F11:F961" xr:uid="{00000000-0002-0000-0300-000000000000}">
      <formula1>#REF!</formula1>
    </dataValidation>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B11:C961" xr:uid="{00000000-0002-0000-0300-000001000000}">
      <formula1>#REF!</formula1>
    </dataValidation>
  </dataValidations>
  <pageMargins left="0.15" right="0.14000000000000001" top="0.196850393700787" bottom="0.196850393700787" header="0" footer="0"/>
  <pageSetup paperSize="9"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dimension ref="B1:S451"/>
  <sheetViews>
    <sheetView topLeftCell="B1" zoomScaleNormal="100" workbookViewId="0">
      <selection activeCell="K34" sqref="K34"/>
    </sheetView>
  </sheetViews>
  <sheetFormatPr defaultRowHeight="15" x14ac:dyDescent="0.25"/>
  <cols>
    <col min="1" max="1" width="3.85546875" customWidth="1"/>
    <col min="2" max="2" width="13.42578125" bestFit="1" customWidth="1"/>
    <col min="3" max="3" width="9.28515625" bestFit="1" customWidth="1"/>
    <col min="4" max="4" width="70.42578125" customWidth="1"/>
    <col min="5" max="5" width="14.140625" customWidth="1"/>
    <col min="6" max="6" width="12.140625" bestFit="1" customWidth="1"/>
    <col min="7" max="7" width="15.7109375" bestFit="1" customWidth="1"/>
    <col min="8" max="8" width="11.42578125" bestFit="1" customWidth="1"/>
    <col min="9" max="9" width="15" customWidth="1"/>
    <col min="10" max="10" width="13.28515625" bestFit="1" customWidth="1"/>
    <col min="11" max="11" width="37.28515625" customWidth="1"/>
    <col min="12" max="12" width="15" bestFit="1" customWidth="1"/>
    <col min="13" max="13" width="15" customWidth="1"/>
    <col min="14" max="14" width="9.7109375" customWidth="1"/>
    <col min="15" max="15" width="15.140625" customWidth="1"/>
    <col min="16" max="16" width="9" style="31" customWidth="1"/>
    <col min="17" max="17" width="13.85546875" style="31" bestFit="1" customWidth="1"/>
    <col min="18" max="18" width="12.85546875" customWidth="1"/>
    <col min="19" max="19" width="12" customWidth="1"/>
  </cols>
  <sheetData>
    <row r="1" spans="2:19" x14ac:dyDescent="0.25">
      <c r="B1" s="346" t="s">
        <v>171</v>
      </c>
      <c r="C1" s="346"/>
      <c r="D1" s="346"/>
      <c r="E1" s="346"/>
      <c r="F1" s="346"/>
      <c r="G1" s="346"/>
      <c r="H1" s="346"/>
      <c r="I1" s="90"/>
      <c r="J1" s="19">
        <v>48646</v>
      </c>
      <c r="K1" s="52"/>
      <c r="L1" s="52"/>
      <c r="M1" s="52"/>
      <c r="N1" s="25">
        <v>527</v>
      </c>
      <c r="O1" s="30">
        <f>N1-N2</f>
        <v>-61605.599999999999</v>
      </c>
      <c r="P1" s="30">
        <v>66</v>
      </c>
      <c r="Q1" s="30"/>
    </row>
    <row r="2" spans="2:19" ht="15.75" x14ac:dyDescent="0.25">
      <c r="F2" s="4">
        <f>SUBTOTAL(3,F5:F446)</f>
        <v>341</v>
      </c>
      <c r="G2" s="76">
        <f>SUBTOTAL(9,G5:G446)</f>
        <v>46018208.965342157</v>
      </c>
      <c r="H2" s="4">
        <f>SUBTOTAL(9,H5:H446)</f>
        <v>7019726.7913233824</v>
      </c>
      <c r="I2" s="76">
        <f>SUBTOTAL(9,I5:I446)</f>
        <v>457936.51775388455</v>
      </c>
      <c r="J2" s="16">
        <f>J1-G2</f>
        <v>-45969562.965342157</v>
      </c>
      <c r="K2" s="19">
        <f>SUBTOTAL(3,K5:K446)</f>
        <v>148</v>
      </c>
      <c r="L2" s="19">
        <f>SUBTOTAL(9,L5:L446)</f>
        <v>540365.09</v>
      </c>
      <c r="M2" s="19">
        <f>SUBTOTAL(9,M5:M446)</f>
        <v>29626.655410958909</v>
      </c>
      <c r="N2" s="31">
        <f>SUBTOTAL(9,N5:N446)</f>
        <v>62132.6</v>
      </c>
      <c r="O2" s="31">
        <f>SUBTOTAL(9,O5:O446)</f>
        <v>3711</v>
      </c>
      <c r="P2" s="31">
        <f>P1-O2</f>
        <v>-3645</v>
      </c>
    </row>
    <row r="3" spans="2:19" ht="45.75" customHeight="1" x14ac:dyDescent="0.25">
      <c r="B3" s="23" t="s">
        <v>84</v>
      </c>
      <c r="C3" s="23" t="s">
        <v>83</v>
      </c>
      <c r="D3" s="23" t="s">
        <v>86</v>
      </c>
      <c r="E3" s="23" t="s">
        <v>85</v>
      </c>
      <c r="F3" s="23" t="s">
        <v>82</v>
      </c>
      <c r="G3" s="23" t="s">
        <v>81</v>
      </c>
      <c r="H3" s="17" t="s">
        <v>80</v>
      </c>
      <c r="I3" s="17"/>
      <c r="J3" s="17" t="s">
        <v>101</v>
      </c>
      <c r="L3" s="32" t="s">
        <v>617</v>
      </c>
      <c r="M3" s="32" t="s">
        <v>618</v>
      </c>
      <c r="N3" s="26" t="s">
        <v>509</v>
      </c>
      <c r="O3" s="91" t="s">
        <v>656</v>
      </c>
      <c r="P3" s="32" t="s">
        <v>512</v>
      </c>
      <c r="Q3" s="32" t="s">
        <v>511</v>
      </c>
      <c r="R3" s="94" t="s">
        <v>1663</v>
      </c>
      <c r="S3" s="94" t="s">
        <v>1662</v>
      </c>
    </row>
    <row r="4" spans="2:19" x14ac:dyDescent="0.25">
      <c r="B4" s="23"/>
      <c r="C4" s="23"/>
      <c r="D4" s="23"/>
      <c r="E4" s="23"/>
      <c r="F4" s="23"/>
      <c r="G4" s="23"/>
      <c r="H4" s="17"/>
      <c r="I4" s="25"/>
    </row>
    <row r="5" spans="2:19" x14ac:dyDescent="0.25">
      <c r="B5" s="3" t="s">
        <v>334</v>
      </c>
      <c r="C5" s="2" t="s">
        <v>96</v>
      </c>
      <c r="D5" s="3" t="s">
        <v>348</v>
      </c>
      <c r="E5" s="3" t="s">
        <v>71</v>
      </c>
      <c r="F5" s="3" t="s">
        <v>127</v>
      </c>
      <c r="G5" s="6">
        <v>42500</v>
      </c>
      <c r="H5" s="6">
        <f t="shared" ref="H5:H24" si="0">G5-G5/1.18</f>
        <v>6483.0508474576272</v>
      </c>
      <c r="I5" s="6">
        <f>G5-H5</f>
        <v>36016.949152542373</v>
      </c>
      <c r="J5" s="3" t="s">
        <v>18</v>
      </c>
      <c r="K5" s="5" t="s">
        <v>520</v>
      </c>
      <c r="L5" s="5"/>
      <c r="M5" s="5"/>
      <c r="N5">
        <v>1250</v>
      </c>
      <c r="O5">
        <v>86</v>
      </c>
      <c r="P5" s="31">
        <f>G5/N5</f>
        <v>34</v>
      </c>
      <c r="Q5" s="31" t="s">
        <v>616</v>
      </c>
      <c r="R5" s="80"/>
      <c r="S5" s="80"/>
    </row>
    <row r="6" spans="2:19" x14ac:dyDescent="0.25">
      <c r="B6" s="3" t="s">
        <v>334</v>
      </c>
      <c r="C6" s="2" t="s">
        <v>96</v>
      </c>
      <c r="D6" s="3" t="s">
        <v>348</v>
      </c>
      <c r="E6" s="3" t="s">
        <v>71</v>
      </c>
      <c r="F6" s="3" t="s">
        <v>127</v>
      </c>
      <c r="G6" s="6">
        <v>41000</v>
      </c>
      <c r="H6" s="6">
        <f t="shared" si="0"/>
        <v>6254.2372881355914</v>
      </c>
      <c r="I6" s="6"/>
      <c r="J6" s="3" t="s">
        <v>18</v>
      </c>
      <c r="K6" t="s">
        <v>513</v>
      </c>
      <c r="N6">
        <v>610</v>
      </c>
      <c r="O6">
        <v>26</v>
      </c>
      <c r="P6" s="31">
        <f>G6/N6</f>
        <v>67.213114754098356</v>
      </c>
      <c r="Q6" s="31" t="s">
        <v>616</v>
      </c>
      <c r="R6" s="80"/>
      <c r="S6" s="80"/>
    </row>
    <row r="7" spans="2:19" x14ac:dyDescent="0.25">
      <c r="B7" s="3" t="s">
        <v>334</v>
      </c>
      <c r="C7" s="2" t="s">
        <v>96</v>
      </c>
      <c r="D7" s="3" t="s">
        <v>348</v>
      </c>
      <c r="E7" s="3" t="s">
        <v>71</v>
      </c>
      <c r="F7" s="3" t="s">
        <v>127</v>
      </c>
      <c r="G7" s="6">
        <v>37500</v>
      </c>
      <c r="H7" s="6">
        <f t="shared" si="0"/>
        <v>5720.3389830508459</v>
      </c>
      <c r="I7" s="6"/>
      <c r="J7" s="3" t="s">
        <v>18</v>
      </c>
      <c r="K7" t="s">
        <v>510</v>
      </c>
      <c r="N7">
        <v>500</v>
      </c>
      <c r="O7">
        <v>20</v>
      </c>
      <c r="P7" s="31">
        <f>G7/N7</f>
        <v>75</v>
      </c>
      <c r="Q7" s="31" t="s">
        <v>616</v>
      </c>
      <c r="R7" s="80"/>
      <c r="S7" s="80"/>
    </row>
    <row r="8" spans="2:19" x14ac:dyDescent="0.25">
      <c r="B8" s="3" t="s">
        <v>362</v>
      </c>
      <c r="C8" s="2" t="s">
        <v>16</v>
      </c>
      <c r="D8" s="3" t="s">
        <v>363</v>
      </c>
      <c r="E8" s="3" t="s">
        <v>141</v>
      </c>
      <c r="F8" s="3" t="s">
        <v>127</v>
      </c>
      <c r="G8" s="6">
        <v>150622</v>
      </c>
      <c r="H8" s="6">
        <f t="shared" si="0"/>
        <v>22976.237288135584</v>
      </c>
      <c r="I8" s="6"/>
      <c r="J8" s="3" t="s">
        <v>113</v>
      </c>
      <c r="P8"/>
      <c r="Q8"/>
      <c r="R8" s="87"/>
      <c r="S8" s="87"/>
    </row>
    <row r="9" spans="2:19" x14ac:dyDescent="0.25">
      <c r="B9" s="3" t="s">
        <v>221</v>
      </c>
      <c r="C9" s="2" t="s">
        <v>93</v>
      </c>
      <c r="D9" s="3" t="s">
        <v>470</v>
      </c>
      <c r="E9" s="3" t="s">
        <v>105</v>
      </c>
      <c r="F9" s="3" t="s">
        <v>127</v>
      </c>
      <c r="G9" s="6">
        <v>1800000</v>
      </c>
      <c r="H9" s="6">
        <f t="shared" si="0"/>
        <v>274576.27118644048</v>
      </c>
      <c r="I9" s="6"/>
      <c r="J9" s="3" t="s">
        <v>18</v>
      </c>
      <c r="P9"/>
      <c r="Q9"/>
      <c r="R9" s="87"/>
      <c r="S9" s="87"/>
    </row>
    <row r="10" spans="2:19" x14ac:dyDescent="0.25">
      <c r="B10" s="3" t="s">
        <v>215</v>
      </c>
      <c r="C10" s="2" t="s">
        <v>91</v>
      </c>
      <c r="D10" s="7" t="s">
        <v>467</v>
      </c>
      <c r="E10" s="8" t="s">
        <v>105</v>
      </c>
      <c r="F10" s="3" t="s">
        <v>127</v>
      </c>
      <c r="G10" s="6">
        <v>600000</v>
      </c>
      <c r="H10" s="6">
        <f t="shared" si="0"/>
        <v>91525.423728813534</v>
      </c>
      <c r="I10" s="6"/>
      <c r="J10" s="3" t="s">
        <v>18</v>
      </c>
      <c r="P10"/>
      <c r="Q10"/>
      <c r="R10" s="80"/>
      <c r="S10" s="80"/>
    </row>
    <row r="11" spans="2:19" x14ac:dyDescent="0.25">
      <c r="B11" s="3" t="s">
        <v>218</v>
      </c>
      <c r="C11" s="2" t="s">
        <v>91</v>
      </c>
      <c r="D11" s="3" t="s">
        <v>469</v>
      </c>
      <c r="E11" s="8" t="s">
        <v>105</v>
      </c>
      <c r="F11" s="3" t="s">
        <v>127</v>
      </c>
      <c r="G11" s="6">
        <v>400000</v>
      </c>
      <c r="H11" s="6">
        <f t="shared" si="0"/>
        <v>61016.949152542336</v>
      </c>
      <c r="I11" s="6"/>
      <c r="J11" s="3" t="s">
        <v>18</v>
      </c>
      <c r="P11"/>
      <c r="Q11"/>
      <c r="R11" s="80"/>
      <c r="S11" s="80"/>
    </row>
    <row r="12" spans="2:19" x14ac:dyDescent="0.25">
      <c r="B12" s="3" t="s">
        <v>212</v>
      </c>
      <c r="C12" s="2" t="s">
        <v>56</v>
      </c>
      <c r="D12" s="3" t="s">
        <v>465</v>
      </c>
      <c r="E12" s="3" t="s">
        <v>105</v>
      </c>
      <c r="F12" s="3" t="s">
        <v>127</v>
      </c>
      <c r="G12" s="6">
        <v>500000</v>
      </c>
      <c r="H12" s="6">
        <f t="shared" si="0"/>
        <v>76271.186440677964</v>
      </c>
      <c r="I12" s="6"/>
      <c r="J12" s="3" t="s">
        <v>18</v>
      </c>
      <c r="P12"/>
      <c r="Q12"/>
      <c r="R12" s="80"/>
      <c r="S12" s="80"/>
    </row>
    <row r="13" spans="2:19" x14ac:dyDescent="0.25">
      <c r="B13" s="3" t="s">
        <v>214</v>
      </c>
      <c r="C13" s="2" t="s">
        <v>91</v>
      </c>
      <c r="D13" s="3" t="s">
        <v>466</v>
      </c>
      <c r="E13" s="3" t="s">
        <v>105</v>
      </c>
      <c r="F13" s="3" t="s">
        <v>127</v>
      </c>
      <c r="G13" s="6">
        <v>500000</v>
      </c>
      <c r="H13" s="6">
        <f t="shared" si="0"/>
        <v>76271.186440677964</v>
      </c>
      <c r="I13" s="6"/>
      <c r="J13" s="3" t="s">
        <v>18</v>
      </c>
      <c r="P13"/>
      <c r="Q13"/>
      <c r="R13" s="80"/>
      <c r="S13" s="80"/>
    </row>
    <row r="14" spans="2:19" x14ac:dyDescent="0.25">
      <c r="B14" s="3" t="s">
        <v>216</v>
      </c>
      <c r="C14" s="2" t="s">
        <v>91</v>
      </c>
      <c r="D14" s="3" t="s">
        <v>468</v>
      </c>
      <c r="E14" s="3" t="s">
        <v>105</v>
      </c>
      <c r="F14" s="3" t="s">
        <v>127</v>
      </c>
      <c r="G14" s="6">
        <v>600000</v>
      </c>
      <c r="H14" s="6">
        <f t="shared" si="0"/>
        <v>91525.423728813534</v>
      </c>
      <c r="I14" s="6"/>
      <c r="J14" s="3" t="s">
        <v>18</v>
      </c>
      <c r="P14"/>
      <c r="Q14"/>
      <c r="R14" s="80"/>
      <c r="S14" s="80"/>
    </row>
    <row r="15" spans="2:19" x14ac:dyDescent="0.25">
      <c r="B15" s="3" t="s">
        <v>433</v>
      </c>
      <c r="C15" s="2" t="s">
        <v>88</v>
      </c>
      <c r="D15" s="3" t="s">
        <v>463</v>
      </c>
      <c r="E15" s="3" t="s">
        <v>87</v>
      </c>
      <c r="F15" s="3" t="s">
        <v>127</v>
      </c>
      <c r="G15" s="6">
        <v>111332.28</v>
      </c>
      <c r="H15" s="6">
        <f t="shared" si="0"/>
        <v>16982.890169491526</v>
      </c>
      <c r="I15" s="6"/>
      <c r="J15" s="3" t="s">
        <v>18</v>
      </c>
      <c r="P15"/>
      <c r="Q15"/>
      <c r="R15" s="80"/>
      <c r="S15" s="80"/>
    </row>
    <row r="16" spans="2:19" x14ac:dyDescent="0.25">
      <c r="B16" s="3" t="s">
        <v>426</v>
      </c>
      <c r="C16" s="2" t="s">
        <v>92</v>
      </c>
      <c r="D16" s="3" t="s">
        <v>447</v>
      </c>
      <c r="E16" s="3" t="s">
        <v>87</v>
      </c>
      <c r="F16" s="3" t="s">
        <v>127</v>
      </c>
      <c r="G16" s="6">
        <v>875000</v>
      </c>
      <c r="H16" s="6">
        <f t="shared" si="0"/>
        <v>133474.57627118635</v>
      </c>
      <c r="I16" s="6"/>
      <c r="J16" s="3" t="s">
        <v>18</v>
      </c>
      <c r="P16"/>
      <c r="Q16"/>
      <c r="R16" s="80"/>
      <c r="S16" s="80"/>
    </row>
    <row r="17" spans="2:19" x14ac:dyDescent="0.25">
      <c r="B17" s="3" t="s">
        <v>300</v>
      </c>
      <c r="C17" s="2" t="s">
        <v>95</v>
      </c>
      <c r="D17" s="3" t="s">
        <v>318</v>
      </c>
      <c r="E17" s="3" t="s">
        <v>90</v>
      </c>
      <c r="F17" s="3" t="s">
        <v>127</v>
      </c>
      <c r="G17" s="6">
        <v>4050</v>
      </c>
      <c r="H17" s="6">
        <f t="shared" si="0"/>
        <v>617.79661016949149</v>
      </c>
      <c r="I17" s="6"/>
      <c r="J17" s="3" t="s">
        <v>18</v>
      </c>
      <c r="P17"/>
      <c r="Q17"/>
      <c r="R17" s="80"/>
      <c r="S17" s="80"/>
    </row>
    <row r="18" spans="2:19" x14ac:dyDescent="0.25">
      <c r="B18" s="3" t="s">
        <v>362</v>
      </c>
      <c r="C18" s="2" t="s">
        <v>16</v>
      </c>
      <c r="D18" s="3" t="s">
        <v>363</v>
      </c>
      <c r="E18" s="3" t="s">
        <v>141</v>
      </c>
      <c r="F18" s="3" t="s">
        <v>127</v>
      </c>
      <c r="G18" s="6">
        <v>127276.75</v>
      </c>
      <c r="H18" s="6">
        <f t="shared" si="0"/>
        <v>19415.097457627111</v>
      </c>
      <c r="I18" s="6"/>
      <c r="J18" s="3" t="s">
        <v>113</v>
      </c>
      <c r="P18"/>
      <c r="Q18"/>
      <c r="R18" s="80"/>
      <c r="S18" s="80"/>
    </row>
    <row r="19" spans="2:19" x14ac:dyDescent="0.25">
      <c r="B19" s="3" t="s">
        <v>170</v>
      </c>
      <c r="C19" s="2" t="s">
        <v>99</v>
      </c>
      <c r="D19" s="3" t="s">
        <v>206</v>
      </c>
      <c r="E19" s="3" t="s">
        <v>105</v>
      </c>
      <c r="F19" s="3" t="s">
        <v>122</v>
      </c>
      <c r="G19" s="6">
        <f>63700.88+2991.16</f>
        <v>66692.039999999994</v>
      </c>
      <c r="H19" s="6">
        <f t="shared" si="0"/>
        <v>10173.362033898302</v>
      </c>
      <c r="I19" s="6"/>
      <c r="J19" s="3" t="s">
        <v>113</v>
      </c>
      <c r="K19" s="19"/>
      <c r="L19" s="19"/>
      <c r="M19" s="19"/>
      <c r="P19"/>
      <c r="Q19"/>
      <c r="R19" s="80"/>
      <c r="S19" s="80"/>
    </row>
    <row r="20" spans="2:19" x14ac:dyDescent="0.25">
      <c r="B20" s="3" t="s">
        <v>163</v>
      </c>
      <c r="C20" s="2" t="s">
        <v>76</v>
      </c>
      <c r="D20" s="3" t="s">
        <v>153</v>
      </c>
      <c r="E20" s="3" t="s">
        <v>71</v>
      </c>
      <c r="F20" s="3" t="s">
        <v>122</v>
      </c>
      <c r="G20" s="6">
        <v>110078</v>
      </c>
      <c r="H20" s="6">
        <f t="shared" si="0"/>
        <v>16791.559322033892</v>
      </c>
      <c r="I20" s="6"/>
      <c r="J20" s="3" t="s">
        <v>113</v>
      </c>
      <c r="P20"/>
      <c r="Q20"/>
      <c r="R20" s="80"/>
      <c r="S20" s="80"/>
    </row>
    <row r="21" spans="2:19" x14ac:dyDescent="0.25">
      <c r="B21" s="3" t="s">
        <v>176</v>
      </c>
      <c r="C21" s="2" t="s">
        <v>24</v>
      </c>
      <c r="D21" s="3" t="s">
        <v>174</v>
      </c>
      <c r="E21" s="3" t="s">
        <v>115</v>
      </c>
      <c r="F21" s="3" t="s">
        <v>122</v>
      </c>
      <c r="G21" s="6">
        <v>42187</v>
      </c>
      <c r="H21" s="6">
        <f t="shared" si="0"/>
        <v>6435.3050847457635</v>
      </c>
      <c r="I21" s="6"/>
      <c r="J21" s="3" t="s">
        <v>113</v>
      </c>
      <c r="P21"/>
      <c r="Q21"/>
      <c r="R21" s="80"/>
      <c r="S21" s="80"/>
    </row>
    <row r="22" spans="2:19" x14ac:dyDescent="0.25">
      <c r="B22" s="3" t="s">
        <v>200</v>
      </c>
      <c r="C22" s="2" t="s">
        <v>88</v>
      </c>
      <c r="D22" s="3" t="s">
        <v>198</v>
      </c>
      <c r="E22" s="3" t="s">
        <v>87</v>
      </c>
      <c r="F22" s="3" t="s">
        <v>122</v>
      </c>
      <c r="G22" s="6">
        <v>29579</v>
      </c>
      <c r="H22" s="6">
        <f t="shared" si="0"/>
        <v>4512.0508474576272</v>
      </c>
      <c r="I22" s="6"/>
      <c r="J22" s="3" t="s">
        <v>18</v>
      </c>
      <c r="P22"/>
      <c r="Q22"/>
      <c r="R22" s="80"/>
      <c r="S22" s="80"/>
    </row>
    <row r="23" spans="2:19" x14ac:dyDescent="0.25">
      <c r="B23" s="3" t="s">
        <v>147</v>
      </c>
      <c r="C23" s="2"/>
      <c r="D23" s="3" t="s">
        <v>202</v>
      </c>
      <c r="E23" s="3" t="s">
        <v>106</v>
      </c>
      <c r="F23" s="3" t="s">
        <v>122</v>
      </c>
      <c r="G23" s="6">
        <v>1354.5</v>
      </c>
      <c r="H23" s="6">
        <f t="shared" si="0"/>
        <v>206.61864406779659</v>
      </c>
      <c r="I23" s="6"/>
      <c r="J23" s="3" t="s">
        <v>18</v>
      </c>
      <c r="P23"/>
      <c r="Q23"/>
      <c r="R23" s="80"/>
      <c r="S23" s="80"/>
    </row>
    <row r="24" spans="2:19" x14ac:dyDescent="0.25">
      <c r="B24" s="3" t="s">
        <v>159</v>
      </c>
      <c r="C24" s="2" t="s">
        <v>4</v>
      </c>
      <c r="D24" s="3" t="s">
        <v>160</v>
      </c>
      <c r="E24" s="3" t="s">
        <v>71</v>
      </c>
      <c r="F24" s="3" t="s">
        <v>122</v>
      </c>
      <c r="G24" s="6">
        <v>64429</v>
      </c>
      <c r="H24" s="6">
        <f t="shared" si="0"/>
        <v>9828.1525423728817</v>
      </c>
      <c r="I24" s="6"/>
      <c r="J24" s="3" t="s">
        <v>113</v>
      </c>
      <c r="P24"/>
      <c r="Q24"/>
      <c r="R24" s="80"/>
      <c r="S24" s="80"/>
    </row>
    <row r="25" spans="2:19" x14ac:dyDescent="0.25">
      <c r="B25" s="3" t="s">
        <v>147</v>
      </c>
      <c r="C25" s="2"/>
      <c r="D25" s="3" t="s">
        <v>603</v>
      </c>
      <c r="E25" s="3" t="s">
        <v>106</v>
      </c>
      <c r="F25" s="3" t="s">
        <v>133</v>
      </c>
      <c r="G25" s="6">
        <v>9817.5</v>
      </c>
      <c r="H25" s="6">
        <f t="shared" ref="H25:H88" si="1">G25-G25/1.18</f>
        <v>1497.5847457627115</v>
      </c>
      <c r="I25" s="6"/>
      <c r="J25" s="3" t="s">
        <v>18</v>
      </c>
      <c r="P25"/>
      <c r="Q25"/>
      <c r="R25" s="80"/>
      <c r="S25" s="80"/>
    </row>
    <row r="26" spans="2:19" x14ac:dyDescent="0.25">
      <c r="B26" s="2" t="s">
        <v>334</v>
      </c>
      <c r="C26" s="3" t="s">
        <v>96</v>
      </c>
      <c r="D26" s="3" t="s">
        <v>348</v>
      </c>
      <c r="E26" s="3" t="s">
        <v>71</v>
      </c>
      <c r="F26" s="3" t="s">
        <v>126</v>
      </c>
      <c r="G26" s="6">
        <v>33500</v>
      </c>
      <c r="H26" s="6">
        <f t="shared" si="1"/>
        <v>5110.1694915254229</v>
      </c>
      <c r="I26" s="6">
        <f>G26-H26</f>
        <v>28389.830508474577</v>
      </c>
      <c r="J26" s="3" t="s">
        <v>18</v>
      </c>
      <c r="K26" s="5" t="s">
        <v>521</v>
      </c>
      <c r="L26" s="5"/>
      <c r="M26" s="5"/>
      <c r="N26">
        <v>1100</v>
      </c>
      <c r="O26">
        <v>79</v>
      </c>
      <c r="P26" s="31">
        <f>G26/N26</f>
        <v>30.454545454545453</v>
      </c>
      <c r="Q26" s="31" t="s">
        <v>616</v>
      </c>
      <c r="R26" s="80"/>
      <c r="S26" s="80"/>
    </row>
    <row r="27" spans="2:19" x14ac:dyDescent="0.25">
      <c r="B27" s="2" t="s">
        <v>334</v>
      </c>
      <c r="C27" s="3" t="s">
        <v>96</v>
      </c>
      <c r="D27" s="3" t="s">
        <v>348</v>
      </c>
      <c r="E27" s="3" t="s">
        <v>71</v>
      </c>
      <c r="F27" s="3" t="s">
        <v>126</v>
      </c>
      <c r="G27" s="6">
        <v>42000</v>
      </c>
      <c r="H27" s="6">
        <f t="shared" si="1"/>
        <v>6406.7796610169462</v>
      </c>
      <c r="I27" s="6"/>
      <c r="J27" s="3" t="s">
        <v>18</v>
      </c>
      <c r="K27" t="s">
        <v>518</v>
      </c>
      <c r="L27" s="5"/>
      <c r="M27" s="5"/>
      <c r="N27">
        <v>750</v>
      </c>
      <c r="O27">
        <v>110</v>
      </c>
      <c r="P27" s="31">
        <f>G27/N27</f>
        <v>56</v>
      </c>
      <c r="Q27" s="31" t="s">
        <v>616</v>
      </c>
      <c r="R27" s="80"/>
      <c r="S27" s="80"/>
    </row>
    <row r="28" spans="2:19" x14ac:dyDescent="0.25">
      <c r="B28" s="2" t="s">
        <v>334</v>
      </c>
      <c r="C28" s="3" t="s">
        <v>96</v>
      </c>
      <c r="D28" s="3" t="s">
        <v>348</v>
      </c>
      <c r="E28" s="3" t="s">
        <v>71</v>
      </c>
      <c r="F28" s="3" t="s">
        <v>126</v>
      </c>
      <c r="G28" s="6">
        <v>44500</v>
      </c>
      <c r="H28" s="6">
        <f t="shared" si="1"/>
        <v>6788.1355932203369</v>
      </c>
      <c r="I28" s="6"/>
      <c r="J28" s="3" t="s">
        <v>18</v>
      </c>
      <c r="K28" t="s">
        <v>519</v>
      </c>
      <c r="N28">
        <v>700</v>
      </c>
      <c r="O28">
        <v>115</v>
      </c>
      <c r="P28" s="31">
        <f>G28/N28</f>
        <v>63.571428571428569</v>
      </c>
      <c r="Q28" s="31" t="s">
        <v>616</v>
      </c>
      <c r="R28" s="80"/>
      <c r="S28" s="80"/>
    </row>
    <row r="29" spans="2:19" x14ac:dyDescent="0.25">
      <c r="B29" s="3" t="s">
        <v>219</v>
      </c>
      <c r="C29" s="3" t="s">
        <v>99</v>
      </c>
      <c r="D29" s="1" t="s">
        <v>251</v>
      </c>
      <c r="E29" s="3" t="s">
        <v>105</v>
      </c>
      <c r="F29" s="3" t="s">
        <v>126</v>
      </c>
      <c r="G29" s="6">
        <v>132163.32</v>
      </c>
      <c r="H29" s="6">
        <f t="shared" si="1"/>
        <v>20160.506440677957</v>
      </c>
      <c r="I29" s="6"/>
      <c r="J29" s="3" t="s">
        <v>113</v>
      </c>
      <c r="K29" s="19"/>
      <c r="L29" s="19"/>
      <c r="M29" s="19"/>
      <c r="P29"/>
      <c r="Q29"/>
      <c r="R29" s="80"/>
      <c r="S29" s="80"/>
    </row>
    <row r="30" spans="2:19" x14ac:dyDescent="0.25">
      <c r="B30" s="3" t="s">
        <v>362</v>
      </c>
      <c r="C30" s="2" t="s">
        <v>16</v>
      </c>
      <c r="D30" s="3" t="s">
        <v>363</v>
      </c>
      <c r="E30" s="3" t="s">
        <v>141</v>
      </c>
      <c r="F30" s="3" t="s">
        <v>126</v>
      </c>
      <c r="G30" s="6">
        <v>142645</v>
      </c>
      <c r="H30" s="6">
        <f t="shared" si="1"/>
        <v>21759.406779661003</v>
      </c>
      <c r="I30" s="6"/>
      <c r="J30" s="3" t="s">
        <v>113</v>
      </c>
      <c r="P30"/>
      <c r="Q30"/>
      <c r="R30" s="80"/>
      <c r="S30" s="80"/>
    </row>
    <row r="31" spans="2:19" x14ac:dyDescent="0.25">
      <c r="B31" s="3" t="s">
        <v>426</v>
      </c>
      <c r="C31" s="2" t="s">
        <v>92</v>
      </c>
      <c r="D31" s="3" t="s">
        <v>447</v>
      </c>
      <c r="E31" s="3" t="s">
        <v>87</v>
      </c>
      <c r="F31" s="3" t="s">
        <v>126</v>
      </c>
      <c r="G31" s="6">
        <v>950000</v>
      </c>
      <c r="H31" s="6">
        <f t="shared" si="1"/>
        <v>144915.25423728814</v>
      </c>
      <c r="I31" s="6"/>
      <c r="J31" s="3" t="s">
        <v>18</v>
      </c>
      <c r="P31"/>
      <c r="Q31"/>
      <c r="R31" s="80"/>
      <c r="S31" s="80"/>
    </row>
    <row r="32" spans="2:19" x14ac:dyDescent="0.25">
      <c r="B32" s="3" t="s">
        <v>412</v>
      </c>
      <c r="C32" s="2" t="s">
        <v>30</v>
      </c>
      <c r="D32" s="3" t="s">
        <v>409</v>
      </c>
      <c r="E32" s="3" t="s">
        <v>87</v>
      </c>
      <c r="F32" s="3" t="s">
        <v>126</v>
      </c>
      <c r="G32" s="6">
        <v>85000</v>
      </c>
      <c r="H32" s="6">
        <f t="shared" si="1"/>
        <v>12966.101694915254</v>
      </c>
      <c r="I32" s="6"/>
      <c r="J32" s="3" t="s">
        <v>113</v>
      </c>
      <c r="P32"/>
      <c r="Q32"/>
      <c r="R32" s="80"/>
      <c r="S32" s="80"/>
    </row>
    <row r="33" spans="2:19" x14ac:dyDescent="0.25">
      <c r="B33" s="3" t="s">
        <v>334</v>
      </c>
      <c r="C33" s="2" t="s">
        <v>96</v>
      </c>
      <c r="D33" s="3" t="s">
        <v>348</v>
      </c>
      <c r="E33" s="3" t="s">
        <v>71</v>
      </c>
      <c r="F33" s="3" t="s">
        <v>126</v>
      </c>
      <c r="G33" s="6">
        <v>27172.25</v>
      </c>
      <c r="H33" s="6">
        <f t="shared" si="1"/>
        <v>4144.9194915254229</v>
      </c>
      <c r="I33" s="6"/>
      <c r="J33" s="3" t="s">
        <v>18</v>
      </c>
      <c r="K33" s="5"/>
      <c r="L33" s="5"/>
      <c r="M33" s="5"/>
      <c r="P33"/>
      <c r="Q33"/>
      <c r="R33" s="80"/>
      <c r="S33" s="80"/>
    </row>
    <row r="34" spans="2:19" x14ac:dyDescent="0.25">
      <c r="B34" s="3" t="s">
        <v>334</v>
      </c>
      <c r="C34" s="2" t="s">
        <v>96</v>
      </c>
      <c r="D34" s="3" t="s">
        <v>348</v>
      </c>
      <c r="E34" s="3" t="s">
        <v>71</v>
      </c>
      <c r="F34" s="3" t="s">
        <v>125</v>
      </c>
      <c r="G34" s="6">
        <v>70450</v>
      </c>
      <c r="H34" s="6">
        <f t="shared" si="1"/>
        <v>10746.61016949152</v>
      </c>
      <c r="I34" s="6"/>
      <c r="J34" s="3" t="s">
        <v>18</v>
      </c>
      <c r="K34" s="46" t="s">
        <v>551</v>
      </c>
      <c r="L34" s="46"/>
      <c r="M34" s="46"/>
      <c r="N34">
        <v>1460</v>
      </c>
      <c r="O34">
        <v>0</v>
      </c>
      <c r="Q34" s="31" t="s">
        <v>616</v>
      </c>
      <c r="R34" s="80"/>
      <c r="S34" s="80"/>
    </row>
    <row r="35" spans="2:19" x14ac:dyDescent="0.25">
      <c r="B35" s="3" t="s">
        <v>187</v>
      </c>
      <c r="C35" s="2" t="s">
        <v>96</v>
      </c>
      <c r="D35" s="3" t="s">
        <v>476</v>
      </c>
      <c r="E35" s="3" t="s">
        <v>71</v>
      </c>
      <c r="F35" s="3" t="s">
        <v>125</v>
      </c>
      <c r="G35" s="6">
        <v>34224</v>
      </c>
      <c r="H35" s="6">
        <f t="shared" si="1"/>
        <v>5220.6101694915233</v>
      </c>
      <c r="I35" s="6"/>
      <c r="J35" s="3" t="s">
        <v>18</v>
      </c>
      <c r="K35" s="18" t="s">
        <v>522</v>
      </c>
      <c r="N35">
        <v>479</v>
      </c>
      <c r="O35">
        <v>80</v>
      </c>
      <c r="P35" s="31">
        <f>G35/N35</f>
        <v>71.448851774530269</v>
      </c>
      <c r="Q35" s="31">
        <f>G35/O35</f>
        <v>427.8</v>
      </c>
      <c r="R35" s="80"/>
      <c r="S35" s="80"/>
    </row>
    <row r="36" spans="2:19" x14ac:dyDescent="0.25">
      <c r="B36" s="3" t="s">
        <v>415</v>
      </c>
      <c r="C36" s="2" t="s">
        <v>91</v>
      </c>
      <c r="D36" s="3" t="s">
        <v>413</v>
      </c>
      <c r="E36" s="3" t="s">
        <v>87</v>
      </c>
      <c r="F36" s="3" t="s">
        <v>125</v>
      </c>
      <c r="G36" s="6">
        <v>910000</v>
      </c>
      <c r="H36" s="6">
        <f t="shared" si="1"/>
        <v>138813.55932203389</v>
      </c>
      <c r="I36" s="6"/>
      <c r="J36" s="3" t="s">
        <v>18</v>
      </c>
      <c r="P36"/>
      <c r="Q36"/>
      <c r="R36" s="80"/>
      <c r="S36" s="80"/>
    </row>
    <row r="37" spans="2:19" x14ac:dyDescent="0.25">
      <c r="B37" s="3" t="s">
        <v>426</v>
      </c>
      <c r="C37" s="2" t="s">
        <v>92</v>
      </c>
      <c r="D37" s="3" t="s">
        <v>447</v>
      </c>
      <c r="E37" s="3" t="s">
        <v>87</v>
      </c>
      <c r="F37" s="3" t="s">
        <v>125</v>
      </c>
      <c r="G37" s="6">
        <v>975000</v>
      </c>
      <c r="H37" s="6">
        <f t="shared" si="1"/>
        <v>148728.81355932204</v>
      </c>
      <c r="I37" s="6"/>
      <c r="J37" s="3" t="s">
        <v>18</v>
      </c>
      <c r="P37"/>
      <c r="Q37"/>
      <c r="R37" s="80"/>
      <c r="S37" s="80"/>
    </row>
    <row r="38" spans="2:19" x14ac:dyDescent="0.25">
      <c r="B38" s="3" t="s">
        <v>423</v>
      </c>
      <c r="C38" s="2" t="s">
        <v>93</v>
      </c>
      <c r="D38" s="3" t="s">
        <v>441</v>
      </c>
      <c r="E38" s="3" t="s">
        <v>87</v>
      </c>
      <c r="F38" s="3" t="s">
        <v>125</v>
      </c>
      <c r="G38" s="6">
        <v>420000</v>
      </c>
      <c r="H38" s="6">
        <f t="shared" si="1"/>
        <v>64067.796610169462</v>
      </c>
      <c r="I38" s="6"/>
      <c r="J38" s="3" t="s">
        <v>18</v>
      </c>
      <c r="P38"/>
      <c r="Q38"/>
      <c r="R38" s="80"/>
      <c r="S38" s="80"/>
    </row>
    <row r="39" spans="2:19" x14ac:dyDescent="0.25">
      <c r="B39" s="3" t="s">
        <v>433</v>
      </c>
      <c r="C39" s="2" t="s">
        <v>88</v>
      </c>
      <c r="D39" s="3" t="s">
        <v>463</v>
      </c>
      <c r="E39" s="3" t="s">
        <v>87</v>
      </c>
      <c r="F39" s="3" t="s">
        <v>125</v>
      </c>
      <c r="G39" s="6">
        <v>270000</v>
      </c>
      <c r="H39" s="6">
        <f t="shared" si="1"/>
        <v>41186.440677966079</v>
      </c>
      <c r="I39" s="6"/>
      <c r="J39" s="3" t="s">
        <v>18</v>
      </c>
      <c r="P39"/>
      <c r="Q39"/>
      <c r="R39" s="80"/>
      <c r="S39" s="80"/>
    </row>
    <row r="40" spans="2:19" x14ac:dyDescent="0.25">
      <c r="B40" s="3" t="s">
        <v>375</v>
      </c>
      <c r="C40" s="2" t="s">
        <v>32</v>
      </c>
      <c r="D40" s="3" t="s">
        <v>373</v>
      </c>
      <c r="E40" s="3" t="s">
        <v>71</v>
      </c>
      <c r="F40" s="3" t="s">
        <v>125</v>
      </c>
      <c r="G40" s="6">
        <v>305700</v>
      </c>
      <c r="H40" s="6">
        <f t="shared" si="1"/>
        <v>46632.203389830509</v>
      </c>
      <c r="I40" s="6"/>
      <c r="J40" s="3" t="s">
        <v>113</v>
      </c>
      <c r="P40"/>
      <c r="Q40"/>
      <c r="R40" s="80"/>
      <c r="S40" s="80"/>
    </row>
    <row r="41" spans="2:19" x14ac:dyDescent="0.25">
      <c r="B41" s="3" t="s">
        <v>216</v>
      </c>
      <c r="C41" s="8" t="s">
        <v>91</v>
      </c>
      <c r="D41" s="3" t="s">
        <v>468</v>
      </c>
      <c r="E41" s="3" t="s">
        <v>105</v>
      </c>
      <c r="F41" s="3" t="s">
        <v>125</v>
      </c>
      <c r="G41" s="6">
        <v>747000</v>
      </c>
      <c r="H41" s="6">
        <f t="shared" si="1"/>
        <v>113949.15254237282</v>
      </c>
      <c r="I41" s="6"/>
      <c r="J41" s="3" t="s">
        <v>18</v>
      </c>
      <c r="K41" s="5"/>
      <c r="L41" s="5"/>
      <c r="M41" s="5"/>
      <c r="P41"/>
      <c r="Q41"/>
      <c r="R41" s="80"/>
      <c r="S41" s="80"/>
    </row>
    <row r="42" spans="2:19" x14ac:dyDescent="0.25">
      <c r="B42" s="3" t="s">
        <v>212</v>
      </c>
      <c r="C42" s="2" t="s">
        <v>56</v>
      </c>
      <c r="D42" s="3" t="s">
        <v>465</v>
      </c>
      <c r="E42" s="3" t="s">
        <v>105</v>
      </c>
      <c r="F42" s="3" t="s">
        <v>125</v>
      </c>
      <c r="G42" s="6">
        <v>1560000</v>
      </c>
      <c r="H42" s="6">
        <f t="shared" si="1"/>
        <v>237966.10169491521</v>
      </c>
      <c r="I42" s="6"/>
      <c r="J42" s="3" t="s">
        <v>18</v>
      </c>
      <c r="K42" s="18"/>
      <c r="P42"/>
      <c r="Q42"/>
      <c r="R42" s="80"/>
      <c r="S42" s="80"/>
    </row>
    <row r="43" spans="2:19" x14ac:dyDescent="0.25">
      <c r="B43" s="3" t="s">
        <v>214</v>
      </c>
      <c r="C43" s="2" t="s">
        <v>91</v>
      </c>
      <c r="D43" s="3" t="s">
        <v>466</v>
      </c>
      <c r="E43" s="3" t="s">
        <v>105</v>
      </c>
      <c r="F43" s="3" t="s">
        <v>125</v>
      </c>
      <c r="G43" s="6">
        <v>1130000</v>
      </c>
      <c r="H43" s="6">
        <f t="shared" si="1"/>
        <v>172372.8813559321</v>
      </c>
      <c r="I43" s="6"/>
      <c r="J43" s="3" t="s">
        <v>18</v>
      </c>
      <c r="P43"/>
      <c r="Q43"/>
      <c r="R43" s="80"/>
      <c r="S43" s="80"/>
    </row>
    <row r="44" spans="2:19" x14ac:dyDescent="0.25">
      <c r="B44" s="3" t="s">
        <v>218</v>
      </c>
      <c r="C44" s="2" t="s">
        <v>91</v>
      </c>
      <c r="D44" s="3" t="s">
        <v>469</v>
      </c>
      <c r="E44" s="3" t="s">
        <v>105</v>
      </c>
      <c r="F44" s="3" t="s">
        <v>125</v>
      </c>
      <c r="G44" s="6">
        <v>300000</v>
      </c>
      <c r="H44" s="6">
        <f t="shared" si="1"/>
        <v>45762.711864406767</v>
      </c>
      <c r="I44" s="6"/>
      <c r="J44" s="3" t="s">
        <v>18</v>
      </c>
      <c r="P44"/>
      <c r="Q44"/>
      <c r="R44" s="87"/>
      <c r="S44" s="87"/>
    </row>
    <row r="45" spans="2:19" x14ac:dyDescent="0.25">
      <c r="B45" s="3" t="s">
        <v>215</v>
      </c>
      <c r="C45" s="3" t="s">
        <v>91</v>
      </c>
      <c r="D45" s="3" t="s">
        <v>467</v>
      </c>
      <c r="E45" s="3" t="s">
        <v>105</v>
      </c>
      <c r="F45" s="3" t="s">
        <v>125</v>
      </c>
      <c r="G45" s="6">
        <v>260000</v>
      </c>
      <c r="H45" s="6">
        <f t="shared" si="1"/>
        <v>39661.016949152545</v>
      </c>
      <c r="I45" s="6"/>
      <c r="J45" s="3" t="s">
        <v>18</v>
      </c>
      <c r="K45" s="5"/>
      <c r="L45" s="5"/>
      <c r="M45" s="5"/>
      <c r="P45"/>
      <c r="Q45"/>
      <c r="R45" s="80"/>
      <c r="S45" s="80"/>
    </row>
    <row r="46" spans="2:19" x14ac:dyDescent="0.25">
      <c r="B46" s="3" t="s">
        <v>424</v>
      </c>
      <c r="C46" s="3" t="s">
        <v>93</v>
      </c>
      <c r="D46" s="3" t="s">
        <v>443</v>
      </c>
      <c r="E46" s="3" t="s">
        <v>87</v>
      </c>
      <c r="F46" s="3" t="s">
        <v>125</v>
      </c>
      <c r="G46" s="6">
        <v>120000</v>
      </c>
      <c r="H46" s="6">
        <f t="shared" si="1"/>
        <v>18305.08474576271</v>
      </c>
      <c r="I46" s="6"/>
      <c r="J46" s="3" t="s">
        <v>18</v>
      </c>
      <c r="P46"/>
      <c r="Q46"/>
      <c r="R46" s="80"/>
      <c r="S46" s="80"/>
    </row>
    <row r="47" spans="2:19" x14ac:dyDescent="0.25">
      <c r="B47" s="3" t="s">
        <v>431</v>
      </c>
      <c r="C47" s="2" t="s">
        <v>88</v>
      </c>
      <c r="D47" s="3" t="s">
        <v>459</v>
      </c>
      <c r="E47" s="3" t="s">
        <v>87</v>
      </c>
      <c r="F47" s="3" t="s">
        <v>125</v>
      </c>
      <c r="G47" s="6">
        <v>200000</v>
      </c>
      <c r="H47" s="6">
        <f t="shared" si="1"/>
        <v>30508.474576271168</v>
      </c>
      <c r="I47" s="6"/>
      <c r="J47" s="3" t="s">
        <v>18</v>
      </c>
      <c r="P47"/>
      <c r="Q47"/>
      <c r="R47" s="80"/>
      <c r="S47" s="80"/>
    </row>
    <row r="48" spans="2:19" x14ac:dyDescent="0.25">
      <c r="B48" s="3" t="s">
        <v>294</v>
      </c>
      <c r="C48" s="2" t="s">
        <v>40</v>
      </c>
      <c r="D48" s="3" t="s">
        <v>292</v>
      </c>
      <c r="E48" s="3" t="s">
        <v>90</v>
      </c>
      <c r="F48" s="3" t="s">
        <v>125</v>
      </c>
      <c r="G48" s="6">
        <v>1190000</v>
      </c>
      <c r="H48" s="6">
        <f t="shared" si="1"/>
        <v>181525.42372881353</v>
      </c>
      <c r="I48" s="6"/>
      <c r="J48" s="3" t="s">
        <v>18</v>
      </c>
      <c r="P48"/>
      <c r="Q48"/>
      <c r="R48" s="80"/>
      <c r="S48" s="80"/>
    </row>
    <row r="49" spans="2:19" x14ac:dyDescent="0.25">
      <c r="B49" s="3" t="s">
        <v>359</v>
      </c>
      <c r="C49" s="2" t="s">
        <v>16</v>
      </c>
      <c r="D49" s="3" t="s">
        <v>360</v>
      </c>
      <c r="E49" s="3" t="s">
        <v>141</v>
      </c>
      <c r="F49" s="3" t="s">
        <v>125</v>
      </c>
      <c r="G49" s="6">
        <v>104630.23</v>
      </c>
      <c r="H49" s="6">
        <f t="shared" si="1"/>
        <v>15960.543559322032</v>
      </c>
      <c r="I49" s="6"/>
      <c r="J49" s="3" t="s">
        <v>113</v>
      </c>
      <c r="K49" s="19"/>
      <c r="L49" s="19"/>
      <c r="M49" s="19"/>
      <c r="P49"/>
      <c r="Q49"/>
      <c r="R49" s="80"/>
      <c r="S49" s="80"/>
    </row>
    <row r="50" spans="2:19" x14ac:dyDescent="0.25">
      <c r="B50" s="3" t="s">
        <v>187</v>
      </c>
      <c r="C50" s="2" t="s">
        <v>96</v>
      </c>
      <c r="D50" s="3" t="s">
        <v>185</v>
      </c>
      <c r="E50" s="3" t="s">
        <v>71</v>
      </c>
      <c r="F50" s="3" t="s">
        <v>124</v>
      </c>
      <c r="G50" s="6">
        <v>18624</v>
      </c>
      <c r="H50" s="6">
        <f t="shared" si="1"/>
        <v>2840.9491525423728</v>
      </c>
      <c r="I50" s="6"/>
      <c r="J50" s="3" t="s">
        <v>18</v>
      </c>
      <c r="K50" t="s">
        <v>522</v>
      </c>
      <c r="N50">
        <v>548</v>
      </c>
      <c r="O50">
        <v>28</v>
      </c>
      <c r="P50" s="31">
        <f>G50/N50</f>
        <v>33.985401459854018</v>
      </c>
      <c r="Q50" s="31">
        <f>G50/O50</f>
        <v>665.14285714285711</v>
      </c>
      <c r="R50" s="80"/>
      <c r="S50" s="80"/>
    </row>
    <row r="51" spans="2:19" x14ac:dyDescent="0.25">
      <c r="B51" s="3" t="s">
        <v>208</v>
      </c>
      <c r="C51" s="2" t="s">
        <v>94</v>
      </c>
      <c r="D51" s="3" t="s">
        <v>204</v>
      </c>
      <c r="E51" s="3" t="s">
        <v>90</v>
      </c>
      <c r="F51" s="3" t="s">
        <v>124</v>
      </c>
      <c r="G51" s="6">
        <v>29442</v>
      </c>
      <c r="H51" s="6">
        <f t="shared" si="1"/>
        <v>4491.1525423728817</v>
      </c>
      <c r="I51" s="6"/>
      <c r="J51" s="3" t="s">
        <v>18</v>
      </c>
      <c r="P51"/>
      <c r="Q51"/>
      <c r="R51" s="80"/>
      <c r="S51" s="80"/>
    </row>
    <row r="52" spans="2:19" x14ac:dyDescent="0.25">
      <c r="B52" s="3" t="s">
        <v>159</v>
      </c>
      <c r="C52" s="2" t="s">
        <v>4</v>
      </c>
      <c r="D52" s="3" t="s">
        <v>160</v>
      </c>
      <c r="E52" s="3" t="s">
        <v>71</v>
      </c>
      <c r="F52" s="3" t="s">
        <v>124</v>
      </c>
      <c r="G52" s="6">
        <v>38553</v>
      </c>
      <c r="H52" s="6">
        <f t="shared" si="1"/>
        <v>5880.966101694914</v>
      </c>
      <c r="I52" s="6"/>
      <c r="J52" s="3" t="s">
        <v>113</v>
      </c>
      <c r="K52" s="18"/>
      <c r="P52"/>
      <c r="Q52"/>
      <c r="R52" s="80"/>
      <c r="S52" s="80"/>
    </row>
    <row r="53" spans="2:19" x14ac:dyDescent="0.25">
      <c r="B53" s="3" t="s">
        <v>147</v>
      </c>
      <c r="C53" s="2"/>
      <c r="D53" s="3" t="s">
        <v>202</v>
      </c>
      <c r="E53" s="3" t="s">
        <v>106</v>
      </c>
      <c r="F53" s="3" t="s">
        <v>121</v>
      </c>
      <c r="G53" s="6">
        <v>5022.5</v>
      </c>
      <c r="H53" s="6">
        <f t="shared" si="1"/>
        <v>766.14406779661022</v>
      </c>
      <c r="I53" s="6"/>
      <c r="J53" s="3" t="s">
        <v>18</v>
      </c>
      <c r="P53"/>
      <c r="Q53"/>
      <c r="R53" s="80"/>
      <c r="S53" s="80"/>
    </row>
    <row r="54" spans="2:19" x14ac:dyDescent="0.25">
      <c r="B54" s="3" t="s">
        <v>175</v>
      </c>
      <c r="C54" s="2" t="s">
        <v>24</v>
      </c>
      <c r="D54" s="3" t="s">
        <v>174</v>
      </c>
      <c r="E54" s="3" t="s">
        <v>123</v>
      </c>
      <c r="F54" s="3" t="s">
        <v>121</v>
      </c>
      <c r="G54" s="6">
        <v>1426.25</v>
      </c>
      <c r="H54" s="6">
        <f t="shared" si="1"/>
        <v>217.56355932203383</v>
      </c>
      <c r="I54" s="6"/>
      <c r="J54" s="3" t="s">
        <v>113</v>
      </c>
      <c r="P54"/>
      <c r="Q54"/>
      <c r="R54" s="80"/>
      <c r="S54" s="80"/>
    </row>
    <row r="55" spans="2:19" x14ac:dyDescent="0.25">
      <c r="B55" s="3" t="s">
        <v>186</v>
      </c>
      <c r="C55" s="2" t="s">
        <v>96</v>
      </c>
      <c r="D55" s="3" t="s">
        <v>185</v>
      </c>
      <c r="E55" s="3" t="s">
        <v>110</v>
      </c>
      <c r="F55" s="3" t="s">
        <v>121</v>
      </c>
      <c r="G55" s="6">
        <v>2593.5</v>
      </c>
      <c r="H55" s="6">
        <f t="shared" si="1"/>
        <v>395.61864406779659</v>
      </c>
      <c r="I55" s="6"/>
      <c r="J55" s="3" t="s">
        <v>18</v>
      </c>
      <c r="P55"/>
      <c r="Q55"/>
      <c r="R55" s="80"/>
      <c r="S55" s="80"/>
    </row>
    <row r="56" spans="2:19" x14ac:dyDescent="0.25">
      <c r="B56" s="3" t="s">
        <v>199</v>
      </c>
      <c r="C56" s="2" t="s">
        <v>88</v>
      </c>
      <c r="D56" s="3" t="s">
        <v>198</v>
      </c>
      <c r="E56" s="3" t="s">
        <v>117</v>
      </c>
      <c r="F56" s="3" t="s">
        <v>121</v>
      </c>
      <c r="G56" s="6">
        <v>633.5</v>
      </c>
      <c r="H56" s="6">
        <f t="shared" si="1"/>
        <v>96.635593220338933</v>
      </c>
      <c r="I56" s="6"/>
      <c r="J56" s="3" t="s">
        <v>18</v>
      </c>
      <c r="P56"/>
      <c r="Q56"/>
      <c r="R56" s="80"/>
      <c r="S56" s="80"/>
    </row>
    <row r="57" spans="2:19" x14ac:dyDescent="0.25">
      <c r="B57" s="3" t="s">
        <v>182</v>
      </c>
      <c r="C57" s="2" t="s">
        <v>88</v>
      </c>
      <c r="D57" s="3" t="s">
        <v>184</v>
      </c>
      <c r="E57" s="3" t="s">
        <v>117</v>
      </c>
      <c r="F57" s="3" t="s">
        <v>121</v>
      </c>
      <c r="G57" s="6">
        <v>3024</v>
      </c>
      <c r="H57" s="6">
        <f t="shared" si="1"/>
        <v>461.28813559321998</v>
      </c>
      <c r="I57" s="6"/>
      <c r="J57" s="3" t="s">
        <v>18</v>
      </c>
      <c r="P57"/>
      <c r="Q57"/>
      <c r="R57" s="80"/>
      <c r="S57" s="80"/>
    </row>
    <row r="58" spans="2:19" x14ac:dyDescent="0.25">
      <c r="B58" s="3" t="s">
        <v>197</v>
      </c>
      <c r="C58" s="2" t="s">
        <v>99</v>
      </c>
      <c r="D58" s="3" t="s">
        <v>156</v>
      </c>
      <c r="E58" s="3" t="s">
        <v>90</v>
      </c>
      <c r="F58" s="3" t="s">
        <v>121</v>
      </c>
      <c r="G58" s="6">
        <v>2939</v>
      </c>
      <c r="H58" s="6">
        <f t="shared" si="1"/>
        <v>448.32203389830511</v>
      </c>
      <c r="I58" s="6"/>
      <c r="J58" s="3" t="s">
        <v>113</v>
      </c>
      <c r="P58"/>
      <c r="Q58"/>
      <c r="R58" s="80"/>
      <c r="S58" s="80"/>
    </row>
    <row r="59" spans="2:19" x14ac:dyDescent="0.25">
      <c r="B59" s="3" t="s">
        <v>180</v>
      </c>
      <c r="C59" s="2" t="s">
        <v>30</v>
      </c>
      <c r="D59" s="3" t="s">
        <v>178</v>
      </c>
      <c r="E59" s="3" t="s">
        <v>87</v>
      </c>
      <c r="F59" s="3" t="s">
        <v>121</v>
      </c>
      <c r="G59" s="6">
        <v>12801</v>
      </c>
      <c r="H59" s="6">
        <f t="shared" si="1"/>
        <v>1952.6949152542365</v>
      </c>
      <c r="I59" s="6"/>
      <c r="J59" s="3" t="s">
        <v>113</v>
      </c>
      <c r="P59"/>
      <c r="Q59"/>
      <c r="R59" s="80"/>
      <c r="S59" s="80"/>
    </row>
    <row r="60" spans="2:19" x14ac:dyDescent="0.25">
      <c r="B60" s="3" t="s">
        <v>165</v>
      </c>
      <c r="C60" s="2" t="s">
        <v>38</v>
      </c>
      <c r="D60" s="3" t="s">
        <v>164</v>
      </c>
      <c r="E60" s="3" t="s">
        <v>71</v>
      </c>
      <c r="F60" s="3" t="s">
        <v>121</v>
      </c>
      <c r="G60" s="6">
        <v>3751</v>
      </c>
      <c r="H60" s="6">
        <f t="shared" si="1"/>
        <v>572.18644067796595</v>
      </c>
      <c r="I60" s="6"/>
      <c r="J60" s="3" t="s">
        <v>113</v>
      </c>
      <c r="P60"/>
      <c r="Q60"/>
      <c r="R60" s="80"/>
      <c r="S60" s="80"/>
    </row>
    <row r="61" spans="2:19" x14ac:dyDescent="0.25">
      <c r="B61" s="3" t="s">
        <v>162</v>
      </c>
      <c r="C61" s="2" t="s">
        <v>4</v>
      </c>
      <c r="D61" s="3" t="s">
        <v>161</v>
      </c>
      <c r="E61" s="3" t="s">
        <v>71</v>
      </c>
      <c r="F61" s="3" t="s">
        <v>121</v>
      </c>
      <c r="G61" s="6">
        <v>71076</v>
      </c>
      <c r="H61" s="6">
        <f t="shared" si="1"/>
        <v>10842.101694915254</v>
      </c>
      <c r="I61" s="6"/>
      <c r="J61" s="3" t="s">
        <v>113</v>
      </c>
      <c r="P61"/>
      <c r="Q61"/>
      <c r="R61" s="80"/>
      <c r="S61" s="80"/>
    </row>
    <row r="62" spans="2:19" x14ac:dyDescent="0.25">
      <c r="B62" s="3" t="s">
        <v>190</v>
      </c>
      <c r="C62" s="2" t="s">
        <v>74</v>
      </c>
      <c r="D62" s="7" t="s">
        <v>195</v>
      </c>
      <c r="E62" s="8" t="s">
        <v>90</v>
      </c>
      <c r="F62" s="3" t="s">
        <v>121</v>
      </c>
      <c r="G62" s="6">
        <v>135842</v>
      </c>
      <c r="H62" s="6">
        <f t="shared" si="1"/>
        <v>20721.661016949147</v>
      </c>
      <c r="I62" s="6"/>
      <c r="J62" s="3" t="s">
        <v>18</v>
      </c>
      <c r="P62"/>
      <c r="Q62"/>
      <c r="R62" s="80"/>
      <c r="S62" s="80"/>
    </row>
    <row r="63" spans="2:19" x14ac:dyDescent="0.25">
      <c r="B63" s="3" t="s">
        <v>192</v>
      </c>
      <c r="C63" s="2" t="s">
        <v>74</v>
      </c>
      <c r="D63" s="3" t="s">
        <v>194</v>
      </c>
      <c r="E63" s="3" t="s">
        <v>90</v>
      </c>
      <c r="F63" s="3" t="s">
        <v>121</v>
      </c>
      <c r="G63" s="6">
        <v>110443</v>
      </c>
      <c r="H63" s="6">
        <f t="shared" si="1"/>
        <v>16847.237288135584</v>
      </c>
      <c r="I63" s="6"/>
      <c r="J63" s="3" t="s">
        <v>18</v>
      </c>
      <c r="P63"/>
      <c r="Q63"/>
      <c r="R63" s="80"/>
      <c r="S63" s="80"/>
    </row>
    <row r="64" spans="2:19" x14ac:dyDescent="0.25">
      <c r="B64" s="3" t="s">
        <v>191</v>
      </c>
      <c r="C64" s="2" t="s">
        <v>74</v>
      </c>
      <c r="D64" s="3" t="s">
        <v>196</v>
      </c>
      <c r="E64" s="3" t="s">
        <v>90</v>
      </c>
      <c r="F64" s="3" t="s">
        <v>121</v>
      </c>
      <c r="G64" s="6">
        <v>47622</v>
      </c>
      <c r="H64" s="6">
        <f t="shared" si="1"/>
        <v>7264.3728813559283</v>
      </c>
      <c r="I64" s="6"/>
      <c r="J64" s="3" t="s">
        <v>18</v>
      </c>
      <c r="P64"/>
      <c r="Q64"/>
      <c r="R64" s="80"/>
      <c r="S64" s="80"/>
    </row>
    <row r="65" spans="2:19" x14ac:dyDescent="0.25">
      <c r="B65" s="3" t="s">
        <v>169</v>
      </c>
      <c r="C65" s="2" t="s">
        <v>96</v>
      </c>
      <c r="D65" s="3" t="s">
        <v>203</v>
      </c>
      <c r="E65" s="3" t="s">
        <v>71</v>
      </c>
      <c r="F65" s="3" t="s">
        <v>121</v>
      </c>
      <c r="G65" s="6">
        <v>22751</v>
      </c>
      <c r="H65" s="6">
        <f t="shared" si="1"/>
        <v>3470.4915254237276</v>
      </c>
      <c r="I65" s="6"/>
      <c r="J65" s="3" t="s">
        <v>18</v>
      </c>
      <c r="P65"/>
      <c r="Q65"/>
      <c r="R65" s="80"/>
      <c r="S65" s="80"/>
    </row>
    <row r="66" spans="2:19" x14ac:dyDescent="0.25">
      <c r="B66" s="3" t="s">
        <v>159</v>
      </c>
      <c r="C66" s="2" t="s">
        <v>4</v>
      </c>
      <c r="D66" s="3" t="s">
        <v>160</v>
      </c>
      <c r="E66" s="3" t="s">
        <v>71</v>
      </c>
      <c r="F66" s="3" t="s">
        <v>121</v>
      </c>
      <c r="G66" s="6">
        <v>65204</v>
      </c>
      <c r="H66" s="6">
        <f t="shared" si="1"/>
        <v>9946.3728813559283</v>
      </c>
      <c r="I66" s="6"/>
      <c r="J66" s="3" t="s">
        <v>113</v>
      </c>
      <c r="P66"/>
      <c r="Q66"/>
      <c r="R66" s="80"/>
      <c r="S66" s="80"/>
    </row>
    <row r="67" spans="2:19" x14ac:dyDescent="0.25">
      <c r="B67" s="44" t="s">
        <v>334</v>
      </c>
      <c r="C67" s="44" t="s">
        <v>96</v>
      </c>
      <c r="D67" s="44" t="s">
        <v>348</v>
      </c>
      <c r="E67" s="44" t="s">
        <v>71</v>
      </c>
      <c r="F67" s="44" t="s">
        <v>131</v>
      </c>
      <c r="G67" s="45">
        <v>18000</v>
      </c>
      <c r="H67" s="45">
        <f t="shared" si="1"/>
        <v>2745.7627118644068</v>
      </c>
      <c r="I67" s="45">
        <f>G67-H67</f>
        <v>15254.237288135593</v>
      </c>
      <c r="J67" s="44" t="s">
        <v>18</v>
      </c>
      <c r="K67" s="46" t="s">
        <v>535</v>
      </c>
      <c r="L67" s="46"/>
      <c r="M67" s="46"/>
      <c r="N67" s="46">
        <v>0</v>
      </c>
      <c r="O67" s="46">
        <v>26</v>
      </c>
      <c r="P67" s="47" t="e">
        <f t="shared" ref="P67:P91" si="2">G67/N67</f>
        <v>#DIV/0!</v>
      </c>
      <c r="Q67" s="47" t="s">
        <v>616</v>
      </c>
      <c r="R67" s="80"/>
      <c r="S67" s="80"/>
    </row>
    <row r="68" spans="2:19" x14ac:dyDescent="0.25">
      <c r="B68" s="44" t="s">
        <v>334</v>
      </c>
      <c r="C68" s="44" t="s">
        <v>96</v>
      </c>
      <c r="D68" s="44" t="s">
        <v>348</v>
      </c>
      <c r="E68" s="44" t="s">
        <v>71</v>
      </c>
      <c r="F68" s="44" t="s">
        <v>131</v>
      </c>
      <c r="G68" s="45">
        <v>15000</v>
      </c>
      <c r="H68" s="45">
        <f t="shared" si="1"/>
        <v>2288.1355932203387</v>
      </c>
      <c r="I68" s="45">
        <f>G68-H68</f>
        <v>12711.864406779661</v>
      </c>
      <c r="J68" s="44" t="s">
        <v>18</v>
      </c>
      <c r="K68" s="46" t="s">
        <v>536</v>
      </c>
      <c r="L68" s="46"/>
      <c r="M68" s="46"/>
      <c r="N68" s="46">
        <v>0</v>
      </c>
      <c r="O68" s="46">
        <v>20</v>
      </c>
      <c r="P68" s="47" t="e">
        <f t="shared" si="2"/>
        <v>#DIV/0!</v>
      </c>
      <c r="Q68" s="47" t="s">
        <v>616</v>
      </c>
      <c r="R68" s="80"/>
      <c r="S68" s="80"/>
    </row>
    <row r="69" spans="2:19" x14ac:dyDescent="0.25">
      <c r="B69" s="44" t="s">
        <v>334</v>
      </c>
      <c r="C69" s="44" t="s">
        <v>96</v>
      </c>
      <c r="D69" s="44" t="s">
        <v>348</v>
      </c>
      <c r="E69" s="44" t="s">
        <v>71</v>
      </c>
      <c r="F69" s="44" t="s">
        <v>131</v>
      </c>
      <c r="G69" s="45">
        <v>15000</v>
      </c>
      <c r="H69" s="45">
        <f t="shared" si="1"/>
        <v>2288.1355932203387</v>
      </c>
      <c r="I69" s="45"/>
      <c r="J69" s="44" t="s">
        <v>18</v>
      </c>
      <c r="K69" s="46" t="s">
        <v>540</v>
      </c>
      <c r="L69" s="46"/>
      <c r="M69" s="46"/>
      <c r="N69" s="46">
        <v>350</v>
      </c>
      <c r="O69" s="46">
        <v>34</v>
      </c>
      <c r="P69" s="47">
        <f t="shared" si="2"/>
        <v>42.857142857142854</v>
      </c>
      <c r="Q69" s="47" t="s">
        <v>616</v>
      </c>
      <c r="R69" s="80"/>
      <c r="S69" s="80"/>
    </row>
    <row r="70" spans="2:19" ht="17.25" x14ac:dyDescent="0.25">
      <c r="B70" s="44" t="s">
        <v>334</v>
      </c>
      <c r="C70" s="44" t="s">
        <v>96</v>
      </c>
      <c r="D70" s="44" t="s">
        <v>348</v>
      </c>
      <c r="E70" s="44" t="s">
        <v>71</v>
      </c>
      <c r="F70" s="44" t="s">
        <v>131</v>
      </c>
      <c r="G70" s="45">
        <v>30000</v>
      </c>
      <c r="H70" s="45">
        <f t="shared" si="1"/>
        <v>4576.2711864406774</v>
      </c>
      <c r="I70" s="45">
        <f>G70-H70</f>
        <v>25423.728813559323</v>
      </c>
      <c r="J70" s="44" t="s">
        <v>18</v>
      </c>
      <c r="K70" s="46" t="s">
        <v>560</v>
      </c>
      <c r="L70" s="46"/>
      <c r="M70" s="46"/>
      <c r="N70" s="46">
        <v>450</v>
      </c>
      <c r="O70" s="46">
        <v>0</v>
      </c>
      <c r="P70" s="47">
        <f t="shared" si="2"/>
        <v>66.666666666666671</v>
      </c>
      <c r="Q70" s="47" t="s">
        <v>616</v>
      </c>
      <c r="R70" s="80"/>
      <c r="S70" s="80"/>
    </row>
    <row r="71" spans="2:19" ht="17.25" x14ac:dyDescent="0.25">
      <c r="B71" s="44" t="s">
        <v>334</v>
      </c>
      <c r="C71" s="44" t="s">
        <v>96</v>
      </c>
      <c r="D71" s="44" t="s">
        <v>348</v>
      </c>
      <c r="E71" s="44" t="s">
        <v>71</v>
      </c>
      <c r="F71" s="44" t="s">
        <v>131</v>
      </c>
      <c r="G71" s="45">
        <v>35000</v>
      </c>
      <c r="H71" s="45">
        <f t="shared" si="1"/>
        <v>5338.9830508474552</v>
      </c>
      <c r="I71" s="45">
        <f>G71-H71</f>
        <v>29661.016949152545</v>
      </c>
      <c r="J71" s="44" t="s">
        <v>18</v>
      </c>
      <c r="K71" s="46" t="s">
        <v>561</v>
      </c>
      <c r="L71" s="46"/>
      <c r="M71" s="46"/>
      <c r="N71" s="46">
        <v>500</v>
      </c>
      <c r="O71" s="46">
        <v>0</v>
      </c>
      <c r="P71" s="47">
        <f t="shared" si="2"/>
        <v>70</v>
      </c>
      <c r="Q71" s="47" t="s">
        <v>616</v>
      </c>
      <c r="R71" s="80"/>
      <c r="S71" s="80"/>
    </row>
    <row r="72" spans="2:19" x14ac:dyDescent="0.25">
      <c r="B72" s="44" t="s">
        <v>334</v>
      </c>
      <c r="C72" s="44" t="s">
        <v>96</v>
      </c>
      <c r="D72" s="44" t="s">
        <v>348</v>
      </c>
      <c r="E72" s="44" t="s">
        <v>71</v>
      </c>
      <c r="F72" s="44" t="s">
        <v>131</v>
      </c>
      <c r="G72" s="45">
        <v>30000</v>
      </c>
      <c r="H72" s="45">
        <f t="shared" si="1"/>
        <v>4576.2711864406774</v>
      </c>
      <c r="I72" s="45"/>
      <c r="J72" s="44" t="s">
        <v>18</v>
      </c>
      <c r="K72" s="49" t="s">
        <v>508</v>
      </c>
      <c r="L72" s="46"/>
      <c r="M72" s="46"/>
      <c r="N72" s="46">
        <v>100</v>
      </c>
      <c r="O72" s="46">
        <v>0</v>
      </c>
      <c r="P72" s="47">
        <f t="shared" si="2"/>
        <v>300</v>
      </c>
      <c r="Q72" s="47" t="s">
        <v>616</v>
      </c>
      <c r="R72" s="80"/>
      <c r="S72" s="80"/>
    </row>
    <row r="73" spans="2:19" x14ac:dyDescent="0.25">
      <c r="B73" s="44" t="s">
        <v>334</v>
      </c>
      <c r="C73" s="44" t="s">
        <v>96</v>
      </c>
      <c r="D73" s="44" t="s">
        <v>348</v>
      </c>
      <c r="E73" s="44" t="s">
        <v>71</v>
      </c>
      <c r="F73" s="44" t="s">
        <v>131</v>
      </c>
      <c r="G73" s="45">
        <v>30000</v>
      </c>
      <c r="H73" s="45">
        <f t="shared" si="1"/>
        <v>4576.2711864406774</v>
      </c>
      <c r="I73" s="45"/>
      <c r="J73" s="44" t="s">
        <v>18</v>
      </c>
      <c r="K73" s="46" t="s">
        <v>510</v>
      </c>
      <c r="L73" s="46"/>
      <c r="M73" s="46"/>
      <c r="N73" s="46">
        <v>450</v>
      </c>
      <c r="O73" s="46">
        <v>0</v>
      </c>
      <c r="P73" s="47">
        <f t="shared" si="2"/>
        <v>66.666666666666671</v>
      </c>
      <c r="Q73" s="47" t="s">
        <v>616</v>
      </c>
      <c r="R73" s="80"/>
      <c r="S73" s="80"/>
    </row>
    <row r="74" spans="2:19" x14ac:dyDescent="0.25">
      <c r="B74" s="44" t="s">
        <v>334</v>
      </c>
      <c r="C74" s="44" t="s">
        <v>96</v>
      </c>
      <c r="D74" s="44" t="s">
        <v>348</v>
      </c>
      <c r="E74" s="44" t="s">
        <v>71</v>
      </c>
      <c r="F74" s="44" t="s">
        <v>131</v>
      </c>
      <c r="G74" s="45">
        <v>25000</v>
      </c>
      <c r="H74" s="45">
        <f t="shared" si="1"/>
        <v>3813.559322033896</v>
      </c>
      <c r="I74" s="45"/>
      <c r="J74" s="44" t="s">
        <v>18</v>
      </c>
      <c r="K74" s="49" t="s">
        <v>562</v>
      </c>
      <c r="L74" s="46"/>
      <c r="M74" s="46"/>
      <c r="N74" s="46">
        <v>700</v>
      </c>
      <c r="O74" s="46">
        <v>13</v>
      </c>
      <c r="P74" s="47">
        <f t="shared" si="2"/>
        <v>35.714285714285715</v>
      </c>
      <c r="Q74" s="47" t="s">
        <v>616</v>
      </c>
      <c r="R74" s="80"/>
      <c r="S74" s="80"/>
    </row>
    <row r="75" spans="2:19" x14ac:dyDescent="0.25">
      <c r="B75" s="44" t="s">
        <v>334</v>
      </c>
      <c r="C75" s="44" t="s">
        <v>96</v>
      </c>
      <c r="D75" s="44" t="s">
        <v>348</v>
      </c>
      <c r="E75" s="44" t="s">
        <v>71</v>
      </c>
      <c r="F75" s="44" t="s">
        <v>131</v>
      </c>
      <c r="G75" s="45">
        <v>25000</v>
      </c>
      <c r="H75" s="45">
        <f t="shared" si="1"/>
        <v>3813.559322033896</v>
      </c>
      <c r="I75" s="45"/>
      <c r="J75" s="44" t="s">
        <v>18</v>
      </c>
      <c r="K75" s="46" t="s">
        <v>552</v>
      </c>
      <c r="L75" s="46"/>
      <c r="M75" s="46"/>
      <c r="N75" s="46">
        <v>650</v>
      </c>
      <c r="O75" s="46">
        <v>0</v>
      </c>
      <c r="P75" s="47">
        <f t="shared" si="2"/>
        <v>38.46153846153846</v>
      </c>
      <c r="Q75" s="47" t="s">
        <v>616</v>
      </c>
      <c r="R75" s="80"/>
      <c r="S75" s="80"/>
    </row>
    <row r="76" spans="2:19" x14ac:dyDescent="0.25">
      <c r="B76" s="44" t="s">
        <v>334</v>
      </c>
      <c r="C76" s="44" t="s">
        <v>96</v>
      </c>
      <c r="D76" s="44" t="s">
        <v>348</v>
      </c>
      <c r="E76" s="44" t="s">
        <v>71</v>
      </c>
      <c r="F76" s="44" t="s">
        <v>131</v>
      </c>
      <c r="G76" s="45">
        <v>90000</v>
      </c>
      <c r="H76" s="45">
        <f>G76-G76/1.18</f>
        <v>13728.813559322036</v>
      </c>
      <c r="I76" s="45"/>
      <c r="J76" s="44" t="s">
        <v>18</v>
      </c>
      <c r="K76" s="46" t="s">
        <v>551</v>
      </c>
      <c r="L76" s="46"/>
      <c r="M76" s="46"/>
      <c r="N76" s="46">
        <v>1150</v>
      </c>
      <c r="O76" s="46">
        <v>126</v>
      </c>
      <c r="P76" s="47">
        <f t="shared" si="2"/>
        <v>78.260869565217391</v>
      </c>
      <c r="Q76" s="47" t="s">
        <v>616</v>
      </c>
      <c r="R76" s="80"/>
      <c r="S76" s="80"/>
    </row>
    <row r="77" spans="2:19" x14ac:dyDescent="0.25">
      <c r="B77" s="44" t="s">
        <v>334</v>
      </c>
      <c r="C77" s="44" t="s">
        <v>96</v>
      </c>
      <c r="D77" s="44" t="s">
        <v>348</v>
      </c>
      <c r="E77" s="44" t="s">
        <v>71</v>
      </c>
      <c r="F77" s="44" t="s">
        <v>131</v>
      </c>
      <c r="G77" s="45">
        <v>32000</v>
      </c>
      <c r="H77" s="45">
        <f t="shared" si="1"/>
        <v>4881.3559322033871</v>
      </c>
      <c r="I77" s="45"/>
      <c r="J77" s="44" t="s">
        <v>18</v>
      </c>
      <c r="K77" s="46" t="s">
        <v>553</v>
      </c>
      <c r="L77" s="46"/>
      <c r="M77" s="46"/>
      <c r="N77" s="46">
        <v>750</v>
      </c>
      <c r="O77" s="46">
        <v>0</v>
      </c>
      <c r="P77" s="47">
        <f t="shared" si="2"/>
        <v>42.666666666666664</v>
      </c>
      <c r="Q77" s="47" t="s">
        <v>616</v>
      </c>
      <c r="R77" s="80"/>
      <c r="S77" s="80"/>
    </row>
    <row r="78" spans="2:19" x14ac:dyDescent="0.25">
      <c r="B78" s="44" t="s">
        <v>334</v>
      </c>
      <c r="C78" s="44" t="s">
        <v>96</v>
      </c>
      <c r="D78" s="44" t="s">
        <v>348</v>
      </c>
      <c r="E78" s="44" t="s">
        <v>71</v>
      </c>
      <c r="F78" s="44" t="s">
        <v>131</v>
      </c>
      <c r="G78" s="45">
        <v>60000</v>
      </c>
      <c r="H78" s="45">
        <f t="shared" si="1"/>
        <v>9152.5423728813548</v>
      </c>
      <c r="I78" s="45"/>
      <c r="J78" s="44" t="s">
        <v>18</v>
      </c>
      <c r="K78" s="46" t="s">
        <v>554</v>
      </c>
      <c r="L78" s="46"/>
      <c r="M78" s="46"/>
      <c r="N78" s="46">
        <v>700</v>
      </c>
      <c r="O78" s="46">
        <v>108</v>
      </c>
      <c r="P78" s="47">
        <f t="shared" si="2"/>
        <v>85.714285714285708</v>
      </c>
      <c r="Q78" s="47" t="s">
        <v>616</v>
      </c>
      <c r="R78" s="80"/>
      <c r="S78" s="80"/>
    </row>
    <row r="79" spans="2:19" x14ac:dyDescent="0.25">
      <c r="B79" s="44" t="s">
        <v>334</v>
      </c>
      <c r="C79" s="44" t="s">
        <v>96</v>
      </c>
      <c r="D79" s="44" t="s">
        <v>348</v>
      </c>
      <c r="E79" s="44" t="s">
        <v>71</v>
      </c>
      <c r="F79" s="44" t="s">
        <v>131</v>
      </c>
      <c r="G79" s="45">
        <v>18000</v>
      </c>
      <c r="H79" s="45">
        <f t="shared" si="1"/>
        <v>2745.7627118644068</v>
      </c>
      <c r="I79" s="45"/>
      <c r="J79" s="44" t="s">
        <v>18</v>
      </c>
      <c r="K79" s="46" t="s">
        <v>555</v>
      </c>
      <c r="L79" s="46"/>
      <c r="M79" s="46"/>
      <c r="N79" s="46">
        <v>190</v>
      </c>
      <c r="O79" s="46">
        <v>22</v>
      </c>
      <c r="P79" s="47">
        <f t="shared" si="2"/>
        <v>94.736842105263165</v>
      </c>
      <c r="Q79" s="47" t="s">
        <v>616</v>
      </c>
      <c r="R79" s="80"/>
      <c r="S79" s="80"/>
    </row>
    <row r="80" spans="2:19" x14ac:dyDescent="0.25">
      <c r="B80" s="44" t="s">
        <v>334</v>
      </c>
      <c r="C80" s="44" t="s">
        <v>96</v>
      </c>
      <c r="D80" s="44" t="s">
        <v>348</v>
      </c>
      <c r="E80" s="44" t="s">
        <v>71</v>
      </c>
      <c r="F80" s="44" t="s">
        <v>131</v>
      </c>
      <c r="G80" s="45">
        <v>12000</v>
      </c>
      <c r="H80" s="45">
        <f t="shared" si="1"/>
        <v>1830.5084745762706</v>
      </c>
      <c r="I80" s="45"/>
      <c r="J80" s="44" t="s">
        <v>18</v>
      </c>
      <c r="K80" s="46" t="s">
        <v>556</v>
      </c>
      <c r="L80" s="46"/>
      <c r="M80" s="46"/>
      <c r="N80" s="46">
        <v>210</v>
      </c>
      <c r="O80" s="46">
        <v>8</v>
      </c>
      <c r="P80" s="47">
        <f t="shared" si="2"/>
        <v>57.142857142857146</v>
      </c>
      <c r="Q80" s="47" t="s">
        <v>616</v>
      </c>
      <c r="R80" s="87"/>
      <c r="S80" s="87"/>
    </row>
    <row r="81" spans="2:19" x14ac:dyDescent="0.25">
      <c r="B81" s="44" t="s">
        <v>334</v>
      </c>
      <c r="C81" s="44" t="s">
        <v>96</v>
      </c>
      <c r="D81" s="44" t="s">
        <v>348</v>
      </c>
      <c r="E81" s="44" t="s">
        <v>71</v>
      </c>
      <c r="F81" s="44" t="s">
        <v>131</v>
      </c>
      <c r="G81" s="45">
        <v>20000</v>
      </c>
      <c r="H81" s="45">
        <f t="shared" si="1"/>
        <v>3050.8474576271183</v>
      </c>
      <c r="I81" s="45"/>
      <c r="J81" s="44" t="s">
        <v>18</v>
      </c>
      <c r="K81" s="74" t="s">
        <v>543</v>
      </c>
      <c r="L81" s="74"/>
      <c r="M81" s="74"/>
      <c r="N81" s="75">
        <v>60</v>
      </c>
      <c r="O81" s="46">
        <v>66</v>
      </c>
      <c r="P81" s="47">
        <f t="shared" si="2"/>
        <v>333.33333333333331</v>
      </c>
      <c r="Q81" s="47" t="s">
        <v>616</v>
      </c>
      <c r="R81" s="87"/>
      <c r="S81" s="87"/>
    </row>
    <row r="82" spans="2:19" x14ac:dyDescent="0.25">
      <c r="B82" s="44" t="s">
        <v>334</v>
      </c>
      <c r="C82" s="44" t="s">
        <v>96</v>
      </c>
      <c r="D82" s="44" t="s">
        <v>348</v>
      </c>
      <c r="E82" s="44" t="s">
        <v>71</v>
      </c>
      <c r="F82" s="44" t="s">
        <v>131</v>
      </c>
      <c r="G82" s="45">
        <v>10000</v>
      </c>
      <c r="H82" s="45">
        <f t="shared" si="1"/>
        <v>1525.4237288135591</v>
      </c>
      <c r="I82" s="45"/>
      <c r="J82" s="44" t="s">
        <v>18</v>
      </c>
      <c r="K82" s="46" t="s">
        <v>545</v>
      </c>
      <c r="L82" s="46"/>
      <c r="M82" s="46"/>
      <c r="N82" s="46">
        <v>0</v>
      </c>
      <c r="O82" s="46">
        <v>35</v>
      </c>
      <c r="P82" s="47" t="e">
        <f t="shared" si="2"/>
        <v>#DIV/0!</v>
      </c>
      <c r="Q82" s="47" t="s">
        <v>616</v>
      </c>
      <c r="R82" s="80"/>
      <c r="S82" s="80"/>
    </row>
    <row r="83" spans="2:19" x14ac:dyDescent="0.25">
      <c r="B83" s="44" t="s">
        <v>334</v>
      </c>
      <c r="C83" s="44" t="s">
        <v>96</v>
      </c>
      <c r="D83" s="44" t="s">
        <v>348</v>
      </c>
      <c r="E83" s="44" t="s">
        <v>71</v>
      </c>
      <c r="F83" s="44" t="s">
        <v>131</v>
      </c>
      <c r="G83" s="45">
        <v>20000</v>
      </c>
      <c r="H83" s="45">
        <f t="shared" si="1"/>
        <v>3050.8474576271183</v>
      </c>
      <c r="I83" s="45"/>
      <c r="J83" s="44" t="s">
        <v>18</v>
      </c>
      <c r="K83" s="46" t="s">
        <v>558</v>
      </c>
      <c r="L83" s="46"/>
      <c r="M83" s="46"/>
      <c r="N83" s="46">
        <v>350</v>
      </c>
      <c r="O83" s="46">
        <v>0</v>
      </c>
      <c r="P83" s="47">
        <f t="shared" si="2"/>
        <v>57.142857142857146</v>
      </c>
      <c r="Q83" s="47" t="s">
        <v>616</v>
      </c>
      <c r="R83" s="80"/>
      <c r="S83" s="80"/>
    </row>
    <row r="84" spans="2:19" x14ac:dyDescent="0.25">
      <c r="B84" s="44" t="s">
        <v>334</v>
      </c>
      <c r="C84" s="44" t="s">
        <v>96</v>
      </c>
      <c r="D84" s="44" t="s">
        <v>348</v>
      </c>
      <c r="E84" s="44" t="s">
        <v>71</v>
      </c>
      <c r="F84" s="44" t="s">
        <v>131</v>
      </c>
      <c r="G84" s="45">
        <v>35000</v>
      </c>
      <c r="H84" s="45">
        <f t="shared" si="1"/>
        <v>5338.9830508474552</v>
      </c>
      <c r="I84" s="45"/>
      <c r="J84" s="44" t="s">
        <v>18</v>
      </c>
      <c r="K84" s="46" t="s">
        <v>557</v>
      </c>
      <c r="L84" s="46"/>
      <c r="M84" s="46"/>
      <c r="N84" s="46">
        <v>720</v>
      </c>
      <c r="O84" s="46">
        <v>0</v>
      </c>
      <c r="P84" s="47">
        <f t="shared" si="2"/>
        <v>48.611111111111114</v>
      </c>
      <c r="Q84" s="47" t="s">
        <v>616</v>
      </c>
      <c r="R84" s="80"/>
      <c r="S84" s="80"/>
    </row>
    <row r="85" spans="2:19" x14ac:dyDescent="0.25">
      <c r="B85" s="44" t="s">
        <v>334</v>
      </c>
      <c r="C85" s="44" t="s">
        <v>96</v>
      </c>
      <c r="D85" s="44" t="s">
        <v>348</v>
      </c>
      <c r="E85" s="44" t="s">
        <v>71</v>
      </c>
      <c r="F85" s="44" t="s">
        <v>131</v>
      </c>
      <c r="G85" s="45">
        <v>8000</v>
      </c>
      <c r="H85" s="45">
        <f t="shared" si="1"/>
        <v>1220.3389830508468</v>
      </c>
      <c r="I85" s="45"/>
      <c r="J85" s="44" t="s">
        <v>18</v>
      </c>
      <c r="K85" s="46" t="s">
        <v>541</v>
      </c>
      <c r="L85" s="46"/>
      <c r="M85" s="46"/>
      <c r="N85" s="46">
        <v>0</v>
      </c>
      <c r="O85" s="46">
        <v>52</v>
      </c>
      <c r="P85" s="47" t="e">
        <f t="shared" si="2"/>
        <v>#DIV/0!</v>
      </c>
      <c r="Q85" s="47" t="s">
        <v>616</v>
      </c>
      <c r="R85" s="80"/>
      <c r="S85" s="80"/>
    </row>
    <row r="86" spans="2:19" x14ac:dyDescent="0.25">
      <c r="B86" s="44" t="s">
        <v>334</v>
      </c>
      <c r="C86" s="44" t="s">
        <v>96</v>
      </c>
      <c r="D86" s="44" t="s">
        <v>348</v>
      </c>
      <c r="E86" s="44" t="s">
        <v>71</v>
      </c>
      <c r="F86" s="44" t="s">
        <v>131</v>
      </c>
      <c r="G86" s="45">
        <v>35000</v>
      </c>
      <c r="H86" s="45">
        <f t="shared" si="1"/>
        <v>5338.9830508474552</v>
      </c>
      <c r="I86" s="45"/>
      <c r="J86" s="44" t="s">
        <v>18</v>
      </c>
      <c r="K86" s="49" t="s">
        <v>542</v>
      </c>
      <c r="L86" s="46"/>
      <c r="M86" s="46"/>
      <c r="N86" s="46">
        <v>650</v>
      </c>
      <c r="O86" s="46">
        <v>58</v>
      </c>
      <c r="P86" s="47">
        <f t="shared" si="2"/>
        <v>53.846153846153847</v>
      </c>
      <c r="Q86" s="82" t="s">
        <v>616</v>
      </c>
      <c r="R86" s="80"/>
      <c r="S86" s="80"/>
    </row>
    <row r="87" spans="2:19" x14ac:dyDescent="0.25">
      <c r="B87" s="44" t="s">
        <v>334</v>
      </c>
      <c r="C87" s="44" t="s">
        <v>96</v>
      </c>
      <c r="D87" s="44" t="s">
        <v>348</v>
      </c>
      <c r="E87" s="44" t="s">
        <v>71</v>
      </c>
      <c r="F87" s="44" t="s">
        <v>131</v>
      </c>
      <c r="G87" s="45">
        <v>18000</v>
      </c>
      <c r="H87" s="45">
        <f t="shared" si="1"/>
        <v>2745.7627118644068</v>
      </c>
      <c r="I87" s="45"/>
      <c r="J87" s="44" t="s">
        <v>18</v>
      </c>
      <c r="K87" s="49" t="s">
        <v>547</v>
      </c>
      <c r="L87" s="46"/>
      <c r="M87" s="46"/>
      <c r="N87" s="46">
        <v>200</v>
      </c>
      <c r="O87" s="46">
        <v>24</v>
      </c>
      <c r="P87" s="47">
        <f t="shared" si="2"/>
        <v>90</v>
      </c>
      <c r="Q87" s="47" t="s">
        <v>616</v>
      </c>
      <c r="R87" s="80"/>
      <c r="S87" s="80"/>
    </row>
    <row r="88" spans="2:19" x14ac:dyDescent="0.25">
      <c r="B88" s="44" t="s">
        <v>334</v>
      </c>
      <c r="C88" s="44" t="s">
        <v>96</v>
      </c>
      <c r="D88" s="44" t="s">
        <v>348</v>
      </c>
      <c r="E88" s="44" t="s">
        <v>71</v>
      </c>
      <c r="F88" s="44" t="s">
        <v>131</v>
      </c>
      <c r="G88" s="45">
        <v>40000</v>
      </c>
      <c r="H88" s="45">
        <f t="shared" si="1"/>
        <v>6101.6949152542365</v>
      </c>
      <c r="I88" s="45"/>
      <c r="J88" s="44" t="s">
        <v>18</v>
      </c>
      <c r="K88" s="49" t="s">
        <v>546</v>
      </c>
      <c r="L88" s="46"/>
      <c r="M88" s="46"/>
      <c r="N88" s="46">
        <v>100</v>
      </c>
      <c r="O88" s="46">
        <v>85</v>
      </c>
      <c r="P88" s="47">
        <f t="shared" si="2"/>
        <v>400</v>
      </c>
      <c r="Q88" t="s">
        <v>616</v>
      </c>
      <c r="R88" s="80"/>
      <c r="S88" s="80"/>
    </row>
    <row r="89" spans="2:19" x14ac:dyDescent="0.25">
      <c r="B89" s="44" t="s">
        <v>334</v>
      </c>
      <c r="C89" s="44" t="s">
        <v>96</v>
      </c>
      <c r="D89" s="44" t="s">
        <v>348</v>
      </c>
      <c r="E89" s="44" t="s">
        <v>71</v>
      </c>
      <c r="F89" s="44" t="s">
        <v>131</v>
      </c>
      <c r="G89" s="45">
        <v>35000</v>
      </c>
      <c r="H89" s="45">
        <f t="shared" ref="H89:H152" si="3">G89-G89/1.18</f>
        <v>5338.9830508474552</v>
      </c>
      <c r="I89" s="45"/>
      <c r="J89" s="44" t="s">
        <v>18</v>
      </c>
      <c r="K89" s="49" t="s">
        <v>518</v>
      </c>
      <c r="L89" s="46"/>
      <c r="M89" s="46"/>
      <c r="N89" s="46">
        <v>50</v>
      </c>
      <c r="O89" s="46">
        <v>0</v>
      </c>
      <c r="P89" s="47">
        <f t="shared" si="2"/>
        <v>700</v>
      </c>
      <c r="Q89" s="47" t="s">
        <v>616</v>
      </c>
      <c r="R89" s="80"/>
      <c r="S89" s="80"/>
    </row>
    <row r="90" spans="2:19" x14ac:dyDescent="0.25">
      <c r="B90" s="44" t="s">
        <v>334</v>
      </c>
      <c r="C90" s="44" t="s">
        <v>96</v>
      </c>
      <c r="D90" s="44" t="s">
        <v>348</v>
      </c>
      <c r="E90" s="44" t="s">
        <v>71</v>
      </c>
      <c r="F90" s="44" t="s">
        <v>131</v>
      </c>
      <c r="G90" s="45">
        <v>35000</v>
      </c>
      <c r="H90" s="45">
        <f t="shared" si="3"/>
        <v>5338.9830508474552</v>
      </c>
      <c r="I90" s="45"/>
      <c r="J90" s="44" t="s">
        <v>18</v>
      </c>
      <c r="K90" s="49" t="s">
        <v>519</v>
      </c>
      <c r="L90" s="46"/>
      <c r="M90" s="46"/>
      <c r="N90" s="46">
        <v>50</v>
      </c>
      <c r="O90" s="46">
        <v>0</v>
      </c>
      <c r="P90" s="47">
        <f t="shared" si="2"/>
        <v>700</v>
      </c>
      <c r="Q90" s="47" t="s">
        <v>616</v>
      </c>
      <c r="R90" s="80"/>
      <c r="S90" s="80"/>
    </row>
    <row r="91" spans="2:19" x14ac:dyDescent="0.25">
      <c r="B91" s="44" t="s">
        <v>334</v>
      </c>
      <c r="C91" s="44" t="s">
        <v>96</v>
      </c>
      <c r="D91" s="44" t="s">
        <v>348</v>
      </c>
      <c r="E91" s="44" t="s">
        <v>71</v>
      </c>
      <c r="F91" s="44" t="s">
        <v>131</v>
      </c>
      <c r="G91" s="45">
        <v>10000</v>
      </c>
      <c r="H91" s="45">
        <f t="shared" si="3"/>
        <v>1525.4237288135591</v>
      </c>
      <c r="I91" s="45"/>
      <c r="J91" s="44" t="s">
        <v>18</v>
      </c>
      <c r="K91" s="49" t="s">
        <v>559</v>
      </c>
      <c r="L91" s="46"/>
      <c r="M91" s="46"/>
      <c r="N91" s="46">
        <v>30</v>
      </c>
      <c r="O91" s="46">
        <v>0</v>
      </c>
      <c r="P91" s="47">
        <f t="shared" si="2"/>
        <v>333.33333333333331</v>
      </c>
      <c r="Q91" s="47" t="s">
        <v>616</v>
      </c>
      <c r="R91" s="80"/>
      <c r="S91" s="80"/>
    </row>
    <row r="92" spans="2:19" x14ac:dyDescent="0.25">
      <c r="B92" s="3" t="s">
        <v>212</v>
      </c>
      <c r="C92" s="2" t="s">
        <v>56</v>
      </c>
      <c r="D92" s="3" t="s">
        <v>534</v>
      </c>
      <c r="E92" s="3" t="s">
        <v>105</v>
      </c>
      <c r="F92" s="3" t="s">
        <v>131</v>
      </c>
      <c r="G92" s="6">
        <v>1000000</v>
      </c>
      <c r="H92" s="6">
        <f t="shared" si="3"/>
        <v>152542.37288135593</v>
      </c>
      <c r="I92" s="6"/>
      <c r="J92" s="3" t="s">
        <v>18</v>
      </c>
      <c r="P92"/>
      <c r="Q92"/>
      <c r="R92" s="80"/>
      <c r="S92" s="80"/>
    </row>
    <row r="93" spans="2:19" x14ac:dyDescent="0.25">
      <c r="B93" s="3" t="s">
        <v>214</v>
      </c>
      <c r="C93" s="2" t="s">
        <v>91</v>
      </c>
      <c r="D93" s="3" t="s">
        <v>533</v>
      </c>
      <c r="E93" s="3" t="s">
        <v>105</v>
      </c>
      <c r="F93" s="3" t="s">
        <v>131</v>
      </c>
      <c r="G93" s="6">
        <v>550000</v>
      </c>
      <c r="H93" s="6">
        <f t="shared" si="3"/>
        <v>83898.305084745749</v>
      </c>
      <c r="I93" s="6"/>
      <c r="J93" s="3" t="s">
        <v>18</v>
      </c>
      <c r="P93"/>
      <c r="Q93"/>
      <c r="R93" s="80"/>
      <c r="S93" s="80"/>
    </row>
    <row r="94" spans="2:19" x14ac:dyDescent="0.25">
      <c r="B94" s="3" t="s">
        <v>215</v>
      </c>
      <c r="C94" s="2" t="s">
        <v>91</v>
      </c>
      <c r="D94" s="3" t="s">
        <v>532</v>
      </c>
      <c r="E94" s="3" t="s">
        <v>105</v>
      </c>
      <c r="F94" s="3" t="s">
        <v>131</v>
      </c>
      <c r="G94" s="6">
        <v>550000</v>
      </c>
      <c r="H94" s="6">
        <f t="shared" si="3"/>
        <v>83898.305084745749</v>
      </c>
      <c r="I94" s="6"/>
      <c r="J94" s="3" t="s">
        <v>18</v>
      </c>
      <c r="P94"/>
      <c r="Q94"/>
      <c r="R94" s="80"/>
      <c r="S94" s="80"/>
    </row>
    <row r="95" spans="2:19" x14ac:dyDescent="0.25">
      <c r="B95" s="3" t="s">
        <v>216</v>
      </c>
      <c r="C95" s="2" t="s">
        <v>91</v>
      </c>
      <c r="D95" s="3" t="s">
        <v>531</v>
      </c>
      <c r="E95" s="3" t="s">
        <v>105</v>
      </c>
      <c r="F95" s="3" t="s">
        <v>131</v>
      </c>
      <c r="G95" s="6">
        <v>400000</v>
      </c>
      <c r="H95" s="6">
        <f t="shared" si="3"/>
        <v>61016.949152542336</v>
      </c>
      <c r="I95" s="6"/>
      <c r="J95" s="3" t="s">
        <v>18</v>
      </c>
      <c r="P95"/>
      <c r="Q95"/>
      <c r="R95" s="80"/>
      <c r="S95" s="80"/>
    </row>
    <row r="96" spans="2:19" x14ac:dyDescent="0.25">
      <c r="B96" s="3" t="s">
        <v>218</v>
      </c>
      <c r="C96" s="2" t="s">
        <v>91</v>
      </c>
      <c r="D96" s="3" t="s">
        <v>529</v>
      </c>
      <c r="E96" s="3" t="s">
        <v>105</v>
      </c>
      <c r="F96" s="3" t="s">
        <v>131</v>
      </c>
      <c r="G96" s="6">
        <v>330000</v>
      </c>
      <c r="H96" s="6">
        <f t="shared" si="3"/>
        <v>50338.983050847426</v>
      </c>
      <c r="I96" s="6"/>
      <c r="J96" s="3" t="s">
        <v>18</v>
      </c>
      <c r="P96"/>
      <c r="Q96"/>
      <c r="R96" s="80"/>
      <c r="S96" s="80"/>
    </row>
    <row r="97" spans="2:19" x14ac:dyDescent="0.25">
      <c r="B97" s="3" t="s">
        <v>217</v>
      </c>
      <c r="C97" s="2" t="s">
        <v>91</v>
      </c>
      <c r="D97" s="3" t="s">
        <v>530</v>
      </c>
      <c r="E97" s="3" t="s">
        <v>105</v>
      </c>
      <c r="F97" s="3" t="s">
        <v>131</v>
      </c>
      <c r="G97" s="6">
        <v>120000</v>
      </c>
      <c r="H97" s="6">
        <f t="shared" si="3"/>
        <v>18305.08474576271</v>
      </c>
      <c r="I97" s="6"/>
      <c r="J97" s="3" t="s">
        <v>18</v>
      </c>
      <c r="P97"/>
      <c r="Q97"/>
      <c r="R97" s="80"/>
      <c r="S97" s="80"/>
    </row>
    <row r="98" spans="2:19" x14ac:dyDescent="0.25">
      <c r="B98" s="3" t="s">
        <v>221</v>
      </c>
      <c r="C98" s="2" t="s">
        <v>93</v>
      </c>
      <c r="D98" s="3" t="s">
        <v>527</v>
      </c>
      <c r="E98" s="3" t="s">
        <v>105</v>
      </c>
      <c r="F98" s="3" t="s">
        <v>131</v>
      </c>
      <c r="G98" s="6">
        <v>1500000</v>
      </c>
      <c r="H98" s="6">
        <f t="shared" si="3"/>
        <v>228813.55932203378</v>
      </c>
      <c r="I98" s="6"/>
      <c r="J98" s="3" t="s">
        <v>18</v>
      </c>
      <c r="P98"/>
      <c r="Q98"/>
      <c r="R98" s="80"/>
      <c r="S98" s="80"/>
    </row>
    <row r="99" spans="2:19" x14ac:dyDescent="0.25">
      <c r="B99" s="3" t="s">
        <v>258</v>
      </c>
      <c r="C99" s="2" t="s">
        <v>94</v>
      </c>
      <c r="D99" s="3" t="s">
        <v>257</v>
      </c>
      <c r="E99" s="3" t="s">
        <v>90</v>
      </c>
      <c r="F99" s="3" t="s">
        <v>131</v>
      </c>
      <c r="G99" s="6">
        <v>542500</v>
      </c>
      <c r="H99" s="6">
        <f t="shared" si="3"/>
        <v>82754.23728813557</v>
      </c>
      <c r="I99" s="6"/>
      <c r="J99" s="3" t="s">
        <v>18</v>
      </c>
      <c r="P99"/>
      <c r="Q99"/>
      <c r="R99" s="80"/>
      <c r="S99" s="80"/>
    </row>
    <row r="100" spans="2:19" x14ac:dyDescent="0.25">
      <c r="B100" s="3" t="s">
        <v>474</v>
      </c>
      <c r="C100" s="2" t="s">
        <v>94</v>
      </c>
      <c r="D100" s="3" t="s">
        <v>472</v>
      </c>
      <c r="E100" s="3" t="s">
        <v>141</v>
      </c>
      <c r="F100" s="3" t="s">
        <v>131</v>
      </c>
      <c r="G100" s="6">
        <v>367500</v>
      </c>
      <c r="H100" s="6">
        <f t="shared" si="3"/>
        <v>56059.322033898265</v>
      </c>
      <c r="I100" s="6"/>
      <c r="J100" s="3" t="s">
        <v>18</v>
      </c>
      <c r="P100"/>
      <c r="Q100"/>
      <c r="R100" s="80"/>
      <c r="S100" s="80"/>
    </row>
    <row r="101" spans="2:19" x14ac:dyDescent="0.25">
      <c r="B101" s="3" t="s">
        <v>429</v>
      </c>
      <c r="C101" s="2" t="s">
        <v>92</v>
      </c>
      <c r="D101" s="3" t="s">
        <v>453</v>
      </c>
      <c r="E101" s="3" t="s">
        <v>87</v>
      </c>
      <c r="F101" s="3" t="s">
        <v>131</v>
      </c>
      <c r="G101" s="6">
        <v>100000</v>
      </c>
      <c r="H101" s="6">
        <f t="shared" si="3"/>
        <v>15254.237288135584</v>
      </c>
      <c r="I101" s="6"/>
      <c r="J101" s="3" t="s">
        <v>18</v>
      </c>
      <c r="P101"/>
      <c r="Q101"/>
      <c r="R101" s="80"/>
      <c r="S101" s="80"/>
    </row>
    <row r="102" spans="2:19" x14ac:dyDescent="0.25">
      <c r="B102" s="3" t="s">
        <v>428</v>
      </c>
      <c r="C102" s="2" t="s">
        <v>92</v>
      </c>
      <c r="D102" s="3" t="s">
        <v>451</v>
      </c>
      <c r="E102" s="3" t="s">
        <v>87</v>
      </c>
      <c r="F102" s="3" t="s">
        <v>131</v>
      </c>
      <c r="G102" s="6">
        <v>700000</v>
      </c>
      <c r="H102" s="6">
        <f t="shared" si="3"/>
        <v>106779.6610169491</v>
      </c>
      <c r="I102" s="6"/>
      <c r="J102" s="3" t="s">
        <v>18</v>
      </c>
      <c r="K102" s="18"/>
      <c r="P102"/>
      <c r="Q102"/>
      <c r="R102" s="80"/>
      <c r="S102" s="80"/>
    </row>
    <row r="103" spans="2:19" x14ac:dyDescent="0.25">
      <c r="B103" s="3" t="s">
        <v>266</v>
      </c>
      <c r="C103" s="2" t="s">
        <v>94</v>
      </c>
      <c r="D103" s="3" t="s">
        <v>276</v>
      </c>
      <c r="E103" s="3" t="s">
        <v>90</v>
      </c>
      <c r="F103" s="3" t="s">
        <v>131</v>
      </c>
      <c r="G103" s="6">
        <v>378000</v>
      </c>
      <c r="H103" s="6">
        <f t="shared" si="3"/>
        <v>57661.016949152516</v>
      </c>
      <c r="I103" s="6"/>
      <c r="J103" s="3" t="s">
        <v>18</v>
      </c>
      <c r="P103"/>
      <c r="Q103"/>
      <c r="R103" s="80"/>
      <c r="S103" s="80"/>
    </row>
    <row r="104" spans="2:19" x14ac:dyDescent="0.25">
      <c r="B104" s="3" t="s">
        <v>222</v>
      </c>
      <c r="C104" s="2" t="s">
        <v>40</v>
      </c>
      <c r="D104" s="3" t="s">
        <v>224</v>
      </c>
      <c r="E104" s="3" t="s">
        <v>90</v>
      </c>
      <c r="F104" s="3" t="s">
        <v>131</v>
      </c>
      <c r="G104" s="6">
        <v>720000</v>
      </c>
      <c r="H104" s="6">
        <f t="shared" si="3"/>
        <v>109830.50847457629</v>
      </c>
      <c r="I104" s="6"/>
      <c r="J104" s="3" t="s">
        <v>113</v>
      </c>
      <c r="P104"/>
      <c r="Q104"/>
      <c r="R104" s="80"/>
      <c r="S104" s="80"/>
    </row>
    <row r="105" spans="2:19" x14ac:dyDescent="0.25">
      <c r="B105" s="3" t="s">
        <v>333</v>
      </c>
      <c r="C105" s="2" t="s">
        <v>50</v>
      </c>
      <c r="D105" s="3" t="s">
        <v>340</v>
      </c>
      <c r="E105" s="3" t="s">
        <v>71</v>
      </c>
      <c r="F105" s="3" t="s">
        <v>131</v>
      </c>
      <c r="G105" s="6">
        <v>15000</v>
      </c>
      <c r="H105" s="6">
        <f t="shared" si="3"/>
        <v>2288.1355932203387</v>
      </c>
      <c r="I105" s="6"/>
      <c r="J105" s="3" t="s">
        <v>18</v>
      </c>
      <c r="P105"/>
      <c r="Q105"/>
      <c r="R105" s="80"/>
      <c r="S105" s="80"/>
    </row>
    <row r="106" spans="2:19" x14ac:dyDescent="0.25">
      <c r="B106" s="3" t="s">
        <v>488</v>
      </c>
      <c r="C106" s="3" t="s">
        <v>96</v>
      </c>
      <c r="D106" s="3" t="s">
        <v>485</v>
      </c>
      <c r="E106" s="3" t="s">
        <v>71</v>
      </c>
      <c r="F106" s="3" t="s">
        <v>131</v>
      </c>
      <c r="G106" s="6">
        <v>70000</v>
      </c>
      <c r="H106" s="6">
        <f t="shared" si="3"/>
        <v>10677.96610169491</v>
      </c>
      <c r="I106" s="6"/>
      <c r="J106" s="3" t="s">
        <v>18</v>
      </c>
      <c r="P106"/>
      <c r="Q106"/>
      <c r="R106" s="80"/>
      <c r="S106" s="80"/>
    </row>
    <row r="107" spans="2:19" x14ac:dyDescent="0.25">
      <c r="B107" s="3" t="s">
        <v>334</v>
      </c>
      <c r="C107" s="2" t="s">
        <v>96</v>
      </c>
      <c r="D107" s="3" t="s">
        <v>348</v>
      </c>
      <c r="E107" s="3" t="s">
        <v>71</v>
      </c>
      <c r="F107" s="3" t="s">
        <v>129</v>
      </c>
      <c r="G107" s="6">
        <v>54000</v>
      </c>
      <c r="H107" s="6">
        <f t="shared" si="3"/>
        <v>8237.2881355932186</v>
      </c>
      <c r="I107" s="6">
        <f>G107-H107</f>
        <v>45762.711864406781</v>
      </c>
      <c r="J107" s="3" t="s">
        <v>18</v>
      </c>
      <c r="K107" t="s">
        <v>535</v>
      </c>
      <c r="N107">
        <v>1600</v>
      </c>
      <c r="O107">
        <v>73</v>
      </c>
      <c r="P107" s="31">
        <f t="shared" ref="P107:P113" si="4">G107/N107</f>
        <v>33.75</v>
      </c>
      <c r="Q107" s="31" t="s">
        <v>616</v>
      </c>
      <c r="R107" s="80"/>
      <c r="S107" s="80"/>
    </row>
    <row r="108" spans="2:19" x14ac:dyDescent="0.25">
      <c r="B108" s="3" t="s">
        <v>334</v>
      </c>
      <c r="C108" s="2" t="s">
        <v>96</v>
      </c>
      <c r="D108" s="3" t="s">
        <v>348</v>
      </c>
      <c r="E108" s="3" t="s">
        <v>71</v>
      </c>
      <c r="F108" s="3" t="s">
        <v>129</v>
      </c>
      <c r="G108" s="6">
        <v>47700</v>
      </c>
      <c r="H108" s="6">
        <f t="shared" si="3"/>
        <v>7276.2711864406738</v>
      </c>
      <c r="I108" s="6">
        <f>G108-H108</f>
        <v>40423.728813559326</v>
      </c>
      <c r="J108" s="3" t="s">
        <v>18</v>
      </c>
      <c r="K108" t="s">
        <v>536</v>
      </c>
      <c r="N108">
        <v>1400</v>
      </c>
      <c r="O108">
        <v>65</v>
      </c>
      <c r="P108" s="31">
        <f t="shared" si="4"/>
        <v>34.071428571428569</v>
      </c>
      <c r="Q108" s="31" t="s">
        <v>616</v>
      </c>
      <c r="R108" s="80"/>
      <c r="S108" s="80"/>
    </row>
    <row r="109" spans="2:19" x14ac:dyDescent="0.25">
      <c r="B109" s="3" t="s">
        <v>334</v>
      </c>
      <c r="C109" s="2" t="s">
        <v>96</v>
      </c>
      <c r="D109" s="3" t="s">
        <v>348</v>
      </c>
      <c r="E109" s="3" t="s">
        <v>71</v>
      </c>
      <c r="F109" s="3" t="s">
        <v>129</v>
      </c>
      <c r="G109" s="6">
        <v>49300</v>
      </c>
      <c r="H109" s="6">
        <f t="shared" si="3"/>
        <v>7520.3389830508459</v>
      </c>
      <c r="I109" s="6">
        <f>G109-H109</f>
        <v>41779.661016949154</v>
      </c>
      <c r="J109" s="3" t="s">
        <v>18</v>
      </c>
      <c r="K109" s="18" t="s">
        <v>537</v>
      </c>
      <c r="N109">
        <v>1400</v>
      </c>
      <c r="O109">
        <v>82</v>
      </c>
      <c r="P109" s="31">
        <f t="shared" si="4"/>
        <v>35.214285714285715</v>
      </c>
      <c r="Q109" s="31" t="s">
        <v>616</v>
      </c>
      <c r="R109" s="87"/>
      <c r="S109" s="87"/>
    </row>
    <row r="110" spans="2:19" x14ac:dyDescent="0.25">
      <c r="B110" s="3" t="s">
        <v>334</v>
      </c>
      <c r="C110" s="2" t="s">
        <v>96</v>
      </c>
      <c r="D110" s="3" t="s">
        <v>348</v>
      </c>
      <c r="E110" s="3" t="s">
        <v>71</v>
      </c>
      <c r="F110" s="3" t="s">
        <v>129</v>
      </c>
      <c r="G110" s="6">
        <v>31400</v>
      </c>
      <c r="H110" s="6">
        <f t="shared" si="3"/>
        <v>4789.8305084745734</v>
      </c>
      <c r="I110" s="6">
        <f>G110-H110</f>
        <v>26610.169491525427</v>
      </c>
      <c r="J110" s="3" t="s">
        <v>18</v>
      </c>
      <c r="K110" t="s">
        <v>538</v>
      </c>
      <c r="N110">
        <v>900</v>
      </c>
      <c r="O110">
        <v>45</v>
      </c>
      <c r="P110" s="31">
        <f t="shared" si="4"/>
        <v>34.888888888888886</v>
      </c>
      <c r="Q110" s="31" t="s">
        <v>616</v>
      </c>
      <c r="R110" s="80"/>
      <c r="S110" s="80"/>
    </row>
    <row r="111" spans="2:19" x14ac:dyDescent="0.25">
      <c r="B111" s="33" t="s">
        <v>334</v>
      </c>
      <c r="C111" s="33" t="s">
        <v>96</v>
      </c>
      <c r="D111" s="33" t="s">
        <v>348</v>
      </c>
      <c r="E111" s="33" t="s">
        <v>71</v>
      </c>
      <c r="F111" s="33" t="s">
        <v>129</v>
      </c>
      <c r="G111" s="34">
        <v>16200</v>
      </c>
      <c r="H111" s="34">
        <f t="shared" si="3"/>
        <v>2471.1864406779659</v>
      </c>
      <c r="I111" s="34">
        <f>G111-H111</f>
        <v>13728.813559322034</v>
      </c>
      <c r="J111" s="33" t="s">
        <v>18</v>
      </c>
      <c r="K111" s="35" t="s">
        <v>538</v>
      </c>
      <c r="L111" s="35"/>
      <c r="M111" s="35"/>
      <c r="N111" s="35">
        <v>410</v>
      </c>
      <c r="O111" s="35">
        <v>36</v>
      </c>
      <c r="P111" s="36">
        <f t="shared" si="4"/>
        <v>39.512195121951223</v>
      </c>
      <c r="Q111" s="35" t="s">
        <v>616</v>
      </c>
      <c r="R111" s="80"/>
      <c r="S111" s="80"/>
    </row>
    <row r="112" spans="2:19" x14ac:dyDescent="0.25">
      <c r="B112" s="3" t="s">
        <v>334</v>
      </c>
      <c r="C112" s="2" t="s">
        <v>96</v>
      </c>
      <c r="D112" s="3" t="s">
        <v>348</v>
      </c>
      <c r="E112" s="3" t="s">
        <v>71</v>
      </c>
      <c r="F112" s="3" t="s">
        <v>129</v>
      </c>
      <c r="G112" s="6">
        <v>75000</v>
      </c>
      <c r="H112" s="6">
        <f t="shared" si="3"/>
        <v>11440.677966101692</v>
      </c>
      <c r="I112" s="6"/>
      <c r="J112" s="3" t="s">
        <v>18</v>
      </c>
      <c r="K112" s="19" t="s">
        <v>539</v>
      </c>
      <c r="L112" s="19"/>
      <c r="M112" s="19"/>
      <c r="N112">
        <v>1440</v>
      </c>
      <c r="O112">
        <v>92</v>
      </c>
      <c r="P112" s="31">
        <f t="shared" si="4"/>
        <v>52.083333333333336</v>
      </c>
      <c r="Q112" s="31" t="s">
        <v>616</v>
      </c>
      <c r="R112" s="80"/>
      <c r="S112" s="80"/>
    </row>
    <row r="113" spans="2:19" x14ac:dyDescent="0.25">
      <c r="B113" s="3" t="s">
        <v>334</v>
      </c>
      <c r="C113" s="2" t="s">
        <v>96</v>
      </c>
      <c r="D113" s="3" t="s">
        <v>348</v>
      </c>
      <c r="E113" s="3" t="s">
        <v>71</v>
      </c>
      <c r="F113" s="3" t="s">
        <v>129</v>
      </c>
      <c r="G113" s="6">
        <v>58000</v>
      </c>
      <c r="H113" s="6">
        <f t="shared" si="3"/>
        <v>8847.4576271186379</v>
      </c>
      <c r="I113" s="6"/>
      <c r="J113" s="3" t="s">
        <v>18</v>
      </c>
      <c r="K113" t="s">
        <v>540</v>
      </c>
      <c r="N113">
        <v>1260</v>
      </c>
      <c r="O113">
        <v>48</v>
      </c>
      <c r="P113" s="31">
        <f t="shared" si="4"/>
        <v>46.031746031746032</v>
      </c>
      <c r="Q113" s="31" t="s">
        <v>616</v>
      </c>
      <c r="R113" s="80"/>
      <c r="S113" s="80"/>
    </row>
    <row r="114" spans="2:19" x14ac:dyDescent="0.25">
      <c r="B114" s="3" t="s">
        <v>219</v>
      </c>
      <c r="C114" s="2" t="s">
        <v>99</v>
      </c>
      <c r="D114" s="3" t="s">
        <v>251</v>
      </c>
      <c r="E114" s="3" t="s">
        <v>105</v>
      </c>
      <c r="F114" s="3" t="s">
        <v>129</v>
      </c>
      <c r="G114" s="6">
        <v>166596.97</v>
      </c>
      <c r="H114" s="6">
        <f t="shared" si="3"/>
        <v>25413.097118644073</v>
      </c>
      <c r="I114" s="6"/>
      <c r="J114" s="3" t="s">
        <v>113</v>
      </c>
      <c r="K114" t="s">
        <v>528</v>
      </c>
      <c r="P114"/>
      <c r="Q114"/>
      <c r="R114" s="80"/>
      <c r="S114" s="80"/>
    </row>
    <row r="115" spans="2:19" x14ac:dyDescent="0.25">
      <c r="B115" s="3" t="s">
        <v>334</v>
      </c>
      <c r="C115" s="2" t="s">
        <v>96</v>
      </c>
      <c r="D115" s="3" t="s">
        <v>348</v>
      </c>
      <c r="E115" s="3" t="s">
        <v>71</v>
      </c>
      <c r="F115" s="3" t="s">
        <v>129</v>
      </c>
      <c r="G115" s="86">
        <v>8600</v>
      </c>
      <c r="H115" s="6">
        <f t="shared" si="3"/>
        <v>1311.8644067796604</v>
      </c>
      <c r="I115" s="6"/>
      <c r="J115" s="3" t="s">
        <v>18</v>
      </c>
      <c r="K115" s="48" t="s">
        <v>508</v>
      </c>
      <c r="L115" s="48"/>
      <c r="M115" s="48"/>
      <c r="N115">
        <v>160</v>
      </c>
      <c r="O115" s="85">
        <v>3</v>
      </c>
      <c r="P115" s="31">
        <f t="shared" ref="P115:P126" si="5">G115/N115</f>
        <v>53.75</v>
      </c>
      <c r="Q115" s="31" t="s">
        <v>616</v>
      </c>
      <c r="R115" s="80"/>
      <c r="S115" s="80"/>
    </row>
    <row r="116" spans="2:19" x14ac:dyDescent="0.25">
      <c r="B116" s="33" t="s">
        <v>334</v>
      </c>
      <c r="C116" s="33" t="s">
        <v>96</v>
      </c>
      <c r="D116" s="33" t="s">
        <v>348</v>
      </c>
      <c r="E116" s="33" t="s">
        <v>71</v>
      </c>
      <c r="F116" s="33" t="s">
        <v>129</v>
      </c>
      <c r="G116" s="86">
        <v>4300</v>
      </c>
      <c r="H116" s="34">
        <f t="shared" si="3"/>
        <v>655.93220338983019</v>
      </c>
      <c r="I116" s="34"/>
      <c r="J116" s="33" t="s">
        <v>18</v>
      </c>
      <c r="K116" s="35" t="s">
        <v>508</v>
      </c>
      <c r="L116" s="35"/>
      <c r="M116" s="35"/>
      <c r="N116" s="35">
        <v>80</v>
      </c>
      <c r="O116" s="85">
        <v>10</v>
      </c>
      <c r="P116" s="36">
        <f t="shared" si="5"/>
        <v>53.75</v>
      </c>
      <c r="Q116" s="36" t="s">
        <v>616</v>
      </c>
      <c r="R116" s="80"/>
      <c r="S116" s="80"/>
    </row>
    <row r="117" spans="2:19" x14ac:dyDescent="0.25">
      <c r="B117" s="33" t="s">
        <v>334</v>
      </c>
      <c r="C117" s="33" t="s">
        <v>96</v>
      </c>
      <c r="D117" s="33" t="s">
        <v>348</v>
      </c>
      <c r="E117" s="33" t="s">
        <v>71</v>
      </c>
      <c r="F117" s="33" t="s">
        <v>129</v>
      </c>
      <c r="G117" s="38">
        <v>6400</v>
      </c>
      <c r="H117" s="38">
        <f t="shared" si="3"/>
        <v>976.27118644067741</v>
      </c>
      <c r="I117" s="38"/>
      <c r="J117" s="33" t="s">
        <v>18</v>
      </c>
      <c r="K117" s="37" t="s">
        <v>514</v>
      </c>
      <c r="L117" s="37"/>
      <c r="M117" s="37"/>
      <c r="N117" s="42">
        <v>90</v>
      </c>
      <c r="O117" s="42">
        <v>16</v>
      </c>
      <c r="P117" s="43">
        <f t="shared" si="5"/>
        <v>71.111111111111114</v>
      </c>
      <c r="Q117" s="43" t="s">
        <v>616</v>
      </c>
      <c r="R117" s="80"/>
      <c r="S117" s="80"/>
    </row>
    <row r="118" spans="2:19" x14ac:dyDescent="0.25">
      <c r="B118" s="3" t="s">
        <v>334</v>
      </c>
      <c r="C118" s="2" t="s">
        <v>96</v>
      </c>
      <c r="D118" s="3" t="s">
        <v>348</v>
      </c>
      <c r="E118" s="3" t="s">
        <v>71</v>
      </c>
      <c r="F118" s="3" t="s">
        <v>129</v>
      </c>
      <c r="G118" s="6">
        <v>35900</v>
      </c>
      <c r="H118" s="6">
        <f t="shared" si="3"/>
        <v>5476.2711864406774</v>
      </c>
      <c r="I118" s="6"/>
      <c r="J118" s="3" t="s">
        <v>18</v>
      </c>
      <c r="K118" t="s">
        <v>543</v>
      </c>
      <c r="N118">
        <v>630</v>
      </c>
      <c r="O118">
        <v>0</v>
      </c>
      <c r="P118" s="31">
        <f t="shared" si="5"/>
        <v>56.984126984126981</v>
      </c>
      <c r="Q118" s="31" t="s">
        <v>616</v>
      </c>
      <c r="R118" s="80"/>
      <c r="S118" s="80"/>
    </row>
    <row r="119" spans="2:19" x14ac:dyDescent="0.25">
      <c r="B119" s="40" t="s">
        <v>334</v>
      </c>
      <c r="C119" s="41" t="s">
        <v>96</v>
      </c>
      <c r="D119" s="40" t="s">
        <v>348</v>
      </c>
      <c r="E119" s="40" t="s">
        <v>71</v>
      </c>
      <c r="F119" s="40" t="s">
        <v>129</v>
      </c>
      <c r="G119" s="38">
        <v>5800</v>
      </c>
      <c r="H119" s="38">
        <f t="shared" si="3"/>
        <v>884.74576271186379</v>
      </c>
      <c r="I119" s="38"/>
      <c r="J119" s="40" t="s">
        <v>18</v>
      </c>
      <c r="K119" s="39" t="s">
        <v>515</v>
      </c>
      <c r="L119" s="39"/>
      <c r="M119" s="39"/>
      <c r="N119" s="42">
        <v>0</v>
      </c>
      <c r="O119" s="42">
        <v>29</v>
      </c>
      <c r="P119" s="43" t="e">
        <f t="shared" si="5"/>
        <v>#DIV/0!</v>
      </c>
      <c r="Q119" s="43" t="s">
        <v>616</v>
      </c>
      <c r="R119" s="80"/>
      <c r="S119" s="80"/>
    </row>
    <row r="120" spans="2:19" x14ac:dyDescent="0.25">
      <c r="B120" s="3" t="s">
        <v>334</v>
      </c>
      <c r="C120" s="2" t="s">
        <v>96</v>
      </c>
      <c r="D120" s="3" t="s">
        <v>348</v>
      </c>
      <c r="E120" s="3" t="s">
        <v>71</v>
      </c>
      <c r="F120" s="3" t="s">
        <v>129</v>
      </c>
      <c r="G120" s="6">
        <v>43300</v>
      </c>
      <c r="H120" s="6">
        <f t="shared" si="3"/>
        <v>6605.0847457627096</v>
      </c>
      <c r="I120" s="6"/>
      <c r="J120" s="3" t="s">
        <v>18</v>
      </c>
      <c r="K120" t="s">
        <v>544</v>
      </c>
      <c r="N120">
        <v>380</v>
      </c>
      <c r="O120">
        <v>66</v>
      </c>
      <c r="P120" s="31">
        <f t="shared" si="5"/>
        <v>113.94736842105263</v>
      </c>
      <c r="Q120" s="31" t="s">
        <v>616</v>
      </c>
      <c r="R120" s="80"/>
      <c r="S120" s="80"/>
    </row>
    <row r="121" spans="2:19" x14ac:dyDescent="0.25">
      <c r="B121" s="3" t="s">
        <v>334</v>
      </c>
      <c r="C121" s="2" t="s">
        <v>96</v>
      </c>
      <c r="D121" s="3" t="s">
        <v>348</v>
      </c>
      <c r="E121" s="3" t="s">
        <v>71</v>
      </c>
      <c r="F121" s="3" t="s">
        <v>129</v>
      </c>
      <c r="G121" s="6">
        <v>29800</v>
      </c>
      <c r="H121" s="6">
        <f t="shared" si="3"/>
        <v>4545.762711864405</v>
      </c>
      <c r="I121" s="6"/>
      <c r="J121" s="3" t="s">
        <v>18</v>
      </c>
      <c r="K121" t="s">
        <v>545</v>
      </c>
      <c r="N121">
        <v>380</v>
      </c>
      <c r="O121">
        <v>8</v>
      </c>
      <c r="P121" s="31">
        <f t="shared" si="5"/>
        <v>78.421052631578945</v>
      </c>
      <c r="Q121" s="31" t="s">
        <v>616</v>
      </c>
      <c r="R121" s="80"/>
      <c r="S121" s="80"/>
    </row>
    <row r="122" spans="2:19" x14ac:dyDescent="0.25">
      <c r="B122" s="3" t="s">
        <v>334</v>
      </c>
      <c r="C122" s="2" t="s">
        <v>96</v>
      </c>
      <c r="D122" s="3" t="s">
        <v>348</v>
      </c>
      <c r="E122" s="3" t="s">
        <v>71</v>
      </c>
      <c r="F122" s="3" t="s">
        <v>129</v>
      </c>
      <c r="G122" s="6">
        <v>82600</v>
      </c>
      <c r="H122" s="6">
        <f t="shared" si="3"/>
        <v>12600</v>
      </c>
      <c r="I122" s="6"/>
      <c r="J122" s="3" t="s">
        <v>18</v>
      </c>
      <c r="K122" t="s">
        <v>541</v>
      </c>
      <c r="N122">
        <v>1800</v>
      </c>
      <c r="O122">
        <v>60</v>
      </c>
      <c r="P122" s="31">
        <f t="shared" si="5"/>
        <v>45.888888888888886</v>
      </c>
      <c r="Q122" s="31" t="s">
        <v>616</v>
      </c>
      <c r="R122" s="87"/>
      <c r="S122" s="87"/>
    </row>
    <row r="123" spans="2:19" x14ac:dyDescent="0.25">
      <c r="B123" s="3" t="s">
        <v>334</v>
      </c>
      <c r="C123" s="2" t="s">
        <v>96</v>
      </c>
      <c r="D123" s="3" t="s">
        <v>348</v>
      </c>
      <c r="E123" s="3" t="s">
        <v>71</v>
      </c>
      <c r="F123" s="3" t="s">
        <v>129</v>
      </c>
      <c r="G123" s="6">
        <v>18000</v>
      </c>
      <c r="H123" s="6">
        <f t="shared" si="3"/>
        <v>2745.7627118644068</v>
      </c>
      <c r="I123" s="6"/>
      <c r="J123" s="3" t="s">
        <v>18</v>
      </c>
      <c r="K123" t="s">
        <v>542</v>
      </c>
      <c r="N123">
        <v>500</v>
      </c>
      <c r="O123">
        <v>1</v>
      </c>
      <c r="P123" s="31">
        <f t="shared" si="5"/>
        <v>36</v>
      </c>
      <c r="Q123" s="81" t="s">
        <v>616</v>
      </c>
      <c r="R123" s="80"/>
      <c r="S123" s="80"/>
    </row>
    <row r="124" spans="2:19" x14ac:dyDescent="0.25">
      <c r="B124" s="3" t="s">
        <v>334</v>
      </c>
      <c r="C124" s="2" t="s">
        <v>96</v>
      </c>
      <c r="D124" s="3" t="s">
        <v>348</v>
      </c>
      <c r="E124" s="3" t="s">
        <v>71</v>
      </c>
      <c r="F124" s="3" t="s">
        <v>129</v>
      </c>
      <c r="G124" s="6">
        <v>43200</v>
      </c>
      <c r="H124" s="6">
        <f t="shared" si="3"/>
        <v>6589.8305084745734</v>
      </c>
      <c r="I124" s="6"/>
      <c r="J124" s="3" t="s">
        <v>18</v>
      </c>
      <c r="K124" t="s">
        <v>547</v>
      </c>
      <c r="N124">
        <v>1200</v>
      </c>
      <c r="O124">
        <v>0</v>
      </c>
      <c r="P124" s="31">
        <f t="shared" si="5"/>
        <v>36</v>
      </c>
      <c r="Q124" s="31" t="s">
        <v>616</v>
      </c>
      <c r="R124" s="80"/>
      <c r="S124" s="80"/>
    </row>
    <row r="125" spans="2:19" x14ac:dyDescent="0.25">
      <c r="B125" s="3" t="s">
        <v>334</v>
      </c>
      <c r="C125" s="2" t="s">
        <v>96</v>
      </c>
      <c r="D125" s="3" t="s">
        <v>348</v>
      </c>
      <c r="E125" s="3" t="s">
        <v>71</v>
      </c>
      <c r="F125" s="3" t="s">
        <v>129</v>
      </c>
      <c r="G125" s="6">
        <v>50400</v>
      </c>
      <c r="H125" s="6">
        <f t="shared" si="3"/>
        <v>7688.1355932203369</v>
      </c>
      <c r="I125" s="6"/>
      <c r="J125" s="3" t="s">
        <v>18</v>
      </c>
      <c r="K125" t="s">
        <v>546</v>
      </c>
      <c r="N125">
        <v>1400</v>
      </c>
      <c r="O125">
        <v>0</v>
      </c>
      <c r="P125" s="31">
        <f t="shared" si="5"/>
        <v>36</v>
      </c>
      <c r="Q125" t="s">
        <v>616</v>
      </c>
      <c r="R125" s="80"/>
      <c r="S125" s="80"/>
    </row>
    <row r="126" spans="2:19" x14ac:dyDescent="0.25">
      <c r="B126" s="27" t="s">
        <v>300</v>
      </c>
      <c r="C126" s="28" t="s">
        <v>95</v>
      </c>
      <c r="D126" s="27" t="s">
        <v>318</v>
      </c>
      <c r="E126" s="27" t="s">
        <v>90</v>
      </c>
      <c r="F126" s="27" t="s">
        <v>129</v>
      </c>
      <c r="G126" s="24">
        <v>1863</v>
      </c>
      <c r="H126" s="29">
        <f t="shared" si="3"/>
        <v>284.18644067796595</v>
      </c>
      <c r="I126" s="29"/>
      <c r="J126" s="27" t="s">
        <v>18</v>
      </c>
      <c r="O126">
        <v>23</v>
      </c>
      <c r="P126" s="19" t="e">
        <f t="shared" si="5"/>
        <v>#DIV/0!</v>
      </c>
      <c r="Q126" s="19">
        <f t="shared" ref="Q126" si="6">G126/O126</f>
        <v>81</v>
      </c>
      <c r="R126" s="80"/>
      <c r="S126" s="80"/>
    </row>
    <row r="127" spans="2:19" x14ac:dyDescent="0.25">
      <c r="B127" s="27" t="s">
        <v>258</v>
      </c>
      <c r="C127" s="28" t="s">
        <v>94</v>
      </c>
      <c r="D127" s="27" t="s">
        <v>257</v>
      </c>
      <c r="E127" s="27" t="s">
        <v>90</v>
      </c>
      <c r="F127" s="27" t="s">
        <v>129</v>
      </c>
      <c r="G127" s="29">
        <v>1128400</v>
      </c>
      <c r="H127" s="29">
        <f t="shared" si="3"/>
        <v>172128.81355932204</v>
      </c>
      <c r="I127" s="29"/>
      <c r="J127" s="27" t="s">
        <v>18</v>
      </c>
      <c r="P127"/>
      <c r="Q127"/>
      <c r="R127" s="80"/>
      <c r="S127" s="80"/>
    </row>
    <row r="128" spans="2:19" x14ac:dyDescent="0.25">
      <c r="B128" s="3" t="s">
        <v>411</v>
      </c>
      <c r="C128" s="2" t="s">
        <v>57</v>
      </c>
      <c r="D128" s="3" t="s">
        <v>507</v>
      </c>
      <c r="E128" s="3" t="s">
        <v>87</v>
      </c>
      <c r="F128" s="3" t="s">
        <v>129</v>
      </c>
      <c r="G128" s="6">
        <v>1350000</v>
      </c>
      <c r="H128" s="6">
        <f t="shared" si="3"/>
        <v>205932.20338983042</v>
      </c>
      <c r="I128" s="6"/>
      <c r="J128" s="3" t="s">
        <v>113</v>
      </c>
      <c r="P128"/>
      <c r="Q128"/>
      <c r="R128" s="80"/>
      <c r="S128" s="80"/>
    </row>
    <row r="129" spans="2:19" x14ac:dyDescent="0.25">
      <c r="B129" s="3" t="s">
        <v>427</v>
      </c>
      <c r="C129" s="2" t="s">
        <v>92</v>
      </c>
      <c r="D129" s="3" t="s">
        <v>449</v>
      </c>
      <c r="E129" s="3" t="s">
        <v>87</v>
      </c>
      <c r="F129" s="3" t="s">
        <v>129</v>
      </c>
      <c r="G129" s="6">
        <v>642000</v>
      </c>
      <c r="H129" s="6">
        <f t="shared" si="3"/>
        <v>97932.203389830422</v>
      </c>
      <c r="I129" s="6"/>
      <c r="J129" s="3" t="s">
        <v>18</v>
      </c>
      <c r="P129"/>
      <c r="Q129"/>
      <c r="R129" s="80"/>
      <c r="S129" s="80"/>
    </row>
    <row r="130" spans="2:19" x14ac:dyDescent="0.25">
      <c r="B130" s="3" t="s">
        <v>381</v>
      </c>
      <c r="C130" s="2" t="s">
        <v>32</v>
      </c>
      <c r="D130" s="3" t="s">
        <v>379</v>
      </c>
      <c r="E130" s="3" t="s">
        <v>71</v>
      </c>
      <c r="F130" s="3" t="s">
        <v>129</v>
      </c>
      <c r="G130" s="6">
        <v>35000</v>
      </c>
      <c r="H130" s="6">
        <f t="shared" si="3"/>
        <v>5338.9830508474552</v>
      </c>
      <c r="I130" s="6"/>
      <c r="J130" s="3" t="s">
        <v>113</v>
      </c>
      <c r="P130"/>
      <c r="Q130"/>
      <c r="R130" s="80"/>
      <c r="S130" s="80"/>
    </row>
    <row r="131" spans="2:19" x14ac:dyDescent="0.25">
      <c r="B131" s="3" t="s">
        <v>382</v>
      </c>
      <c r="C131" s="2" t="s">
        <v>33</v>
      </c>
      <c r="D131" s="3" t="s">
        <v>548</v>
      </c>
      <c r="E131" s="3" t="s">
        <v>71</v>
      </c>
      <c r="F131" s="3" t="s">
        <v>129</v>
      </c>
      <c r="G131" s="6">
        <v>9000</v>
      </c>
      <c r="H131" s="6">
        <f t="shared" si="3"/>
        <v>1372.8813559322034</v>
      </c>
      <c r="I131" s="6"/>
      <c r="J131" s="3" t="s">
        <v>113</v>
      </c>
      <c r="P131"/>
      <c r="Q131"/>
      <c r="R131" s="80"/>
      <c r="S131" s="80"/>
    </row>
    <row r="132" spans="2:19" x14ac:dyDescent="0.25">
      <c r="B132" s="3" t="s">
        <v>382</v>
      </c>
      <c r="C132" s="2" t="s">
        <v>33</v>
      </c>
      <c r="D132" s="3" t="s">
        <v>548</v>
      </c>
      <c r="E132" s="3" t="s">
        <v>71</v>
      </c>
      <c r="F132" s="3" t="s">
        <v>129</v>
      </c>
      <c r="G132" s="6">
        <v>22000</v>
      </c>
      <c r="H132" s="6">
        <f t="shared" si="3"/>
        <v>3355.9322033898279</v>
      </c>
      <c r="I132" s="6"/>
      <c r="J132" s="3" t="s">
        <v>113</v>
      </c>
      <c r="P132"/>
      <c r="Q132"/>
      <c r="R132" s="80"/>
      <c r="S132" s="80"/>
    </row>
    <row r="133" spans="2:19" x14ac:dyDescent="0.25">
      <c r="B133" s="3" t="s">
        <v>376</v>
      </c>
      <c r="C133" s="10" t="s">
        <v>32</v>
      </c>
      <c r="D133" s="3" t="s">
        <v>517</v>
      </c>
      <c r="E133" s="3" t="s">
        <v>71</v>
      </c>
      <c r="F133" s="3" t="s">
        <v>129</v>
      </c>
      <c r="G133" s="6">
        <v>95000</v>
      </c>
      <c r="H133" s="6">
        <f t="shared" si="3"/>
        <v>14491.525423728803</v>
      </c>
      <c r="I133" s="6"/>
      <c r="J133" s="3" t="s">
        <v>113</v>
      </c>
      <c r="P133"/>
      <c r="Q133"/>
      <c r="R133" s="80"/>
      <c r="S133" s="80"/>
    </row>
    <row r="134" spans="2:19" x14ac:dyDescent="0.25">
      <c r="B134" s="3" t="s">
        <v>388</v>
      </c>
      <c r="C134" s="2" t="s">
        <v>35</v>
      </c>
      <c r="D134" s="3" t="s">
        <v>386</v>
      </c>
      <c r="E134" s="3" t="s">
        <v>71</v>
      </c>
      <c r="F134" s="3" t="s">
        <v>129</v>
      </c>
      <c r="G134" s="6">
        <v>45000</v>
      </c>
      <c r="H134" s="6">
        <f t="shared" si="3"/>
        <v>6864.4067796610179</v>
      </c>
      <c r="I134" s="6"/>
      <c r="J134" s="3" t="s">
        <v>113</v>
      </c>
      <c r="P134"/>
      <c r="Q134"/>
      <c r="R134" s="80"/>
      <c r="S134" s="80"/>
    </row>
    <row r="135" spans="2:19" x14ac:dyDescent="0.25">
      <c r="B135" s="3" t="s">
        <v>372</v>
      </c>
      <c r="C135" s="2" t="s">
        <v>4</v>
      </c>
      <c r="D135" s="3" t="s">
        <v>370</v>
      </c>
      <c r="E135" s="3" t="s">
        <v>71</v>
      </c>
      <c r="F135" s="3" t="s">
        <v>129</v>
      </c>
      <c r="G135" s="6">
        <v>50000</v>
      </c>
      <c r="H135" s="6">
        <f t="shared" si="3"/>
        <v>7627.118644067792</v>
      </c>
      <c r="I135" s="6"/>
      <c r="J135" s="3" t="s">
        <v>113</v>
      </c>
      <c r="K135" s="18"/>
      <c r="P135"/>
      <c r="Q135"/>
      <c r="R135" s="80"/>
      <c r="S135" s="80"/>
    </row>
    <row r="136" spans="2:19" x14ac:dyDescent="0.25">
      <c r="B136" s="3" t="s">
        <v>333</v>
      </c>
      <c r="C136" s="2" t="s">
        <v>50</v>
      </c>
      <c r="D136" s="3" t="s">
        <v>340</v>
      </c>
      <c r="E136" s="3" t="s">
        <v>71</v>
      </c>
      <c r="F136" s="3" t="s">
        <v>129</v>
      </c>
      <c r="G136" s="6">
        <v>18000</v>
      </c>
      <c r="H136" s="6">
        <f t="shared" si="3"/>
        <v>2745.7627118644068</v>
      </c>
      <c r="I136" s="6"/>
      <c r="J136" s="3" t="s">
        <v>18</v>
      </c>
      <c r="P136"/>
      <c r="Q136"/>
      <c r="R136" s="80"/>
      <c r="S136" s="80"/>
    </row>
    <row r="137" spans="2:19" x14ac:dyDescent="0.25">
      <c r="B137" s="3" t="s">
        <v>334</v>
      </c>
      <c r="C137" s="2" t="s">
        <v>96</v>
      </c>
      <c r="D137" s="3" t="s">
        <v>348</v>
      </c>
      <c r="E137" s="3" t="s">
        <v>71</v>
      </c>
      <c r="F137" s="3" t="s">
        <v>129</v>
      </c>
      <c r="G137" s="6">
        <v>64662.5</v>
      </c>
      <c r="H137" s="6">
        <f t="shared" si="3"/>
        <v>9863.7711864406738</v>
      </c>
      <c r="I137" s="6"/>
      <c r="J137" s="3" t="s">
        <v>18</v>
      </c>
      <c r="P137"/>
      <c r="Q137"/>
      <c r="R137" s="80"/>
      <c r="S137" s="80"/>
    </row>
    <row r="138" spans="2:19" x14ac:dyDescent="0.25">
      <c r="B138" s="3" t="s">
        <v>334</v>
      </c>
      <c r="C138" s="2" t="s">
        <v>96</v>
      </c>
      <c r="D138" s="3" t="s">
        <v>348</v>
      </c>
      <c r="E138" s="3" t="s">
        <v>71</v>
      </c>
      <c r="F138" s="3" t="s">
        <v>139</v>
      </c>
      <c r="G138" s="6">
        <v>15300</v>
      </c>
      <c r="H138" s="6">
        <f t="shared" si="3"/>
        <v>2333.8983050847455</v>
      </c>
      <c r="I138" s="6"/>
      <c r="J138" s="3" t="s">
        <v>18</v>
      </c>
      <c r="K138" t="s">
        <v>513</v>
      </c>
      <c r="N138">
        <v>185</v>
      </c>
      <c r="O138">
        <v>17</v>
      </c>
      <c r="P138" s="31">
        <f t="shared" ref="P138:P143" si="7">G138/N138</f>
        <v>82.702702702702709</v>
      </c>
      <c r="Q138" s="31" t="s">
        <v>616</v>
      </c>
      <c r="R138" s="80"/>
      <c r="S138" s="80"/>
    </row>
    <row r="139" spans="2:19" x14ac:dyDescent="0.25">
      <c r="B139" s="3" t="s">
        <v>334</v>
      </c>
      <c r="C139" s="2" t="s">
        <v>96</v>
      </c>
      <c r="D139" s="3" t="s">
        <v>348</v>
      </c>
      <c r="E139" s="3" t="s">
        <v>71</v>
      </c>
      <c r="F139" s="3" t="s">
        <v>139</v>
      </c>
      <c r="G139" s="86">
        <v>38800</v>
      </c>
      <c r="H139" s="6">
        <f t="shared" si="3"/>
        <v>5918.6440677966093</v>
      </c>
      <c r="I139" s="6"/>
      <c r="J139" s="3" t="s">
        <v>18</v>
      </c>
      <c r="K139" s="48" t="s">
        <v>508</v>
      </c>
      <c r="L139" s="48"/>
      <c r="M139" s="48"/>
      <c r="N139">
        <v>620</v>
      </c>
      <c r="O139" s="84">
        <v>38</v>
      </c>
      <c r="P139" s="31">
        <f t="shared" si="7"/>
        <v>62.58064516129032</v>
      </c>
      <c r="Q139" s="31" t="s">
        <v>616</v>
      </c>
      <c r="R139" s="87"/>
      <c r="S139" s="87"/>
    </row>
    <row r="140" spans="2:19" x14ac:dyDescent="0.25">
      <c r="B140" s="3" t="s">
        <v>334</v>
      </c>
      <c r="C140" s="2" t="s">
        <v>96</v>
      </c>
      <c r="D140" s="3" t="s">
        <v>348</v>
      </c>
      <c r="E140" s="3" t="s">
        <v>71</v>
      </c>
      <c r="F140" s="3" t="s">
        <v>139</v>
      </c>
      <c r="G140" s="6">
        <v>16800</v>
      </c>
      <c r="H140" s="6">
        <f t="shared" si="3"/>
        <v>2562.7118644067796</v>
      </c>
      <c r="I140" s="6"/>
      <c r="J140" s="3" t="s">
        <v>18</v>
      </c>
      <c r="K140" t="s">
        <v>510</v>
      </c>
      <c r="N140">
        <v>190</v>
      </c>
      <c r="O140">
        <v>19</v>
      </c>
      <c r="P140" s="31">
        <f t="shared" si="7"/>
        <v>88.421052631578945</v>
      </c>
      <c r="Q140" s="31" t="s">
        <v>616</v>
      </c>
      <c r="R140" s="80"/>
      <c r="S140" s="80"/>
    </row>
    <row r="141" spans="2:19" x14ac:dyDescent="0.25">
      <c r="B141" s="3" t="s">
        <v>334</v>
      </c>
      <c r="C141" s="2" t="s">
        <v>96</v>
      </c>
      <c r="D141" s="3" t="s">
        <v>348</v>
      </c>
      <c r="E141" s="3" t="s">
        <v>71</v>
      </c>
      <c r="F141" s="3" t="s">
        <v>139</v>
      </c>
      <c r="G141" s="6">
        <v>43000</v>
      </c>
      <c r="H141" s="6">
        <f t="shared" si="3"/>
        <v>6559.322033898301</v>
      </c>
      <c r="I141" s="6"/>
      <c r="J141" s="3" t="s">
        <v>18</v>
      </c>
      <c r="K141" s="37" t="s">
        <v>514</v>
      </c>
      <c r="L141" s="37"/>
      <c r="M141" s="37"/>
      <c r="N141">
        <v>540</v>
      </c>
      <c r="O141">
        <v>64</v>
      </c>
      <c r="P141" s="31">
        <f t="shared" si="7"/>
        <v>79.629629629629633</v>
      </c>
      <c r="Q141" s="31" t="s">
        <v>616</v>
      </c>
      <c r="R141" s="80"/>
      <c r="S141" s="80"/>
    </row>
    <row r="142" spans="2:19" x14ac:dyDescent="0.25">
      <c r="B142" s="3" t="s">
        <v>334</v>
      </c>
      <c r="C142" s="2" t="s">
        <v>96</v>
      </c>
      <c r="D142" s="3" t="s">
        <v>348</v>
      </c>
      <c r="E142" s="3" t="s">
        <v>71</v>
      </c>
      <c r="F142" s="3" t="s">
        <v>139</v>
      </c>
      <c r="G142" s="6">
        <v>41500</v>
      </c>
      <c r="H142" s="6">
        <f t="shared" si="3"/>
        <v>6330.5084745762724</v>
      </c>
      <c r="I142" s="6"/>
      <c r="J142" s="3" t="s">
        <v>18</v>
      </c>
      <c r="K142" s="39" t="s">
        <v>515</v>
      </c>
      <c r="L142" s="39"/>
      <c r="M142" s="39"/>
      <c r="N142">
        <v>480</v>
      </c>
      <c r="O142">
        <v>50</v>
      </c>
      <c r="P142" s="31">
        <f t="shared" si="7"/>
        <v>86.458333333333329</v>
      </c>
      <c r="Q142" s="31" t="s">
        <v>616</v>
      </c>
      <c r="R142" s="80"/>
      <c r="S142" s="80"/>
    </row>
    <row r="143" spans="2:19" x14ac:dyDescent="0.25">
      <c r="B143" s="3" t="s">
        <v>334</v>
      </c>
      <c r="C143" s="2" t="s">
        <v>96</v>
      </c>
      <c r="D143" s="3" t="s">
        <v>348</v>
      </c>
      <c r="E143" s="3" t="s">
        <v>71</v>
      </c>
      <c r="F143" s="3" t="s">
        <v>139</v>
      </c>
      <c r="G143" s="6">
        <v>49500</v>
      </c>
      <c r="H143" s="6">
        <f t="shared" si="3"/>
        <v>7550.8474576271183</v>
      </c>
      <c r="I143" s="6"/>
      <c r="J143" s="3" t="s">
        <v>18</v>
      </c>
      <c r="K143" t="s">
        <v>516</v>
      </c>
      <c r="N143">
        <v>680</v>
      </c>
      <c r="O143">
        <v>86</v>
      </c>
      <c r="P143" s="31">
        <f t="shared" si="7"/>
        <v>72.794117647058826</v>
      </c>
      <c r="Q143" s="31" t="s">
        <v>616</v>
      </c>
      <c r="R143" s="80"/>
      <c r="S143" s="80"/>
    </row>
    <row r="144" spans="2:19" x14ac:dyDescent="0.25">
      <c r="B144" s="3" t="s">
        <v>411</v>
      </c>
      <c r="C144" s="2" t="s">
        <v>57</v>
      </c>
      <c r="D144" s="3" t="s">
        <v>507</v>
      </c>
      <c r="E144" s="3" t="s">
        <v>87</v>
      </c>
      <c r="F144" s="3" t="s">
        <v>139</v>
      </c>
      <c r="G144" s="6">
        <v>1150000</v>
      </c>
      <c r="H144" s="6">
        <f t="shared" si="3"/>
        <v>175423.72881355928</v>
      </c>
      <c r="I144" s="6"/>
      <c r="J144" s="3" t="s">
        <v>113</v>
      </c>
      <c r="P144"/>
      <c r="Q144"/>
      <c r="R144" s="80"/>
      <c r="S144" s="80"/>
    </row>
    <row r="145" spans="2:19" x14ac:dyDescent="0.25">
      <c r="B145" s="3" t="s">
        <v>410</v>
      </c>
      <c r="C145" s="2" t="s">
        <v>47</v>
      </c>
      <c r="D145" s="3" t="s">
        <v>404</v>
      </c>
      <c r="E145" s="3" t="s">
        <v>87</v>
      </c>
      <c r="F145" s="3" t="s">
        <v>139</v>
      </c>
      <c r="G145" s="6">
        <v>220000</v>
      </c>
      <c r="H145" s="6">
        <f t="shared" si="3"/>
        <v>33559.322033898294</v>
      </c>
      <c r="I145" s="6"/>
      <c r="J145" s="3" t="s">
        <v>113</v>
      </c>
      <c r="P145"/>
      <c r="Q145"/>
      <c r="R145" s="80"/>
      <c r="S145" s="80"/>
    </row>
    <row r="146" spans="2:19" x14ac:dyDescent="0.25">
      <c r="B146" s="3" t="s">
        <v>412</v>
      </c>
      <c r="C146" s="2" t="s">
        <v>30</v>
      </c>
      <c r="D146" s="3" t="s">
        <v>409</v>
      </c>
      <c r="E146" s="3" t="s">
        <v>87</v>
      </c>
      <c r="F146" s="3" t="s">
        <v>139</v>
      </c>
      <c r="G146" s="6">
        <v>120000</v>
      </c>
      <c r="H146" s="6">
        <f t="shared" si="3"/>
        <v>18305.08474576271</v>
      </c>
      <c r="I146" s="6"/>
      <c r="J146" s="3" t="s">
        <v>113</v>
      </c>
      <c r="P146"/>
      <c r="Q146"/>
      <c r="R146" s="80"/>
      <c r="S146" s="80"/>
    </row>
    <row r="147" spans="2:19" x14ac:dyDescent="0.25">
      <c r="B147" s="3" t="s">
        <v>415</v>
      </c>
      <c r="C147" s="2" t="s">
        <v>91</v>
      </c>
      <c r="D147" s="3" t="s">
        <v>413</v>
      </c>
      <c r="E147" s="3" t="s">
        <v>87</v>
      </c>
      <c r="F147" s="3" t="s">
        <v>139</v>
      </c>
      <c r="G147" s="6">
        <v>540000</v>
      </c>
      <c r="H147" s="6">
        <f t="shared" si="3"/>
        <v>82372.881355932157</v>
      </c>
      <c r="I147" s="6"/>
      <c r="J147" s="3" t="s">
        <v>18</v>
      </c>
      <c r="P147"/>
      <c r="Q147"/>
      <c r="R147" s="80"/>
      <c r="S147" s="80"/>
    </row>
    <row r="148" spans="2:19" x14ac:dyDescent="0.25">
      <c r="B148" s="3" t="s">
        <v>426</v>
      </c>
      <c r="C148" s="2" t="s">
        <v>92</v>
      </c>
      <c r="D148" s="3" t="s">
        <v>447</v>
      </c>
      <c r="E148" s="3" t="s">
        <v>87</v>
      </c>
      <c r="F148" s="3" t="s">
        <v>139</v>
      </c>
      <c r="G148" s="6">
        <v>460000</v>
      </c>
      <c r="H148" s="6">
        <f t="shared" si="3"/>
        <v>70169.491525423713</v>
      </c>
      <c r="I148" s="6"/>
      <c r="J148" s="3" t="s">
        <v>18</v>
      </c>
      <c r="P148"/>
      <c r="Q148"/>
      <c r="R148" s="80"/>
      <c r="S148" s="80"/>
    </row>
    <row r="149" spans="2:19" x14ac:dyDescent="0.25">
      <c r="B149" s="3" t="s">
        <v>432</v>
      </c>
      <c r="C149" s="2" t="s">
        <v>88</v>
      </c>
      <c r="D149" s="3" t="s">
        <v>461</v>
      </c>
      <c r="E149" s="3" t="s">
        <v>87</v>
      </c>
      <c r="F149" s="3" t="s">
        <v>139</v>
      </c>
      <c r="G149" s="6">
        <v>430000</v>
      </c>
      <c r="H149" s="6">
        <f t="shared" si="3"/>
        <v>65593.220338983054</v>
      </c>
      <c r="I149" s="6"/>
      <c r="J149" s="3" t="s">
        <v>18</v>
      </c>
      <c r="P149"/>
      <c r="Q149"/>
      <c r="R149" s="80"/>
      <c r="S149" s="80"/>
    </row>
    <row r="150" spans="2:19" x14ac:dyDescent="0.25">
      <c r="B150" s="3" t="s">
        <v>431</v>
      </c>
      <c r="C150" s="2" t="s">
        <v>88</v>
      </c>
      <c r="D150" s="3" t="s">
        <v>459</v>
      </c>
      <c r="E150" s="3" t="s">
        <v>87</v>
      </c>
      <c r="F150" s="3" t="s">
        <v>139</v>
      </c>
      <c r="G150" s="6">
        <v>200000</v>
      </c>
      <c r="H150" s="6">
        <f t="shared" si="3"/>
        <v>30508.474576271168</v>
      </c>
      <c r="I150" s="6"/>
      <c r="J150" s="3" t="s">
        <v>18</v>
      </c>
      <c r="P150"/>
      <c r="Q150"/>
      <c r="R150" s="80"/>
      <c r="S150" s="80"/>
    </row>
    <row r="151" spans="2:19" x14ac:dyDescent="0.25">
      <c r="B151" s="3" t="s">
        <v>423</v>
      </c>
      <c r="C151" s="2" t="s">
        <v>93</v>
      </c>
      <c r="D151" s="3" t="s">
        <v>441</v>
      </c>
      <c r="E151" s="3" t="s">
        <v>87</v>
      </c>
      <c r="F151" s="3" t="s">
        <v>139</v>
      </c>
      <c r="G151" s="6">
        <v>130000</v>
      </c>
      <c r="H151" s="6">
        <f t="shared" si="3"/>
        <v>19830.508474576272</v>
      </c>
      <c r="I151" s="6"/>
      <c r="J151" s="3" t="s">
        <v>18</v>
      </c>
      <c r="P151"/>
      <c r="Q151"/>
      <c r="R151" s="80"/>
      <c r="S151" s="80"/>
    </row>
    <row r="152" spans="2:19" x14ac:dyDescent="0.25">
      <c r="B152" s="3" t="s">
        <v>424</v>
      </c>
      <c r="C152" s="2" t="s">
        <v>93</v>
      </c>
      <c r="D152" s="3" t="s">
        <v>443</v>
      </c>
      <c r="E152" s="3" t="s">
        <v>87</v>
      </c>
      <c r="F152" s="3" t="s">
        <v>139</v>
      </c>
      <c r="G152" s="6">
        <v>150000</v>
      </c>
      <c r="H152" s="6">
        <f t="shared" si="3"/>
        <v>22881.355932203383</v>
      </c>
      <c r="I152" s="6"/>
      <c r="J152" s="3" t="s">
        <v>18</v>
      </c>
      <c r="P152"/>
      <c r="Q152"/>
      <c r="R152" s="80"/>
      <c r="S152" s="80"/>
    </row>
    <row r="153" spans="2:19" x14ac:dyDescent="0.25">
      <c r="B153" s="3" t="s">
        <v>294</v>
      </c>
      <c r="C153" s="2" t="s">
        <v>40</v>
      </c>
      <c r="D153" s="3" t="s">
        <v>292</v>
      </c>
      <c r="E153" s="3" t="s">
        <v>90</v>
      </c>
      <c r="F153" s="3" t="s">
        <v>139</v>
      </c>
      <c r="G153" s="6">
        <v>1205511</v>
      </c>
      <c r="H153" s="6">
        <f t="shared" ref="H153:H216" si="8">G153-G153/1.18</f>
        <v>183891.50847457617</v>
      </c>
      <c r="I153" s="6"/>
      <c r="J153" s="3" t="s">
        <v>18</v>
      </c>
      <c r="P153"/>
      <c r="Q153"/>
      <c r="R153" s="80"/>
      <c r="S153" s="80"/>
    </row>
    <row r="154" spans="2:19" x14ac:dyDescent="0.25">
      <c r="B154" s="3" t="s">
        <v>300</v>
      </c>
      <c r="C154" s="2" t="s">
        <v>95</v>
      </c>
      <c r="D154" s="3" t="s">
        <v>318</v>
      </c>
      <c r="E154" s="3" t="s">
        <v>90</v>
      </c>
      <c r="F154" s="3" t="s">
        <v>139</v>
      </c>
      <c r="G154" s="6">
        <v>6561</v>
      </c>
      <c r="H154" s="6">
        <f t="shared" si="8"/>
        <v>1000.8305084745762</v>
      </c>
      <c r="I154" s="6"/>
      <c r="J154" s="3" t="s">
        <v>18</v>
      </c>
      <c r="P154"/>
      <c r="Q154"/>
      <c r="R154" s="80"/>
      <c r="S154" s="80"/>
    </row>
    <row r="155" spans="2:19" x14ac:dyDescent="0.25">
      <c r="B155" s="3" t="s">
        <v>333</v>
      </c>
      <c r="C155" s="2" t="s">
        <v>50</v>
      </c>
      <c r="D155" s="3" t="s">
        <v>340</v>
      </c>
      <c r="E155" s="3" t="s">
        <v>71</v>
      </c>
      <c r="F155" s="3" t="s">
        <v>139</v>
      </c>
      <c r="G155" s="6">
        <v>120000</v>
      </c>
      <c r="H155" s="6">
        <f t="shared" si="8"/>
        <v>18305.08474576271</v>
      </c>
      <c r="I155" s="6"/>
      <c r="J155" s="3" t="s">
        <v>18</v>
      </c>
      <c r="N155">
        <v>1600</v>
      </c>
      <c r="P155" s="19">
        <f>G155/N155</f>
        <v>75</v>
      </c>
      <c r="Q155"/>
      <c r="R155" s="80"/>
      <c r="S155" s="80"/>
    </row>
    <row r="156" spans="2:19" x14ac:dyDescent="0.25">
      <c r="B156" s="3" t="s">
        <v>334</v>
      </c>
      <c r="C156" s="2" t="s">
        <v>96</v>
      </c>
      <c r="D156" s="3" t="s">
        <v>348</v>
      </c>
      <c r="E156" s="3" t="s">
        <v>71</v>
      </c>
      <c r="F156" s="3" t="s">
        <v>139</v>
      </c>
      <c r="G156" s="6">
        <v>5908</v>
      </c>
      <c r="H156" s="6">
        <f t="shared" si="8"/>
        <v>901.22033898305017</v>
      </c>
      <c r="I156" s="6"/>
      <c r="J156" s="3" t="s">
        <v>18</v>
      </c>
      <c r="P156"/>
      <c r="Q156"/>
      <c r="R156" s="80"/>
      <c r="S156" s="80"/>
    </row>
    <row r="157" spans="2:19" x14ac:dyDescent="0.25">
      <c r="B157" s="3" t="s">
        <v>376</v>
      </c>
      <c r="C157" s="2" t="s">
        <v>32</v>
      </c>
      <c r="D157" s="3" t="s">
        <v>517</v>
      </c>
      <c r="E157" s="3" t="s">
        <v>71</v>
      </c>
      <c r="F157" s="3" t="s">
        <v>139</v>
      </c>
      <c r="G157" s="13">
        <v>250000</v>
      </c>
      <c r="H157" s="6">
        <f t="shared" si="8"/>
        <v>38135.593220338982</v>
      </c>
      <c r="I157" s="6"/>
      <c r="J157" s="3" t="s">
        <v>113</v>
      </c>
      <c r="P157"/>
      <c r="Q157"/>
      <c r="R157" s="80"/>
      <c r="S157" s="80"/>
    </row>
    <row r="158" spans="2:19" x14ac:dyDescent="0.25">
      <c r="B158" s="3" t="s">
        <v>372</v>
      </c>
      <c r="C158" s="2" t="s">
        <v>4</v>
      </c>
      <c r="D158" s="3" t="s">
        <v>370</v>
      </c>
      <c r="E158" s="3" t="s">
        <v>71</v>
      </c>
      <c r="F158" s="3" t="s">
        <v>139</v>
      </c>
      <c r="G158" s="6">
        <v>92000</v>
      </c>
      <c r="H158" s="6">
        <f t="shared" si="8"/>
        <v>14033.898305084746</v>
      </c>
      <c r="I158" s="6"/>
      <c r="J158" s="3" t="s">
        <v>113</v>
      </c>
      <c r="P158"/>
      <c r="Q158"/>
      <c r="R158" s="80"/>
      <c r="S158" s="80"/>
    </row>
    <row r="159" spans="2:19" x14ac:dyDescent="0.25">
      <c r="B159" s="3" t="s">
        <v>382</v>
      </c>
      <c r="C159" s="2" t="s">
        <v>33</v>
      </c>
      <c r="D159" s="3" t="s">
        <v>380</v>
      </c>
      <c r="E159" s="3" t="s">
        <v>71</v>
      </c>
      <c r="F159" s="3" t="s">
        <v>139</v>
      </c>
      <c r="G159" s="6">
        <v>18400</v>
      </c>
      <c r="H159" s="6">
        <f t="shared" si="8"/>
        <v>2806.779661016948</v>
      </c>
      <c r="I159" s="6"/>
      <c r="J159" s="3" t="s">
        <v>113</v>
      </c>
      <c r="P159"/>
      <c r="Q159"/>
      <c r="R159" s="80"/>
      <c r="S159" s="80"/>
    </row>
    <row r="160" spans="2:19" x14ac:dyDescent="0.25">
      <c r="B160" s="3" t="s">
        <v>382</v>
      </c>
      <c r="C160" s="2" t="s">
        <v>33</v>
      </c>
      <c r="D160" s="3" t="s">
        <v>380</v>
      </c>
      <c r="E160" s="3" t="s">
        <v>71</v>
      </c>
      <c r="F160" s="3" t="s">
        <v>139</v>
      </c>
      <c r="G160" s="6">
        <v>31800</v>
      </c>
      <c r="H160" s="6">
        <f t="shared" si="8"/>
        <v>4850.8474576271183</v>
      </c>
      <c r="I160" s="6"/>
      <c r="J160" s="3" t="s">
        <v>113</v>
      </c>
      <c r="P160"/>
      <c r="Q160"/>
      <c r="R160" s="80"/>
      <c r="S160" s="80"/>
    </row>
    <row r="161" spans="2:19" x14ac:dyDescent="0.25">
      <c r="B161" s="3" t="s">
        <v>397</v>
      </c>
      <c r="C161" s="3" t="s">
        <v>35</v>
      </c>
      <c r="D161" s="3" t="s">
        <v>396</v>
      </c>
      <c r="E161" s="3" t="s">
        <v>71</v>
      </c>
      <c r="F161" s="3" t="s">
        <v>139</v>
      </c>
      <c r="G161" s="6">
        <v>3664.5</v>
      </c>
      <c r="H161" s="6">
        <f t="shared" si="8"/>
        <v>558.99152542372849</v>
      </c>
      <c r="I161" s="6"/>
      <c r="J161" s="3" t="s">
        <v>113</v>
      </c>
      <c r="P161"/>
      <c r="Q161"/>
      <c r="R161" s="80"/>
      <c r="S161" s="80"/>
    </row>
    <row r="162" spans="2:19" x14ac:dyDescent="0.25">
      <c r="B162" s="3" t="s">
        <v>382</v>
      </c>
      <c r="C162" s="2" t="s">
        <v>33</v>
      </c>
      <c r="D162" s="3" t="s">
        <v>380</v>
      </c>
      <c r="E162" s="3" t="s">
        <v>71</v>
      </c>
      <c r="F162" s="3" t="s">
        <v>139</v>
      </c>
      <c r="G162" s="6">
        <v>2940</v>
      </c>
      <c r="H162" s="6">
        <f t="shared" si="8"/>
        <v>448.47457627118638</v>
      </c>
      <c r="I162" s="6"/>
      <c r="J162" s="3" t="s">
        <v>113</v>
      </c>
      <c r="P162"/>
      <c r="Q162"/>
      <c r="R162" s="80"/>
      <c r="S162" s="80"/>
    </row>
    <row r="163" spans="2:19" x14ac:dyDescent="0.25">
      <c r="B163" s="3" t="s">
        <v>157</v>
      </c>
      <c r="C163" s="2" t="s">
        <v>37</v>
      </c>
      <c r="D163" s="3" t="s">
        <v>151</v>
      </c>
      <c r="E163" s="3" t="s">
        <v>141</v>
      </c>
      <c r="F163" s="3" t="s">
        <v>120</v>
      </c>
      <c r="G163" s="6">
        <v>416000</v>
      </c>
      <c r="H163" s="6">
        <f t="shared" si="8"/>
        <v>63457.627118644072</v>
      </c>
      <c r="I163" s="6"/>
      <c r="J163" s="3" t="s">
        <v>113</v>
      </c>
      <c r="K163" s="19">
        <v>0</v>
      </c>
      <c r="L163" s="19"/>
      <c r="M163" s="19"/>
      <c r="P163"/>
      <c r="Q163"/>
      <c r="R163" s="80"/>
      <c r="S163" s="80"/>
    </row>
    <row r="164" spans="2:19" x14ac:dyDescent="0.25">
      <c r="B164" s="3" t="s">
        <v>167</v>
      </c>
      <c r="C164" s="2" t="s">
        <v>32</v>
      </c>
      <c r="D164" s="3" t="s">
        <v>166</v>
      </c>
      <c r="E164" s="3" t="s">
        <v>71</v>
      </c>
      <c r="F164" s="3" t="s">
        <v>120</v>
      </c>
      <c r="G164" s="6">
        <v>300386</v>
      </c>
      <c r="H164" s="6">
        <f t="shared" si="8"/>
        <v>45821.593220338982</v>
      </c>
      <c r="I164" s="6"/>
      <c r="J164" s="3" t="s">
        <v>113</v>
      </c>
      <c r="K164" s="19">
        <v>0</v>
      </c>
      <c r="L164" s="19"/>
      <c r="M164" s="19"/>
      <c r="P164"/>
      <c r="Q164"/>
      <c r="R164" s="87"/>
      <c r="S164" s="87"/>
    </row>
    <row r="165" spans="2:19" x14ac:dyDescent="0.25">
      <c r="B165" s="3" t="s">
        <v>173</v>
      </c>
      <c r="C165" s="2" t="s">
        <v>17</v>
      </c>
      <c r="D165" s="3" t="s">
        <v>168</v>
      </c>
      <c r="E165" s="3" t="s">
        <v>71</v>
      </c>
      <c r="F165" s="3" t="s">
        <v>120</v>
      </c>
      <c r="G165" s="6">
        <v>124952</v>
      </c>
      <c r="H165" s="6">
        <f t="shared" si="8"/>
        <v>19060.474576271183</v>
      </c>
      <c r="I165" s="6"/>
      <c r="J165" s="3" t="s">
        <v>113</v>
      </c>
      <c r="K165" s="19">
        <v>0</v>
      </c>
      <c r="L165" s="19"/>
      <c r="M165" s="19"/>
      <c r="P165"/>
      <c r="Q165"/>
      <c r="R165" s="80"/>
      <c r="S165" s="80"/>
    </row>
    <row r="166" spans="2:19" x14ac:dyDescent="0.25">
      <c r="B166" s="3" t="s">
        <v>157</v>
      </c>
      <c r="C166" s="2" t="s">
        <v>37</v>
      </c>
      <c r="D166" s="3" t="s">
        <v>151</v>
      </c>
      <c r="E166" s="3" t="s">
        <v>141</v>
      </c>
      <c r="F166" s="3" t="s">
        <v>120</v>
      </c>
      <c r="G166" s="6">
        <v>200634</v>
      </c>
      <c r="H166" s="6">
        <f t="shared" si="8"/>
        <v>30605.186440677964</v>
      </c>
      <c r="I166" s="6"/>
      <c r="J166" s="3" t="s">
        <v>113</v>
      </c>
      <c r="P166"/>
      <c r="Q166"/>
      <c r="R166" s="80"/>
      <c r="S166" s="80"/>
    </row>
    <row r="167" spans="2:19" x14ac:dyDescent="0.25">
      <c r="B167" s="3"/>
      <c r="C167" s="2" t="s">
        <v>30</v>
      </c>
      <c r="D167" s="3" t="s">
        <v>178</v>
      </c>
      <c r="E167" s="3" t="s">
        <v>117</v>
      </c>
      <c r="F167" s="3" t="s">
        <v>120</v>
      </c>
      <c r="G167" s="6">
        <v>549.5</v>
      </c>
      <c r="H167" s="6">
        <f t="shared" si="8"/>
        <v>83.822033898305051</v>
      </c>
      <c r="I167" s="6"/>
      <c r="J167" s="3" t="s">
        <v>113</v>
      </c>
      <c r="P167"/>
      <c r="Q167"/>
      <c r="R167" s="80"/>
      <c r="S167" s="80"/>
    </row>
    <row r="168" spans="2:19" x14ac:dyDescent="0.25">
      <c r="B168" s="3" t="s">
        <v>157</v>
      </c>
      <c r="C168" s="2" t="s">
        <v>37</v>
      </c>
      <c r="D168" s="3" t="s">
        <v>151</v>
      </c>
      <c r="E168" s="3" t="s">
        <v>141</v>
      </c>
      <c r="F168" s="3" t="s">
        <v>111</v>
      </c>
      <c r="G168" s="6">
        <v>228800</v>
      </c>
      <c r="H168" s="6">
        <f t="shared" si="8"/>
        <v>34901.694915254222</v>
      </c>
      <c r="I168" s="6"/>
      <c r="J168" s="3" t="s">
        <v>113</v>
      </c>
      <c r="K168" s="19">
        <v>0</v>
      </c>
      <c r="L168" s="19"/>
      <c r="M168" s="19"/>
      <c r="P168"/>
      <c r="Q168"/>
      <c r="R168" s="80"/>
      <c r="S168" s="80"/>
    </row>
    <row r="169" spans="2:19" x14ac:dyDescent="0.25">
      <c r="B169" s="3" t="s">
        <v>155</v>
      </c>
      <c r="C169" s="2" t="s">
        <v>94</v>
      </c>
      <c r="D169" s="3" t="s">
        <v>154</v>
      </c>
      <c r="E169" s="3" t="s">
        <v>90</v>
      </c>
      <c r="F169" s="3" t="s">
        <v>111</v>
      </c>
      <c r="G169" s="6">
        <v>45857</v>
      </c>
      <c r="H169" s="6">
        <f t="shared" si="8"/>
        <v>6995.1355932203369</v>
      </c>
      <c r="I169" s="6"/>
      <c r="J169" s="3" t="s">
        <v>18</v>
      </c>
      <c r="K169" s="19">
        <v>0</v>
      </c>
      <c r="L169" s="19"/>
      <c r="M169" s="19"/>
      <c r="P169"/>
      <c r="Q169"/>
      <c r="R169" s="80"/>
      <c r="S169" s="80"/>
    </row>
    <row r="170" spans="2:19" x14ac:dyDescent="0.25">
      <c r="B170" s="3" t="s">
        <v>394</v>
      </c>
      <c r="C170" s="2" t="s">
        <v>35</v>
      </c>
      <c r="D170" s="3" t="s">
        <v>392</v>
      </c>
      <c r="E170" s="3" t="s">
        <v>71</v>
      </c>
      <c r="F170" s="3" t="s">
        <v>131</v>
      </c>
      <c r="G170" s="6">
        <v>15000</v>
      </c>
      <c r="H170" s="6">
        <f t="shared" si="8"/>
        <v>2288.1355932203387</v>
      </c>
      <c r="I170" s="6"/>
      <c r="J170" s="3" t="s">
        <v>113</v>
      </c>
      <c r="K170" s="19">
        <v>0</v>
      </c>
      <c r="L170" s="19"/>
      <c r="M170" s="19"/>
      <c r="P170"/>
      <c r="Q170"/>
      <c r="R170" s="80"/>
      <c r="S170" s="80"/>
    </row>
    <row r="171" spans="2:19" x14ac:dyDescent="0.25">
      <c r="B171" s="3" t="s">
        <v>376</v>
      </c>
      <c r="C171" s="2" t="s">
        <v>32</v>
      </c>
      <c r="D171" s="3" t="s">
        <v>517</v>
      </c>
      <c r="E171" s="3" t="s">
        <v>71</v>
      </c>
      <c r="F171" s="3" t="s">
        <v>131</v>
      </c>
      <c r="G171" s="6">
        <v>100000</v>
      </c>
      <c r="H171" s="6">
        <f t="shared" si="8"/>
        <v>15254.237288135584</v>
      </c>
      <c r="I171" s="6"/>
      <c r="J171" s="3" t="s">
        <v>113</v>
      </c>
      <c r="P171"/>
      <c r="Q171"/>
      <c r="R171" s="80"/>
      <c r="S171" s="80"/>
    </row>
    <row r="172" spans="2:19" x14ac:dyDescent="0.25">
      <c r="B172" s="3" t="s">
        <v>388</v>
      </c>
      <c r="C172" s="2" t="s">
        <v>35</v>
      </c>
      <c r="D172" s="3" t="s">
        <v>386</v>
      </c>
      <c r="E172" s="3" t="s">
        <v>71</v>
      </c>
      <c r="F172" s="3" t="s">
        <v>131</v>
      </c>
      <c r="G172" s="6">
        <v>12000</v>
      </c>
      <c r="H172" s="6">
        <f t="shared" si="8"/>
        <v>1830.5084745762706</v>
      </c>
      <c r="I172" s="6"/>
      <c r="J172" s="3" t="s">
        <v>113</v>
      </c>
      <c r="P172"/>
      <c r="Q172"/>
      <c r="R172" s="80"/>
      <c r="S172" s="80"/>
    </row>
    <row r="173" spans="2:19" x14ac:dyDescent="0.25">
      <c r="B173" s="3" t="s">
        <v>400</v>
      </c>
      <c r="C173" s="2" t="s">
        <v>35</v>
      </c>
      <c r="D173" s="3" t="s">
        <v>398</v>
      </c>
      <c r="E173" s="3" t="s">
        <v>71</v>
      </c>
      <c r="F173" s="3" t="s">
        <v>131</v>
      </c>
      <c r="G173" s="6">
        <v>20000</v>
      </c>
      <c r="H173" s="6">
        <f t="shared" si="8"/>
        <v>3050.8474576271183</v>
      </c>
      <c r="I173" s="6"/>
      <c r="J173" s="3" t="s">
        <v>113</v>
      </c>
      <c r="P173"/>
      <c r="Q173"/>
      <c r="R173" s="80"/>
      <c r="S173" s="80"/>
    </row>
    <row r="174" spans="2:19" x14ac:dyDescent="0.25">
      <c r="B174" s="3" t="s">
        <v>382</v>
      </c>
      <c r="C174" s="2" t="s">
        <v>33</v>
      </c>
      <c r="D174" s="3" t="s">
        <v>548</v>
      </c>
      <c r="E174" s="3" t="s">
        <v>71</v>
      </c>
      <c r="F174" s="3" t="s">
        <v>131</v>
      </c>
      <c r="G174" s="6">
        <v>13000</v>
      </c>
      <c r="H174" s="6">
        <f t="shared" si="8"/>
        <v>1983.0508474576272</v>
      </c>
      <c r="I174" s="6"/>
      <c r="J174" s="3" t="s">
        <v>113</v>
      </c>
      <c r="P174"/>
      <c r="Q174"/>
      <c r="R174" s="80"/>
      <c r="S174" s="80"/>
    </row>
    <row r="175" spans="2:19" x14ac:dyDescent="0.25">
      <c r="B175" s="3" t="s">
        <v>563</v>
      </c>
      <c r="C175" s="2" t="s">
        <v>56</v>
      </c>
      <c r="D175" s="3" t="s">
        <v>565</v>
      </c>
      <c r="E175" s="3" t="s">
        <v>117</v>
      </c>
      <c r="F175" s="3" t="s">
        <v>131</v>
      </c>
      <c r="G175" s="6">
        <v>9282</v>
      </c>
      <c r="H175" s="6">
        <f t="shared" si="8"/>
        <v>1415.8983050847455</v>
      </c>
      <c r="I175" s="6"/>
      <c r="J175" s="3" t="s">
        <v>113</v>
      </c>
      <c r="K175" s="19"/>
      <c r="L175" s="19"/>
      <c r="M175" s="19"/>
      <c r="P175"/>
      <c r="Q175"/>
      <c r="R175" s="80"/>
      <c r="S175" s="80"/>
    </row>
    <row r="176" spans="2:19" x14ac:dyDescent="0.25">
      <c r="B176" s="3" t="s">
        <v>334</v>
      </c>
      <c r="C176" s="2" t="s">
        <v>96</v>
      </c>
      <c r="D176" s="3" t="s">
        <v>348</v>
      </c>
      <c r="E176" s="3" t="s">
        <v>71</v>
      </c>
      <c r="F176" s="3" t="s">
        <v>131</v>
      </c>
      <c r="G176" s="6">
        <v>17389.75</v>
      </c>
      <c r="H176" s="6">
        <f t="shared" si="8"/>
        <v>2652.6737288135591</v>
      </c>
      <c r="I176" s="6"/>
      <c r="J176" s="3" t="s">
        <v>18</v>
      </c>
      <c r="P176"/>
      <c r="Q176"/>
      <c r="R176" s="80"/>
      <c r="S176" s="80"/>
    </row>
    <row r="177" spans="2:19" x14ac:dyDescent="0.25">
      <c r="B177" s="3" t="s">
        <v>375</v>
      </c>
      <c r="C177" s="2" t="s">
        <v>32</v>
      </c>
      <c r="D177" s="3" t="s">
        <v>373</v>
      </c>
      <c r="E177" s="3" t="s">
        <v>71</v>
      </c>
      <c r="F177" s="3" t="s">
        <v>131</v>
      </c>
      <c r="G177" s="6">
        <v>130000</v>
      </c>
      <c r="H177" s="6">
        <f t="shared" si="8"/>
        <v>19830.508474576272</v>
      </c>
      <c r="I177" s="6"/>
      <c r="J177" s="3" t="s">
        <v>113</v>
      </c>
      <c r="P177"/>
      <c r="Q177"/>
      <c r="R177" s="80"/>
      <c r="S177" s="80"/>
    </row>
    <row r="178" spans="2:19" x14ac:dyDescent="0.25">
      <c r="B178" s="3" t="s">
        <v>295</v>
      </c>
      <c r="C178" s="2" t="s">
        <v>74</v>
      </c>
      <c r="D178" s="3" t="s">
        <v>304</v>
      </c>
      <c r="E178" s="3" t="s">
        <v>90</v>
      </c>
      <c r="F178" s="3" t="s">
        <v>131</v>
      </c>
      <c r="G178" s="6">
        <v>1377</v>
      </c>
      <c r="H178" s="6">
        <f t="shared" si="8"/>
        <v>210.05084745762701</v>
      </c>
      <c r="I178" s="6"/>
      <c r="J178" s="3" t="s">
        <v>18</v>
      </c>
      <c r="K178" s="19"/>
      <c r="L178" s="19"/>
      <c r="M178" s="19"/>
      <c r="P178"/>
      <c r="Q178"/>
      <c r="R178" s="80"/>
      <c r="S178" s="80"/>
    </row>
    <row r="179" spans="2:19" x14ac:dyDescent="0.25">
      <c r="B179" s="3" t="s">
        <v>300</v>
      </c>
      <c r="C179" s="2" t="s">
        <v>95</v>
      </c>
      <c r="D179" s="3" t="s">
        <v>318</v>
      </c>
      <c r="E179" s="3" t="s">
        <v>90</v>
      </c>
      <c r="F179" s="3" t="s">
        <v>131</v>
      </c>
      <c r="G179" s="6">
        <v>2025</v>
      </c>
      <c r="H179" s="6">
        <f t="shared" si="8"/>
        <v>308.89830508474574</v>
      </c>
      <c r="I179" s="6"/>
      <c r="J179" s="3" t="s">
        <v>18</v>
      </c>
      <c r="P179"/>
      <c r="Q179"/>
      <c r="R179" s="80"/>
      <c r="S179" s="80"/>
    </row>
    <row r="180" spans="2:19" x14ac:dyDescent="0.25">
      <c r="B180" s="3" t="s">
        <v>147</v>
      </c>
      <c r="C180" s="2"/>
      <c r="D180" s="3" t="s">
        <v>603</v>
      </c>
      <c r="E180" s="3" t="s">
        <v>106</v>
      </c>
      <c r="F180" s="3" t="s">
        <v>133</v>
      </c>
      <c r="G180" s="6">
        <v>3748.5</v>
      </c>
      <c r="H180" s="6">
        <f t="shared" si="8"/>
        <v>571.80508474576254</v>
      </c>
      <c r="I180" s="6"/>
      <c r="J180" s="3" t="s">
        <v>18</v>
      </c>
      <c r="P180"/>
      <c r="Q180"/>
      <c r="R180" s="80"/>
      <c r="S180" s="80"/>
    </row>
    <row r="181" spans="2:19" x14ac:dyDescent="0.25">
      <c r="B181" s="3" t="s">
        <v>147</v>
      </c>
      <c r="C181" s="2"/>
      <c r="D181" s="3" t="s">
        <v>603</v>
      </c>
      <c r="E181" s="3" t="s">
        <v>106</v>
      </c>
      <c r="F181" s="3" t="s">
        <v>133</v>
      </c>
      <c r="G181" s="6">
        <v>11942</v>
      </c>
      <c r="H181" s="6">
        <f t="shared" si="8"/>
        <v>1821.6610169491523</v>
      </c>
      <c r="I181" s="6"/>
      <c r="J181" s="3" t="s">
        <v>18</v>
      </c>
      <c r="P181"/>
      <c r="Q181"/>
      <c r="R181" s="80"/>
      <c r="S181" s="80"/>
    </row>
    <row r="182" spans="2:19" x14ac:dyDescent="0.25">
      <c r="B182" s="3" t="s">
        <v>586</v>
      </c>
      <c r="C182" s="2" t="s">
        <v>136</v>
      </c>
      <c r="D182" s="3" t="s">
        <v>587</v>
      </c>
      <c r="E182" s="3" t="s">
        <v>506</v>
      </c>
      <c r="F182" s="3" t="s">
        <v>133</v>
      </c>
      <c r="G182" s="6">
        <v>62482</v>
      </c>
      <c r="H182" s="14">
        <f t="shared" si="8"/>
        <v>9531.1525423728817</v>
      </c>
      <c r="I182" s="14"/>
      <c r="J182" s="3" t="s">
        <v>18</v>
      </c>
      <c r="K182" s="70" t="s">
        <v>604</v>
      </c>
      <c r="P182"/>
      <c r="Q182"/>
      <c r="R182" s="80"/>
      <c r="S182" s="80"/>
    </row>
    <row r="183" spans="2:19" x14ac:dyDescent="0.25">
      <c r="B183" s="3" t="s">
        <v>258</v>
      </c>
      <c r="C183" s="2" t="s">
        <v>94</v>
      </c>
      <c r="D183" s="3" t="s">
        <v>257</v>
      </c>
      <c r="E183" s="3" t="s">
        <v>90</v>
      </c>
      <c r="F183" s="3" t="s">
        <v>133</v>
      </c>
      <c r="G183" s="6">
        <v>564200</v>
      </c>
      <c r="H183" s="6">
        <f t="shared" si="8"/>
        <v>86064.406779661018</v>
      </c>
      <c r="I183" s="6"/>
      <c r="J183" s="3" t="s">
        <v>18</v>
      </c>
      <c r="P183"/>
      <c r="Q183"/>
      <c r="R183" s="80"/>
      <c r="S183" s="80"/>
    </row>
    <row r="184" spans="2:19" x14ac:dyDescent="0.25">
      <c r="B184" s="3" t="s">
        <v>288</v>
      </c>
      <c r="C184" s="2" t="s">
        <v>94</v>
      </c>
      <c r="D184" s="50" t="s">
        <v>286</v>
      </c>
      <c r="E184" s="50" t="s">
        <v>90</v>
      </c>
      <c r="F184" s="50" t="s">
        <v>133</v>
      </c>
      <c r="G184" s="51">
        <v>109502</v>
      </c>
      <c r="H184" s="51">
        <f t="shared" si="8"/>
        <v>16703.694915254237</v>
      </c>
      <c r="I184" s="51"/>
      <c r="J184" s="50" t="s">
        <v>18</v>
      </c>
      <c r="K184" s="19"/>
      <c r="L184" s="19"/>
      <c r="M184" s="19"/>
      <c r="P184"/>
      <c r="Q184"/>
      <c r="R184" s="80"/>
      <c r="S184" s="80"/>
    </row>
    <row r="185" spans="2:19" x14ac:dyDescent="0.25">
      <c r="B185" s="3" t="s">
        <v>264</v>
      </c>
      <c r="C185" s="2" t="s">
        <v>94</v>
      </c>
      <c r="D185" s="50" t="s">
        <v>272</v>
      </c>
      <c r="E185" s="50" t="s">
        <v>90</v>
      </c>
      <c r="F185" s="50" t="s">
        <v>133</v>
      </c>
      <c r="G185" s="51">
        <v>182370</v>
      </c>
      <c r="H185" s="51">
        <f t="shared" si="8"/>
        <v>27819.152542372874</v>
      </c>
      <c r="I185" s="51"/>
      <c r="J185" s="50" t="s">
        <v>18</v>
      </c>
      <c r="K185" s="19"/>
      <c r="L185" s="19"/>
      <c r="M185" s="19"/>
      <c r="P185"/>
      <c r="Q185"/>
      <c r="R185" s="80"/>
      <c r="S185" s="80"/>
    </row>
    <row r="186" spans="2:19" x14ac:dyDescent="0.25">
      <c r="B186" s="3" t="s">
        <v>269</v>
      </c>
      <c r="C186" s="2" t="s">
        <v>94</v>
      </c>
      <c r="D186" s="50" t="s">
        <v>284</v>
      </c>
      <c r="E186" s="50" t="s">
        <v>90</v>
      </c>
      <c r="F186" s="50" t="s">
        <v>133</v>
      </c>
      <c r="G186" s="51">
        <v>305067</v>
      </c>
      <c r="H186" s="51">
        <f t="shared" si="8"/>
        <v>46535.644067796587</v>
      </c>
      <c r="I186" s="51"/>
      <c r="J186" s="50" t="s">
        <v>18</v>
      </c>
      <c r="K186" s="19"/>
      <c r="L186" s="19"/>
      <c r="M186" s="19"/>
      <c r="P186"/>
      <c r="Q186"/>
      <c r="R186" s="80"/>
      <c r="S186" s="80"/>
    </row>
    <row r="187" spans="2:19" x14ac:dyDescent="0.25">
      <c r="B187" s="3" t="s">
        <v>252</v>
      </c>
      <c r="C187" s="2" t="s">
        <v>94</v>
      </c>
      <c r="D187" s="50" t="s">
        <v>280</v>
      </c>
      <c r="E187" s="50" t="s">
        <v>90</v>
      </c>
      <c r="F187" s="50" t="s">
        <v>133</v>
      </c>
      <c r="G187" s="51">
        <v>167601</v>
      </c>
      <c r="H187" s="51">
        <f t="shared" si="8"/>
        <v>25566.254237288114</v>
      </c>
      <c r="I187" s="51"/>
      <c r="J187" s="50" t="s">
        <v>18</v>
      </c>
      <c r="K187" s="19"/>
      <c r="L187" s="19"/>
      <c r="M187" s="19"/>
      <c r="P187"/>
      <c r="Q187"/>
      <c r="R187" s="80"/>
      <c r="S187" s="80"/>
    </row>
    <row r="188" spans="2:19" x14ac:dyDescent="0.25">
      <c r="B188" s="3" t="s">
        <v>253</v>
      </c>
      <c r="C188" s="12" t="s">
        <v>99</v>
      </c>
      <c r="D188" s="3" t="s">
        <v>255</v>
      </c>
      <c r="E188" s="3" t="s">
        <v>90</v>
      </c>
      <c r="F188" s="3" t="s">
        <v>133</v>
      </c>
      <c r="G188" s="6">
        <v>488913.91999999998</v>
      </c>
      <c r="H188" s="6">
        <f t="shared" si="8"/>
        <v>74580.089491525374</v>
      </c>
      <c r="I188" s="6"/>
      <c r="J188" s="3" t="s">
        <v>18</v>
      </c>
      <c r="P188"/>
      <c r="Q188"/>
      <c r="R188" s="80"/>
      <c r="S188" s="80"/>
    </row>
    <row r="189" spans="2:19" x14ac:dyDescent="0.25">
      <c r="B189" s="3" t="s">
        <v>253</v>
      </c>
      <c r="C189" s="12" t="s">
        <v>99</v>
      </c>
      <c r="D189" s="3" t="s">
        <v>255</v>
      </c>
      <c r="E189" s="3" t="s">
        <v>90</v>
      </c>
      <c r="F189" s="3" t="s">
        <v>133</v>
      </c>
      <c r="G189" s="6">
        <v>19355</v>
      </c>
      <c r="H189" s="6">
        <f t="shared" si="8"/>
        <v>2952.4576271186415</v>
      </c>
      <c r="I189" s="6"/>
      <c r="J189" s="3" t="s">
        <v>18</v>
      </c>
      <c r="P189"/>
      <c r="Q189"/>
      <c r="R189" s="80"/>
      <c r="S189" s="80"/>
    </row>
    <row r="190" spans="2:19" x14ac:dyDescent="0.25">
      <c r="B190" s="3" t="s">
        <v>258</v>
      </c>
      <c r="C190" s="2" t="s">
        <v>94</v>
      </c>
      <c r="D190" s="3" t="s">
        <v>257</v>
      </c>
      <c r="E190" s="3" t="s">
        <v>90</v>
      </c>
      <c r="F190" s="3" t="s">
        <v>133</v>
      </c>
      <c r="G190" s="6">
        <v>645026.17000000004</v>
      </c>
      <c r="H190" s="6">
        <f t="shared" si="8"/>
        <v>98393.822542372858</v>
      </c>
      <c r="I190" s="6"/>
      <c r="J190" s="3" t="s">
        <v>18</v>
      </c>
      <c r="P190"/>
      <c r="Q190"/>
      <c r="R190" s="87"/>
      <c r="S190" s="87"/>
    </row>
    <row r="191" spans="2:19" x14ac:dyDescent="0.25">
      <c r="B191" s="3" t="s">
        <v>258</v>
      </c>
      <c r="C191" s="2" t="s">
        <v>94</v>
      </c>
      <c r="D191" s="3" t="s">
        <v>257</v>
      </c>
      <c r="E191" s="3" t="s">
        <v>90</v>
      </c>
      <c r="F191" s="3" t="s">
        <v>133</v>
      </c>
      <c r="G191" s="6">
        <v>25371.5</v>
      </c>
      <c r="H191" s="6">
        <f t="shared" si="8"/>
        <v>3870.2288135593226</v>
      </c>
      <c r="I191" s="6"/>
      <c r="J191" s="3" t="s">
        <v>18</v>
      </c>
      <c r="P191"/>
      <c r="Q191"/>
      <c r="R191" s="80"/>
      <c r="S191" s="80"/>
    </row>
    <row r="192" spans="2:19" x14ac:dyDescent="0.25">
      <c r="B192" s="3" t="s">
        <v>294</v>
      </c>
      <c r="C192" s="2" t="s">
        <v>40</v>
      </c>
      <c r="D192" s="3" t="s">
        <v>292</v>
      </c>
      <c r="E192" s="3" t="s">
        <v>90</v>
      </c>
      <c r="F192" s="3" t="s">
        <v>133</v>
      </c>
      <c r="G192" s="6">
        <v>543344.24</v>
      </c>
      <c r="H192" s="6">
        <f t="shared" si="8"/>
        <v>82883.019661016937</v>
      </c>
      <c r="I192" s="6"/>
      <c r="J192" s="3" t="s">
        <v>18</v>
      </c>
      <c r="P192"/>
      <c r="Q192"/>
      <c r="R192" s="80"/>
      <c r="S192" s="80"/>
    </row>
    <row r="193" spans="2:19" x14ac:dyDescent="0.25">
      <c r="B193" s="3" t="s">
        <v>294</v>
      </c>
      <c r="C193" s="2" t="s">
        <v>40</v>
      </c>
      <c r="D193" s="3" t="s">
        <v>292</v>
      </c>
      <c r="E193" s="3" t="s">
        <v>90</v>
      </c>
      <c r="F193" s="3" t="s">
        <v>133</v>
      </c>
      <c r="G193" s="6">
        <v>642035.75</v>
      </c>
      <c r="H193" s="6">
        <f t="shared" si="8"/>
        <v>97937.65677966096</v>
      </c>
      <c r="I193" s="6"/>
      <c r="J193" s="3" t="s">
        <v>18</v>
      </c>
      <c r="P193"/>
      <c r="Q193"/>
      <c r="R193" s="80"/>
      <c r="S193" s="80"/>
    </row>
    <row r="194" spans="2:19" x14ac:dyDescent="0.25">
      <c r="B194" s="3" t="s">
        <v>294</v>
      </c>
      <c r="C194" s="2" t="s">
        <v>40</v>
      </c>
      <c r="D194" s="3" t="s">
        <v>292</v>
      </c>
      <c r="E194" s="3" t="s">
        <v>90</v>
      </c>
      <c r="F194" s="3" t="s">
        <v>133</v>
      </c>
      <c r="G194" s="6">
        <v>661030.75</v>
      </c>
      <c r="H194" s="6">
        <f t="shared" si="8"/>
        <v>100835.19915254239</v>
      </c>
      <c r="I194" s="6"/>
      <c r="J194" s="3" t="s">
        <v>18</v>
      </c>
      <c r="P194"/>
      <c r="Q194"/>
      <c r="R194" s="80"/>
      <c r="S194" s="80"/>
    </row>
    <row r="195" spans="2:19" x14ac:dyDescent="0.25">
      <c r="B195" s="3" t="s">
        <v>327</v>
      </c>
      <c r="C195" s="2" t="s">
        <v>132</v>
      </c>
      <c r="D195" s="3" t="s">
        <v>325</v>
      </c>
      <c r="E195" s="3" t="s">
        <v>90</v>
      </c>
      <c r="F195" s="3" t="s">
        <v>133</v>
      </c>
      <c r="G195" s="6">
        <v>123694.44</v>
      </c>
      <c r="H195" s="6">
        <f t="shared" si="8"/>
        <v>18868.643389830497</v>
      </c>
      <c r="I195" s="6"/>
      <c r="J195" s="3" t="s">
        <v>18</v>
      </c>
      <c r="P195"/>
      <c r="Q195"/>
      <c r="R195" s="80"/>
      <c r="S195" s="80"/>
    </row>
    <row r="196" spans="2:19" x14ac:dyDescent="0.25">
      <c r="B196" s="3" t="s">
        <v>327</v>
      </c>
      <c r="C196" s="2" t="s">
        <v>132</v>
      </c>
      <c r="D196" s="3" t="s">
        <v>325</v>
      </c>
      <c r="E196" s="3" t="s">
        <v>90</v>
      </c>
      <c r="F196" s="3" t="s">
        <v>133</v>
      </c>
      <c r="G196" s="6">
        <v>4795</v>
      </c>
      <c r="H196" s="6">
        <f t="shared" si="8"/>
        <v>731.4406779661017</v>
      </c>
      <c r="I196" s="6"/>
      <c r="J196" s="3" t="s">
        <v>18</v>
      </c>
      <c r="P196"/>
      <c r="Q196"/>
      <c r="R196" s="80"/>
      <c r="S196" s="80"/>
    </row>
    <row r="197" spans="2:19" x14ac:dyDescent="0.25">
      <c r="B197" s="3" t="s">
        <v>269</v>
      </c>
      <c r="C197" s="2" t="s">
        <v>94</v>
      </c>
      <c r="D197" s="3" t="s">
        <v>284</v>
      </c>
      <c r="E197" s="3" t="s">
        <v>90</v>
      </c>
      <c r="F197" s="3" t="s">
        <v>133</v>
      </c>
      <c r="G197" s="6">
        <v>17015.099999999999</v>
      </c>
      <c r="H197" s="6">
        <f t="shared" si="8"/>
        <v>2595.5237288135577</v>
      </c>
      <c r="I197" s="6"/>
      <c r="J197" s="3" t="s">
        <v>18</v>
      </c>
      <c r="P197"/>
      <c r="Q197"/>
      <c r="R197" s="80"/>
      <c r="S197" s="80"/>
    </row>
    <row r="198" spans="2:19" x14ac:dyDescent="0.25">
      <c r="B198" s="3" t="s">
        <v>288</v>
      </c>
      <c r="C198" s="2" t="s">
        <v>94</v>
      </c>
      <c r="D198" s="3" t="s">
        <v>286</v>
      </c>
      <c r="E198" s="3" t="s">
        <v>90</v>
      </c>
      <c r="F198" s="3" t="s">
        <v>133</v>
      </c>
      <c r="G198" s="6">
        <v>5734.67</v>
      </c>
      <c r="H198" s="6">
        <f t="shared" si="8"/>
        <v>874.78016949152516</v>
      </c>
      <c r="I198" s="6"/>
      <c r="J198" s="3" t="s">
        <v>18</v>
      </c>
      <c r="P198"/>
      <c r="Q198"/>
      <c r="R198" s="80"/>
      <c r="S198" s="80"/>
    </row>
    <row r="199" spans="2:19" x14ac:dyDescent="0.25">
      <c r="B199" s="3" t="s">
        <v>288</v>
      </c>
      <c r="C199" s="2" t="s">
        <v>94</v>
      </c>
      <c r="D199" s="3" t="s">
        <v>286</v>
      </c>
      <c r="E199" s="3" t="s">
        <v>90</v>
      </c>
      <c r="F199" s="3" t="s">
        <v>133</v>
      </c>
      <c r="G199" s="6">
        <v>2535.75</v>
      </c>
      <c r="H199" s="6">
        <f t="shared" si="8"/>
        <v>386.8093220338983</v>
      </c>
      <c r="I199" s="6"/>
      <c r="J199" s="3" t="s">
        <v>18</v>
      </c>
      <c r="P199"/>
      <c r="Q199"/>
      <c r="R199" s="80"/>
      <c r="S199" s="80"/>
    </row>
    <row r="200" spans="2:19" x14ac:dyDescent="0.25">
      <c r="B200" s="3" t="s">
        <v>412</v>
      </c>
      <c r="C200" s="2" t="s">
        <v>30</v>
      </c>
      <c r="D200" s="3" t="s">
        <v>409</v>
      </c>
      <c r="E200" s="3" t="s">
        <v>87</v>
      </c>
      <c r="F200" s="3" t="s">
        <v>133</v>
      </c>
      <c r="G200" s="6">
        <v>48393.342867701002</v>
      </c>
      <c r="H200" s="6">
        <f t="shared" si="8"/>
        <v>7382.0353527001498</v>
      </c>
      <c r="I200" s="6"/>
      <c r="J200" s="3" t="s">
        <v>113</v>
      </c>
      <c r="P200"/>
      <c r="Q200"/>
      <c r="R200" s="80"/>
      <c r="S200" s="80"/>
    </row>
    <row r="201" spans="2:19" x14ac:dyDescent="0.25">
      <c r="B201" s="3" t="s">
        <v>567</v>
      </c>
      <c r="C201" s="2" t="s">
        <v>56</v>
      </c>
      <c r="D201" s="3" t="s">
        <v>566</v>
      </c>
      <c r="E201" s="3" t="s">
        <v>87</v>
      </c>
      <c r="F201" s="3" t="s">
        <v>133</v>
      </c>
      <c r="G201" s="6">
        <v>48342.67</v>
      </c>
      <c r="H201" s="6">
        <f t="shared" si="8"/>
        <v>7374.3055932203351</v>
      </c>
      <c r="I201" s="6"/>
      <c r="J201" s="3" t="s">
        <v>113</v>
      </c>
      <c r="P201"/>
      <c r="Q201"/>
      <c r="R201" s="80"/>
      <c r="S201" s="80"/>
    </row>
    <row r="202" spans="2:19" x14ac:dyDescent="0.25">
      <c r="B202" s="3" t="s">
        <v>411</v>
      </c>
      <c r="C202" s="2" t="s">
        <v>57</v>
      </c>
      <c r="D202" s="3" t="s">
        <v>507</v>
      </c>
      <c r="E202" s="3" t="s">
        <v>87</v>
      </c>
      <c r="F202" s="3" t="s">
        <v>133</v>
      </c>
      <c r="G202" s="6">
        <v>1000000</v>
      </c>
      <c r="H202" s="6">
        <f t="shared" si="8"/>
        <v>152542.37288135593</v>
      </c>
      <c r="I202" s="6"/>
      <c r="J202" s="3" t="s">
        <v>113</v>
      </c>
      <c r="P202"/>
      <c r="Q202"/>
      <c r="R202" s="80"/>
      <c r="S202" s="80"/>
    </row>
    <row r="203" spans="2:19" x14ac:dyDescent="0.25">
      <c r="B203" s="3" t="s">
        <v>410</v>
      </c>
      <c r="C203" s="2" t="s">
        <v>47</v>
      </c>
      <c r="D203" s="3" t="s">
        <v>404</v>
      </c>
      <c r="E203" s="3" t="s">
        <v>87</v>
      </c>
      <c r="F203" s="3" t="s">
        <v>133</v>
      </c>
      <c r="G203" s="6">
        <v>111198.46</v>
      </c>
      <c r="H203" s="6">
        <f t="shared" si="8"/>
        <v>16962.476949152537</v>
      </c>
      <c r="I203" s="6"/>
      <c r="J203" s="3" t="s">
        <v>113</v>
      </c>
      <c r="P203"/>
      <c r="Q203"/>
      <c r="R203" s="80"/>
      <c r="S203" s="80"/>
    </row>
    <row r="204" spans="2:19" x14ac:dyDescent="0.25">
      <c r="B204" s="3" t="s">
        <v>328</v>
      </c>
      <c r="C204" s="2" t="s">
        <v>132</v>
      </c>
      <c r="D204" s="3" t="s">
        <v>330</v>
      </c>
      <c r="E204" s="3" t="s">
        <v>90</v>
      </c>
      <c r="F204" s="3" t="s">
        <v>133</v>
      </c>
      <c r="G204" s="6">
        <v>62290.37</v>
      </c>
      <c r="H204" s="6">
        <f t="shared" si="8"/>
        <v>9501.9208474576226</v>
      </c>
      <c r="I204" s="6"/>
      <c r="J204" s="3" t="s">
        <v>18</v>
      </c>
      <c r="P204"/>
      <c r="Q204"/>
      <c r="R204" s="80"/>
      <c r="S204" s="80"/>
    </row>
    <row r="205" spans="2:19" x14ac:dyDescent="0.25">
      <c r="B205" s="3" t="s">
        <v>268</v>
      </c>
      <c r="C205" s="2" t="s">
        <v>94</v>
      </c>
      <c r="D205" s="3" t="s">
        <v>283</v>
      </c>
      <c r="E205" s="3" t="s">
        <v>90</v>
      </c>
      <c r="F205" s="3" t="s">
        <v>133</v>
      </c>
      <c r="G205" s="6">
        <v>55782.94</v>
      </c>
      <c r="H205" s="6">
        <f t="shared" si="8"/>
        <v>8509.2620338983033</v>
      </c>
      <c r="I205" s="6"/>
      <c r="J205" s="3" t="s">
        <v>18</v>
      </c>
      <c r="P205"/>
      <c r="Q205"/>
      <c r="R205" s="80"/>
      <c r="S205" s="80"/>
    </row>
    <row r="206" spans="2:19" x14ac:dyDescent="0.25">
      <c r="B206" s="3" t="s">
        <v>298</v>
      </c>
      <c r="C206" s="2" t="s">
        <v>132</v>
      </c>
      <c r="D206" s="3" t="s">
        <v>314</v>
      </c>
      <c r="E206" s="3" t="s">
        <v>90</v>
      </c>
      <c r="F206" s="3" t="s">
        <v>133</v>
      </c>
      <c r="G206" s="6">
        <v>41721.870000000003</v>
      </c>
      <c r="H206" s="6">
        <f t="shared" si="8"/>
        <v>6364.3530508474578</v>
      </c>
      <c r="I206" s="6"/>
      <c r="J206" s="3" t="s">
        <v>18</v>
      </c>
      <c r="P206"/>
      <c r="Q206"/>
      <c r="R206" s="80"/>
      <c r="S206" s="80"/>
    </row>
    <row r="207" spans="2:19" x14ac:dyDescent="0.25">
      <c r="B207" s="3" t="s">
        <v>570</v>
      </c>
      <c r="C207" s="2" t="s">
        <v>74</v>
      </c>
      <c r="D207" s="3" t="s">
        <v>573</v>
      </c>
      <c r="E207" s="3" t="s">
        <v>90</v>
      </c>
      <c r="F207" s="3" t="s">
        <v>133</v>
      </c>
      <c r="G207" s="6">
        <v>46690.54</v>
      </c>
      <c r="H207" s="6">
        <f t="shared" si="8"/>
        <v>7122.2857627118647</v>
      </c>
      <c r="I207" s="6"/>
      <c r="J207" s="3" t="s">
        <v>18</v>
      </c>
      <c r="P207"/>
      <c r="Q207"/>
      <c r="R207" s="80"/>
      <c r="S207" s="80"/>
    </row>
    <row r="208" spans="2:19" x14ac:dyDescent="0.25">
      <c r="B208" s="3" t="s">
        <v>570</v>
      </c>
      <c r="C208" s="2" t="s">
        <v>74</v>
      </c>
      <c r="D208" s="3" t="s">
        <v>573</v>
      </c>
      <c r="E208" s="3" t="s">
        <v>90</v>
      </c>
      <c r="F208" s="3" t="s">
        <v>133</v>
      </c>
      <c r="G208" s="6">
        <v>1835.75</v>
      </c>
      <c r="H208" s="6">
        <f t="shared" si="8"/>
        <v>280.02966101694915</v>
      </c>
      <c r="I208" s="6"/>
      <c r="J208" s="3" t="s">
        <v>18</v>
      </c>
      <c r="P208"/>
      <c r="Q208"/>
      <c r="R208" s="80"/>
      <c r="S208" s="80"/>
    </row>
    <row r="209" spans="2:19" x14ac:dyDescent="0.25">
      <c r="B209" s="3" t="s">
        <v>291</v>
      </c>
      <c r="C209" s="2" t="s">
        <v>94</v>
      </c>
      <c r="D209" s="3" t="s">
        <v>289</v>
      </c>
      <c r="E209" s="3" t="s">
        <v>90</v>
      </c>
      <c r="F209" s="3" t="s">
        <v>133</v>
      </c>
      <c r="G209" s="6">
        <v>50560.07</v>
      </c>
      <c r="H209" s="6">
        <f t="shared" si="8"/>
        <v>7712.5530508474549</v>
      </c>
      <c r="I209" s="6"/>
      <c r="J209" s="3" t="s">
        <v>18</v>
      </c>
      <c r="P209"/>
      <c r="Q209"/>
      <c r="R209" s="80"/>
      <c r="S209" s="80"/>
    </row>
    <row r="210" spans="2:19" x14ac:dyDescent="0.25">
      <c r="B210" s="3" t="s">
        <v>291</v>
      </c>
      <c r="C210" s="2" t="s">
        <v>94</v>
      </c>
      <c r="D210" s="3" t="s">
        <v>289</v>
      </c>
      <c r="E210" s="3" t="s">
        <v>90</v>
      </c>
      <c r="F210" s="3" t="s">
        <v>133</v>
      </c>
      <c r="G210" s="6">
        <v>670.25</v>
      </c>
      <c r="H210" s="6">
        <f t="shared" si="8"/>
        <v>102.24152542372883</v>
      </c>
      <c r="I210" s="6"/>
      <c r="J210" s="3" t="s">
        <v>18</v>
      </c>
      <c r="P210"/>
      <c r="Q210"/>
      <c r="R210" s="80"/>
      <c r="S210" s="80"/>
    </row>
    <row r="211" spans="2:19" x14ac:dyDescent="0.25">
      <c r="B211" s="3" t="s">
        <v>571</v>
      </c>
      <c r="C211" s="2" t="s">
        <v>74</v>
      </c>
      <c r="D211" s="3" t="s">
        <v>572</v>
      </c>
      <c r="E211" s="3" t="s">
        <v>90</v>
      </c>
      <c r="F211" s="3" t="s">
        <v>133</v>
      </c>
      <c r="G211" s="6">
        <v>24010.1</v>
      </c>
      <c r="H211" s="6">
        <f t="shared" si="8"/>
        <v>3662.5576271186437</v>
      </c>
      <c r="I211" s="6"/>
      <c r="J211" s="3" t="s">
        <v>18</v>
      </c>
      <c r="P211"/>
      <c r="Q211"/>
      <c r="R211" s="80"/>
      <c r="S211" s="80"/>
    </row>
    <row r="212" spans="2:19" x14ac:dyDescent="0.25">
      <c r="B212" s="3" t="s">
        <v>382</v>
      </c>
      <c r="C212" s="2" t="s">
        <v>33</v>
      </c>
      <c r="D212" s="3" t="s">
        <v>548</v>
      </c>
      <c r="E212" s="3" t="s">
        <v>71</v>
      </c>
      <c r="F212" s="3" t="s">
        <v>133</v>
      </c>
      <c r="G212" s="6">
        <v>8153</v>
      </c>
      <c r="H212" s="6">
        <f t="shared" si="8"/>
        <v>1243.6779661016944</v>
      </c>
      <c r="I212" s="6"/>
      <c r="J212" s="3" t="s">
        <v>113</v>
      </c>
      <c r="P212"/>
      <c r="Q212"/>
      <c r="R212" s="80"/>
      <c r="S212" s="80"/>
    </row>
    <row r="213" spans="2:19" x14ac:dyDescent="0.25">
      <c r="B213" s="3" t="s">
        <v>394</v>
      </c>
      <c r="C213" s="2" t="s">
        <v>35</v>
      </c>
      <c r="D213" s="3" t="s">
        <v>392</v>
      </c>
      <c r="E213" s="3" t="s">
        <v>71</v>
      </c>
      <c r="F213" s="3" t="s">
        <v>133</v>
      </c>
      <c r="G213" s="6">
        <v>10559</v>
      </c>
      <c r="H213" s="6">
        <f t="shared" si="8"/>
        <v>1610.6949152542365</v>
      </c>
      <c r="I213" s="6"/>
      <c r="J213" s="3" t="s">
        <v>113</v>
      </c>
      <c r="P213"/>
      <c r="Q213"/>
      <c r="R213" s="80"/>
      <c r="S213" s="80"/>
    </row>
    <row r="214" spans="2:19" x14ac:dyDescent="0.25">
      <c r="B214" s="3" t="s">
        <v>296</v>
      </c>
      <c r="C214" s="2" t="s">
        <v>74</v>
      </c>
      <c r="D214" s="3" t="s">
        <v>306</v>
      </c>
      <c r="E214" s="3" t="s">
        <v>90</v>
      </c>
      <c r="F214" s="3" t="s">
        <v>133</v>
      </c>
      <c r="G214" s="6">
        <v>20844.45</v>
      </c>
      <c r="H214" s="6">
        <f t="shared" si="8"/>
        <v>3179.6618644067785</v>
      </c>
      <c r="I214" s="6"/>
      <c r="J214" s="3" t="s">
        <v>18</v>
      </c>
      <c r="P214"/>
      <c r="Q214"/>
      <c r="R214" s="80"/>
      <c r="S214" s="80"/>
    </row>
    <row r="215" spans="2:19" x14ac:dyDescent="0.25">
      <c r="B215" s="3" t="s">
        <v>376</v>
      </c>
      <c r="C215" s="2" t="s">
        <v>32</v>
      </c>
      <c r="D215" s="3" t="s">
        <v>517</v>
      </c>
      <c r="E215" s="3" t="s">
        <v>71</v>
      </c>
      <c r="F215" s="3" t="s">
        <v>133</v>
      </c>
      <c r="G215" s="6">
        <v>30474</v>
      </c>
      <c r="H215" s="6">
        <f t="shared" si="8"/>
        <v>4648.5762711864409</v>
      </c>
      <c r="I215" s="6" t="s">
        <v>638</v>
      </c>
      <c r="J215" s="3" t="s">
        <v>113</v>
      </c>
      <c r="P215"/>
      <c r="Q215"/>
      <c r="R215" s="80"/>
      <c r="S215" s="80"/>
    </row>
    <row r="216" spans="2:19" x14ac:dyDescent="0.25">
      <c r="B216" s="3" t="s">
        <v>372</v>
      </c>
      <c r="C216" s="2" t="s">
        <v>4</v>
      </c>
      <c r="D216" s="3" t="s">
        <v>370</v>
      </c>
      <c r="E216" s="3" t="s">
        <v>71</v>
      </c>
      <c r="F216" s="3" t="s">
        <v>133</v>
      </c>
      <c r="G216" s="6">
        <v>14030</v>
      </c>
      <c r="H216" s="14">
        <f t="shared" si="8"/>
        <v>2140.1694915254229</v>
      </c>
      <c r="I216" s="6" t="s">
        <v>639</v>
      </c>
      <c r="J216" s="3" t="s">
        <v>113</v>
      </c>
      <c r="P216"/>
      <c r="Q216"/>
      <c r="R216" s="80"/>
      <c r="S216" s="80"/>
    </row>
    <row r="217" spans="2:19" x14ac:dyDescent="0.25">
      <c r="B217" s="3" t="s">
        <v>388</v>
      </c>
      <c r="C217" s="2" t="s">
        <v>35</v>
      </c>
      <c r="D217" s="3" t="s">
        <v>386</v>
      </c>
      <c r="E217" s="3" t="s">
        <v>71</v>
      </c>
      <c r="F217" s="3" t="s">
        <v>133</v>
      </c>
      <c r="G217" s="6">
        <v>5321</v>
      </c>
      <c r="H217" s="6">
        <f t="shared" ref="H217:H278" si="9">G217-G217/1.18</f>
        <v>811.67796610169444</v>
      </c>
      <c r="I217" s="6"/>
      <c r="J217" s="3" t="s">
        <v>113</v>
      </c>
      <c r="P217"/>
      <c r="Q217"/>
      <c r="R217" s="80"/>
      <c r="S217" s="80"/>
    </row>
    <row r="218" spans="2:19" x14ac:dyDescent="0.25">
      <c r="B218" s="3" t="s">
        <v>382</v>
      </c>
      <c r="C218" s="2" t="s">
        <v>33</v>
      </c>
      <c r="D218" s="3" t="s">
        <v>548</v>
      </c>
      <c r="E218" s="3" t="s">
        <v>71</v>
      </c>
      <c r="F218" s="3" t="s">
        <v>133</v>
      </c>
      <c r="G218" s="6">
        <v>5960</v>
      </c>
      <c r="H218" s="6">
        <f t="shared" si="9"/>
        <v>909.15254237288082</v>
      </c>
      <c r="I218" s="6"/>
      <c r="J218" s="3" t="s">
        <v>113</v>
      </c>
      <c r="P218"/>
      <c r="Q218"/>
      <c r="R218" s="80"/>
      <c r="S218" s="80"/>
    </row>
    <row r="219" spans="2:19" x14ac:dyDescent="0.25">
      <c r="B219" s="3" t="s">
        <v>385</v>
      </c>
      <c r="C219" s="2" t="s">
        <v>35</v>
      </c>
      <c r="D219" s="3" t="s">
        <v>383</v>
      </c>
      <c r="E219" s="3" t="s">
        <v>71</v>
      </c>
      <c r="F219" s="3" t="s">
        <v>133</v>
      </c>
      <c r="G219" s="6">
        <v>3081.75</v>
      </c>
      <c r="H219" s="6">
        <f t="shared" si="9"/>
        <v>470.09745762711873</v>
      </c>
      <c r="I219" s="6"/>
      <c r="J219" s="3" t="s">
        <v>113</v>
      </c>
      <c r="P219"/>
      <c r="Q219"/>
      <c r="R219" s="87"/>
      <c r="S219" s="87"/>
    </row>
    <row r="220" spans="2:19" x14ac:dyDescent="0.25">
      <c r="B220" s="3" t="s">
        <v>391</v>
      </c>
      <c r="C220" s="2" t="s">
        <v>35</v>
      </c>
      <c r="D220" s="3" t="s">
        <v>390</v>
      </c>
      <c r="E220" s="3" t="s">
        <v>71</v>
      </c>
      <c r="F220" s="3" t="s">
        <v>133</v>
      </c>
      <c r="G220" s="6">
        <v>2723</v>
      </c>
      <c r="H220" s="6">
        <f t="shared" si="9"/>
        <v>415.3728813559319</v>
      </c>
      <c r="I220" s="6"/>
      <c r="J220" s="3" t="s">
        <v>113</v>
      </c>
      <c r="P220"/>
      <c r="Q220"/>
      <c r="R220" s="87"/>
      <c r="S220" s="87"/>
    </row>
    <row r="221" spans="2:19" x14ac:dyDescent="0.25">
      <c r="B221" s="3" t="s">
        <v>367</v>
      </c>
      <c r="C221" s="2" t="s">
        <v>16</v>
      </c>
      <c r="D221" s="3" t="s">
        <v>365</v>
      </c>
      <c r="E221" s="3" t="s">
        <v>71</v>
      </c>
      <c r="F221" s="3" t="s">
        <v>133</v>
      </c>
      <c r="G221" s="6">
        <v>4716.25</v>
      </c>
      <c r="H221" s="6">
        <f t="shared" si="9"/>
        <v>719.42796610169489</v>
      </c>
      <c r="I221" s="6"/>
      <c r="J221" s="3" t="s">
        <v>113</v>
      </c>
      <c r="P221"/>
      <c r="Q221"/>
      <c r="R221" s="87"/>
      <c r="S221" s="87"/>
    </row>
    <row r="222" spans="2:19" x14ac:dyDescent="0.25">
      <c r="B222" s="3" t="s">
        <v>295</v>
      </c>
      <c r="C222" s="2" t="s">
        <v>74</v>
      </c>
      <c r="D222" s="3" t="s">
        <v>304</v>
      </c>
      <c r="E222" s="3" t="s">
        <v>90</v>
      </c>
      <c r="F222" s="3" t="s">
        <v>133</v>
      </c>
      <c r="G222" s="6">
        <v>162</v>
      </c>
      <c r="H222" s="6">
        <f t="shared" si="9"/>
        <v>24.711864406779654</v>
      </c>
      <c r="I222" s="6"/>
      <c r="J222" s="3" t="s">
        <v>18</v>
      </c>
      <c r="P222"/>
      <c r="Q222"/>
      <c r="R222" s="80"/>
      <c r="S222" s="80"/>
    </row>
    <row r="223" spans="2:19" x14ac:dyDescent="0.25">
      <c r="B223" s="3" t="s">
        <v>252</v>
      </c>
      <c r="C223" s="2" t="s">
        <v>94</v>
      </c>
      <c r="D223" s="3" t="s">
        <v>280</v>
      </c>
      <c r="E223" s="3" t="s">
        <v>90</v>
      </c>
      <c r="F223" s="3" t="s">
        <v>133</v>
      </c>
      <c r="G223" s="6">
        <v>6041</v>
      </c>
      <c r="H223" s="6">
        <f t="shared" si="9"/>
        <v>921.5084745762706</v>
      </c>
      <c r="I223" s="6"/>
      <c r="J223" s="3" t="s">
        <v>18</v>
      </c>
      <c r="K223" s="18"/>
      <c r="P223"/>
      <c r="Q223"/>
      <c r="R223" s="80"/>
      <c r="S223" s="80"/>
    </row>
    <row r="224" spans="2:19" x14ac:dyDescent="0.25">
      <c r="B224" s="3" t="s">
        <v>263</v>
      </c>
      <c r="C224" s="2" t="s">
        <v>94</v>
      </c>
      <c r="D224" s="3" t="s">
        <v>270</v>
      </c>
      <c r="E224" s="3" t="s">
        <v>90</v>
      </c>
      <c r="F224" s="3" t="s">
        <v>133</v>
      </c>
      <c r="G224" s="6">
        <v>3741.5</v>
      </c>
      <c r="H224" s="6">
        <f t="shared" si="9"/>
        <v>570.73728813559319</v>
      </c>
      <c r="I224" s="6"/>
      <c r="J224" s="3" t="s">
        <v>18</v>
      </c>
      <c r="K224" s="18"/>
      <c r="P224"/>
      <c r="Q224"/>
      <c r="R224" s="80"/>
      <c r="S224" s="80"/>
    </row>
    <row r="225" spans="2:19" x14ac:dyDescent="0.25">
      <c r="B225" s="3" t="s">
        <v>264</v>
      </c>
      <c r="C225" s="2" t="s">
        <v>94</v>
      </c>
      <c r="D225" s="3" t="s">
        <v>272</v>
      </c>
      <c r="E225" s="3" t="s">
        <v>90</v>
      </c>
      <c r="F225" s="3" t="s">
        <v>133</v>
      </c>
      <c r="G225" s="6">
        <v>5575.5</v>
      </c>
      <c r="H225" s="6">
        <f t="shared" si="9"/>
        <v>850.5</v>
      </c>
      <c r="I225" s="6"/>
      <c r="J225" s="3" t="s">
        <v>18</v>
      </c>
      <c r="P225"/>
      <c r="Q225"/>
      <c r="R225" s="80"/>
      <c r="S225" s="80"/>
    </row>
    <row r="226" spans="2:19" x14ac:dyDescent="0.25">
      <c r="B226" s="3" t="s">
        <v>267</v>
      </c>
      <c r="C226" s="2" t="s">
        <v>94</v>
      </c>
      <c r="D226" s="3" t="s">
        <v>278</v>
      </c>
      <c r="E226" s="3" t="s">
        <v>90</v>
      </c>
      <c r="F226" s="3" t="s">
        <v>133</v>
      </c>
      <c r="G226" s="6">
        <v>2682.75</v>
      </c>
      <c r="H226" s="6">
        <f t="shared" si="9"/>
        <v>409.23305084745743</v>
      </c>
      <c r="I226" s="6"/>
      <c r="J226" s="3" t="s">
        <v>18</v>
      </c>
      <c r="P226"/>
      <c r="Q226"/>
      <c r="R226" s="80"/>
      <c r="S226" s="80"/>
    </row>
    <row r="227" spans="2:19" x14ac:dyDescent="0.25">
      <c r="B227" s="3" t="s">
        <v>299</v>
      </c>
      <c r="C227" s="2" t="s">
        <v>95</v>
      </c>
      <c r="D227" s="3" t="s">
        <v>316</v>
      </c>
      <c r="E227" s="3" t="s">
        <v>90</v>
      </c>
      <c r="F227" s="3" t="s">
        <v>133</v>
      </c>
      <c r="G227" s="6">
        <v>6874</v>
      </c>
      <c r="H227" s="6">
        <f t="shared" si="9"/>
        <v>1048.57627118644</v>
      </c>
      <c r="I227" s="6"/>
      <c r="J227" s="3" t="s">
        <v>18</v>
      </c>
      <c r="K227" s="70" t="s">
        <v>665</v>
      </c>
      <c r="P227"/>
      <c r="Q227"/>
      <c r="R227" s="80"/>
      <c r="S227" s="80"/>
    </row>
    <row r="228" spans="2:19" x14ac:dyDescent="0.25">
      <c r="B228" s="3" t="s">
        <v>301</v>
      </c>
      <c r="C228" s="2" t="s">
        <v>132</v>
      </c>
      <c r="D228" s="3" t="s">
        <v>320</v>
      </c>
      <c r="E228" s="3" t="s">
        <v>90</v>
      </c>
      <c r="F228" s="3" t="s">
        <v>133</v>
      </c>
      <c r="G228" s="6">
        <v>1548.75</v>
      </c>
      <c r="H228" s="6">
        <f t="shared" si="9"/>
        <v>236.25</v>
      </c>
      <c r="I228" s="6"/>
      <c r="J228" s="3" t="s">
        <v>18</v>
      </c>
      <c r="P228"/>
      <c r="Q228"/>
      <c r="R228" s="80"/>
      <c r="S228" s="80"/>
    </row>
    <row r="229" spans="2:19" x14ac:dyDescent="0.25">
      <c r="B229" s="3" t="s">
        <v>569</v>
      </c>
      <c r="C229" s="2" t="s">
        <v>94</v>
      </c>
      <c r="D229" s="3" t="s">
        <v>574</v>
      </c>
      <c r="E229" s="3" t="s">
        <v>90</v>
      </c>
      <c r="F229" s="3" t="s">
        <v>133</v>
      </c>
      <c r="G229" s="6">
        <v>2558.5</v>
      </c>
      <c r="H229" s="6">
        <f t="shared" si="9"/>
        <v>390.27966101694892</v>
      </c>
      <c r="I229" s="6"/>
      <c r="J229" s="3" t="s">
        <v>18</v>
      </c>
      <c r="P229"/>
      <c r="Q229"/>
      <c r="R229" s="80"/>
      <c r="S229" s="80"/>
    </row>
    <row r="230" spans="2:19" x14ac:dyDescent="0.25">
      <c r="B230" s="8" t="s">
        <v>424</v>
      </c>
      <c r="C230" s="10" t="s">
        <v>93</v>
      </c>
      <c r="D230" s="3" t="s">
        <v>443</v>
      </c>
      <c r="E230" s="3" t="s">
        <v>87</v>
      </c>
      <c r="F230" s="3" t="s">
        <v>133</v>
      </c>
      <c r="G230" s="6">
        <v>77820.83</v>
      </c>
      <c r="H230" s="6">
        <f t="shared" si="9"/>
        <v>11870.974067796604</v>
      </c>
      <c r="I230" s="6"/>
      <c r="J230" s="3" t="s">
        <v>18</v>
      </c>
      <c r="P230"/>
      <c r="Q230"/>
      <c r="R230" s="80"/>
      <c r="S230" s="80"/>
    </row>
    <row r="231" spans="2:19" x14ac:dyDescent="0.25">
      <c r="B231" s="3" t="s">
        <v>423</v>
      </c>
      <c r="C231" s="2" t="s">
        <v>93</v>
      </c>
      <c r="D231" s="3" t="s">
        <v>441</v>
      </c>
      <c r="E231" s="3" t="s">
        <v>87</v>
      </c>
      <c r="F231" s="3" t="s">
        <v>133</v>
      </c>
      <c r="G231" s="6">
        <v>47280.69</v>
      </c>
      <c r="H231" s="6">
        <f t="shared" si="9"/>
        <v>7212.3086440677944</v>
      </c>
      <c r="I231" s="6"/>
      <c r="J231" s="3" t="s">
        <v>18</v>
      </c>
      <c r="P231"/>
      <c r="Q231"/>
      <c r="R231" s="80"/>
      <c r="S231" s="80"/>
    </row>
    <row r="232" spans="2:19" x14ac:dyDescent="0.25">
      <c r="B232" s="3" t="s">
        <v>433</v>
      </c>
      <c r="C232" s="2" t="s">
        <v>88</v>
      </c>
      <c r="D232" s="3" t="s">
        <v>463</v>
      </c>
      <c r="E232" s="3" t="s">
        <v>87</v>
      </c>
      <c r="F232" s="3" t="s">
        <v>133</v>
      </c>
      <c r="G232" s="6">
        <v>14121.39</v>
      </c>
      <c r="H232" s="6">
        <f t="shared" si="9"/>
        <v>2154.1103389830496</v>
      </c>
      <c r="I232" s="6"/>
      <c r="J232" s="3" t="s">
        <v>18</v>
      </c>
      <c r="P232"/>
      <c r="Q232"/>
      <c r="R232" s="80"/>
      <c r="S232" s="80"/>
    </row>
    <row r="233" spans="2:19" x14ac:dyDescent="0.25">
      <c r="B233" s="3" t="s">
        <v>425</v>
      </c>
      <c r="C233" s="2" t="s">
        <v>93</v>
      </c>
      <c r="D233" s="3" t="s">
        <v>445</v>
      </c>
      <c r="E233" s="3" t="s">
        <v>87</v>
      </c>
      <c r="F233" s="3" t="s">
        <v>133</v>
      </c>
      <c r="G233" s="6">
        <v>73926.681524850006</v>
      </c>
      <c r="H233" s="6">
        <f t="shared" si="9"/>
        <v>11276.951419044912</v>
      </c>
      <c r="I233" s="6"/>
      <c r="J233" s="3" t="s">
        <v>18</v>
      </c>
      <c r="P233"/>
      <c r="Q233"/>
      <c r="R233" s="80"/>
      <c r="S233" s="80"/>
    </row>
    <row r="234" spans="2:19" x14ac:dyDescent="0.25">
      <c r="B234" s="3" t="s">
        <v>422</v>
      </c>
      <c r="C234" s="2" t="s">
        <v>91</v>
      </c>
      <c r="D234" s="3" t="s">
        <v>439</v>
      </c>
      <c r="E234" s="3" t="s">
        <v>87</v>
      </c>
      <c r="F234" s="3" t="s">
        <v>133</v>
      </c>
      <c r="G234" s="6">
        <v>3187.99</v>
      </c>
      <c r="H234" s="6">
        <f t="shared" si="9"/>
        <v>486.30355932203383</v>
      </c>
      <c r="I234" s="6"/>
      <c r="J234" s="3" t="s">
        <v>18</v>
      </c>
      <c r="P234"/>
      <c r="Q234"/>
      <c r="R234" s="87"/>
      <c r="S234" s="87"/>
    </row>
    <row r="235" spans="2:19" x14ac:dyDescent="0.25">
      <c r="B235" s="3" t="s">
        <v>418</v>
      </c>
      <c r="C235" s="2" t="s">
        <v>91</v>
      </c>
      <c r="D235" s="3" t="s">
        <v>416</v>
      </c>
      <c r="E235" s="3" t="s">
        <v>87</v>
      </c>
      <c r="F235" s="3" t="s">
        <v>133</v>
      </c>
      <c r="G235" s="6">
        <v>5273.67</v>
      </c>
      <c r="H235" s="6">
        <f t="shared" si="9"/>
        <v>804.4581355932205</v>
      </c>
      <c r="I235" s="6"/>
      <c r="J235" s="3" t="s">
        <v>18</v>
      </c>
      <c r="P235"/>
      <c r="Q235"/>
      <c r="R235" s="80"/>
      <c r="S235" s="80"/>
    </row>
    <row r="236" spans="2:19" x14ac:dyDescent="0.25">
      <c r="B236" s="3" t="s">
        <v>420</v>
      </c>
      <c r="C236" s="2" t="s">
        <v>91</v>
      </c>
      <c r="D236" s="3" t="s">
        <v>435</v>
      </c>
      <c r="E236" s="3" t="s">
        <v>87</v>
      </c>
      <c r="F236" s="3" t="s">
        <v>133</v>
      </c>
      <c r="G236" s="6">
        <v>4154.16</v>
      </c>
      <c r="H236" s="6">
        <f t="shared" si="9"/>
        <v>633.68542372881348</v>
      </c>
      <c r="I236" s="6"/>
      <c r="J236" s="3" t="s">
        <v>18</v>
      </c>
      <c r="P236"/>
      <c r="Q236"/>
      <c r="R236" s="87"/>
      <c r="S236" s="87"/>
    </row>
    <row r="237" spans="2:19" x14ac:dyDescent="0.25">
      <c r="B237" s="3" t="s">
        <v>421</v>
      </c>
      <c r="C237" s="2" t="s">
        <v>91</v>
      </c>
      <c r="D237" s="3" t="s">
        <v>437</v>
      </c>
      <c r="E237" s="3" t="s">
        <v>87</v>
      </c>
      <c r="F237" s="3" t="s">
        <v>133</v>
      </c>
      <c r="G237" s="6">
        <v>4499.84</v>
      </c>
      <c r="H237" s="6">
        <f t="shared" si="9"/>
        <v>686.41627118644055</v>
      </c>
      <c r="I237" s="6"/>
      <c r="J237" s="3" t="s">
        <v>18</v>
      </c>
      <c r="P237"/>
      <c r="Q237"/>
      <c r="R237" s="80"/>
      <c r="S237" s="80"/>
    </row>
    <row r="238" spans="2:19" x14ac:dyDescent="0.25">
      <c r="B238" s="3" t="s">
        <v>426</v>
      </c>
      <c r="C238" s="2" t="s">
        <v>92</v>
      </c>
      <c r="D238" s="3" t="s">
        <v>447</v>
      </c>
      <c r="E238" s="3" t="s">
        <v>87</v>
      </c>
      <c r="F238" s="3" t="s">
        <v>133</v>
      </c>
      <c r="G238" s="6">
        <v>263977.93</v>
      </c>
      <c r="H238" s="6">
        <f t="shared" si="9"/>
        <v>40267.819830508466</v>
      </c>
      <c r="I238" s="6"/>
      <c r="J238" s="3" t="s">
        <v>18</v>
      </c>
      <c r="P238"/>
      <c r="Q238"/>
      <c r="R238" s="80"/>
      <c r="S238" s="80"/>
    </row>
    <row r="239" spans="2:19" x14ac:dyDescent="0.25">
      <c r="B239" s="3" t="s">
        <v>431</v>
      </c>
      <c r="C239" s="2" t="s">
        <v>88</v>
      </c>
      <c r="D239" s="3" t="s">
        <v>459</v>
      </c>
      <c r="E239" s="3" t="s">
        <v>87</v>
      </c>
      <c r="F239" s="3" t="s">
        <v>133</v>
      </c>
      <c r="G239" s="6">
        <v>119999.52</v>
      </c>
      <c r="H239" s="6">
        <f t="shared" si="9"/>
        <v>18305.011525423717</v>
      </c>
      <c r="I239" s="6"/>
      <c r="J239" s="3" t="s">
        <v>18</v>
      </c>
      <c r="P239"/>
      <c r="Q239"/>
      <c r="R239" s="80"/>
      <c r="S239" s="80"/>
    </row>
    <row r="240" spans="2:19" x14ac:dyDescent="0.25">
      <c r="B240" s="3" t="s">
        <v>588</v>
      </c>
      <c r="C240" s="3" t="s">
        <v>47</v>
      </c>
      <c r="D240" s="3" t="s">
        <v>589</v>
      </c>
      <c r="E240" s="3" t="s">
        <v>117</v>
      </c>
      <c r="F240" s="3" t="s">
        <v>133</v>
      </c>
      <c r="G240" s="6">
        <v>5200</v>
      </c>
      <c r="H240" s="6">
        <f t="shared" si="9"/>
        <v>793.22033898305017</v>
      </c>
      <c r="I240" s="6"/>
      <c r="J240" s="3" t="s">
        <v>113</v>
      </c>
      <c r="P240"/>
      <c r="Q240"/>
      <c r="R240" s="80"/>
      <c r="S240" s="80"/>
    </row>
    <row r="241" spans="2:19" x14ac:dyDescent="0.25">
      <c r="B241" s="3" t="s">
        <v>411</v>
      </c>
      <c r="C241" s="2" t="s">
        <v>57</v>
      </c>
      <c r="D241" s="8" t="s">
        <v>507</v>
      </c>
      <c r="E241" s="8" t="s">
        <v>87</v>
      </c>
      <c r="F241" s="3" t="s">
        <v>133</v>
      </c>
      <c r="G241" s="6">
        <v>25264.75</v>
      </c>
      <c r="H241" s="6">
        <f t="shared" si="9"/>
        <v>3853.9449152542365</v>
      </c>
      <c r="I241" s="6"/>
      <c r="J241" s="3" t="s">
        <v>113</v>
      </c>
      <c r="P241"/>
      <c r="Q241"/>
      <c r="R241" s="80"/>
      <c r="S241" s="80"/>
    </row>
    <row r="242" spans="2:19" x14ac:dyDescent="0.25">
      <c r="B242" s="3" t="s">
        <v>432</v>
      </c>
      <c r="C242" s="2" t="s">
        <v>88</v>
      </c>
      <c r="D242" s="3" t="s">
        <v>461</v>
      </c>
      <c r="E242" s="3" t="s">
        <v>87</v>
      </c>
      <c r="F242" s="3" t="s">
        <v>133</v>
      </c>
      <c r="G242" s="6">
        <v>94696.55</v>
      </c>
      <c r="H242" s="6">
        <f t="shared" si="9"/>
        <v>14445.236440677967</v>
      </c>
      <c r="I242" s="6"/>
      <c r="J242" s="3" t="s">
        <v>18</v>
      </c>
      <c r="P242"/>
      <c r="Q242"/>
      <c r="R242" s="80"/>
      <c r="S242" s="80"/>
    </row>
    <row r="243" spans="2:19" x14ac:dyDescent="0.25">
      <c r="B243" s="3" t="s">
        <v>415</v>
      </c>
      <c r="C243" s="2" t="s">
        <v>91</v>
      </c>
      <c r="D243" s="3" t="s">
        <v>413</v>
      </c>
      <c r="E243" s="3" t="s">
        <v>87</v>
      </c>
      <c r="F243" s="3" t="s">
        <v>133</v>
      </c>
      <c r="G243" s="6">
        <v>426237.45</v>
      </c>
      <c r="H243" s="6">
        <f t="shared" si="9"/>
        <v>65019.272033898276</v>
      </c>
      <c r="I243" s="6"/>
      <c r="J243" s="3" t="s">
        <v>18</v>
      </c>
      <c r="P243"/>
      <c r="Q243"/>
      <c r="R243" s="80"/>
      <c r="S243" s="80"/>
    </row>
    <row r="244" spans="2:19" x14ac:dyDescent="0.25">
      <c r="B244" s="3" t="s">
        <v>427</v>
      </c>
      <c r="C244" s="3" t="s">
        <v>92</v>
      </c>
      <c r="D244" s="3" t="s">
        <v>449</v>
      </c>
      <c r="E244" s="3" t="s">
        <v>87</v>
      </c>
      <c r="F244" s="3" t="s">
        <v>133</v>
      </c>
      <c r="G244" s="6">
        <v>691360.32</v>
      </c>
      <c r="H244" s="6">
        <f t="shared" si="9"/>
        <v>105461.74372881348</v>
      </c>
      <c r="I244" s="6"/>
      <c r="J244" s="3" t="s">
        <v>18</v>
      </c>
      <c r="P244"/>
      <c r="Q244"/>
      <c r="R244" s="80"/>
      <c r="S244" s="80"/>
    </row>
    <row r="245" spans="2:19" x14ac:dyDescent="0.25">
      <c r="B245" s="3" t="s">
        <v>430</v>
      </c>
      <c r="C245" s="2"/>
      <c r="D245" s="8" t="s">
        <v>457</v>
      </c>
      <c r="E245" s="8" t="s">
        <v>87</v>
      </c>
      <c r="F245" s="3" t="s">
        <v>133</v>
      </c>
      <c r="G245" s="22">
        <f>5188.75+180131.71</f>
        <v>185320.46</v>
      </c>
      <c r="H245" s="22">
        <f t="shared" si="9"/>
        <v>28269.222711864393</v>
      </c>
      <c r="I245" s="22"/>
      <c r="J245" s="3" t="s">
        <v>18</v>
      </c>
      <c r="P245"/>
      <c r="Q245"/>
      <c r="R245" s="80"/>
      <c r="S245" s="80"/>
    </row>
    <row r="246" spans="2:19" x14ac:dyDescent="0.25">
      <c r="B246" s="3" t="s">
        <v>490</v>
      </c>
      <c r="C246" s="2" t="s">
        <v>136</v>
      </c>
      <c r="D246" s="3" t="s">
        <v>491</v>
      </c>
      <c r="E246" s="3" t="s">
        <v>87</v>
      </c>
      <c r="F246" s="3" t="s">
        <v>133</v>
      </c>
      <c r="G246" s="6">
        <v>9653.7000000000007</v>
      </c>
      <c r="H246" s="6">
        <f t="shared" si="9"/>
        <v>1472.5983050847453</v>
      </c>
      <c r="I246" s="6"/>
      <c r="J246" s="3" t="s">
        <v>18</v>
      </c>
      <c r="P246"/>
      <c r="Q246"/>
      <c r="R246" s="80"/>
      <c r="S246" s="80"/>
    </row>
    <row r="247" spans="2:19" x14ac:dyDescent="0.25">
      <c r="B247" s="3" t="s">
        <v>423</v>
      </c>
      <c r="C247" s="3" t="s">
        <v>93</v>
      </c>
      <c r="D247" s="3" t="s">
        <v>441</v>
      </c>
      <c r="E247" s="3" t="s">
        <v>87</v>
      </c>
      <c r="F247" s="3" t="s">
        <v>133</v>
      </c>
      <c r="G247" s="6">
        <v>7904.75</v>
      </c>
      <c r="H247" s="6">
        <f t="shared" si="9"/>
        <v>1205.8093220338978</v>
      </c>
      <c r="I247" s="6"/>
      <c r="J247" s="3" t="s">
        <v>18</v>
      </c>
      <c r="P247"/>
      <c r="Q247"/>
      <c r="R247" s="80"/>
      <c r="S247" s="80"/>
    </row>
    <row r="248" spans="2:19" x14ac:dyDescent="0.25">
      <c r="B248" s="3" t="s">
        <v>212</v>
      </c>
      <c r="C248" s="2" t="s">
        <v>56</v>
      </c>
      <c r="D248" s="3" t="s">
        <v>534</v>
      </c>
      <c r="E248" s="3" t="s">
        <v>105</v>
      </c>
      <c r="F248" s="3" t="s">
        <v>133</v>
      </c>
      <c r="G248" s="6">
        <v>70262.5</v>
      </c>
      <c r="H248" s="14">
        <f t="shared" si="9"/>
        <v>10718.008474576265</v>
      </c>
      <c r="I248" s="14"/>
      <c r="J248" s="3" t="s">
        <v>18</v>
      </c>
      <c r="K248" s="70" t="s">
        <v>604</v>
      </c>
      <c r="P248"/>
      <c r="Q248"/>
      <c r="R248" s="87"/>
      <c r="S248" s="87"/>
    </row>
    <row r="249" spans="2:19" x14ac:dyDescent="0.25">
      <c r="B249" s="3" t="s">
        <v>214</v>
      </c>
      <c r="C249" s="2" t="s">
        <v>91</v>
      </c>
      <c r="D249" s="3" t="s">
        <v>533</v>
      </c>
      <c r="E249" s="3" t="s">
        <v>105</v>
      </c>
      <c r="F249" s="3" t="s">
        <v>133</v>
      </c>
      <c r="G249" s="6">
        <v>41674.5</v>
      </c>
      <c r="H249" s="14">
        <f t="shared" si="9"/>
        <v>6357.1271186440645</v>
      </c>
      <c r="I249" s="14"/>
      <c r="J249" s="3" t="s">
        <v>18</v>
      </c>
      <c r="K249" s="70" t="s">
        <v>604</v>
      </c>
      <c r="P249"/>
      <c r="Q249"/>
      <c r="R249" s="80"/>
      <c r="S249" s="80"/>
    </row>
    <row r="250" spans="2:19" x14ac:dyDescent="0.25">
      <c r="B250" s="3" t="s">
        <v>215</v>
      </c>
      <c r="C250" s="2" t="s">
        <v>91</v>
      </c>
      <c r="D250" s="3" t="s">
        <v>532</v>
      </c>
      <c r="E250" s="3" t="s">
        <v>105</v>
      </c>
      <c r="F250" s="3" t="s">
        <v>133</v>
      </c>
      <c r="G250" s="6">
        <v>26290.25</v>
      </c>
      <c r="H250" s="14">
        <f t="shared" si="9"/>
        <v>4010.3771186440681</v>
      </c>
      <c r="I250" s="14"/>
      <c r="J250" s="3" t="s">
        <v>18</v>
      </c>
      <c r="K250" s="70" t="s">
        <v>604</v>
      </c>
      <c r="P250"/>
      <c r="Q250"/>
      <c r="R250" s="80"/>
      <c r="S250" s="80"/>
    </row>
    <row r="251" spans="2:19" x14ac:dyDescent="0.25">
      <c r="B251" s="3" t="s">
        <v>216</v>
      </c>
      <c r="C251" s="2" t="s">
        <v>91</v>
      </c>
      <c r="D251" s="3" t="s">
        <v>531</v>
      </c>
      <c r="E251" s="3" t="s">
        <v>105</v>
      </c>
      <c r="F251" s="3" t="s">
        <v>133</v>
      </c>
      <c r="G251" s="6">
        <v>36296.75</v>
      </c>
      <c r="H251" s="14">
        <f t="shared" si="9"/>
        <v>5536.7923728813548</v>
      </c>
      <c r="I251" s="14"/>
      <c r="J251" s="3" t="s">
        <v>18</v>
      </c>
      <c r="K251" s="70" t="s">
        <v>604</v>
      </c>
      <c r="P251"/>
      <c r="Q251"/>
      <c r="R251" s="80"/>
      <c r="S251" s="80"/>
    </row>
    <row r="252" spans="2:19" x14ac:dyDescent="0.25">
      <c r="B252" s="3" t="s">
        <v>217</v>
      </c>
      <c r="C252" s="2" t="s">
        <v>91</v>
      </c>
      <c r="D252" s="3" t="s">
        <v>530</v>
      </c>
      <c r="E252" s="3" t="s">
        <v>105</v>
      </c>
      <c r="F252" s="3" t="s">
        <v>133</v>
      </c>
      <c r="G252" s="6">
        <v>2992.5</v>
      </c>
      <c r="H252" s="14">
        <f t="shared" si="9"/>
        <v>456.48305084745743</v>
      </c>
      <c r="I252" s="14"/>
      <c r="J252" s="3" t="s">
        <v>18</v>
      </c>
      <c r="K252" s="70" t="s">
        <v>604</v>
      </c>
      <c r="P252"/>
      <c r="Q252"/>
      <c r="R252" s="80"/>
      <c r="S252" s="80"/>
    </row>
    <row r="253" spans="2:19" x14ac:dyDescent="0.25">
      <c r="B253" s="3" t="s">
        <v>218</v>
      </c>
      <c r="C253" s="2" t="s">
        <v>91</v>
      </c>
      <c r="D253" s="3" t="s">
        <v>529</v>
      </c>
      <c r="E253" s="3" t="s">
        <v>105</v>
      </c>
      <c r="F253" s="3" t="s">
        <v>133</v>
      </c>
      <c r="G253" s="6">
        <v>19864.25</v>
      </c>
      <c r="H253" s="14">
        <f t="shared" si="9"/>
        <v>3030.1398305084731</v>
      </c>
      <c r="I253" s="14"/>
      <c r="J253" s="3" t="s">
        <v>18</v>
      </c>
      <c r="K253" s="70" t="s">
        <v>604</v>
      </c>
      <c r="P253"/>
      <c r="Q253"/>
      <c r="R253" s="80"/>
      <c r="S253" s="80"/>
    </row>
    <row r="254" spans="2:19" x14ac:dyDescent="0.25">
      <c r="B254" s="3" t="s">
        <v>221</v>
      </c>
      <c r="C254" s="2" t="s">
        <v>93</v>
      </c>
      <c r="D254" s="3" t="s">
        <v>527</v>
      </c>
      <c r="E254" s="3" t="s">
        <v>105</v>
      </c>
      <c r="F254" s="3" t="s">
        <v>133</v>
      </c>
      <c r="G254" s="6">
        <v>12519.5</v>
      </c>
      <c r="H254" s="14">
        <f t="shared" si="9"/>
        <v>1909.7542372881344</v>
      </c>
      <c r="I254" s="14"/>
      <c r="J254" s="3" t="s">
        <v>18</v>
      </c>
      <c r="K254" s="70" t="s">
        <v>604</v>
      </c>
      <c r="P254"/>
      <c r="Q254"/>
      <c r="R254" s="80"/>
      <c r="S254" s="80"/>
    </row>
    <row r="255" spans="2:19" x14ac:dyDescent="0.25">
      <c r="B255" s="3" t="s">
        <v>333</v>
      </c>
      <c r="C255" s="2" t="s">
        <v>50</v>
      </c>
      <c r="D255" s="3" t="s">
        <v>340</v>
      </c>
      <c r="E255" s="3" t="s">
        <v>71</v>
      </c>
      <c r="F255" s="3" t="s">
        <v>133</v>
      </c>
      <c r="G255" s="6">
        <v>4283</v>
      </c>
      <c r="H255" s="6">
        <f t="shared" si="9"/>
        <v>653.33898305084722</v>
      </c>
      <c r="I255" s="6"/>
      <c r="J255" s="3" t="s">
        <v>18</v>
      </c>
      <c r="P255"/>
      <c r="Q255"/>
      <c r="R255" s="80"/>
      <c r="S255" s="80"/>
    </row>
    <row r="256" spans="2:19" x14ac:dyDescent="0.25">
      <c r="B256" s="3" t="s">
        <v>488</v>
      </c>
      <c r="C256" s="2" t="s">
        <v>96</v>
      </c>
      <c r="D256" s="3" t="s">
        <v>485</v>
      </c>
      <c r="E256" s="3" t="s">
        <v>71</v>
      </c>
      <c r="F256" s="3" t="s">
        <v>133</v>
      </c>
      <c r="G256" s="6">
        <v>11300</v>
      </c>
      <c r="H256" s="6">
        <f t="shared" si="9"/>
        <v>1723.7288135593208</v>
      </c>
      <c r="I256" s="6"/>
      <c r="J256" s="3" t="s">
        <v>18</v>
      </c>
      <c r="P256"/>
      <c r="Q256"/>
      <c r="R256" s="80"/>
      <c r="S256" s="80"/>
    </row>
    <row r="257" spans="2:19" x14ac:dyDescent="0.25">
      <c r="B257" s="54" t="s">
        <v>334</v>
      </c>
      <c r="C257" s="55" t="s">
        <v>96</v>
      </c>
      <c r="D257" s="54" t="s">
        <v>348</v>
      </c>
      <c r="E257" s="54" t="s">
        <v>71</v>
      </c>
      <c r="F257" s="54" t="s">
        <v>133</v>
      </c>
      <c r="G257" s="22">
        <v>20000</v>
      </c>
      <c r="H257" s="56">
        <f t="shared" si="9"/>
        <v>3050.8474576271183</v>
      </c>
      <c r="I257" s="56"/>
      <c r="J257" s="54" t="s">
        <v>18</v>
      </c>
      <c r="K257" s="65" t="s">
        <v>547</v>
      </c>
      <c r="L257" s="65"/>
      <c r="M257" s="65"/>
      <c r="N257" s="57">
        <v>200</v>
      </c>
      <c r="O257" s="57">
        <v>15</v>
      </c>
      <c r="P257" s="57"/>
      <c r="Q257" s="57" t="s">
        <v>616</v>
      </c>
      <c r="R257" s="80"/>
      <c r="S257" s="80"/>
    </row>
    <row r="258" spans="2:19" x14ac:dyDescent="0.25">
      <c r="B258" s="54" t="s">
        <v>334</v>
      </c>
      <c r="C258" s="55" t="s">
        <v>96</v>
      </c>
      <c r="D258" s="54" t="s">
        <v>348</v>
      </c>
      <c r="E258" s="54" t="s">
        <v>71</v>
      </c>
      <c r="F258" s="54" t="s">
        <v>133</v>
      </c>
      <c r="G258" s="22">
        <v>10000</v>
      </c>
      <c r="H258" s="56">
        <f t="shared" si="9"/>
        <v>1525.4237288135591</v>
      </c>
      <c r="I258" s="56"/>
      <c r="J258" s="54" t="s">
        <v>18</v>
      </c>
      <c r="K258" s="65" t="s">
        <v>546</v>
      </c>
      <c r="L258" s="65"/>
      <c r="M258" s="65"/>
      <c r="N258" s="57">
        <v>100</v>
      </c>
      <c r="O258" s="57">
        <v>7</v>
      </c>
      <c r="P258" s="57"/>
      <c r="Q258" s="57" t="s">
        <v>616</v>
      </c>
      <c r="R258" s="80"/>
      <c r="S258" s="80"/>
    </row>
    <row r="259" spans="2:19" x14ac:dyDescent="0.25">
      <c r="B259" s="3" t="s">
        <v>334</v>
      </c>
      <c r="C259" s="2" t="s">
        <v>96</v>
      </c>
      <c r="D259" s="3" t="s">
        <v>348</v>
      </c>
      <c r="E259" s="3" t="s">
        <v>71</v>
      </c>
      <c r="F259" s="3" t="s">
        <v>133</v>
      </c>
      <c r="G259" s="22">
        <v>50000</v>
      </c>
      <c r="H259" s="6">
        <f t="shared" si="9"/>
        <v>7627.118644067792</v>
      </c>
      <c r="I259" s="6"/>
      <c r="J259" s="3" t="s">
        <v>18</v>
      </c>
      <c r="K259" s="65" t="s">
        <v>597</v>
      </c>
      <c r="L259" s="65"/>
      <c r="M259" s="65"/>
      <c r="N259">
        <v>1100</v>
      </c>
      <c r="O259">
        <v>90</v>
      </c>
      <c r="P259"/>
      <c r="Q259" t="s">
        <v>616</v>
      </c>
      <c r="R259" s="80"/>
      <c r="S259" s="80"/>
    </row>
    <row r="260" spans="2:19" x14ac:dyDescent="0.25">
      <c r="B260" s="58" t="s">
        <v>334</v>
      </c>
      <c r="C260" s="59" t="s">
        <v>96</v>
      </c>
      <c r="D260" s="58" t="s">
        <v>348</v>
      </c>
      <c r="E260" s="58" t="s">
        <v>71</v>
      </c>
      <c r="F260" s="58" t="s">
        <v>133</v>
      </c>
      <c r="G260" s="22">
        <v>30000</v>
      </c>
      <c r="H260" s="60">
        <f t="shared" si="9"/>
        <v>4576.2711864406774</v>
      </c>
      <c r="I260" s="60"/>
      <c r="J260" s="58" t="s">
        <v>18</v>
      </c>
      <c r="K260" s="65" t="s">
        <v>552</v>
      </c>
      <c r="L260" s="65"/>
      <c r="M260" s="65"/>
      <c r="N260" s="61">
        <v>500</v>
      </c>
      <c r="O260" s="61">
        <v>59</v>
      </c>
      <c r="P260" s="61"/>
      <c r="Q260" s="61" t="s">
        <v>616</v>
      </c>
      <c r="R260" s="80"/>
      <c r="S260" s="80"/>
    </row>
    <row r="261" spans="2:19" x14ac:dyDescent="0.25">
      <c r="B261" s="50" t="s">
        <v>334</v>
      </c>
      <c r="C261" s="53" t="s">
        <v>96</v>
      </c>
      <c r="D261" s="50" t="s">
        <v>348</v>
      </c>
      <c r="E261" s="50" t="s">
        <v>71</v>
      </c>
      <c r="F261" s="50" t="s">
        <v>133</v>
      </c>
      <c r="G261" s="22">
        <v>35000</v>
      </c>
      <c r="H261" s="51">
        <f t="shared" si="9"/>
        <v>5338.9830508474552</v>
      </c>
      <c r="I261" s="51"/>
      <c r="J261" s="50" t="s">
        <v>18</v>
      </c>
      <c r="K261" s="65" t="s">
        <v>553</v>
      </c>
      <c r="L261" s="65"/>
      <c r="M261" s="65"/>
      <c r="N261" s="39">
        <v>400</v>
      </c>
      <c r="O261" s="39">
        <v>86</v>
      </c>
      <c r="P261" s="39"/>
      <c r="Q261" s="39" t="s">
        <v>616</v>
      </c>
      <c r="R261" s="80"/>
      <c r="S261" s="80"/>
    </row>
    <row r="262" spans="2:19" x14ac:dyDescent="0.25">
      <c r="B262" s="3" t="s">
        <v>334</v>
      </c>
      <c r="C262" s="2" t="s">
        <v>96</v>
      </c>
      <c r="D262" s="3" t="s">
        <v>348</v>
      </c>
      <c r="E262" s="3" t="s">
        <v>71</v>
      </c>
      <c r="F262" s="3" t="s">
        <v>133</v>
      </c>
      <c r="G262" s="22">
        <v>45000</v>
      </c>
      <c r="H262" s="6">
        <f t="shared" si="9"/>
        <v>6864.4067796610179</v>
      </c>
      <c r="I262" s="6"/>
      <c r="J262" s="3" t="s">
        <v>18</v>
      </c>
      <c r="K262" s="65" t="s">
        <v>598</v>
      </c>
      <c r="L262" s="65"/>
      <c r="M262" s="65"/>
      <c r="N262">
        <v>600</v>
      </c>
      <c r="O262">
        <v>7</v>
      </c>
      <c r="P262"/>
      <c r="Q262" t="s">
        <v>616</v>
      </c>
      <c r="R262" s="80"/>
      <c r="S262" s="80"/>
    </row>
    <row r="263" spans="2:19" x14ac:dyDescent="0.25">
      <c r="B263" s="62" t="s">
        <v>334</v>
      </c>
      <c r="C263" s="63" t="s">
        <v>96</v>
      </c>
      <c r="D263" s="62" t="s">
        <v>348</v>
      </c>
      <c r="E263" s="62" t="s">
        <v>71</v>
      </c>
      <c r="F263" s="62" t="s">
        <v>133</v>
      </c>
      <c r="G263" s="22">
        <v>60000</v>
      </c>
      <c r="H263" s="64">
        <f t="shared" si="9"/>
        <v>9152.5423728813548</v>
      </c>
      <c r="I263" s="64"/>
      <c r="J263" s="62" t="s">
        <v>18</v>
      </c>
      <c r="K263" s="65" t="s">
        <v>557</v>
      </c>
      <c r="L263" s="65"/>
      <c r="M263" s="65"/>
      <c r="N263" s="37">
        <v>1050</v>
      </c>
      <c r="O263" s="37">
        <v>100</v>
      </c>
      <c r="P263" s="37"/>
      <c r="Q263" s="37" t="s">
        <v>616</v>
      </c>
      <c r="R263" s="80"/>
      <c r="S263" s="80"/>
    </row>
    <row r="264" spans="2:19" x14ac:dyDescent="0.25">
      <c r="B264" s="66" t="s">
        <v>334</v>
      </c>
      <c r="C264" s="67" t="s">
        <v>96</v>
      </c>
      <c r="D264" s="66" t="s">
        <v>348</v>
      </c>
      <c r="E264" s="66" t="s">
        <v>71</v>
      </c>
      <c r="F264" s="66" t="s">
        <v>133</v>
      </c>
      <c r="G264" s="22">
        <v>15000</v>
      </c>
      <c r="H264" s="68">
        <f t="shared" si="9"/>
        <v>2288.1355932203387</v>
      </c>
      <c r="I264" s="68"/>
      <c r="J264" s="66" t="s">
        <v>18</v>
      </c>
      <c r="K264" s="65" t="s">
        <v>542</v>
      </c>
      <c r="L264" s="65"/>
      <c r="M264" s="65"/>
      <c r="N264" s="69">
        <v>200</v>
      </c>
      <c r="O264" s="69">
        <v>21</v>
      </c>
      <c r="P264" s="69"/>
      <c r="Q264" s="69" t="s">
        <v>616</v>
      </c>
      <c r="R264" s="80"/>
      <c r="S264" s="80"/>
    </row>
    <row r="265" spans="2:19" x14ac:dyDescent="0.25">
      <c r="B265" s="21" t="s">
        <v>334</v>
      </c>
      <c r="C265" s="20" t="s">
        <v>96</v>
      </c>
      <c r="D265" s="21" t="s">
        <v>348</v>
      </c>
      <c r="E265" s="21" t="s">
        <v>71</v>
      </c>
      <c r="F265" s="21" t="s">
        <v>133</v>
      </c>
      <c r="G265" s="22">
        <v>10000</v>
      </c>
      <c r="H265" s="22">
        <f t="shared" si="9"/>
        <v>1525.4237288135591</v>
      </c>
      <c r="I265" s="22"/>
      <c r="J265" s="21" t="s">
        <v>18</v>
      </c>
      <c r="K265" s="65" t="s">
        <v>558</v>
      </c>
      <c r="L265" s="65"/>
      <c r="M265" s="65"/>
      <c r="N265" s="72">
        <v>150</v>
      </c>
      <c r="O265" s="72">
        <v>39</v>
      </c>
      <c r="P265" s="72"/>
      <c r="Q265" s="72" t="s">
        <v>616</v>
      </c>
      <c r="R265" s="80"/>
      <c r="S265" s="80"/>
    </row>
    <row r="266" spans="2:19" x14ac:dyDescent="0.25">
      <c r="B266" s="50" t="s">
        <v>334</v>
      </c>
      <c r="C266" s="53" t="s">
        <v>96</v>
      </c>
      <c r="D266" s="50" t="s">
        <v>348</v>
      </c>
      <c r="E266" s="50" t="s">
        <v>71</v>
      </c>
      <c r="F266" s="50" t="s">
        <v>133</v>
      </c>
      <c r="G266" s="22">
        <v>50000</v>
      </c>
      <c r="H266" s="51">
        <f t="shared" si="9"/>
        <v>7627.118644067792</v>
      </c>
      <c r="I266" s="51"/>
      <c r="J266" s="50" t="s">
        <v>18</v>
      </c>
      <c r="K266" s="65" t="s">
        <v>599</v>
      </c>
      <c r="L266" s="65"/>
      <c r="M266" s="65"/>
      <c r="N266" s="39">
        <v>1100</v>
      </c>
      <c r="O266" s="39">
        <v>33</v>
      </c>
      <c r="P266" s="39"/>
      <c r="Q266" s="39" t="s">
        <v>616</v>
      </c>
      <c r="R266" s="80"/>
      <c r="S266" s="80"/>
    </row>
    <row r="267" spans="2:19" x14ac:dyDescent="0.25">
      <c r="B267" s="3" t="s">
        <v>334</v>
      </c>
      <c r="C267" s="2" t="s">
        <v>96</v>
      </c>
      <c r="D267" s="3" t="s">
        <v>348</v>
      </c>
      <c r="E267" s="3" t="s">
        <v>71</v>
      </c>
      <c r="F267" s="3" t="s">
        <v>133</v>
      </c>
      <c r="G267" s="22">
        <v>11520.25</v>
      </c>
      <c r="H267" s="6">
        <f t="shared" si="9"/>
        <v>1757.3262711864409</v>
      </c>
      <c r="I267" s="6"/>
      <c r="J267" s="3" t="s">
        <v>18</v>
      </c>
      <c r="P267"/>
      <c r="Q267"/>
      <c r="R267" s="80"/>
      <c r="S267" s="80"/>
    </row>
    <row r="268" spans="2:19" x14ac:dyDescent="0.25">
      <c r="B268" s="3" t="s">
        <v>488</v>
      </c>
      <c r="C268" s="3" t="s">
        <v>96</v>
      </c>
      <c r="D268" s="3" t="s">
        <v>485</v>
      </c>
      <c r="E268" s="3" t="s">
        <v>71</v>
      </c>
      <c r="F268" s="3" t="s">
        <v>133</v>
      </c>
      <c r="G268" s="6">
        <v>1540</v>
      </c>
      <c r="H268" s="6">
        <f t="shared" si="9"/>
        <v>234.91525423728808</v>
      </c>
      <c r="I268" s="6"/>
      <c r="J268" s="3" t="s">
        <v>18</v>
      </c>
      <c r="P268"/>
      <c r="Q268"/>
      <c r="R268" s="80"/>
      <c r="S268" s="80"/>
    </row>
    <row r="269" spans="2:19" x14ac:dyDescent="0.25">
      <c r="B269" s="3" t="s">
        <v>334</v>
      </c>
      <c r="C269" s="3" t="s">
        <v>96</v>
      </c>
      <c r="D269" s="3" t="s">
        <v>348</v>
      </c>
      <c r="E269" s="3" t="s">
        <v>71</v>
      </c>
      <c r="F269" s="3" t="s">
        <v>133</v>
      </c>
      <c r="G269" s="22">
        <v>8000</v>
      </c>
      <c r="H269" s="6">
        <f t="shared" si="9"/>
        <v>1220.3389830508468</v>
      </c>
      <c r="I269" s="6"/>
      <c r="J269" s="3" t="s">
        <v>18</v>
      </c>
      <c r="K269" s="65" t="s">
        <v>555</v>
      </c>
      <c r="L269" s="65"/>
      <c r="M269" s="65"/>
      <c r="N269">
        <v>200</v>
      </c>
      <c r="O269">
        <v>17</v>
      </c>
      <c r="P269"/>
      <c r="Q269" t="s">
        <v>616</v>
      </c>
      <c r="R269" s="80"/>
      <c r="S269" s="80"/>
    </row>
    <row r="270" spans="2:19" x14ac:dyDescent="0.25">
      <c r="B270" s="3" t="s">
        <v>334</v>
      </c>
      <c r="C270" s="3" t="s">
        <v>96</v>
      </c>
      <c r="D270" s="3" t="s">
        <v>348</v>
      </c>
      <c r="E270" s="3" t="s">
        <v>71</v>
      </c>
      <c r="F270" s="3" t="s">
        <v>133</v>
      </c>
      <c r="G270" s="22">
        <v>15000</v>
      </c>
      <c r="H270" s="6">
        <f t="shared" si="9"/>
        <v>2288.1355932203387</v>
      </c>
      <c r="I270" s="6"/>
      <c r="J270" s="3" t="s">
        <v>18</v>
      </c>
      <c r="K270" s="65" t="s">
        <v>556</v>
      </c>
      <c r="L270" s="65"/>
      <c r="M270" s="65"/>
      <c r="N270">
        <v>200</v>
      </c>
      <c r="O270">
        <v>16</v>
      </c>
      <c r="P270"/>
      <c r="Q270" t="s">
        <v>616</v>
      </c>
      <c r="R270" s="80"/>
      <c r="S270" s="80"/>
    </row>
    <row r="271" spans="2:19" x14ac:dyDescent="0.25">
      <c r="B271" s="3" t="s">
        <v>334</v>
      </c>
      <c r="C271" s="3" t="s">
        <v>96</v>
      </c>
      <c r="D271" s="3" t="s">
        <v>348</v>
      </c>
      <c r="E271" s="3" t="s">
        <v>71</v>
      </c>
      <c r="F271" s="3" t="s">
        <v>133</v>
      </c>
      <c r="G271" s="22">
        <v>10996</v>
      </c>
      <c r="H271" s="6">
        <f t="shared" si="9"/>
        <v>1677.3559322033889</v>
      </c>
      <c r="I271" s="6">
        <f t="shared" ref="I271:I278" si="10">G271-H271</f>
        <v>9318.6440677966111</v>
      </c>
      <c r="J271" s="3" t="s">
        <v>18</v>
      </c>
      <c r="K271" t="s">
        <v>535</v>
      </c>
      <c r="L271" s="80">
        <v>82996</v>
      </c>
      <c r="M271" s="80">
        <v>2681.39</v>
      </c>
      <c r="N271">
        <v>200</v>
      </c>
      <c r="P271"/>
      <c r="Q271" t="s">
        <v>600</v>
      </c>
      <c r="R271" s="80">
        <v>82996</v>
      </c>
      <c r="S271" s="80">
        <v>3487.75</v>
      </c>
    </row>
    <row r="272" spans="2:19" x14ac:dyDescent="0.25">
      <c r="B272" s="3" t="s">
        <v>334</v>
      </c>
      <c r="C272" s="3" t="s">
        <v>96</v>
      </c>
      <c r="D272" s="3" t="s">
        <v>348</v>
      </c>
      <c r="E272" s="3" t="s">
        <v>71</v>
      </c>
      <c r="F272" s="3" t="s">
        <v>133</v>
      </c>
      <c r="G272" s="22">
        <v>6105.83</v>
      </c>
      <c r="H272" s="6">
        <f t="shared" si="9"/>
        <v>931.39779661016928</v>
      </c>
      <c r="I272" s="6">
        <f t="shared" si="10"/>
        <v>5174.4322033898306</v>
      </c>
      <c r="J272" s="3" t="s">
        <v>18</v>
      </c>
      <c r="K272" t="s">
        <v>536</v>
      </c>
      <c r="L272" s="80">
        <v>68805.83</v>
      </c>
      <c r="M272" s="80">
        <v>2338.3428423287701</v>
      </c>
      <c r="N272">
        <v>5</v>
      </c>
      <c r="P272"/>
      <c r="Q272" t="s">
        <v>600</v>
      </c>
      <c r="R272" s="80">
        <v>68805.83</v>
      </c>
      <c r="S272" s="80">
        <v>2922.5</v>
      </c>
    </row>
    <row r="273" spans="2:19" x14ac:dyDescent="0.25">
      <c r="B273" s="3" t="s">
        <v>334</v>
      </c>
      <c r="C273" s="3" t="s">
        <v>96</v>
      </c>
      <c r="D273" s="3" t="s">
        <v>348</v>
      </c>
      <c r="E273" s="3" t="s">
        <v>71</v>
      </c>
      <c r="F273" s="3" t="s">
        <v>133</v>
      </c>
      <c r="G273" s="22">
        <v>17891.88</v>
      </c>
      <c r="H273" s="6">
        <f t="shared" si="9"/>
        <v>2729.2698305084741</v>
      </c>
      <c r="I273" s="6">
        <f t="shared" si="10"/>
        <v>15162.610169491527</v>
      </c>
      <c r="J273" s="3" t="s">
        <v>18</v>
      </c>
      <c r="K273" t="s">
        <v>537</v>
      </c>
      <c r="L273" s="80">
        <v>67191.88</v>
      </c>
      <c r="M273" s="80">
        <v>1896.11</v>
      </c>
      <c r="N273">
        <v>3</v>
      </c>
      <c r="P273"/>
      <c r="Q273" t="s">
        <v>600</v>
      </c>
      <c r="R273" s="80">
        <v>67191.88</v>
      </c>
      <c r="S273" s="80">
        <v>2908.5</v>
      </c>
    </row>
    <row r="274" spans="2:19" x14ac:dyDescent="0.25">
      <c r="B274" s="3" t="s">
        <v>334</v>
      </c>
      <c r="C274" s="3" t="s">
        <v>96</v>
      </c>
      <c r="D274" s="3" t="s">
        <v>348</v>
      </c>
      <c r="E274" s="3" t="s">
        <v>71</v>
      </c>
      <c r="F274" s="3" t="s">
        <v>133</v>
      </c>
      <c r="G274" s="22">
        <v>16542.760949583699</v>
      </c>
      <c r="H274" s="6">
        <f t="shared" si="9"/>
        <v>2523.4720092585303</v>
      </c>
      <c r="I274" s="6">
        <f t="shared" si="10"/>
        <v>14019.288940325168</v>
      </c>
      <c r="J274" s="3" t="s">
        <v>18</v>
      </c>
      <c r="K274" t="s">
        <v>538</v>
      </c>
      <c r="L274" s="80">
        <v>64142.76</v>
      </c>
      <c r="M274" s="80">
        <v>1830.73</v>
      </c>
      <c r="N274">
        <v>66</v>
      </c>
      <c r="P274"/>
      <c r="Q274" t="s">
        <v>600</v>
      </c>
      <c r="R274" s="80">
        <v>64142.759999999995</v>
      </c>
      <c r="S274" s="80">
        <v>2808.75</v>
      </c>
    </row>
    <row r="275" spans="2:19" x14ac:dyDescent="0.25">
      <c r="B275" s="3" t="s">
        <v>334</v>
      </c>
      <c r="C275" s="3" t="s">
        <v>96</v>
      </c>
      <c r="D275" s="3" t="s">
        <v>348</v>
      </c>
      <c r="E275" s="3" t="s">
        <v>71</v>
      </c>
      <c r="F275" s="3" t="s">
        <v>133</v>
      </c>
      <c r="G275" s="22">
        <v>29844.78</v>
      </c>
      <c r="H275" s="6">
        <f t="shared" si="9"/>
        <v>4552.5935593220311</v>
      </c>
      <c r="I275" s="6">
        <f t="shared" si="10"/>
        <v>25292.186440677968</v>
      </c>
      <c r="J275" s="3" t="s">
        <v>18</v>
      </c>
      <c r="K275" t="s">
        <v>520</v>
      </c>
      <c r="L275" s="80">
        <v>72344.78</v>
      </c>
      <c r="M275" s="80">
        <v>1634.58</v>
      </c>
      <c r="N275">
        <v>262</v>
      </c>
      <c r="P275"/>
      <c r="Q275" t="s">
        <v>600</v>
      </c>
      <c r="R275" s="80">
        <v>72344.78</v>
      </c>
      <c r="S275" s="80">
        <v>2649.5</v>
      </c>
    </row>
    <row r="276" spans="2:19" x14ac:dyDescent="0.25">
      <c r="B276" s="3" t="s">
        <v>334</v>
      </c>
      <c r="C276" s="3" t="s">
        <v>96</v>
      </c>
      <c r="D276" s="3" t="s">
        <v>348</v>
      </c>
      <c r="E276" s="3" t="s">
        <v>71</v>
      </c>
      <c r="F276" s="3" t="s">
        <v>133</v>
      </c>
      <c r="G276" s="22">
        <v>28190.84</v>
      </c>
      <c r="H276" s="6">
        <f t="shared" si="9"/>
        <v>4300.2976271186417</v>
      </c>
      <c r="I276" s="6">
        <f t="shared" si="10"/>
        <v>23890.542372881358</v>
      </c>
      <c r="J276" s="3" t="s">
        <v>18</v>
      </c>
      <c r="K276" t="s">
        <v>521</v>
      </c>
      <c r="L276" s="80">
        <v>61690.84</v>
      </c>
      <c r="M276" s="80">
        <v>1288.43</v>
      </c>
      <c r="N276">
        <v>205</v>
      </c>
      <c r="P276"/>
      <c r="Q276" t="s">
        <v>600</v>
      </c>
      <c r="R276" s="80">
        <v>61690.84</v>
      </c>
      <c r="S276" s="80">
        <v>2646</v>
      </c>
    </row>
    <row r="277" spans="2:19" x14ac:dyDescent="0.25">
      <c r="B277" s="3" t="s">
        <v>334</v>
      </c>
      <c r="C277" s="3" t="s">
        <v>96</v>
      </c>
      <c r="D277" s="3" t="s">
        <v>348</v>
      </c>
      <c r="E277" s="3" t="s">
        <v>71</v>
      </c>
      <c r="F277" s="3" t="s">
        <v>133</v>
      </c>
      <c r="G277" s="22">
        <v>29642</v>
      </c>
      <c r="H277" s="6">
        <f t="shared" si="9"/>
        <v>4521.6610169491505</v>
      </c>
      <c r="I277" s="6">
        <f t="shared" si="10"/>
        <v>25120.338983050849</v>
      </c>
      <c r="J277" s="3" t="s">
        <v>18</v>
      </c>
      <c r="K277" t="s">
        <v>601</v>
      </c>
      <c r="L277" s="80">
        <v>59642</v>
      </c>
      <c r="M277" s="80">
        <v>1007.54</v>
      </c>
      <c r="N277">
        <v>790</v>
      </c>
      <c r="P277"/>
      <c r="Q277" t="s">
        <v>600</v>
      </c>
      <c r="R277" s="87">
        <v>59642</v>
      </c>
      <c r="S277" s="87">
        <v>2199.75</v>
      </c>
    </row>
    <row r="278" spans="2:19" x14ac:dyDescent="0.25">
      <c r="B278" s="3" t="s">
        <v>334</v>
      </c>
      <c r="C278" s="3" t="s">
        <v>96</v>
      </c>
      <c r="D278" s="3" t="s">
        <v>348</v>
      </c>
      <c r="E278" s="3" t="s">
        <v>71</v>
      </c>
      <c r="F278" s="3" t="s">
        <v>133</v>
      </c>
      <c r="G278" s="22">
        <v>28551</v>
      </c>
      <c r="H278" s="6">
        <f t="shared" si="9"/>
        <v>4355.2372881355914</v>
      </c>
      <c r="I278" s="6">
        <f t="shared" si="10"/>
        <v>24195.762711864409</v>
      </c>
      <c r="J278" s="3" t="s">
        <v>18</v>
      </c>
      <c r="K278" t="s">
        <v>602</v>
      </c>
      <c r="L278" s="80">
        <v>63551</v>
      </c>
      <c r="M278" s="80">
        <v>1175.47</v>
      </c>
      <c r="N278">
        <v>806</v>
      </c>
      <c r="P278"/>
      <c r="Q278" t="s">
        <v>600</v>
      </c>
      <c r="R278" s="80">
        <v>63551</v>
      </c>
      <c r="S278" s="80">
        <v>2299.5</v>
      </c>
    </row>
    <row r="279" spans="2:19" x14ac:dyDescent="0.25">
      <c r="B279" s="3" t="s">
        <v>146</v>
      </c>
      <c r="C279" s="2"/>
      <c r="D279" s="3" t="s">
        <v>148</v>
      </c>
      <c r="E279" s="3" t="s">
        <v>106</v>
      </c>
      <c r="F279" s="3" t="s">
        <v>133</v>
      </c>
      <c r="G279" s="6">
        <v>6336.75</v>
      </c>
      <c r="H279" s="6">
        <f t="shared" ref="H279:H324" si="11">G279-G279/1.18</f>
        <v>966.6228813559319</v>
      </c>
      <c r="I279" s="6"/>
      <c r="J279" s="3" t="s">
        <v>113</v>
      </c>
      <c r="P279"/>
      <c r="Q279"/>
      <c r="R279" s="80"/>
      <c r="S279" s="80"/>
    </row>
    <row r="280" spans="2:19" x14ac:dyDescent="0.25">
      <c r="B280" s="3" t="s">
        <v>146</v>
      </c>
      <c r="C280" s="2"/>
      <c r="D280" s="3" t="s">
        <v>148</v>
      </c>
      <c r="E280" s="3" t="s">
        <v>106</v>
      </c>
      <c r="F280" s="3" t="s">
        <v>133</v>
      </c>
      <c r="G280" s="6">
        <v>20902</v>
      </c>
      <c r="H280" s="6">
        <f t="shared" si="11"/>
        <v>3188.4406779661003</v>
      </c>
      <c r="I280" s="6"/>
      <c r="J280" s="3" t="s">
        <v>113</v>
      </c>
      <c r="P280"/>
      <c r="Q280"/>
      <c r="R280" s="80"/>
      <c r="S280" s="80"/>
    </row>
    <row r="281" spans="2:19" x14ac:dyDescent="0.25">
      <c r="B281" s="3" t="s">
        <v>146</v>
      </c>
      <c r="C281" s="2"/>
      <c r="D281" s="3" t="s">
        <v>148</v>
      </c>
      <c r="E281" s="3" t="s">
        <v>106</v>
      </c>
      <c r="F281" s="3" t="s">
        <v>133</v>
      </c>
      <c r="G281" s="6">
        <v>4837</v>
      </c>
      <c r="H281" s="6">
        <f t="shared" si="11"/>
        <v>737.84745762711827</v>
      </c>
      <c r="I281" s="6"/>
      <c r="J281" s="3" t="s">
        <v>113</v>
      </c>
      <c r="P281"/>
      <c r="Q281"/>
      <c r="R281" s="80"/>
      <c r="S281" s="80"/>
    </row>
    <row r="282" spans="2:19" x14ac:dyDescent="0.25">
      <c r="B282" s="3" t="s">
        <v>482</v>
      </c>
      <c r="C282" s="2" t="s">
        <v>40</v>
      </c>
      <c r="D282" s="3" t="s">
        <v>487</v>
      </c>
      <c r="E282" s="3" t="s">
        <v>90</v>
      </c>
      <c r="F282" s="3" t="s">
        <v>133</v>
      </c>
      <c r="G282" s="6">
        <v>434</v>
      </c>
      <c r="H282" s="6">
        <f t="shared" si="11"/>
        <v>66.203389830508456</v>
      </c>
      <c r="I282" s="6"/>
      <c r="J282" s="3" t="s">
        <v>113</v>
      </c>
      <c r="P282"/>
      <c r="Q282"/>
      <c r="R282" s="80"/>
      <c r="S282" s="80"/>
    </row>
    <row r="283" spans="2:19" x14ac:dyDescent="0.25">
      <c r="B283" s="3" t="s">
        <v>478</v>
      </c>
      <c r="C283" s="2" t="s">
        <v>99</v>
      </c>
      <c r="D283" s="3" t="s">
        <v>481</v>
      </c>
      <c r="E283" s="3" t="s">
        <v>90</v>
      </c>
      <c r="F283" s="3" t="s">
        <v>133</v>
      </c>
      <c r="G283" s="6">
        <v>294</v>
      </c>
      <c r="H283" s="6">
        <f t="shared" si="11"/>
        <v>44.847457627118644</v>
      </c>
      <c r="I283" s="6"/>
      <c r="J283" s="3" t="s">
        <v>113</v>
      </c>
      <c r="P283"/>
      <c r="Q283"/>
      <c r="R283" s="80"/>
      <c r="S283" s="80"/>
    </row>
    <row r="284" spans="2:19" x14ac:dyDescent="0.25">
      <c r="B284" s="3" t="s">
        <v>580</v>
      </c>
      <c r="C284" s="2" t="s">
        <v>40</v>
      </c>
      <c r="D284" s="3" t="s">
        <v>579</v>
      </c>
      <c r="E284" s="3" t="s">
        <v>90</v>
      </c>
      <c r="F284" s="3" t="s">
        <v>133</v>
      </c>
      <c r="G284" s="6">
        <v>318.5</v>
      </c>
      <c r="H284" s="6">
        <f t="shared" si="11"/>
        <v>48.584745762711862</v>
      </c>
      <c r="I284" s="6"/>
      <c r="J284" s="3" t="s">
        <v>113</v>
      </c>
      <c r="P284"/>
      <c r="Q284"/>
      <c r="R284" s="80"/>
      <c r="S284" s="80"/>
    </row>
    <row r="285" spans="2:19" x14ac:dyDescent="0.25">
      <c r="B285" s="3" t="s">
        <v>502</v>
      </c>
      <c r="C285" s="2" t="s">
        <v>40</v>
      </c>
      <c r="D285" s="3" t="s">
        <v>499</v>
      </c>
      <c r="E285" s="3" t="s">
        <v>90</v>
      </c>
      <c r="F285" s="3" t="s">
        <v>133</v>
      </c>
      <c r="G285" s="6">
        <v>645.75</v>
      </c>
      <c r="H285" s="6">
        <f t="shared" si="11"/>
        <v>98.504237288135528</v>
      </c>
      <c r="I285" s="6"/>
      <c r="J285" s="3" t="s">
        <v>113</v>
      </c>
      <c r="P285"/>
      <c r="Q285"/>
      <c r="R285" s="80"/>
      <c r="S285" s="80"/>
    </row>
    <row r="286" spans="2:19" x14ac:dyDescent="0.25">
      <c r="B286" s="3" t="s">
        <v>503</v>
      </c>
      <c r="C286" s="2" t="s">
        <v>60</v>
      </c>
      <c r="D286" s="3" t="s">
        <v>500</v>
      </c>
      <c r="E286" s="3" t="s">
        <v>90</v>
      </c>
      <c r="F286" s="3" t="s">
        <v>133</v>
      </c>
      <c r="G286" s="6">
        <v>217</v>
      </c>
      <c r="H286" s="6">
        <f t="shared" si="11"/>
        <v>33.101694915254228</v>
      </c>
      <c r="I286" s="6"/>
      <c r="J286" s="3" t="s">
        <v>113</v>
      </c>
      <c r="P286"/>
      <c r="Q286"/>
      <c r="R286" s="80"/>
      <c r="S286" s="80"/>
    </row>
    <row r="287" spans="2:19" x14ac:dyDescent="0.25">
      <c r="B287" s="3" t="s">
        <v>504</v>
      </c>
      <c r="C287" s="2" t="s">
        <v>43</v>
      </c>
      <c r="D287" s="3" t="s">
        <v>501</v>
      </c>
      <c r="E287" s="3" t="s">
        <v>90</v>
      </c>
      <c r="F287" s="3" t="s">
        <v>133</v>
      </c>
      <c r="G287" s="6">
        <v>346.5</v>
      </c>
      <c r="H287" s="6">
        <f t="shared" si="11"/>
        <v>52.855932203389841</v>
      </c>
      <c r="I287" s="6"/>
      <c r="J287" s="3" t="s">
        <v>113</v>
      </c>
      <c r="P287"/>
      <c r="Q287"/>
      <c r="R287" s="80"/>
      <c r="S287" s="80"/>
    </row>
    <row r="288" spans="2:19" x14ac:dyDescent="0.25">
      <c r="B288" s="3" t="s">
        <v>578</v>
      </c>
      <c r="C288" s="2" t="s">
        <v>40</v>
      </c>
      <c r="D288" s="8" t="s">
        <v>641</v>
      </c>
      <c r="E288" s="3" t="s">
        <v>90</v>
      </c>
      <c r="F288" s="3" t="s">
        <v>133</v>
      </c>
      <c r="G288" s="6">
        <v>1018.5</v>
      </c>
      <c r="H288" s="6">
        <f t="shared" si="11"/>
        <v>155.36440677966095</v>
      </c>
      <c r="I288" s="6"/>
      <c r="J288" s="3" t="s">
        <v>113</v>
      </c>
      <c r="P288"/>
      <c r="Q288"/>
      <c r="R288" s="80"/>
      <c r="S288" s="80"/>
    </row>
    <row r="289" spans="2:19" x14ac:dyDescent="0.25">
      <c r="B289" s="3" t="s">
        <v>229</v>
      </c>
      <c r="C289" s="2" t="s">
        <v>41</v>
      </c>
      <c r="D289" s="3" t="s">
        <v>241</v>
      </c>
      <c r="E289" s="3" t="s">
        <v>90</v>
      </c>
      <c r="F289" s="3" t="s">
        <v>133</v>
      </c>
      <c r="G289" s="6">
        <v>1181.25</v>
      </c>
      <c r="H289" s="6">
        <f t="shared" si="11"/>
        <v>180.19067796610159</v>
      </c>
      <c r="I289" s="6"/>
      <c r="J289" s="3" t="s">
        <v>113</v>
      </c>
      <c r="P289"/>
      <c r="Q289"/>
      <c r="R289" s="80"/>
      <c r="S289" s="80"/>
    </row>
    <row r="290" spans="2:19" x14ac:dyDescent="0.25">
      <c r="B290" s="3" t="s">
        <v>232</v>
      </c>
      <c r="C290" s="2" t="s">
        <v>41</v>
      </c>
      <c r="D290" s="3" t="s">
        <v>247</v>
      </c>
      <c r="E290" s="3" t="s">
        <v>90</v>
      </c>
      <c r="F290" s="3" t="s">
        <v>133</v>
      </c>
      <c r="G290" s="6">
        <v>1664.25</v>
      </c>
      <c r="H290" s="6">
        <f t="shared" si="11"/>
        <v>253.86864406779659</v>
      </c>
      <c r="I290" s="6"/>
      <c r="J290" s="3" t="s">
        <v>113</v>
      </c>
      <c r="K290" s="19"/>
      <c r="L290" s="19"/>
      <c r="M290" s="19"/>
      <c r="P290"/>
      <c r="Q290"/>
      <c r="R290" s="80"/>
      <c r="S290" s="80"/>
    </row>
    <row r="291" spans="2:19" x14ac:dyDescent="0.25">
      <c r="B291" s="3" t="s">
        <v>334</v>
      </c>
      <c r="C291" s="9" t="s">
        <v>96</v>
      </c>
      <c r="D291" s="3" t="s">
        <v>348</v>
      </c>
      <c r="E291" s="3" t="s">
        <v>71</v>
      </c>
      <c r="F291" s="3" t="s">
        <v>133</v>
      </c>
      <c r="G291" s="6">
        <v>30000</v>
      </c>
      <c r="H291" s="6">
        <f t="shared" si="11"/>
        <v>4576.2711864406774</v>
      </c>
      <c r="I291" s="6"/>
      <c r="J291" s="3" t="s">
        <v>18</v>
      </c>
      <c r="K291" s="46" t="s">
        <v>551</v>
      </c>
      <c r="L291" s="46"/>
      <c r="M291" s="46"/>
      <c r="N291">
        <v>200</v>
      </c>
      <c r="O291">
        <v>88</v>
      </c>
      <c r="P291"/>
      <c r="Q291" s="31" t="s">
        <v>616</v>
      </c>
      <c r="R291" s="80"/>
      <c r="S291" s="80"/>
    </row>
    <row r="292" spans="2:19" x14ac:dyDescent="0.25">
      <c r="B292" s="3" t="s">
        <v>334</v>
      </c>
      <c r="C292" s="2" t="s">
        <v>96</v>
      </c>
      <c r="D292" s="3" t="s">
        <v>348</v>
      </c>
      <c r="E292" s="3" t="s">
        <v>71</v>
      </c>
      <c r="F292" s="3" t="s">
        <v>612</v>
      </c>
      <c r="G292" s="6">
        <f>84509-G112</f>
        <v>9509</v>
      </c>
      <c r="H292" s="6">
        <f t="shared" si="11"/>
        <v>1450.5254237288127</v>
      </c>
      <c r="I292" s="6"/>
      <c r="J292" s="3" t="s">
        <v>18</v>
      </c>
      <c r="K292" t="s">
        <v>539</v>
      </c>
      <c r="N292">
        <v>316</v>
      </c>
      <c r="O292">
        <v>0</v>
      </c>
      <c r="P292"/>
      <c r="Q292" t="s">
        <v>600</v>
      </c>
      <c r="R292" s="80">
        <v>84509</v>
      </c>
      <c r="S292" s="80">
        <v>3150</v>
      </c>
    </row>
    <row r="293" spans="2:19" x14ac:dyDescent="0.25">
      <c r="B293" s="3" t="s">
        <v>334</v>
      </c>
      <c r="C293" s="2" t="s">
        <v>96</v>
      </c>
      <c r="D293" s="3" t="s">
        <v>348</v>
      </c>
      <c r="E293" s="3" t="s">
        <v>71</v>
      </c>
      <c r="F293" s="3" t="s">
        <v>612</v>
      </c>
      <c r="G293" s="6">
        <v>6980</v>
      </c>
      <c r="H293" s="6">
        <f t="shared" si="11"/>
        <v>1064.7457627118638</v>
      </c>
      <c r="I293" s="6"/>
      <c r="J293" s="3" t="s">
        <v>18</v>
      </c>
      <c r="K293" t="s">
        <v>540</v>
      </c>
      <c r="N293">
        <v>59</v>
      </c>
      <c r="O293">
        <v>0</v>
      </c>
      <c r="P293"/>
      <c r="Q293" t="s">
        <v>600</v>
      </c>
      <c r="R293" s="80">
        <v>79980</v>
      </c>
      <c r="S293" s="80">
        <v>2766.75</v>
      </c>
    </row>
    <row r="294" spans="2:19" x14ac:dyDescent="0.25">
      <c r="B294" s="3" t="s">
        <v>334</v>
      </c>
      <c r="C294" s="9" t="s">
        <v>96</v>
      </c>
      <c r="D294" s="3" t="s">
        <v>348</v>
      </c>
      <c r="E294" s="3" t="s">
        <v>71</v>
      </c>
      <c r="F294" s="3" t="s">
        <v>612</v>
      </c>
      <c r="G294" s="6">
        <v>7596</v>
      </c>
      <c r="H294" s="6">
        <f t="shared" si="11"/>
        <v>1158.7118644067796</v>
      </c>
      <c r="I294" s="6"/>
      <c r="J294" s="3" t="s">
        <v>18</v>
      </c>
      <c r="K294" t="s">
        <v>554</v>
      </c>
      <c r="N294">
        <v>105</v>
      </c>
      <c r="O294">
        <v>0</v>
      </c>
      <c r="P294"/>
      <c r="Q294" t="s">
        <v>600</v>
      </c>
      <c r="R294" s="80">
        <v>67596</v>
      </c>
      <c r="S294" s="80">
        <v>1660.75</v>
      </c>
    </row>
    <row r="295" spans="2:19" x14ac:dyDescent="0.25">
      <c r="B295" s="3" t="s">
        <v>334</v>
      </c>
      <c r="C295" s="2" t="s">
        <v>96</v>
      </c>
      <c r="D295" s="3" t="s">
        <v>348</v>
      </c>
      <c r="E295" s="3" t="s">
        <v>71</v>
      </c>
      <c r="F295" s="3" t="s">
        <v>612</v>
      </c>
      <c r="G295" s="6">
        <v>1543</v>
      </c>
      <c r="H295" s="6">
        <f t="shared" si="11"/>
        <v>235.37288135593212</v>
      </c>
      <c r="I295" s="6"/>
      <c r="J295" s="3" t="s">
        <v>18</v>
      </c>
      <c r="K295" t="s">
        <v>514</v>
      </c>
      <c r="N295">
        <v>98</v>
      </c>
      <c r="O295">
        <v>0</v>
      </c>
      <c r="P295"/>
      <c r="Q295" t="s">
        <v>600</v>
      </c>
      <c r="R295" s="80">
        <v>50943</v>
      </c>
      <c r="S295" s="80">
        <v>1373.75</v>
      </c>
    </row>
    <row r="296" spans="2:19" x14ac:dyDescent="0.25">
      <c r="B296" s="3" t="s">
        <v>334</v>
      </c>
      <c r="C296" s="2" t="s">
        <v>96</v>
      </c>
      <c r="D296" s="3" t="s">
        <v>348</v>
      </c>
      <c r="E296" s="3" t="s">
        <v>71</v>
      </c>
      <c r="F296" s="3" t="s">
        <v>612</v>
      </c>
      <c r="G296" s="73">
        <f>96042-G85-G122</f>
        <v>5442</v>
      </c>
      <c r="H296" s="6">
        <f t="shared" si="11"/>
        <v>830.13559322033871</v>
      </c>
      <c r="I296" s="6"/>
      <c r="J296" s="3" t="s">
        <v>18</v>
      </c>
      <c r="K296" t="s">
        <v>541</v>
      </c>
      <c r="N296">
        <v>196</v>
      </c>
      <c r="O296">
        <v>0</v>
      </c>
      <c r="P296"/>
      <c r="Q296" t="s">
        <v>600</v>
      </c>
      <c r="R296" s="80">
        <v>96042</v>
      </c>
      <c r="S296" s="80">
        <v>3911.25</v>
      </c>
    </row>
    <row r="297" spans="2:19" x14ac:dyDescent="0.25">
      <c r="B297" s="3" t="s">
        <v>334</v>
      </c>
      <c r="C297" s="2" t="s">
        <v>96</v>
      </c>
      <c r="D297" s="3" t="s">
        <v>348</v>
      </c>
      <c r="E297" s="3" t="s">
        <v>71</v>
      </c>
      <c r="F297" s="3" t="s">
        <v>612</v>
      </c>
      <c r="G297" s="6">
        <v>737</v>
      </c>
      <c r="H297" s="6">
        <f t="shared" si="11"/>
        <v>112.42372881355925</v>
      </c>
      <c r="I297" s="6"/>
      <c r="J297" s="3" t="s">
        <v>18</v>
      </c>
      <c r="K297" t="s">
        <v>543</v>
      </c>
      <c r="N297">
        <v>99</v>
      </c>
      <c r="O297">
        <v>0</v>
      </c>
      <c r="P297"/>
      <c r="Q297" t="s">
        <v>600</v>
      </c>
      <c r="R297" s="80">
        <v>56637</v>
      </c>
      <c r="S297" s="80">
        <v>1372</v>
      </c>
    </row>
    <row r="298" spans="2:19" x14ac:dyDescent="0.25">
      <c r="B298" s="3" t="s">
        <v>334</v>
      </c>
      <c r="C298" s="2" t="s">
        <v>96</v>
      </c>
      <c r="D298" s="3" t="s">
        <v>348</v>
      </c>
      <c r="E298" s="3" t="s">
        <v>71</v>
      </c>
      <c r="F298" s="3" t="s">
        <v>612</v>
      </c>
      <c r="G298" s="6">
        <v>2462</v>
      </c>
      <c r="H298" s="6">
        <f t="shared" si="11"/>
        <v>375.5593220338983</v>
      </c>
      <c r="I298" s="6"/>
      <c r="J298" s="3" t="s">
        <v>18</v>
      </c>
      <c r="K298" t="s">
        <v>515</v>
      </c>
      <c r="N298">
        <v>169</v>
      </c>
      <c r="O298">
        <v>0</v>
      </c>
      <c r="P298"/>
      <c r="Q298" t="s">
        <v>600</v>
      </c>
      <c r="R298" s="80">
        <v>49762</v>
      </c>
      <c r="S298" s="80">
        <v>1249.5</v>
      </c>
    </row>
    <row r="299" spans="2:19" x14ac:dyDescent="0.25">
      <c r="B299" s="3" t="s">
        <v>334</v>
      </c>
      <c r="C299" s="2" t="s">
        <v>96</v>
      </c>
      <c r="D299" s="3" t="s">
        <v>348</v>
      </c>
      <c r="E299" s="3" t="s">
        <v>71</v>
      </c>
      <c r="F299" s="3" t="s">
        <v>612</v>
      </c>
      <c r="G299" s="6">
        <v>2906</v>
      </c>
      <c r="H299" s="6">
        <f t="shared" si="11"/>
        <v>443.28813559322043</v>
      </c>
      <c r="I299" s="6"/>
      <c r="J299" s="3" t="s">
        <v>18</v>
      </c>
      <c r="K299" t="s">
        <v>516</v>
      </c>
      <c r="N299">
        <v>77</v>
      </c>
      <c r="O299">
        <v>0</v>
      </c>
      <c r="P299"/>
      <c r="Q299" t="s">
        <v>600</v>
      </c>
      <c r="R299" s="80">
        <v>52406</v>
      </c>
      <c r="S299" s="80">
        <v>1398.25</v>
      </c>
    </row>
    <row r="300" spans="2:19" x14ac:dyDescent="0.25">
      <c r="B300" s="3" t="s">
        <v>334</v>
      </c>
      <c r="C300" s="2" t="s">
        <v>96</v>
      </c>
      <c r="D300" s="3" t="s">
        <v>348</v>
      </c>
      <c r="E300" s="3" t="s">
        <v>71</v>
      </c>
      <c r="F300" s="3" t="s">
        <v>612</v>
      </c>
      <c r="G300" s="6">
        <v>559</v>
      </c>
      <c r="H300" s="6">
        <f t="shared" si="11"/>
        <v>85.271186440677923</v>
      </c>
      <c r="I300" s="6"/>
      <c r="J300" s="3" t="s">
        <v>18</v>
      </c>
      <c r="K300" t="s">
        <v>544</v>
      </c>
      <c r="N300">
        <v>181</v>
      </c>
      <c r="O300">
        <v>0</v>
      </c>
      <c r="P300"/>
      <c r="Q300" t="s">
        <v>600</v>
      </c>
      <c r="R300" s="80">
        <v>43859</v>
      </c>
      <c r="S300" s="80">
        <v>840</v>
      </c>
    </row>
    <row r="301" spans="2:19" x14ac:dyDescent="0.25">
      <c r="B301" s="3" t="s">
        <v>334</v>
      </c>
      <c r="C301" s="2" t="s">
        <v>96</v>
      </c>
      <c r="D301" s="3" t="s">
        <v>348</v>
      </c>
      <c r="E301" s="3" t="s">
        <v>71</v>
      </c>
      <c r="F301" s="3" t="s">
        <v>612</v>
      </c>
      <c r="G301" s="6">
        <v>259</v>
      </c>
      <c r="H301" s="6">
        <f t="shared" si="11"/>
        <v>39.508474576271169</v>
      </c>
      <c r="I301" s="6"/>
      <c r="J301" s="3" t="s">
        <v>18</v>
      </c>
      <c r="K301" t="s">
        <v>545</v>
      </c>
      <c r="N301">
        <v>107</v>
      </c>
      <c r="O301">
        <v>0</v>
      </c>
      <c r="P301"/>
      <c r="Q301" t="s">
        <v>600</v>
      </c>
      <c r="R301" s="80">
        <v>40059</v>
      </c>
      <c r="S301" s="80">
        <v>833</v>
      </c>
    </row>
    <row r="302" spans="2:19" x14ac:dyDescent="0.25">
      <c r="B302" s="3" t="s">
        <v>334</v>
      </c>
      <c r="C302" s="2" t="s">
        <v>96</v>
      </c>
      <c r="D302" s="3" t="s">
        <v>348</v>
      </c>
      <c r="E302" s="3" t="s">
        <v>71</v>
      </c>
      <c r="F302" s="3" t="s">
        <v>612</v>
      </c>
      <c r="G302" s="6">
        <v>23666</v>
      </c>
      <c r="H302" s="6">
        <f t="shared" si="11"/>
        <v>3610.0677966101684</v>
      </c>
      <c r="I302" s="6"/>
      <c r="J302" s="3" t="s">
        <v>18</v>
      </c>
      <c r="K302" t="s">
        <v>513</v>
      </c>
      <c r="N302">
        <v>198</v>
      </c>
      <c r="O302">
        <v>0</v>
      </c>
      <c r="P302"/>
      <c r="Q302" t="s">
        <v>600</v>
      </c>
      <c r="R302" s="80">
        <v>79966</v>
      </c>
      <c r="S302" s="80">
        <v>1967</v>
      </c>
    </row>
    <row r="303" spans="2:19" x14ac:dyDescent="0.25">
      <c r="B303" s="3" t="s">
        <v>334</v>
      </c>
      <c r="C303" s="2" t="s">
        <v>96</v>
      </c>
      <c r="D303" s="3" t="s">
        <v>348</v>
      </c>
      <c r="E303" s="3" t="s">
        <v>71</v>
      </c>
      <c r="F303" s="3" t="s">
        <v>612</v>
      </c>
      <c r="G303" s="6">
        <v>2859</v>
      </c>
      <c r="H303" s="6">
        <f t="shared" si="11"/>
        <v>436.11864406779659</v>
      </c>
      <c r="I303" s="6"/>
      <c r="J303" s="3" t="s">
        <v>18</v>
      </c>
      <c r="K303" t="s">
        <v>510</v>
      </c>
      <c r="N303">
        <v>0</v>
      </c>
      <c r="O303">
        <v>0</v>
      </c>
      <c r="P303"/>
      <c r="Q303" t="s">
        <v>600</v>
      </c>
      <c r="R303" s="80">
        <v>87159</v>
      </c>
      <c r="S303" s="80">
        <v>1897</v>
      </c>
    </row>
    <row r="304" spans="2:19" x14ac:dyDescent="0.25">
      <c r="B304" s="3" t="s">
        <v>334</v>
      </c>
      <c r="C304" s="2" t="s">
        <v>96</v>
      </c>
      <c r="D304" s="3" t="s">
        <v>348</v>
      </c>
      <c r="E304" s="3" t="s">
        <v>71</v>
      </c>
      <c r="F304" s="3" t="s">
        <v>612</v>
      </c>
      <c r="G304" s="6">
        <v>7222</v>
      </c>
      <c r="H304" s="6">
        <f t="shared" si="11"/>
        <v>1101.6610169491523</v>
      </c>
      <c r="I304" s="6"/>
      <c r="J304" s="3" t="s">
        <v>18</v>
      </c>
      <c r="K304" t="s">
        <v>562</v>
      </c>
      <c r="N304">
        <v>101</v>
      </c>
      <c r="O304">
        <v>0</v>
      </c>
      <c r="P304"/>
      <c r="Q304" t="s">
        <v>600</v>
      </c>
      <c r="R304" s="80">
        <v>32222</v>
      </c>
      <c r="S304" s="80">
        <v>504</v>
      </c>
    </row>
    <row r="305" spans="2:19" x14ac:dyDescent="0.25">
      <c r="B305" s="3" t="s">
        <v>334</v>
      </c>
      <c r="C305" s="2" t="s">
        <v>96</v>
      </c>
      <c r="D305" s="3" t="s">
        <v>348</v>
      </c>
      <c r="E305" s="3" t="s">
        <v>71</v>
      </c>
      <c r="F305" s="3" t="s">
        <v>612</v>
      </c>
      <c r="G305" s="6">
        <v>819</v>
      </c>
      <c r="H305" s="6">
        <f t="shared" si="11"/>
        <v>124.93220338983042</v>
      </c>
      <c r="I305" s="6"/>
      <c r="J305" s="3" t="s">
        <v>18</v>
      </c>
      <c r="K305" t="s">
        <v>518</v>
      </c>
      <c r="N305">
        <v>27</v>
      </c>
      <c r="O305">
        <v>0</v>
      </c>
      <c r="P305"/>
      <c r="Q305" t="s">
        <v>600</v>
      </c>
      <c r="R305" s="80">
        <v>77819</v>
      </c>
      <c r="S305" s="80">
        <v>1650.25</v>
      </c>
    </row>
    <row r="306" spans="2:19" x14ac:dyDescent="0.25">
      <c r="B306" s="3" t="s">
        <v>334</v>
      </c>
      <c r="C306" s="2" t="s">
        <v>96</v>
      </c>
      <c r="D306" s="3" t="s">
        <v>348</v>
      </c>
      <c r="E306" s="3" t="s">
        <v>71</v>
      </c>
      <c r="F306" s="3" t="s">
        <v>612</v>
      </c>
      <c r="G306" s="6">
        <f>80886-G28-G90</f>
        <v>1386</v>
      </c>
      <c r="H306" s="6">
        <f t="shared" si="11"/>
        <v>211.42372881355936</v>
      </c>
      <c r="I306" s="6"/>
      <c r="J306" s="3" t="s">
        <v>18</v>
      </c>
      <c r="K306" t="s">
        <v>519</v>
      </c>
      <c r="N306">
        <v>30</v>
      </c>
      <c r="O306">
        <v>0</v>
      </c>
      <c r="P306"/>
      <c r="Q306" t="s">
        <v>600</v>
      </c>
      <c r="R306" s="80">
        <v>80886</v>
      </c>
      <c r="S306" s="80">
        <v>1645</v>
      </c>
    </row>
    <row r="307" spans="2:19" x14ac:dyDescent="0.25">
      <c r="B307" s="3" t="s">
        <v>334</v>
      </c>
      <c r="C307" s="2" t="s">
        <v>96</v>
      </c>
      <c r="D307" s="3" t="s">
        <v>348</v>
      </c>
      <c r="E307" s="3" t="s">
        <v>71</v>
      </c>
      <c r="F307" s="3" t="s">
        <v>612</v>
      </c>
      <c r="G307" s="6">
        <v>3040</v>
      </c>
      <c r="H307" s="6">
        <f t="shared" si="11"/>
        <v>463.72881355932168</v>
      </c>
      <c r="I307" s="6"/>
      <c r="J307" s="3" t="s">
        <v>18</v>
      </c>
      <c r="K307" t="s">
        <v>559</v>
      </c>
      <c r="N307">
        <v>9</v>
      </c>
      <c r="O307">
        <v>0</v>
      </c>
      <c r="P307"/>
      <c r="Q307" t="s">
        <v>600</v>
      </c>
      <c r="R307" s="80">
        <v>13040</v>
      </c>
      <c r="S307" s="80">
        <v>103.25</v>
      </c>
    </row>
    <row r="308" spans="2:19" x14ac:dyDescent="0.25">
      <c r="B308" s="3" t="s">
        <v>334</v>
      </c>
      <c r="C308" s="2" t="s">
        <v>96</v>
      </c>
      <c r="D308" s="3" t="s">
        <v>348</v>
      </c>
      <c r="E308" s="3" t="s">
        <v>71</v>
      </c>
      <c r="F308" s="3" t="s">
        <v>612</v>
      </c>
      <c r="G308" s="6">
        <v>1106</v>
      </c>
      <c r="H308" s="6">
        <f t="shared" si="11"/>
        <v>168.71186440677957</v>
      </c>
      <c r="I308" s="6"/>
      <c r="J308" s="3" t="s">
        <v>18</v>
      </c>
      <c r="K308" t="s">
        <v>551</v>
      </c>
      <c r="N308">
        <v>1232</v>
      </c>
      <c r="O308">
        <v>0</v>
      </c>
      <c r="P308"/>
      <c r="Q308" t="s">
        <v>600</v>
      </c>
      <c r="R308" s="80">
        <v>191556</v>
      </c>
      <c r="S308" s="80">
        <v>7112</v>
      </c>
    </row>
    <row r="309" spans="2:19" x14ac:dyDescent="0.25">
      <c r="B309" s="3" t="s">
        <v>334</v>
      </c>
      <c r="C309" s="2" t="s">
        <v>96</v>
      </c>
      <c r="D309" s="3" t="s">
        <v>348</v>
      </c>
      <c r="E309" s="3" t="s">
        <v>71</v>
      </c>
      <c r="F309" s="3" t="s">
        <v>612</v>
      </c>
      <c r="G309" s="6">
        <v>201</v>
      </c>
      <c r="H309" s="6">
        <f t="shared" si="11"/>
        <v>30.661016949152526</v>
      </c>
      <c r="I309" s="6"/>
      <c r="J309" s="3" t="s">
        <v>18</v>
      </c>
      <c r="K309" t="s">
        <v>553</v>
      </c>
      <c r="N309">
        <v>13</v>
      </c>
      <c r="O309">
        <v>0</v>
      </c>
      <c r="P309"/>
      <c r="Q309" t="s">
        <v>600</v>
      </c>
      <c r="R309" s="80">
        <v>67201</v>
      </c>
      <c r="S309" s="80">
        <v>2878.75</v>
      </c>
    </row>
    <row r="310" spans="2:19" x14ac:dyDescent="0.25">
      <c r="B310" s="3" t="s">
        <v>334</v>
      </c>
      <c r="C310" s="2" t="s">
        <v>96</v>
      </c>
      <c r="D310" s="3" t="s">
        <v>348</v>
      </c>
      <c r="E310" s="3" t="s">
        <v>71</v>
      </c>
      <c r="F310" s="3" t="s">
        <v>612</v>
      </c>
      <c r="G310" s="6">
        <v>4403</v>
      </c>
      <c r="H310" s="6">
        <f t="shared" si="11"/>
        <v>671.64406779660976</v>
      </c>
      <c r="I310" s="6"/>
      <c r="J310" s="3" t="s">
        <v>18</v>
      </c>
      <c r="K310" t="s">
        <v>555</v>
      </c>
      <c r="N310">
        <v>117</v>
      </c>
      <c r="O310">
        <v>0</v>
      </c>
      <c r="P310"/>
      <c r="Q310" t="s">
        <v>600</v>
      </c>
      <c r="R310" s="80">
        <v>30403</v>
      </c>
      <c r="S310" s="80">
        <v>880.25</v>
      </c>
    </row>
    <row r="311" spans="2:19" x14ac:dyDescent="0.25">
      <c r="B311" s="3" t="s">
        <v>334</v>
      </c>
      <c r="C311" s="2" t="s">
        <v>96</v>
      </c>
      <c r="D311" s="3" t="s">
        <v>348</v>
      </c>
      <c r="E311" s="3" t="s">
        <v>71</v>
      </c>
      <c r="F311" s="3" t="s">
        <v>612</v>
      </c>
      <c r="G311" s="6">
        <v>3641</v>
      </c>
      <c r="H311" s="6">
        <f t="shared" si="11"/>
        <v>555.40677966101657</v>
      </c>
      <c r="I311" s="6"/>
      <c r="J311" s="3" t="s">
        <v>18</v>
      </c>
      <c r="K311" t="s">
        <v>556</v>
      </c>
      <c r="N311">
        <v>105</v>
      </c>
      <c r="O311">
        <v>0</v>
      </c>
      <c r="P311"/>
      <c r="Q311" t="s">
        <v>600</v>
      </c>
      <c r="R311" s="80">
        <v>30641</v>
      </c>
      <c r="S311" s="80">
        <v>894.25</v>
      </c>
    </row>
    <row r="312" spans="2:19" x14ac:dyDescent="0.25">
      <c r="B312" s="3" t="s">
        <v>334</v>
      </c>
      <c r="C312" s="2" t="s">
        <v>96</v>
      </c>
      <c r="D312" s="3" t="s">
        <v>348</v>
      </c>
      <c r="E312" s="3" t="s">
        <v>71</v>
      </c>
      <c r="F312" s="3" t="s">
        <v>612</v>
      </c>
      <c r="G312" s="6">
        <v>9026</v>
      </c>
      <c r="H312" s="6">
        <f t="shared" si="11"/>
        <v>1376.8474576271183</v>
      </c>
      <c r="I312" s="6"/>
      <c r="J312" s="3" t="s">
        <v>18</v>
      </c>
      <c r="K312" t="s">
        <v>557</v>
      </c>
      <c r="N312">
        <v>394</v>
      </c>
      <c r="O312">
        <v>0</v>
      </c>
      <c r="P312"/>
      <c r="Q312" t="s">
        <v>600</v>
      </c>
      <c r="R312" s="80">
        <v>104026</v>
      </c>
      <c r="S312" s="80">
        <v>4305</v>
      </c>
    </row>
    <row r="313" spans="2:19" x14ac:dyDescent="0.25">
      <c r="B313" s="3" t="s">
        <v>334</v>
      </c>
      <c r="C313" s="2" t="s">
        <v>96</v>
      </c>
      <c r="D313" s="3" t="s">
        <v>348</v>
      </c>
      <c r="E313" s="3" t="s">
        <v>71</v>
      </c>
      <c r="F313" s="3" t="s">
        <v>612</v>
      </c>
      <c r="G313" s="6">
        <v>30000</v>
      </c>
      <c r="H313" s="6">
        <f t="shared" si="11"/>
        <v>4576.2711864406774</v>
      </c>
      <c r="I313" s="6"/>
      <c r="J313" s="3" t="s">
        <v>18</v>
      </c>
      <c r="K313" t="s">
        <v>609</v>
      </c>
      <c r="N313">
        <v>550</v>
      </c>
      <c r="O313">
        <v>36</v>
      </c>
      <c r="P313"/>
      <c r="Q313" t="s">
        <v>616</v>
      </c>
      <c r="R313" s="80"/>
      <c r="S313" s="80"/>
    </row>
    <row r="314" spans="2:19" x14ac:dyDescent="0.25">
      <c r="B314" s="3" t="s">
        <v>334</v>
      </c>
      <c r="C314" s="2" t="s">
        <v>96</v>
      </c>
      <c r="D314" s="3" t="s">
        <v>348</v>
      </c>
      <c r="E314" s="3" t="s">
        <v>71</v>
      </c>
      <c r="F314" s="3" t="s">
        <v>612</v>
      </c>
      <c r="G314" s="6">
        <v>28000</v>
      </c>
      <c r="H314" s="6">
        <f t="shared" si="11"/>
        <v>4271.1864406779641</v>
      </c>
      <c r="I314" s="6"/>
      <c r="J314" s="3" t="s">
        <v>18</v>
      </c>
      <c r="K314" t="s">
        <v>610</v>
      </c>
      <c r="N314">
        <v>560</v>
      </c>
      <c r="O314">
        <v>40</v>
      </c>
      <c r="P314"/>
      <c r="Q314" t="s">
        <v>616</v>
      </c>
      <c r="R314" s="80"/>
      <c r="S314" s="80"/>
    </row>
    <row r="315" spans="2:19" x14ac:dyDescent="0.25">
      <c r="B315" s="3" t="s">
        <v>334</v>
      </c>
      <c r="C315" s="2" t="s">
        <v>96</v>
      </c>
      <c r="D315" s="3" t="s">
        <v>348</v>
      </c>
      <c r="E315" s="3" t="s">
        <v>71</v>
      </c>
      <c r="F315" s="3" t="s">
        <v>612</v>
      </c>
      <c r="G315" s="6">
        <v>30000</v>
      </c>
      <c r="H315" s="6">
        <f t="shared" si="11"/>
        <v>4576.2711864406774</v>
      </c>
      <c r="I315" s="6"/>
      <c r="J315" s="3" t="s">
        <v>18</v>
      </c>
      <c r="K315" t="s">
        <v>598</v>
      </c>
      <c r="N315">
        <v>90</v>
      </c>
      <c r="O315">
        <v>94</v>
      </c>
      <c r="P315"/>
      <c r="Q315" t="s">
        <v>616</v>
      </c>
      <c r="R315" s="80"/>
      <c r="S315" s="80"/>
    </row>
    <row r="316" spans="2:19" x14ac:dyDescent="0.25">
      <c r="B316" s="3" t="s">
        <v>334</v>
      </c>
      <c r="C316" s="2" t="s">
        <v>96</v>
      </c>
      <c r="D316" s="3" t="s">
        <v>348</v>
      </c>
      <c r="E316" s="3" t="s">
        <v>71</v>
      </c>
      <c r="F316" s="3" t="s">
        <v>612</v>
      </c>
      <c r="G316" s="6">
        <v>50000</v>
      </c>
      <c r="H316" s="6">
        <f t="shared" si="11"/>
        <v>7627.118644067792</v>
      </c>
      <c r="I316" s="6"/>
      <c r="J316" s="3" t="s">
        <v>18</v>
      </c>
      <c r="K316" t="s">
        <v>611</v>
      </c>
      <c r="N316">
        <v>1100</v>
      </c>
      <c r="O316">
        <v>95</v>
      </c>
      <c r="P316"/>
      <c r="Q316" t="s">
        <v>616</v>
      </c>
      <c r="R316" s="80"/>
      <c r="S316" s="80"/>
    </row>
    <row r="317" spans="2:19" x14ac:dyDescent="0.25">
      <c r="B317" s="3" t="s">
        <v>334</v>
      </c>
      <c r="C317" s="2" t="s">
        <v>96</v>
      </c>
      <c r="D317" s="3" t="s">
        <v>348</v>
      </c>
      <c r="E317" s="3" t="s">
        <v>71</v>
      </c>
      <c r="F317" s="3" t="s">
        <v>612</v>
      </c>
      <c r="G317" s="6">
        <v>5000</v>
      </c>
      <c r="H317" s="6">
        <f t="shared" si="11"/>
        <v>762.71186440677957</v>
      </c>
      <c r="I317" s="6"/>
      <c r="J317" s="3" t="s">
        <v>18</v>
      </c>
      <c r="K317" t="s">
        <v>558</v>
      </c>
      <c r="N317">
        <v>50</v>
      </c>
      <c r="O317">
        <v>9</v>
      </c>
      <c r="P317"/>
      <c r="Q317" t="s">
        <v>616</v>
      </c>
      <c r="R317" s="80"/>
      <c r="S317" s="80"/>
    </row>
    <row r="318" spans="2:19" x14ac:dyDescent="0.25">
      <c r="B318" s="3" t="s">
        <v>334</v>
      </c>
      <c r="C318" s="2" t="s">
        <v>96</v>
      </c>
      <c r="D318" s="3" t="s">
        <v>348</v>
      </c>
      <c r="E318" s="3" t="s">
        <v>71</v>
      </c>
      <c r="F318" s="3" t="s">
        <v>612</v>
      </c>
      <c r="G318" s="6">
        <v>3000</v>
      </c>
      <c r="H318" s="6">
        <f t="shared" si="11"/>
        <v>457.62711864406765</v>
      </c>
      <c r="I318" s="6"/>
      <c r="J318" s="3" t="s">
        <v>18</v>
      </c>
      <c r="K318" t="s">
        <v>552</v>
      </c>
      <c r="N318">
        <v>0</v>
      </c>
      <c r="O318">
        <v>13</v>
      </c>
      <c r="P318"/>
      <c r="Q318" t="s">
        <v>616</v>
      </c>
      <c r="R318" s="80"/>
      <c r="S318" s="80"/>
    </row>
    <row r="319" spans="2:19" x14ac:dyDescent="0.25">
      <c r="B319" s="3" t="s">
        <v>334</v>
      </c>
      <c r="C319" s="2" t="s">
        <v>96</v>
      </c>
      <c r="D319" s="3" t="s">
        <v>348</v>
      </c>
      <c r="E319" s="3" t="s">
        <v>71</v>
      </c>
      <c r="F319" s="3" t="s">
        <v>612</v>
      </c>
      <c r="G319" s="6">
        <v>60000</v>
      </c>
      <c r="H319" s="6">
        <f t="shared" si="11"/>
        <v>9152.5423728813548</v>
      </c>
      <c r="I319" s="6"/>
      <c r="J319" s="3" t="s">
        <v>18</v>
      </c>
      <c r="K319" t="s">
        <v>613</v>
      </c>
      <c r="N319">
        <v>1300</v>
      </c>
      <c r="O319">
        <v>115</v>
      </c>
      <c r="P319"/>
      <c r="Q319" t="s">
        <v>616</v>
      </c>
      <c r="R319" s="80"/>
      <c r="S319" s="80"/>
    </row>
    <row r="320" spans="2:19" x14ac:dyDescent="0.25">
      <c r="B320" s="3" t="s">
        <v>334</v>
      </c>
      <c r="C320" s="2" t="s">
        <v>96</v>
      </c>
      <c r="D320" s="3" t="s">
        <v>348</v>
      </c>
      <c r="E320" s="3" t="s">
        <v>71</v>
      </c>
      <c r="F320" s="3" t="s">
        <v>612</v>
      </c>
      <c r="G320" s="6">
        <v>50000</v>
      </c>
      <c r="H320" s="6">
        <f t="shared" si="11"/>
        <v>7627.118644067792</v>
      </c>
      <c r="I320" s="6"/>
      <c r="J320" s="3" t="s">
        <v>18</v>
      </c>
      <c r="K320" t="s">
        <v>614</v>
      </c>
      <c r="N320">
        <v>1150</v>
      </c>
      <c r="O320">
        <v>70</v>
      </c>
      <c r="P320"/>
      <c r="Q320" t="s">
        <v>616</v>
      </c>
      <c r="R320" s="80"/>
      <c r="S320" s="80"/>
    </row>
    <row r="321" spans="2:19" x14ac:dyDescent="0.25">
      <c r="B321" s="3" t="s">
        <v>334</v>
      </c>
      <c r="C321" s="2" t="s">
        <v>96</v>
      </c>
      <c r="D321" s="3" t="s">
        <v>348</v>
      </c>
      <c r="E321" s="3" t="s">
        <v>71</v>
      </c>
      <c r="F321" s="3" t="s">
        <v>615</v>
      </c>
      <c r="G321" s="6">
        <v>7540.75</v>
      </c>
      <c r="H321" s="6">
        <f t="shared" si="11"/>
        <v>1150.2838983050842</v>
      </c>
      <c r="I321" s="6"/>
      <c r="J321" s="3" t="s">
        <v>18</v>
      </c>
      <c r="P321"/>
      <c r="Q321"/>
      <c r="R321" s="80"/>
      <c r="S321" s="80"/>
    </row>
    <row r="322" spans="2:19" x14ac:dyDescent="0.25">
      <c r="B322" s="3" t="s">
        <v>334</v>
      </c>
      <c r="C322" s="3" t="s">
        <v>96</v>
      </c>
      <c r="D322" s="3" t="s">
        <v>348</v>
      </c>
      <c r="E322" s="3" t="s">
        <v>71</v>
      </c>
      <c r="F322" s="3" t="s">
        <v>615</v>
      </c>
      <c r="G322" s="6">
        <v>35155</v>
      </c>
      <c r="H322" s="6">
        <f t="shared" si="11"/>
        <v>5362.6271186440645</v>
      </c>
      <c r="I322" s="6"/>
      <c r="J322" s="3" t="s">
        <v>18</v>
      </c>
      <c r="K322" t="s">
        <v>611</v>
      </c>
      <c r="N322">
        <v>678</v>
      </c>
      <c r="O322">
        <v>0</v>
      </c>
      <c r="P322"/>
      <c r="Q322" t="s">
        <v>600</v>
      </c>
      <c r="R322" s="80">
        <v>85155</v>
      </c>
      <c r="S322" s="80">
        <v>3454.5</v>
      </c>
    </row>
    <row r="323" spans="2:19" x14ac:dyDescent="0.25">
      <c r="B323" s="3" t="s">
        <v>334</v>
      </c>
      <c r="C323" s="11" t="s">
        <v>96</v>
      </c>
      <c r="D323" s="3" t="s">
        <v>348</v>
      </c>
      <c r="E323" s="3" t="s">
        <v>71</v>
      </c>
      <c r="F323" s="3" t="s">
        <v>615</v>
      </c>
      <c r="G323" s="6">
        <v>39940</v>
      </c>
      <c r="H323" s="6">
        <f t="shared" si="11"/>
        <v>6092.5423728813548</v>
      </c>
      <c r="I323" s="6"/>
      <c r="J323" s="3" t="s">
        <v>18</v>
      </c>
      <c r="K323" t="s">
        <v>613</v>
      </c>
      <c r="N323">
        <v>804</v>
      </c>
      <c r="O323">
        <v>0</v>
      </c>
      <c r="P323"/>
      <c r="Q323" t="s">
        <v>600</v>
      </c>
      <c r="R323" s="80">
        <v>99940</v>
      </c>
      <c r="S323" s="80">
        <v>3886.75</v>
      </c>
    </row>
    <row r="324" spans="2:19" x14ac:dyDescent="0.25">
      <c r="B324" s="3" t="s">
        <v>334</v>
      </c>
      <c r="C324" s="11" t="s">
        <v>96</v>
      </c>
      <c r="D324" s="3" t="s">
        <v>348</v>
      </c>
      <c r="E324" s="3" t="s">
        <v>71</v>
      </c>
      <c r="F324" s="3" t="s">
        <v>615</v>
      </c>
      <c r="G324" s="6">
        <v>3403</v>
      </c>
      <c r="H324" s="6">
        <f t="shared" si="11"/>
        <v>519.10169491525403</v>
      </c>
      <c r="I324" s="6"/>
      <c r="J324" s="3" t="s">
        <v>18</v>
      </c>
      <c r="K324" t="s">
        <v>542</v>
      </c>
      <c r="M324" s="83">
        <f>320.93+692.29+1175.47</f>
        <v>2188.69</v>
      </c>
      <c r="N324">
        <v>192</v>
      </c>
      <c r="O324">
        <v>0</v>
      </c>
      <c r="P324"/>
      <c r="Q324" t="s">
        <v>600</v>
      </c>
      <c r="R324" s="80">
        <v>71403</v>
      </c>
      <c r="S324" s="80">
        <v>2835</v>
      </c>
    </row>
    <row r="325" spans="2:19" x14ac:dyDescent="0.25">
      <c r="B325" s="3" t="s">
        <v>334</v>
      </c>
      <c r="C325" s="11" t="s">
        <v>96</v>
      </c>
      <c r="D325" s="3" t="s">
        <v>348</v>
      </c>
      <c r="E325" s="3" t="s">
        <v>71</v>
      </c>
      <c r="F325" s="3" t="s">
        <v>615</v>
      </c>
      <c r="G325" s="6">
        <v>42395</v>
      </c>
      <c r="H325" s="6">
        <f t="shared" ref="H325:H388" si="12">G325-G325/1.18</f>
        <v>6467.0338983050824</v>
      </c>
      <c r="I325" s="6"/>
      <c r="J325" s="3" t="s">
        <v>18</v>
      </c>
      <c r="K325" t="s">
        <v>614</v>
      </c>
      <c r="M325" s="80">
        <v>0</v>
      </c>
      <c r="N325">
        <v>781</v>
      </c>
      <c r="O325">
        <v>26</v>
      </c>
      <c r="P325"/>
      <c r="Q325" t="s">
        <v>600</v>
      </c>
      <c r="R325" s="80">
        <v>92395</v>
      </c>
      <c r="S325" s="80">
        <v>3461.5</v>
      </c>
    </row>
    <row r="326" spans="2:19" x14ac:dyDescent="0.25">
      <c r="B326" s="3" t="s">
        <v>334</v>
      </c>
      <c r="C326" s="11" t="s">
        <v>96</v>
      </c>
      <c r="D326" s="3" t="s">
        <v>348</v>
      </c>
      <c r="E326" s="3" t="s">
        <v>71</v>
      </c>
      <c r="F326" s="3" t="s">
        <v>615</v>
      </c>
      <c r="G326" s="6">
        <v>56899</v>
      </c>
      <c r="H326" s="6">
        <f t="shared" si="12"/>
        <v>8679.5084745762651</v>
      </c>
      <c r="I326" s="6"/>
      <c r="J326" s="3" t="s">
        <v>18</v>
      </c>
      <c r="K326" t="s">
        <v>619</v>
      </c>
      <c r="M326" s="80">
        <v>0</v>
      </c>
      <c r="N326">
        <v>1196</v>
      </c>
      <c r="O326">
        <v>65</v>
      </c>
      <c r="P326"/>
      <c r="Q326" t="s">
        <v>600</v>
      </c>
      <c r="R326" s="80">
        <v>56899</v>
      </c>
      <c r="S326" s="80">
        <v>2205</v>
      </c>
    </row>
    <row r="327" spans="2:19" x14ac:dyDescent="0.25">
      <c r="B327" s="3" t="s">
        <v>334</v>
      </c>
      <c r="C327" s="11" t="s">
        <v>96</v>
      </c>
      <c r="D327" s="3" t="s">
        <v>348</v>
      </c>
      <c r="E327" s="3" t="s">
        <v>71</v>
      </c>
      <c r="F327" s="3" t="s">
        <v>615</v>
      </c>
      <c r="G327" s="6">
        <v>50569</v>
      </c>
      <c r="H327" s="6">
        <f t="shared" si="12"/>
        <v>7713.9152542372831</v>
      </c>
      <c r="I327" s="6"/>
      <c r="J327" s="3" t="s">
        <v>18</v>
      </c>
      <c r="K327" t="s">
        <v>620</v>
      </c>
      <c r="M327" s="80">
        <v>0</v>
      </c>
      <c r="N327">
        <v>562</v>
      </c>
      <c r="O327">
        <v>62</v>
      </c>
      <c r="P327"/>
      <c r="Q327" t="s">
        <v>600</v>
      </c>
      <c r="R327" s="80">
        <v>50569</v>
      </c>
      <c r="S327" s="80">
        <v>896</v>
      </c>
    </row>
    <row r="328" spans="2:19" x14ac:dyDescent="0.25">
      <c r="B328" s="3" t="s">
        <v>334</v>
      </c>
      <c r="C328" s="11" t="s">
        <v>96</v>
      </c>
      <c r="D328" s="3" t="s">
        <v>348</v>
      </c>
      <c r="E328" s="3" t="s">
        <v>71</v>
      </c>
      <c r="F328" s="3" t="s">
        <v>615</v>
      </c>
      <c r="G328" s="6">
        <v>64033</v>
      </c>
      <c r="H328" s="6">
        <f t="shared" si="12"/>
        <v>9767.7457627118638</v>
      </c>
      <c r="I328" s="6"/>
      <c r="J328" s="3" t="s">
        <v>18</v>
      </c>
      <c r="K328" t="s">
        <v>621</v>
      </c>
      <c r="M328" s="80">
        <v>0</v>
      </c>
      <c r="N328">
        <v>852</v>
      </c>
      <c r="O328">
        <v>82</v>
      </c>
      <c r="P328"/>
      <c r="Q328" t="s">
        <v>600</v>
      </c>
      <c r="R328" s="80">
        <v>64033</v>
      </c>
      <c r="S328" s="80">
        <v>1470</v>
      </c>
    </row>
    <row r="329" spans="2:19" x14ac:dyDescent="0.25">
      <c r="B329" s="3" t="s">
        <v>334</v>
      </c>
      <c r="C329" s="11" t="s">
        <v>96</v>
      </c>
      <c r="D329" s="3" t="s">
        <v>348</v>
      </c>
      <c r="E329" s="3" t="s">
        <v>71</v>
      </c>
      <c r="F329" s="3" t="s">
        <v>615</v>
      </c>
      <c r="G329" s="6">
        <v>3242</v>
      </c>
      <c r="H329" s="6">
        <f t="shared" si="12"/>
        <v>494.54237288135573</v>
      </c>
      <c r="I329" s="6"/>
      <c r="J329" s="3" t="s">
        <v>18</v>
      </c>
      <c r="K329" t="s">
        <v>558</v>
      </c>
      <c r="M329" s="80">
        <v>885.65</v>
      </c>
      <c r="N329">
        <v>136</v>
      </c>
      <c r="O329">
        <v>0</v>
      </c>
      <c r="P329"/>
      <c r="Q329" t="s">
        <v>600</v>
      </c>
      <c r="R329" s="80">
        <v>38242</v>
      </c>
      <c r="S329" s="80">
        <v>1228.5</v>
      </c>
    </row>
    <row r="330" spans="2:19" ht="17.25" x14ac:dyDescent="0.25">
      <c r="B330" s="3" t="s">
        <v>334</v>
      </c>
      <c r="C330" s="11" t="s">
        <v>96</v>
      </c>
      <c r="D330" s="3" t="s">
        <v>348</v>
      </c>
      <c r="E330" s="3" t="s">
        <v>71</v>
      </c>
      <c r="F330" s="3" t="s">
        <v>615</v>
      </c>
      <c r="G330" s="6">
        <v>28732</v>
      </c>
      <c r="H330" s="6">
        <f t="shared" si="12"/>
        <v>4382.8474576271183</v>
      </c>
      <c r="I330" s="6"/>
      <c r="J330" s="3" t="s">
        <v>18</v>
      </c>
      <c r="K330" t="s">
        <v>622</v>
      </c>
      <c r="M330" s="80">
        <v>0</v>
      </c>
      <c r="N330">
        <v>613</v>
      </c>
      <c r="O330">
        <v>0</v>
      </c>
      <c r="P330"/>
      <c r="Q330" t="s">
        <v>600</v>
      </c>
      <c r="R330" s="80">
        <v>28732</v>
      </c>
      <c r="S330" s="80">
        <v>1127</v>
      </c>
    </row>
    <row r="331" spans="2:19" x14ac:dyDescent="0.25">
      <c r="B331" s="3" t="s">
        <v>334</v>
      </c>
      <c r="C331" s="11" t="s">
        <v>96</v>
      </c>
      <c r="D331" s="3" t="s">
        <v>348</v>
      </c>
      <c r="E331" s="3" t="s">
        <v>71</v>
      </c>
      <c r="F331" s="3" t="s">
        <v>615</v>
      </c>
      <c r="G331" s="6">
        <v>20983</v>
      </c>
      <c r="H331" s="6">
        <f t="shared" si="12"/>
        <v>3200.796610169491</v>
      </c>
      <c r="I331" s="6"/>
      <c r="J331" s="3" t="s">
        <v>18</v>
      </c>
      <c r="K331" t="s">
        <v>597</v>
      </c>
      <c r="M331" s="80">
        <v>1069.77</v>
      </c>
      <c r="N331">
        <v>401</v>
      </c>
      <c r="O331">
        <v>0</v>
      </c>
      <c r="P331"/>
      <c r="Q331" t="s">
        <v>600</v>
      </c>
      <c r="R331" s="80">
        <v>70983</v>
      </c>
      <c r="S331" s="80">
        <v>3290</v>
      </c>
    </row>
    <row r="332" spans="2:19" x14ac:dyDescent="0.25">
      <c r="B332" s="3" t="s">
        <v>334</v>
      </c>
      <c r="C332" s="2" t="s">
        <v>96</v>
      </c>
      <c r="D332" s="3" t="s">
        <v>348</v>
      </c>
      <c r="E332" s="3" t="s">
        <v>71</v>
      </c>
      <c r="F332" s="3" t="s">
        <v>615</v>
      </c>
      <c r="G332" s="6">
        <v>673</v>
      </c>
      <c r="H332" s="6">
        <f t="shared" si="12"/>
        <v>102.66101694915255</v>
      </c>
      <c r="I332" s="6"/>
      <c r="J332" s="3" t="s">
        <v>18</v>
      </c>
      <c r="K332" t="s">
        <v>598</v>
      </c>
      <c r="M332" s="80">
        <v>962.8</v>
      </c>
      <c r="N332">
        <v>189</v>
      </c>
      <c r="O332">
        <v>0</v>
      </c>
      <c r="P332"/>
      <c r="Q332" t="s">
        <v>600</v>
      </c>
      <c r="R332" s="80">
        <v>75673</v>
      </c>
      <c r="S332" s="80">
        <v>1622.25</v>
      </c>
    </row>
    <row r="333" spans="2:19" x14ac:dyDescent="0.25">
      <c r="B333" s="3" t="s">
        <v>334</v>
      </c>
      <c r="C333" s="2" t="s">
        <v>96</v>
      </c>
      <c r="D333" s="3" t="s">
        <v>348</v>
      </c>
      <c r="E333" s="3" t="s">
        <v>71</v>
      </c>
      <c r="F333" s="3" t="s">
        <v>615</v>
      </c>
      <c r="G333" s="6">
        <v>12056</v>
      </c>
      <c r="H333" s="6">
        <f t="shared" si="12"/>
        <v>1839.0508474576272</v>
      </c>
      <c r="I333" s="6"/>
      <c r="J333" s="3" t="s">
        <v>18</v>
      </c>
      <c r="K333" t="s">
        <v>552</v>
      </c>
      <c r="M333" s="80">
        <v>1481.4921149315069</v>
      </c>
      <c r="N333">
        <v>332.6</v>
      </c>
      <c r="O333">
        <v>7</v>
      </c>
      <c r="P333"/>
      <c r="Q333" t="s">
        <v>600</v>
      </c>
      <c r="R333" s="80">
        <v>70056</v>
      </c>
      <c r="S333" s="80">
        <v>2304.75</v>
      </c>
    </row>
    <row r="334" spans="2:19" s="37" customFormat="1" x14ac:dyDescent="0.25">
      <c r="B334" s="62" t="s">
        <v>334</v>
      </c>
      <c r="C334" s="63" t="s">
        <v>96</v>
      </c>
      <c r="D334" s="62" t="s">
        <v>348</v>
      </c>
      <c r="E334" s="62" t="s">
        <v>71</v>
      </c>
      <c r="F334" s="62" t="s">
        <v>615</v>
      </c>
      <c r="G334" s="64">
        <v>1008</v>
      </c>
      <c r="H334" s="64">
        <f t="shared" si="12"/>
        <v>153.7627118644067</v>
      </c>
      <c r="I334" s="64"/>
      <c r="J334" s="62" t="s">
        <v>18</v>
      </c>
      <c r="K334" s="37" t="s">
        <v>508</v>
      </c>
      <c r="M334" s="89">
        <v>2995.96</v>
      </c>
      <c r="N334" s="37">
        <v>62</v>
      </c>
      <c r="O334" s="37">
        <v>0</v>
      </c>
      <c r="Q334" s="37" t="s">
        <v>600</v>
      </c>
      <c r="R334" s="89">
        <v>82708</v>
      </c>
      <c r="S334" s="89">
        <v>1886.5</v>
      </c>
    </row>
    <row r="335" spans="2:19" x14ac:dyDescent="0.25">
      <c r="B335" s="3" t="s">
        <v>334</v>
      </c>
      <c r="C335" s="2" t="s">
        <v>96</v>
      </c>
      <c r="D335" s="3" t="s">
        <v>348</v>
      </c>
      <c r="E335" s="3" t="s">
        <v>71</v>
      </c>
      <c r="F335" s="3" t="s">
        <v>615</v>
      </c>
      <c r="G335" s="6">
        <v>4868</v>
      </c>
      <c r="H335" s="6">
        <f t="shared" si="12"/>
        <v>742.57627118644086</v>
      </c>
      <c r="I335" s="6"/>
      <c r="J335" s="3" t="s">
        <v>18</v>
      </c>
      <c r="K335" t="s">
        <v>609</v>
      </c>
      <c r="M335">
        <v>0</v>
      </c>
      <c r="N335">
        <v>143.5</v>
      </c>
      <c r="O335">
        <v>0</v>
      </c>
      <c r="P335"/>
      <c r="Q335" t="s">
        <v>600</v>
      </c>
      <c r="R335" s="80">
        <v>34868</v>
      </c>
      <c r="S335" s="80">
        <v>1216.25</v>
      </c>
    </row>
    <row r="336" spans="2:19" x14ac:dyDescent="0.25">
      <c r="B336" s="3" t="s">
        <v>334</v>
      </c>
      <c r="C336" s="2" t="s">
        <v>96</v>
      </c>
      <c r="D336" s="3" t="s">
        <v>348</v>
      </c>
      <c r="E336" s="3" t="s">
        <v>71</v>
      </c>
      <c r="F336" s="3" t="s">
        <v>615</v>
      </c>
      <c r="G336" s="6">
        <v>4817</v>
      </c>
      <c r="H336" s="6">
        <f t="shared" si="12"/>
        <v>734.79661016949149</v>
      </c>
      <c r="I336" s="6"/>
      <c r="J336" s="3" t="s">
        <v>18</v>
      </c>
      <c r="K336" t="s">
        <v>610</v>
      </c>
      <c r="M336">
        <v>0</v>
      </c>
      <c r="N336">
        <v>166.5</v>
      </c>
      <c r="O336">
        <v>0</v>
      </c>
      <c r="P336"/>
      <c r="Q336" t="s">
        <v>600</v>
      </c>
      <c r="R336" s="80">
        <v>32817</v>
      </c>
      <c r="S336" s="80">
        <v>1277.5</v>
      </c>
    </row>
    <row r="337" spans="2:19" x14ac:dyDescent="0.25">
      <c r="B337" s="3" t="s">
        <v>334</v>
      </c>
      <c r="C337" s="2" t="s">
        <v>96</v>
      </c>
      <c r="D337" s="3" t="s">
        <v>348</v>
      </c>
      <c r="E337" s="3" t="s">
        <v>71</v>
      </c>
      <c r="F337" s="3" t="s">
        <v>615</v>
      </c>
      <c r="G337" s="6">
        <v>40000</v>
      </c>
      <c r="H337" s="6">
        <f t="shared" si="12"/>
        <v>6101.6949152542365</v>
      </c>
      <c r="I337" s="6"/>
      <c r="J337" s="3" t="s">
        <v>18</v>
      </c>
      <c r="K337" t="s">
        <v>599</v>
      </c>
      <c r="N337">
        <v>800</v>
      </c>
      <c r="O337">
        <v>38</v>
      </c>
      <c r="P337"/>
      <c r="Q337" t="s">
        <v>616</v>
      </c>
      <c r="R337" s="80"/>
      <c r="S337" s="80"/>
    </row>
    <row r="338" spans="2:19" x14ac:dyDescent="0.25">
      <c r="B338" s="3" t="s">
        <v>334</v>
      </c>
      <c r="C338" s="2" t="s">
        <v>96</v>
      </c>
      <c r="D338" s="3" t="s">
        <v>348</v>
      </c>
      <c r="E338" s="3" t="s">
        <v>71</v>
      </c>
      <c r="F338" s="3" t="s">
        <v>615</v>
      </c>
      <c r="G338" s="6">
        <v>20000</v>
      </c>
      <c r="H338" s="6">
        <f t="shared" si="12"/>
        <v>3050.8474576271183</v>
      </c>
      <c r="I338" s="6"/>
      <c r="J338" s="3" t="s">
        <v>18</v>
      </c>
      <c r="K338" t="s">
        <v>623</v>
      </c>
      <c r="N338">
        <v>200</v>
      </c>
      <c r="O338">
        <v>25</v>
      </c>
      <c r="P338"/>
      <c r="Q338"/>
      <c r="R338" s="80"/>
      <c r="S338" s="80"/>
    </row>
    <row r="339" spans="2:19" x14ac:dyDescent="0.25">
      <c r="B339" s="3" t="s">
        <v>334</v>
      </c>
      <c r="C339" s="2" t="s">
        <v>96</v>
      </c>
      <c r="D339" s="3" t="s">
        <v>348</v>
      </c>
      <c r="E339" s="3" t="s">
        <v>71</v>
      </c>
      <c r="F339" s="3" t="s">
        <v>615</v>
      </c>
      <c r="G339" s="6">
        <v>15000</v>
      </c>
      <c r="H339" s="6">
        <f t="shared" si="12"/>
        <v>2288.1355932203387</v>
      </c>
      <c r="I339" s="6"/>
      <c r="J339" s="3" t="s">
        <v>18</v>
      </c>
      <c r="K339" t="s">
        <v>624</v>
      </c>
      <c r="N339">
        <v>400</v>
      </c>
      <c r="O339">
        <v>31</v>
      </c>
      <c r="P339"/>
      <c r="Q339" t="s">
        <v>616</v>
      </c>
      <c r="R339" s="80"/>
      <c r="S339" s="80"/>
    </row>
    <row r="340" spans="2:19" x14ac:dyDescent="0.25">
      <c r="B340" s="3" t="s">
        <v>334</v>
      </c>
      <c r="C340" s="2" t="s">
        <v>96</v>
      </c>
      <c r="D340" s="3" t="s">
        <v>348</v>
      </c>
      <c r="E340" s="3" t="s">
        <v>71</v>
      </c>
      <c r="F340" s="3" t="s">
        <v>615</v>
      </c>
      <c r="G340" s="6">
        <v>3000</v>
      </c>
      <c r="H340" s="6">
        <f t="shared" si="12"/>
        <v>457.62711864406765</v>
      </c>
      <c r="I340" s="6"/>
      <c r="J340" s="3" t="s">
        <v>18</v>
      </c>
      <c r="K340" t="s">
        <v>546</v>
      </c>
      <c r="N340">
        <v>0</v>
      </c>
      <c r="O340">
        <v>20</v>
      </c>
      <c r="P340"/>
      <c r="Q340" t="s">
        <v>616</v>
      </c>
      <c r="R340" s="80"/>
      <c r="S340" s="80"/>
    </row>
    <row r="341" spans="2:19" x14ac:dyDescent="0.25">
      <c r="B341" s="3" t="s">
        <v>334</v>
      </c>
      <c r="C341" s="2" t="s">
        <v>96</v>
      </c>
      <c r="D341" s="3" t="s">
        <v>348</v>
      </c>
      <c r="E341" s="3" t="s">
        <v>71</v>
      </c>
      <c r="F341" s="3" t="s">
        <v>646</v>
      </c>
      <c r="G341" s="6">
        <v>3430</v>
      </c>
      <c r="H341" s="6">
        <f t="shared" si="12"/>
        <v>523.22033898305062</v>
      </c>
      <c r="I341" s="6"/>
      <c r="J341" s="3" t="s">
        <v>18</v>
      </c>
      <c r="K341" t="s">
        <v>547</v>
      </c>
      <c r="M341" s="80">
        <v>2693.93</v>
      </c>
      <c r="N341">
        <v>6</v>
      </c>
      <c r="O341">
        <v>53</v>
      </c>
      <c r="P341"/>
      <c r="Q341" t="s">
        <v>600</v>
      </c>
      <c r="R341" s="80">
        <v>84630</v>
      </c>
      <c r="S341" s="80">
        <v>3472</v>
      </c>
    </row>
    <row r="342" spans="2:19" x14ac:dyDescent="0.25">
      <c r="B342" s="3" t="s">
        <v>334</v>
      </c>
      <c r="C342" s="2" t="s">
        <v>96</v>
      </c>
      <c r="D342" s="3" t="s">
        <v>348</v>
      </c>
      <c r="E342" s="3" t="s">
        <v>71</v>
      </c>
      <c r="F342" s="3" t="s">
        <v>646</v>
      </c>
      <c r="G342" s="6">
        <v>2568</v>
      </c>
      <c r="H342" s="6">
        <f t="shared" si="12"/>
        <v>391.72881355932213</v>
      </c>
      <c r="I342" s="6"/>
      <c r="J342" s="3" t="s">
        <v>18</v>
      </c>
      <c r="K342" t="s">
        <v>546</v>
      </c>
      <c r="M342" s="80">
        <v>3495.7704536986298</v>
      </c>
      <c r="N342">
        <v>695</v>
      </c>
      <c r="O342">
        <v>0</v>
      </c>
      <c r="P342"/>
      <c r="Q342" t="s">
        <v>600</v>
      </c>
      <c r="R342" s="80">
        <v>105968</v>
      </c>
      <c r="S342" s="80">
        <v>4007.5</v>
      </c>
    </row>
    <row r="343" spans="2:19" x14ac:dyDescent="0.25">
      <c r="B343" s="3" t="s">
        <v>334</v>
      </c>
      <c r="C343" s="2" t="s">
        <v>96</v>
      </c>
      <c r="D343" s="3" t="s">
        <v>348</v>
      </c>
      <c r="E343" s="3" t="s">
        <v>71</v>
      </c>
      <c r="F343" s="3" t="s">
        <v>646</v>
      </c>
      <c r="G343" s="6">
        <v>17203</v>
      </c>
      <c r="H343" s="6">
        <f t="shared" si="12"/>
        <v>2624.1864406779659</v>
      </c>
      <c r="I343" s="6"/>
      <c r="J343" s="3" t="s">
        <v>18</v>
      </c>
      <c r="K343" t="s">
        <v>599</v>
      </c>
      <c r="M343">
        <v>0</v>
      </c>
      <c r="N343">
        <v>308</v>
      </c>
      <c r="O343">
        <v>59</v>
      </c>
      <c r="P343"/>
      <c r="Q343" t="s">
        <v>600</v>
      </c>
      <c r="R343" s="80">
        <v>107203</v>
      </c>
      <c r="S343" s="80">
        <v>3788.75</v>
      </c>
    </row>
    <row r="344" spans="2:19" x14ac:dyDescent="0.25">
      <c r="B344" s="3" t="s">
        <v>334</v>
      </c>
      <c r="C344" s="2" t="s">
        <v>96</v>
      </c>
      <c r="D344" s="3" t="s">
        <v>348</v>
      </c>
      <c r="E344" s="3" t="s">
        <v>71</v>
      </c>
      <c r="F344" s="3" t="s">
        <v>646</v>
      </c>
      <c r="G344" s="6">
        <v>16484</v>
      </c>
      <c r="H344" s="6">
        <f t="shared" si="12"/>
        <v>2514.5084745762706</v>
      </c>
      <c r="I344" s="6"/>
      <c r="J344" s="3" t="s">
        <v>18</v>
      </c>
      <c r="K344" t="s">
        <v>624</v>
      </c>
      <c r="M344">
        <v>0</v>
      </c>
      <c r="N344">
        <v>386</v>
      </c>
      <c r="P344"/>
      <c r="Q344" t="s">
        <v>600</v>
      </c>
      <c r="R344" s="80">
        <v>31484</v>
      </c>
      <c r="S344" s="80">
        <v>1123.5</v>
      </c>
    </row>
    <row r="345" spans="2:19" x14ac:dyDescent="0.25">
      <c r="B345" s="3" t="s">
        <v>334</v>
      </c>
      <c r="C345" s="2" t="s">
        <v>96</v>
      </c>
      <c r="D345" s="3" t="s">
        <v>348</v>
      </c>
      <c r="E345" s="3" t="s">
        <v>71</v>
      </c>
      <c r="F345" s="3" t="s">
        <v>646</v>
      </c>
      <c r="G345" s="6">
        <v>28646</v>
      </c>
      <c r="H345" s="6">
        <f t="shared" si="12"/>
        <v>4369.728813559319</v>
      </c>
      <c r="I345" s="6"/>
      <c r="J345" s="3" t="s">
        <v>18</v>
      </c>
      <c r="K345" t="s">
        <v>623</v>
      </c>
      <c r="M345">
        <v>0</v>
      </c>
      <c r="N345">
        <v>327</v>
      </c>
      <c r="O345">
        <v>41</v>
      </c>
      <c r="P345"/>
      <c r="Q345" t="s">
        <v>600</v>
      </c>
      <c r="R345" s="80">
        <v>48646</v>
      </c>
      <c r="S345" s="80">
        <v>880.25</v>
      </c>
    </row>
    <row r="346" spans="2:19" x14ac:dyDescent="0.25">
      <c r="B346" s="3"/>
      <c r="C346" s="2"/>
      <c r="D346" s="3"/>
      <c r="E346" s="3"/>
      <c r="F346" s="3"/>
      <c r="G346" s="6"/>
      <c r="H346" s="6">
        <f t="shared" si="12"/>
        <v>0</v>
      </c>
      <c r="I346" s="6"/>
      <c r="J346" s="3"/>
      <c r="P346"/>
      <c r="Q346"/>
      <c r="R346" s="80"/>
      <c r="S346" s="80"/>
    </row>
    <row r="347" spans="2:19" x14ac:dyDescent="0.25">
      <c r="B347" s="3"/>
      <c r="C347" s="3"/>
      <c r="D347" s="3"/>
      <c r="E347" s="3"/>
      <c r="F347" s="3"/>
      <c r="G347" s="6"/>
      <c r="H347" s="6">
        <f t="shared" si="12"/>
        <v>0</v>
      </c>
      <c r="I347" s="6"/>
      <c r="J347" s="3"/>
      <c r="P347"/>
      <c r="Q347"/>
      <c r="R347" s="80"/>
      <c r="S347" s="80"/>
    </row>
    <row r="348" spans="2:19" x14ac:dyDescent="0.25">
      <c r="B348" s="3"/>
      <c r="C348" s="2"/>
      <c r="D348" s="3"/>
      <c r="E348" s="3"/>
      <c r="F348" s="3"/>
      <c r="G348" s="6"/>
      <c r="H348" s="6">
        <f t="shared" si="12"/>
        <v>0</v>
      </c>
      <c r="I348" s="6"/>
      <c r="J348" s="3"/>
      <c r="P348"/>
      <c r="Q348"/>
      <c r="R348" s="80"/>
      <c r="S348" s="80"/>
    </row>
    <row r="349" spans="2:19" x14ac:dyDescent="0.25">
      <c r="B349" s="3"/>
      <c r="C349" s="2"/>
      <c r="D349" s="3"/>
      <c r="E349" s="3"/>
      <c r="F349" s="3"/>
      <c r="G349" s="6"/>
      <c r="H349" s="6">
        <f t="shared" si="12"/>
        <v>0</v>
      </c>
      <c r="I349" s="6"/>
      <c r="J349" s="3"/>
      <c r="P349"/>
      <c r="Q349"/>
      <c r="R349" s="80"/>
      <c r="S349" s="80"/>
    </row>
    <row r="350" spans="2:19" x14ac:dyDescent="0.25">
      <c r="B350" s="3"/>
      <c r="C350" s="2"/>
      <c r="D350" s="3"/>
      <c r="E350" s="3"/>
      <c r="F350" s="3"/>
      <c r="G350" s="6"/>
      <c r="H350" s="6">
        <f t="shared" si="12"/>
        <v>0</v>
      </c>
      <c r="I350" s="6"/>
      <c r="J350" s="3"/>
      <c r="P350"/>
      <c r="Q350"/>
      <c r="R350" s="80"/>
      <c r="S350" s="80"/>
    </row>
    <row r="351" spans="2:19" x14ac:dyDescent="0.25">
      <c r="B351" s="3"/>
      <c r="C351" s="2"/>
      <c r="D351" s="3"/>
      <c r="E351" s="3"/>
      <c r="F351" s="3"/>
      <c r="G351" s="6"/>
      <c r="H351" s="6">
        <f t="shared" si="12"/>
        <v>0</v>
      </c>
      <c r="I351" s="6"/>
      <c r="J351" s="3"/>
      <c r="P351"/>
      <c r="Q351"/>
      <c r="R351" s="80"/>
      <c r="S351" s="80"/>
    </row>
    <row r="352" spans="2:19" x14ac:dyDescent="0.25">
      <c r="B352" s="3"/>
      <c r="C352" s="2"/>
      <c r="D352" s="3"/>
      <c r="E352" s="3"/>
      <c r="F352" s="3"/>
      <c r="G352" s="6"/>
      <c r="H352" s="6">
        <f t="shared" si="12"/>
        <v>0</v>
      </c>
      <c r="I352" s="6"/>
      <c r="J352" s="3"/>
      <c r="P352"/>
      <c r="Q352"/>
      <c r="R352" s="80"/>
      <c r="S352" s="80"/>
    </row>
    <row r="353" spans="2:19" x14ac:dyDescent="0.25">
      <c r="B353" s="3"/>
      <c r="C353" s="2"/>
      <c r="D353" s="3"/>
      <c r="E353" s="3"/>
      <c r="F353" s="3"/>
      <c r="G353" s="6"/>
      <c r="H353" s="6">
        <f t="shared" si="12"/>
        <v>0</v>
      </c>
      <c r="I353" s="6"/>
      <c r="J353" s="3"/>
      <c r="P353"/>
      <c r="Q353"/>
      <c r="R353" s="80"/>
      <c r="S353" s="80"/>
    </row>
    <row r="354" spans="2:19" x14ac:dyDescent="0.25">
      <c r="B354" s="3"/>
      <c r="C354" s="2"/>
      <c r="D354" s="3"/>
      <c r="E354" s="3"/>
      <c r="F354" s="3"/>
      <c r="G354" s="6"/>
      <c r="H354" s="6">
        <f t="shared" si="12"/>
        <v>0</v>
      </c>
      <c r="I354" s="6"/>
      <c r="J354" s="3"/>
      <c r="P354"/>
      <c r="Q354"/>
      <c r="R354" s="80"/>
      <c r="S354" s="80"/>
    </row>
    <row r="355" spans="2:19" x14ac:dyDescent="0.25">
      <c r="B355" s="3"/>
      <c r="C355" s="2"/>
      <c r="D355" s="3"/>
      <c r="E355" s="3"/>
      <c r="F355" s="3"/>
      <c r="G355" s="6"/>
      <c r="H355" s="6">
        <f t="shared" si="12"/>
        <v>0</v>
      </c>
      <c r="I355" s="6"/>
      <c r="J355" s="3"/>
      <c r="P355"/>
      <c r="Q355"/>
      <c r="R355" s="80"/>
      <c r="S355" s="80"/>
    </row>
    <row r="356" spans="2:19" x14ac:dyDescent="0.25">
      <c r="B356" s="3"/>
      <c r="C356" s="2"/>
      <c r="D356" s="3"/>
      <c r="E356" s="3"/>
      <c r="F356" s="3"/>
      <c r="G356" s="6"/>
      <c r="H356" s="6">
        <f t="shared" si="12"/>
        <v>0</v>
      </c>
      <c r="I356" s="6"/>
      <c r="J356" s="3"/>
      <c r="P356"/>
      <c r="Q356"/>
      <c r="R356" s="80"/>
      <c r="S356" s="80"/>
    </row>
    <row r="357" spans="2:19" x14ac:dyDescent="0.25">
      <c r="B357" s="3"/>
      <c r="C357" s="2"/>
      <c r="D357" s="3"/>
      <c r="E357" s="3"/>
      <c r="F357" s="3"/>
      <c r="G357" s="6"/>
      <c r="H357" s="6">
        <f t="shared" si="12"/>
        <v>0</v>
      </c>
      <c r="I357" s="6"/>
      <c r="J357" s="3"/>
      <c r="P357"/>
      <c r="Q357"/>
      <c r="R357" s="80"/>
      <c r="S357" s="80"/>
    </row>
    <row r="358" spans="2:19" x14ac:dyDescent="0.25">
      <c r="B358" s="3"/>
      <c r="C358" s="3"/>
      <c r="D358" s="3"/>
      <c r="E358" s="3"/>
      <c r="F358" s="3"/>
      <c r="G358" s="6"/>
      <c r="H358" s="6">
        <f t="shared" si="12"/>
        <v>0</v>
      </c>
      <c r="I358" s="6"/>
      <c r="J358" s="3"/>
      <c r="P358"/>
      <c r="Q358"/>
      <c r="R358" s="80"/>
      <c r="S358" s="80"/>
    </row>
    <row r="359" spans="2:19" x14ac:dyDescent="0.25">
      <c r="B359" s="3"/>
      <c r="C359" s="2"/>
      <c r="D359" s="3"/>
      <c r="E359" s="3"/>
      <c r="F359" s="3"/>
      <c r="G359" s="6"/>
      <c r="H359" s="6">
        <f t="shared" si="12"/>
        <v>0</v>
      </c>
      <c r="I359" s="6"/>
      <c r="J359" s="3"/>
      <c r="P359"/>
      <c r="Q359"/>
      <c r="R359" s="80"/>
      <c r="S359" s="80"/>
    </row>
    <row r="360" spans="2:19" x14ac:dyDescent="0.25">
      <c r="B360" s="3"/>
      <c r="C360" s="2"/>
      <c r="D360" s="3"/>
      <c r="E360" s="3"/>
      <c r="F360" s="3"/>
      <c r="G360" s="6"/>
      <c r="H360" s="6">
        <f t="shared" si="12"/>
        <v>0</v>
      </c>
      <c r="I360" s="6"/>
      <c r="J360" s="3"/>
      <c r="P360"/>
      <c r="Q360"/>
      <c r="R360" s="80"/>
      <c r="S360" s="80"/>
    </row>
    <row r="361" spans="2:19" x14ac:dyDescent="0.25">
      <c r="B361" s="3"/>
      <c r="C361" s="2"/>
      <c r="D361" s="3"/>
      <c r="E361" s="3"/>
      <c r="F361" s="3"/>
      <c r="G361" s="6"/>
      <c r="H361" s="6">
        <f t="shared" si="12"/>
        <v>0</v>
      </c>
      <c r="I361" s="6"/>
      <c r="J361" s="3"/>
      <c r="P361"/>
      <c r="Q361"/>
      <c r="R361" s="80"/>
      <c r="S361" s="80"/>
    </row>
    <row r="362" spans="2:19" x14ac:dyDescent="0.25">
      <c r="B362" s="3"/>
      <c r="C362" s="2"/>
      <c r="D362" s="3"/>
      <c r="E362" s="3"/>
      <c r="F362" s="3"/>
      <c r="G362" s="6"/>
      <c r="H362" s="6">
        <f t="shared" si="12"/>
        <v>0</v>
      </c>
      <c r="I362" s="6"/>
      <c r="J362" s="3"/>
      <c r="P362"/>
      <c r="Q362"/>
      <c r="R362" s="80"/>
      <c r="S362" s="80"/>
    </row>
    <row r="363" spans="2:19" x14ac:dyDescent="0.25">
      <c r="B363" s="3"/>
      <c r="C363" s="2"/>
      <c r="D363" s="3"/>
      <c r="E363" s="3"/>
      <c r="F363" s="3"/>
      <c r="G363" s="6"/>
      <c r="H363" s="6">
        <f t="shared" si="12"/>
        <v>0</v>
      </c>
      <c r="I363" s="6"/>
      <c r="J363" s="3"/>
      <c r="P363"/>
      <c r="Q363"/>
      <c r="R363" s="80"/>
      <c r="S363" s="80"/>
    </row>
    <row r="364" spans="2:19" x14ac:dyDescent="0.25">
      <c r="B364" s="3"/>
      <c r="C364" s="2"/>
      <c r="D364" s="3"/>
      <c r="E364" s="3"/>
      <c r="F364" s="3"/>
      <c r="G364" s="6"/>
      <c r="H364" s="6">
        <f t="shared" si="12"/>
        <v>0</v>
      </c>
      <c r="I364" s="6"/>
      <c r="J364" s="3"/>
      <c r="P364"/>
      <c r="Q364"/>
      <c r="R364" s="80"/>
      <c r="S364" s="80"/>
    </row>
    <row r="365" spans="2:19" x14ac:dyDescent="0.25">
      <c r="B365" s="3"/>
      <c r="C365" s="2"/>
      <c r="D365" s="3"/>
      <c r="E365" s="3"/>
      <c r="F365" s="3"/>
      <c r="G365" s="6"/>
      <c r="H365" s="6">
        <f t="shared" si="12"/>
        <v>0</v>
      </c>
      <c r="I365" s="6"/>
      <c r="J365" s="3"/>
      <c r="P365"/>
      <c r="Q365"/>
      <c r="R365" s="80"/>
      <c r="S365" s="80"/>
    </row>
    <row r="366" spans="2:19" x14ac:dyDescent="0.25">
      <c r="B366" s="3"/>
      <c r="C366" s="2"/>
      <c r="D366" s="3"/>
      <c r="E366" s="3"/>
      <c r="F366" s="3"/>
      <c r="G366" s="6"/>
      <c r="H366" s="6">
        <f t="shared" si="12"/>
        <v>0</v>
      </c>
      <c r="I366" s="6"/>
      <c r="J366" s="3"/>
      <c r="P366"/>
      <c r="Q366"/>
      <c r="R366" s="80"/>
      <c r="S366" s="80"/>
    </row>
    <row r="367" spans="2:19" x14ac:dyDescent="0.25">
      <c r="B367" s="3"/>
      <c r="C367" s="2"/>
      <c r="D367" s="3"/>
      <c r="E367" s="3"/>
      <c r="F367" s="3"/>
      <c r="G367" s="6"/>
      <c r="H367" s="6">
        <f t="shared" si="12"/>
        <v>0</v>
      </c>
      <c r="I367" s="6"/>
      <c r="J367" s="3"/>
      <c r="P367"/>
      <c r="Q367"/>
      <c r="R367" s="80"/>
      <c r="S367" s="80"/>
    </row>
    <row r="368" spans="2:19" x14ac:dyDescent="0.25">
      <c r="B368" s="3"/>
      <c r="C368" s="2"/>
      <c r="D368" s="3"/>
      <c r="E368" s="3"/>
      <c r="F368" s="3"/>
      <c r="G368" s="6"/>
      <c r="H368" s="6">
        <f t="shared" si="12"/>
        <v>0</v>
      </c>
      <c r="I368" s="6"/>
      <c r="J368" s="3"/>
      <c r="P368"/>
      <c r="Q368"/>
      <c r="R368" s="80"/>
      <c r="S368" s="80"/>
    </row>
    <row r="369" spans="2:19" x14ac:dyDescent="0.25">
      <c r="B369" s="3"/>
      <c r="C369" s="2"/>
      <c r="D369" s="3"/>
      <c r="E369" s="3"/>
      <c r="F369" s="3"/>
      <c r="G369" s="6"/>
      <c r="H369" s="6">
        <f t="shared" si="12"/>
        <v>0</v>
      </c>
      <c r="I369" s="6"/>
      <c r="J369" s="3"/>
      <c r="P369"/>
      <c r="Q369"/>
      <c r="R369" s="80"/>
      <c r="S369" s="80"/>
    </row>
    <row r="370" spans="2:19" x14ac:dyDescent="0.25">
      <c r="B370" s="3"/>
      <c r="C370" s="2"/>
      <c r="D370" s="3"/>
      <c r="E370" s="3"/>
      <c r="F370" s="3"/>
      <c r="G370" s="6"/>
      <c r="H370" s="6">
        <f t="shared" si="12"/>
        <v>0</v>
      </c>
      <c r="I370" s="6"/>
      <c r="J370" s="3"/>
      <c r="P370"/>
      <c r="Q370"/>
      <c r="R370" s="80"/>
      <c r="S370" s="80"/>
    </row>
    <row r="371" spans="2:19" x14ac:dyDescent="0.25">
      <c r="B371" s="3"/>
      <c r="C371" s="2"/>
      <c r="D371" s="3"/>
      <c r="E371" s="3"/>
      <c r="F371" s="3"/>
      <c r="G371" s="6"/>
      <c r="H371" s="6">
        <f t="shared" si="12"/>
        <v>0</v>
      </c>
      <c r="I371" s="6"/>
      <c r="J371" s="3"/>
      <c r="P371"/>
      <c r="Q371"/>
      <c r="R371" s="80"/>
      <c r="S371" s="80"/>
    </row>
    <row r="372" spans="2:19" x14ac:dyDescent="0.25">
      <c r="B372" s="3"/>
      <c r="C372" s="2"/>
      <c r="D372" s="3"/>
      <c r="E372" s="3"/>
      <c r="F372" s="3"/>
      <c r="G372" s="6"/>
      <c r="H372" s="6">
        <f t="shared" si="12"/>
        <v>0</v>
      </c>
      <c r="I372" s="6"/>
      <c r="J372" s="3"/>
      <c r="P372"/>
      <c r="Q372"/>
      <c r="R372" s="80"/>
      <c r="S372" s="80"/>
    </row>
    <row r="373" spans="2:19" x14ac:dyDescent="0.25">
      <c r="B373" s="3"/>
      <c r="C373" s="2"/>
      <c r="D373" s="3"/>
      <c r="E373" s="3"/>
      <c r="F373" s="3"/>
      <c r="G373" s="6"/>
      <c r="H373" s="6">
        <f t="shared" si="12"/>
        <v>0</v>
      </c>
      <c r="I373" s="6"/>
      <c r="J373" s="3"/>
      <c r="P373"/>
      <c r="Q373"/>
      <c r="R373" s="80"/>
      <c r="S373" s="80"/>
    </row>
    <row r="374" spans="2:19" x14ac:dyDescent="0.25">
      <c r="B374" s="3"/>
      <c r="C374" s="2"/>
      <c r="D374" s="3"/>
      <c r="E374" s="3"/>
      <c r="F374" s="3"/>
      <c r="G374" s="6"/>
      <c r="H374" s="6">
        <f t="shared" si="12"/>
        <v>0</v>
      </c>
      <c r="I374" s="6"/>
      <c r="J374" s="3"/>
      <c r="P374"/>
      <c r="Q374"/>
      <c r="R374" s="80"/>
      <c r="S374" s="80"/>
    </row>
    <row r="375" spans="2:19" x14ac:dyDescent="0.25">
      <c r="B375" s="3"/>
      <c r="C375" s="2"/>
      <c r="D375" s="3"/>
      <c r="E375" s="3"/>
      <c r="F375" s="3"/>
      <c r="G375" s="6"/>
      <c r="H375" s="6">
        <f t="shared" si="12"/>
        <v>0</v>
      </c>
      <c r="I375" s="6"/>
      <c r="J375" s="3"/>
      <c r="P375"/>
      <c r="Q375"/>
      <c r="R375" s="80"/>
      <c r="S375" s="80"/>
    </row>
    <row r="376" spans="2:19" x14ac:dyDescent="0.25">
      <c r="B376" s="3"/>
      <c r="C376" s="2"/>
      <c r="D376" s="3"/>
      <c r="E376" s="3"/>
      <c r="F376" s="3"/>
      <c r="G376" s="6"/>
      <c r="H376" s="6">
        <f t="shared" si="12"/>
        <v>0</v>
      </c>
      <c r="I376" s="6"/>
      <c r="J376" s="3"/>
      <c r="P376"/>
      <c r="Q376"/>
      <c r="R376" s="80"/>
      <c r="S376" s="80"/>
    </row>
    <row r="377" spans="2:19" x14ac:dyDescent="0.25">
      <c r="B377" s="3"/>
      <c r="C377" s="2"/>
      <c r="D377" s="3"/>
      <c r="E377" s="3"/>
      <c r="F377" s="3"/>
      <c r="G377" s="6"/>
      <c r="H377" s="6">
        <f t="shared" si="12"/>
        <v>0</v>
      </c>
      <c r="I377" s="6"/>
      <c r="J377" s="3"/>
      <c r="P377"/>
      <c r="Q377"/>
      <c r="R377" s="80"/>
      <c r="S377" s="80"/>
    </row>
    <row r="378" spans="2:19" x14ac:dyDescent="0.25">
      <c r="B378" s="3"/>
      <c r="C378" s="2"/>
      <c r="D378" s="3"/>
      <c r="E378" s="3"/>
      <c r="F378" s="3"/>
      <c r="G378" s="6"/>
      <c r="H378" s="6">
        <f t="shared" si="12"/>
        <v>0</v>
      </c>
      <c r="I378" s="6"/>
      <c r="J378" s="3"/>
      <c r="P378"/>
      <c r="Q378"/>
      <c r="R378" s="80"/>
      <c r="S378" s="80"/>
    </row>
    <row r="379" spans="2:19" x14ac:dyDescent="0.25">
      <c r="B379" s="3"/>
      <c r="C379" s="2"/>
      <c r="D379" s="3"/>
      <c r="E379" s="3"/>
      <c r="F379" s="3"/>
      <c r="G379" s="6"/>
      <c r="H379" s="6">
        <f t="shared" si="12"/>
        <v>0</v>
      </c>
      <c r="I379" s="6"/>
      <c r="J379" s="3"/>
      <c r="P379"/>
      <c r="Q379"/>
      <c r="R379" s="80"/>
      <c r="S379" s="80"/>
    </row>
    <row r="380" spans="2:19" x14ac:dyDescent="0.25">
      <c r="B380" s="3"/>
      <c r="C380" s="2"/>
      <c r="D380" s="3"/>
      <c r="E380" s="3"/>
      <c r="F380" s="3"/>
      <c r="G380" s="6"/>
      <c r="H380" s="6">
        <f t="shared" si="12"/>
        <v>0</v>
      </c>
      <c r="I380" s="6"/>
      <c r="J380" s="3"/>
      <c r="P380"/>
      <c r="Q380"/>
      <c r="R380" s="80"/>
      <c r="S380" s="80"/>
    </row>
    <row r="381" spans="2:19" x14ac:dyDescent="0.25">
      <c r="B381" s="3"/>
      <c r="C381" s="2"/>
      <c r="D381" s="3"/>
      <c r="E381" s="3"/>
      <c r="F381" s="3"/>
      <c r="G381" s="6"/>
      <c r="H381" s="6">
        <f t="shared" si="12"/>
        <v>0</v>
      </c>
      <c r="I381" s="6"/>
      <c r="J381" s="3"/>
      <c r="P381"/>
      <c r="Q381"/>
      <c r="R381" s="80"/>
      <c r="S381" s="80"/>
    </row>
    <row r="382" spans="2:19" x14ac:dyDescent="0.25">
      <c r="B382" s="3"/>
      <c r="C382" s="12"/>
      <c r="D382" s="3"/>
      <c r="E382" s="3"/>
      <c r="F382" s="3"/>
      <c r="G382" s="6"/>
      <c r="H382" s="6">
        <f t="shared" si="12"/>
        <v>0</v>
      </c>
      <c r="I382" s="6"/>
      <c r="J382" s="3"/>
      <c r="P382"/>
      <c r="Q382"/>
      <c r="R382" s="80"/>
      <c r="S382" s="80"/>
    </row>
    <row r="383" spans="2:19" x14ac:dyDescent="0.25">
      <c r="B383" s="3"/>
      <c r="C383" s="3"/>
      <c r="D383" s="3"/>
      <c r="E383" s="3"/>
      <c r="F383" s="3"/>
      <c r="G383" s="6"/>
      <c r="H383" s="6">
        <f t="shared" si="12"/>
        <v>0</v>
      </c>
      <c r="I383" s="6"/>
      <c r="J383" s="3"/>
      <c r="P383"/>
      <c r="Q383"/>
      <c r="R383" s="80"/>
      <c r="S383" s="80"/>
    </row>
    <row r="384" spans="2:19" x14ac:dyDescent="0.25">
      <c r="B384" s="3"/>
      <c r="C384" s="12"/>
      <c r="D384" s="3"/>
      <c r="E384" s="3"/>
      <c r="F384" s="3"/>
      <c r="G384" s="6"/>
      <c r="H384" s="6">
        <f t="shared" si="12"/>
        <v>0</v>
      </c>
      <c r="I384" s="6"/>
      <c r="J384" s="3"/>
      <c r="P384"/>
      <c r="Q384"/>
      <c r="R384" s="80"/>
      <c r="S384" s="80"/>
    </row>
    <row r="385" spans="2:19" x14ac:dyDescent="0.25">
      <c r="B385" s="3"/>
      <c r="C385" s="2"/>
      <c r="D385" s="3"/>
      <c r="E385" s="3"/>
      <c r="F385" s="3"/>
      <c r="G385" s="6"/>
      <c r="H385" s="6">
        <f t="shared" si="12"/>
        <v>0</v>
      </c>
      <c r="I385" s="6"/>
      <c r="J385" s="3"/>
      <c r="P385"/>
      <c r="Q385"/>
      <c r="R385" s="80"/>
      <c r="S385" s="80"/>
    </row>
    <row r="386" spans="2:19" x14ac:dyDescent="0.25">
      <c r="B386" s="3"/>
      <c r="C386" s="2"/>
      <c r="D386" s="3"/>
      <c r="E386" s="3"/>
      <c r="F386" s="3"/>
      <c r="G386" s="6"/>
      <c r="H386" s="6">
        <f t="shared" si="12"/>
        <v>0</v>
      </c>
      <c r="I386" s="6"/>
      <c r="J386" s="3"/>
      <c r="P386"/>
      <c r="Q386"/>
      <c r="R386" s="80"/>
      <c r="S386" s="80"/>
    </row>
    <row r="387" spans="2:19" x14ac:dyDescent="0.25">
      <c r="B387" s="3"/>
      <c r="C387" s="2"/>
      <c r="D387" s="3"/>
      <c r="E387" s="3"/>
      <c r="F387" s="3"/>
      <c r="G387" s="6"/>
      <c r="H387" s="6">
        <f t="shared" si="12"/>
        <v>0</v>
      </c>
      <c r="I387" s="6"/>
      <c r="J387" s="3"/>
      <c r="P387"/>
      <c r="Q387"/>
      <c r="R387" s="80"/>
      <c r="S387" s="80"/>
    </row>
    <row r="388" spans="2:19" x14ac:dyDescent="0.25">
      <c r="B388" s="3"/>
      <c r="C388" s="2"/>
      <c r="D388" s="3"/>
      <c r="E388" s="3"/>
      <c r="F388" s="3"/>
      <c r="G388" s="6"/>
      <c r="H388" s="6">
        <f t="shared" si="12"/>
        <v>0</v>
      </c>
      <c r="I388" s="6"/>
      <c r="J388" s="3"/>
      <c r="P388"/>
      <c r="Q388"/>
      <c r="R388" s="80"/>
      <c r="S388" s="80"/>
    </row>
    <row r="389" spans="2:19" x14ac:dyDescent="0.25">
      <c r="B389" s="3"/>
      <c r="C389" s="2"/>
      <c r="D389" s="3"/>
      <c r="E389" s="3"/>
      <c r="F389" s="3"/>
      <c r="G389" s="6"/>
      <c r="H389" s="6">
        <f t="shared" ref="H389:H446" si="13">G389-G389/1.18</f>
        <v>0</v>
      </c>
      <c r="I389" s="6"/>
      <c r="J389" s="3"/>
      <c r="P389"/>
      <c r="Q389"/>
      <c r="R389" s="80"/>
      <c r="S389" s="80"/>
    </row>
    <row r="390" spans="2:19" x14ac:dyDescent="0.25">
      <c r="B390" s="3"/>
      <c r="C390" s="2"/>
      <c r="D390" s="3"/>
      <c r="E390" s="3"/>
      <c r="F390" s="3"/>
      <c r="G390" s="6"/>
      <c r="H390" s="6">
        <f t="shared" si="13"/>
        <v>0</v>
      </c>
      <c r="I390" s="6"/>
      <c r="J390" s="3"/>
      <c r="P390"/>
      <c r="Q390"/>
      <c r="R390" s="80"/>
      <c r="S390" s="80"/>
    </row>
    <row r="391" spans="2:19" x14ac:dyDescent="0.25">
      <c r="B391" s="3"/>
      <c r="C391" s="2"/>
      <c r="D391" s="3"/>
      <c r="E391" s="3"/>
      <c r="F391" s="3"/>
      <c r="G391" s="6"/>
      <c r="H391" s="6">
        <f t="shared" si="13"/>
        <v>0</v>
      </c>
      <c r="I391" s="6"/>
      <c r="J391" s="3"/>
      <c r="P391"/>
      <c r="Q391"/>
      <c r="R391" s="80"/>
      <c r="S391" s="80"/>
    </row>
    <row r="392" spans="2:19" x14ac:dyDescent="0.25">
      <c r="B392" s="3"/>
      <c r="C392" s="2"/>
      <c r="D392" s="3"/>
      <c r="E392" s="3"/>
      <c r="F392" s="3"/>
      <c r="G392" s="6"/>
      <c r="H392" s="6">
        <f t="shared" si="13"/>
        <v>0</v>
      </c>
      <c r="I392" s="6"/>
      <c r="J392" s="3"/>
      <c r="P392"/>
      <c r="Q392"/>
      <c r="R392" s="80"/>
      <c r="S392" s="80"/>
    </row>
    <row r="393" spans="2:19" x14ac:dyDescent="0.25">
      <c r="B393" s="3"/>
      <c r="C393" s="2"/>
      <c r="D393" s="3"/>
      <c r="E393" s="3"/>
      <c r="F393" s="3"/>
      <c r="G393" s="6"/>
      <c r="H393" s="6">
        <f t="shared" si="13"/>
        <v>0</v>
      </c>
      <c r="I393" s="6"/>
      <c r="J393" s="3"/>
      <c r="P393"/>
      <c r="Q393"/>
      <c r="R393" s="80"/>
      <c r="S393" s="80"/>
    </row>
    <row r="394" spans="2:19" x14ac:dyDescent="0.25">
      <c r="B394" s="3"/>
      <c r="C394" s="2"/>
      <c r="D394" s="3"/>
      <c r="E394" s="3"/>
      <c r="F394" s="3"/>
      <c r="G394" s="6"/>
      <c r="H394" s="6">
        <f t="shared" si="13"/>
        <v>0</v>
      </c>
      <c r="I394" s="6"/>
      <c r="J394" s="3"/>
      <c r="P394"/>
      <c r="Q394"/>
      <c r="R394" s="80"/>
      <c r="S394" s="80"/>
    </row>
    <row r="395" spans="2:19" x14ac:dyDescent="0.25">
      <c r="B395" s="3"/>
      <c r="C395" s="2"/>
      <c r="D395" s="3"/>
      <c r="E395" s="3"/>
      <c r="F395" s="3"/>
      <c r="G395" s="6"/>
      <c r="H395" s="6">
        <f t="shared" si="13"/>
        <v>0</v>
      </c>
      <c r="I395" s="6"/>
      <c r="J395" s="3"/>
      <c r="K395" s="19"/>
      <c r="L395" s="19"/>
      <c r="M395" s="19"/>
      <c r="P395"/>
      <c r="Q395"/>
      <c r="R395" s="80"/>
      <c r="S395" s="80"/>
    </row>
    <row r="396" spans="2:19" x14ac:dyDescent="0.25">
      <c r="B396" s="3"/>
      <c r="C396" s="2"/>
      <c r="D396" s="3"/>
      <c r="E396" s="3"/>
      <c r="F396" s="3"/>
      <c r="G396" s="6"/>
      <c r="H396" s="6">
        <f t="shared" si="13"/>
        <v>0</v>
      </c>
      <c r="I396" s="6"/>
      <c r="J396" s="3"/>
      <c r="P396"/>
      <c r="Q396"/>
      <c r="R396" s="80"/>
      <c r="S396" s="80"/>
    </row>
    <row r="397" spans="2:19" x14ac:dyDescent="0.25">
      <c r="B397" s="3"/>
      <c r="C397" s="2"/>
      <c r="D397" s="3"/>
      <c r="E397" s="3"/>
      <c r="F397" s="3"/>
      <c r="G397" s="6"/>
      <c r="H397" s="6">
        <f t="shared" si="13"/>
        <v>0</v>
      </c>
      <c r="I397" s="6"/>
      <c r="J397" s="3"/>
      <c r="P397"/>
      <c r="Q397"/>
      <c r="R397" s="80"/>
      <c r="S397" s="80"/>
    </row>
    <row r="398" spans="2:19" x14ac:dyDescent="0.25">
      <c r="B398" s="3"/>
      <c r="C398" s="2"/>
      <c r="D398" s="3"/>
      <c r="E398" s="3"/>
      <c r="F398" s="3"/>
      <c r="G398" s="6"/>
      <c r="H398" s="6">
        <f t="shared" si="13"/>
        <v>0</v>
      </c>
      <c r="I398" s="6"/>
      <c r="J398" s="3"/>
      <c r="P398"/>
      <c r="Q398"/>
      <c r="R398" s="80"/>
      <c r="S398" s="80"/>
    </row>
    <row r="399" spans="2:19" x14ac:dyDescent="0.25">
      <c r="B399" s="3"/>
      <c r="C399" s="2"/>
      <c r="D399" s="3"/>
      <c r="E399" s="3"/>
      <c r="F399" s="3"/>
      <c r="G399" s="6"/>
      <c r="H399" s="6">
        <f t="shared" si="13"/>
        <v>0</v>
      </c>
      <c r="I399" s="6"/>
      <c r="J399" s="3"/>
      <c r="P399"/>
      <c r="Q399"/>
      <c r="R399" s="80"/>
      <c r="S399" s="80"/>
    </row>
    <row r="400" spans="2:19" x14ac:dyDescent="0.25">
      <c r="B400" s="3"/>
      <c r="C400" s="2"/>
      <c r="D400" s="3"/>
      <c r="E400" s="3"/>
      <c r="F400" s="3"/>
      <c r="G400" s="6"/>
      <c r="H400" s="6">
        <f t="shared" si="13"/>
        <v>0</v>
      </c>
      <c r="I400" s="6"/>
      <c r="J400" s="3"/>
      <c r="P400"/>
      <c r="Q400"/>
      <c r="R400" s="80"/>
      <c r="S400" s="80"/>
    </row>
    <row r="401" spans="2:19" x14ac:dyDescent="0.25">
      <c r="B401" s="3"/>
      <c r="C401" s="2"/>
      <c r="D401" s="3"/>
      <c r="E401" s="3"/>
      <c r="F401" s="3"/>
      <c r="G401" s="6"/>
      <c r="H401" s="6">
        <f t="shared" si="13"/>
        <v>0</v>
      </c>
      <c r="I401" s="6"/>
      <c r="J401" s="3"/>
      <c r="P401"/>
      <c r="Q401"/>
      <c r="R401" s="80"/>
      <c r="S401" s="80"/>
    </row>
    <row r="402" spans="2:19" x14ac:dyDescent="0.25">
      <c r="B402" s="3"/>
      <c r="C402" s="2"/>
      <c r="D402" s="3"/>
      <c r="E402" s="3"/>
      <c r="F402" s="3"/>
      <c r="G402" s="6"/>
      <c r="H402" s="6">
        <f t="shared" si="13"/>
        <v>0</v>
      </c>
      <c r="I402" s="6"/>
      <c r="J402" s="3"/>
      <c r="P402"/>
      <c r="Q402"/>
      <c r="R402" s="80"/>
      <c r="S402" s="80"/>
    </row>
    <row r="403" spans="2:19" x14ac:dyDescent="0.25">
      <c r="B403" s="3"/>
      <c r="C403" s="2"/>
      <c r="D403" s="3"/>
      <c r="E403" s="3"/>
      <c r="F403" s="3"/>
      <c r="G403" s="6"/>
      <c r="H403" s="6">
        <f t="shared" si="13"/>
        <v>0</v>
      </c>
      <c r="I403" s="6"/>
      <c r="J403" s="3"/>
      <c r="P403"/>
      <c r="Q403"/>
      <c r="R403" s="80"/>
      <c r="S403" s="80"/>
    </row>
    <row r="404" spans="2:19" x14ac:dyDescent="0.25">
      <c r="B404" s="3"/>
      <c r="C404" s="2"/>
      <c r="D404" s="3"/>
      <c r="E404" s="3"/>
      <c r="F404" s="3"/>
      <c r="G404" s="6"/>
      <c r="H404" s="6">
        <f t="shared" si="13"/>
        <v>0</v>
      </c>
      <c r="I404" s="6"/>
      <c r="J404" s="3"/>
      <c r="P404"/>
      <c r="Q404"/>
      <c r="R404" s="80"/>
      <c r="S404" s="80"/>
    </row>
    <row r="405" spans="2:19" x14ac:dyDescent="0.25">
      <c r="B405" s="3"/>
      <c r="C405" s="2"/>
      <c r="D405" s="3"/>
      <c r="E405" s="3"/>
      <c r="F405" s="3"/>
      <c r="G405" s="6"/>
      <c r="H405" s="6">
        <f t="shared" si="13"/>
        <v>0</v>
      </c>
      <c r="I405" s="6"/>
      <c r="J405" s="3"/>
      <c r="P405"/>
      <c r="Q405"/>
      <c r="R405" s="80"/>
      <c r="S405" s="80"/>
    </row>
    <row r="406" spans="2:19" x14ac:dyDescent="0.25">
      <c r="B406" s="3"/>
      <c r="C406" s="2"/>
      <c r="D406" s="3"/>
      <c r="E406" s="3"/>
      <c r="F406" s="3"/>
      <c r="G406" s="6"/>
      <c r="H406" s="6">
        <f t="shared" si="13"/>
        <v>0</v>
      </c>
      <c r="I406" s="6"/>
      <c r="J406" s="3"/>
      <c r="P406"/>
      <c r="Q406"/>
      <c r="R406" s="80"/>
      <c r="S406" s="80"/>
    </row>
    <row r="407" spans="2:19" x14ac:dyDescent="0.25">
      <c r="B407" s="3"/>
      <c r="C407" s="2"/>
      <c r="D407" s="3"/>
      <c r="E407" s="3"/>
      <c r="F407" s="3"/>
      <c r="G407" s="6"/>
      <c r="H407" s="6">
        <f t="shared" si="13"/>
        <v>0</v>
      </c>
      <c r="I407" s="6"/>
      <c r="J407" s="3"/>
      <c r="P407"/>
      <c r="Q407"/>
      <c r="R407" s="80"/>
      <c r="S407" s="80"/>
    </row>
    <row r="408" spans="2:19" x14ac:dyDescent="0.25">
      <c r="B408" s="3"/>
      <c r="C408" s="2"/>
      <c r="D408" s="3"/>
      <c r="E408" s="3"/>
      <c r="F408" s="3"/>
      <c r="G408" s="6"/>
      <c r="H408" s="6">
        <f t="shared" si="13"/>
        <v>0</v>
      </c>
      <c r="I408" s="6"/>
      <c r="J408" s="3"/>
      <c r="P408"/>
      <c r="Q408"/>
      <c r="R408" s="80"/>
      <c r="S408" s="80"/>
    </row>
    <row r="409" spans="2:19" x14ac:dyDescent="0.25">
      <c r="B409" s="3"/>
      <c r="C409" s="2"/>
      <c r="D409" s="3"/>
      <c r="E409" s="3"/>
      <c r="F409" s="3"/>
      <c r="G409" s="6"/>
      <c r="H409" s="6">
        <f t="shared" si="13"/>
        <v>0</v>
      </c>
      <c r="I409" s="6"/>
      <c r="J409" s="3"/>
      <c r="P409"/>
      <c r="Q409"/>
      <c r="R409" s="80"/>
      <c r="S409" s="80"/>
    </row>
    <row r="410" spans="2:19" x14ac:dyDescent="0.25">
      <c r="B410" s="3"/>
      <c r="C410" s="2"/>
      <c r="D410" s="3"/>
      <c r="E410" s="3"/>
      <c r="F410" s="3"/>
      <c r="G410" s="6"/>
      <c r="H410" s="6">
        <f t="shared" si="13"/>
        <v>0</v>
      </c>
      <c r="I410" s="6"/>
      <c r="J410" s="3"/>
      <c r="P410"/>
      <c r="Q410"/>
      <c r="R410" s="80"/>
      <c r="S410" s="80"/>
    </row>
    <row r="411" spans="2:19" x14ac:dyDescent="0.25">
      <c r="B411" s="3"/>
      <c r="C411" s="2"/>
      <c r="D411" s="3"/>
      <c r="E411" s="3"/>
      <c r="F411" s="3"/>
      <c r="G411" s="6"/>
      <c r="H411" s="6">
        <f t="shared" si="13"/>
        <v>0</v>
      </c>
      <c r="I411" s="6"/>
      <c r="J411" s="3"/>
      <c r="P411"/>
      <c r="Q411"/>
      <c r="R411" s="80"/>
      <c r="S411" s="80"/>
    </row>
    <row r="412" spans="2:19" x14ac:dyDescent="0.25">
      <c r="B412" s="3"/>
      <c r="C412" s="2"/>
      <c r="D412" s="3"/>
      <c r="E412" s="3"/>
      <c r="F412" s="3"/>
      <c r="G412" s="6"/>
      <c r="H412" s="6">
        <f t="shared" si="13"/>
        <v>0</v>
      </c>
      <c r="I412" s="6"/>
      <c r="J412" s="3"/>
      <c r="P412"/>
      <c r="Q412"/>
      <c r="R412" s="80"/>
      <c r="S412" s="80"/>
    </row>
    <row r="413" spans="2:19" x14ac:dyDescent="0.25">
      <c r="B413" s="3"/>
      <c r="C413" s="2"/>
      <c r="D413" s="3"/>
      <c r="E413" s="3"/>
      <c r="F413" s="3"/>
      <c r="G413" s="6"/>
      <c r="H413" s="6">
        <f t="shared" si="13"/>
        <v>0</v>
      </c>
      <c r="I413" s="6"/>
      <c r="J413" s="3"/>
      <c r="P413"/>
      <c r="Q413"/>
      <c r="R413" s="80"/>
      <c r="S413" s="80"/>
    </row>
    <row r="414" spans="2:19" x14ac:dyDescent="0.25">
      <c r="B414" s="3"/>
      <c r="C414" s="2"/>
      <c r="D414" s="3"/>
      <c r="E414" s="3"/>
      <c r="F414" s="3"/>
      <c r="G414" s="6"/>
      <c r="H414" s="6">
        <f t="shared" si="13"/>
        <v>0</v>
      </c>
      <c r="I414" s="6"/>
      <c r="J414" s="3"/>
      <c r="P414"/>
      <c r="Q414"/>
      <c r="R414" s="80"/>
      <c r="S414" s="80"/>
    </row>
    <row r="415" spans="2:19" x14ac:dyDescent="0.25">
      <c r="B415" s="3"/>
      <c r="C415" s="2"/>
      <c r="D415" s="3"/>
      <c r="E415" s="3"/>
      <c r="F415" s="3"/>
      <c r="G415" s="6"/>
      <c r="H415" s="6">
        <f t="shared" si="13"/>
        <v>0</v>
      </c>
      <c r="I415" s="6"/>
      <c r="J415" s="3"/>
      <c r="P415"/>
      <c r="Q415"/>
      <c r="R415" s="80"/>
      <c r="S415" s="80"/>
    </row>
    <row r="416" spans="2:19" x14ac:dyDescent="0.25">
      <c r="B416" s="3"/>
      <c r="C416" s="2"/>
      <c r="D416" s="3"/>
      <c r="E416" s="3"/>
      <c r="F416" s="3"/>
      <c r="G416" s="6"/>
      <c r="H416" s="6">
        <f t="shared" si="13"/>
        <v>0</v>
      </c>
      <c r="I416" s="6"/>
      <c r="J416" s="3"/>
      <c r="P416"/>
      <c r="Q416"/>
      <c r="R416" s="80"/>
      <c r="S416" s="80"/>
    </row>
    <row r="417" spans="2:19" x14ac:dyDescent="0.25">
      <c r="B417" s="3"/>
      <c r="C417" s="2"/>
      <c r="D417" s="3"/>
      <c r="E417" s="3"/>
      <c r="F417" s="3"/>
      <c r="G417" s="6"/>
      <c r="H417" s="6">
        <f t="shared" si="13"/>
        <v>0</v>
      </c>
      <c r="I417" s="6"/>
      <c r="J417" s="3"/>
      <c r="P417"/>
      <c r="Q417"/>
      <c r="R417" s="80"/>
      <c r="S417" s="80"/>
    </row>
    <row r="418" spans="2:19" x14ac:dyDescent="0.25">
      <c r="B418" s="3"/>
      <c r="C418" s="2"/>
      <c r="D418" s="3"/>
      <c r="E418" s="3"/>
      <c r="F418" s="3"/>
      <c r="G418" s="6"/>
      <c r="H418" s="6">
        <f t="shared" si="13"/>
        <v>0</v>
      </c>
      <c r="I418" s="6"/>
      <c r="J418" s="3"/>
      <c r="P418"/>
      <c r="Q418"/>
      <c r="R418" s="80"/>
      <c r="S418" s="80"/>
    </row>
    <row r="419" spans="2:19" x14ac:dyDescent="0.25">
      <c r="B419" s="3"/>
      <c r="C419" s="2"/>
      <c r="D419" s="3"/>
      <c r="E419" s="3"/>
      <c r="F419" s="3"/>
      <c r="G419" s="6"/>
      <c r="H419" s="6">
        <f t="shared" si="13"/>
        <v>0</v>
      </c>
      <c r="I419" s="6"/>
      <c r="J419" s="3"/>
      <c r="P419"/>
      <c r="Q419"/>
      <c r="R419" s="80"/>
      <c r="S419" s="80"/>
    </row>
    <row r="420" spans="2:19" x14ac:dyDescent="0.25">
      <c r="B420" s="3"/>
      <c r="C420" s="2"/>
      <c r="D420" s="3"/>
      <c r="E420" s="3"/>
      <c r="F420" s="3"/>
      <c r="G420" s="6"/>
      <c r="H420" s="6">
        <f t="shared" si="13"/>
        <v>0</v>
      </c>
      <c r="I420" s="6"/>
      <c r="J420" s="3"/>
      <c r="P420"/>
      <c r="Q420"/>
      <c r="R420" s="80"/>
      <c r="S420" s="80"/>
    </row>
    <row r="421" spans="2:19" x14ac:dyDescent="0.25">
      <c r="B421" s="3"/>
      <c r="C421" s="3"/>
      <c r="D421" s="3"/>
      <c r="E421" s="3"/>
      <c r="F421" s="3"/>
      <c r="G421" s="6"/>
      <c r="H421" s="6">
        <f t="shared" si="13"/>
        <v>0</v>
      </c>
      <c r="I421" s="6"/>
      <c r="J421" s="3"/>
      <c r="P421"/>
      <c r="Q421"/>
      <c r="R421" s="80"/>
      <c r="S421" s="80"/>
    </row>
    <row r="422" spans="2:19" x14ac:dyDescent="0.25">
      <c r="B422" s="3"/>
      <c r="C422" s="3"/>
      <c r="D422" s="3"/>
      <c r="E422" s="3"/>
      <c r="F422" s="3"/>
      <c r="G422" s="6"/>
      <c r="H422" s="6">
        <f t="shared" si="13"/>
        <v>0</v>
      </c>
      <c r="I422" s="6"/>
      <c r="J422" s="3"/>
      <c r="P422"/>
      <c r="Q422"/>
      <c r="R422" s="87"/>
      <c r="S422" s="87"/>
    </row>
    <row r="423" spans="2:19" x14ac:dyDescent="0.25">
      <c r="B423" s="3"/>
      <c r="C423" s="2"/>
      <c r="D423" s="3"/>
      <c r="E423" s="3"/>
      <c r="F423" s="3"/>
      <c r="G423" s="6"/>
      <c r="H423" s="6">
        <f t="shared" si="13"/>
        <v>0</v>
      </c>
      <c r="I423" s="6"/>
      <c r="J423" s="3"/>
      <c r="P423"/>
      <c r="Q423"/>
      <c r="R423" s="80"/>
      <c r="S423" s="80"/>
    </row>
    <row r="424" spans="2:19" x14ac:dyDescent="0.25">
      <c r="B424" s="3"/>
      <c r="C424" s="2"/>
      <c r="D424" s="3"/>
      <c r="E424" s="3"/>
      <c r="F424" s="3"/>
      <c r="G424" s="6"/>
      <c r="H424" s="6">
        <f t="shared" si="13"/>
        <v>0</v>
      </c>
      <c r="I424" s="6"/>
      <c r="J424" s="3"/>
      <c r="P424"/>
      <c r="Q424"/>
      <c r="R424" s="80"/>
      <c r="S424" s="80"/>
    </row>
    <row r="425" spans="2:19" x14ac:dyDescent="0.25">
      <c r="B425" s="3"/>
      <c r="C425" s="2"/>
      <c r="D425" s="3"/>
      <c r="E425" s="3"/>
      <c r="F425" s="3"/>
      <c r="G425" s="6"/>
      <c r="H425" s="6">
        <f t="shared" si="13"/>
        <v>0</v>
      </c>
      <c r="I425" s="6"/>
      <c r="J425" s="3"/>
      <c r="P425"/>
      <c r="Q425"/>
      <c r="R425" s="80"/>
      <c r="S425" s="80"/>
    </row>
    <row r="426" spans="2:19" x14ac:dyDescent="0.25">
      <c r="B426" s="3"/>
      <c r="C426" s="2"/>
      <c r="D426" s="3"/>
      <c r="E426" s="3"/>
      <c r="F426" s="3"/>
      <c r="G426" s="6"/>
      <c r="H426" s="6">
        <f t="shared" si="13"/>
        <v>0</v>
      </c>
      <c r="I426" s="6"/>
      <c r="J426" s="3"/>
      <c r="P426"/>
      <c r="Q426"/>
      <c r="R426" s="80"/>
      <c r="S426" s="80"/>
    </row>
    <row r="427" spans="2:19" x14ac:dyDescent="0.25">
      <c r="B427" s="8"/>
      <c r="C427" s="2"/>
      <c r="D427" s="3"/>
      <c r="E427" s="3"/>
      <c r="F427" s="3"/>
      <c r="G427" s="6"/>
      <c r="H427" s="6">
        <f t="shared" si="13"/>
        <v>0</v>
      </c>
      <c r="I427" s="6"/>
      <c r="J427" s="3"/>
      <c r="K427" s="19"/>
      <c r="L427" s="19"/>
      <c r="M427" s="19"/>
      <c r="P427"/>
      <c r="Q427"/>
      <c r="R427" s="80"/>
      <c r="S427" s="80"/>
    </row>
    <row r="428" spans="2:19" x14ac:dyDescent="0.25">
      <c r="B428" s="3"/>
      <c r="C428" s="2"/>
      <c r="D428" s="3"/>
      <c r="E428" s="3"/>
      <c r="F428" s="3"/>
      <c r="G428" s="6"/>
      <c r="H428" s="6">
        <f t="shared" si="13"/>
        <v>0</v>
      </c>
      <c r="I428" s="6"/>
      <c r="J428" s="3"/>
      <c r="P428"/>
      <c r="Q428"/>
      <c r="R428" s="80"/>
      <c r="S428" s="80"/>
    </row>
    <row r="429" spans="2:19" x14ac:dyDescent="0.25">
      <c r="B429" s="3"/>
      <c r="C429" s="2"/>
      <c r="D429" s="3"/>
      <c r="E429" s="3"/>
      <c r="F429" s="3"/>
      <c r="G429" s="6"/>
      <c r="H429" s="6">
        <f t="shared" si="13"/>
        <v>0</v>
      </c>
      <c r="I429" s="6"/>
      <c r="J429" s="3"/>
      <c r="P429"/>
      <c r="Q429"/>
      <c r="R429" s="80"/>
      <c r="S429" s="80"/>
    </row>
    <row r="430" spans="2:19" x14ac:dyDescent="0.25">
      <c r="B430" s="3"/>
      <c r="C430" s="2"/>
      <c r="D430" s="3"/>
      <c r="E430" s="3"/>
      <c r="F430" s="3"/>
      <c r="G430" s="6"/>
      <c r="H430" s="6">
        <f t="shared" si="13"/>
        <v>0</v>
      </c>
      <c r="I430" s="6"/>
      <c r="J430" s="3"/>
      <c r="P430"/>
      <c r="Q430"/>
      <c r="R430" s="80"/>
      <c r="S430" s="80"/>
    </row>
    <row r="431" spans="2:19" x14ac:dyDescent="0.25">
      <c r="B431" s="3"/>
      <c r="C431" s="2"/>
      <c r="D431" s="3"/>
      <c r="E431" s="3"/>
      <c r="F431" s="3"/>
      <c r="G431" s="6"/>
      <c r="H431" s="6">
        <f t="shared" si="13"/>
        <v>0</v>
      </c>
      <c r="I431" s="6"/>
      <c r="J431" s="3"/>
      <c r="P431"/>
      <c r="Q431"/>
      <c r="R431" s="80"/>
      <c r="S431" s="80"/>
    </row>
    <row r="432" spans="2:19" x14ac:dyDescent="0.25">
      <c r="B432" s="3"/>
      <c r="C432" s="2"/>
      <c r="D432" s="3"/>
      <c r="E432" s="3"/>
      <c r="F432" s="3"/>
      <c r="G432" s="6"/>
      <c r="H432" s="6">
        <f t="shared" si="13"/>
        <v>0</v>
      </c>
      <c r="I432" s="6"/>
      <c r="J432" s="3"/>
      <c r="P432"/>
      <c r="Q432"/>
      <c r="R432" s="80"/>
      <c r="S432" s="80"/>
    </row>
    <row r="433" spans="2:19" x14ac:dyDescent="0.25">
      <c r="B433" s="3"/>
      <c r="C433" s="2"/>
      <c r="D433" s="3"/>
      <c r="E433" s="3"/>
      <c r="F433" s="3"/>
      <c r="G433" s="6"/>
      <c r="H433" s="6">
        <f t="shared" si="13"/>
        <v>0</v>
      </c>
      <c r="I433" s="6"/>
      <c r="J433" s="3"/>
      <c r="P433"/>
      <c r="Q433"/>
      <c r="R433" s="80"/>
      <c r="S433" s="80"/>
    </row>
    <row r="434" spans="2:19" x14ac:dyDescent="0.25">
      <c r="B434" s="3"/>
      <c r="C434" s="2"/>
      <c r="D434" s="3"/>
      <c r="E434" s="3"/>
      <c r="F434" s="3"/>
      <c r="G434" s="6"/>
      <c r="H434" s="6">
        <f t="shared" si="13"/>
        <v>0</v>
      </c>
      <c r="I434" s="6"/>
      <c r="J434" s="3"/>
      <c r="P434"/>
      <c r="Q434"/>
      <c r="R434" s="80"/>
      <c r="S434" s="80"/>
    </row>
    <row r="435" spans="2:19" x14ac:dyDescent="0.25">
      <c r="B435" s="3"/>
      <c r="C435" s="2"/>
      <c r="D435" s="3"/>
      <c r="E435" s="3"/>
      <c r="F435" s="3"/>
      <c r="G435" s="6"/>
      <c r="H435" s="6">
        <f t="shared" si="13"/>
        <v>0</v>
      </c>
      <c r="I435" s="6"/>
      <c r="J435" s="3"/>
      <c r="P435"/>
      <c r="Q435"/>
      <c r="R435" s="80"/>
      <c r="S435" s="80"/>
    </row>
    <row r="436" spans="2:19" x14ac:dyDescent="0.25">
      <c r="B436" s="3"/>
      <c r="C436" s="2"/>
      <c r="D436" s="3"/>
      <c r="E436" s="3"/>
      <c r="F436" s="3"/>
      <c r="G436" s="6"/>
      <c r="H436" s="6">
        <f t="shared" si="13"/>
        <v>0</v>
      </c>
      <c r="I436" s="6"/>
      <c r="J436" s="3"/>
      <c r="P436"/>
      <c r="Q436"/>
      <c r="R436" s="80"/>
      <c r="S436" s="80"/>
    </row>
    <row r="437" spans="2:19" x14ac:dyDescent="0.25">
      <c r="B437" s="3"/>
      <c r="C437" s="2"/>
      <c r="D437" s="3"/>
      <c r="E437" s="3"/>
      <c r="F437" s="3"/>
      <c r="G437" s="6"/>
      <c r="H437" s="6">
        <f t="shared" si="13"/>
        <v>0</v>
      </c>
      <c r="I437" s="6"/>
      <c r="J437" s="3"/>
      <c r="P437"/>
      <c r="Q437"/>
      <c r="R437" s="80"/>
      <c r="S437" s="80"/>
    </row>
    <row r="438" spans="2:19" x14ac:dyDescent="0.25">
      <c r="B438" s="3"/>
      <c r="C438" s="2"/>
      <c r="D438" s="3"/>
      <c r="E438" s="3"/>
      <c r="F438" s="3"/>
      <c r="G438" s="6"/>
      <c r="H438" s="6">
        <f t="shared" si="13"/>
        <v>0</v>
      </c>
      <c r="I438" s="6"/>
      <c r="J438" s="3"/>
      <c r="P438"/>
      <c r="Q438"/>
      <c r="R438" s="80"/>
      <c r="S438" s="80"/>
    </row>
    <row r="439" spans="2:19" x14ac:dyDescent="0.25">
      <c r="B439" s="3"/>
      <c r="C439" s="2"/>
      <c r="D439" s="3"/>
      <c r="E439" s="3"/>
      <c r="F439" s="3"/>
      <c r="G439" s="6"/>
      <c r="H439" s="6">
        <f t="shared" si="13"/>
        <v>0</v>
      </c>
      <c r="I439" s="6"/>
      <c r="J439" s="3"/>
      <c r="P439"/>
      <c r="Q439"/>
      <c r="R439" s="80"/>
      <c r="S439" s="80"/>
    </row>
    <row r="440" spans="2:19" x14ac:dyDescent="0.25">
      <c r="B440" s="3"/>
      <c r="C440" s="2"/>
      <c r="D440" s="3"/>
      <c r="E440" s="3"/>
      <c r="F440" s="3"/>
      <c r="G440" s="6"/>
      <c r="H440" s="6">
        <f t="shared" si="13"/>
        <v>0</v>
      </c>
      <c r="I440" s="6"/>
      <c r="J440" s="3"/>
      <c r="P440"/>
      <c r="Q440"/>
      <c r="R440" s="80"/>
      <c r="S440" s="80"/>
    </row>
    <row r="441" spans="2:19" x14ac:dyDescent="0.25">
      <c r="B441" s="3"/>
      <c r="C441" s="2"/>
      <c r="D441" s="3"/>
      <c r="E441" s="3"/>
      <c r="F441" s="3"/>
      <c r="G441" s="6"/>
      <c r="H441" s="6">
        <f t="shared" si="13"/>
        <v>0</v>
      </c>
      <c r="I441" s="6"/>
      <c r="J441" s="3"/>
      <c r="P441"/>
      <c r="Q441"/>
      <c r="R441" s="80"/>
      <c r="S441" s="80"/>
    </row>
    <row r="442" spans="2:19" x14ac:dyDescent="0.25">
      <c r="B442" s="3"/>
      <c r="C442" s="2"/>
      <c r="D442" s="3"/>
      <c r="E442" s="3"/>
      <c r="F442" s="3"/>
      <c r="G442" s="6"/>
      <c r="H442" s="6">
        <f t="shared" si="13"/>
        <v>0</v>
      </c>
      <c r="I442" s="6"/>
      <c r="J442" s="3"/>
      <c r="P442"/>
      <c r="Q442"/>
      <c r="R442" s="80"/>
      <c r="S442" s="80"/>
    </row>
    <row r="443" spans="2:19" x14ac:dyDescent="0.25">
      <c r="B443" s="3"/>
      <c r="C443" s="2"/>
      <c r="D443" s="3"/>
      <c r="E443" s="3"/>
      <c r="F443" s="3"/>
      <c r="G443" s="6"/>
      <c r="H443" s="6">
        <f t="shared" si="13"/>
        <v>0</v>
      </c>
      <c r="I443" s="6"/>
      <c r="J443" s="3"/>
      <c r="P443"/>
      <c r="Q443"/>
      <c r="R443" s="80"/>
      <c r="S443" s="80"/>
    </row>
    <row r="444" spans="2:19" x14ac:dyDescent="0.25">
      <c r="B444" s="3"/>
      <c r="C444" s="2"/>
      <c r="D444" s="3"/>
      <c r="E444" s="3"/>
      <c r="F444" s="3"/>
      <c r="G444" s="6"/>
      <c r="H444" s="6">
        <f t="shared" si="13"/>
        <v>0</v>
      </c>
      <c r="I444" s="6"/>
      <c r="J444" s="3"/>
      <c r="P444"/>
      <c r="Q444"/>
      <c r="R444" s="80"/>
      <c r="S444" s="80"/>
    </row>
    <row r="445" spans="2:19" x14ac:dyDescent="0.25">
      <c r="B445" s="3"/>
      <c r="C445" s="2"/>
      <c r="D445" s="3"/>
      <c r="E445" s="3"/>
      <c r="F445" s="3"/>
      <c r="G445" s="6"/>
      <c r="H445" s="6">
        <f t="shared" si="13"/>
        <v>0</v>
      </c>
      <c r="I445" s="6"/>
      <c r="J445" s="3"/>
      <c r="P445"/>
      <c r="Q445"/>
      <c r="R445" s="80"/>
      <c r="S445" s="80"/>
    </row>
    <row r="446" spans="2:19" x14ac:dyDescent="0.25">
      <c r="B446" s="3"/>
      <c r="C446" s="2"/>
      <c r="D446" s="3"/>
      <c r="E446" s="3"/>
      <c r="F446" s="3"/>
      <c r="G446" s="6"/>
      <c r="H446" s="6">
        <f t="shared" si="13"/>
        <v>0</v>
      </c>
      <c r="I446" s="6"/>
      <c r="J446" s="3"/>
      <c r="P446"/>
      <c r="Q446"/>
      <c r="R446" s="80"/>
      <c r="S446" s="80"/>
    </row>
    <row r="447" spans="2:19" x14ac:dyDescent="0.25">
      <c r="M447" s="79"/>
    </row>
    <row r="449" spans="10:10" x14ac:dyDescent="0.25">
      <c r="J449" s="19"/>
    </row>
    <row r="451" spans="10:10" x14ac:dyDescent="0.25">
      <c r="J451" s="19"/>
    </row>
  </sheetData>
  <autoFilter ref="A4:S446" xr:uid="{00000000-0009-0000-0000-000005000000}"/>
  <mergeCells count="1">
    <mergeCell ref="B1:H1"/>
  </mergeCells>
  <dataValidations count="4">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22 E57:E58" xr:uid="{00000000-0002-0000-0500-000000000000}">
      <formula1>$AP$11:$AP$128</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D97:D99" xr:uid="{00000000-0002-0000-0500-000001000000}">
      <formula1>$AT$5:$AT$30</formula1>
    </dataValidation>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B64 B10 B14" xr:uid="{00000000-0002-0000-0500-000002000000}">
      <formula1>$AS$5:$AS$10</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198 E241" xr:uid="{00000000-0002-0000-0500-000003000000}">
      <formula1>$AN$11:$AN$130</formula1>
    </dataValidation>
  </dataValidations>
  <pageMargins left="0.23" right="0.18" top="0.75" bottom="0.75" header="0.3" footer="0.3"/>
  <pageSetup paperSize="9" orientation="landscape" horizontalDpi="1200"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filterMode="1"/>
  <dimension ref="B1:T725"/>
  <sheetViews>
    <sheetView zoomScale="110" zoomScaleNormal="110" workbookViewId="0">
      <selection activeCell="H286" sqref="H286"/>
    </sheetView>
  </sheetViews>
  <sheetFormatPr defaultColWidth="8.85546875" defaultRowHeight="15" x14ac:dyDescent="0.25"/>
  <cols>
    <col min="1" max="1" width="3.85546875" customWidth="1"/>
    <col min="2" max="2" width="20.42578125" bestFit="1" customWidth="1"/>
    <col min="3" max="3" width="9.28515625" bestFit="1" customWidth="1"/>
    <col min="4" max="4" width="84.42578125" customWidth="1"/>
    <col min="5" max="5" width="14.140625" customWidth="1"/>
    <col min="6" max="6" width="12.140625" bestFit="1" customWidth="1"/>
    <col min="7" max="7" width="14.28515625" bestFit="1" customWidth="1"/>
    <col min="8" max="8" width="12" bestFit="1" customWidth="1"/>
    <col min="9" max="9" width="16.7109375" customWidth="1"/>
    <col min="10" max="10" width="22.85546875" customWidth="1"/>
    <col min="11" max="11" width="15.85546875" bestFit="1" customWidth="1"/>
    <col min="12" max="13" width="9.7109375" customWidth="1"/>
    <col min="14" max="14" width="13.85546875" customWidth="1"/>
    <col min="15" max="15" width="9.85546875" style="31" bestFit="1" customWidth="1"/>
    <col min="16" max="16" width="10.7109375" style="31" customWidth="1"/>
    <col min="17" max="17" width="3.140625" customWidth="1"/>
    <col min="18" max="18" width="11.5703125" bestFit="1" customWidth="1"/>
    <col min="19" max="19" width="10.42578125" customWidth="1"/>
    <col min="20" max="20" width="11.28515625" bestFit="1" customWidth="1"/>
  </cols>
  <sheetData>
    <row r="1" spans="2:19" x14ac:dyDescent="0.25">
      <c r="B1" s="346" t="s">
        <v>608</v>
      </c>
      <c r="C1" s="346"/>
      <c r="D1" s="346"/>
      <c r="E1" s="346"/>
      <c r="F1" s="346"/>
      <c r="G1" s="346"/>
      <c r="H1" s="346"/>
      <c r="I1" s="19">
        <v>69200</v>
      </c>
      <c r="J1" s="52">
        <v>1270.5</v>
      </c>
      <c r="K1" s="52">
        <f>G2+J1</f>
        <v>21117.5</v>
      </c>
      <c r="L1" s="25"/>
      <c r="M1" s="25"/>
      <c r="N1" s="25"/>
      <c r="O1" s="30" t="e">
        <f>O2/1.18</f>
        <v>#DIV/0!</v>
      </c>
      <c r="P1" s="30" t="e">
        <f>P2/1.18</f>
        <v>#DIV/0!</v>
      </c>
    </row>
    <row r="2" spans="2:19" ht="15.75" x14ac:dyDescent="0.25">
      <c r="D2" s="16"/>
      <c r="F2" s="71">
        <f>SUBTOTAL(3,F5:F725)</f>
        <v>7</v>
      </c>
      <c r="G2" s="71">
        <f>SUBTOTAL(9,G5:G725)</f>
        <v>19847</v>
      </c>
      <c r="H2" s="71">
        <f>SUBTOTAL(9,H5:H725)</f>
        <v>3027.5084745762692</v>
      </c>
      <c r="I2" s="16">
        <f>I1-G2</f>
        <v>49353</v>
      </c>
      <c r="J2" s="19">
        <f>SUBTOTAL(3,J5:J725)</f>
        <v>0</v>
      </c>
      <c r="K2" s="19"/>
      <c r="L2" s="31">
        <f>SUBTOTAL(9,L5:L725)</f>
        <v>0</v>
      </c>
      <c r="M2" s="31">
        <f>SUBTOTAL(9,M5:M725)</f>
        <v>0</v>
      </c>
      <c r="N2" s="31">
        <f>SUBTOTAL(9,N5:N725)</f>
        <v>0</v>
      </c>
      <c r="O2" s="31" t="e">
        <f>G2/L2</f>
        <v>#DIV/0!</v>
      </c>
      <c r="P2" s="31" t="e">
        <f>G2/N2</f>
        <v>#DIV/0!</v>
      </c>
    </row>
    <row r="3" spans="2:19" ht="43.5" customHeight="1" x14ac:dyDescent="0.25">
      <c r="B3" s="23" t="s">
        <v>84</v>
      </c>
      <c r="C3" s="23" t="s">
        <v>83</v>
      </c>
      <c r="D3" s="23" t="s">
        <v>86</v>
      </c>
      <c r="E3" s="23" t="s">
        <v>85</v>
      </c>
      <c r="F3" s="23" t="s">
        <v>82</v>
      </c>
      <c r="G3" s="23" t="s">
        <v>81</v>
      </c>
      <c r="H3" s="17" t="s">
        <v>80</v>
      </c>
      <c r="I3" s="17" t="s">
        <v>101</v>
      </c>
      <c r="J3" s="95" t="s">
        <v>1638</v>
      </c>
      <c r="L3" s="26" t="s">
        <v>509</v>
      </c>
      <c r="M3" s="26"/>
      <c r="N3" s="91" t="s">
        <v>656</v>
      </c>
      <c r="O3" s="32" t="s">
        <v>512</v>
      </c>
      <c r="P3" s="32" t="s">
        <v>1676</v>
      </c>
      <c r="Q3" t="s">
        <v>618</v>
      </c>
      <c r="R3" s="94" t="s">
        <v>1663</v>
      </c>
      <c r="S3" s="94" t="s">
        <v>1662</v>
      </c>
    </row>
    <row r="4" spans="2:19" x14ac:dyDescent="0.25">
      <c r="B4" s="23"/>
      <c r="C4" s="23"/>
      <c r="D4" s="23"/>
      <c r="E4" s="23"/>
      <c r="F4" s="23"/>
      <c r="G4" s="23"/>
      <c r="H4" s="17"/>
    </row>
    <row r="5" spans="2:19" hidden="1" x14ac:dyDescent="0.25">
      <c r="B5" s="3" t="s">
        <v>1624</v>
      </c>
      <c r="C5" s="3" t="s">
        <v>91</v>
      </c>
      <c r="D5" s="3" t="s">
        <v>1621</v>
      </c>
      <c r="E5" s="3" t="s">
        <v>116</v>
      </c>
      <c r="F5" s="3" t="s">
        <v>129</v>
      </c>
      <c r="G5" s="6">
        <v>33531.75</v>
      </c>
      <c r="H5" s="6">
        <f t="shared" ref="H5:H8" si="0">G5-G5/1.18</f>
        <v>5115.012711864405</v>
      </c>
      <c r="I5" s="3" t="s">
        <v>18</v>
      </c>
      <c r="O5"/>
      <c r="P5"/>
      <c r="R5" s="87"/>
      <c r="S5" s="87"/>
    </row>
    <row r="6" spans="2:19" hidden="1" x14ac:dyDescent="0.25">
      <c r="B6" s="3" t="s">
        <v>1627</v>
      </c>
      <c r="C6" s="3" t="s">
        <v>91</v>
      </c>
      <c r="D6" s="3" t="s">
        <v>1622</v>
      </c>
      <c r="E6" s="3" t="s">
        <v>116</v>
      </c>
      <c r="F6" s="3" t="s">
        <v>129</v>
      </c>
      <c r="G6" s="6">
        <v>11679.5</v>
      </c>
      <c r="H6" s="6">
        <f t="shared" si="0"/>
        <v>1781.6186440677957</v>
      </c>
      <c r="I6" s="3" t="s">
        <v>18</v>
      </c>
      <c r="O6"/>
      <c r="P6"/>
      <c r="R6" s="87"/>
      <c r="S6" s="87"/>
    </row>
    <row r="7" spans="2:19" hidden="1" x14ac:dyDescent="0.25">
      <c r="B7" s="3" t="s">
        <v>1626</v>
      </c>
      <c r="C7" s="3" t="s">
        <v>91</v>
      </c>
      <c r="D7" s="3" t="s">
        <v>1623</v>
      </c>
      <c r="E7" s="3" t="s">
        <v>116</v>
      </c>
      <c r="F7" s="3" t="s">
        <v>129</v>
      </c>
      <c r="G7" s="6">
        <v>10519.25</v>
      </c>
      <c r="H7" s="6">
        <f t="shared" si="0"/>
        <v>1604.6313559322025</v>
      </c>
      <c r="I7" s="3" t="s">
        <v>18</v>
      </c>
      <c r="O7"/>
      <c r="P7"/>
      <c r="R7" s="87"/>
      <c r="S7" s="87"/>
    </row>
    <row r="8" spans="2:19" hidden="1" x14ac:dyDescent="0.25">
      <c r="B8" s="3" t="s">
        <v>1625</v>
      </c>
      <c r="C8" s="3" t="s">
        <v>91</v>
      </c>
      <c r="D8" s="3" t="s">
        <v>1631</v>
      </c>
      <c r="E8" s="3" t="s">
        <v>116</v>
      </c>
      <c r="F8" s="3" t="s">
        <v>129</v>
      </c>
      <c r="G8" s="6">
        <v>48592.25</v>
      </c>
      <c r="H8" s="6">
        <f t="shared" si="0"/>
        <v>7412.3771186440645</v>
      </c>
      <c r="I8" s="3" t="s">
        <v>18</v>
      </c>
      <c r="O8"/>
      <c r="P8"/>
      <c r="R8" s="87"/>
      <c r="S8" s="87"/>
    </row>
    <row r="9" spans="2:19" hidden="1" x14ac:dyDescent="0.25">
      <c r="B9" s="3" t="s">
        <v>1466</v>
      </c>
      <c r="C9" s="3" t="s">
        <v>41</v>
      </c>
      <c r="D9" s="3" t="s">
        <v>1354</v>
      </c>
      <c r="E9" s="3" t="s">
        <v>106</v>
      </c>
      <c r="F9" s="3" t="s">
        <v>127</v>
      </c>
      <c r="G9" s="6">
        <v>101.5</v>
      </c>
      <c r="H9" s="6">
        <f t="shared" ref="H9:H37" si="1">G9-G9/1.18</f>
        <v>15.483050847457619</v>
      </c>
      <c r="I9" s="3" t="s">
        <v>113</v>
      </c>
      <c r="O9"/>
      <c r="P9"/>
      <c r="R9" s="87"/>
      <c r="S9" s="87"/>
    </row>
    <row r="10" spans="2:19" hidden="1" x14ac:dyDescent="0.25">
      <c r="B10" s="3" t="s">
        <v>1060</v>
      </c>
      <c r="C10" s="3" t="s">
        <v>94</v>
      </c>
      <c r="D10" s="3" t="s">
        <v>1117</v>
      </c>
      <c r="E10" s="3" t="s">
        <v>106</v>
      </c>
      <c r="F10" s="3" t="s">
        <v>127</v>
      </c>
      <c r="G10" s="6">
        <f>241*1.75</f>
        <v>421.75</v>
      </c>
      <c r="H10" s="6">
        <f t="shared" si="1"/>
        <v>64.334745762711862</v>
      </c>
      <c r="I10" s="3" t="s">
        <v>18</v>
      </c>
      <c r="O10"/>
      <c r="P10"/>
      <c r="R10" s="87"/>
      <c r="S10" s="87"/>
    </row>
    <row r="11" spans="2:19" hidden="1" x14ac:dyDescent="0.25">
      <c r="B11" s="3" t="s">
        <v>1431</v>
      </c>
      <c r="C11" s="3" t="s">
        <v>41</v>
      </c>
      <c r="D11" s="3" t="s">
        <v>1321</v>
      </c>
      <c r="E11" s="3" t="s">
        <v>106</v>
      </c>
      <c r="F11" s="3" t="s">
        <v>126</v>
      </c>
      <c r="G11" s="6">
        <v>14626.5</v>
      </c>
      <c r="H11" s="6">
        <f t="shared" si="1"/>
        <v>2231.1610169491523</v>
      </c>
      <c r="I11" s="3" t="s">
        <v>113</v>
      </c>
      <c r="O11"/>
      <c r="P11"/>
      <c r="R11" s="87"/>
      <c r="S11" s="87"/>
    </row>
    <row r="12" spans="2:19" hidden="1" x14ac:dyDescent="0.25">
      <c r="B12" s="3" t="s">
        <v>793</v>
      </c>
      <c r="C12" s="3" t="s">
        <v>57</v>
      </c>
      <c r="D12" s="3" t="s">
        <v>871</v>
      </c>
      <c r="E12" s="3" t="s">
        <v>117</v>
      </c>
      <c r="F12" s="3" t="s">
        <v>127</v>
      </c>
      <c r="G12" s="6">
        <v>448</v>
      </c>
      <c r="H12" s="6">
        <f t="shared" si="1"/>
        <v>68.338983050847446</v>
      </c>
      <c r="I12" s="3" t="s">
        <v>113</v>
      </c>
      <c r="O12"/>
      <c r="P12"/>
      <c r="R12" s="87"/>
      <c r="S12" s="87"/>
    </row>
    <row r="13" spans="2:19" hidden="1" x14ac:dyDescent="0.25">
      <c r="B13" s="3" t="s">
        <v>1219</v>
      </c>
      <c r="C13" s="3" t="s">
        <v>17</v>
      </c>
      <c r="D13" s="3" t="s">
        <v>1293</v>
      </c>
      <c r="E13" s="3" t="s">
        <v>110</v>
      </c>
      <c r="F13" s="3" t="s">
        <v>127</v>
      </c>
      <c r="G13" s="6">
        <v>644</v>
      </c>
      <c r="H13" s="6">
        <f t="shared" si="1"/>
        <v>98.23728813559319</v>
      </c>
      <c r="I13" s="3" t="s">
        <v>113</v>
      </c>
      <c r="O13"/>
      <c r="P13"/>
      <c r="R13" s="87"/>
      <c r="S13" s="87"/>
    </row>
    <row r="14" spans="2:19" hidden="1" x14ac:dyDescent="0.25">
      <c r="B14" s="3" t="s">
        <v>1170</v>
      </c>
      <c r="C14" s="3" t="s">
        <v>38</v>
      </c>
      <c r="D14" s="3" t="s">
        <v>1141</v>
      </c>
      <c r="E14" s="3" t="s">
        <v>110</v>
      </c>
      <c r="F14" s="3" t="s">
        <v>127</v>
      </c>
      <c r="G14" s="6">
        <v>789.25</v>
      </c>
      <c r="H14" s="6">
        <f t="shared" si="1"/>
        <v>120.3940677966101</v>
      </c>
      <c r="I14" s="3" t="s">
        <v>113</v>
      </c>
      <c r="O14"/>
      <c r="P14"/>
      <c r="R14" s="87"/>
      <c r="S14" s="87"/>
    </row>
    <row r="15" spans="2:19" hidden="1" x14ac:dyDescent="0.25">
      <c r="B15" s="3" t="s">
        <v>797</v>
      </c>
      <c r="C15" s="3" t="s">
        <v>57</v>
      </c>
      <c r="D15" s="3" t="s">
        <v>875</v>
      </c>
      <c r="E15" s="3" t="s">
        <v>117</v>
      </c>
      <c r="F15" s="3" t="s">
        <v>127</v>
      </c>
      <c r="G15" s="6">
        <v>962.5</v>
      </c>
      <c r="H15" s="6">
        <f t="shared" si="1"/>
        <v>146.82203389830499</v>
      </c>
      <c r="I15" s="3" t="s">
        <v>113</v>
      </c>
      <c r="O15"/>
      <c r="P15"/>
      <c r="R15" s="87"/>
      <c r="S15" s="87"/>
    </row>
    <row r="16" spans="2:19" hidden="1" x14ac:dyDescent="0.25">
      <c r="B16" s="3" t="s">
        <v>1210</v>
      </c>
      <c r="C16" s="3" t="s">
        <v>33</v>
      </c>
      <c r="D16" s="3" t="s">
        <v>1284</v>
      </c>
      <c r="E16" s="3" t="s">
        <v>110</v>
      </c>
      <c r="F16" s="3" t="s">
        <v>127</v>
      </c>
      <c r="G16" s="6">
        <v>985.25</v>
      </c>
      <c r="H16" s="6">
        <f t="shared" si="1"/>
        <v>150.29237288135585</v>
      </c>
      <c r="I16" s="3" t="s">
        <v>113</v>
      </c>
      <c r="O16"/>
      <c r="P16"/>
      <c r="R16" s="87"/>
      <c r="S16" s="87"/>
    </row>
    <row r="17" spans="2:19" hidden="1" x14ac:dyDescent="0.25">
      <c r="B17" s="3" t="s">
        <v>717</v>
      </c>
      <c r="C17" s="3" t="s">
        <v>96</v>
      </c>
      <c r="D17" s="3" t="s">
        <v>1687</v>
      </c>
      <c r="E17" s="3" t="s">
        <v>71</v>
      </c>
      <c r="F17" s="3" t="s">
        <v>127</v>
      </c>
      <c r="G17" s="6">
        <v>1000</v>
      </c>
      <c r="H17" s="6">
        <f t="shared" si="1"/>
        <v>152.54237288135585</v>
      </c>
      <c r="I17" s="3" t="s">
        <v>18</v>
      </c>
      <c r="J17" t="s">
        <v>1640</v>
      </c>
      <c r="K17" s="78"/>
      <c r="N17">
        <v>1</v>
      </c>
      <c r="O17"/>
      <c r="P17" t="s">
        <v>1654</v>
      </c>
      <c r="R17" s="87"/>
      <c r="S17" s="87"/>
    </row>
    <row r="18" spans="2:19" hidden="1" x14ac:dyDescent="0.25">
      <c r="B18" s="3" t="s">
        <v>1172</v>
      </c>
      <c r="C18" s="3" t="s">
        <v>38</v>
      </c>
      <c r="D18" s="3" t="s">
        <v>1143</v>
      </c>
      <c r="E18" s="3" t="s">
        <v>110</v>
      </c>
      <c r="F18" s="3" t="s">
        <v>127</v>
      </c>
      <c r="G18" s="6">
        <v>1041.25</v>
      </c>
      <c r="H18" s="6">
        <f t="shared" si="1"/>
        <v>158.8347457627118</v>
      </c>
      <c r="I18" s="3" t="s">
        <v>113</v>
      </c>
      <c r="O18"/>
      <c r="P18"/>
      <c r="R18" s="87"/>
      <c r="S18" s="87"/>
    </row>
    <row r="19" spans="2:19" hidden="1" x14ac:dyDescent="0.25">
      <c r="B19" s="3" t="s">
        <v>1224</v>
      </c>
      <c r="C19" s="3" t="s">
        <v>35</v>
      </c>
      <c r="D19" s="3" t="s">
        <v>1298</v>
      </c>
      <c r="E19" s="3" t="s">
        <v>110</v>
      </c>
      <c r="F19" s="3" t="s">
        <v>127</v>
      </c>
      <c r="G19" s="6">
        <v>1125.25</v>
      </c>
      <c r="H19" s="6">
        <f t="shared" si="1"/>
        <v>171.64830508474574</v>
      </c>
      <c r="I19" s="3" t="s">
        <v>113</v>
      </c>
      <c r="J19" s="77"/>
      <c r="O19"/>
      <c r="P19"/>
      <c r="R19" s="87"/>
      <c r="S19" s="87"/>
    </row>
    <row r="20" spans="2:19" hidden="1" x14ac:dyDescent="0.25">
      <c r="B20" s="3" t="s">
        <v>1697</v>
      </c>
      <c r="C20" s="3" t="s">
        <v>43</v>
      </c>
      <c r="D20" s="3" t="s">
        <v>1695</v>
      </c>
      <c r="E20" s="3" t="s">
        <v>106</v>
      </c>
      <c r="F20" s="3" t="s">
        <v>139</v>
      </c>
      <c r="G20" s="6">
        <v>3283</v>
      </c>
      <c r="H20" s="6">
        <f t="shared" si="1"/>
        <v>500.79661016949149</v>
      </c>
      <c r="I20" s="3" t="s">
        <v>18</v>
      </c>
      <c r="O20"/>
      <c r="P20"/>
      <c r="R20" s="87"/>
      <c r="S20" s="87"/>
    </row>
    <row r="21" spans="2:19" hidden="1" x14ac:dyDescent="0.25">
      <c r="B21" s="3" t="s">
        <v>1450</v>
      </c>
      <c r="C21" s="3" t="s">
        <v>42</v>
      </c>
      <c r="D21" s="3" t="s">
        <v>1710</v>
      </c>
      <c r="E21" s="3" t="s">
        <v>106</v>
      </c>
      <c r="F21" s="3" t="s">
        <v>139</v>
      </c>
      <c r="G21" s="6">
        <v>1953</v>
      </c>
      <c r="H21" s="6">
        <f t="shared" si="1"/>
        <v>297.91525423728808</v>
      </c>
      <c r="I21" s="3" t="s">
        <v>113</v>
      </c>
      <c r="J21" s="78"/>
      <c r="K21" s="78"/>
      <c r="O21"/>
      <c r="P21"/>
      <c r="R21" s="87"/>
      <c r="S21" s="87"/>
    </row>
    <row r="22" spans="2:19" hidden="1" x14ac:dyDescent="0.25">
      <c r="B22" s="3" t="s">
        <v>802</v>
      </c>
      <c r="C22" s="3" t="s">
        <v>56</v>
      </c>
      <c r="D22" s="3" t="s">
        <v>880</v>
      </c>
      <c r="E22" s="3" t="s">
        <v>117</v>
      </c>
      <c r="F22" s="3" t="s">
        <v>125</v>
      </c>
      <c r="G22" s="6">
        <v>7178.5</v>
      </c>
      <c r="H22" s="6">
        <f t="shared" si="1"/>
        <v>1095.0254237288136</v>
      </c>
      <c r="I22" s="3" t="s">
        <v>113</v>
      </c>
      <c r="R22" s="87"/>
      <c r="S22" s="87"/>
    </row>
    <row r="23" spans="2:19" hidden="1" x14ac:dyDescent="0.25">
      <c r="B23" s="3" t="s">
        <v>804</v>
      </c>
      <c r="C23" s="3" t="s">
        <v>29</v>
      </c>
      <c r="D23" s="3" t="s">
        <v>882</v>
      </c>
      <c r="E23" s="3" t="s">
        <v>117</v>
      </c>
      <c r="F23" s="3" t="s">
        <v>125</v>
      </c>
      <c r="G23" s="6">
        <v>6496</v>
      </c>
      <c r="H23" s="6">
        <f t="shared" si="1"/>
        <v>990.91525423728763</v>
      </c>
      <c r="I23" s="3" t="s">
        <v>113</v>
      </c>
      <c r="O23"/>
      <c r="P23"/>
      <c r="R23" s="87"/>
      <c r="S23" s="87"/>
    </row>
    <row r="24" spans="2:19" hidden="1" x14ac:dyDescent="0.25">
      <c r="B24" s="3" t="s">
        <v>805</v>
      </c>
      <c r="C24" s="3" t="s">
        <v>30</v>
      </c>
      <c r="D24" s="3" t="s">
        <v>883</v>
      </c>
      <c r="E24" s="3" t="s">
        <v>117</v>
      </c>
      <c r="F24" s="3" t="s">
        <v>125</v>
      </c>
      <c r="G24" s="6">
        <v>784</v>
      </c>
      <c r="H24" s="6">
        <f t="shared" si="1"/>
        <v>119.59322033898297</v>
      </c>
      <c r="I24" s="3" t="s">
        <v>113</v>
      </c>
      <c r="R24" s="87"/>
      <c r="S24" s="87"/>
    </row>
    <row r="25" spans="2:19" hidden="1" x14ac:dyDescent="0.25">
      <c r="B25" s="3" t="s">
        <v>808</v>
      </c>
      <c r="C25" s="3" t="s">
        <v>30</v>
      </c>
      <c r="D25" s="3" t="s">
        <v>886</v>
      </c>
      <c r="E25" s="3" t="s">
        <v>117</v>
      </c>
      <c r="F25" s="3" t="s">
        <v>125</v>
      </c>
      <c r="G25" s="6">
        <v>1153.25</v>
      </c>
      <c r="H25" s="6">
        <f t="shared" si="1"/>
        <v>175.91949152542372</v>
      </c>
      <c r="I25" s="3" t="s">
        <v>113</v>
      </c>
      <c r="R25" s="87"/>
      <c r="S25" s="87"/>
    </row>
    <row r="26" spans="2:19" hidden="1" x14ac:dyDescent="0.25">
      <c r="B26" s="3" t="s">
        <v>810</v>
      </c>
      <c r="C26" s="3" t="s">
        <v>30</v>
      </c>
      <c r="D26" s="3" t="s">
        <v>888</v>
      </c>
      <c r="E26" s="3" t="s">
        <v>117</v>
      </c>
      <c r="F26" s="3" t="s">
        <v>125</v>
      </c>
      <c r="G26" s="6">
        <v>203</v>
      </c>
      <c r="H26" s="6">
        <f t="shared" si="1"/>
        <v>30.966101694915238</v>
      </c>
      <c r="I26" s="3" t="s">
        <v>113</v>
      </c>
      <c r="R26" s="87"/>
      <c r="S26" s="87"/>
    </row>
    <row r="27" spans="2:19" hidden="1" x14ac:dyDescent="0.25">
      <c r="B27" s="3" t="s">
        <v>812</v>
      </c>
      <c r="C27" s="3" t="s">
        <v>30</v>
      </c>
      <c r="D27" s="3" t="s">
        <v>890</v>
      </c>
      <c r="E27" s="3" t="s">
        <v>117</v>
      </c>
      <c r="F27" s="3" t="s">
        <v>125</v>
      </c>
      <c r="G27" s="6">
        <v>365.75</v>
      </c>
      <c r="H27" s="6">
        <f t="shared" si="1"/>
        <v>55.792372881355902</v>
      </c>
      <c r="I27" s="3" t="s">
        <v>113</v>
      </c>
      <c r="R27" s="87"/>
      <c r="S27" s="87"/>
    </row>
    <row r="28" spans="2:19" hidden="1" x14ac:dyDescent="0.25">
      <c r="B28" s="3" t="s">
        <v>814</v>
      </c>
      <c r="C28" s="3" t="s">
        <v>30</v>
      </c>
      <c r="D28" s="3" t="s">
        <v>892</v>
      </c>
      <c r="E28" s="3" t="s">
        <v>117</v>
      </c>
      <c r="F28" s="3" t="s">
        <v>125</v>
      </c>
      <c r="G28" s="6">
        <v>99.75</v>
      </c>
      <c r="H28" s="6">
        <f t="shared" si="1"/>
        <v>15.216101694915253</v>
      </c>
      <c r="I28" s="3" t="s">
        <v>113</v>
      </c>
      <c r="R28" s="87"/>
      <c r="S28" s="87"/>
    </row>
    <row r="29" spans="2:19" hidden="1" x14ac:dyDescent="0.25">
      <c r="B29" s="3" t="s">
        <v>816</v>
      </c>
      <c r="C29" s="3" t="s">
        <v>30</v>
      </c>
      <c r="D29" s="3" t="s">
        <v>894</v>
      </c>
      <c r="E29" s="3" t="s">
        <v>117</v>
      </c>
      <c r="F29" s="3" t="s">
        <v>125</v>
      </c>
      <c r="G29" s="6">
        <v>320.25</v>
      </c>
      <c r="H29" s="6">
        <f t="shared" si="1"/>
        <v>48.8516949152542</v>
      </c>
      <c r="I29" s="3" t="s">
        <v>113</v>
      </c>
      <c r="R29" s="87"/>
      <c r="S29" s="87"/>
    </row>
    <row r="30" spans="2:19" hidden="1" x14ac:dyDescent="0.25">
      <c r="B30" s="3" t="s">
        <v>818</v>
      </c>
      <c r="C30" s="3" t="s">
        <v>30</v>
      </c>
      <c r="D30" s="3" t="s">
        <v>896</v>
      </c>
      <c r="E30" s="3" t="s">
        <v>117</v>
      </c>
      <c r="F30" s="3" t="s">
        <v>125</v>
      </c>
      <c r="G30" s="6">
        <v>696.5</v>
      </c>
      <c r="H30" s="6">
        <f t="shared" si="1"/>
        <v>106.24576271186436</v>
      </c>
      <c r="I30" s="3" t="s">
        <v>113</v>
      </c>
      <c r="R30" s="87"/>
      <c r="S30" s="87"/>
    </row>
    <row r="31" spans="2:19" hidden="1" x14ac:dyDescent="0.25">
      <c r="B31" s="3" t="s">
        <v>826</v>
      </c>
      <c r="C31" s="3" t="s">
        <v>30</v>
      </c>
      <c r="D31" s="3" t="s">
        <v>904</v>
      </c>
      <c r="E31" s="3" t="s">
        <v>117</v>
      </c>
      <c r="F31" s="3" t="s">
        <v>125</v>
      </c>
      <c r="G31" s="6">
        <v>162.75</v>
      </c>
      <c r="H31" s="6">
        <f t="shared" si="1"/>
        <v>24.826271186440664</v>
      </c>
      <c r="I31" s="3" t="s">
        <v>113</v>
      </c>
      <c r="R31" s="87"/>
      <c r="S31" s="87"/>
    </row>
    <row r="32" spans="2:19" hidden="1" x14ac:dyDescent="0.25">
      <c r="B32" s="3" t="s">
        <v>734</v>
      </c>
      <c r="C32" s="3" t="s">
        <v>88</v>
      </c>
      <c r="D32" s="3" t="s">
        <v>740</v>
      </c>
      <c r="E32" s="3" t="s">
        <v>117</v>
      </c>
      <c r="F32" s="3" t="s">
        <v>125</v>
      </c>
      <c r="G32" s="6">
        <v>707</v>
      </c>
      <c r="H32" s="6">
        <f t="shared" si="1"/>
        <v>107.84745762711862</v>
      </c>
      <c r="I32" s="3" t="s">
        <v>18</v>
      </c>
      <c r="O32" s="19"/>
      <c r="P32" s="19"/>
      <c r="R32" s="87"/>
      <c r="S32" s="87"/>
    </row>
    <row r="33" spans="2:19" hidden="1" x14ac:dyDescent="0.25">
      <c r="B33" s="3" t="s">
        <v>768</v>
      </c>
      <c r="C33" s="3" t="s">
        <v>93</v>
      </c>
      <c r="D33" s="3" t="s">
        <v>776</v>
      </c>
      <c r="E33" s="3" t="s">
        <v>117</v>
      </c>
      <c r="F33" s="3" t="s">
        <v>125</v>
      </c>
      <c r="G33" s="6">
        <v>26078.5</v>
      </c>
      <c r="H33" s="6">
        <f t="shared" si="1"/>
        <v>3978.0762711864409</v>
      </c>
      <c r="I33" s="3" t="s">
        <v>18</v>
      </c>
      <c r="O33"/>
      <c r="P33"/>
      <c r="R33" s="87"/>
      <c r="S33" s="87"/>
    </row>
    <row r="34" spans="2:19" hidden="1" x14ac:dyDescent="0.25">
      <c r="B34" s="3" t="s">
        <v>772</v>
      </c>
      <c r="C34" s="3" t="s">
        <v>88</v>
      </c>
      <c r="D34" s="3" t="s">
        <v>778</v>
      </c>
      <c r="E34" s="3" t="s">
        <v>117</v>
      </c>
      <c r="F34" s="3" t="s">
        <v>125</v>
      </c>
      <c r="G34" s="6">
        <v>3823.75</v>
      </c>
      <c r="H34" s="6">
        <f t="shared" si="1"/>
        <v>583.28389830508468</v>
      </c>
      <c r="I34" s="3" t="s">
        <v>18</v>
      </c>
      <c r="O34"/>
      <c r="P34"/>
      <c r="R34" s="87"/>
      <c r="S34" s="87"/>
    </row>
    <row r="35" spans="2:19" hidden="1" x14ac:dyDescent="0.25">
      <c r="B35" s="3" t="s">
        <v>799</v>
      </c>
      <c r="C35" s="3" t="s">
        <v>57</v>
      </c>
      <c r="D35" s="3" t="s">
        <v>877</v>
      </c>
      <c r="E35" s="3" t="s">
        <v>117</v>
      </c>
      <c r="F35" s="3" t="s">
        <v>127</v>
      </c>
      <c r="G35" s="6">
        <v>1258.25</v>
      </c>
      <c r="H35" s="6">
        <f t="shared" si="1"/>
        <v>191.93644067796595</v>
      </c>
      <c r="I35" s="3" t="s">
        <v>113</v>
      </c>
      <c r="O35"/>
      <c r="P35"/>
      <c r="R35" s="87"/>
      <c r="S35" s="87"/>
    </row>
    <row r="36" spans="2:19" hidden="1" x14ac:dyDescent="0.25">
      <c r="B36" s="3" t="s">
        <v>1064</v>
      </c>
      <c r="C36" s="3" t="s">
        <v>94</v>
      </c>
      <c r="D36" s="3" t="s">
        <v>1121</v>
      </c>
      <c r="E36" s="3" t="s">
        <v>106</v>
      </c>
      <c r="F36" s="3" t="s">
        <v>127</v>
      </c>
      <c r="G36" s="6">
        <f>819*1.75</f>
        <v>1433.25</v>
      </c>
      <c r="H36" s="6">
        <f t="shared" si="1"/>
        <v>218.63135593220341</v>
      </c>
      <c r="I36" s="3" t="s">
        <v>18</v>
      </c>
      <c r="J36" s="19"/>
      <c r="K36" s="19"/>
      <c r="O36"/>
      <c r="P36"/>
      <c r="R36" s="87"/>
      <c r="S36" s="87"/>
    </row>
    <row r="37" spans="2:19" hidden="1" x14ac:dyDescent="0.25">
      <c r="B37" s="3" t="s">
        <v>1206</v>
      </c>
      <c r="C37" s="3" t="s">
        <v>33</v>
      </c>
      <c r="D37" s="3" t="s">
        <v>1281</v>
      </c>
      <c r="E37" s="3" t="s">
        <v>110</v>
      </c>
      <c r="F37" s="3" t="s">
        <v>127</v>
      </c>
      <c r="G37" s="6">
        <v>1709.75</v>
      </c>
      <c r="H37" s="6">
        <f t="shared" si="1"/>
        <v>260.8093220338983</v>
      </c>
      <c r="I37" s="3" t="s">
        <v>113</v>
      </c>
      <c r="O37"/>
      <c r="P37"/>
      <c r="R37" s="87"/>
      <c r="S37" s="87"/>
    </row>
    <row r="38" spans="2:19" hidden="1" x14ac:dyDescent="0.25">
      <c r="B38" s="3" t="s">
        <v>1426</v>
      </c>
      <c r="C38" s="3" t="s">
        <v>41</v>
      </c>
      <c r="D38" s="3" t="s">
        <v>1316</v>
      </c>
      <c r="E38" s="3" t="s">
        <v>90</v>
      </c>
      <c r="F38" s="3" t="s">
        <v>133</v>
      </c>
      <c r="G38" s="6">
        <v>1200000</v>
      </c>
      <c r="H38" s="29">
        <f t="shared" ref="H38:H101" si="2">G38-G38/1.18</f>
        <v>183050.84745762707</v>
      </c>
      <c r="I38" s="3" t="s">
        <v>113</v>
      </c>
      <c r="O38"/>
      <c r="P38"/>
      <c r="R38" s="87"/>
      <c r="S38" s="87"/>
    </row>
    <row r="39" spans="2:19" hidden="1" x14ac:dyDescent="0.25">
      <c r="B39" s="8" t="s">
        <v>1066</v>
      </c>
      <c r="C39" s="3" t="s">
        <v>94</v>
      </c>
      <c r="D39" s="3" t="s">
        <v>1675</v>
      </c>
      <c r="E39" s="3" t="s">
        <v>106</v>
      </c>
      <c r="F39" s="3" t="s">
        <v>127</v>
      </c>
      <c r="G39" s="6">
        <f>1131*1.75</f>
        <v>1979.25</v>
      </c>
      <c r="H39" s="6">
        <f t="shared" si="2"/>
        <v>301.91949152542361</v>
      </c>
      <c r="I39" s="3" t="s">
        <v>18</v>
      </c>
      <c r="J39" s="98"/>
      <c r="K39" s="19"/>
      <c r="O39"/>
      <c r="P39"/>
      <c r="R39" s="87"/>
      <c r="S39" s="87"/>
    </row>
    <row r="40" spans="2:19" hidden="1" x14ac:dyDescent="0.25">
      <c r="B40" s="3" t="s">
        <v>1070</v>
      </c>
      <c r="C40" s="3" t="s">
        <v>94</v>
      </c>
      <c r="D40" s="3" t="s">
        <v>1126</v>
      </c>
      <c r="E40" s="3" t="s">
        <v>106</v>
      </c>
      <c r="F40" s="3" t="s">
        <v>127</v>
      </c>
      <c r="G40" s="6">
        <v>1989.75</v>
      </c>
      <c r="H40" s="6">
        <f t="shared" si="2"/>
        <v>303.52118644067787</v>
      </c>
      <c r="I40" s="3" t="s">
        <v>18</v>
      </c>
      <c r="J40" s="18"/>
      <c r="O40"/>
      <c r="P40"/>
      <c r="R40" s="87"/>
      <c r="S40" s="87"/>
    </row>
    <row r="41" spans="2:19" hidden="1" x14ac:dyDescent="0.25">
      <c r="B41" s="3" t="s">
        <v>780</v>
      </c>
      <c r="C41" s="3" t="s">
        <v>57</v>
      </c>
      <c r="D41" s="3" t="s">
        <v>858</v>
      </c>
      <c r="E41" s="3" t="s">
        <v>117</v>
      </c>
      <c r="F41" s="3" t="s">
        <v>139</v>
      </c>
      <c r="G41" s="6">
        <v>5661.25</v>
      </c>
      <c r="H41" s="6">
        <f t="shared" si="2"/>
        <v>863.58050847457616</v>
      </c>
      <c r="I41" s="3" t="s">
        <v>113</v>
      </c>
      <c r="J41" s="18"/>
      <c r="O41"/>
      <c r="P41"/>
      <c r="R41" s="87"/>
      <c r="S41" s="87"/>
    </row>
    <row r="42" spans="2:19" hidden="1" x14ac:dyDescent="0.25">
      <c r="B42" s="3" t="s">
        <v>822</v>
      </c>
      <c r="C42" s="3" t="s">
        <v>29</v>
      </c>
      <c r="D42" s="3" t="s">
        <v>900</v>
      </c>
      <c r="E42" s="3" t="s">
        <v>117</v>
      </c>
      <c r="F42" s="3" t="s">
        <v>139</v>
      </c>
      <c r="G42" s="6">
        <v>652.75</v>
      </c>
      <c r="H42" s="6">
        <f t="shared" si="2"/>
        <v>99.572033898305108</v>
      </c>
      <c r="I42" s="3" t="s">
        <v>113</v>
      </c>
      <c r="J42" s="18"/>
      <c r="O42"/>
      <c r="P42"/>
      <c r="R42" s="87"/>
      <c r="S42" s="87"/>
    </row>
    <row r="43" spans="2:19" hidden="1" x14ac:dyDescent="0.25">
      <c r="B43" s="3" t="s">
        <v>1702</v>
      </c>
      <c r="C43" s="3" t="s">
        <v>57</v>
      </c>
      <c r="D43" s="3" t="s">
        <v>1704</v>
      </c>
      <c r="E43" s="3" t="s">
        <v>117</v>
      </c>
      <c r="F43" s="3" t="s">
        <v>139</v>
      </c>
      <c r="G43" s="6">
        <v>3501.75</v>
      </c>
      <c r="H43" s="6">
        <f t="shared" si="2"/>
        <v>534.16525423728808</v>
      </c>
      <c r="I43" s="3" t="s">
        <v>18</v>
      </c>
      <c r="J43" s="18"/>
      <c r="O43"/>
      <c r="P43"/>
      <c r="R43" s="87"/>
      <c r="S43" s="87"/>
    </row>
    <row r="44" spans="2:19" hidden="1" x14ac:dyDescent="0.25">
      <c r="B44" s="3" t="s">
        <v>720</v>
      </c>
      <c r="C44" s="3" t="s">
        <v>96</v>
      </c>
      <c r="D44" s="3" t="s">
        <v>1596</v>
      </c>
      <c r="E44" s="3" t="s">
        <v>110</v>
      </c>
      <c r="F44" s="3" t="s">
        <v>124</v>
      </c>
      <c r="G44" s="6">
        <v>1732</v>
      </c>
      <c r="H44" s="6">
        <f t="shared" si="2"/>
        <v>264.20338983050829</v>
      </c>
      <c r="I44" s="6" t="s">
        <v>18</v>
      </c>
      <c r="J44" s="18"/>
      <c r="R44" s="87"/>
      <c r="S44" s="87"/>
    </row>
    <row r="45" spans="2:19" hidden="1" x14ac:dyDescent="0.25">
      <c r="B45" s="3" t="s">
        <v>936</v>
      </c>
      <c r="C45" s="3" t="s">
        <v>96</v>
      </c>
      <c r="D45" s="3" t="s">
        <v>938</v>
      </c>
      <c r="E45" s="3" t="s">
        <v>110</v>
      </c>
      <c r="F45" s="3" t="s">
        <v>125</v>
      </c>
      <c r="G45" s="6">
        <v>434</v>
      </c>
      <c r="H45" s="6">
        <f t="shared" si="2"/>
        <v>66.203389830508456</v>
      </c>
      <c r="I45" s="6" t="s">
        <v>18</v>
      </c>
      <c r="J45" t="s">
        <v>1592</v>
      </c>
      <c r="O45"/>
      <c r="P45" t="s">
        <v>1593</v>
      </c>
      <c r="R45" s="87"/>
      <c r="S45" s="87"/>
    </row>
    <row r="46" spans="2:19" hidden="1" x14ac:dyDescent="0.25">
      <c r="B46" s="3" t="s">
        <v>731</v>
      </c>
      <c r="C46" s="3" t="s">
        <v>96</v>
      </c>
      <c r="D46" s="3" t="s">
        <v>934</v>
      </c>
      <c r="E46" s="3" t="s">
        <v>110</v>
      </c>
      <c r="F46" s="3" t="s">
        <v>125</v>
      </c>
      <c r="G46" s="6">
        <v>350</v>
      </c>
      <c r="H46" s="6">
        <f t="shared" si="2"/>
        <v>53.389830508474574</v>
      </c>
      <c r="I46" s="6" t="s">
        <v>18</v>
      </c>
      <c r="J46" t="s">
        <v>1594</v>
      </c>
      <c r="O46"/>
      <c r="P46" t="s">
        <v>1593</v>
      </c>
      <c r="R46" s="87"/>
      <c r="S46" s="87"/>
    </row>
    <row r="47" spans="2:19" hidden="1" x14ac:dyDescent="0.25">
      <c r="B47" s="3" t="s">
        <v>936</v>
      </c>
      <c r="C47" s="3" t="s">
        <v>96</v>
      </c>
      <c r="D47" s="3" t="s">
        <v>938</v>
      </c>
      <c r="E47" s="3" t="s">
        <v>110</v>
      </c>
      <c r="F47" s="3" t="s">
        <v>125</v>
      </c>
      <c r="G47" s="6">
        <v>574</v>
      </c>
      <c r="H47" s="6">
        <f t="shared" si="2"/>
        <v>87.559322033898297</v>
      </c>
      <c r="I47" s="6" t="s">
        <v>18</v>
      </c>
      <c r="J47" t="s">
        <v>1597</v>
      </c>
      <c r="O47"/>
      <c r="P47" t="s">
        <v>1593</v>
      </c>
      <c r="R47" s="87"/>
      <c r="S47" s="87"/>
    </row>
    <row r="48" spans="2:19" hidden="1" x14ac:dyDescent="0.25">
      <c r="B48" s="3" t="s">
        <v>716</v>
      </c>
      <c r="C48" s="3" t="s">
        <v>96</v>
      </c>
      <c r="D48" s="3" t="s">
        <v>930</v>
      </c>
      <c r="E48" s="3" t="s">
        <v>110</v>
      </c>
      <c r="F48" s="3" t="s">
        <v>125</v>
      </c>
      <c r="G48" s="6">
        <v>1417</v>
      </c>
      <c r="H48" s="6">
        <f t="shared" si="2"/>
        <v>216.15254237288127</v>
      </c>
      <c r="I48" s="3" t="s">
        <v>18</v>
      </c>
      <c r="J48" t="s">
        <v>1598</v>
      </c>
      <c r="O48"/>
      <c r="P48" t="s">
        <v>1593</v>
      </c>
      <c r="R48" s="87"/>
      <c r="S48" s="87"/>
    </row>
    <row r="49" spans="2:20" hidden="1" x14ac:dyDescent="0.25">
      <c r="B49" s="3" t="s">
        <v>969</v>
      </c>
      <c r="C49" s="3" t="s">
        <v>50</v>
      </c>
      <c r="D49" s="3" t="s">
        <v>967</v>
      </c>
      <c r="E49" s="3" t="s">
        <v>110</v>
      </c>
      <c r="F49" s="3" t="s">
        <v>125</v>
      </c>
      <c r="G49" s="6">
        <v>10540</v>
      </c>
      <c r="H49" s="6">
        <f t="shared" si="2"/>
        <v>1607.796610169491</v>
      </c>
      <c r="I49" s="6" t="s">
        <v>18</v>
      </c>
      <c r="O49"/>
      <c r="P49"/>
      <c r="R49" s="87"/>
      <c r="S49" s="87"/>
    </row>
    <row r="50" spans="2:20" hidden="1" x14ac:dyDescent="0.25">
      <c r="B50" s="3" t="s">
        <v>968</v>
      </c>
      <c r="C50" s="3" t="s">
        <v>50</v>
      </c>
      <c r="D50" s="3" t="s">
        <v>966</v>
      </c>
      <c r="E50" s="3" t="s">
        <v>110</v>
      </c>
      <c r="F50" s="3" t="s">
        <v>125</v>
      </c>
      <c r="G50" s="6">
        <v>6795</v>
      </c>
      <c r="H50" s="6">
        <f t="shared" si="2"/>
        <v>1036.5254237288136</v>
      </c>
      <c r="I50" s="6" t="s">
        <v>18</v>
      </c>
      <c r="O50"/>
      <c r="P50"/>
      <c r="R50" s="87"/>
      <c r="S50" s="87"/>
    </row>
    <row r="51" spans="2:20" hidden="1" x14ac:dyDescent="0.25">
      <c r="B51" s="3" t="s">
        <v>970</v>
      </c>
      <c r="C51" s="3" t="s">
        <v>50</v>
      </c>
      <c r="D51" s="3" t="s">
        <v>1140</v>
      </c>
      <c r="E51" s="3" t="s">
        <v>110</v>
      </c>
      <c r="F51" s="3" t="s">
        <v>125</v>
      </c>
      <c r="G51" s="6">
        <v>3552</v>
      </c>
      <c r="H51" s="6">
        <f t="shared" si="2"/>
        <v>541.83050847457616</v>
      </c>
      <c r="I51" s="6" t="s">
        <v>18</v>
      </c>
      <c r="O51"/>
      <c r="P51"/>
      <c r="R51" s="87"/>
      <c r="S51" s="87"/>
    </row>
    <row r="52" spans="2:20" hidden="1" x14ac:dyDescent="0.25">
      <c r="B52" s="3" t="s">
        <v>1188</v>
      </c>
      <c r="C52" s="3" t="s">
        <v>4</v>
      </c>
      <c r="D52" s="3" t="s">
        <v>1159</v>
      </c>
      <c r="E52" s="3" t="s">
        <v>110</v>
      </c>
      <c r="F52" s="3" t="s">
        <v>125</v>
      </c>
      <c r="G52" s="6">
        <v>2054</v>
      </c>
      <c r="H52" s="6">
        <f t="shared" si="2"/>
        <v>313.32203389830488</v>
      </c>
      <c r="I52" s="3" t="s">
        <v>113</v>
      </c>
      <c r="O52"/>
      <c r="P52"/>
      <c r="R52" s="87"/>
      <c r="S52" s="87"/>
    </row>
    <row r="53" spans="2:20" hidden="1" x14ac:dyDescent="0.25">
      <c r="B53" s="3" t="s">
        <v>1190</v>
      </c>
      <c r="C53" s="3" t="s">
        <v>4</v>
      </c>
      <c r="D53" s="3" t="s">
        <v>1161</v>
      </c>
      <c r="E53" s="3" t="s">
        <v>110</v>
      </c>
      <c r="F53" s="3" t="s">
        <v>125</v>
      </c>
      <c r="G53" s="6">
        <v>3846</v>
      </c>
      <c r="H53" s="6">
        <f t="shared" si="2"/>
        <v>586.67796610169489</v>
      </c>
      <c r="I53" s="3" t="s">
        <v>113</v>
      </c>
      <c r="O53"/>
      <c r="P53"/>
      <c r="R53" s="87"/>
      <c r="S53" s="87"/>
    </row>
    <row r="54" spans="2:20" hidden="1" x14ac:dyDescent="0.25">
      <c r="B54" s="3" t="s">
        <v>1230</v>
      </c>
      <c r="C54" s="3" t="s">
        <v>34</v>
      </c>
      <c r="D54" s="3" t="s">
        <v>1304</v>
      </c>
      <c r="E54" s="3" t="s">
        <v>110</v>
      </c>
      <c r="F54" s="3" t="s">
        <v>125</v>
      </c>
      <c r="G54" s="6">
        <v>2345</v>
      </c>
      <c r="H54" s="6">
        <f t="shared" si="2"/>
        <v>357.71186440677957</v>
      </c>
      <c r="I54" s="3" t="s">
        <v>113</v>
      </c>
      <c r="O54"/>
      <c r="P54"/>
      <c r="R54" s="87"/>
      <c r="S54" s="87"/>
      <c r="T54" s="79"/>
    </row>
    <row r="55" spans="2:20" hidden="1" x14ac:dyDescent="0.25">
      <c r="B55" s="3" t="s">
        <v>1232</v>
      </c>
      <c r="C55" s="3" t="s">
        <v>34</v>
      </c>
      <c r="D55" s="3" t="s">
        <v>1306</v>
      </c>
      <c r="E55" s="3" t="s">
        <v>110</v>
      </c>
      <c r="F55" s="3" t="s">
        <v>125</v>
      </c>
      <c r="G55" s="6">
        <v>3778</v>
      </c>
      <c r="H55" s="6">
        <f t="shared" si="2"/>
        <v>576.30508474576254</v>
      </c>
      <c r="I55" s="3" t="s">
        <v>113</v>
      </c>
      <c r="O55"/>
      <c r="P55"/>
      <c r="R55" s="87"/>
      <c r="S55" s="87"/>
    </row>
    <row r="56" spans="2:20" hidden="1" x14ac:dyDescent="0.25">
      <c r="B56" s="3" t="s">
        <v>1228</v>
      </c>
      <c r="C56" s="3" t="s">
        <v>34</v>
      </c>
      <c r="D56" s="3" t="s">
        <v>1302</v>
      </c>
      <c r="E56" s="3" t="s">
        <v>110</v>
      </c>
      <c r="F56" s="3" t="s">
        <v>125</v>
      </c>
      <c r="G56" s="6">
        <v>7875</v>
      </c>
      <c r="H56" s="6">
        <f t="shared" si="2"/>
        <v>1201.2711864406774</v>
      </c>
      <c r="I56" s="3" t="s">
        <v>113</v>
      </c>
      <c r="O56"/>
      <c r="P56"/>
      <c r="R56" s="87"/>
      <c r="S56" s="87"/>
    </row>
    <row r="57" spans="2:20" hidden="1" x14ac:dyDescent="0.25">
      <c r="B57" s="3" t="s">
        <v>1234</v>
      </c>
      <c r="C57" s="3" t="s">
        <v>140</v>
      </c>
      <c r="D57" s="3" t="s">
        <v>1308</v>
      </c>
      <c r="E57" s="3" t="s">
        <v>110</v>
      </c>
      <c r="F57" s="3" t="s">
        <v>125</v>
      </c>
      <c r="G57" s="6">
        <v>6492</v>
      </c>
      <c r="H57" s="6">
        <f t="shared" si="2"/>
        <v>990.30508474576254</v>
      </c>
      <c r="I57" s="3" t="s">
        <v>113</v>
      </c>
      <c r="O57"/>
      <c r="P57"/>
      <c r="R57" s="87"/>
      <c r="S57" s="87"/>
    </row>
    <row r="58" spans="2:20" hidden="1" x14ac:dyDescent="0.25">
      <c r="B58" s="3" t="s">
        <v>1428</v>
      </c>
      <c r="C58" s="3" t="s">
        <v>43</v>
      </c>
      <c r="D58" s="3" t="s">
        <v>1318</v>
      </c>
      <c r="E58" s="3" t="s">
        <v>90</v>
      </c>
      <c r="F58" s="3" t="s">
        <v>129</v>
      </c>
      <c r="G58" s="6">
        <v>1100000</v>
      </c>
      <c r="H58" s="6">
        <f t="shared" si="2"/>
        <v>167796.6101694915</v>
      </c>
      <c r="I58" s="3" t="s">
        <v>113</v>
      </c>
      <c r="J58" s="16"/>
      <c r="K58" s="16"/>
      <c r="O58"/>
      <c r="P58"/>
      <c r="R58" s="87"/>
      <c r="S58" s="87"/>
    </row>
    <row r="59" spans="2:20" hidden="1" x14ac:dyDescent="0.25">
      <c r="B59" s="3" t="s">
        <v>1470</v>
      </c>
      <c r="C59" s="3" t="s">
        <v>40</v>
      </c>
      <c r="D59" s="3" t="s">
        <v>1358</v>
      </c>
      <c r="E59" s="3" t="s">
        <v>106</v>
      </c>
      <c r="F59" s="3" t="s">
        <v>127</v>
      </c>
      <c r="G59" s="6">
        <v>2399.25</v>
      </c>
      <c r="H59" s="6">
        <f t="shared" si="2"/>
        <v>365.98728813559319</v>
      </c>
      <c r="I59" s="3" t="s">
        <v>113</v>
      </c>
      <c r="K59" s="19"/>
      <c r="O59"/>
      <c r="P59"/>
      <c r="R59" s="87"/>
      <c r="S59" s="87"/>
    </row>
    <row r="60" spans="2:20" hidden="1" x14ac:dyDescent="0.25">
      <c r="B60" s="3" t="s">
        <v>1217</v>
      </c>
      <c r="C60" s="3" t="s">
        <v>33</v>
      </c>
      <c r="D60" s="3" t="s">
        <v>1291</v>
      </c>
      <c r="E60" s="3" t="s">
        <v>110</v>
      </c>
      <c r="F60" s="3" t="s">
        <v>127</v>
      </c>
      <c r="G60" s="6">
        <v>2504.25</v>
      </c>
      <c r="H60" s="6">
        <f t="shared" si="2"/>
        <v>382.0042372881353</v>
      </c>
      <c r="I60" s="3" t="s">
        <v>113</v>
      </c>
      <c r="O60"/>
      <c r="P60"/>
      <c r="R60" s="87"/>
      <c r="S60" s="87"/>
    </row>
    <row r="61" spans="2:20" hidden="1" x14ac:dyDescent="0.25">
      <c r="B61" s="3" t="s">
        <v>757</v>
      </c>
      <c r="C61" s="3" t="s">
        <v>92</v>
      </c>
      <c r="D61" s="3" t="s">
        <v>754</v>
      </c>
      <c r="E61" s="3" t="s">
        <v>117</v>
      </c>
      <c r="F61" s="3" t="s">
        <v>127</v>
      </c>
      <c r="G61" s="6">
        <v>2866.5</v>
      </c>
      <c r="H61" s="6">
        <f t="shared" si="2"/>
        <v>437.26271186440681</v>
      </c>
      <c r="I61" s="3" t="s">
        <v>18</v>
      </c>
      <c r="J61" s="5"/>
      <c r="K61" s="5"/>
      <c r="O61"/>
      <c r="P61"/>
      <c r="R61" s="87"/>
      <c r="S61" s="87"/>
    </row>
    <row r="62" spans="2:20" hidden="1" x14ac:dyDescent="0.25">
      <c r="B62" s="8" t="s">
        <v>1047</v>
      </c>
      <c r="C62" s="3" t="s">
        <v>94</v>
      </c>
      <c r="D62" s="3" t="s">
        <v>1104</v>
      </c>
      <c r="E62" s="3" t="s">
        <v>106</v>
      </c>
      <c r="F62" s="3" t="s">
        <v>127</v>
      </c>
      <c r="G62" s="6">
        <f>2606*1.75</f>
        <v>4560.5</v>
      </c>
      <c r="H62" s="6">
        <f t="shared" si="2"/>
        <v>695.66949152542338</v>
      </c>
      <c r="I62" s="3" t="s">
        <v>18</v>
      </c>
      <c r="J62" s="18"/>
      <c r="O62"/>
      <c r="P62"/>
      <c r="R62" s="87"/>
      <c r="S62" s="87"/>
    </row>
    <row r="63" spans="2:20" hidden="1" x14ac:dyDescent="0.25">
      <c r="B63" s="3" t="s">
        <v>789</v>
      </c>
      <c r="C63" s="3" t="s">
        <v>57</v>
      </c>
      <c r="D63" s="3" t="s">
        <v>867</v>
      </c>
      <c r="E63" s="3" t="s">
        <v>117</v>
      </c>
      <c r="F63" s="3" t="s">
        <v>127</v>
      </c>
      <c r="G63" s="6">
        <v>4775.75</v>
      </c>
      <c r="H63" s="6">
        <f t="shared" si="2"/>
        <v>728.5042372881353</v>
      </c>
      <c r="I63" s="3" t="s">
        <v>113</v>
      </c>
      <c r="O63"/>
      <c r="P63"/>
      <c r="R63" s="87"/>
      <c r="S63" s="87"/>
    </row>
    <row r="64" spans="2:20" hidden="1" x14ac:dyDescent="0.25">
      <c r="B64" s="3" t="s">
        <v>1212</v>
      </c>
      <c r="C64" s="3" t="s">
        <v>33</v>
      </c>
      <c r="D64" s="3" t="s">
        <v>1286</v>
      </c>
      <c r="E64" s="3" t="s">
        <v>110</v>
      </c>
      <c r="F64" s="3" t="s">
        <v>127</v>
      </c>
      <c r="G64" s="6">
        <v>5153.75</v>
      </c>
      <c r="H64" s="6">
        <f t="shared" si="2"/>
        <v>786.16525423728763</v>
      </c>
      <c r="I64" s="3" t="s">
        <v>113</v>
      </c>
      <c r="J64" s="18"/>
      <c r="O64"/>
      <c r="P64"/>
      <c r="R64" s="87"/>
      <c r="S64" s="87"/>
    </row>
    <row r="65" spans="2:19" hidden="1" x14ac:dyDescent="0.25">
      <c r="B65" s="3" t="s">
        <v>998</v>
      </c>
      <c r="C65" s="3" t="s">
        <v>74</v>
      </c>
      <c r="D65" s="3" t="s">
        <v>1097</v>
      </c>
      <c r="E65" s="3" t="s">
        <v>90</v>
      </c>
      <c r="F65" s="3" t="s">
        <v>139</v>
      </c>
      <c r="G65" s="6">
        <v>780000</v>
      </c>
      <c r="H65" s="6">
        <f t="shared" si="2"/>
        <v>118983.05084745761</v>
      </c>
      <c r="I65" s="3" t="s">
        <v>18</v>
      </c>
      <c r="J65" s="18"/>
      <c r="O65"/>
      <c r="P65"/>
      <c r="R65" s="87"/>
      <c r="S65" s="87"/>
    </row>
    <row r="66" spans="2:19" hidden="1" x14ac:dyDescent="0.25">
      <c r="B66" s="3" t="s">
        <v>266</v>
      </c>
      <c r="C66" s="3" t="s">
        <v>94</v>
      </c>
      <c r="D66" s="3" t="s">
        <v>276</v>
      </c>
      <c r="E66" s="3" t="s">
        <v>90</v>
      </c>
      <c r="F66" s="3" t="s">
        <v>122</v>
      </c>
      <c r="G66" s="6">
        <v>619763.31000000006</v>
      </c>
      <c r="H66" s="6">
        <f t="shared" si="2"/>
        <v>94540.16593220341</v>
      </c>
      <c r="I66" s="6" t="s">
        <v>18</v>
      </c>
      <c r="R66" s="87"/>
      <c r="S66" s="87"/>
    </row>
    <row r="67" spans="2:19" hidden="1" x14ac:dyDescent="0.25">
      <c r="B67" s="3" t="s">
        <v>1446</v>
      </c>
      <c r="C67" s="3" t="s">
        <v>42</v>
      </c>
      <c r="D67" s="3" t="s">
        <v>1336</v>
      </c>
      <c r="E67" s="3" t="s">
        <v>106</v>
      </c>
      <c r="F67" s="3" t="s">
        <v>127</v>
      </c>
      <c r="G67" s="6">
        <v>5682.25</v>
      </c>
      <c r="H67" s="6">
        <f t="shared" si="2"/>
        <v>866.78389830508422</v>
      </c>
      <c r="I67" s="3" t="s">
        <v>113</v>
      </c>
      <c r="O67"/>
      <c r="P67"/>
      <c r="R67" s="87"/>
      <c r="S67" s="87"/>
    </row>
    <row r="68" spans="2:19" hidden="1" x14ac:dyDescent="0.25">
      <c r="B68" s="3" t="s">
        <v>1208</v>
      </c>
      <c r="C68" s="3" t="s">
        <v>35</v>
      </c>
      <c r="D68" s="3" t="s">
        <v>1282</v>
      </c>
      <c r="E68" s="3" t="s">
        <v>110</v>
      </c>
      <c r="F68" s="3" t="s">
        <v>127</v>
      </c>
      <c r="G68" s="6">
        <v>5754</v>
      </c>
      <c r="H68" s="6">
        <f t="shared" si="2"/>
        <v>877.72881355932168</v>
      </c>
      <c r="I68" s="3" t="s">
        <v>113</v>
      </c>
      <c r="O68"/>
      <c r="P68"/>
      <c r="R68" s="87"/>
      <c r="S68" s="87"/>
    </row>
    <row r="69" spans="2:19" hidden="1" x14ac:dyDescent="0.25">
      <c r="B69" s="3" t="s">
        <v>950</v>
      </c>
      <c r="C69" s="3" t="s">
        <v>96</v>
      </c>
      <c r="D69" s="3" t="s">
        <v>1686</v>
      </c>
      <c r="E69" s="3" t="s">
        <v>71</v>
      </c>
      <c r="F69" s="3" t="s">
        <v>127</v>
      </c>
      <c r="G69" s="6">
        <v>10000</v>
      </c>
      <c r="H69" s="6">
        <f t="shared" si="2"/>
        <v>1525.4237288135591</v>
      </c>
      <c r="I69" s="3" t="s">
        <v>18</v>
      </c>
      <c r="J69" t="s">
        <v>1639</v>
      </c>
      <c r="K69" s="78"/>
      <c r="N69">
        <v>16</v>
      </c>
      <c r="O69"/>
      <c r="P69" t="s">
        <v>1654</v>
      </c>
      <c r="R69" s="87"/>
      <c r="S69" s="87"/>
    </row>
    <row r="70" spans="2:19" hidden="1" x14ac:dyDescent="0.25">
      <c r="B70" s="3" t="s">
        <v>1440</v>
      </c>
      <c r="C70" s="3" t="s">
        <v>42</v>
      </c>
      <c r="D70" s="3" t="s">
        <v>1330</v>
      </c>
      <c r="E70" s="3" t="s">
        <v>106</v>
      </c>
      <c r="F70" s="3" t="s">
        <v>127</v>
      </c>
      <c r="G70" s="6">
        <v>10106.25</v>
      </c>
      <c r="H70" s="6">
        <f t="shared" si="2"/>
        <v>1541.6313559322025</v>
      </c>
      <c r="I70" s="3" t="s">
        <v>113</v>
      </c>
      <c r="O70"/>
      <c r="P70"/>
      <c r="R70" s="87"/>
      <c r="S70" s="87"/>
    </row>
    <row r="71" spans="2:19" hidden="1" x14ac:dyDescent="0.25">
      <c r="B71" s="3" t="s">
        <v>949</v>
      </c>
      <c r="C71" s="3" t="s">
        <v>96</v>
      </c>
      <c r="D71" s="3" t="s">
        <v>947</v>
      </c>
      <c r="E71" s="3" t="s">
        <v>110</v>
      </c>
      <c r="F71" s="3" t="s">
        <v>139</v>
      </c>
      <c r="G71" s="6">
        <v>948.5</v>
      </c>
      <c r="H71" s="6">
        <f t="shared" si="2"/>
        <v>144.68644067796606</v>
      </c>
      <c r="I71" s="3" t="s">
        <v>18</v>
      </c>
      <c r="J71" t="s">
        <v>1708</v>
      </c>
      <c r="O71"/>
      <c r="P71" t="s">
        <v>1593</v>
      </c>
      <c r="R71" s="87"/>
      <c r="S71" s="87"/>
    </row>
    <row r="72" spans="2:19" hidden="1" x14ac:dyDescent="0.25">
      <c r="B72" s="3" t="s">
        <v>1178</v>
      </c>
      <c r="C72" s="3" t="s">
        <v>4</v>
      </c>
      <c r="D72" s="3" t="s">
        <v>1149</v>
      </c>
      <c r="E72" s="3" t="s">
        <v>110</v>
      </c>
      <c r="F72" s="3" t="s">
        <v>139</v>
      </c>
      <c r="G72" s="6">
        <v>418.25</v>
      </c>
      <c r="H72" s="6">
        <f t="shared" si="2"/>
        <v>63.800847457627128</v>
      </c>
      <c r="I72" s="3" t="s">
        <v>113</v>
      </c>
      <c r="O72"/>
      <c r="P72"/>
      <c r="R72" s="87"/>
      <c r="S72" s="87"/>
    </row>
    <row r="73" spans="2:19" hidden="1" x14ac:dyDescent="0.25">
      <c r="B73" s="3" t="s">
        <v>1186</v>
      </c>
      <c r="C73" s="3" t="s">
        <v>4</v>
      </c>
      <c r="D73" s="3" t="s">
        <v>1157</v>
      </c>
      <c r="E73" s="3" t="s">
        <v>110</v>
      </c>
      <c r="F73" s="3" t="s">
        <v>139</v>
      </c>
      <c r="G73" s="6">
        <v>5535.25</v>
      </c>
      <c r="H73" s="6">
        <f t="shared" si="2"/>
        <v>844.36016949152508</v>
      </c>
      <c r="I73" s="3" t="s">
        <v>113</v>
      </c>
      <c r="O73"/>
      <c r="P73"/>
      <c r="R73" s="87"/>
      <c r="S73" s="87"/>
    </row>
    <row r="74" spans="2:19" hidden="1" x14ac:dyDescent="0.25">
      <c r="B74" s="3" t="s">
        <v>1202</v>
      </c>
      <c r="C74" s="3" t="s">
        <v>4</v>
      </c>
      <c r="D74" s="8" t="s">
        <v>1279</v>
      </c>
      <c r="E74" s="8" t="s">
        <v>110</v>
      </c>
      <c r="F74" s="3" t="s">
        <v>139</v>
      </c>
      <c r="G74" s="6">
        <v>495.25</v>
      </c>
      <c r="H74" s="6">
        <f t="shared" si="2"/>
        <v>75.546610169491487</v>
      </c>
      <c r="I74" s="3" t="s">
        <v>113</v>
      </c>
      <c r="O74"/>
      <c r="P74"/>
      <c r="R74" s="87"/>
      <c r="S74" s="87"/>
    </row>
    <row r="75" spans="2:19" hidden="1" x14ac:dyDescent="0.25">
      <c r="B75" s="3" t="s">
        <v>1204</v>
      </c>
      <c r="C75" s="3" t="s">
        <v>17</v>
      </c>
      <c r="D75" s="3" t="s">
        <v>1280</v>
      </c>
      <c r="E75" s="3" t="s">
        <v>110</v>
      </c>
      <c r="F75" s="3" t="s">
        <v>139</v>
      </c>
      <c r="G75" s="6">
        <v>1506.75</v>
      </c>
      <c r="H75" s="6">
        <f t="shared" si="2"/>
        <v>229.84322033898297</v>
      </c>
      <c r="I75" s="3" t="s">
        <v>113</v>
      </c>
      <c r="J75" s="18"/>
      <c r="O75"/>
      <c r="P75"/>
      <c r="R75" s="87"/>
      <c r="S75" s="87"/>
    </row>
    <row r="76" spans="2:19" hidden="1" x14ac:dyDescent="0.25">
      <c r="B76" s="3" t="s">
        <v>1222</v>
      </c>
      <c r="C76" s="3" t="s">
        <v>4</v>
      </c>
      <c r="D76" s="3" t="s">
        <v>1296</v>
      </c>
      <c r="E76" s="3" t="s">
        <v>110</v>
      </c>
      <c r="F76" s="3" t="s">
        <v>139</v>
      </c>
      <c r="G76" s="6">
        <v>5299</v>
      </c>
      <c r="H76" s="6">
        <f t="shared" si="2"/>
        <v>808.32203389830465</v>
      </c>
      <c r="I76" s="3" t="s">
        <v>113</v>
      </c>
      <c r="O76"/>
      <c r="P76"/>
      <c r="R76" s="87"/>
      <c r="S76" s="87"/>
    </row>
    <row r="77" spans="2:19" hidden="1" x14ac:dyDescent="0.25">
      <c r="B77" s="3" t="s">
        <v>1616</v>
      </c>
      <c r="C77" s="3" t="s">
        <v>93</v>
      </c>
      <c r="D77" s="3" t="s">
        <v>1617</v>
      </c>
      <c r="E77" s="3" t="s">
        <v>75</v>
      </c>
      <c r="F77" s="3" t="s">
        <v>126</v>
      </c>
      <c r="G77" s="6">
        <v>350000</v>
      </c>
      <c r="H77" s="6">
        <f t="shared" si="2"/>
        <v>53389.830508474552</v>
      </c>
      <c r="I77" s="3" t="s">
        <v>18</v>
      </c>
      <c r="O77"/>
      <c r="P77"/>
      <c r="R77" s="87"/>
      <c r="S77" s="87"/>
    </row>
    <row r="78" spans="2:19" hidden="1" x14ac:dyDescent="0.25">
      <c r="B78" s="3" t="s">
        <v>1226</v>
      </c>
      <c r="C78" s="3" t="s">
        <v>17</v>
      </c>
      <c r="D78" s="3" t="s">
        <v>1300</v>
      </c>
      <c r="E78" s="3" t="s">
        <v>110</v>
      </c>
      <c r="F78" s="3" t="s">
        <v>127</v>
      </c>
      <c r="G78" s="6">
        <v>10995.25</v>
      </c>
      <c r="H78" s="6">
        <f t="shared" si="2"/>
        <v>1677.2415254237276</v>
      </c>
      <c r="I78" s="3" t="s">
        <v>113</v>
      </c>
      <c r="J78" s="77"/>
      <c r="K78" s="5"/>
      <c r="O78"/>
      <c r="P78"/>
      <c r="R78" s="87"/>
      <c r="S78" s="87"/>
    </row>
    <row r="79" spans="2:19" hidden="1" x14ac:dyDescent="0.25">
      <c r="B79" s="3" t="s">
        <v>1616</v>
      </c>
      <c r="C79" s="3" t="s">
        <v>93</v>
      </c>
      <c r="D79" s="3" t="s">
        <v>1617</v>
      </c>
      <c r="E79" s="3" t="s">
        <v>75</v>
      </c>
      <c r="F79" s="3" t="s">
        <v>139</v>
      </c>
      <c r="G79" s="6">
        <v>350000</v>
      </c>
      <c r="H79" s="6">
        <f t="shared" si="2"/>
        <v>53389.830508474552</v>
      </c>
      <c r="I79" s="3" t="s">
        <v>18</v>
      </c>
      <c r="O79"/>
      <c r="P79"/>
      <c r="R79" s="87"/>
      <c r="S79" s="87"/>
    </row>
    <row r="80" spans="2:19" hidden="1" x14ac:dyDescent="0.25">
      <c r="B80" s="3" t="s">
        <v>474</v>
      </c>
      <c r="C80" s="3" t="s">
        <v>94</v>
      </c>
      <c r="D80" s="3" t="s">
        <v>472</v>
      </c>
      <c r="E80" s="3" t="s">
        <v>141</v>
      </c>
      <c r="F80" s="3" t="s">
        <v>111</v>
      </c>
      <c r="G80" s="6">
        <v>291620</v>
      </c>
      <c r="H80" s="6">
        <f t="shared" si="2"/>
        <v>44484.406779661018</v>
      </c>
      <c r="I80" s="3" t="s">
        <v>18</v>
      </c>
      <c r="J80" s="97"/>
      <c r="K80" s="5"/>
      <c r="R80" s="87"/>
      <c r="S80" s="87"/>
    </row>
    <row r="81" spans="2:19" hidden="1" x14ac:dyDescent="0.25">
      <c r="B81" s="3" t="s">
        <v>474</v>
      </c>
      <c r="C81" s="3" t="s">
        <v>94</v>
      </c>
      <c r="D81" s="3" t="s">
        <v>472</v>
      </c>
      <c r="E81" s="3" t="s">
        <v>141</v>
      </c>
      <c r="F81" s="3" t="s">
        <v>121</v>
      </c>
      <c r="G81" s="6">
        <v>188255.33</v>
      </c>
      <c r="H81" s="6">
        <f t="shared" si="2"/>
        <v>28716.914745762711</v>
      </c>
      <c r="I81" s="3" t="s">
        <v>18</v>
      </c>
      <c r="O81"/>
      <c r="P81"/>
      <c r="R81" s="87"/>
      <c r="S81" s="87"/>
    </row>
    <row r="82" spans="2:19" hidden="1" x14ac:dyDescent="0.25">
      <c r="B82" s="3" t="s">
        <v>795</v>
      </c>
      <c r="C82" s="3" t="s">
        <v>56</v>
      </c>
      <c r="D82" s="3" t="s">
        <v>873</v>
      </c>
      <c r="E82" s="3" t="s">
        <v>117</v>
      </c>
      <c r="F82" s="3" t="s">
        <v>127</v>
      </c>
      <c r="G82" s="6">
        <v>12769.75</v>
      </c>
      <c r="H82" s="6">
        <f t="shared" si="2"/>
        <v>1947.9279661016935</v>
      </c>
      <c r="I82" s="3" t="s">
        <v>113</v>
      </c>
      <c r="J82" s="18"/>
      <c r="O82"/>
      <c r="P82"/>
      <c r="R82" s="87"/>
      <c r="S82" s="87"/>
    </row>
    <row r="83" spans="2:19" hidden="1" x14ac:dyDescent="0.25">
      <c r="B83" s="3" t="s">
        <v>910</v>
      </c>
      <c r="C83" s="3" t="s">
        <v>140</v>
      </c>
      <c r="D83" s="3" t="s">
        <v>907</v>
      </c>
      <c r="E83" s="3" t="s">
        <v>141</v>
      </c>
      <c r="F83" s="3" t="s">
        <v>139</v>
      </c>
      <c r="G83" s="6">
        <v>200000</v>
      </c>
      <c r="H83" s="6">
        <f t="shared" si="2"/>
        <v>30508.474576271168</v>
      </c>
      <c r="I83" s="3" t="s">
        <v>113</v>
      </c>
      <c r="O83"/>
      <c r="P83"/>
      <c r="R83" s="87"/>
      <c r="S83" s="87"/>
    </row>
    <row r="84" spans="2:19" hidden="1" x14ac:dyDescent="0.25">
      <c r="B84" s="3" t="s">
        <v>919</v>
      </c>
      <c r="C84" s="3" t="s">
        <v>50</v>
      </c>
      <c r="D84" s="3" t="s">
        <v>915</v>
      </c>
      <c r="E84" s="3" t="s">
        <v>141</v>
      </c>
      <c r="F84" s="3" t="s">
        <v>129</v>
      </c>
      <c r="G84" s="6">
        <v>100000</v>
      </c>
      <c r="H84" s="6">
        <f t="shared" si="2"/>
        <v>15254.237288135584</v>
      </c>
      <c r="I84" s="3" t="s">
        <v>18</v>
      </c>
      <c r="O84"/>
      <c r="P84"/>
      <c r="R84" s="87"/>
      <c r="S84" s="87"/>
    </row>
    <row r="85" spans="2:19" hidden="1" x14ac:dyDescent="0.25">
      <c r="B85" s="3" t="s">
        <v>713</v>
      </c>
      <c r="C85" s="3" t="s">
        <v>94</v>
      </c>
      <c r="D85" s="3" t="s">
        <v>714</v>
      </c>
      <c r="E85" s="3" t="s">
        <v>90</v>
      </c>
      <c r="F85" s="3" t="s">
        <v>133</v>
      </c>
      <c r="G85" s="6">
        <v>564342</v>
      </c>
      <c r="H85" s="86">
        <f t="shared" si="2"/>
        <v>86086.067796610121</v>
      </c>
      <c r="I85" s="3" t="s">
        <v>18</v>
      </c>
      <c r="O85"/>
      <c r="P85"/>
      <c r="R85" s="87"/>
      <c r="S85" s="87"/>
    </row>
    <row r="86" spans="2:19" hidden="1" x14ac:dyDescent="0.25">
      <c r="B86" s="3" t="s">
        <v>1494</v>
      </c>
      <c r="C86" s="3" t="s">
        <v>40</v>
      </c>
      <c r="D86" s="3" t="s">
        <v>1382</v>
      </c>
      <c r="E86" s="3" t="s">
        <v>90</v>
      </c>
      <c r="F86" s="3" t="s">
        <v>126</v>
      </c>
      <c r="G86" s="6">
        <v>450000</v>
      </c>
      <c r="H86" s="6">
        <f t="shared" si="2"/>
        <v>68644.067796610121</v>
      </c>
      <c r="I86" s="3" t="s">
        <v>113</v>
      </c>
      <c r="O86"/>
      <c r="P86"/>
      <c r="R86" s="87"/>
      <c r="S86" s="87"/>
    </row>
    <row r="87" spans="2:19" hidden="1" x14ac:dyDescent="0.25">
      <c r="B87" s="3" t="s">
        <v>1432</v>
      </c>
      <c r="C87" s="3" t="s">
        <v>41</v>
      </c>
      <c r="D87" s="3" t="s">
        <v>1322</v>
      </c>
      <c r="E87" s="3" t="s">
        <v>90</v>
      </c>
      <c r="F87" s="3" t="s">
        <v>127</v>
      </c>
      <c r="G87" s="6">
        <v>450000</v>
      </c>
      <c r="H87" s="6">
        <f t="shared" si="2"/>
        <v>68644.067796610121</v>
      </c>
      <c r="I87" s="3" t="s">
        <v>113</v>
      </c>
      <c r="O87"/>
      <c r="P87"/>
      <c r="R87" s="87"/>
      <c r="S87" s="87"/>
    </row>
    <row r="88" spans="2:19" hidden="1" x14ac:dyDescent="0.25">
      <c r="B88" s="3" t="s">
        <v>713</v>
      </c>
      <c r="C88" s="3" t="s">
        <v>94</v>
      </c>
      <c r="D88" s="3" t="s">
        <v>714</v>
      </c>
      <c r="E88" s="3" t="s">
        <v>90</v>
      </c>
      <c r="F88" s="3" t="s">
        <v>124</v>
      </c>
      <c r="G88" s="6">
        <v>430000</v>
      </c>
      <c r="H88" s="6">
        <f t="shared" si="2"/>
        <v>65593.220338983054</v>
      </c>
      <c r="I88" s="6" t="s">
        <v>18</v>
      </c>
      <c r="R88" s="87"/>
      <c r="S88" s="87"/>
    </row>
    <row r="89" spans="2:19" hidden="1" x14ac:dyDescent="0.25">
      <c r="B89" s="3" t="s">
        <v>1441</v>
      </c>
      <c r="C89" s="3" t="s">
        <v>42</v>
      </c>
      <c r="D89" s="3" t="s">
        <v>1331</v>
      </c>
      <c r="E89" s="3" t="s">
        <v>90</v>
      </c>
      <c r="F89" s="3" t="s">
        <v>129</v>
      </c>
      <c r="G89" s="6">
        <v>400000</v>
      </c>
      <c r="H89" s="6">
        <f t="shared" si="2"/>
        <v>61016.949152542336</v>
      </c>
      <c r="I89" s="3" t="s">
        <v>113</v>
      </c>
      <c r="J89" s="16"/>
      <c r="K89" s="5"/>
      <c r="O89"/>
      <c r="P89"/>
      <c r="R89" s="87"/>
      <c r="S89" s="87"/>
    </row>
    <row r="90" spans="2:19" hidden="1" x14ac:dyDescent="0.25">
      <c r="B90" s="3" t="s">
        <v>1445</v>
      </c>
      <c r="C90" s="3" t="s">
        <v>41</v>
      </c>
      <c r="D90" s="3" t="s">
        <v>1335</v>
      </c>
      <c r="E90" s="3" t="s">
        <v>90</v>
      </c>
      <c r="F90" s="3" t="s">
        <v>139</v>
      </c>
      <c r="G90" s="6">
        <v>380000</v>
      </c>
      <c r="H90" s="6">
        <f t="shared" si="2"/>
        <v>57966.101694915211</v>
      </c>
      <c r="I90" s="3" t="s">
        <v>113</v>
      </c>
      <c r="O90"/>
      <c r="P90"/>
      <c r="R90" s="87"/>
      <c r="S90" s="87"/>
    </row>
    <row r="91" spans="2:19" hidden="1" x14ac:dyDescent="0.25">
      <c r="B91" s="3" t="s">
        <v>1515</v>
      </c>
      <c r="C91" s="3" t="s">
        <v>94</v>
      </c>
      <c r="D91" s="3" t="s">
        <v>261</v>
      </c>
      <c r="E91" s="3" t="s">
        <v>90</v>
      </c>
      <c r="F91" s="3" t="s">
        <v>126</v>
      </c>
      <c r="G91" s="6">
        <v>320000</v>
      </c>
      <c r="H91" s="6">
        <f t="shared" si="2"/>
        <v>48813.559322033892</v>
      </c>
      <c r="I91" s="3" t="s">
        <v>18</v>
      </c>
      <c r="O91"/>
      <c r="P91"/>
      <c r="R91" s="87"/>
      <c r="S91" s="87"/>
    </row>
    <row r="92" spans="2:19" hidden="1" x14ac:dyDescent="0.25">
      <c r="B92" s="3" t="s">
        <v>1526</v>
      </c>
      <c r="C92" s="3" t="s">
        <v>40</v>
      </c>
      <c r="D92" s="3" t="s">
        <v>1650</v>
      </c>
      <c r="E92" s="3" t="s">
        <v>90</v>
      </c>
      <c r="F92" s="3" t="s">
        <v>139</v>
      </c>
      <c r="G92" s="6">
        <v>300000</v>
      </c>
      <c r="H92" s="6">
        <f t="shared" si="2"/>
        <v>45762.711864406767</v>
      </c>
      <c r="I92" s="3" t="s">
        <v>18</v>
      </c>
      <c r="O92"/>
      <c r="P92"/>
      <c r="R92" s="87"/>
      <c r="S92" s="87"/>
    </row>
    <row r="93" spans="2:19" hidden="1" x14ac:dyDescent="0.25">
      <c r="B93" s="3" t="s">
        <v>1526</v>
      </c>
      <c r="C93" s="3" t="s">
        <v>40</v>
      </c>
      <c r="D93" s="3" t="s">
        <v>1650</v>
      </c>
      <c r="E93" s="3" t="s">
        <v>90</v>
      </c>
      <c r="F93" s="3" t="s">
        <v>127</v>
      </c>
      <c r="G93" s="6">
        <v>300000</v>
      </c>
      <c r="H93" s="6">
        <f t="shared" si="2"/>
        <v>45762.711864406767</v>
      </c>
      <c r="I93" s="3" t="s">
        <v>18</v>
      </c>
      <c r="J93" s="18"/>
      <c r="O93"/>
      <c r="P93"/>
      <c r="R93" s="87"/>
      <c r="S93" s="87"/>
    </row>
    <row r="94" spans="2:19" hidden="1" x14ac:dyDescent="0.25">
      <c r="B94" s="3" t="s">
        <v>1428</v>
      </c>
      <c r="C94" s="3" t="s">
        <v>43</v>
      </c>
      <c r="D94" s="3" t="s">
        <v>1318</v>
      </c>
      <c r="E94" s="3" t="s">
        <v>90</v>
      </c>
      <c r="F94" s="3" t="s">
        <v>131</v>
      </c>
      <c r="G94" s="6">
        <v>300000</v>
      </c>
      <c r="H94" s="6">
        <f t="shared" si="2"/>
        <v>45762.711864406767</v>
      </c>
      <c r="I94" s="3" t="s">
        <v>113</v>
      </c>
      <c r="J94" s="18"/>
      <c r="O94"/>
      <c r="P94"/>
      <c r="R94" s="87"/>
      <c r="S94" s="87"/>
    </row>
    <row r="95" spans="2:19" hidden="1" x14ac:dyDescent="0.25">
      <c r="B95" s="3" t="s">
        <v>1046</v>
      </c>
      <c r="C95" s="3" t="s">
        <v>94</v>
      </c>
      <c r="D95" s="3" t="s">
        <v>1103</v>
      </c>
      <c r="E95" s="3" t="s">
        <v>90</v>
      </c>
      <c r="F95" s="3" t="s">
        <v>133</v>
      </c>
      <c r="G95" s="6">
        <v>300000</v>
      </c>
      <c r="H95" s="29">
        <f t="shared" si="2"/>
        <v>45762.711864406767</v>
      </c>
      <c r="I95" s="3" t="s">
        <v>18</v>
      </c>
      <c r="J95" s="18"/>
      <c r="O95"/>
      <c r="P95"/>
      <c r="R95" s="87"/>
      <c r="S95" s="87"/>
    </row>
    <row r="96" spans="2:19" hidden="1" x14ac:dyDescent="0.25">
      <c r="B96" s="3" t="s">
        <v>294</v>
      </c>
      <c r="C96" s="3" t="s">
        <v>40</v>
      </c>
      <c r="D96" s="3" t="s">
        <v>292</v>
      </c>
      <c r="E96" s="3" t="s">
        <v>90</v>
      </c>
      <c r="F96" s="3" t="s">
        <v>124</v>
      </c>
      <c r="G96" s="6">
        <f>276000+N("წეროვანი")</f>
        <v>276000</v>
      </c>
      <c r="H96" s="6">
        <f t="shared" si="2"/>
        <v>42101.694915254222</v>
      </c>
      <c r="I96" s="6" t="s">
        <v>18</v>
      </c>
      <c r="J96" s="18"/>
      <c r="R96" s="87"/>
      <c r="S96" s="87"/>
    </row>
    <row r="97" spans="2:19" hidden="1" x14ac:dyDescent="0.25">
      <c r="B97" s="3" t="s">
        <v>1516</v>
      </c>
      <c r="C97" s="3" t="s">
        <v>94</v>
      </c>
      <c r="D97" s="3" t="s">
        <v>270</v>
      </c>
      <c r="E97" s="3" t="s">
        <v>90</v>
      </c>
      <c r="F97" s="3" t="s">
        <v>126</v>
      </c>
      <c r="G97" s="6">
        <v>205000</v>
      </c>
      <c r="H97" s="6">
        <f t="shared" si="2"/>
        <v>31271.186440677964</v>
      </c>
      <c r="I97" s="3" t="s">
        <v>18</v>
      </c>
      <c r="J97" s="18"/>
      <c r="O97"/>
      <c r="P97"/>
      <c r="R97" s="87"/>
      <c r="S97" s="87"/>
    </row>
    <row r="98" spans="2:19" hidden="1" x14ac:dyDescent="0.25">
      <c r="B98" s="3" t="s">
        <v>1526</v>
      </c>
      <c r="C98" s="3" t="s">
        <v>40</v>
      </c>
      <c r="D98" s="3" t="s">
        <v>1651</v>
      </c>
      <c r="E98" s="3" t="s">
        <v>90</v>
      </c>
      <c r="F98" s="3" t="s">
        <v>127</v>
      </c>
      <c r="G98" s="6">
        <v>200000</v>
      </c>
      <c r="H98" s="6">
        <f t="shared" si="2"/>
        <v>30508.474576271168</v>
      </c>
      <c r="I98" s="3" t="s">
        <v>18</v>
      </c>
      <c r="O98"/>
      <c r="P98"/>
      <c r="R98" s="87"/>
      <c r="S98" s="87"/>
    </row>
    <row r="99" spans="2:19" hidden="1" x14ac:dyDescent="0.25">
      <c r="B99" s="3" t="s">
        <v>1445</v>
      </c>
      <c r="C99" s="3" t="s">
        <v>41</v>
      </c>
      <c r="D99" s="3" t="s">
        <v>1335</v>
      </c>
      <c r="E99" s="3" t="s">
        <v>90</v>
      </c>
      <c r="F99" s="3" t="s">
        <v>129</v>
      </c>
      <c r="G99" s="6">
        <v>200000</v>
      </c>
      <c r="H99" s="6">
        <f t="shared" si="2"/>
        <v>30508.474576271168</v>
      </c>
      <c r="I99" s="3" t="s">
        <v>113</v>
      </c>
      <c r="J99" s="16"/>
      <c r="K99" s="5"/>
      <c r="N99" s="79"/>
      <c r="O99"/>
      <c r="P99"/>
      <c r="R99" s="87"/>
      <c r="S99" s="87"/>
    </row>
    <row r="100" spans="2:19" hidden="1" x14ac:dyDescent="0.25">
      <c r="B100" s="3" t="s">
        <v>1453</v>
      </c>
      <c r="C100" s="3" t="s">
        <v>40</v>
      </c>
      <c r="D100" s="3" t="s">
        <v>1343</v>
      </c>
      <c r="E100" s="3" t="s">
        <v>90</v>
      </c>
      <c r="F100" s="3" t="s">
        <v>133</v>
      </c>
      <c r="G100" s="6">
        <v>200000</v>
      </c>
      <c r="H100" s="29">
        <f t="shared" si="2"/>
        <v>30508.474576271168</v>
      </c>
      <c r="I100" s="3" t="s">
        <v>113</v>
      </c>
      <c r="O100"/>
      <c r="P100"/>
      <c r="R100" s="87"/>
      <c r="S100" s="87"/>
    </row>
    <row r="101" spans="2:19" hidden="1" x14ac:dyDescent="0.25">
      <c r="B101" s="3" t="s">
        <v>265</v>
      </c>
      <c r="C101" s="3" t="s">
        <v>94</v>
      </c>
      <c r="D101" s="3" t="s">
        <v>274</v>
      </c>
      <c r="E101" s="3" t="s">
        <v>90</v>
      </c>
      <c r="F101" s="3" t="s">
        <v>124</v>
      </c>
      <c r="G101" s="6">
        <v>191383.97</v>
      </c>
      <c r="H101" s="6">
        <f t="shared" si="2"/>
        <v>29194.164915254223</v>
      </c>
      <c r="I101" s="6" t="s">
        <v>18</v>
      </c>
      <c r="K101" s="77"/>
      <c r="R101" s="87"/>
      <c r="S101" s="87"/>
    </row>
    <row r="102" spans="2:19" hidden="1" x14ac:dyDescent="0.25">
      <c r="B102" s="3" t="s">
        <v>1432</v>
      </c>
      <c r="C102" s="3" t="s">
        <v>41</v>
      </c>
      <c r="D102" s="3" t="s">
        <v>1322</v>
      </c>
      <c r="E102" s="3" t="s">
        <v>90</v>
      </c>
      <c r="F102" s="3" t="s">
        <v>131</v>
      </c>
      <c r="G102" s="6">
        <v>180000</v>
      </c>
      <c r="H102" s="6">
        <f t="shared" ref="H102:H165" si="3">G102-G102/1.18</f>
        <v>27457.627118644072</v>
      </c>
      <c r="I102" s="3" t="s">
        <v>113</v>
      </c>
      <c r="J102" s="18"/>
      <c r="O102"/>
      <c r="P102"/>
      <c r="R102" s="87"/>
      <c r="S102" s="87"/>
    </row>
    <row r="103" spans="2:19" hidden="1" x14ac:dyDescent="0.25">
      <c r="B103" s="3" t="s">
        <v>1511</v>
      </c>
      <c r="C103" s="3" t="s">
        <v>1681</v>
      </c>
      <c r="D103" s="3" t="s">
        <v>255</v>
      </c>
      <c r="E103" s="3" t="s">
        <v>90</v>
      </c>
      <c r="F103" s="3" t="s">
        <v>127</v>
      </c>
      <c r="G103" s="6">
        <v>160000</v>
      </c>
      <c r="H103" s="6">
        <f t="shared" si="3"/>
        <v>24406.779661016946</v>
      </c>
      <c r="I103" s="3" t="s">
        <v>18</v>
      </c>
      <c r="O103"/>
      <c r="P103"/>
      <c r="R103" s="87"/>
      <c r="S103" s="87"/>
    </row>
    <row r="104" spans="2:19" hidden="1" x14ac:dyDescent="0.25">
      <c r="B104" s="3" t="s">
        <v>301</v>
      </c>
      <c r="C104" s="3" t="s">
        <v>132</v>
      </c>
      <c r="D104" s="1" t="s">
        <v>320</v>
      </c>
      <c r="E104" s="3" t="s">
        <v>90</v>
      </c>
      <c r="F104" s="3" t="s">
        <v>120</v>
      </c>
      <c r="G104" s="6">
        <v>143959.13</v>
      </c>
      <c r="H104" s="6">
        <f t="shared" si="3"/>
        <v>21959.867288135589</v>
      </c>
      <c r="I104" s="6" t="s">
        <v>18</v>
      </c>
      <c r="J104" s="70"/>
      <c r="O104"/>
      <c r="P104"/>
      <c r="R104" s="87"/>
      <c r="S104" s="87"/>
    </row>
    <row r="105" spans="2:19" hidden="1" x14ac:dyDescent="0.25">
      <c r="B105" s="3" t="s">
        <v>267</v>
      </c>
      <c r="C105" s="3" t="s">
        <v>94</v>
      </c>
      <c r="D105" s="3" t="s">
        <v>278</v>
      </c>
      <c r="E105" s="3" t="s">
        <v>90</v>
      </c>
      <c r="F105" s="3" t="s">
        <v>124</v>
      </c>
      <c r="G105" s="6">
        <v>143371.09</v>
      </c>
      <c r="H105" s="6">
        <f t="shared" si="3"/>
        <v>21870.166271186434</v>
      </c>
      <c r="I105" s="6" t="s">
        <v>18</v>
      </c>
      <c r="R105" s="87"/>
      <c r="S105" s="87"/>
    </row>
    <row r="106" spans="2:19" hidden="1" x14ac:dyDescent="0.25">
      <c r="B106" s="3" t="s">
        <v>253</v>
      </c>
      <c r="C106" s="3" t="s">
        <v>99</v>
      </c>
      <c r="D106" s="3" t="s">
        <v>255</v>
      </c>
      <c r="E106" s="3" t="s">
        <v>90</v>
      </c>
      <c r="F106" s="3" t="s">
        <v>124</v>
      </c>
      <c r="G106" s="6">
        <v>130000</v>
      </c>
      <c r="H106" s="6">
        <f t="shared" si="3"/>
        <v>19830.508474576272</v>
      </c>
      <c r="I106" s="6" t="s">
        <v>18</v>
      </c>
      <c r="R106" s="87"/>
      <c r="S106" s="87"/>
    </row>
    <row r="107" spans="2:19" hidden="1" x14ac:dyDescent="0.25">
      <c r="B107" s="3" t="s">
        <v>1447</v>
      </c>
      <c r="C107" s="3" t="s">
        <v>42</v>
      </c>
      <c r="D107" s="3" t="s">
        <v>1337</v>
      </c>
      <c r="E107" s="3" t="s">
        <v>90</v>
      </c>
      <c r="F107" s="3" t="s">
        <v>131</v>
      </c>
      <c r="G107" s="6">
        <v>130000</v>
      </c>
      <c r="H107" s="6">
        <f t="shared" si="3"/>
        <v>19830.508474576272</v>
      </c>
      <c r="I107" s="3" t="s">
        <v>113</v>
      </c>
      <c r="O107"/>
      <c r="P107"/>
      <c r="R107" s="87"/>
      <c r="S107" s="87"/>
    </row>
    <row r="108" spans="2:19" hidden="1" x14ac:dyDescent="0.25">
      <c r="B108" s="3" t="s">
        <v>294</v>
      </c>
      <c r="C108" s="3" t="s">
        <v>40</v>
      </c>
      <c r="D108" s="3" t="s">
        <v>292</v>
      </c>
      <c r="E108" s="3" t="s">
        <v>90</v>
      </c>
      <c r="F108" s="3" t="s">
        <v>124</v>
      </c>
      <c r="G108" s="6">
        <f>124000+N("ფრეზეთი")</f>
        <v>124000</v>
      </c>
      <c r="H108" s="6">
        <f t="shared" si="3"/>
        <v>18915.254237288129</v>
      </c>
      <c r="I108" s="6" t="s">
        <v>18</v>
      </c>
      <c r="R108" s="87"/>
      <c r="S108" s="87"/>
    </row>
    <row r="109" spans="2:19" hidden="1" x14ac:dyDescent="0.25">
      <c r="B109" s="3" t="s">
        <v>578</v>
      </c>
      <c r="C109" s="3" t="s">
        <v>40</v>
      </c>
      <c r="D109" s="8" t="s">
        <v>641</v>
      </c>
      <c r="E109" s="3" t="s">
        <v>90</v>
      </c>
      <c r="F109" s="3" t="s">
        <v>120</v>
      </c>
      <c r="G109" s="6">
        <v>121694.84</v>
      </c>
      <c r="H109" s="6">
        <f t="shared" si="3"/>
        <v>18563.619661016943</v>
      </c>
      <c r="I109" s="3" t="s">
        <v>113</v>
      </c>
      <c r="O109"/>
      <c r="P109"/>
      <c r="R109" s="87"/>
      <c r="S109" s="87"/>
    </row>
    <row r="110" spans="2:19" hidden="1" x14ac:dyDescent="0.25">
      <c r="B110" s="3" t="s">
        <v>230</v>
      </c>
      <c r="C110" s="3" t="s">
        <v>42</v>
      </c>
      <c r="D110" s="3" t="s">
        <v>242</v>
      </c>
      <c r="E110" s="3" t="s">
        <v>90</v>
      </c>
      <c r="F110" s="3" t="s">
        <v>124</v>
      </c>
      <c r="G110" s="6">
        <v>108334.6</v>
      </c>
      <c r="H110" s="6">
        <f t="shared" si="3"/>
        <v>16525.616949152536</v>
      </c>
      <c r="I110" s="3" t="s">
        <v>113</v>
      </c>
      <c r="R110" s="87"/>
      <c r="S110" s="87"/>
    </row>
    <row r="111" spans="2:19" hidden="1" x14ac:dyDescent="0.25">
      <c r="B111" s="3" t="s">
        <v>1526</v>
      </c>
      <c r="C111" s="3" t="s">
        <v>40</v>
      </c>
      <c r="D111" s="3" t="s">
        <v>1651</v>
      </c>
      <c r="E111" s="3" t="s">
        <v>90</v>
      </c>
      <c r="F111" s="3" t="s">
        <v>139</v>
      </c>
      <c r="G111" s="6">
        <v>100000</v>
      </c>
      <c r="H111" s="6">
        <f t="shared" si="3"/>
        <v>15254.237288135584</v>
      </c>
      <c r="I111" s="3" t="s">
        <v>18</v>
      </c>
      <c r="O111"/>
      <c r="P111"/>
      <c r="R111" s="87"/>
      <c r="S111" s="87"/>
    </row>
    <row r="112" spans="2:19" hidden="1" x14ac:dyDescent="0.25">
      <c r="B112" s="3" t="s">
        <v>1067</v>
      </c>
      <c r="C112" s="3" t="s">
        <v>94</v>
      </c>
      <c r="D112" s="3" t="s">
        <v>1123</v>
      </c>
      <c r="E112" s="3" t="s">
        <v>90</v>
      </c>
      <c r="F112" s="3" t="s">
        <v>129</v>
      </c>
      <c r="G112" s="6">
        <v>100000</v>
      </c>
      <c r="H112" s="6">
        <f t="shared" si="3"/>
        <v>15254.237288135584</v>
      </c>
      <c r="I112" s="3" t="s">
        <v>18</v>
      </c>
      <c r="J112" s="16"/>
      <c r="O112"/>
      <c r="P112"/>
      <c r="R112" s="87"/>
      <c r="S112" s="87"/>
    </row>
    <row r="113" spans="2:19" hidden="1" x14ac:dyDescent="0.25">
      <c r="B113" s="3" t="s">
        <v>1048</v>
      </c>
      <c r="C113" s="3" t="s">
        <v>94</v>
      </c>
      <c r="D113" s="3" t="s">
        <v>1105</v>
      </c>
      <c r="E113" s="3" t="s">
        <v>90</v>
      </c>
      <c r="F113" s="3" t="s">
        <v>129</v>
      </c>
      <c r="G113" s="6">
        <v>100000</v>
      </c>
      <c r="H113" s="6">
        <f t="shared" si="3"/>
        <v>15254.237288135584</v>
      </c>
      <c r="I113" s="3" t="s">
        <v>18</v>
      </c>
      <c r="J113" s="16"/>
      <c r="O113"/>
      <c r="P113"/>
      <c r="R113" s="87"/>
      <c r="S113" s="87"/>
    </row>
    <row r="114" spans="2:19" hidden="1" x14ac:dyDescent="0.25">
      <c r="B114" s="3" t="s">
        <v>1521</v>
      </c>
      <c r="C114" s="3" t="s">
        <v>94</v>
      </c>
      <c r="D114" s="3" t="s">
        <v>280</v>
      </c>
      <c r="E114" s="3" t="s">
        <v>90</v>
      </c>
      <c r="F114" s="3" t="s">
        <v>127</v>
      </c>
      <c r="G114" s="6">
        <v>85000</v>
      </c>
      <c r="H114" s="6">
        <f t="shared" si="3"/>
        <v>12966.101694915254</v>
      </c>
      <c r="I114" s="3" t="s">
        <v>18</v>
      </c>
      <c r="O114"/>
      <c r="P114"/>
      <c r="R114" s="87"/>
      <c r="S114" s="87"/>
    </row>
    <row r="115" spans="2:19" hidden="1" x14ac:dyDescent="0.25">
      <c r="B115" s="3" t="s">
        <v>1512</v>
      </c>
      <c r="C115" s="3" t="s">
        <v>94</v>
      </c>
      <c r="D115" s="3" t="s">
        <v>257</v>
      </c>
      <c r="E115" s="3" t="s">
        <v>90</v>
      </c>
      <c r="F115" s="3" t="s">
        <v>127</v>
      </c>
      <c r="G115" s="6">
        <v>81278.8</v>
      </c>
      <c r="H115" s="6">
        <f t="shared" si="3"/>
        <v>12398.46101694915</v>
      </c>
      <c r="I115" s="3" t="s">
        <v>18</v>
      </c>
      <c r="J115" s="18"/>
      <c r="O115"/>
      <c r="P115"/>
      <c r="R115" s="87"/>
      <c r="S115" s="87"/>
    </row>
    <row r="116" spans="2:19" hidden="1" x14ac:dyDescent="0.25">
      <c r="B116" s="3" t="s">
        <v>1441</v>
      </c>
      <c r="C116" s="3" t="s">
        <v>42</v>
      </c>
      <c r="D116" s="3" t="s">
        <v>1331</v>
      </c>
      <c r="E116" s="3" t="s">
        <v>90</v>
      </c>
      <c r="F116" s="3" t="s">
        <v>131</v>
      </c>
      <c r="G116" s="6">
        <v>80000</v>
      </c>
      <c r="H116" s="6">
        <f t="shared" si="3"/>
        <v>12203.389830508473</v>
      </c>
      <c r="I116" s="3" t="s">
        <v>113</v>
      </c>
      <c r="O116"/>
      <c r="P116"/>
      <c r="R116" s="87"/>
      <c r="S116" s="87"/>
    </row>
    <row r="117" spans="2:19" hidden="1" x14ac:dyDescent="0.25">
      <c r="B117" s="3" t="s">
        <v>222</v>
      </c>
      <c r="C117" s="3" t="s">
        <v>40</v>
      </c>
      <c r="D117" s="3" t="s">
        <v>549</v>
      </c>
      <c r="E117" s="3" t="s">
        <v>90</v>
      </c>
      <c r="F117" s="3" t="s">
        <v>124</v>
      </c>
      <c r="G117" s="6">
        <v>76672.53</v>
      </c>
      <c r="H117" s="6">
        <f t="shared" si="3"/>
        <v>11695.809661016945</v>
      </c>
      <c r="I117" s="3" t="s">
        <v>113</v>
      </c>
      <c r="R117" s="87"/>
      <c r="S117" s="87"/>
    </row>
    <row r="118" spans="2:19" hidden="1" x14ac:dyDescent="0.25">
      <c r="B118" s="3" t="s">
        <v>1494</v>
      </c>
      <c r="C118" s="3" t="s">
        <v>40</v>
      </c>
      <c r="D118" s="3" t="s">
        <v>1382</v>
      </c>
      <c r="E118" s="3" t="s">
        <v>90</v>
      </c>
      <c r="F118" s="3" t="s">
        <v>127</v>
      </c>
      <c r="G118" s="6">
        <v>75000</v>
      </c>
      <c r="H118" s="6">
        <f t="shared" si="3"/>
        <v>11440.677966101692</v>
      </c>
      <c r="I118" s="3" t="s">
        <v>113</v>
      </c>
      <c r="J118" s="19"/>
      <c r="K118" s="19"/>
      <c r="O118"/>
      <c r="P118"/>
      <c r="R118" s="87"/>
      <c r="S118" s="87"/>
    </row>
    <row r="119" spans="2:19" hidden="1" x14ac:dyDescent="0.25">
      <c r="B119" s="3" t="s">
        <v>1432</v>
      </c>
      <c r="C119" s="3" t="s">
        <v>41</v>
      </c>
      <c r="D119" s="3" t="s">
        <v>1322</v>
      </c>
      <c r="E119" s="3" t="s">
        <v>90</v>
      </c>
      <c r="F119" s="3" t="s">
        <v>131</v>
      </c>
      <c r="G119" s="6">
        <v>75000</v>
      </c>
      <c r="H119" s="6">
        <f t="shared" si="3"/>
        <v>11440.677966101692</v>
      </c>
      <c r="I119" s="3" t="s">
        <v>113</v>
      </c>
      <c r="O119"/>
      <c r="P119"/>
      <c r="R119" s="87"/>
      <c r="S119" s="87"/>
    </row>
    <row r="120" spans="2:19" hidden="1" x14ac:dyDescent="0.25">
      <c r="B120" s="3" t="s">
        <v>232</v>
      </c>
      <c r="C120" s="3" t="s">
        <v>41</v>
      </c>
      <c r="D120" s="3" t="s">
        <v>247</v>
      </c>
      <c r="E120" s="3" t="s">
        <v>90</v>
      </c>
      <c r="F120" s="3" t="s">
        <v>120</v>
      </c>
      <c r="G120" s="6">
        <v>70734.34</v>
      </c>
      <c r="H120" s="6">
        <f t="shared" si="3"/>
        <v>10789.984067796606</v>
      </c>
      <c r="I120" s="3" t="s">
        <v>113</v>
      </c>
      <c r="O120"/>
      <c r="P120"/>
      <c r="R120" s="87"/>
      <c r="S120" s="87"/>
    </row>
    <row r="121" spans="2:19" hidden="1" x14ac:dyDescent="0.25">
      <c r="B121" s="2" t="s">
        <v>569</v>
      </c>
      <c r="C121" s="3" t="s">
        <v>94</v>
      </c>
      <c r="D121" s="3" t="s">
        <v>574</v>
      </c>
      <c r="E121" s="3" t="s">
        <v>90</v>
      </c>
      <c r="F121" s="3" t="s">
        <v>120</v>
      </c>
      <c r="G121" s="6">
        <v>70672.08</v>
      </c>
      <c r="H121" s="6">
        <f t="shared" si="3"/>
        <v>10780.486779661012</v>
      </c>
      <c r="I121" s="6" t="s">
        <v>18</v>
      </c>
      <c r="R121" s="87"/>
      <c r="S121" s="87"/>
    </row>
    <row r="122" spans="2:19" hidden="1" x14ac:dyDescent="0.25">
      <c r="B122" s="3" t="s">
        <v>226</v>
      </c>
      <c r="C122" s="3" t="s">
        <v>40</v>
      </c>
      <c r="D122" s="3" t="s">
        <v>550</v>
      </c>
      <c r="E122" s="3" t="s">
        <v>90</v>
      </c>
      <c r="F122" s="3" t="s">
        <v>120</v>
      </c>
      <c r="G122" s="6">
        <v>60010.52</v>
      </c>
      <c r="H122" s="6">
        <f t="shared" si="3"/>
        <v>9154.1471186440613</v>
      </c>
      <c r="I122" s="3" t="s">
        <v>113</v>
      </c>
      <c r="O122"/>
      <c r="P122"/>
      <c r="R122" s="87"/>
      <c r="S122" s="87"/>
    </row>
    <row r="123" spans="2:19" hidden="1" x14ac:dyDescent="0.25">
      <c r="B123" s="2" t="s">
        <v>324</v>
      </c>
      <c r="C123" s="3" t="s">
        <v>132</v>
      </c>
      <c r="D123" s="3" t="s">
        <v>322</v>
      </c>
      <c r="E123" s="3" t="s">
        <v>90</v>
      </c>
      <c r="F123" s="3" t="s">
        <v>120</v>
      </c>
      <c r="G123" s="6">
        <v>59440.47</v>
      </c>
      <c r="H123" s="6">
        <f t="shared" si="3"/>
        <v>9067.1903389830477</v>
      </c>
      <c r="I123" s="6" t="s">
        <v>18</v>
      </c>
      <c r="R123" s="87"/>
      <c r="S123" s="87"/>
    </row>
    <row r="124" spans="2:19" hidden="1" x14ac:dyDescent="0.25">
      <c r="B124" s="3" t="s">
        <v>1698</v>
      </c>
      <c r="C124" s="3" t="s">
        <v>43</v>
      </c>
      <c r="D124" s="3" t="s">
        <v>1696</v>
      </c>
      <c r="E124" s="3" t="s">
        <v>90</v>
      </c>
      <c r="F124" s="3" t="s">
        <v>131</v>
      </c>
      <c r="G124" s="6">
        <v>59373.58</v>
      </c>
      <c r="H124" s="6">
        <f t="shared" si="3"/>
        <v>9056.9867796610124</v>
      </c>
      <c r="I124" s="3" t="s">
        <v>18</v>
      </c>
      <c r="O124"/>
      <c r="P124"/>
      <c r="R124" s="87"/>
      <c r="S124" s="87"/>
    </row>
    <row r="125" spans="2:19" hidden="1" x14ac:dyDescent="0.25">
      <c r="B125" s="3" t="s">
        <v>1515</v>
      </c>
      <c r="C125" s="3" t="s">
        <v>94</v>
      </c>
      <c r="D125" s="3" t="s">
        <v>261</v>
      </c>
      <c r="E125" s="3" t="s">
        <v>90</v>
      </c>
      <c r="F125" s="3" t="s">
        <v>127</v>
      </c>
      <c r="G125" s="6">
        <v>52000</v>
      </c>
      <c r="H125" s="6">
        <f t="shared" si="3"/>
        <v>7932.203389830509</v>
      </c>
      <c r="I125" s="3" t="s">
        <v>18</v>
      </c>
      <c r="J125" s="19"/>
      <c r="K125" s="19"/>
      <c r="O125"/>
      <c r="P125"/>
      <c r="R125" s="87"/>
      <c r="S125" s="87"/>
    </row>
    <row r="126" spans="2:19" hidden="1" x14ac:dyDescent="0.25">
      <c r="B126" s="3" t="s">
        <v>1067</v>
      </c>
      <c r="C126" s="3" t="s">
        <v>94</v>
      </c>
      <c r="D126" s="3" t="s">
        <v>1123</v>
      </c>
      <c r="E126" s="3" t="s">
        <v>90</v>
      </c>
      <c r="F126" s="3" t="s">
        <v>133</v>
      </c>
      <c r="G126" s="6">
        <v>51560.93</v>
      </c>
      <c r="H126" s="86">
        <f t="shared" si="3"/>
        <v>7865.2266101694913</v>
      </c>
      <c r="I126" s="3" t="s">
        <v>18</v>
      </c>
      <c r="O126"/>
      <c r="P126"/>
      <c r="R126" s="87"/>
      <c r="S126" s="87"/>
    </row>
    <row r="127" spans="2:19" hidden="1" x14ac:dyDescent="0.25">
      <c r="B127" s="3" t="s">
        <v>228</v>
      </c>
      <c r="C127" s="3" t="s">
        <v>40</v>
      </c>
      <c r="D127" s="3" t="s">
        <v>223</v>
      </c>
      <c r="E127" s="3" t="s">
        <v>90</v>
      </c>
      <c r="F127" s="3" t="s">
        <v>120</v>
      </c>
      <c r="G127" s="6">
        <v>49694.01</v>
      </c>
      <c r="H127" s="6">
        <f t="shared" si="3"/>
        <v>7580.44220338983</v>
      </c>
      <c r="I127" s="3" t="s">
        <v>113</v>
      </c>
      <c r="O127"/>
      <c r="P127"/>
      <c r="R127" s="87"/>
      <c r="S127" s="87"/>
    </row>
    <row r="128" spans="2:19" hidden="1" x14ac:dyDescent="0.25">
      <c r="B128" s="3" t="s">
        <v>1052</v>
      </c>
      <c r="C128" s="3" t="s">
        <v>95</v>
      </c>
      <c r="D128" s="3" t="s">
        <v>1109</v>
      </c>
      <c r="E128" s="3" t="s">
        <v>90</v>
      </c>
      <c r="F128" s="3" t="s">
        <v>133</v>
      </c>
      <c r="G128" s="6">
        <v>47868.87</v>
      </c>
      <c r="H128" s="86">
        <f t="shared" si="3"/>
        <v>7302.0310169491495</v>
      </c>
      <c r="I128" s="3" t="s">
        <v>18</v>
      </c>
      <c r="O128"/>
      <c r="P128"/>
      <c r="R128" s="87"/>
      <c r="S128" s="87"/>
    </row>
    <row r="129" spans="2:19" hidden="1" x14ac:dyDescent="0.25">
      <c r="B129" s="3" t="s">
        <v>229</v>
      </c>
      <c r="C129" s="3" t="s">
        <v>41</v>
      </c>
      <c r="D129" s="3" t="s">
        <v>241</v>
      </c>
      <c r="E129" s="3" t="s">
        <v>90</v>
      </c>
      <c r="F129" s="3" t="s">
        <v>120</v>
      </c>
      <c r="G129" s="6">
        <v>44626.64</v>
      </c>
      <c r="H129" s="6">
        <f t="shared" si="3"/>
        <v>6807.4535593220353</v>
      </c>
      <c r="I129" s="3" t="s">
        <v>113</v>
      </c>
      <c r="O129"/>
      <c r="P129"/>
      <c r="R129" s="87"/>
      <c r="S129" s="87"/>
    </row>
    <row r="130" spans="2:19" hidden="1" x14ac:dyDescent="0.25">
      <c r="B130" s="3" t="s">
        <v>264</v>
      </c>
      <c r="C130" s="3" t="s">
        <v>94</v>
      </c>
      <c r="D130" s="3" t="s">
        <v>272</v>
      </c>
      <c r="E130" s="3" t="s">
        <v>90</v>
      </c>
      <c r="F130" s="3" t="s">
        <v>124</v>
      </c>
      <c r="G130" s="6">
        <v>43620.58</v>
      </c>
      <c r="H130" s="6">
        <f t="shared" si="3"/>
        <v>6653.9867796610124</v>
      </c>
      <c r="I130" s="6" t="s">
        <v>18</v>
      </c>
      <c r="J130" s="77"/>
      <c r="K130" s="77"/>
      <c r="R130" s="87"/>
      <c r="S130" s="87"/>
    </row>
    <row r="131" spans="2:19" hidden="1" x14ac:dyDescent="0.25">
      <c r="B131" s="3" t="s">
        <v>478</v>
      </c>
      <c r="C131" s="3" t="s">
        <v>99</v>
      </c>
      <c r="D131" s="3" t="s">
        <v>481</v>
      </c>
      <c r="E131" s="3" t="s">
        <v>90</v>
      </c>
      <c r="F131" s="3" t="s">
        <v>120</v>
      </c>
      <c r="G131" s="6">
        <v>42188.67</v>
      </c>
      <c r="H131" s="6">
        <f t="shared" si="3"/>
        <v>6435.5598305084714</v>
      </c>
      <c r="I131" s="3" t="s">
        <v>113</v>
      </c>
      <c r="J131" s="77"/>
      <c r="K131" s="77"/>
      <c r="O131"/>
      <c r="P131"/>
      <c r="R131" s="87"/>
      <c r="S131" s="87"/>
    </row>
    <row r="132" spans="2:19" hidden="1" x14ac:dyDescent="0.25">
      <c r="B132" s="3" t="s">
        <v>1048</v>
      </c>
      <c r="C132" s="3" t="s">
        <v>94</v>
      </c>
      <c r="D132" s="3" t="s">
        <v>1105</v>
      </c>
      <c r="E132" s="3" t="s">
        <v>90</v>
      </c>
      <c r="F132" s="3" t="s">
        <v>131</v>
      </c>
      <c r="G132" s="6">
        <v>40000</v>
      </c>
      <c r="H132" s="6">
        <f t="shared" si="3"/>
        <v>6101.6949152542365</v>
      </c>
      <c r="I132" s="3" t="s">
        <v>18</v>
      </c>
      <c r="O132"/>
      <c r="P132"/>
      <c r="R132" s="87"/>
      <c r="S132" s="87"/>
    </row>
    <row r="133" spans="2:19" hidden="1" x14ac:dyDescent="0.25">
      <c r="B133" s="3" t="s">
        <v>300</v>
      </c>
      <c r="C133" s="3" t="s">
        <v>95</v>
      </c>
      <c r="D133" s="3" t="s">
        <v>318</v>
      </c>
      <c r="E133" s="3" t="s">
        <v>90</v>
      </c>
      <c r="F133" s="3" t="s">
        <v>121</v>
      </c>
      <c r="G133" s="6">
        <v>38238.01</v>
      </c>
      <c r="H133" s="6">
        <f t="shared" si="3"/>
        <v>5832.9167796610163</v>
      </c>
      <c r="I133" s="6" t="s">
        <v>18</v>
      </c>
      <c r="O133"/>
      <c r="P133"/>
      <c r="R133" s="87"/>
      <c r="S133" s="87"/>
    </row>
    <row r="134" spans="2:19" hidden="1" x14ac:dyDescent="0.25">
      <c r="B134" s="3" t="s">
        <v>299</v>
      </c>
      <c r="C134" s="3" t="s">
        <v>95</v>
      </c>
      <c r="D134" s="3" t="s">
        <v>316</v>
      </c>
      <c r="E134" s="3" t="s">
        <v>90</v>
      </c>
      <c r="F134" s="3" t="s">
        <v>120</v>
      </c>
      <c r="G134" s="6">
        <v>29848.81</v>
      </c>
      <c r="H134" s="6">
        <f t="shared" si="3"/>
        <v>4553.2083050847432</v>
      </c>
      <c r="I134" s="6" t="s">
        <v>18</v>
      </c>
      <c r="J134" s="88" t="s">
        <v>628</v>
      </c>
      <c r="K134" s="88"/>
      <c r="L134" s="88">
        <v>659.3</v>
      </c>
      <c r="M134" s="88"/>
      <c r="N134" s="87">
        <v>0</v>
      </c>
      <c r="O134"/>
      <c r="P134" t="s">
        <v>600</v>
      </c>
      <c r="R134" s="87"/>
      <c r="S134" s="87"/>
    </row>
    <row r="135" spans="2:19" hidden="1" x14ac:dyDescent="0.25">
      <c r="B135" s="3" t="s">
        <v>227</v>
      </c>
      <c r="C135" s="3" t="s">
        <v>40</v>
      </c>
      <c r="D135" s="3" t="s">
        <v>225</v>
      </c>
      <c r="E135" s="3" t="s">
        <v>90</v>
      </c>
      <c r="F135" s="3" t="s">
        <v>120</v>
      </c>
      <c r="G135" s="6">
        <v>29747.43</v>
      </c>
      <c r="H135" s="6">
        <f t="shared" si="3"/>
        <v>4537.7435593220325</v>
      </c>
      <c r="I135" s="3" t="s">
        <v>113</v>
      </c>
      <c r="O135"/>
      <c r="P135"/>
      <c r="R135" s="87"/>
      <c r="S135" s="87"/>
    </row>
    <row r="136" spans="2:19" hidden="1" x14ac:dyDescent="0.25">
      <c r="B136" s="3" t="s">
        <v>1511</v>
      </c>
      <c r="C136" s="3" t="s">
        <v>1681</v>
      </c>
      <c r="D136" s="3" t="s">
        <v>255</v>
      </c>
      <c r="E136" s="3" t="s">
        <v>90</v>
      </c>
      <c r="F136" s="3" t="s">
        <v>133</v>
      </c>
      <c r="G136" s="6">
        <v>29552.87</v>
      </c>
      <c r="H136" s="86">
        <f t="shared" si="3"/>
        <v>4508.0649152542355</v>
      </c>
      <c r="I136" s="3" t="s">
        <v>18</v>
      </c>
      <c r="O136"/>
      <c r="P136"/>
      <c r="R136" s="87"/>
      <c r="S136" s="87"/>
    </row>
    <row r="137" spans="2:19" hidden="1" x14ac:dyDescent="0.25">
      <c r="B137" s="3" t="s">
        <v>716</v>
      </c>
      <c r="C137" s="3" t="s">
        <v>96</v>
      </c>
      <c r="D137" s="3" t="s">
        <v>930</v>
      </c>
      <c r="E137" s="3" t="s">
        <v>110</v>
      </c>
      <c r="F137" s="3" t="s">
        <v>127</v>
      </c>
      <c r="G137" s="6">
        <f>2408+1256.5+1130.5+1291.5+1218+1340.5+1162+1569.75+1167.25+1286.25+1195.25+N("11 კორპუსის პროექტი")</f>
        <v>15025.5</v>
      </c>
      <c r="H137" s="6">
        <f t="shared" si="3"/>
        <v>2292.0254237288136</v>
      </c>
      <c r="I137" s="3" t="s">
        <v>18</v>
      </c>
      <c r="J137" s="78" t="s">
        <v>1985</v>
      </c>
      <c r="K137" s="78"/>
      <c r="O137"/>
      <c r="P137" t="s">
        <v>1593</v>
      </c>
      <c r="R137" s="87"/>
      <c r="S137" s="87"/>
    </row>
    <row r="138" spans="2:19" hidden="1" x14ac:dyDescent="0.25">
      <c r="B138" s="3" t="s">
        <v>1444</v>
      </c>
      <c r="C138" s="3" t="s">
        <v>41</v>
      </c>
      <c r="D138" s="3" t="s">
        <v>1334</v>
      </c>
      <c r="E138" s="3" t="s">
        <v>106</v>
      </c>
      <c r="F138" s="3" t="s">
        <v>127</v>
      </c>
      <c r="G138" s="6">
        <v>23966.25</v>
      </c>
      <c r="H138" s="6">
        <f t="shared" si="3"/>
        <v>3655.8686440677957</v>
      </c>
      <c r="I138" s="3" t="s">
        <v>113</v>
      </c>
      <c r="O138"/>
      <c r="P138"/>
      <c r="R138" s="87"/>
      <c r="S138" s="87"/>
    </row>
    <row r="139" spans="2:19" hidden="1" x14ac:dyDescent="0.25">
      <c r="B139" s="3" t="s">
        <v>1192</v>
      </c>
      <c r="C139" s="3" t="s">
        <v>17</v>
      </c>
      <c r="D139" s="3" t="s">
        <v>1273</v>
      </c>
      <c r="E139" s="3" t="s">
        <v>110</v>
      </c>
      <c r="F139" s="3" t="s">
        <v>127</v>
      </c>
      <c r="G139" s="6">
        <v>28591.5</v>
      </c>
      <c r="H139" s="6">
        <f t="shared" si="3"/>
        <v>4361.4152542372867</v>
      </c>
      <c r="I139" s="3" t="s">
        <v>113</v>
      </c>
      <c r="O139"/>
      <c r="P139"/>
      <c r="R139" s="87"/>
      <c r="S139" s="87"/>
    </row>
    <row r="140" spans="2:19" hidden="1" x14ac:dyDescent="0.25">
      <c r="B140" s="3" t="s">
        <v>1237</v>
      </c>
      <c r="C140" s="3" t="s">
        <v>17</v>
      </c>
      <c r="D140" s="3" t="s">
        <v>1311</v>
      </c>
      <c r="E140" s="3" t="s">
        <v>110</v>
      </c>
      <c r="F140" s="3" t="s">
        <v>127</v>
      </c>
      <c r="G140" s="6">
        <v>32739</v>
      </c>
      <c r="H140" s="6">
        <f t="shared" si="3"/>
        <v>4994.0847457627096</v>
      </c>
      <c r="I140" s="3" t="s">
        <v>113</v>
      </c>
      <c r="J140" s="19"/>
      <c r="K140" s="19"/>
      <c r="O140"/>
      <c r="P140"/>
      <c r="R140" s="87"/>
      <c r="S140" s="87"/>
    </row>
    <row r="141" spans="2:19" ht="17.25" hidden="1" x14ac:dyDescent="0.25">
      <c r="B141" s="3" t="s">
        <v>726</v>
      </c>
      <c r="C141" s="3" t="s">
        <v>96</v>
      </c>
      <c r="D141" s="3" t="s">
        <v>1684</v>
      </c>
      <c r="E141" s="3" t="s">
        <v>71</v>
      </c>
      <c r="F141" s="3" t="s">
        <v>127</v>
      </c>
      <c r="G141" s="6">
        <v>50000</v>
      </c>
      <c r="H141" s="6">
        <f t="shared" si="3"/>
        <v>7627.118644067792</v>
      </c>
      <c r="I141" s="3" t="s">
        <v>18</v>
      </c>
      <c r="J141" t="s">
        <v>1678</v>
      </c>
      <c r="K141" s="78"/>
      <c r="N141">
        <v>2</v>
      </c>
      <c r="O141"/>
      <c r="P141" t="s">
        <v>1641</v>
      </c>
      <c r="R141" s="87"/>
      <c r="S141" s="87"/>
    </row>
    <row r="142" spans="2:19" hidden="1" x14ac:dyDescent="0.25">
      <c r="B142" s="3" t="s">
        <v>299</v>
      </c>
      <c r="C142" s="3" t="s">
        <v>95</v>
      </c>
      <c r="D142" s="3" t="s">
        <v>316</v>
      </c>
      <c r="E142" s="3" t="s">
        <v>90</v>
      </c>
      <c r="F142" s="3" t="s">
        <v>120</v>
      </c>
      <c r="G142" s="6">
        <v>29222.91</v>
      </c>
      <c r="H142" s="6">
        <f t="shared" si="3"/>
        <v>4457.7320338983045</v>
      </c>
      <c r="I142" s="6" t="s">
        <v>18</v>
      </c>
      <c r="J142" s="88" t="s">
        <v>631</v>
      </c>
      <c r="K142" s="88"/>
      <c r="L142" s="87">
        <v>495</v>
      </c>
      <c r="M142" s="87"/>
      <c r="N142" s="87">
        <v>0</v>
      </c>
      <c r="O142"/>
      <c r="P142" t="s">
        <v>600</v>
      </c>
      <c r="R142" s="87"/>
      <c r="S142" s="87"/>
    </row>
    <row r="143" spans="2:19" hidden="1" x14ac:dyDescent="0.25">
      <c r="B143" s="3" t="s">
        <v>726</v>
      </c>
      <c r="C143" s="3" t="s">
        <v>96</v>
      </c>
      <c r="D143" s="3" t="s">
        <v>1685</v>
      </c>
      <c r="E143" s="3" t="s">
        <v>71</v>
      </c>
      <c r="F143" s="3" t="s">
        <v>127</v>
      </c>
      <c r="G143" s="6">
        <v>55000</v>
      </c>
      <c r="H143" s="6">
        <f t="shared" si="3"/>
        <v>8389.8305084745734</v>
      </c>
      <c r="I143" s="3" t="s">
        <v>18</v>
      </c>
      <c r="J143" t="s">
        <v>1679</v>
      </c>
      <c r="K143" s="77"/>
      <c r="N143">
        <v>0</v>
      </c>
      <c r="O143"/>
      <c r="P143" t="s">
        <v>1641</v>
      </c>
      <c r="R143" s="87"/>
      <c r="S143" s="87"/>
    </row>
    <row r="144" spans="2:19" hidden="1" x14ac:dyDescent="0.25">
      <c r="B144" s="3" t="s">
        <v>950</v>
      </c>
      <c r="C144" s="3" t="s">
        <v>96</v>
      </c>
      <c r="D144" s="3" t="s">
        <v>1683</v>
      </c>
      <c r="E144" s="3" t="s">
        <v>71</v>
      </c>
      <c r="F144" s="3" t="s">
        <v>127</v>
      </c>
      <c r="G144" s="6">
        <v>70000</v>
      </c>
      <c r="H144" s="6">
        <f t="shared" si="3"/>
        <v>10677.96610169491</v>
      </c>
      <c r="I144" s="3" t="s">
        <v>18</v>
      </c>
      <c r="J144" t="s">
        <v>1677</v>
      </c>
      <c r="K144" s="77"/>
      <c r="N144">
        <v>72</v>
      </c>
      <c r="O144"/>
      <c r="P144" t="s">
        <v>1641</v>
      </c>
      <c r="R144" s="87"/>
      <c r="S144" s="87"/>
    </row>
    <row r="145" spans="2:19" hidden="1" x14ac:dyDescent="0.25">
      <c r="B145" s="3" t="s">
        <v>231</v>
      </c>
      <c r="C145" s="3" t="s">
        <v>42</v>
      </c>
      <c r="D145" s="3" t="s">
        <v>246</v>
      </c>
      <c r="E145" s="3" t="s">
        <v>90</v>
      </c>
      <c r="F145" s="3" t="s">
        <v>120</v>
      </c>
      <c r="G145" s="6">
        <v>29184.28</v>
      </c>
      <c r="H145" s="6">
        <f t="shared" si="3"/>
        <v>4451.8393220338985</v>
      </c>
      <c r="I145" s="3" t="s">
        <v>113</v>
      </c>
      <c r="O145"/>
      <c r="P145"/>
      <c r="R145" s="87"/>
      <c r="S145" s="87"/>
    </row>
    <row r="146" spans="2:19" hidden="1" x14ac:dyDescent="0.25">
      <c r="B146" s="3" t="s">
        <v>943</v>
      </c>
      <c r="C146" s="3" t="s">
        <v>96</v>
      </c>
      <c r="D146" s="3" t="s">
        <v>1682</v>
      </c>
      <c r="E146" s="3" t="s">
        <v>71</v>
      </c>
      <c r="F146" s="3" t="s">
        <v>127</v>
      </c>
      <c r="G146" s="6">
        <v>75000</v>
      </c>
      <c r="H146" s="6">
        <f t="shared" si="3"/>
        <v>11440.677966101692</v>
      </c>
      <c r="I146" s="3" t="s">
        <v>18</v>
      </c>
      <c r="J146" t="s">
        <v>1912</v>
      </c>
      <c r="O146"/>
      <c r="P146" t="s">
        <v>1641</v>
      </c>
      <c r="R146" s="87"/>
      <c r="S146" s="87"/>
    </row>
    <row r="147" spans="2:19" hidden="1" x14ac:dyDescent="0.25">
      <c r="B147" s="3" t="s">
        <v>299</v>
      </c>
      <c r="C147" s="3" t="s">
        <v>95</v>
      </c>
      <c r="D147" s="3" t="s">
        <v>316</v>
      </c>
      <c r="E147" s="3" t="s">
        <v>90</v>
      </c>
      <c r="F147" s="3" t="s">
        <v>121</v>
      </c>
      <c r="G147" s="6">
        <v>28417.62</v>
      </c>
      <c r="H147" s="6">
        <f t="shared" si="3"/>
        <v>4334.8911864406764</v>
      </c>
      <c r="I147" s="6" t="s">
        <v>18</v>
      </c>
      <c r="J147" t="s">
        <v>669</v>
      </c>
      <c r="L147">
        <v>582.1</v>
      </c>
      <c r="O147"/>
      <c r="P147" t="s">
        <v>600</v>
      </c>
      <c r="R147" s="87"/>
      <c r="S147" s="87"/>
    </row>
    <row r="148" spans="2:19" hidden="1" x14ac:dyDescent="0.25">
      <c r="B148" s="3" t="s">
        <v>299</v>
      </c>
      <c r="C148" s="3" t="s">
        <v>95</v>
      </c>
      <c r="D148" s="3" t="s">
        <v>316</v>
      </c>
      <c r="E148" s="3" t="s">
        <v>90</v>
      </c>
      <c r="F148" s="3" t="s">
        <v>120</v>
      </c>
      <c r="G148" s="6">
        <v>27667</v>
      </c>
      <c r="H148" s="6">
        <f t="shared" si="3"/>
        <v>4220.3898305084731</v>
      </c>
      <c r="I148" s="6" t="s">
        <v>18</v>
      </c>
      <c r="J148" s="88" t="s">
        <v>630</v>
      </c>
      <c r="K148" s="88"/>
      <c r="L148" s="87">
        <v>546.20000000000005</v>
      </c>
      <c r="M148" s="87"/>
      <c r="N148" s="87">
        <v>0</v>
      </c>
      <c r="O148"/>
      <c r="P148" t="s">
        <v>600</v>
      </c>
      <c r="R148" s="87"/>
      <c r="S148" s="87"/>
    </row>
    <row r="149" spans="2:19" hidden="1" x14ac:dyDescent="0.25">
      <c r="B149" s="3" t="s">
        <v>299</v>
      </c>
      <c r="C149" s="3" t="s">
        <v>95</v>
      </c>
      <c r="D149" s="3" t="s">
        <v>316</v>
      </c>
      <c r="E149" s="3" t="s">
        <v>90</v>
      </c>
      <c r="F149" s="3" t="s">
        <v>120</v>
      </c>
      <c r="G149" s="6">
        <v>26708.12</v>
      </c>
      <c r="H149" s="6">
        <f t="shared" si="3"/>
        <v>4074.119999999999</v>
      </c>
      <c r="I149" s="6" t="s">
        <v>18</v>
      </c>
      <c r="J149" s="88" t="s">
        <v>629</v>
      </c>
      <c r="K149" s="88"/>
      <c r="L149" s="87">
        <v>522.79999999999995</v>
      </c>
      <c r="M149" s="87"/>
      <c r="N149" s="87">
        <v>0</v>
      </c>
      <c r="O149"/>
      <c r="P149" t="s">
        <v>600</v>
      </c>
      <c r="R149" s="87"/>
      <c r="S149" s="87"/>
    </row>
    <row r="150" spans="2:19" hidden="1" x14ac:dyDescent="0.25">
      <c r="B150" s="3" t="s">
        <v>299</v>
      </c>
      <c r="C150" s="3" t="s">
        <v>95</v>
      </c>
      <c r="D150" s="3" t="s">
        <v>316</v>
      </c>
      <c r="E150" s="3" t="s">
        <v>90</v>
      </c>
      <c r="F150" s="3" t="s">
        <v>120</v>
      </c>
      <c r="G150" s="6">
        <v>25660.880000000001</v>
      </c>
      <c r="H150" s="6">
        <f t="shared" si="3"/>
        <v>3914.3715254237286</v>
      </c>
      <c r="I150" s="6" t="s">
        <v>18</v>
      </c>
      <c r="J150" s="88" t="s">
        <v>632</v>
      </c>
      <c r="K150" s="88"/>
      <c r="L150" s="88">
        <v>458.3</v>
      </c>
      <c r="M150" s="88"/>
      <c r="N150" s="87">
        <v>0</v>
      </c>
      <c r="P150" t="s">
        <v>600</v>
      </c>
      <c r="R150" s="87"/>
      <c r="S150" s="87"/>
    </row>
    <row r="151" spans="2:19" hidden="1" x14ac:dyDescent="0.25">
      <c r="B151" s="3" t="s">
        <v>1526</v>
      </c>
      <c r="C151" s="3" t="s">
        <v>40</v>
      </c>
      <c r="D151" s="3" t="s">
        <v>1650</v>
      </c>
      <c r="E151" s="3" t="s">
        <v>90</v>
      </c>
      <c r="F151" s="3" t="s">
        <v>131</v>
      </c>
      <c r="G151" s="6">
        <v>22833.599999999999</v>
      </c>
      <c r="H151" s="6">
        <f t="shared" si="3"/>
        <v>3483.0915254237261</v>
      </c>
      <c r="I151" s="3" t="s">
        <v>18</v>
      </c>
      <c r="O151"/>
      <c r="P151"/>
      <c r="R151" s="87"/>
      <c r="S151" s="87"/>
    </row>
    <row r="152" spans="2:19" hidden="1" x14ac:dyDescent="0.25">
      <c r="B152" s="3" t="s">
        <v>299</v>
      </c>
      <c r="C152" s="3" t="s">
        <v>95</v>
      </c>
      <c r="D152" s="3" t="s">
        <v>316</v>
      </c>
      <c r="E152" s="3" t="s">
        <v>90</v>
      </c>
      <c r="F152" s="3" t="s">
        <v>121</v>
      </c>
      <c r="G152" s="6">
        <v>22779.16</v>
      </c>
      <c r="H152" s="6">
        <f t="shared" si="3"/>
        <v>3474.787118644068</v>
      </c>
      <c r="I152" s="6" t="s">
        <v>18</v>
      </c>
      <c r="J152" t="s">
        <v>666</v>
      </c>
      <c r="L152">
        <v>269</v>
      </c>
      <c r="O152"/>
      <c r="P152" t="s">
        <v>600</v>
      </c>
      <c r="R152" s="87"/>
      <c r="S152" s="87"/>
    </row>
    <row r="153" spans="2:19" hidden="1" x14ac:dyDescent="0.25">
      <c r="B153" s="3" t="s">
        <v>1048</v>
      </c>
      <c r="C153" s="3" t="s">
        <v>94</v>
      </c>
      <c r="D153" s="3" t="s">
        <v>1105</v>
      </c>
      <c r="E153" s="3" t="s">
        <v>90</v>
      </c>
      <c r="F153" s="3" t="s">
        <v>133</v>
      </c>
      <c r="G153" s="6">
        <v>20274.2</v>
      </c>
      <c r="H153" s="86">
        <f t="shared" si="3"/>
        <v>3092.6745762711871</v>
      </c>
      <c r="I153" s="3" t="s">
        <v>18</v>
      </c>
      <c r="O153"/>
      <c r="P153"/>
    </row>
    <row r="154" spans="2:19" hidden="1" x14ac:dyDescent="0.25">
      <c r="B154" s="2" t="s">
        <v>297</v>
      </c>
      <c r="C154" s="3" t="s">
        <v>74</v>
      </c>
      <c r="D154" s="3" t="s">
        <v>308</v>
      </c>
      <c r="E154" s="3" t="s">
        <v>90</v>
      </c>
      <c r="F154" s="3" t="s">
        <v>120</v>
      </c>
      <c r="G154" s="6">
        <v>19192.849999999999</v>
      </c>
      <c r="H154" s="6">
        <f t="shared" si="3"/>
        <v>2927.7228813559304</v>
      </c>
      <c r="I154" s="6" t="s">
        <v>18</v>
      </c>
      <c r="R154" s="87"/>
      <c r="S154" s="87"/>
    </row>
    <row r="155" spans="2:19" hidden="1" x14ac:dyDescent="0.25">
      <c r="B155" s="3" t="s">
        <v>1526</v>
      </c>
      <c r="C155" s="3" t="s">
        <v>40</v>
      </c>
      <c r="D155" s="3" t="s">
        <v>1651</v>
      </c>
      <c r="E155" s="3" t="s">
        <v>90</v>
      </c>
      <c r="F155" s="3" t="s">
        <v>131</v>
      </c>
      <c r="G155" s="6">
        <v>18706.400000000001</v>
      </c>
      <c r="H155" s="6">
        <f t="shared" si="3"/>
        <v>2853.5186440677953</v>
      </c>
      <c r="I155" s="3" t="s">
        <v>18</v>
      </c>
      <c r="O155"/>
      <c r="P155"/>
      <c r="R155" s="87"/>
      <c r="S155" s="87"/>
    </row>
    <row r="156" spans="2:19" hidden="1" x14ac:dyDescent="0.25">
      <c r="B156" s="3" t="s">
        <v>988</v>
      </c>
      <c r="C156" s="3" t="s">
        <v>95</v>
      </c>
      <c r="D156" s="3" t="s">
        <v>1087</v>
      </c>
      <c r="E156" s="3" t="s">
        <v>90</v>
      </c>
      <c r="F156" s="3" t="s">
        <v>133</v>
      </c>
      <c r="G156" s="6">
        <v>17643.259999999998</v>
      </c>
      <c r="H156" s="86">
        <f t="shared" si="3"/>
        <v>2691.3447457627117</v>
      </c>
      <c r="I156" s="3" t="s">
        <v>18</v>
      </c>
      <c r="O156"/>
      <c r="P156"/>
      <c r="R156" s="87"/>
      <c r="S156" s="87"/>
    </row>
    <row r="157" spans="2:19" hidden="1" x14ac:dyDescent="0.25">
      <c r="B157" s="3" t="s">
        <v>411</v>
      </c>
      <c r="C157" s="3" t="s">
        <v>57</v>
      </c>
      <c r="D157" s="3" t="s">
        <v>507</v>
      </c>
      <c r="E157" s="8" t="s">
        <v>87</v>
      </c>
      <c r="F157" s="3" t="s">
        <v>120</v>
      </c>
      <c r="G157" s="64">
        <v>769175</v>
      </c>
      <c r="H157" s="6">
        <f t="shared" si="3"/>
        <v>117331.77966101689</v>
      </c>
      <c r="I157" s="3" t="s">
        <v>113</v>
      </c>
      <c r="J157" s="77"/>
      <c r="K157" s="77"/>
      <c r="O157"/>
      <c r="P157"/>
      <c r="R157" s="87"/>
      <c r="S157" s="87"/>
    </row>
    <row r="158" spans="2:19" hidden="1" x14ac:dyDescent="0.25">
      <c r="B158" s="3" t="s">
        <v>428</v>
      </c>
      <c r="C158" s="3" t="s">
        <v>92</v>
      </c>
      <c r="D158" s="3" t="s">
        <v>451</v>
      </c>
      <c r="E158" s="3" t="s">
        <v>87</v>
      </c>
      <c r="F158" s="3" t="s">
        <v>122</v>
      </c>
      <c r="G158" s="6">
        <v>432273.85</v>
      </c>
      <c r="H158" s="6">
        <f t="shared" si="3"/>
        <v>65940.078813559317</v>
      </c>
      <c r="I158" s="6" t="s">
        <v>18</v>
      </c>
      <c r="O158"/>
      <c r="P158"/>
      <c r="R158" s="87"/>
      <c r="S158" s="87"/>
    </row>
    <row r="159" spans="2:19" hidden="1" x14ac:dyDescent="0.25">
      <c r="B159" s="3" t="s">
        <v>429</v>
      </c>
      <c r="C159" s="3" t="s">
        <v>92</v>
      </c>
      <c r="D159" s="3" t="s">
        <v>453</v>
      </c>
      <c r="E159" s="3" t="s">
        <v>87</v>
      </c>
      <c r="F159" s="3" t="s">
        <v>124</v>
      </c>
      <c r="G159" s="6">
        <v>127410.19</v>
      </c>
      <c r="H159" s="6">
        <f t="shared" si="3"/>
        <v>19435.452711864404</v>
      </c>
      <c r="I159" s="6" t="s">
        <v>18</v>
      </c>
      <c r="K159" s="77"/>
      <c r="R159" s="87"/>
      <c r="S159" s="87"/>
    </row>
    <row r="160" spans="2:19" hidden="1" x14ac:dyDescent="0.25">
      <c r="B160" s="3" t="s">
        <v>788</v>
      </c>
      <c r="C160" s="3" t="s">
        <v>29</v>
      </c>
      <c r="D160" s="3" t="s">
        <v>866</v>
      </c>
      <c r="E160" s="3" t="s">
        <v>87</v>
      </c>
      <c r="F160" s="3" t="s">
        <v>125</v>
      </c>
      <c r="G160" s="6">
        <v>100000</v>
      </c>
      <c r="H160" s="6">
        <f t="shared" si="3"/>
        <v>15254.237288135584</v>
      </c>
      <c r="I160" s="3" t="s">
        <v>113</v>
      </c>
      <c r="R160" s="87"/>
      <c r="S160" s="87"/>
    </row>
    <row r="161" spans="2:19" hidden="1" x14ac:dyDescent="0.25">
      <c r="B161" s="3" t="s">
        <v>801</v>
      </c>
      <c r="C161" s="3" t="s">
        <v>29</v>
      </c>
      <c r="D161" s="3" t="s">
        <v>879</v>
      </c>
      <c r="E161" s="3" t="s">
        <v>87</v>
      </c>
      <c r="F161" s="3" t="s">
        <v>125</v>
      </c>
      <c r="G161" s="6">
        <v>200000</v>
      </c>
      <c r="H161" s="6">
        <f t="shared" si="3"/>
        <v>30508.474576271168</v>
      </c>
      <c r="I161" s="3" t="s">
        <v>113</v>
      </c>
      <c r="R161" s="87"/>
      <c r="S161" s="87"/>
    </row>
    <row r="162" spans="2:19" hidden="1" x14ac:dyDescent="0.25">
      <c r="B162" s="3" t="s">
        <v>807</v>
      </c>
      <c r="C162" s="3" t="s">
        <v>56</v>
      </c>
      <c r="D162" s="3" t="s">
        <v>885</v>
      </c>
      <c r="E162" s="3" t="s">
        <v>87</v>
      </c>
      <c r="F162" s="3" t="s">
        <v>125</v>
      </c>
      <c r="G162" s="6">
        <v>500000</v>
      </c>
      <c r="H162" s="6">
        <f t="shared" si="3"/>
        <v>76271.186440677964</v>
      </c>
      <c r="I162" s="3" t="s">
        <v>113</v>
      </c>
      <c r="R162" s="87"/>
      <c r="S162" s="87"/>
    </row>
    <row r="163" spans="2:19" hidden="1" x14ac:dyDescent="0.25">
      <c r="B163" s="3" t="s">
        <v>770</v>
      </c>
      <c r="C163" s="3" t="s">
        <v>88</v>
      </c>
      <c r="D163" s="3" t="s">
        <v>777</v>
      </c>
      <c r="E163" s="3" t="s">
        <v>87</v>
      </c>
      <c r="F163" s="3" t="s">
        <v>126</v>
      </c>
      <c r="G163" s="6">
        <v>500000</v>
      </c>
      <c r="H163" s="6">
        <f t="shared" si="3"/>
        <v>76271.186440677964</v>
      </c>
      <c r="I163" s="3" t="s">
        <v>18</v>
      </c>
      <c r="O163"/>
      <c r="P163"/>
      <c r="R163" s="87"/>
      <c r="S163" s="87"/>
    </row>
    <row r="164" spans="2:19" hidden="1" x14ac:dyDescent="0.25">
      <c r="B164" s="3" t="s">
        <v>717</v>
      </c>
      <c r="C164" s="3" t="s">
        <v>96</v>
      </c>
      <c r="D164" s="3" t="s">
        <v>1900</v>
      </c>
      <c r="E164" s="3" t="s">
        <v>71</v>
      </c>
      <c r="F164" s="3" t="s">
        <v>127</v>
      </c>
      <c r="G164" s="6">
        <v>110000</v>
      </c>
      <c r="H164" s="6">
        <f t="shared" si="3"/>
        <v>16779.661016949147</v>
      </c>
      <c r="I164" s="3" t="s">
        <v>18</v>
      </c>
      <c r="J164" t="s">
        <v>1901</v>
      </c>
      <c r="K164" s="78"/>
      <c r="N164">
        <v>0</v>
      </c>
      <c r="O164"/>
      <c r="P164" t="s">
        <v>1641</v>
      </c>
      <c r="R164" s="87"/>
      <c r="S164" s="87"/>
    </row>
    <row r="165" spans="2:19" hidden="1" x14ac:dyDescent="0.25">
      <c r="B165" s="3" t="s">
        <v>910</v>
      </c>
      <c r="C165" s="3" t="s">
        <v>140</v>
      </c>
      <c r="D165" s="3" t="s">
        <v>907</v>
      </c>
      <c r="E165" s="3" t="s">
        <v>141</v>
      </c>
      <c r="F165" s="3" t="s">
        <v>127</v>
      </c>
      <c r="G165" s="6">
        <v>130000</v>
      </c>
      <c r="H165" s="6">
        <f t="shared" si="3"/>
        <v>19830.508474576272</v>
      </c>
      <c r="I165" s="3" t="s">
        <v>113</v>
      </c>
      <c r="O165"/>
      <c r="P165"/>
      <c r="R165" s="87"/>
      <c r="S165" s="87"/>
    </row>
    <row r="166" spans="2:19" hidden="1" x14ac:dyDescent="0.25">
      <c r="B166" s="3" t="s">
        <v>801</v>
      </c>
      <c r="C166" s="3" t="s">
        <v>29</v>
      </c>
      <c r="D166" s="3" t="s">
        <v>879</v>
      </c>
      <c r="E166" s="3" t="s">
        <v>87</v>
      </c>
      <c r="F166" s="3" t="s">
        <v>127</v>
      </c>
      <c r="G166" s="6">
        <v>140000</v>
      </c>
      <c r="H166" s="6">
        <f t="shared" ref="H166:H229" si="4">G166-G166/1.18</f>
        <v>21355.932203389821</v>
      </c>
      <c r="I166" s="3" t="s">
        <v>113</v>
      </c>
      <c r="O166"/>
      <c r="P166"/>
      <c r="R166" s="87"/>
      <c r="S166" s="87"/>
    </row>
    <row r="167" spans="2:19" hidden="1" x14ac:dyDescent="0.25">
      <c r="B167" s="3" t="s">
        <v>828</v>
      </c>
      <c r="C167" s="3" t="s">
        <v>30</v>
      </c>
      <c r="D167" s="3" t="s">
        <v>906</v>
      </c>
      <c r="E167" s="3" t="s">
        <v>87</v>
      </c>
      <c r="F167" s="3" t="s">
        <v>127</v>
      </c>
      <c r="G167" s="6">
        <v>150000</v>
      </c>
      <c r="H167" s="6">
        <f t="shared" si="4"/>
        <v>22881.355932203383</v>
      </c>
      <c r="I167" s="3" t="s">
        <v>113</v>
      </c>
      <c r="O167"/>
      <c r="P167"/>
      <c r="R167" s="87"/>
      <c r="S167" s="87"/>
    </row>
    <row r="168" spans="2:19" hidden="1" x14ac:dyDescent="0.25">
      <c r="B168" s="3" t="s">
        <v>774</v>
      </c>
      <c r="C168" s="3" t="s">
        <v>88</v>
      </c>
      <c r="D168" s="3" t="s">
        <v>775</v>
      </c>
      <c r="E168" s="3" t="s">
        <v>87</v>
      </c>
      <c r="F168" s="3" t="s">
        <v>127</v>
      </c>
      <c r="G168" s="6">
        <v>150000</v>
      </c>
      <c r="H168" s="6">
        <f t="shared" si="4"/>
        <v>22881.355932203383</v>
      </c>
      <c r="I168" s="3" t="s">
        <v>18</v>
      </c>
      <c r="O168"/>
      <c r="P168"/>
      <c r="R168" s="87"/>
      <c r="S168" s="87"/>
    </row>
    <row r="169" spans="2:19" hidden="1" x14ac:dyDescent="0.25">
      <c r="B169" s="3" t="s">
        <v>1209</v>
      </c>
      <c r="C169" s="3" t="s">
        <v>35</v>
      </c>
      <c r="D169" s="3" t="s">
        <v>1283</v>
      </c>
      <c r="E169" s="3" t="s">
        <v>71</v>
      </c>
      <c r="F169" s="3" t="s">
        <v>127</v>
      </c>
      <c r="G169" s="6">
        <v>150000</v>
      </c>
      <c r="H169" s="6">
        <f t="shared" si="4"/>
        <v>22881.355932203383</v>
      </c>
      <c r="I169" s="3" t="s">
        <v>113</v>
      </c>
      <c r="O169"/>
      <c r="P169"/>
      <c r="R169" s="87"/>
      <c r="S169" s="87"/>
    </row>
    <row r="170" spans="2:19" hidden="1" x14ac:dyDescent="0.25">
      <c r="B170" s="3" t="s">
        <v>824</v>
      </c>
      <c r="C170" s="3" t="s">
        <v>29</v>
      </c>
      <c r="D170" s="3" t="s">
        <v>902</v>
      </c>
      <c r="E170" s="3" t="s">
        <v>87</v>
      </c>
      <c r="F170" s="3" t="s">
        <v>139</v>
      </c>
      <c r="G170" s="6">
        <v>12462.8</v>
      </c>
      <c r="H170" s="6">
        <f t="shared" si="4"/>
        <v>1901.1050847457627</v>
      </c>
      <c r="I170" s="3" t="s">
        <v>113</v>
      </c>
      <c r="O170"/>
      <c r="P170"/>
      <c r="R170" s="87"/>
      <c r="S170" s="87"/>
    </row>
    <row r="171" spans="2:19" hidden="1" x14ac:dyDescent="0.25">
      <c r="B171" s="3" t="s">
        <v>788</v>
      </c>
      <c r="C171" s="3" t="s">
        <v>29</v>
      </c>
      <c r="D171" s="3" t="s">
        <v>866</v>
      </c>
      <c r="E171" s="3" t="s">
        <v>87</v>
      </c>
      <c r="F171" s="3" t="s">
        <v>139</v>
      </c>
      <c r="G171" s="6">
        <v>83369.350000000006</v>
      </c>
      <c r="H171" s="6">
        <f t="shared" si="4"/>
        <v>12717.358474576264</v>
      </c>
      <c r="I171" s="3" t="s">
        <v>113</v>
      </c>
      <c r="O171"/>
      <c r="P171"/>
      <c r="R171" s="87"/>
      <c r="S171" s="87"/>
    </row>
    <row r="172" spans="2:19" hidden="1" x14ac:dyDescent="0.25">
      <c r="B172" s="3" t="s">
        <v>801</v>
      </c>
      <c r="C172" s="3" t="s">
        <v>29</v>
      </c>
      <c r="D172" s="3" t="s">
        <v>879</v>
      </c>
      <c r="E172" s="3" t="s">
        <v>87</v>
      </c>
      <c r="F172" s="3" t="s">
        <v>139</v>
      </c>
      <c r="G172" s="6">
        <v>98179.3</v>
      </c>
      <c r="H172" s="6">
        <f t="shared" si="4"/>
        <v>14976.503389830497</v>
      </c>
      <c r="I172" s="3" t="s">
        <v>113</v>
      </c>
      <c r="O172"/>
      <c r="P172"/>
      <c r="R172" s="87"/>
      <c r="S172" s="87"/>
    </row>
    <row r="173" spans="2:19" hidden="1" x14ac:dyDescent="0.25">
      <c r="B173" s="3" t="s">
        <v>825</v>
      </c>
      <c r="C173" s="3" t="s">
        <v>57</v>
      </c>
      <c r="D173" s="3" t="s">
        <v>903</v>
      </c>
      <c r="E173" s="3" t="s">
        <v>87</v>
      </c>
      <c r="F173" s="3" t="s">
        <v>139</v>
      </c>
      <c r="G173" s="6">
        <v>77024.740000000005</v>
      </c>
      <c r="H173" s="6">
        <f t="shared" si="4"/>
        <v>11749.536610169489</v>
      </c>
      <c r="I173" s="3" t="s">
        <v>113</v>
      </c>
      <c r="O173"/>
      <c r="P173"/>
      <c r="R173" s="87"/>
      <c r="S173" s="87"/>
    </row>
    <row r="174" spans="2:19" hidden="1" x14ac:dyDescent="0.25">
      <c r="B174" s="3" t="s">
        <v>1703</v>
      </c>
      <c r="C174" s="3" t="s">
        <v>57</v>
      </c>
      <c r="D174" s="3" t="s">
        <v>1701</v>
      </c>
      <c r="E174" s="3" t="s">
        <v>87</v>
      </c>
      <c r="F174" s="3" t="s">
        <v>139</v>
      </c>
      <c r="G174" s="6">
        <v>106536.44</v>
      </c>
      <c r="H174" s="6">
        <f t="shared" si="4"/>
        <v>16251.321355932203</v>
      </c>
      <c r="I174" s="3" t="s">
        <v>18</v>
      </c>
      <c r="O174"/>
      <c r="P174"/>
      <c r="R174" s="87"/>
      <c r="S174" s="87"/>
    </row>
    <row r="175" spans="2:19" hidden="1" x14ac:dyDescent="0.25">
      <c r="B175" s="3" t="s">
        <v>219</v>
      </c>
      <c r="C175" s="3" t="s">
        <v>99</v>
      </c>
      <c r="D175" s="3" t="s">
        <v>673</v>
      </c>
      <c r="E175" s="3" t="s">
        <v>105</v>
      </c>
      <c r="F175" s="3" t="s">
        <v>122</v>
      </c>
      <c r="G175" s="6">
        <v>204135</v>
      </c>
      <c r="H175" s="6">
        <f t="shared" si="4"/>
        <v>31139.237288135599</v>
      </c>
      <c r="I175" s="3" t="s">
        <v>113</v>
      </c>
      <c r="R175" s="87"/>
      <c r="S175" s="87"/>
    </row>
    <row r="176" spans="2:19" hidden="1" x14ac:dyDescent="0.25">
      <c r="B176" s="3" t="s">
        <v>221</v>
      </c>
      <c r="C176" s="3" t="s">
        <v>93</v>
      </c>
      <c r="D176" s="3" t="s">
        <v>527</v>
      </c>
      <c r="E176" s="3" t="s">
        <v>105</v>
      </c>
      <c r="F176" s="3" t="s">
        <v>122</v>
      </c>
      <c r="G176" s="6">
        <v>390373.72</v>
      </c>
      <c r="H176" s="6">
        <f t="shared" si="4"/>
        <v>59548.533559322008</v>
      </c>
      <c r="I176" s="6" t="s">
        <v>18</v>
      </c>
      <c r="R176" s="87"/>
      <c r="S176" s="87"/>
    </row>
    <row r="177" spans="2:19" hidden="1" x14ac:dyDescent="0.25">
      <c r="B177" s="3" t="s">
        <v>1542</v>
      </c>
      <c r="C177" s="3" t="s">
        <v>56</v>
      </c>
      <c r="D177" s="3" t="s">
        <v>534</v>
      </c>
      <c r="E177" s="3" t="s">
        <v>105</v>
      </c>
      <c r="F177" s="3" t="s">
        <v>125</v>
      </c>
      <c r="G177" s="6">
        <v>180000</v>
      </c>
      <c r="H177" s="6">
        <f t="shared" si="4"/>
        <v>27457.627118644072</v>
      </c>
      <c r="I177" s="3" t="s">
        <v>18</v>
      </c>
      <c r="O177"/>
      <c r="P177"/>
      <c r="R177" s="87"/>
      <c r="S177" s="87"/>
    </row>
    <row r="178" spans="2:19" hidden="1" x14ac:dyDescent="0.25">
      <c r="B178" s="3" t="s">
        <v>1608</v>
      </c>
      <c r="C178" s="3" t="s">
        <v>91</v>
      </c>
      <c r="D178" s="3" t="s">
        <v>1615</v>
      </c>
      <c r="E178" s="3" t="s">
        <v>701</v>
      </c>
      <c r="F178" s="3" t="s">
        <v>126</v>
      </c>
      <c r="G178" s="6">
        <v>1000000</v>
      </c>
      <c r="H178" s="6">
        <f t="shared" si="4"/>
        <v>152542.37288135593</v>
      </c>
      <c r="I178" s="3" t="s">
        <v>18</v>
      </c>
      <c r="R178" s="87"/>
      <c r="S178" s="87"/>
    </row>
    <row r="179" spans="2:19" hidden="1" x14ac:dyDescent="0.25">
      <c r="B179" s="3" t="s">
        <v>1607</v>
      </c>
      <c r="C179" s="3" t="s">
        <v>91</v>
      </c>
      <c r="D179" s="3" t="s">
        <v>1614</v>
      </c>
      <c r="E179" s="3" t="s">
        <v>701</v>
      </c>
      <c r="F179" s="3" t="s">
        <v>126</v>
      </c>
      <c r="G179" s="6">
        <v>1050000</v>
      </c>
      <c r="H179" s="6">
        <f t="shared" si="4"/>
        <v>160169.49152542371</v>
      </c>
      <c r="I179" s="3" t="s">
        <v>18</v>
      </c>
      <c r="R179" s="87"/>
      <c r="S179" s="87"/>
    </row>
    <row r="180" spans="2:19" hidden="1" x14ac:dyDescent="0.25">
      <c r="B180" s="3" t="s">
        <v>1606</v>
      </c>
      <c r="C180" s="3" t="s">
        <v>91</v>
      </c>
      <c r="D180" s="3" t="s">
        <v>1613</v>
      </c>
      <c r="E180" s="3" t="s">
        <v>701</v>
      </c>
      <c r="F180" s="3" t="s">
        <v>126</v>
      </c>
      <c r="G180" s="6">
        <v>450000</v>
      </c>
      <c r="H180" s="6">
        <f t="shared" si="4"/>
        <v>68644.067796610121</v>
      </c>
      <c r="I180" s="3" t="s">
        <v>18</v>
      </c>
      <c r="R180" s="87"/>
      <c r="S180" s="87"/>
    </row>
    <row r="181" spans="2:19" ht="17.25" hidden="1" x14ac:dyDescent="0.25">
      <c r="B181" s="3" t="s">
        <v>299</v>
      </c>
      <c r="C181" s="3" t="s">
        <v>95</v>
      </c>
      <c r="D181" s="3" t="s">
        <v>316</v>
      </c>
      <c r="E181" s="3" t="s">
        <v>90</v>
      </c>
      <c r="F181" s="3" t="s">
        <v>121</v>
      </c>
      <c r="G181" s="6">
        <v>16983.310000000001</v>
      </c>
      <c r="H181" s="6">
        <f t="shared" si="4"/>
        <v>2590.6744067796608</v>
      </c>
      <c r="I181" s="6" t="s">
        <v>18</v>
      </c>
      <c r="J181" t="s">
        <v>667</v>
      </c>
      <c r="L181">
        <v>227.6</v>
      </c>
      <c r="O181"/>
      <c r="P181" t="s">
        <v>600</v>
      </c>
      <c r="R181" s="87"/>
      <c r="S181" s="87"/>
    </row>
    <row r="182" spans="2:19" hidden="1" x14ac:dyDescent="0.25">
      <c r="B182" s="3" t="s">
        <v>504</v>
      </c>
      <c r="C182" s="3" t="s">
        <v>43</v>
      </c>
      <c r="D182" s="3" t="s">
        <v>501</v>
      </c>
      <c r="E182" s="3" t="s">
        <v>90</v>
      </c>
      <c r="F182" s="3" t="s">
        <v>120</v>
      </c>
      <c r="G182" s="6">
        <v>16147.62</v>
      </c>
      <c r="H182" s="6">
        <f t="shared" si="4"/>
        <v>2463.1962711864398</v>
      </c>
      <c r="I182" s="3" t="s">
        <v>113</v>
      </c>
      <c r="O182"/>
      <c r="P182"/>
      <c r="R182" s="87"/>
      <c r="S182" s="87"/>
    </row>
    <row r="183" spans="2:19" hidden="1" x14ac:dyDescent="0.25">
      <c r="B183" s="3" t="s">
        <v>703</v>
      </c>
      <c r="C183" s="3"/>
      <c r="D183" s="3" t="s">
        <v>1611</v>
      </c>
      <c r="E183" s="3" t="s">
        <v>701</v>
      </c>
      <c r="F183" s="3" t="s">
        <v>139</v>
      </c>
      <c r="G183" s="6">
        <v>2300000</v>
      </c>
      <c r="H183" s="6">
        <f t="shared" si="4"/>
        <v>350847.45762711857</v>
      </c>
      <c r="I183" s="3" t="s">
        <v>18</v>
      </c>
      <c r="O183"/>
      <c r="P183"/>
      <c r="R183" s="87"/>
      <c r="S183" s="87"/>
    </row>
    <row r="184" spans="2:19" hidden="1" x14ac:dyDescent="0.25">
      <c r="B184" s="3" t="s">
        <v>375</v>
      </c>
      <c r="C184" s="3" t="s">
        <v>32</v>
      </c>
      <c r="D184" s="3" t="s">
        <v>373</v>
      </c>
      <c r="E184" s="3" t="s">
        <v>71</v>
      </c>
      <c r="F184" s="3" t="s">
        <v>120</v>
      </c>
      <c r="G184" s="6">
        <v>639767</v>
      </c>
      <c r="H184" s="6">
        <f t="shared" si="4"/>
        <v>97591.576271186466</v>
      </c>
      <c r="I184" s="3" t="s">
        <v>113</v>
      </c>
      <c r="R184" s="87"/>
      <c r="S184" s="87"/>
    </row>
    <row r="185" spans="2:19" hidden="1" x14ac:dyDescent="0.25">
      <c r="B185" s="3" t="s">
        <v>385</v>
      </c>
      <c r="C185" s="3" t="s">
        <v>35</v>
      </c>
      <c r="D185" s="3" t="s">
        <v>383</v>
      </c>
      <c r="E185" s="3" t="s">
        <v>71</v>
      </c>
      <c r="F185" s="3" t="s">
        <v>120</v>
      </c>
      <c r="G185" s="6">
        <v>73100</v>
      </c>
      <c r="H185" s="6">
        <f t="shared" si="4"/>
        <v>11150.847457627118</v>
      </c>
      <c r="I185" s="3" t="s">
        <v>113</v>
      </c>
      <c r="R185" s="87"/>
      <c r="S185" s="87"/>
    </row>
    <row r="186" spans="2:19" hidden="1" x14ac:dyDescent="0.25">
      <c r="B186" s="3" t="s">
        <v>381</v>
      </c>
      <c r="C186" s="3" t="s">
        <v>32</v>
      </c>
      <c r="D186" s="3" t="s">
        <v>379</v>
      </c>
      <c r="E186" s="3" t="s">
        <v>71</v>
      </c>
      <c r="F186" s="3" t="s">
        <v>120</v>
      </c>
      <c r="G186" s="6">
        <v>49923</v>
      </c>
      <c r="H186" s="6">
        <f t="shared" si="4"/>
        <v>7615.3728813559283</v>
      </c>
      <c r="I186" s="3" t="s">
        <v>113</v>
      </c>
      <c r="O186"/>
      <c r="P186"/>
      <c r="R186" s="87"/>
      <c r="S186" s="87"/>
    </row>
    <row r="187" spans="2:19" hidden="1" x14ac:dyDescent="0.25">
      <c r="B187" s="3" t="s">
        <v>391</v>
      </c>
      <c r="C187" s="3" t="s">
        <v>35</v>
      </c>
      <c r="D187" s="3" t="s">
        <v>390</v>
      </c>
      <c r="E187" s="3" t="s">
        <v>71</v>
      </c>
      <c r="F187" s="3" t="s">
        <v>120</v>
      </c>
      <c r="G187" s="6">
        <v>113668</v>
      </c>
      <c r="H187" s="6">
        <f t="shared" si="4"/>
        <v>17339.186440677964</v>
      </c>
      <c r="I187" s="3" t="s">
        <v>113</v>
      </c>
      <c r="O187"/>
      <c r="P187"/>
      <c r="R187" s="87"/>
      <c r="S187" s="87"/>
    </row>
    <row r="188" spans="2:19" hidden="1" x14ac:dyDescent="0.25">
      <c r="B188" s="3" t="s">
        <v>382</v>
      </c>
      <c r="C188" s="3" t="s">
        <v>33</v>
      </c>
      <c r="D188" s="8" t="s">
        <v>548</v>
      </c>
      <c r="E188" s="8" t="s">
        <v>71</v>
      </c>
      <c r="F188" s="3" t="s">
        <v>120</v>
      </c>
      <c r="G188" s="6">
        <v>1768</v>
      </c>
      <c r="H188" s="6">
        <f t="shared" si="4"/>
        <v>269.69491525423723</v>
      </c>
      <c r="I188" s="3" t="s">
        <v>113</v>
      </c>
      <c r="O188"/>
      <c r="P188"/>
      <c r="R188" s="87"/>
      <c r="S188" s="87"/>
    </row>
    <row r="189" spans="2:19" hidden="1" x14ac:dyDescent="0.25">
      <c r="B189" s="3" t="s">
        <v>591</v>
      </c>
      <c r="C189" s="3" t="s">
        <v>34</v>
      </c>
      <c r="D189" s="8" t="s">
        <v>593</v>
      </c>
      <c r="E189" s="8" t="s">
        <v>71</v>
      </c>
      <c r="F189" s="3" t="s">
        <v>120</v>
      </c>
      <c r="G189" s="6">
        <v>67163</v>
      </c>
      <c r="H189" s="6">
        <f t="shared" si="4"/>
        <v>10245.203389830509</v>
      </c>
      <c r="I189" s="3" t="s">
        <v>113</v>
      </c>
      <c r="O189"/>
      <c r="P189"/>
      <c r="R189" s="87"/>
      <c r="S189" s="87"/>
    </row>
    <row r="190" spans="2:19" hidden="1" x14ac:dyDescent="0.25">
      <c r="B190" s="3" t="s">
        <v>591</v>
      </c>
      <c r="C190" s="3" t="s">
        <v>34</v>
      </c>
      <c r="D190" s="8" t="s">
        <v>593</v>
      </c>
      <c r="E190" s="8" t="s">
        <v>71</v>
      </c>
      <c r="F190" s="3" t="s">
        <v>120</v>
      </c>
      <c r="G190" s="6">
        <v>404.25</v>
      </c>
      <c r="H190" s="6">
        <f t="shared" si="4"/>
        <v>61.665254237288138</v>
      </c>
      <c r="I190" s="3" t="s">
        <v>113</v>
      </c>
      <c r="O190"/>
      <c r="P190"/>
      <c r="R190" s="87"/>
      <c r="S190" s="87"/>
    </row>
    <row r="191" spans="2:19" hidden="1" x14ac:dyDescent="0.25">
      <c r="B191" s="3" t="s">
        <v>400</v>
      </c>
      <c r="C191" s="3" t="s">
        <v>35</v>
      </c>
      <c r="D191" s="8" t="s">
        <v>398</v>
      </c>
      <c r="E191" s="8" t="s">
        <v>71</v>
      </c>
      <c r="F191" s="3" t="s">
        <v>120</v>
      </c>
      <c r="G191" s="6">
        <v>23706</v>
      </c>
      <c r="H191" s="6">
        <f t="shared" si="4"/>
        <v>3616.1694915254229</v>
      </c>
      <c r="I191" s="3" t="s">
        <v>113</v>
      </c>
      <c r="O191"/>
      <c r="P191"/>
      <c r="R191" s="87"/>
      <c r="S191" s="87"/>
    </row>
    <row r="192" spans="2:19" hidden="1" x14ac:dyDescent="0.25">
      <c r="B192" s="3" t="s">
        <v>375</v>
      </c>
      <c r="C192" s="3" t="s">
        <v>32</v>
      </c>
      <c r="D192" s="8" t="s">
        <v>373</v>
      </c>
      <c r="E192" s="8" t="s">
        <v>71</v>
      </c>
      <c r="F192" s="3" t="s">
        <v>120</v>
      </c>
      <c r="G192" s="6">
        <v>29617</v>
      </c>
      <c r="H192" s="6">
        <f t="shared" si="4"/>
        <v>4517.8474576271183</v>
      </c>
      <c r="I192" s="3" t="s">
        <v>113</v>
      </c>
      <c r="O192"/>
      <c r="P192"/>
      <c r="R192" s="87"/>
      <c r="S192" s="87"/>
    </row>
    <row r="193" spans="2:19" hidden="1" x14ac:dyDescent="0.25">
      <c r="B193" s="3" t="s">
        <v>595</v>
      </c>
      <c r="C193" s="3" t="s">
        <v>4</v>
      </c>
      <c r="D193" s="8" t="s">
        <v>594</v>
      </c>
      <c r="E193" s="8" t="s">
        <v>71</v>
      </c>
      <c r="F193" s="3" t="s">
        <v>120</v>
      </c>
      <c r="G193" s="6">
        <v>9327.5</v>
      </c>
      <c r="H193" s="6">
        <f t="shared" si="4"/>
        <v>1422.8389830508468</v>
      </c>
      <c r="I193" s="3" t="s">
        <v>113</v>
      </c>
      <c r="O193"/>
      <c r="P193"/>
      <c r="R193" s="87"/>
      <c r="S193" s="87"/>
    </row>
    <row r="194" spans="2:19" hidden="1" x14ac:dyDescent="0.25">
      <c r="B194" s="3" t="s">
        <v>584</v>
      </c>
      <c r="C194" s="3" t="s">
        <v>17</v>
      </c>
      <c r="D194" s="8" t="s">
        <v>583</v>
      </c>
      <c r="E194" s="8" t="s">
        <v>71</v>
      </c>
      <c r="F194" s="3" t="s">
        <v>120</v>
      </c>
      <c r="G194" s="6">
        <v>1060.5</v>
      </c>
      <c r="H194" s="6">
        <f t="shared" si="4"/>
        <v>161.77118644067787</v>
      </c>
      <c r="I194" s="3" t="s">
        <v>113</v>
      </c>
      <c r="O194"/>
      <c r="P194"/>
      <c r="R194" s="87"/>
      <c r="S194" s="87"/>
    </row>
    <row r="195" spans="2:19" hidden="1" x14ac:dyDescent="0.25">
      <c r="B195" s="3" t="s">
        <v>626</v>
      </c>
      <c r="C195" s="3" t="s">
        <v>35</v>
      </c>
      <c r="D195" s="8" t="s">
        <v>625</v>
      </c>
      <c r="E195" s="8" t="s">
        <v>71</v>
      </c>
      <c r="F195" s="3" t="s">
        <v>120</v>
      </c>
      <c r="G195" s="6">
        <v>4655</v>
      </c>
      <c r="H195" s="6">
        <f t="shared" si="4"/>
        <v>710.08474576271146</v>
      </c>
      <c r="I195" s="3" t="s">
        <v>113</v>
      </c>
      <c r="O195"/>
      <c r="P195"/>
      <c r="R195" s="87"/>
      <c r="S195" s="87"/>
    </row>
    <row r="196" spans="2:19" hidden="1" x14ac:dyDescent="0.25">
      <c r="B196" s="3" t="s">
        <v>334</v>
      </c>
      <c r="C196" s="3" t="s">
        <v>96</v>
      </c>
      <c r="D196" s="3" t="s">
        <v>348</v>
      </c>
      <c r="E196" s="3" t="s">
        <v>71</v>
      </c>
      <c r="F196" s="3" t="s">
        <v>121</v>
      </c>
      <c r="G196" s="6">
        <v>60450</v>
      </c>
      <c r="H196" s="6">
        <f t="shared" si="4"/>
        <v>9221.1864406779641</v>
      </c>
      <c r="I196" s="6" t="s">
        <v>18</v>
      </c>
      <c r="J196" t="s">
        <v>647</v>
      </c>
      <c r="K196">
        <v>747</v>
      </c>
      <c r="L196">
        <v>831</v>
      </c>
      <c r="M196">
        <f>K196*1.75</f>
        <v>1307.25</v>
      </c>
      <c r="N196">
        <v>79</v>
      </c>
      <c r="O196" s="79">
        <f t="shared" ref="O196:O211" si="5">G196/L196</f>
        <v>72.74368231046931</v>
      </c>
      <c r="P196" t="s">
        <v>600</v>
      </c>
      <c r="R196" s="87">
        <v>60450</v>
      </c>
      <c r="S196" s="87">
        <v>1307.25</v>
      </c>
    </row>
    <row r="197" spans="2:19" hidden="1" x14ac:dyDescent="0.25">
      <c r="B197" s="3" t="s">
        <v>334</v>
      </c>
      <c r="C197" s="3" t="s">
        <v>96</v>
      </c>
      <c r="D197" s="3" t="s">
        <v>348</v>
      </c>
      <c r="E197" s="3" t="s">
        <v>71</v>
      </c>
      <c r="F197" s="3" t="s">
        <v>121</v>
      </c>
      <c r="G197" s="6">
        <v>60362</v>
      </c>
      <c r="H197" s="6">
        <f t="shared" si="4"/>
        <v>9207.7627118644014</v>
      </c>
      <c r="I197" s="6" t="s">
        <v>18</v>
      </c>
      <c r="J197" t="s">
        <v>648</v>
      </c>
      <c r="K197">
        <v>797</v>
      </c>
      <c r="L197">
        <v>814</v>
      </c>
      <c r="M197">
        <f>K197*1.75</f>
        <v>1394.75</v>
      </c>
      <c r="N197">
        <v>69</v>
      </c>
      <c r="O197" s="79">
        <f t="shared" si="5"/>
        <v>74.154791154791155</v>
      </c>
      <c r="P197" t="s">
        <v>600</v>
      </c>
      <c r="R197" s="87">
        <v>60362</v>
      </c>
      <c r="S197" s="87">
        <v>1394.75</v>
      </c>
    </row>
    <row r="198" spans="2:19" hidden="1" x14ac:dyDescent="0.25">
      <c r="B198" s="3" t="s">
        <v>334</v>
      </c>
      <c r="C198" s="3" t="s">
        <v>96</v>
      </c>
      <c r="D198" s="3" t="s">
        <v>348</v>
      </c>
      <c r="E198" s="3" t="s">
        <v>71</v>
      </c>
      <c r="F198" s="3" t="s">
        <v>121</v>
      </c>
      <c r="G198" s="6">
        <v>180725</v>
      </c>
      <c r="H198" s="6">
        <f t="shared" si="4"/>
        <v>27568.220338983054</v>
      </c>
      <c r="I198" s="6" t="s">
        <v>18</v>
      </c>
      <c r="J198" t="s">
        <v>649</v>
      </c>
      <c r="K198">
        <v>3455</v>
      </c>
      <c r="L198">
        <v>3536</v>
      </c>
      <c r="M198">
        <f>K198*1.75</f>
        <v>6046.25</v>
      </c>
      <c r="N198">
        <v>0</v>
      </c>
      <c r="O198" s="79">
        <f t="shared" si="5"/>
        <v>51.110011312217196</v>
      </c>
      <c r="P198" t="s">
        <v>600</v>
      </c>
      <c r="R198" s="87">
        <v>180725</v>
      </c>
      <c r="S198" s="87">
        <v>6046.25</v>
      </c>
    </row>
    <row r="199" spans="2:19" hidden="1" x14ac:dyDescent="0.25">
      <c r="B199" s="3" t="s">
        <v>334</v>
      </c>
      <c r="C199" s="3" t="s">
        <v>96</v>
      </c>
      <c r="D199" s="3" t="s">
        <v>348</v>
      </c>
      <c r="E199" s="3" t="s">
        <v>71</v>
      </c>
      <c r="F199" s="3" t="s">
        <v>121</v>
      </c>
      <c r="G199" s="6">
        <v>125958</v>
      </c>
      <c r="H199" s="6">
        <f t="shared" si="4"/>
        <v>19213.932203389821</v>
      </c>
      <c r="I199" s="6" t="s">
        <v>18</v>
      </c>
      <c r="J199" t="s">
        <v>650</v>
      </c>
      <c r="K199">
        <v>2737</v>
      </c>
      <c r="L199">
        <v>2745</v>
      </c>
      <c r="M199">
        <f>K199*1.75</f>
        <v>4789.75</v>
      </c>
      <c r="N199">
        <v>0</v>
      </c>
      <c r="O199" s="79">
        <f t="shared" si="5"/>
        <v>45.886338797814204</v>
      </c>
      <c r="P199" t="s">
        <v>600</v>
      </c>
      <c r="R199" s="87">
        <v>125958</v>
      </c>
      <c r="S199" s="87">
        <v>4789.75</v>
      </c>
    </row>
    <row r="200" spans="2:19" hidden="1" x14ac:dyDescent="0.25">
      <c r="B200" s="3" t="s">
        <v>334</v>
      </c>
      <c r="C200" s="3" t="s">
        <v>96</v>
      </c>
      <c r="D200" s="3" t="s">
        <v>348</v>
      </c>
      <c r="E200" s="3" t="s">
        <v>71</v>
      </c>
      <c r="F200" s="3" t="s">
        <v>121</v>
      </c>
      <c r="G200" s="6">
        <v>48697</v>
      </c>
      <c r="H200" s="6">
        <f t="shared" si="4"/>
        <v>7428.3559322033907</v>
      </c>
      <c r="I200" s="6" t="s">
        <v>18</v>
      </c>
      <c r="J200" t="s">
        <v>651</v>
      </c>
      <c r="L200">
        <v>554</v>
      </c>
      <c r="N200">
        <v>66</v>
      </c>
      <c r="O200" s="79">
        <f t="shared" si="5"/>
        <v>87.900722021660656</v>
      </c>
      <c r="P200" t="s">
        <v>600</v>
      </c>
      <c r="R200" s="87">
        <v>48697</v>
      </c>
      <c r="S200" s="87">
        <v>897.75</v>
      </c>
    </row>
    <row r="201" spans="2:19" hidden="1" x14ac:dyDescent="0.25">
      <c r="B201" s="3" t="s">
        <v>334</v>
      </c>
      <c r="C201" s="3" t="s">
        <v>96</v>
      </c>
      <c r="D201" s="3" t="s">
        <v>348</v>
      </c>
      <c r="E201" s="3" t="s">
        <v>71</v>
      </c>
      <c r="F201" s="3" t="s">
        <v>121</v>
      </c>
      <c r="G201" s="6">
        <v>60980</v>
      </c>
      <c r="H201" s="6">
        <f t="shared" si="4"/>
        <v>9302.0338983050824</v>
      </c>
      <c r="I201" s="6" t="s">
        <v>18</v>
      </c>
      <c r="J201" t="s">
        <v>652</v>
      </c>
      <c r="L201">
        <v>810</v>
      </c>
      <c r="N201">
        <v>81</v>
      </c>
      <c r="O201" s="79">
        <f t="shared" si="5"/>
        <v>75.283950617283949</v>
      </c>
      <c r="P201" t="s">
        <v>600</v>
      </c>
      <c r="R201" s="87">
        <v>60980</v>
      </c>
      <c r="S201" s="87">
        <v>1400</v>
      </c>
    </row>
    <row r="202" spans="2:19" hidden="1" x14ac:dyDescent="0.25">
      <c r="B202" s="3" t="s">
        <v>334</v>
      </c>
      <c r="C202" s="3" t="s">
        <v>96</v>
      </c>
      <c r="D202" s="3" t="s">
        <v>348</v>
      </c>
      <c r="E202" s="3" t="s">
        <v>71</v>
      </c>
      <c r="F202" s="3" t="s">
        <v>121</v>
      </c>
      <c r="G202" s="6">
        <v>62487</v>
      </c>
      <c r="H202" s="6">
        <f t="shared" si="4"/>
        <v>9531.9152542372831</v>
      </c>
      <c r="I202" s="6" t="s">
        <v>18</v>
      </c>
      <c r="J202" t="s">
        <v>653</v>
      </c>
      <c r="L202">
        <v>819</v>
      </c>
      <c r="N202">
        <v>81</v>
      </c>
      <c r="O202" s="79">
        <f t="shared" si="5"/>
        <v>76.296703296703299</v>
      </c>
      <c r="P202" t="s">
        <v>600</v>
      </c>
      <c r="R202" s="87">
        <v>62487</v>
      </c>
      <c r="S202" s="87">
        <v>1475.25</v>
      </c>
    </row>
    <row r="203" spans="2:19" hidden="1" x14ac:dyDescent="0.25">
      <c r="B203" s="3" t="s">
        <v>334</v>
      </c>
      <c r="C203" s="3" t="s">
        <v>96</v>
      </c>
      <c r="D203" s="3" t="s">
        <v>348</v>
      </c>
      <c r="E203" s="3" t="s">
        <v>71</v>
      </c>
      <c r="F203" s="3" t="s">
        <v>121</v>
      </c>
      <c r="G203" s="6">
        <v>46690</v>
      </c>
      <c r="H203" s="6">
        <f t="shared" si="4"/>
        <v>7122.203389830509</v>
      </c>
      <c r="I203" s="6" t="s">
        <v>18</v>
      </c>
      <c r="J203" t="s">
        <v>654</v>
      </c>
      <c r="K203">
        <v>442</v>
      </c>
      <c r="L203">
        <v>446</v>
      </c>
      <c r="M203">
        <f>K203*1.75</f>
        <v>773.5</v>
      </c>
      <c r="N203">
        <v>2</v>
      </c>
      <c r="O203" s="79">
        <f t="shared" si="5"/>
        <v>104.68609865470852</v>
      </c>
      <c r="P203" t="s">
        <v>600</v>
      </c>
      <c r="R203" s="87">
        <v>46690</v>
      </c>
      <c r="S203" s="87">
        <v>773.5</v>
      </c>
    </row>
    <row r="204" spans="2:19" hidden="1" x14ac:dyDescent="0.25">
      <c r="B204" s="3" t="s">
        <v>334</v>
      </c>
      <c r="C204" s="3" t="s">
        <v>96</v>
      </c>
      <c r="D204" s="3" t="s">
        <v>348</v>
      </c>
      <c r="E204" s="3" t="s">
        <v>71</v>
      </c>
      <c r="F204" s="3" t="s">
        <v>121</v>
      </c>
      <c r="G204" s="6">
        <v>88896</v>
      </c>
      <c r="H204" s="6">
        <f t="shared" si="4"/>
        <v>13560.406779661018</v>
      </c>
      <c r="I204" s="6" t="s">
        <v>18</v>
      </c>
      <c r="J204" t="s">
        <v>655</v>
      </c>
      <c r="K204">
        <v>2106</v>
      </c>
      <c r="L204">
        <v>1964</v>
      </c>
      <c r="M204">
        <f>K204*1.75</f>
        <v>3685.5</v>
      </c>
      <c r="N204">
        <v>84</v>
      </c>
      <c r="O204" s="79">
        <f t="shared" si="5"/>
        <v>45.262729124236252</v>
      </c>
      <c r="P204" t="s">
        <v>600</v>
      </c>
      <c r="R204" s="87">
        <v>88896</v>
      </c>
      <c r="S204" s="87">
        <v>3685.5</v>
      </c>
    </row>
    <row r="205" spans="2:19" hidden="1" x14ac:dyDescent="0.25">
      <c r="B205" s="3" t="s">
        <v>334</v>
      </c>
      <c r="C205" s="3" t="s">
        <v>96</v>
      </c>
      <c r="D205" s="3" t="s">
        <v>348</v>
      </c>
      <c r="E205" s="3" t="s">
        <v>71</v>
      </c>
      <c r="F205" s="3" t="s">
        <v>121</v>
      </c>
      <c r="G205" s="6">
        <v>112289</v>
      </c>
      <c r="H205" s="6">
        <f t="shared" si="4"/>
        <v>17128.830508474566</v>
      </c>
      <c r="I205" s="6" t="s">
        <v>18</v>
      </c>
      <c r="J205" t="s">
        <v>657</v>
      </c>
      <c r="L205">
        <v>2249</v>
      </c>
      <c r="N205">
        <v>132</v>
      </c>
      <c r="O205" s="79">
        <f t="shared" si="5"/>
        <v>49.928412627834597</v>
      </c>
      <c r="P205" t="s">
        <v>600</v>
      </c>
      <c r="R205" s="87">
        <v>112289</v>
      </c>
      <c r="S205" s="87">
        <v>4060</v>
      </c>
    </row>
    <row r="206" spans="2:19" hidden="1" x14ac:dyDescent="0.25">
      <c r="B206" s="3" t="s">
        <v>334</v>
      </c>
      <c r="C206" s="3" t="s">
        <v>96</v>
      </c>
      <c r="D206" s="3" t="s">
        <v>348</v>
      </c>
      <c r="E206" s="3" t="s">
        <v>71</v>
      </c>
      <c r="F206" s="3" t="s">
        <v>121</v>
      </c>
      <c r="G206" s="6">
        <v>86109</v>
      </c>
      <c r="H206" s="6">
        <f t="shared" si="4"/>
        <v>13135.271186440674</v>
      </c>
      <c r="I206" s="6" t="s">
        <v>18</v>
      </c>
      <c r="J206" t="s">
        <v>658</v>
      </c>
      <c r="L206">
        <v>1783</v>
      </c>
      <c r="N206">
        <v>88</v>
      </c>
      <c r="O206" s="79">
        <f t="shared" si="5"/>
        <v>48.294447560291644</v>
      </c>
      <c r="P206" t="s">
        <v>600</v>
      </c>
      <c r="R206" s="87">
        <v>86109</v>
      </c>
      <c r="S206" s="87">
        <v>2196.25</v>
      </c>
    </row>
    <row r="207" spans="2:19" hidden="1" x14ac:dyDescent="0.25">
      <c r="B207" s="3" t="s">
        <v>334</v>
      </c>
      <c r="C207" s="3" t="s">
        <v>96</v>
      </c>
      <c r="D207" s="3" t="s">
        <v>348</v>
      </c>
      <c r="E207" s="3" t="s">
        <v>71</v>
      </c>
      <c r="F207" s="3" t="s">
        <v>121</v>
      </c>
      <c r="G207" s="6">
        <v>43055</v>
      </c>
      <c r="H207" s="6">
        <f t="shared" si="4"/>
        <v>6567.7118644067741</v>
      </c>
      <c r="I207" s="6" t="s">
        <v>18</v>
      </c>
      <c r="J207" t="s">
        <v>659</v>
      </c>
      <c r="L207">
        <v>877</v>
      </c>
      <c r="N207">
        <v>47</v>
      </c>
      <c r="O207" s="79">
        <f t="shared" si="5"/>
        <v>49.093500570125428</v>
      </c>
      <c r="P207" t="s">
        <v>600</v>
      </c>
      <c r="R207" s="87">
        <v>43055</v>
      </c>
      <c r="S207" s="87">
        <v>1475.25</v>
      </c>
    </row>
    <row r="208" spans="2:19" hidden="1" x14ac:dyDescent="0.25">
      <c r="B208" s="3" t="s">
        <v>334</v>
      </c>
      <c r="C208" s="3" t="s">
        <v>96</v>
      </c>
      <c r="D208" s="3" t="s">
        <v>348</v>
      </c>
      <c r="E208" s="3" t="s">
        <v>71</v>
      </c>
      <c r="F208" s="3" t="s">
        <v>121</v>
      </c>
      <c r="G208" s="6">
        <v>54798</v>
      </c>
      <c r="H208" s="6">
        <f t="shared" si="4"/>
        <v>8359.0169491525376</v>
      </c>
      <c r="I208" s="6" t="s">
        <v>18</v>
      </c>
      <c r="J208" t="s">
        <v>660</v>
      </c>
      <c r="L208">
        <v>669</v>
      </c>
      <c r="N208">
        <v>0</v>
      </c>
      <c r="O208" s="79">
        <f t="shared" si="5"/>
        <v>81.91031390134529</v>
      </c>
      <c r="P208" t="s">
        <v>600</v>
      </c>
      <c r="R208" s="87">
        <v>54798</v>
      </c>
      <c r="S208" s="87">
        <v>1163.75</v>
      </c>
    </row>
    <row r="209" spans="2:19" hidden="1" x14ac:dyDescent="0.25">
      <c r="B209" s="3" t="s">
        <v>334</v>
      </c>
      <c r="C209" s="3" t="s">
        <v>96</v>
      </c>
      <c r="D209" s="3" t="s">
        <v>348</v>
      </c>
      <c r="E209" s="3" t="s">
        <v>71</v>
      </c>
      <c r="F209" s="3" t="s">
        <v>121</v>
      </c>
      <c r="G209" s="6">
        <v>47438</v>
      </c>
      <c r="H209" s="6">
        <f t="shared" si="4"/>
        <v>7236.3050847457635</v>
      </c>
      <c r="I209" s="6" t="s">
        <v>18</v>
      </c>
      <c r="J209" t="s">
        <v>661</v>
      </c>
      <c r="L209">
        <v>499</v>
      </c>
      <c r="N209">
        <v>0</v>
      </c>
      <c r="O209" s="79">
        <f t="shared" si="5"/>
        <v>95.06613226452906</v>
      </c>
      <c r="P209" t="s">
        <v>600</v>
      </c>
      <c r="R209" s="87">
        <v>47438</v>
      </c>
      <c r="S209" s="87">
        <v>820.75</v>
      </c>
    </row>
    <row r="210" spans="2:19" hidden="1" x14ac:dyDescent="0.25">
      <c r="B210" s="3" t="s">
        <v>334</v>
      </c>
      <c r="C210" s="3" t="s">
        <v>96</v>
      </c>
      <c r="D210" s="3" t="s">
        <v>348</v>
      </c>
      <c r="E210" s="3" t="s">
        <v>71</v>
      </c>
      <c r="F210" s="3" t="s">
        <v>121</v>
      </c>
      <c r="G210" s="6">
        <v>3679</v>
      </c>
      <c r="H210" s="6">
        <f t="shared" si="4"/>
        <v>561.20338983050851</v>
      </c>
      <c r="I210" s="6" t="s">
        <v>18</v>
      </c>
      <c r="J210" t="s">
        <v>662</v>
      </c>
      <c r="K210">
        <v>36</v>
      </c>
      <c r="L210">
        <v>30</v>
      </c>
      <c r="M210">
        <f>K210*1.75</f>
        <v>63</v>
      </c>
      <c r="N210">
        <v>0</v>
      </c>
      <c r="O210" s="79">
        <f t="shared" si="5"/>
        <v>122.63333333333334</v>
      </c>
      <c r="P210" t="s">
        <v>600</v>
      </c>
      <c r="R210" s="87">
        <v>3679</v>
      </c>
      <c r="S210" s="87">
        <v>63</v>
      </c>
    </row>
    <row r="211" spans="2:19" hidden="1" x14ac:dyDescent="0.25">
      <c r="B211" s="3" t="s">
        <v>334</v>
      </c>
      <c r="C211" s="3" t="s">
        <v>96</v>
      </c>
      <c r="D211" s="3" t="s">
        <v>348</v>
      </c>
      <c r="E211" s="3" t="s">
        <v>71</v>
      </c>
      <c r="F211" s="3" t="s">
        <v>121</v>
      </c>
      <c r="G211" s="6">
        <v>73988</v>
      </c>
      <c r="H211" s="6">
        <f t="shared" si="4"/>
        <v>11286.305084745756</v>
      </c>
      <c r="I211" s="6" t="s">
        <v>18</v>
      </c>
      <c r="J211" t="s">
        <v>663</v>
      </c>
      <c r="K211">
        <v>1687</v>
      </c>
      <c r="L211">
        <v>1624</v>
      </c>
      <c r="M211">
        <f>K211*1.75</f>
        <v>2952.25</v>
      </c>
      <c r="N211">
        <v>0</v>
      </c>
      <c r="O211" s="79">
        <f t="shared" si="5"/>
        <v>45.559113300492612</v>
      </c>
      <c r="P211" t="s">
        <v>600</v>
      </c>
      <c r="R211" s="87">
        <v>73988</v>
      </c>
      <c r="S211" s="87">
        <v>2952.25</v>
      </c>
    </row>
    <row r="212" spans="2:19" hidden="1" x14ac:dyDescent="0.25">
      <c r="B212" s="3" t="s">
        <v>334</v>
      </c>
      <c r="C212" s="3" t="s">
        <v>96</v>
      </c>
      <c r="D212" s="3" t="s">
        <v>348</v>
      </c>
      <c r="E212" s="3" t="s">
        <v>71</v>
      </c>
      <c r="F212" s="3" t="s">
        <v>121</v>
      </c>
      <c r="G212" s="6">
        <v>21012.25</v>
      </c>
      <c r="H212" s="6">
        <f t="shared" si="4"/>
        <v>3205.2584745762688</v>
      </c>
      <c r="I212" s="6" t="s">
        <v>18</v>
      </c>
      <c r="J212" s="88" t="s">
        <v>664</v>
      </c>
      <c r="O212"/>
      <c r="P212" t="s">
        <v>1593</v>
      </c>
      <c r="R212" s="87"/>
      <c r="S212" s="87"/>
    </row>
    <row r="213" spans="2:19" hidden="1" x14ac:dyDescent="0.25">
      <c r="B213" s="3" t="s">
        <v>568</v>
      </c>
      <c r="C213" s="3" t="s">
        <v>97</v>
      </c>
      <c r="D213" s="3" t="s">
        <v>575</v>
      </c>
      <c r="E213" s="3" t="s">
        <v>71</v>
      </c>
      <c r="F213" s="3" t="s">
        <v>121</v>
      </c>
      <c r="G213" s="6">
        <f>70+29006</f>
        <v>29076</v>
      </c>
      <c r="H213" s="6">
        <f t="shared" si="4"/>
        <v>4435.3220338983047</v>
      </c>
      <c r="I213" s="6" t="s">
        <v>18</v>
      </c>
      <c r="J213" s="18"/>
      <c r="O213"/>
      <c r="P213"/>
      <c r="R213" s="87"/>
      <c r="S213" s="87"/>
    </row>
    <row r="214" spans="2:19" hidden="1" x14ac:dyDescent="0.25">
      <c r="B214" s="3" t="s">
        <v>584</v>
      </c>
      <c r="C214" s="3" t="s">
        <v>17</v>
      </c>
      <c r="D214" s="3" t="s">
        <v>583</v>
      </c>
      <c r="E214" s="3" t="s">
        <v>71</v>
      </c>
      <c r="F214" s="3" t="s">
        <v>121</v>
      </c>
      <c r="G214" s="6">
        <v>49552</v>
      </c>
      <c r="H214" s="6">
        <f t="shared" si="4"/>
        <v>7558.7796610169462</v>
      </c>
      <c r="I214" s="3" t="s">
        <v>113</v>
      </c>
      <c r="J214" t="s">
        <v>672</v>
      </c>
      <c r="O214"/>
      <c r="P214"/>
      <c r="R214" s="87"/>
      <c r="S214" s="87"/>
    </row>
    <row r="215" spans="2:19" hidden="1" x14ac:dyDescent="0.25">
      <c r="B215" s="3" t="s">
        <v>394</v>
      </c>
      <c r="C215" s="3" t="s">
        <v>35</v>
      </c>
      <c r="D215" s="3" t="s">
        <v>392</v>
      </c>
      <c r="E215" s="3" t="s">
        <v>71</v>
      </c>
      <c r="F215" s="3" t="s">
        <v>121</v>
      </c>
      <c r="G215" s="6">
        <v>3710</v>
      </c>
      <c r="H215" s="6">
        <f t="shared" si="4"/>
        <v>565.93220338983019</v>
      </c>
      <c r="I215" s="3" t="s">
        <v>113</v>
      </c>
      <c r="J215" s="18" t="s">
        <v>672</v>
      </c>
      <c r="O215"/>
      <c r="P215"/>
      <c r="R215" s="87"/>
      <c r="S215" s="87"/>
    </row>
    <row r="216" spans="2:19" hidden="1" x14ac:dyDescent="0.25">
      <c r="B216" s="3" t="s">
        <v>595</v>
      </c>
      <c r="C216" s="3" t="s">
        <v>4</v>
      </c>
      <c r="D216" s="3" t="s">
        <v>594</v>
      </c>
      <c r="E216" s="3" t="s">
        <v>71</v>
      </c>
      <c r="F216" s="3" t="s">
        <v>122</v>
      </c>
      <c r="G216" s="6">
        <v>222214</v>
      </c>
      <c r="H216" s="6">
        <f t="shared" si="4"/>
        <v>33897.050847457605</v>
      </c>
      <c r="I216" s="3" t="s">
        <v>113</v>
      </c>
      <c r="J216" s="18" t="s">
        <v>700</v>
      </c>
      <c r="O216"/>
      <c r="P216"/>
      <c r="R216" s="87"/>
      <c r="S216" s="87"/>
    </row>
    <row r="217" spans="2:19" hidden="1" x14ac:dyDescent="0.25">
      <c r="B217" s="3" t="s">
        <v>626</v>
      </c>
      <c r="C217" s="3" t="s">
        <v>35</v>
      </c>
      <c r="D217" s="3" t="s">
        <v>637</v>
      </c>
      <c r="E217" s="3" t="s">
        <v>71</v>
      </c>
      <c r="F217" s="3" t="s">
        <v>122</v>
      </c>
      <c r="G217" s="6">
        <v>346762</v>
      </c>
      <c r="H217" s="6">
        <f t="shared" si="4"/>
        <v>52895.898305084731</v>
      </c>
      <c r="I217" s="3" t="s">
        <v>113</v>
      </c>
      <c r="J217" s="18"/>
      <c r="R217" s="87"/>
      <c r="S217" s="87"/>
    </row>
    <row r="218" spans="2:19" hidden="1" x14ac:dyDescent="0.25">
      <c r="B218" s="3" t="s">
        <v>717</v>
      </c>
      <c r="C218" s="3" t="s">
        <v>96</v>
      </c>
      <c r="D218" s="3" t="s">
        <v>931</v>
      </c>
      <c r="E218" s="3" t="s">
        <v>71</v>
      </c>
      <c r="F218" s="3" t="s">
        <v>124</v>
      </c>
      <c r="G218" s="6">
        <v>49138</v>
      </c>
      <c r="H218" s="6">
        <f t="shared" si="4"/>
        <v>7495.6271186440645</v>
      </c>
      <c r="I218" s="6" t="s">
        <v>18</v>
      </c>
      <c r="J218" s="88" t="s">
        <v>722</v>
      </c>
      <c r="L218">
        <v>574</v>
      </c>
      <c r="N218">
        <v>9</v>
      </c>
      <c r="P218" s="31" t="s">
        <v>718</v>
      </c>
      <c r="R218" s="87">
        <v>49138</v>
      </c>
      <c r="S218" s="87">
        <v>929.25</v>
      </c>
    </row>
    <row r="219" spans="2:19" hidden="1" x14ac:dyDescent="0.25">
      <c r="B219" s="3" t="s">
        <v>717</v>
      </c>
      <c r="C219" s="3" t="s">
        <v>96</v>
      </c>
      <c r="D219" s="3" t="s">
        <v>931</v>
      </c>
      <c r="E219" s="3" t="s">
        <v>71</v>
      </c>
      <c r="F219" s="3" t="s">
        <v>124</v>
      </c>
      <c r="G219" s="6">
        <v>47482</v>
      </c>
      <c r="H219" s="6">
        <f t="shared" si="4"/>
        <v>7243.0169491525376</v>
      </c>
      <c r="I219" s="6" t="s">
        <v>18</v>
      </c>
      <c r="J219" s="88" t="s">
        <v>723</v>
      </c>
      <c r="L219">
        <v>588</v>
      </c>
      <c r="N219">
        <v>11</v>
      </c>
      <c r="P219" s="31" t="s">
        <v>718</v>
      </c>
      <c r="R219" s="87">
        <v>47482</v>
      </c>
      <c r="S219" s="87">
        <v>939.75</v>
      </c>
    </row>
    <row r="220" spans="2:19" hidden="1" x14ac:dyDescent="0.25">
      <c r="B220" s="3" t="s">
        <v>717</v>
      </c>
      <c r="C220" s="3" t="s">
        <v>96</v>
      </c>
      <c r="D220" s="3" t="s">
        <v>931</v>
      </c>
      <c r="E220" s="3" t="s">
        <v>71</v>
      </c>
      <c r="F220" s="3" t="s">
        <v>124</v>
      </c>
      <c r="G220" s="6">
        <v>46346</v>
      </c>
      <c r="H220" s="6">
        <f t="shared" si="4"/>
        <v>7069.728813559319</v>
      </c>
      <c r="I220" s="6" t="s">
        <v>18</v>
      </c>
      <c r="J220" s="88" t="s">
        <v>724</v>
      </c>
      <c r="L220">
        <v>533</v>
      </c>
      <c r="N220">
        <v>0</v>
      </c>
      <c r="P220" s="31" t="s">
        <v>718</v>
      </c>
      <c r="R220" s="87">
        <v>46346</v>
      </c>
      <c r="S220" s="87">
        <v>890.75</v>
      </c>
    </row>
    <row r="221" spans="2:19" hidden="1" x14ac:dyDescent="0.25">
      <c r="B221" s="3" t="s">
        <v>726</v>
      </c>
      <c r="C221" s="3" t="s">
        <v>96</v>
      </c>
      <c r="D221" s="3" t="s">
        <v>933</v>
      </c>
      <c r="E221" s="3" t="s">
        <v>71</v>
      </c>
      <c r="F221" s="3" t="s">
        <v>124</v>
      </c>
      <c r="G221" s="6">
        <v>45444</v>
      </c>
      <c r="H221" s="6">
        <f t="shared" si="4"/>
        <v>6932.1355932203369</v>
      </c>
      <c r="I221" s="6" t="s">
        <v>18</v>
      </c>
      <c r="J221" s="88" t="s">
        <v>727</v>
      </c>
      <c r="L221">
        <v>509</v>
      </c>
      <c r="N221">
        <v>61</v>
      </c>
      <c r="P221" t="s">
        <v>718</v>
      </c>
      <c r="R221" s="87">
        <v>45444</v>
      </c>
      <c r="S221" s="87">
        <v>896</v>
      </c>
    </row>
    <row r="222" spans="2:19" ht="17.25" hidden="1" x14ac:dyDescent="0.25">
      <c r="B222" s="3" t="s">
        <v>726</v>
      </c>
      <c r="C222" s="3" t="s">
        <v>96</v>
      </c>
      <c r="D222" s="3" t="s">
        <v>933</v>
      </c>
      <c r="E222" s="3" t="s">
        <v>71</v>
      </c>
      <c r="F222" s="3" t="s">
        <v>124</v>
      </c>
      <c r="G222" s="6">
        <v>45924</v>
      </c>
      <c r="H222" s="6">
        <f t="shared" si="4"/>
        <v>7005.3559322033907</v>
      </c>
      <c r="I222" s="6" t="s">
        <v>18</v>
      </c>
      <c r="J222" s="96" t="s">
        <v>728</v>
      </c>
      <c r="L222">
        <v>525</v>
      </c>
      <c r="N222">
        <v>63</v>
      </c>
      <c r="P222" t="s">
        <v>718</v>
      </c>
      <c r="R222" s="87">
        <v>45924</v>
      </c>
      <c r="S222" s="87">
        <v>903</v>
      </c>
    </row>
    <row r="223" spans="2:19" hidden="1" x14ac:dyDescent="0.25">
      <c r="B223" s="3" t="s">
        <v>721</v>
      </c>
      <c r="C223" s="3" t="s">
        <v>96</v>
      </c>
      <c r="D223" s="3" t="s">
        <v>1595</v>
      </c>
      <c r="E223" s="3" t="s">
        <v>71</v>
      </c>
      <c r="F223" s="3" t="s">
        <v>124</v>
      </c>
      <c r="G223" s="6">
        <v>92486</v>
      </c>
      <c r="H223" s="6">
        <f t="shared" si="4"/>
        <v>14108.033898305075</v>
      </c>
      <c r="I223" s="6" t="s">
        <v>18</v>
      </c>
      <c r="R223" s="87"/>
      <c r="S223" s="87"/>
    </row>
    <row r="224" spans="2:19" hidden="1" x14ac:dyDescent="0.25">
      <c r="B224" s="3" t="s">
        <v>730</v>
      </c>
      <c r="C224" s="3" t="s">
        <v>96</v>
      </c>
      <c r="D224" s="3" t="s">
        <v>935</v>
      </c>
      <c r="E224" s="3" t="s">
        <v>71</v>
      </c>
      <c r="F224" s="3" t="s">
        <v>124</v>
      </c>
      <c r="G224" s="6">
        <v>3000</v>
      </c>
      <c r="H224" s="6">
        <f t="shared" si="4"/>
        <v>457.62711864406765</v>
      </c>
      <c r="I224" s="6" t="s">
        <v>18</v>
      </c>
      <c r="J224" t="s">
        <v>732</v>
      </c>
      <c r="N224">
        <f>6</f>
        <v>6</v>
      </c>
      <c r="O224"/>
      <c r="P224" t="s">
        <v>1641</v>
      </c>
      <c r="R224" s="87"/>
      <c r="S224" s="87"/>
    </row>
    <row r="225" spans="2:19" hidden="1" x14ac:dyDescent="0.25">
      <c r="B225" s="3" t="s">
        <v>726</v>
      </c>
      <c r="C225" s="3" t="s">
        <v>96</v>
      </c>
      <c r="D225" s="3" t="s">
        <v>933</v>
      </c>
      <c r="E225" s="3" t="s">
        <v>71</v>
      </c>
      <c r="F225" s="3" t="s">
        <v>125</v>
      </c>
      <c r="G225" s="6">
        <v>53000</v>
      </c>
      <c r="H225" s="6">
        <f t="shared" si="4"/>
        <v>8084.7457627118638</v>
      </c>
      <c r="I225" s="6" t="s">
        <v>18</v>
      </c>
      <c r="J225" s="88" t="s">
        <v>1599</v>
      </c>
      <c r="N225">
        <v>82</v>
      </c>
      <c r="P225" t="s">
        <v>1641</v>
      </c>
      <c r="R225" s="87"/>
      <c r="S225" s="87"/>
    </row>
    <row r="226" spans="2:19" hidden="1" x14ac:dyDescent="0.25">
      <c r="B226" s="3" t="s">
        <v>730</v>
      </c>
      <c r="C226" s="3" t="s">
        <v>96</v>
      </c>
      <c r="D226" s="3" t="s">
        <v>935</v>
      </c>
      <c r="E226" s="3" t="s">
        <v>71</v>
      </c>
      <c r="F226" s="3" t="s">
        <v>125</v>
      </c>
      <c r="G226" s="6">
        <v>50000</v>
      </c>
      <c r="H226" s="6">
        <f t="shared" si="4"/>
        <v>7627.118644067792</v>
      </c>
      <c r="I226" s="6" t="s">
        <v>18</v>
      </c>
      <c r="J226" t="s">
        <v>1600</v>
      </c>
      <c r="N226">
        <v>23</v>
      </c>
      <c r="P226" t="s">
        <v>1641</v>
      </c>
      <c r="R226" s="87"/>
      <c r="S226" s="87"/>
    </row>
    <row r="227" spans="2:19" hidden="1" x14ac:dyDescent="0.25">
      <c r="B227" s="3" t="s">
        <v>730</v>
      </c>
      <c r="C227" s="3" t="s">
        <v>96</v>
      </c>
      <c r="D227" s="3" t="s">
        <v>935</v>
      </c>
      <c r="E227" s="3" t="s">
        <v>71</v>
      </c>
      <c r="F227" s="3" t="s">
        <v>125</v>
      </c>
      <c r="G227" s="6">
        <v>10000</v>
      </c>
      <c r="H227" s="6">
        <f t="shared" si="4"/>
        <v>1525.4237288135591</v>
      </c>
      <c r="I227" s="6" t="s">
        <v>18</v>
      </c>
      <c r="J227" t="s">
        <v>732</v>
      </c>
      <c r="N227">
        <v>16</v>
      </c>
      <c r="P227" t="s">
        <v>1654</v>
      </c>
      <c r="R227" s="87"/>
      <c r="S227" s="87"/>
    </row>
    <row r="228" spans="2:19" hidden="1" x14ac:dyDescent="0.25">
      <c r="B228" s="3" t="s">
        <v>943</v>
      </c>
      <c r="C228" s="3" t="s">
        <v>96</v>
      </c>
      <c r="D228" s="3" t="s">
        <v>939</v>
      </c>
      <c r="E228" s="3" t="s">
        <v>71</v>
      </c>
      <c r="F228" s="3" t="s">
        <v>125</v>
      </c>
      <c r="G228" s="6">
        <v>20000</v>
      </c>
      <c r="H228" s="6">
        <f t="shared" si="4"/>
        <v>3050.8474576271183</v>
      </c>
      <c r="I228" s="6" t="s">
        <v>18</v>
      </c>
      <c r="J228" t="s">
        <v>1601</v>
      </c>
      <c r="N228">
        <v>32</v>
      </c>
      <c r="P228" t="s">
        <v>1641</v>
      </c>
      <c r="R228" s="87"/>
      <c r="S228" s="87"/>
    </row>
    <row r="229" spans="2:19" hidden="1" x14ac:dyDescent="0.25">
      <c r="B229" s="3" t="s">
        <v>943</v>
      </c>
      <c r="C229" s="3" t="s">
        <v>96</v>
      </c>
      <c r="D229" s="3" t="s">
        <v>939</v>
      </c>
      <c r="E229" s="3" t="s">
        <v>71</v>
      </c>
      <c r="F229" s="3" t="s">
        <v>125</v>
      </c>
      <c r="G229" s="6">
        <v>50000</v>
      </c>
      <c r="H229" s="6">
        <f t="shared" si="4"/>
        <v>7627.118644067792</v>
      </c>
      <c r="I229" s="6" t="s">
        <v>18</v>
      </c>
      <c r="J229" t="s">
        <v>1602</v>
      </c>
      <c r="N229">
        <v>3</v>
      </c>
      <c r="P229" t="s">
        <v>1641</v>
      </c>
      <c r="R229" s="87"/>
      <c r="S229" s="87"/>
    </row>
    <row r="230" spans="2:19" hidden="1" x14ac:dyDescent="0.25">
      <c r="B230" s="3" t="s">
        <v>1582</v>
      </c>
      <c r="C230" s="3" t="s">
        <v>35</v>
      </c>
      <c r="D230" s="3" t="s">
        <v>396</v>
      </c>
      <c r="E230" s="3" t="s">
        <v>71</v>
      </c>
      <c r="F230" s="3" t="s">
        <v>125</v>
      </c>
      <c r="G230" s="6">
        <v>160000</v>
      </c>
      <c r="H230" s="6">
        <f t="shared" ref="H230:H256" si="6">G230-G230/1.18</f>
        <v>24406.779661016946</v>
      </c>
      <c r="I230" s="3" t="s">
        <v>113</v>
      </c>
      <c r="R230" s="87"/>
      <c r="S230" s="87"/>
    </row>
    <row r="231" spans="2:19" hidden="1" x14ac:dyDescent="0.25">
      <c r="B231" s="3" t="s">
        <v>1233</v>
      </c>
      <c r="C231" s="3" t="s">
        <v>34</v>
      </c>
      <c r="D231" s="3" t="s">
        <v>1307</v>
      </c>
      <c r="E231" s="3" t="s">
        <v>71</v>
      </c>
      <c r="F231" s="3" t="s">
        <v>126</v>
      </c>
      <c r="G231" s="6">
        <v>50000</v>
      </c>
      <c r="H231" s="6">
        <f t="shared" si="6"/>
        <v>7627.118644067792</v>
      </c>
      <c r="I231" s="3" t="s">
        <v>113</v>
      </c>
      <c r="O231"/>
      <c r="P231"/>
      <c r="R231" s="87"/>
      <c r="S231" s="87"/>
    </row>
    <row r="232" spans="2:19" hidden="1" x14ac:dyDescent="0.25">
      <c r="B232" s="3" t="s">
        <v>1229</v>
      </c>
      <c r="C232" s="3" t="s">
        <v>34</v>
      </c>
      <c r="D232" s="3" t="s">
        <v>1303</v>
      </c>
      <c r="E232" s="3" t="s">
        <v>71</v>
      </c>
      <c r="F232" s="3" t="s">
        <v>126</v>
      </c>
      <c r="G232" s="6">
        <v>350000</v>
      </c>
      <c r="H232" s="6">
        <f t="shared" si="6"/>
        <v>53389.830508474552</v>
      </c>
      <c r="I232" s="3" t="s">
        <v>113</v>
      </c>
      <c r="R232" s="87"/>
      <c r="S232" s="87"/>
    </row>
    <row r="233" spans="2:19" hidden="1" x14ac:dyDescent="0.25">
      <c r="B233" s="3" t="s">
        <v>1189</v>
      </c>
      <c r="C233" s="3" t="s">
        <v>4</v>
      </c>
      <c r="D233" s="3" t="s">
        <v>1160</v>
      </c>
      <c r="E233" s="3" t="s">
        <v>71</v>
      </c>
      <c r="F233" s="3" t="s">
        <v>126</v>
      </c>
      <c r="G233" s="6">
        <v>100000</v>
      </c>
      <c r="H233" s="6">
        <f t="shared" si="6"/>
        <v>15254.237288135584</v>
      </c>
      <c r="I233" s="3" t="s">
        <v>113</v>
      </c>
      <c r="R233" s="87"/>
      <c r="S233" s="87"/>
    </row>
    <row r="234" spans="2:19" hidden="1" x14ac:dyDescent="0.25">
      <c r="B234" s="3" t="s">
        <v>1191</v>
      </c>
      <c r="C234" s="3" t="s">
        <v>4</v>
      </c>
      <c r="D234" s="3" t="s">
        <v>1162</v>
      </c>
      <c r="E234" s="3" t="s">
        <v>71</v>
      </c>
      <c r="F234" s="3" t="s">
        <v>126</v>
      </c>
      <c r="G234" s="6">
        <v>150000</v>
      </c>
      <c r="H234" s="6">
        <f t="shared" si="6"/>
        <v>22881.355932203383</v>
      </c>
      <c r="I234" s="3" t="s">
        <v>113</v>
      </c>
      <c r="R234" s="87"/>
      <c r="S234" s="87"/>
    </row>
    <row r="235" spans="2:19" hidden="1" x14ac:dyDescent="0.25">
      <c r="B235" s="3" t="s">
        <v>950</v>
      </c>
      <c r="C235" s="3" t="s">
        <v>96</v>
      </c>
      <c r="D235" s="3" t="s">
        <v>1648</v>
      </c>
      <c r="E235" s="3" t="s">
        <v>71</v>
      </c>
      <c r="F235" s="3" t="s">
        <v>126</v>
      </c>
      <c r="G235" s="6">
        <v>50000</v>
      </c>
      <c r="H235" s="6">
        <f t="shared" si="6"/>
        <v>7627.118644067792</v>
      </c>
      <c r="I235" s="3" t="s">
        <v>18</v>
      </c>
      <c r="J235" t="s">
        <v>1639</v>
      </c>
      <c r="N235">
        <f>20</f>
        <v>20</v>
      </c>
      <c r="O235"/>
      <c r="P235" t="s">
        <v>1641</v>
      </c>
      <c r="R235" s="87"/>
      <c r="S235" s="87">
        <v>1466.5</v>
      </c>
    </row>
    <row r="236" spans="2:19" hidden="1" x14ac:dyDescent="0.25">
      <c r="B236" s="3" t="s">
        <v>726</v>
      </c>
      <c r="C236" s="3" t="s">
        <v>96</v>
      </c>
      <c r="D236" s="3" t="s">
        <v>1649</v>
      </c>
      <c r="E236" s="3" t="s">
        <v>71</v>
      </c>
      <c r="F236" s="3" t="s">
        <v>126</v>
      </c>
      <c r="G236" s="6">
        <v>55000</v>
      </c>
      <c r="H236" s="6">
        <f t="shared" si="6"/>
        <v>8389.8305084745734</v>
      </c>
      <c r="I236" s="3" t="s">
        <v>18</v>
      </c>
      <c r="J236" t="s">
        <v>1891</v>
      </c>
      <c r="N236">
        <v>72</v>
      </c>
      <c r="O236"/>
      <c r="P236" t="s">
        <v>1641</v>
      </c>
      <c r="R236" s="87"/>
      <c r="S236" s="87">
        <v>1548.75</v>
      </c>
    </row>
    <row r="237" spans="2:19" hidden="1" x14ac:dyDescent="0.25">
      <c r="B237" s="3" t="s">
        <v>717</v>
      </c>
      <c r="C237" s="3" t="s">
        <v>96</v>
      </c>
      <c r="D237" s="3" t="s">
        <v>1644</v>
      </c>
      <c r="E237" s="3" t="s">
        <v>71</v>
      </c>
      <c r="F237" s="3" t="s">
        <v>126</v>
      </c>
      <c r="G237" s="6">
        <v>25000</v>
      </c>
      <c r="H237" s="6">
        <f t="shared" si="6"/>
        <v>3813.559322033896</v>
      </c>
      <c r="I237" s="3" t="s">
        <v>18</v>
      </c>
      <c r="J237" t="s">
        <v>1640</v>
      </c>
      <c r="N237">
        <v>36</v>
      </c>
      <c r="O237"/>
      <c r="P237" t="s">
        <v>1641</v>
      </c>
      <c r="R237" s="87"/>
      <c r="S237" s="87"/>
    </row>
    <row r="238" spans="2:19" hidden="1" x14ac:dyDescent="0.25">
      <c r="B238" s="3" t="s">
        <v>717</v>
      </c>
      <c r="C238" s="3" t="s">
        <v>96</v>
      </c>
      <c r="D238" s="3" t="s">
        <v>1645</v>
      </c>
      <c r="E238" s="3" t="s">
        <v>71</v>
      </c>
      <c r="F238" s="3" t="s">
        <v>126</v>
      </c>
      <c r="G238" s="6">
        <v>50000</v>
      </c>
      <c r="H238" s="6">
        <f t="shared" si="6"/>
        <v>7627.118644067792</v>
      </c>
      <c r="I238" s="3" t="s">
        <v>18</v>
      </c>
      <c r="J238" t="s">
        <v>1642</v>
      </c>
      <c r="N238">
        <v>0</v>
      </c>
      <c r="O238"/>
      <c r="P238" t="s">
        <v>1641</v>
      </c>
      <c r="R238" s="87"/>
      <c r="S238" s="87"/>
    </row>
    <row r="239" spans="2:19" hidden="1" x14ac:dyDescent="0.25">
      <c r="B239" s="3" t="s">
        <v>717</v>
      </c>
      <c r="C239" s="3" t="s">
        <v>96</v>
      </c>
      <c r="D239" s="3" t="s">
        <v>1646</v>
      </c>
      <c r="E239" s="3" t="s">
        <v>71</v>
      </c>
      <c r="F239" s="3" t="s">
        <v>126</v>
      </c>
      <c r="G239" s="6">
        <v>70000</v>
      </c>
      <c r="H239" s="6">
        <f t="shared" si="6"/>
        <v>10677.96610169491</v>
      </c>
      <c r="I239" s="3" t="s">
        <v>18</v>
      </c>
      <c r="J239" t="s">
        <v>1643</v>
      </c>
      <c r="K239" s="88">
        <v>86777</v>
      </c>
      <c r="N239">
        <v>0</v>
      </c>
      <c r="O239"/>
      <c r="P239" t="s">
        <v>1641</v>
      </c>
      <c r="R239" s="87"/>
      <c r="S239" s="87"/>
    </row>
    <row r="240" spans="2:19" hidden="1" x14ac:dyDescent="0.25">
      <c r="B240" s="3" t="s">
        <v>943</v>
      </c>
      <c r="C240" s="3" t="s">
        <v>96</v>
      </c>
      <c r="D240" s="3" t="s">
        <v>1647</v>
      </c>
      <c r="E240" s="3" t="s">
        <v>71</v>
      </c>
      <c r="F240" s="3" t="s">
        <v>126</v>
      </c>
      <c r="G240" s="6">
        <v>70000</v>
      </c>
      <c r="H240" s="6">
        <f t="shared" si="6"/>
        <v>10677.96610169491</v>
      </c>
      <c r="I240" s="3" t="s">
        <v>18</v>
      </c>
      <c r="J240" t="s">
        <v>1893</v>
      </c>
      <c r="N240">
        <v>45</v>
      </c>
      <c r="O240" s="19"/>
      <c r="P240" t="s">
        <v>1641</v>
      </c>
      <c r="R240" s="87"/>
      <c r="S240" s="87">
        <v>332.5</v>
      </c>
    </row>
    <row r="241" spans="2:19" hidden="1" x14ac:dyDescent="0.25">
      <c r="B241" s="3" t="s">
        <v>1582</v>
      </c>
      <c r="C241" s="3" t="s">
        <v>35</v>
      </c>
      <c r="D241" s="3" t="s">
        <v>396</v>
      </c>
      <c r="E241" s="3" t="s">
        <v>71</v>
      </c>
      <c r="F241" s="3" t="s">
        <v>126</v>
      </c>
      <c r="G241" s="6">
        <v>28334</v>
      </c>
      <c r="H241" s="6">
        <f t="shared" si="6"/>
        <v>4322.1355932203369</v>
      </c>
      <c r="I241" s="3" t="s">
        <v>113</v>
      </c>
      <c r="O241"/>
      <c r="P241"/>
      <c r="R241" s="87"/>
      <c r="S241" s="87"/>
    </row>
    <row r="242" spans="2:19" hidden="1" x14ac:dyDescent="0.25">
      <c r="B242" s="3" t="s">
        <v>730</v>
      </c>
      <c r="C242" s="3" t="s">
        <v>96</v>
      </c>
      <c r="D242" s="3" t="s">
        <v>1656</v>
      </c>
      <c r="E242" s="3" t="s">
        <v>71</v>
      </c>
      <c r="F242" s="3" t="s">
        <v>126</v>
      </c>
      <c r="G242" s="6">
        <v>9184</v>
      </c>
      <c r="H242" s="6">
        <f t="shared" si="6"/>
        <v>1400.9491525423728</v>
      </c>
      <c r="I242" s="3" t="s">
        <v>18</v>
      </c>
      <c r="J242" t="s">
        <v>1653</v>
      </c>
      <c r="L242">
        <v>95.5</v>
      </c>
      <c r="N242">
        <v>16</v>
      </c>
      <c r="O242"/>
      <c r="P242" t="s">
        <v>718</v>
      </c>
      <c r="R242" s="87"/>
      <c r="S242" s="87"/>
    </row>
    <row r="243" spans="2:19" hidden="1" x14ac:dyDescent="0.25">
      <c r="B243" s="3" t="s">
        <v>730</v>
      </c>
      <c r="C243" s="3" t="s">
        <v>96</v>
      </c>
      <c r="D243" s="3" t="s">
        <v>1655</v>
      </c>
      <c r="E243" s="3" t="s">
        <v>71</v>
      </c>
      <c r="F243" s="3" t="s">
        <v>126</v>
      </c>
      <c r="G243" s="6">
        <v>3327</v>
      </c>
      <c r="H243" s="6">
        <f t="shared" si="6"/>
        <v>507.50847457627106</v>
      </c>
      <c r="I243" s="3" t="s">
        <v>18</v>
      </c>
      <c r="J243" t="s">
        <v>732</v>
      </c>
      <c r="O243"/>
      <c r="P243" t="s">
        <v>718</v>
      </c>
      <c r="Q243" t="s">
        <v>1657</v>
      </c>
      <c r="R243" s="87"/>
      <c r="S243" s="87"/>
    </row>
    <row r="244" spans="2:19" hidden="1" x14ac:dyDescent="0.25">
      <c r="B244" s="3" t="s">
        <v>726</v>
      </c>
      <c r="C244" s="3" t="s">
        <v>96</v>
      </c>
      <c r="D244" s="3" t="s">
        <v>1658</v>
      </c>
      <c r="E244" s="3" t="s">
        <v>71</v>
      </c>
      <c r="F244" s="3" t="s">
        <v>126</v>
      </c>
      <c r="G244" s="6">
        <v>12797</v>
      </c>
      <c r="H244" s="6">
        <f t="shared" si="6"/>
        <v>1952.0847457627115</v>
      </c>
      <c r="I244" s="3" t="s">
        <v>18</v>
      </c>
      <c r="J244" t="s">
        <v>1599</v>
      </c>
      <c r="K244" s="19"/>
      <c r="O244"/>
      <c r="P244" t="s">
        <v>718</v>
      </c>
      <c r="Q244" t="s">
        <v>1657</v>
      </c>
      <c r="R244" s="87">
        <v>65797</v>
      </c>
      <c r="S244" s="87">
        <v>1400</v>
      </c>
    </row>
    <row r="245" spans="2:19" hidden="1" x14ac:dyDescent="0.25">
      <c r="B245" s="3" t="s">
        <v>943</v>
      </c>
      <c r="C245" s="3" t="s">
        <v>96</v>
      </c>
      <c r="D245" s="3" t="s">
        <v>1659</v>
      </c>
      <c r="E245" s="3" t="s">
        <v>71</v>
      </c>
      <c r="F245" s="3" t="s">
        <v>126</v>
      </c>
      <c r="G245" s="6">
        <v>3621</v>
      </c>
      <c r="H245" s="6">
        <f t="shared" si="6"/>
        <v>552.35593220338978</v>
      </c>
      <c r="I245" s="3" t="s">
        <v>18</v>
      </c>
      <c r="J245" t="s">
        <v>1601</v>
      </c>
      <c r="K245" s="19"/>
      <c r="O245"/>
      <c r="P245" t="s">
        <v>718</v>
      </c>
      <c r="Q245" t="s">
        <v>1657</v>
      </c>
      <c r="R245" s="87"/>
      <c r="S245" s="87"/>
    </row>
    <row r="246" spans="2:19" hidden="1" x14ac:dyDescent="0.25">
      <c r="B246" s="3" t="s">
        <v>943</v>
      </c>
      <c r="C246" s="3" t="s">
        <v>96</v>
      </c>
      <c r="D246" s="3" t="s">
        <v>1660</v>
      </c>
      <c r="E246" s="3" t="s">
        <v>71</v>
      </c>
      <c r="F246" s="3" t="s">
        <v>126</v>
      </c>
      <c r="G246" s="6">
        <v>13499</v>
      </c>
      <c r="H246" s="6">
        <f t="shared" si="6"/>
        <v>2059.1694915254229</v>
      </c>
      <c r="I246" s="3" t="s">
        <v>18</v>
      </c>
      <c r="J246" t="s">
        <v>1602</v>
      </c>
      <c r="K246" s="19"/>
      <c r="N246">
        <v>3</v>
      </c>
      <c r="O246"/>
      <c r="P246" t="s">
        <v>718</v>
      </c>
      <c r="Q246" t="s">
        <v>1657</v>
      </c>
      <c r="R246" s="87">
        <v>63499</v>
      </c>
      <c r="S246" s="87">
        <v>833</v>
      </c>
    </row>
    <row r="247" spans="2:19" hidden="1" x14ac:dyDescent="0.25">
      <c r="B247" s="3" t="s">
        <v>730</v>
      </c>
      <c r="C247" s="3" t="s">
        <v>96</v>
      </c>
      <c r="D247" s="3" t="s">
        <v>1661</v>
      </c>
      <c r="E247" s="3" t="s">
        <v>71</v>
      </c>
      <c r="F247" s="3" t="s">
        <v>126</v>
      </c>
      <c r="G247" s="6">
        <v>18985</v>
      </c>
      <c r="H247" s="6">
        <f t="shared" si="6"/>
        <v>2896.0169491525412</v>
      </c>
      <c r="I247" s="3" t="s">
        <v>18</v>
      </c>
      <c r="J247" t="s">
        <v>1600</v>
      </c>
      <c r="O247"/>
      <c r="P247" t="s">
        <v>718</v>
      </c>
      <c r="Q247" t="s">
        <v>1657</v>
      </c>
      <c r="R247" s="87">
        <v>68985</v>
      </c>
      <c r="S247" s="87">
        <v>817.25</v>
      </c>
    </row>
    <row r="248" spans="2:19" hidden="1" x14ac:dyDescent="0.25">
      <c r="B248" s="3" t="s">
        <v>926</v>
      </c>
      <c r="C248" s="3" t="s">
        <v>20</v>
      </c>
      <c r="D248" s="3" t="s">
        <v>925</v>
      </c>
      <c r="E248" s="3" t="s">
        <v>115</v>
      </c>
      <c r="F248" s="3" t="s">
        <v>127</v>
      </c>
      <c r="G248" s="6">
        <v>230000</v>
      </c>
      <c r="H248" s="6">
        <f t="shared" si="6"/>
        <v>35084.745762711857</v>
      </c>
      <c r="I248" s="3" t="s">
        <v>113</v>
      </c>
      <c r="J248" s="5"/>
      <c r="K248" s="5"/>
      <c r="N248" s="79"/>
      <c r="O248"/>
      <c r="P248"/>
      <c r="R248" s="87"/>
      <c r="S248" s="87"/>
    </row>
    <row r="249" spans="2:19" hidden="1" x14ac:dyDescent="0.25">
      <c r="B249" s="3" t="s">
        <v>1229</v>
      </c>
      <c r="C249" s="3" t="s">
        <v>34</v>
      </c>
      <c r="D249" s="3" t="s">
        <v>1303</v>
      </c>
      <c r="E249" s="3" t="s">
        <v>71</v>
      </c>
      <c r="F249" s="3" t="s">
        <v>127</v>
      </c>
      <c r="G249" s="6">
        <v>270000</v>
      </c>
      <c r="H249" s="6">
        <f t="shared" si="6"/>
        <v>41186.440677966079</v>
      </c>
      <c r="I249" s="3" t="s">
        <v>113</v>
      </c>
      <c r="O249"/>
      <c r="P249"/>
      <c r="R249" s="87"/>
      <c r="S249" s="87"/>
    </row>
    <row r="250" spans="2:19" hidden="1" x14ac:dyDescent="0.25">
      <c r="B250" s="3" t="s">
        <v>1616</v>
      </c>
      <c r="C250" s="3" t="s">
        <v>93</v>
      </c>
      <c r="D250" s="3" t="s">
        <v>1617</v>
      </c>
      <c r="E250" s="3" t="s">
        <v>75</v>
      </c>
      <c r="F250" s="3" t="s">
        <v>127</v>
      </c>
      <c r="G250" s="6">
        <v>300000</v>
      </c>
      <c r="H250" s="6">
        <f t="shared" si="6"/>
        <v>45762.711864406767</v>
      </c>
      <c r="I250" s="3" t="s">
        <v>18</v>
      </c>
      <c r="K250" s="19"/>
      <c r="O250"/>
      <c r="P250"/>
      <c r="R250" s="87"/>
      <c r="S250" s="87"/>
    </row>
    <row r="251" spans="2:19" hidden="1" x14ac:dyDescent="0.25">
      <c r="B251" s="3" t="s">
        <v>1526</v>
      </c>
      <c r="C251" s="3" t="s">
        <v>40</v>
      </c>
      <c r="D251" s="3" t="s">
        <v>1724</v>
      </c>
      <c r="E251" s="3" t="s">
        <v>90</v>
      </c>
      <c r="F251" s="3" t="s">
        <v>131</v>
      </c>
      <c r="G251" s="6">
        <v>16133.6</v>
      </c>
      <c r="H251" s="6">
        <f t="shared" si="6"/>
        <v>2461.0576271186437</v>
      </c>
      <c r="I251" s="3" t="s">
        <v>18</v>
      </c>
      <c r="O251"/>
      <c r="P251"/>
      <c r="R251" s="87"/>
      <c r="S251" s="87"/>
    </row>
    <row r="252" spans="2:19" hidden="1" x14ac:dyDescent="0.25">
      <c r="B252" s="3" t="s">
        <v>1227</v>
      </c>
      <c r="C252" s="3" t="s">
        <v>17</v>
      </c>
      <c r="D252" s="3" t="s">
        <v>1301</v>
      </c>
      <c r="E252" s="3" t="s">
        <v>71</v>
      </c>
      <c r="F252" s="3" t="s">
        <v>127</v>
      </c>
      <c r="G252" s="6">
        <v>400000</v>
      </c>
      <c r="H252" s="6">
        <f t="shared" si="6"/>
        <v>61016.949152542336</v>
      </c>
      <c r="I252" s="3" t="s">
        <v>113</v>
      </c>
      <c r="O252"/>
      <c r="P252"/>
      <c r="R252" s="87"/>
      <c r="S252" s="87"/>
    </row>
    <row r="253" spans="2:19" hidden="1" x14ac:dyDescent="0.25">
      <c r="B253" s="3" t="s">
        <v>1665</v>
      </c>
      <c r="C253" s="3" t="s">
        <v>57</v>
      </c>
      <c r="D253" s="3" t="s">
        <v>1664</v>
      </c>
      <c r="E253" s="3" t="s">
        <v>87</v>
      </c>
      <c r="F253" s="3" t="s">
        <v>127</v>
      </c>
      <c r="G253" s="6">
        <v>442653.71</v>
      </c>
      <c r="H253" s="6">
        <f t="shared" si="6"/>
        <v>67523.44728813559</v>
      </c>
      <c r="I253" s="3" t="s">
        <v>113</v>
      </c>
      <c r="J253" s="79"/>
      <c r="O253"/>
      <c r="P253"/>
      <c r="R253" s="87"/>
      <c r="S253" s="87"/>
    </row>
    <row r="254" spans="2:19" hidden="1" x14ac:dyDescent="0.25">
      <c r="B254" s="3" t="s">
        <v>502</v>
      </c>
      <c r="C254" s="3" t="s">
        <v>40</v>
      </c>
      <c r="D254" s="3" t="s">
        <v>499</v>
      </c>
      <c r="E254" s="3" t="s">
        <v>90</v>
      </c>
      <c r="F254" s="3" t="s">
        <v>120</v>
      </c>
      <c r="G254" s="6">
        <v>15261.87</v>
      </c>
      <c r="H254" s="6">
        <f t="shared" si="6"/>
        <v>2328.0818644067785</v>
      </c>
      <c r="I254" s="3" t="s">
        <v>113</v>
      </c>
      <c r="O254"/>
      <c r="P254"/>
      <c r="R254" s="87"/>
      <c r="S254" s="87"/>
    </row>
    <row r="255" spans="2:19" hidden="1" x14ac:dyDescent="0.25">
      <c r="B255" s="3" t="s">
        <v>770</v>
      </c>
      <c r="C255" s="3" t="s">
        <v>88</v>
      </c>
      <c r="D255" s="3" t="s">
        <v>777</v>
      </c>
      <c r="E255" s="3" t="s">
        <v>87</v>
      </c>
      <c r="F255" s="3" t="s">
        <v>127</v>
      </c>
      <c r="G255" s="6">
        <v>450000</v>
      </c>
      <c r="H255" s="6">
        <f t="shared" si="6"/>
        <v>68644.067796610121</v>
      </c>
      <c r="I255" s="3" t="s">
        <v>18</v>
      </c>
      <c r="K255" s="19"/>
      <c r="O255"/>
      <c r="P255"/>
      <c r="R255" s="87"/>
      <c r="S255" s="87"/>
    </row>
    <row r="256" spans="2:19" hidden="1" x14ac:dyDescent="0.25">
      <c r="B256" s="3" t="s">
        <v>807</v>
      </c>
      <c r="C256" s="3" t="s">
        <v>56</v>
      </c>
      <c r="D256" s="3" t="s">
        <v>885</v>
      </c>
      <c r="E256" s="3" t="s">
        <v>87</v>
      </c>
      <c r="F256" s="3" t="s">
        <v>127</v>
      </c>
      <c r="G256" s="6">
        <v>460000</v>
      </c>
      <c r="H256" s="6">
        <f t="shared" si="6"/>
        <v>70169.491525423713</v>
      </c>
      <c r="I256" s="3" t="s">
        <v>113</v>
      </c>
      <c r="O256"/>
      <c r="P256"/>
      <c r="R256" s="87"/>
      <c r="S256" s="87"/>
    </row>
    <row r="257" spans="2:19" hidden="1" x14ac:dyDescent="0.25">
      <c r="B257" s="3" t="s">
        <v>704</v>
      </c>
      <c r="C257" s="3"/>
      <c r="D257" s="3" t="s">
        <v>1612</v>
      </c>
      <c r="E257" s="3" t="s">
        <v>701</v>
      </c>
      <c r="F257" s="3" t="s">
        <v>127</v>
      </c>
      <c r="G257" s="6">
        <v>2100000</v>
      </c>
      <c r="H257" s="6">
        <v>0</v>
      </c>
      <c r="I257" s="3" t="s">
        <v>18</v>
      </c>
      <c r="K257" s="19"/>
      <c r="O257"/>
      <c r="P257"/>
      <c r="R257" s="87"/>
      <c r="S257" s="87"/>
    </row>
    <row r="258" spans="2:19" hidden="1" x14ac:dyDescent="0.25">
      <c r="B258" s="3" t="s">
        <v>717</v>
      </c>
      <c r="C258" s="3" t="s">
        <v>96</v>
      </c>
      <c r="D258" s="3" t="s">
        <v>1884</v>
      </c>
      <c r="E258" s="3" t="s">
        <v>71</v>
      </c>
      <c r="F258" s="3" t="s">
        <v>139</v>
      </c>
      <c r="G258" s="6">
        <v>65000</v>
      </c>
      <c r="H258" s="6">
        <f t="shared" ref="H258:H277" si="7">G258-G258/1.18</f>
        <v>9915.2542372881362</v>
      </c>
      <c r="I258" s="3" t="s">
        <v>18</v>
      </c>
      <c r="J258" t="s">
        <v>1886</v>
      </c>
      <c r="N258">
        <v>0</v>
      </c>
      <c r="O258"/>
      <c r="P258" t="s">
        <v>1641</v>
      </c>
      <c r="R258" s="87"/>
      <c r="S258" s="87"/>
    </row>
    <row r="259" spans="2:19" hidden="1" x14ac:dyDescent="0.25">
      <c r="B259" s="3" t="s">
        <v>717</v>
      </c>
      <c r="C259" s="3" t="s">
        <v>96</v>
      </c>
      <c r="D259" s="3" t="s">
        <v>1885</v>
      </c>
      <c r="E259" s="3" t="s">
        <v>71</v>
      </c>
      <c r="F259" s="3" t="s">
        <v>139</v>
      </c>
      <c r="G259" s="6">
        <v>60000</v>
      </c>
      <c r="H259" s="6">
        <f t="shared" si="7"/>
        <v>9152.5423728813548</v>
      </c>
      <c r="I259" s="3" t="s">
        <v>18</v>
      </c>
      <c r="J259" t="s">
        <v>1887</v>
      </c>
      <c r="N259">
        <v>3</v>
      </c>
      <c r="O259"/>
      <c r="P259" t="s">
        <v>1641</v>
      </c>
      <c r="R259" s="87"/>
      <c r="S259" s="87"/>
    </row>
    <row r="260" spans="2:19" hidden="1" x14ac:dyDescent="0.25">
      <c r="B260" s="3" t="s">
        <v>717</v>
      </c>
      <c r="C260" s="3" t="s">
        <v>96</v>
      </c>
      <c r="D260" s="3" t="s">
        <v>1892</v>
      </c>
      <c r="E260" s="3" t="s">
        <v>71</v>
      </c>
      <c r="F260" s="3" t="s">
        <v>139</v>
      </c>
      <c r="G260" s="6">
        <v>60000</v>
      </c>
      <c r="H260" s="6">
        <f t="shared" si="7"/>
        <v>9152.5423728813548</v>
      </c>
      <c r="I260" s="3" t="s">
        <v>18</v>
      </c>
      <c r="J260" t="s">
        <v>1888</v>
      </c>
      <c r="N260">
        <v>0</v>
      </c>
      <c r="O260"/>
      <c r="P260" t="s">
        <v>1641</v>
      </c>
      <c r="R260" s="87"/>
      <c r="S260" s="87"/>
    </row>
    <row r="261" spans="2:19" hidden="1" x14ac:dyDescent="0.25">
      <c r="B261" s="3" t="s">
        <v>717</v>
      </c>
      <c r="C261" s="3" t="s">
        <v>96</v>
      </c>
      <c r="D261" s="3" t="s">
        <v>1726</v>
      </c>
      <c r="E261" s="3" t="s">
        <v>71</v>
      </c>
      <c r="F261" s="3" t="s">
        <v>139</v>
      </c>
      <c r="G261" s="6">
        <v>50000</v>
      </c>
      <c r="H261" s="6">
        <f t="shared" si="7"/>
        <v>7627.118644067792</v>
      </c>
      <c r="I261" s="3" t="s">
        <v>18</v>
      </c>
      <c r="J261" t="s">
        <v>1889</v>
      </c>
      <c r="N261">
        <v>0</v>
      </c>
      <c r="O261"/>
      <c r="P261" t="s">
        <v>1641</v>
      </c>
      <c r="R261" s="87"/>
      <c r="S261" s="87"/>
    </row>
    <row r="262" spans="2:19" hidden="1" x14ac:dyDescent="0.25">
      <c r="B262" s="3" t="s">
        <v>950</v>
      </c>
      <c r="C262" s="3" t="s">
        <v>96</v>
      </c>
      <c r="D262" s="3" t="s">
        <v>1683</v>
      </c>
      <c r="E262" s="3" t="s">
        <v>71</v>
      </c>
      <c r="F262" s="3" t="s">
        <v>139</v>
      </c>
      <c r="G262" s="6">
        <v>5000</v>
      </c>
      <c r="H262" s="6">
        <f t="shared" si="7"/>
        <v>762.71186440677957</v>
      </c>
      <c r="I262" s="3" t="s">
        <v>18</v>
      </c>
      <c r="J262" t="s">
        <v>1677</v>
      </c>
      <c r="N262">
        <v>26</v>
      </c>
      <c r="O262"/>
      <c r="P262" t="s">
        <v>1654</v>
      </c>
      <c r="R262" s="87"/>
      <c r="S262" s="87"/>
    </row>
    <row r="263" spans="2:19" hidden="1" x14ac:dyDescent="0.25">
      <c r="B263" s="3" t="s">
        <v>950</v>
      </c>
      <c r="C263" s="3" t="s">
        <v>96</v>
      </c>
      <c r="D263" s="3" t="s">
        <v>948</v>
      </c>
      <c r="E263" s="3" t="s">
        <v>71</v>
      </c>
      <c r="F263" s="3" t="s">
        <v>139</v>
      </c>
      <c r="G263" s="6">
        <v>60000</v>
      </c>
      <c r="H263" s="6">
        <f t="shared" si="7"/>
        <v>9152.5423728813548</v>
      </c>
      <c r="I263" s="3" t="s">
        <v>18</v>
      </c>
      <c r="J263" t="s">
        <v>1706</v>
      </c>
      <c r="N263">
        <v>109</v>
      </c>
      <c r="O263"/>
      <c r="P263" t="s">
        <v>1641</v>
      </c>
      <c r="R263" s="87"/>
      <c r="S263" s="87"/>
    </row>
    <row r="264" spans="2:19" hidden="1" x14ac:dyDescent="0.25">
      <c r="B264" s="3" t="s">
        <v>950</v>
      </c>
      <c r="C264" s="3" t="s">
        <v>96</v>
      </c>
      <c r="D264" s="3" t="s">
        <v>1728</v>
      </c>
      <c r="E264" s="3" t="s">
        <v>71</v>
      </c>
      <c r="F264" s="3" t="s">
        <v>139</v>
      </c>
      <c r="G264" s="6">
        <v>60000</v>
      </c>
      <c r="H264" s="6">
        <f t="shared" si="7"/>
        <v>9152.5423728813548</v>
      </c>
      <c r="I264" s="3" t="s">
        <v>18</v>
      </c>
      <c r="J264" t="s">
        <v>1707</v>
      </c>
      <c r="N264">
        <v>0</v>
      </c>
      <c r="O264"/>
      <c r="P264" t="s">
        <v>1641</v>
      </c>
      <c r="R264" s="87"/>
      <c r="S264" s="87"/>
    </row>
    <row r="265" spans="2:19" hidden="1" x14ac:dyDescent="0.25">
      <c r="B265" s="3" t="s">
        <v>943</v>
      </c>
      <c r="C265" s="3" t="s">
        <v>96</v>
      </c>
      <c r="D265" s="3" t="s">
        <v>939</v>
      </c>
      <c r="E265" s="3" t="s">
        <v>71</v>
      </c>
      <c r="F265" s="3" t="s">
        <v>139</v>
      </c>
      <c r="G265" s="6">
        <v>60000</v>
      </c>
      <c r="H265" s="6">
        <f t="shared" si="7"/>
        <v>9152.5423728813548</v>
      </c>
      <c r="I265" s="3" t="s">
        <v>18</v>
      </c>
      <c r="J265" t="s">
        <v>1894</v>
      </c>
      <c r="N265">
        <v>1</v>
      </c>
      <c r="O265"/>
      <c r="P265" t="s">
        <v>1641</v>
      </c>
      <c r="R265" s="87"/>
      <c r="S265" s="87"/>
    </row>
    <row r="266" spans="2:19" hidden="1" x14ac:dyDescent="0.25">
      <c r="B266" s="3" t="s">
        <v>1229</v>
      </c>
      <c r="C266" s="3" t="s">
        <v>34</v>
      </c>
      <c r="D266" s="3" t="s">
        <v>1303</v>
      </c>
      <c r="E266" s="3" t="s">
        <v>71</v>
      </c>
      <c r="F266" s="3" t="s">
        <v>139</v>
      </c>
      <c r="G266" s="6">
        <v>170000</v>
      </c>
      <c r="H266" s="6">
        <f t="shared" si="7"/>
        <v>25932.203389830509</v>
      </c>
      <c r="I266" s="3" t="s">
        <v>113</v>
      </c>
      <c r="O266"/>
      <c r="P266"/>
      <c r="R266" s="87"/>
      <c r="S266" s="87"/>
    </row>
    <row r="267" spans="2:19" hidden="1" x14ac:dyDescent="0.25">
      <c r="B267" s="3" t="s">
        <v>1187</v>
      </c>
      <c r="C267" s="3" t="s">
        <v>4</v>
      </c>
      <c r="D267" s="3" t="s">
        <v>1158</v>
      </c>
      <c r="E267" s="3" t="s">
        <v>71</v>
      </c>
      <c r="F267" s="3" t="s">
        <v>139</v>
      </c>
      <c r="G267" s="6">
        <v>150000</v>
      </c>
      <c r="H267" s="6">
        <f t="shared" si="7"/>
        <v>22881.355932203383</v>
      </c>
      <c r="I267" s="3" t="s">
        <v>113</v>
      </c>
      <c r="O267"/>
      <c r="P267"/>
      <c r="R267" s="87"/>
      <c r="S267" s="87"/>
    </row>
    <row r="268" spans="2:19" hidden="1" x14ac:dyDescent="0.25">
      <c r="B268" s="3" t="s">
        <v>717</v>
      </c>
      <c r="C268" s="3" t="s">
        <v>96</v>
      </c>
      <c r="D268" s="3" t="s">
        <v>931</v>
      </c>
      <c r="E268" s="3" t="s">
        <v>71</v>
      </c>
      <c r="F268" s="3" t="s">
        <v>139</v>
      </c>
      <c r="G268" s="6">
        <v>13259</v>
      </c>
      <c r="H268" s="6">
        <f t="shared" si="7"/>
        <v>2022.5593220338978</v>
      </c>
      <c r="I268" s="3" t="s">
        <v>18</v>
      </c>
      <c r="J268" t="s">
        <v>1642</v>
      </c>
      <c r="L268">
        <v>851</v>
      </c>
      <c r="N268">
        <v>0</v>
      </c>
      <c r="O268">
        <f>63259/L268</f>
        <v>74.334900117508809</v>
      </c>
      <c r="P268" t="s">
        <v>718</v>
      </c>
      <c r="R268" s="87"/>
      <c r="S268" s="87"/>
    </row>
    <row r="269" spans="2:19" hidden="1" x14ac:dyDescent="0.25">
      <c r="B269" s="3" t="s">
        <v>717</v>
      </c>
      <c r="C269" s="3" t="s">
        <v>96</v>
      </c>
      <c r="D269" s="3" t="s">
        <v>931</v>
      </c>
      <c r="E269" s="3" t="s">
        <v>71</v>
      </c>
      <c r="F269" s="3" t="s">
        <v>139</v>
      </c>
      <c r="G269" s="6">
        <v>16777</v>
      </c>
      <c r="H269" s="6">
        <f t="shared" si="7"/>
        <v>2559.2033898305071</v>
      </c>
      <c r="I269" s="3" t="s">
        <v>18</v>
      </c>
      <c r="J269" t="s">
        <v>1643</v>
      </c>
      <c r="K269" s="88"/>
      <c r="L269">
        <v>971</v>
      </c>
      <c r="O269"/>
      <c r="P269" t="s">
        <v>718</v>
      </c>
      <c r="R269" s="87"/>
      <c r="S269" s="87"/>
    </row>
    <row r="270" spans="2:19" hidden="1" x14ac:dyDescent="0.25">
      <c r="B270" s="3" t="s">
        <v>950</v>
      </c>
      <c r="C270" s="3" t="s">
        <v>96</v>
      </c>
      <c r="D270" s="3" t="s">
        <v>948</v>
      </c>
      <c r="E270" s="3" t="s">
        <v>71</v>
      </c>
      <c r="F270" s="3" t="s">
        <v>139</v>
      </c>
      <c r="G270" s="6">
        <v>13558</v>
      </c>
      <c r="H270" s="6">
        <f t="shared" si="7"/>
        <v>2068.1694915254229</v>
      </c>
      <c r="I270" s="3" t="s">
        <v>18</v>
      </c>
      <c r="J270" t="s">
        <v>1639</v>
      </c>
      <c r="L270">
        <v>1011</v>
      </c>
      <c r="O270"/>
      <c r="P270" t="s">
        <v>718</v>
      </c>
      <c r="R270" s="87"/>
      <c r="S270" s="87"/>
    </row>
    <row r="271" spans="2:19" hidden="1" x14ac:dyDescent="0.25">
      <c r="B271" s="3" t="s">
        <v>943</v>
      </c>
      <c r="C271" s="3" t="s">
        <v>96</v>
      </c>
      <c r="D271" s="3" t="s">
        <v>939</v>
      </c>
      <c r="E271" s="3" t="s">
        <v>71</v>
      </c>
      <c r="F271" s="3" t="s">
        <v>139</v>
      </c>
      <c r="G271" s="6">
        <v>7046</v>
      </c>
      <c r="H271" s="6">
        <f t="shared" si="7"/>
        <v>1074.8135593220331</v>
      </c>
      <c r="I271" s="3" t="s">
        <v>18</v>
      </c>
      <c r="J271" t="s">
        <v>1709</v>
      </c>
      <c r="K271" s="77"/>
      <c r="L271">
        <v>95</v>
      </c>
      <c r="O271"/>
      <c r="P271" t="s">
        <v>718</v>
      </c>
      <c r="R271" s="87"/>
      <c r="S271" s="87"/>
    </row>
    <row r="272" spans="2:19" hidden="1" x14ac:dyDescent="0.25">
      <c r="B272" s="3" t="s">
        <v>717</v>
      </c>
      <c r="C272" s="3" t="s">
        <v>96</v>
      </c>
      <c r="D272" s="3" t="s">
        <v>931</v>
      </c>
      <c r="E272" s="3" t="s">
        <v>71</v>
      </c>
      <c r="F272" s="3" t="s">
        <v>139</v>
      </c>
      <c r="G272" s="6">
        <v>4030</v>
      </c>
      <c r="H272" s="6">
        <f t="shared" si="7"/>
        <v>614.74576271186424</v>
      </c>
      <c r="I272" s="3" t="s">
        <v>18</v>
      </c>
      <c r="J272" t="s">
        <v>1640</v>
      </c>
      <c r="K272" s="77"/>
      <c r="L272">
        <v>716.5</v>
      </c>
      <c r="N272">
        <v>0</v>
      </c>
      <c r="O272"/>
      <c r="P272" t="s">
        <v>718</v>
      </c>
      <c r="R272" s="87"/>
      <c r="S272" s="87"/>
    </row>
    <row r="273" spans="2:19" hidden="1" x14ac:dyDescent="0.25">
      <c r="B273" s="3" t="s">
        <v>726</v>
      </c>
      <c r="C273" s="3" t="s">
        <v>96</v>
      </c>
      <c r="D273" s="3" t="s">
        <v>933</v>
      </c>
      <c r="E273" s="3" t="s">
        <v>71</v>
      </c>
      <c r="F273" s="3" t="s">
        <v>139</v>
      </c>
      <c r="G273" s="6">
        <v>11869</v>
      </c>
      <c r="H273" s="6">
        <f t="shared" si="7"/>
        <v>1810.5254237288136</v>
      </c>
      <c r="I273" s="3" t="s">
        <v>18</v>
      </c>
      <c r="J273" t="s">
        <v>1891</v>
      </c>
      <c r="K273" s="77"/>
      <c r="L273">
        <v>940</v>
      </c>
      <c r="N273">
        <v>0</v>
      </c>
      <c r="O273"/>
      <c r="P273" t="s">
        <v>718</v>
      </c>
      <c r="R273" s="87"/>
      <c r="S273" s="87"/>
    </row>
    <row r="274" spans="2:19" hidden="1" x14ac:dyDescent="0.25">
      <c r="B274" s="3" t="s">
        <v>943</v>
      </c>
      <c r="C274" s="3" t="s">
        <v>96</v>
      </c>
      <c r="D274" s="3" t="s">
        <v>1647</v>
      </c>
      <c r="E274" s="3" t="s">
        <v>71</v>
      </c>
      <c r="F274" s="3" t="s">
        <v>139</v>
      </c>
      <c r="G274" s="6">
        <v>36005</v>
      </c>
      <c r="H274" s="6">
        <f t="shared" si="7"/>
        <v>5492.2881355932186</v>
      </c>
      <c r="I274" s="3" t="s">
        <v>18</v>
      </c>
      <c r="J274" t="s">
        <v>1893</v>
      </c>
      <c r="K274" s="78"/>
      <c r="L274">
        <v>1533</v>
      </c>
      <c r="N274">
        <v>0</v>
      </c>
      <c r="O274"/>
      <c r="P274" t="s">
        <v>718</v>
      </c>
      <c r="R274" s="87"/>
      <c r="S274" s="87"/>
    </row>
    <row r="275" spans="2:19" hidden="1" x14ac:dyDescent="0.25">
      <c r="B275" s="3" t="s">
        <v>525</v>
      </c>
      <c r="C275" s="3" t="s">
        <v>26</v>
      </c>
      <c r="D275" s="8" t="s">
        <v>526</v>
      </c>
      <c r="E275" s="8" t="s">
        <v>115</v>
      </c>
      <c r="F275" s="3" t="s">
        <v>120</v>
      </c>
      <c r="G275" s="6">
        <v>996230</v>
      </c>
      <c r="H275" s="6">
        <f t="shared" si="7"/>
        <v>151967.28813559317</v>
      </c>
      <c r="I275" s="3" t="s">
        <v>113</v>
      </c>
      <c r="O275"/>
      <c r="P275"/>
      <c r="R275" s="87"/>
      <c r="S275" s="87"/>
    </row>
    <row r="276" spans="2:19" hidden="1" x14ac:dyDescent="0.25">
      <c r="B276" s="3" t="s">
        <v>525</v>
      </c>
      <c r="C276" s="3" t="s">
        <v>26</v>
      </c>
      <c r="D276" s="3" t="s">
        <v>526</v>
      </c>
      <c r="E276" s="3" t="s">
        <v>115</v>
      </c>
      <c r="F276" s="3" t="s">
        <v>124</v>
      </c>
      <c r="G276" s="6">
        <v>493060</v>
      </c>
      <c r="H276" s="6">
        <f t="shared" si="7"/>
        <v>75212.542372881318</v>
      </c>
      <c r="I276" s="3" t="s">
        <v>113</v>
      </c>
      <c r="O276"/>
      <c r="P276"/>
      <c r="R276" s="87"/>
      <c r="S276" s="87"/>
    </row>
    <row r="277" spans="2:19" hidden="1" x14ac:dyDescent="0.25">
      <c r="B277" s="3" t="s">
        <v>1637</v>
      </c>
      <c r="C277" s="3" t="s">
        <v>47</v>
      </c>
      <c r="D277" s="3" t="s">
        <v>589</v>
      </c>
      <c r="E277" s="3" t="s">
        <v>115</v>
      </c>
      <c r="F277" s="3" t="s">
        <v>126</v>
      </c>
      <c r="G277" s="6">
        <v>123747</v>
      </c>
      <c r="H277" s="6">
        <f t="shared" si="7"/>
        <v>18876.661016949147</v>
      </c>
      <c r="I277" s="3" t="s">
        <v>113</v>
      </c>
      <c r="O277"/>
      <c r="P277"/>
      <c r="R277" s="87"/>
      <c r="S277" s="87"/>
    </row>
    <row r="278" spans="2:19" hidden="1" x14ac:dyDescent="0.25">
      <c r="B278" s="3" t="s">
        <v>703</v>
      </c>
      <c r="C278" s="3"/>
      <c r="D278" s="3" t="s">
        <v>1611</v>
      </c>
      <c r="E278" s="3" t="s">
        <v>701</v>
      </c>
      <c r="F278" s="3" t="s">
        <v>127</v>
      </c>
      <c r="G278" s="6">
        <v>5000000</v>
      </c>
      <c r="H278" s="6">
        <v>0</v>
      </c>
      <c r="I278" s="3" t="s">
        <v>18</v>
      </c>
      <c r="K278" s="19"/>
      <c r="O278"/>
      <c r="P278"/>
      <c r="R278" s="87"/>
      <c r="S278" s="87"/>
    </row>
    <row r="279" spans="2:19" hidden="1" x14ac:dyDescent="0.25">
      <c r="B279" s="3" t="s">
        <v>1694</v>
      </c>
      <c r="C279" s="3" t="s">
        <v>47</v>
      </c>
      <c r="D279" s="3" t="s">
        <v>1693</v>
      </c>
      <c r="E279" s="3" t="s">
        <v>115</v>
      </c>
      <c r="F279" s="3" t="s">
        <v>139</v>
      </c>
      <c r="G279" s="6">
        <v>240000</v>
      </c>
      <c r="H279" s="6">
        <f t="shared" ref="H279:H342" si="8">G279-G279/1.18</f>
        <v>36610.169491525419</v>
      </c>
      <c r="I279" s="3" t="s">
        <v>113</v>
      </c>
      <c r="O279"/>
      <c r="P279"/>
      <c r="R279" s="87"/>
      <c r="S279" s="87"/>
    </row>
    <row r="280" spans="2:19" hidden="1" x14ac:dyDescent="0.25">
      <c r="B280" s="3" t="s">
        <v>1629</v>
      </c>
      <c r="C280" s="3" t="s">
        <v>91</v>
      </c>
      <c r="D280" s="3" t="s">
        <v>1632</v>
      </c>
      <c r="E280" s="3" t="s">
        <v>77</v>
      </c>
      <c r="F280" s="3" t="s">
        <v>129</v>
      </c>
      <c r="G280" s="6">
        <v>31841.25</v>
      </c>
      <c r="H280" s="6">
        <f t="shared" si="8"/>
        <v>4857.1398305084731</v>
      </c>
      <c r="I280" s="3" t="s">
        <v>18</v>
      </c>
      <c r="J280" s="78"/>
      <c r="K280" s="78"/>
      <c r="O280"/>
      <c r="P280"/>
      <c r="R280" s="87"/>
      <c r="S280" s="87"/>
    </row>
    <row r="281" spans="2:19" hidden="1" x14ac:dyDescent="0.25">
      <c r="B281" s="3" t="s">
        <v>1630</v>
      </c>
      <c r="C281" s="3" t="s">
        <v>91</v>
      </c>
      <c r="D281" s="3" t="s">
        <v>1633</v>
      </c>
      <c r="E281" s="3" t="s">
        <v>77</v>
      </c>
      <c r="F281" s="3" t="s">
        <v>129</v>
      </c>
      <c r="G281" s="6">
        <v>11807.25</v>
      </c>
      <c r="H281" s="6">
        <f t="shared" si="8"/>
        <v>1801.1059322033889</v>
      </c>
      <c r="I281" s="3" t="s">
        <v>18</v>
      </c>
      <c r="J281" s="78"/>
      <c r="K281" s="78"/>
      <c r="O281"/>
      <c r="P281"/>
      <c r="R281" s="87"/>
      <c r="S281" s="87"/>
    </row>
    <row r="282" spans="2:19" hidden="1" x14ac:dyDescent="0.25">
      <c r="B282" s="3" t="s">
        <v>1712</v>
      </c>
      <c r="C282" s="3" t="s">
        <v>21</v>
      </c>
      <c r="D282" s="3" t="s">
        <v>1711</v>
      </c>
      <c r="E282" s="3" t="s">
        <v>77</v>
      </c>
      <c r="F282" s="3" t="s">
        <v>129</v>
      </c>
      <c r="G282" s="6">
        <v>10561.25</v>
      </c>
      <c r="H282" s="6">
        <f t="shared" si="8"/>
        <v>1611.0381355932204</v>
      </c>
      <c r="I282" s="3" t="s">
        <v>113</v>
      </c>
      <c r="J282" s="78"/>
      <c r="K282" s="78"/>
      <c r="O282"/>
      <c r="P282"/>
      <c r="R282" s="87"/>
      <c r="S282" s="87"/>
    </row>
    <row r="283" spans="2:19" hidden="1" x14ac:dyDescent="0.25">
      <c r="B283" s="3" t="s">
        <v>1427</v>
      </c>
      <c r="C283" s="3" t="s">
        <v>43</v>
      </c>
      <c r="D283" s="3" t="s">
        <v>1317</v>
      </c>
      <c r="E283" s="3" t="s">
        <v>106</v>
      </c>
      <c r="F283" s="3" t="s">
        <v>129</v>
      </c>
      <c r="G283" s="6">
        <v>14236.25</v>
      </c>
      <c r="H283" s="6">
        <f t="shared" si="8"/>
        <v>2171.6313559322025</v>
      </c>
      <c r="I283" s="3" t="s">
        <v>113</v>
      </c>
      <c r="O283"/>
      <c r="P283"/>
      <c r="R283" s="87"/>
      <c r="S283" s="87"/>
    </row>
    <row r="284" spans="2:19" hidden="1" x14ac:dyDescent="0.25">
      <c r="B284" s="3" t="s">
        <v>1061</v>
      </c>
      <c r="C284" s="3" t="s">
        <v>94</v>
      </c>
      <c r="D284" s="3" t="s">
        <v>1118</v>
      </c>
      <c r="E284" s="3" t="s">
        <v>90</v>
      </c>
      <c r="F284" s="3" t="s">
        <v>131</v>
      </c>
      <c r="G284" s="6">
        <v>15000</v>
      </c>
      <c r="H284" s="6">
        <f t="shared" si="8"/>
        <v>2288.1355932203387</v>
      </c>
      <c r="I284" s="3" t="s">
        <v>18</v>
      </c>
      <c r="O284"/>
      <c r="P284"/>
      <c r="R284" s="87"/>
      <c r="S284" s="87"/>
    </row>
    <row r="285" spans="2:19" hidden="1" x14ac:dyDescent="0.25">
      <c r="B285" s="3" t="s">
        <v>1511</v>
      </c>
      <c r="C285" s="3" t="s">
        <v>1681</v>
      </c>
      <c r="D285" s="3" t="s">
        <v>255</v>
      </c>
      <c r="E285" s="3" t="s">
        <v>90</v>
      </c>
      <c r="F285" s="3" t="s">
        <v>131</v>
      </c>
      <c r="G285" s="6">
        <v>13114.59</v>
      </c>
      <c r="H285" s="6">
        <f t="shared" si="8"/>
        <v>2000.5306779661005</v>
      </c>
      <c r="I285" s="3" t="s">
        <v>18</v>
      </c>
      <c r="O285"/>
      <c r="P285"/>
      <c r="R285" s="87"/>
      <c r="S285" s="87"/>
    </row>
    <row r="286" spans="2:19" x14ac:dyDescent="0.25">
      <c r="B286" s="3" t="s">
        <v>295</v>
      </c>
      <c r="C286" s="3" t="s">
        <v>74</v>
      </c>
      <c r="D286" s="8" t="s">
        <v>304</v>
      </c>
      <c r="E286" s="3" t="s">
        <v>90</v>
      </c>
      <c r="F286" s="3" t="s">
        <v>121</v>
      </c>
      <c r="G286" s="6">
        <v>12800</v>
      </c>
      <c r="H286" s="6">
        <f t="shared" si="8"/>
        <v>1952.5423728813548</v>
      </c>
      <c r="I286" s="6" t="s">
        <v>18</v>
      </c>
      <c r="O286"/>
      <c r="P286"/>
      <c r="R286" s="87"/>
      <c r="S286" s="87"/>
    </row>
    <row r="287" spans="2:19" hidden="1" x14ac:dyDescent="0.25">
      <c r="B287" s="3" t="s">
        <v>580</v>
      </c>
      <c r="C287" s="3" t="s">
        <v>40</v>
      </c>
      <c r="D287" s="3" t="s">
        <v>579</v>
      </c>
      <c r="E287" s="3" t="s">
        <v>90</v>
      </c>
      <c r="F287" s="3" t="s">
        <v>120</v>
      </c>
      <c r="G287" s="6">
        <v>12162.35</v>
      </c>
      <c r="H287" s="6">
        <f t="shared" si="8"/>
        <v>1855.2737288135595</v>
      </c>
      <c r="I287" s="3" t="s">
        <v>113</v>
      </c>
      <c r="O287"/>
      <c r="P287"/>
      <c r="R287" s="87"/>
      <c r="S287" s="87"/>
    </row>
    <row r="288" spans="2:19" hidden="1" x14ac:dyDescent="0.25">
      <c r="B288" s="3" t="s">
        <v>482</v>
      </c>
      <c r="C288" s="3" t="s">
        <v>40</v>
      </c>
      <c r="D288" s="3" t="s">
        <v>487</v>
      </c>
      <c r="E288" s="3" t="s">
        <v>90</v>
      </c>
      <c r="F288" s="3" t="s">
        <v>120</v>
      </c>
      <c r="G288" s="6">
        <v>9978</v>
      </c>
      <c r="H288" s="6">
        <f t="shared" si="8"/>
        <v>1522.0677966101684</v>
      </c>
      <c r="I288" s="3" t="s">
        <v>113</v>
      </c>
      <c r="O288"/>
      <c r="P288"/>
      <c r="R288" s="87"/>
      <c r="S288" s="87"/>
    </row>
    <row r="289" spans="2:19" hidden="1" x14ac:dyDescent="0.25">
      <c r="B289" s="3" t="s">
        <v>1616</v>
      </c>
      <c r="C289" s="3" t="s">
        <v>93</v>
      </c>
      <c r="D289" s="3" t="s">
        <v>1617</v>
      </c>
      <c r="E289" s="3" t="s">
        <v>75</v>
      </c>
      <c r="F289" s="3" t="s">
        <v>129</v>
      </c>
      <c r="G289" s="6">
        <v>550000</v>
      </c>
      <c r="H289" s="6">
        <f t="shared" si="8"/>
        <v>83898.305084745749</v>
      </c>
      <c r="I289" s="3" t="s">
        <v>18</v>
      </c>
      <c r="O289"/>
      <c r="P289"/>
      <c r="R289" s="87"/>
      <c r="S289" s="87"/>
    </row>
    <row r="290" spans="2:19" hidden="1" x14ac:dyDescent="0.25">
      <c r="B290" s="3" t="s">
        <v>796</v>
      </c>
      <c r="C290" s="3" t="s">
        <v>56</v>
      </c>
      <c r="D290" s="3" t="s">
        <v>874</v>
      </c>
      <c r="E290" s="3" t="s">
        <v>87</v>
      </c>
      <c r="F290" s="3" t="s">
        <v>129</v>
      </c>
      <c r="G290" s="6">
        <v>450000</v>
      </c>
      <c r="H290" s="6">
        <f t="shared" si="8"/>
        <v>68644.067796610121</v>
      </c>
      <c r="I290" s="3" t="s">
        <v>113</v>
      </c>
      <c r="O290"/>
      <c r="P290"/>
      <c r="R290" s="87"/>
      <c r="S290" s="87"/>
    </row>
    <row r="291" spans="2:19" hidden="1" x14ac:dyDescent="0.25">
      <c r="B291" s="3" t="s">
        <v>803</v>
      </c>
      <c r="C291" s="3" t="s">
        <v>56</v>
      </c>
      <c r="D291" s="3" t="s">
        <v>881</v>
      </c>
      <c r="E291" s="3" t="s">
        <v>87</v>
      </c>
      <c r="F291" s="3" t="s">
        <v>129</v>
      </c>
      <c r="G291" s="6">
        <v>550000</v>
      </c>
      <c r="H291" s="6">
        <f t="shared" si="8"/>
        <v>83898.305084745749</v>
      </c>
      <c r="I291" s="3" t="s">
        <v>113</v>
      </c>
      <c r="O291"/>
      <c r="P291"/>
      <c r="R291" s="87"/>
      <c r="S291" s="87"/>
    </row>
    <row r="292" spans="2:19" hidden="1" x14ac:dyDescent="0.25">
      <c r="B292" s="3" t="s">
        <v>503</v>
      </c>
      <c r="C292" s="3" t="s">
        <v>60</v>
      </c>
      <c r="D292" s="3" t="s">
        <v>500</v>
      </c>
      <c r="E292" s="3" t="s">
        <v>90</v>
      </c>
      <c r="F292" s="3" t="s">
        <v>120</v>
      </c>
      <c r="G292" s="6">
        <v>8154.72</v>
      </c>
      <c r="H292" s="6">
        <f t="shared" si="8"/>
        <v>1243.9403389830504</v>
      </c>
      <c r="I292" s="3" t="s">
        <v>113</v>
      </c>
      <c r="O292"/>
      <c r="P292"/>
      <c r="R292" s="87"/>
      <c r="S292" s="87"/>
    </row>
    <row r="293" spans="2:19" hidden="1" x14ac:dyDescent="0.25">
      <c r="B293" s="3" t="s">
        <v>576</v>
      </c>
      <c r="C293" s="3" t="s">
        <v>40</v>
      </c>
      <c r="D293" s="3" t="s">
        <v>577</v>
      </c>
      <c r="E293" s="3" t="s">
        <v>90</v>
      </c>
      <c r="F293" s="3" t="s">
        <v>120</v>
      </c>
      <c r="G293" s="6">
        <v>7985.85</v>
      </c>
      <c r="H293" s="6">
        <f t="shared" si="8"/>
        <v>1218.1805084745756</v>
      </c>
      <c r="I293" s="3" t="s">
        <v>113</v>
      </c>
      <c r="O293"/>
      <c r="P293"/>
      <c r="R293" s="87"/>
      <c r="S293" s="87"/>
    </row>
    <row r="294" spans="2:19" hidden="1" x14ac:dyDescent="0.25">
      <c r="B294" s="3" t="s">
        <v>1465</v>
      </c>
      <c r="C294" s="3" t="s">
        <v>40</v>
      </c>
      <c r="D294" s="3" t="s">
        <v>1353</v>
      </c>
      <c r="E294" s="3" t="s">
        <v>90</v>
      </c>
      <c r="F294" s="3" t="s">
        <v>131</v>
      </c>
      <c r="G294" s="6">
        <v>7948.31</v>
      </c>
      <c r="H294" s="6">
        <f t="shared" si="8"/>
        <v>1212.4540677966097</v>
      </c>
      <c r="I294" s="3" t="s">
        <v>113</v>
      </c>
      <c r="O294"/>
      <c r="P294"/>
      <c r="R294" s="87"/>
      <c r="S294" s="87"/>
    </row>
    <row r="295" spans="2:19" hidden="1" x14ac:dyDescent="0.25">
      <c r="B295" s="3" t="s">
        <v>1511</v>
      </c>
      <c r="C295" s="3" t="s">
        <v>99</v>
      </c>
      <c r="D295" s="3" t="s">
        <v>255</v>
      </c>
      <c r="E295" s="3" t="s">
        <v>90</v>
      </c>
      <c r="F295" s="3" t="s">
        <v>125</v>
      </c>
      <c r="G295" s="6">
        <v>7938</v>
      </c>
      <c r="H295" s="6">
        <f t="shared" si="8"/>
        <v>1210.8813559322034</v>
      </c>
      <c r="I295" s="3" t="s">
        <v>18</v>
      </c>
      <c r="O295"/>
      <c r="P295"/>
      <c r="R295" s="87"/>
      <c r="S295" s="87"/>
    </row>
    <row r="296" spans="2:19" hidden="1" x14ac:dyDescent="0.25">
      <c r="B296" s="3" t="s">
        <v>1521</v>
      </c>
      <c r="C296" s="3" t="s">
        <v>94</v>
      </c>
      <c r="D296" s="3" t="s">
        <v>280</v>
      </c>
      <c r="E296" s="3" t="s">
        <v>90</v>
      </c>
      <c r="F296" s="3" t="s">
        <v>131</v>
      </c>
      <c r="G296" s="6">
        <v>7428.27</v>
      </c>
      <c r="H296" s="6">
        <f t="shared" si="8"/>
        <v>1133.1259322033893</v>
      </c>
      <c r="I296" s="3" t="s">
        <v>18</v>
      </c>
      <c r="O296"/>
      <c r="P296"/>
    </row>
    <row r="297" spans="2:19" hidden="1" x14ac:dyDescent="0.25">
      <c r="B297" s="3" t="s">
        <v>1511</v>
      </c>
      <c r="C297" s="3" t="s">
        <v>1681</v>
      </c>
      <c r="D297" s="3" t="s">
        <v>255</v>
      </c>
      <c r="E297" s="3" t="s">
        <v>90</v>
      </c>
      <c r="F297" s="3" t="s">
        <v>139</v>
      </c>
      <c r="G297" s="6">
        <v>6399</v>
      </c>
      <c r="H297" s="6">
        <f t="shared" si="8"/>
        <v>976.11864406779659</v>
      </c>
      <c r="I297" s="3" t="s">
        <v>18</v>
      </c>
      <c r="O297"/>
      <c r="P297"/>
      <c r="R297" s="87"/>
      <c r="S297" s="87"/>
    </row>
    <row r="298" spans="2:19" hidden="1" x14ac:dyDescent="0.25">
      <c r="B298" s="3" t="s">
        <v>1083</v>
      </c>
      <c r="C298" s="3" t="s">
        <v>74</v>
      </c>
      <c r="D298" s="3" t="s">
        <v>1139</v>
      </c>
      <c r="E298" s="3" t="s">
        <v>90</v>
      </c>
      <c r="F298" s="3" t="s">
        <v>133</v>
      </c>
      <c r="G298" s="6">
        <v>6098.52</v>
      </c>
      <c r="H298" s="86">
        <f t="shared" si="8"/>
        <v>930.28271186440634</v>
      </c>
      <c r="I298" s="3" t="s">
        <v>18</v>
      </c>
      <c r="O298"/>
      <c r="P298"/>
      <c r="R298" s="87"/>
      <c r="S298" s="87"/>
    </row>
    <row r="299" spans="2:19" hidden="1" x14ac:dyDescent="0.25">
      <c r="B299" s="3" t="s">
        <v>1511</v>
      </c>
      <c r="C299" s="3" t="s">
        <v>99</v>
      </c>
      <c r="D299" s="3" t="s">
        <v>255</v>
      </c>
      <c r="E299" s="3" t="s">
        <v>90</v>
      </c>
      <c r="F299" s="3" t="s">
        <v>127</v>
      </c>
      <c r="G299" s="6">
        <v>5670</v>
      </c>
      <c r="H299" s="6">
        <f t="shared" si="8"/>
        <v>864.91525423728763</v>
      </c>
      <c r="I299" s="3" t="s">
        <v>18</v>
      </c>
      <c r="O299"/>
      <c r="P299"/>
      <c r="R299" s="87"/>
      <c r="S299" s="87"/>
    </row>
    <row r="300" spans="2:19" hidden="1" x14ac:dyDescent="0.25">
      <c r="B300" s="3" t="s">
        <v>972</v>
      </c>
      <c r="C300" s="3" t="s">
        <v>95</v>
      </c>
      <c r="D300" s="3" t="s">
        <v>971</v>
      </c>
      <c r="E300" s="3" t="s">
        <v>90</v>
      </c>
      <c r="F300" s="3" t="s">
        <v>127</v>
      </c>
      <c r="G300" s="6">
        <v>5427</v>
      </c>
      <c r="H300" s="6">
        <f t="shared" si="8"/>
        <v>827.84745762711827</v>
      </c>
      <c r="I300" s="3" t="s">
        <v>18</v>
      </c>
      <c r="O300"/>
      <c r="P300"/>
      <c r="R300" s="87"/>
      <c r="S300" s="87"/>
    </row>
    <row r="301" spans="2:19" hidden="1" x14ac:dyDescent="0.25">
      <c r="B301" s="3" t="s">
        <v>233</v>
      </c>
      <c r="C301" s="3" t="s">
        <v>42</v>
      </c>
      <c r="D301" s="3" t="s">
        <v>250</v>
      </c>
      <c r="E301" s="3" t="s">
        <v>90</v>
      </c>
      <c r="F301" s="3" t="s">
        <v>120</v>
      </c>
      <c r="G301" s="6">
        <v>5388.94</v>
      </c>
      <c r="H301" s="6">
        <f t="shared" si="8"/>
        <v>822.04169491525408</v>
      </c>
      <c r="I301" s="3" t="s">
        <v>113</v>
      </c>
      <c r="O301"/>
      <c r="P301"/>
      <c r="R301" s="87"/>
      <c r="S301" s="87"/>
    </row>
    <row r="302" spans="2:19" hidden="1" x14ac:dyDescent="0.25">
      <c r="B302" s="3" t="s">
        <v>299</v>
      </c>
      <c r="C302" s="3" t="s">
        <v>95</v>
      </c>
      <c r="D302" s="3" t="s">
        <v>316</v>
      </c>
      <c r="E302" s="3" t="s">
        <v>90</v>
      </c>
      <c r="F302" s="3" t="s">
        <v>121</v>
      </c>
      <c r="G302" s="6">
        <v>5359.61</v>
      </c>
      <c r="H302" s="6">
        <f t="shared" si="8"/>
        <v>817.56762711864394</v>
      </c>
      <c r="I302" s="6" t="s">
        <v>18</v>
      </c>
      <c r="J302" t="s">
        <v>668</v>
      </c>
      <c r="L302">
        <v>137.4</v>
      </c>
      <c r="O302"/>
      <c r="P302" t="s">
        <v>600</v>
      </c>
      <c r="R302" s="87"/>
      <c r="S302" s="87"/>
    </row>
    <row r="303" spans="2:19" hidden="1" x14ac:dyDescent="0.25">
      <c r="B303" s="3" t="s">
        <v>1534</v>
      </c>
      <c r="C303" s="3" t="s">
        <v>95</v>
      </c>
      <c r="D303" s="3" t="s">
        <v>316</v>
      </c>
      <c r="E303" s="3" t="s">
        <v>90</v>
      </c>
      <c r="F303" s="3" t="s">
        <v>133</v>
      </c>
      <c r="G303" s="6">
        <v>4980.5</v>
      </c>
      <c r="H303" s="29">
        <f t="shared" si="8"/>
        <v>759.73728813559319</v>
      </c>
      <c r="I303" s="3" t="s">
        <v>18</v>
      </c>
      <c r="O303"/>
      <c r="P303"/>
    </row>
    <row r="304" spans="2:19" hidden="1" x14ac:dyDescent="0.25">
      <c r="B304" s="3" t="s">
        <v>1479</v>
      </c>
      <c r="C304" s="3" t="s">
        <v>73</v>
      </c>
      <c r="D304" s="3" t="s">
        <v>1367</v>
      </c>
      <c r="E304" s="3" t="s">
        <v>90</v>
      </c>
      <c r="F304" s="3" t="s">
        <v>133</v>
      </c>
      <c r="G304" s="6">
        <v>4920.46</v>
      </c>
      <c r="H304" s="86">
        <f t="shared" si="8"/>
        <v>750.57864406779663</v>
      </c>
      <c r="I304" s="3" t="s">
        <v>113</v>
      </c>
      <c r="O304"/>
      <c r="P304"/>
      <c r="R304" s="87"/>
      <c r="S304" s="87"/>
    </row>
    <row r="305" spans="2:19" hidden="1" x14ac:dyDescent="0.25">
      <c r="B305" s="3" t="s">
        <v>1694</v>
      </c>
      <c r="C305" s="3" t="s">
        <v>47</v>
      </c>
      <c r="D305" s="3" t="s">
        <v>1693</v>
      </c>
      <c r="E305" s="3" t="s">
        <v>115</v>
      </c>
      <c r="F305" s="3" t="s">
        <v>129</v>
      </c>
      <c r="G305" s="6">
        <v>100000</v>
      </c>
      <c r="H305" s="6">
        <f t="shared" si="8"/>
        <v>15254.237288135584</v>
      </c>
      <c r="I305" s="3" t="s">
        <v>113</v>
      </c>
      <c r="O305"/>
      <c r="P305"/>
      <c r="R305" s="87"/>
      <c r="S305" s="87"/>
    </row>
    <row r="306" spans="2:19" hidden="1" x14ac:dyDescent="0.25">
      <c r="B306" s="3" t="s">
        <v>1472</v>
      </c>
      <c r="C306" s="3" t="s">
        <v>40</v>
      </c>
      <c r="D306" s="3" t="s">
        <v>1360</v>
      </c>
      <c r="E306" s="3" t="s">
        <v>106</v>
      </c>
      <c r="F306" s="3" t="s">
        <v>129</v>
      </c>
      <c r="G306" s="6">
        <v>61.25</v>
      </c>
      <c r="H306" s="6">
        <f t="shared" si="8"/>
        <v>9.3432203389830448</v>
      </c>
      <c r="I306" s="3" t="s">
        <v>113</v>
      </c>
      <c r="O306"/>
      <c r="P306"/>
      <c r="R306" s="87"/>
      <c r="S306" s="87"/>
    </row>
    <row r="307" spans="2:19" hidden="1" x14ac:dyDescent="0.25">
      <c r="B307" s="3" t="s">
        <v>1452</v>
      </c>
      <c r="C307" s="3" t="s">
        <v>40</v>
      </c>
      <c r="D307" s="3" t="s">
        <v>1342</v>
      </c>
      <c r="E307" s="3" t="s">
        <v>106</v>
      </c>
      <c r="F307" s="3" t="s">
        <v>129</v>
      </c>
      <c r="G307" s="6">
        <v>13753.25</v>
      </c>
      <c r="H307" s="6">
        <f t="shared" si="8"/>
        <v>2097.9533898305071</v>
      </c>
      <c r="I307" s="3" t="s">
        <v>113</v>
      </c>
      <c r="O307"/>
      <c r="P307"/>
      <c r="R307" s="87"/>
      <c r="S307" s="87"/>
    </row>
    <row r="308" spans="2:19" hidden="1" x14ac:dyDescent="0.25">
      <c r="B308" s="3" t="s">
        <v>1058</v>
      </c>
      <c r="C308" s="3" t="s">
        <v>95</v>
      </c>
      <c r="D308" s="3" t="s">
        <v>1115</v>
      </c>
      <c r="E308" s="3" t="s">
        <v>106</v>
      </c>
      <c r="F308" s="3" t="s">
        <v>129</v>
      </c>
      <c r="G308" s="6">
        <v>183.75</v>
      </c>
      <c r="H308" s="6">
        <f t="shared" si="8"/>
        <v>28.029661016949149</v>
      </c>
      <c r="I308" s="3" t="s">
        <v>18</v>
      </c>
      <c r="O308"/>
      <c r="P308"/>
      <c r="R308" s="87"/>
      <c r="S308" s="87"/>
    </row>
    <row r="309" spans="2:19" hidden="1" x14ac:dyDescent="0.25">
      <c r="B309" s="3" t="s">
        <v>1425</v>
      </c>
      <c r="C309" s="3" t="s">
        <v>41</v>
      </c>
      <c r="D309" s="3" t="s">
        <v>1315</v>
      </c>
      <c r="E309" s="3" t="s">
        <v>106</v>
      </c>
      <c r="F309" s="3" t="s">
        <v>129</v>
      </c>
      <c r="G309" s="6">
        <v>53754.75</v>
      </c>
      <c r="H309" s="6">
        <f t="shared" si="8"/>
        <v>8199.8771186440645</v>
      </c>
      <c r="I309" s="3" t="s">
        <v>113</v>
      </c>
      <c r="O309"/>
      <c r="P309"/>
      <c r="R309" s="87"/>
      <c r="S309" s="87"/>
    </row>
    <row r="310" spans="2:19" hidden="1" x14ac:dyDescent="0.25">
      <c r="B310" s="3" t="s">
        <v>1474</v>
      </c>
      <c r="C310" s="3" t="s">
        <v>40</v>
      </c>
      <c r="D310" s="3" t="s">
        <v>1362</v>
      </c>
      <c r="E310" s="3" t="s">
        <v>106</v>
      </c>
      <c r="F310" s="3" t="s">
        <v>129</v>
      </c>
      <c r="G310" s="6">
        <v>26.25</v>
      </c>
      <c r="H310" s="6">
        <f t="shared" si="8"/>
        <v>4.0042372881355917</v>
      </c>
      <c r="I310" s="3" t="s">
        <v>113</v>
      </c>
      <c r="O310"/>
      <c r="P310"/>
      <c r="R310" s="87"/>
      <c r="S310" s="87"/>
    </row>
    <row r="311" spans="2:19" hidden="1" x14ac:dyDescent="0.25">
      <c r="B311" s="3" t="s">
        <v>1464</v>
      </c>
      <c r="C311" s="3" t="s">
        <v>40</v>
      </c>
      <c r="D311" s="3" t="s">
        <v>1352</v>
      </c>
      <c r="E311" s="3" t="s">
        <v>106</v>
      </c>
      <c r="F311" s="3" t="s">
        <v>129</v>
      </c>
      <c r="G311" s="6">
        <v>334.25</v>
      </c>
      <c r="H311" s="6">
        <f t="shared" si="8"/>
        <v>50.98728813559319</v>
      </c>
      <c r="I311" s="3" t="s">
        <v>113</v>
      </c>
      <c r="O311"/>
      <c r="P311"/>
      <c r="R311" s="87"/>
      <c r="S311" s="87"/>
    </row>
    <row r="312" spans="2:19" hidden="1" x14ac:dyDescent="0.25">
      <c r="B312" s="3" t="s">
        <v>1072</v>
      </c>
      <c r="C312" s="3" t="s">
        <v>94</v>
      </c>
      <c r="D312" s="3" t="s">
        <v>1128</v>
      </c>
      <c r="E312" s="3" t="s">
        <v>106</v>
      </c>
      <c r="F312" s="3" t="s">
        <v>129</v>
      </c>
      <c r="G312" s="6">
        <v>1370.25</v>
      </c>
      <c r="H312" s="6">
        <f t="shared" si="8"/>
        <v>209.02118644067787</v>
      </c>
      <c r="I312" s="3" t="s">
        <v>18</v>
      </c>
      <c r="O312"/>
      <c r="P312"/>
      <c r="R312" s="87"/>
      <c r="S312" s="87"/>
    </row>
    <row r="313" spans="2:19" hidden="1" x14ac:dyDescent="0.25">
      <c r="B313" s="3" t="s">
        <v>1049</v>
      </c>
      <c r="C313" s="3" t="s">
        <v>94</v>
      </c>
      <c r="D313" s="3" t="s">
        <v>1106</v>
      </c>
      <c r="E313" s="3" t="s">
        <v>106</v>
      </c>
      <c r="F313" s="3" t="s">
        <v>129</v>
      </c>
      <c r="G313" s="6">
        <v>2872.1</v>
      </c>
      <c r="H313" s="6">
        <f t="shared" si="8"/>
        <v>438.11694915254202</v>
      </c>
      <c r="I313" s="3" t="s">
        <v>18</v>
      </c>
      <c r="O313"/>
      <c r="P313"/>
      <c r="R313" s="87"/>
      <c r="S313" s="87"/>
    </row>
    <row r="314" spans="2:19" hidden="1" x14ac:dyDescent="0.25">
      <c r="B314" s="3" t="s">
        <v>987</v>
      </c>
      <c r="C314" s="3" t="s">
        <v>95</v>
      </c>
      <c r="D314" s="3" t="s">
        <v>1086</v>
      </c>
      <c r="E314" s="3" t="s">
        <v>106</v>
      </c>
      <c r="F314" s="3" t="s">
        <v>129</v>
      </c>
      <c r="G314" s="6">
        <v>309.75</v>
      </c>
      <c r="H314" s="6">
        <f t="shared" si="8"/>
        <v>47.25</v>
      </c>
      <c r="I314" s="3" t="s">
        <v>18</v>
      </c>
      <c r="O314"/>
      <c r="P314"/>
      <c r="R314" s="87"/>
      <c r="S314" s="87"/>
    </row>
    <row r="315" spans="2:19" hidden="1" x14ac:dyDescent="0.25">
      <c r="B315" s="3" t="s">
        <v>1038</v>
      </c>
      <c r="C315" s="3" t="s">
        <v>94</v>
      </c>
      <c r="D315" s="3" t="s">
        <v>977</v>
      </c>
      <c r="E315" s="3" t="s">
        <v>106</v>
      </c>
      <c r="F315" s="3" t="s">
        <v>129</v>
      </c>
      <c r="G315" s="6">
        <v>1134</v>
      </c>
      <c r="H315" s="6">
        <f t="shared" si="8"/>
        <v>172.98305084745755</v>
      </c>
      <c r="I315" s="3" t="s">
        <v>18</v>
      </c>
      <c r="O315"/>
      <c r="P315"/>
      <c r="R315" s="87"/>
      <c r="S315" s="87"/>
    </row>
    <row r="316" spans="2:19" hidden="1" x14ac:dyDescent="0.25">
      <c r="B316" s="3" t="s">
        <v>1544</v>
      </c>
      <c r="C316" s="3" t="s">
        <v>91</v>
      </c>
      <c r="D316" s="3" t="s">
        <v>532</v>
      </c>
      <c r="E316" s="3" t="s">
        <v>105</v>
      </c>
      <c r="F316" s="3" t="s">
        <v>129</v>
      </c>
      <c r="G316" s="6">
        <v>5126</v>
      </c>
      <c r="H316" s="6">
        <f t="shared" si="8"/>
        <v>781.93220338983065</v>
      </c>
      <c r="I316" s="3" t="s">
        <v>18</v>
      </c>
      <c r="O316"/>
      <c r="P316"/>
      <c r="R316" s="87"/>
      <c r="S316" s="87"/>
    </row>
    <row r="317" spans="2:19" hidden="1" x14ac:dyDescent="0.25">
      <c r="B317" s="1" t="s">
        <v>1543</v>
      </c>
      <c r="C317" s="3" t="s">
        <v>91</v>
      </c>
      <c r="D317" s="3" t="s">
        <v>533</v>
      </c>
      <c r="E317" s="3" t="s">
        <v>105</v>
      </c>
      <c r="F317" s="3" t="s">
        <v>129</v>
      </c>
      <c r="G317" s="6">
        <v>17228</v>
      </c>
      <c r="H317" s="6">
        <f t="shared" si="8"/>
        <v>2628</v>
      </c>
      <c r="I317" s="3" t="s">
        <v>18</v>
      </c>
      <c r="O317"/>
      <c r="P317"/>
      <c r="R317" s="87"/>
      <c r="S317" s="87"/>
    </row>
    <row r="318" spans="2:19" hidden="1" x14ac:dyDescent="0.25">
      <c r="B318" s="3" t="s">
        <v>1542</v>
      </c>
      <c r="C318" s="3" t="s">
        <v>56</v>
      </c>
      <c r="D318" s="3" t="s">
        <v>534</v>
      </c>
      <c r="E318" s="3" t="s">
        <v>105</v>
      </c>
      <c r="F318" s="3" t="s">
        <v>129</v>
      </c>
      <c r="G318" s="6">
        <v>24730</v>
      </c>
      <c r="H318" s="6">
        <f t="shared" si="8"/>
        <v>3772.3728813559319</v>
      </c>
      <c r="I318" s="3" t="s">
        <v>18</v>
      </c>
      <c r="O318"/>
      <c r="P318"/>
      <c r="R318" s="87"/>
      <c r="S318" s="87"/>
    </row>
    <row r="319" spans="2:19" hidden="1" x14ac:dyDescent="0.25">
      <c r="B319" s="3" t="s">
        <v>717</v>
      </c>
      <c r="C319" s="3" t="s">
        <v>96</v>
      </c>
      <c r="D319" s="3" t="s">
        <v>1725</v>
      </c>
      <c r="E319" s="3" t="s">
        <v>71</v>
      </c>
      <c r="F319" s="3" t="s">
        <v>129</v>
      </c>
      <c r="G319" s="6">
        <v>70000</v>
      </c>
      <c r="H319" s="6">
        <f t="shared" si="8"/>
        <v>10677.96610169491</v>
      </c>
      <c r="I319" s="3" t="s">
        <v>18</v>
      </c>
      <c r="J319" t="s">
        <v>1890</v>
      </c>
      <c r="N319">
        <v>0</v>
      </c>
      <c r="O319"/>
      <c r="P319" t="s">
        <v>1641</v>
      </c>
      <c r="R319" s="87"/>
      <c r="S319" s="87"/>
    </row>
    <row r="320" spans="2:19" hidden="1" x14ac:dyDescent="0.25">
      <c r="B320" s="3" t="s">
        <v>717</v>
      </c>
      <c r="C320" s="3" t="s">
        <v>96</v>
      </c>
      <c r="D320" s="3" t="s">
        <v>1726</v>
      </c>
      <c r="E320" s="3" t="s">
        <v>71</v>
      </c>
      <c r="F320" s="3" t="s">
        <v>129</v>
      </c>
      <c r="G320" s="6">
        <v>2000</v>
      </c>
      <c r="H320" s="6">
        <f t="shared" si="8"/>
        <v>305.08474576271169</v>
      </c>
      <c r="I320" s="3" t="s">
        <v>18</v>
      </c>
      <c r="J320" t="s">
        <v>1889</v>
      </c>
      <c r="N320">
        <v>18</v>
      </c>
      <c r="O320"/>
      <c r="P320" t="s">
        <v>1654</v>
      </c>
      <c r="R320" s="87"/>
      <c r="S320" s="87"/>
    </row>
    <row r="321" spans="2:19" hidden="1" x14ac:dyDescent="0.25">
      <c r="B321" s="3" t="s">
        <v>943</v>
      </c>
      <c r="C321" s="3" t="s">
        <v>96</v>
      </c>
      <c r="D321" s="3" t="s">
        <v>1727</v>
      </c>
      <c r="E321" s="3" t="s">
        <v>71</v>
      </c>
      <c r="F321" s="3" t="s">
        <v>129</v>
      </c>
      <c r="G321" s="6">
        <v>70000</v>
      </c>
      <c r="H321" s="6">
        <f t="shared" si="8"/>
        <v>10677.96610169491</v>
      </c>
      <c r="I321" s="3" t="s">
        <v>18</v>
      </c>
      <c r="J321" t="s">
        <v>1913</v>
      </c>
      <c r="N321">
        <v>0</v>
      </c>
      <c r="O321"/>
      <c r="P321" t="s">
        <v>1641</v>
      </c>
      <c r="R321" s="87"/>
      <c r="S321" s="87"/>
    </row>
    <row r="322" spans="2:19" hidden="1" x14ac:dyDescent="0.25">
      <c r="B322" s="3" t="s">
        <v>950</v>
      </c>
      <c r="C322" s="3" t="s">
        <v>96</v>
      </c>
      <c r="D322" s="3" t="s">
        <v>1728</v>
      </c>
      <c r="E322" s="3" t="s">
        <v>71</v>
      </c>
      <c r="F322" s="3" t="s">
        <v>129</v>
      </c>
      <c r="G322" s="6">
        <v>7000</v>
      </c>
      <c r="H322" s="6">
        <f t="shared" si="8"/>
        <v>1067.796610169491</v>
      </c>
      <c r="I322" s="3" t="s">
        <v>18</v>
      </c>
      <c r="J322" t="s">
        <v>1707</v>
      </c>
      <c r="N322">
        <v>110</v>
      </c>
      <c r="O322"/>
      <c r="P322" t="s">
        <v>1654</v>
      </c>
      <c r="R322" s="87"/>
      <c r="S322" s="87"/>
    </row>
    <row r="323" spans="2:19" hidden="1" x14ac:dyDescent="0.25">
      <c r="B323" s="3" t="s">
        <v>950</v>
      </c>
      <c r="C323" s="3" t="s">
        <v>96</v>
      </c>
      <c r="D323" s="3" t="s">
        <v>1729</v>
      </c>
      <c r="E323" s="3" t="s">
        <v>71</v>
      </c>
      <c r="F323" s="3" t="s">
        <v>129</v>
      </c>
      <c r="G323" s="6">
        <v>50000</v>
      </c>
      <c r="H323" s="6">
        <f t="shared" si="8"/>
        <v>7627.118644067792</v>
      </c>
      <c r="I323" s="3" t="s">
        <v>18</v>
      </c>
      <c r="J323" t="s">
        <v>1730</v>
      </c>
      <c r="N323">
        <v>77</v>
      </c>
      <c r="O323"/>
      <c r="P323" t="s">
        <v>1641</v>
      </c>
      <c r="R323" s="87"/>
      <c r="S323" s="87"/>
    </row>
    <row r="324" spans="2:19" hidden="1" x14ac:dyDescent="0.25">
      <c r="B324" s="3" t="s">
        <v>950</v>
      </c>
      <c r="C324" s="3" t="s">
        <v>96</v>
      </c>
      <c r="D324" s="3" t="s">
        <v>1732</v>
      </c>
      <c r="E324" s="3" t="s">
        <v>71</v>
      </c>
      <c r="F324" s="3" t="s">
        <v>129</v>
      </c>
      <c r="G324" s="6">
        <v>50000</v>
      </c>
      <c r="H324" s="6">
        <f t="shared" si="8"/>
        <v>7627.118644067792</v>
      </c>
      <c r="I324" s="3" t="s">
        <v>18</v>
      </c>
      <c r="J324" t="s">
        <v>1731</v>
      </c>
      <c r="N324">
        <v>79</v>
      </c>
      <c r="O324"/>
      <c r="P324" t="s">
        <v>1641</v>
      </c>
      <c r="R324" s="87"/>
      <c r="S324" s="87"/>
    </row>
    <row r="325" spans="2:19" hidden="1" x14ac:dyDescent="0.25">
      <c r="B325" s="3" t="s">
        <v>943</v>
      </c>
      <c r="C325" s="3" t="s">
        <v>96</v>
      </c>
      <c r="D325" s="3" t="s">
        <v>1733</v>
      </c>
      <c r="E325" s="3" t="s">
        <v>71</v>
      </c>
      <c r="F325" s="3" t="s">
        <v>129</v>
      </c>
      <c r="G325" s="6">
        <v>70000</v>
      </c>
      <c r="H325" s="6">
        <f t="shared" si="8"/>
        <v>10677.96610169491</v>
      </c>
      <c r="I325" s="3" t="s">
        <v>18</v>
      </c>
      <c r="J325" t="s">
        <v>1895</v>
      </c>
      <c r="N325">
        <v>0</v>
      </c>
      <c r="O325"/>
      <c r="P325" t="s">
        <v>1641</v>
      </c>
      <c r="R325" s="87"/>
      <c r="S325" s="87"/>
    </row>
    <row r="326" spans="2:19" ht="17.25" hidden="1" x14ac:dyDescent="0.25">
      <c r="B326" s="3" t="s">
        <v>950</v>
      </c>
      <c r="C326" s="3" t="s">
        <v>96</v>
      </c>
      <c r="D326" s="3" t="s">
        <v>1735</v>
      </c>
      <c r="E326" s="3" t="s">
        <v>71</v>
      </c>
      <c r="F326" s="3" t="s">
        <v>129</v>
      </c>
      <c r="G326" s="6">
        <v>60000</v>
      </c>
      <c r="H326" s="6">
        <f t="shared" si="8"/>
        <v>9152.5423728813548</v>
      </c>
      <c r="I326" s="3" t="s">
        <v>18</v>
      </c>
      <c r="J326" t="s">
        <v>1734</v>
      </c>
      <c r="N326">
        <v>0</v>
      </c>
      <c r="O326"/>
      <c r="P326" t="s">
        <v>1641</v>
      </c>
      <c r="R326" s="87"/>
      <c r="S326" s="87"/>
    </row>
    <row r="327" spans="2:19" ht="17.25" hidden="1" x14ac:dyDescent="0.25">
      <c r="B327" s="3" t="s">
        <v>950</v>
      </c>
      <c r="C327" s="3" t="s">
        <v>96</v>
      </c>
      <c r="D327" s="3" t="s">
        <v>1736</v>
      </c>
      <c r="E327" s="3" t="s">
        <v>71</v>
      </c>
      <c r="F327" s="3" t="s">
        <v>129</v>
      </c>
      <c r="G327" s="6">
        <v>60000</v>
      </c>
      <c r="H327" s="6">
        <f t="shared" si="8"/>
        <v>9152.5423728813548</v>
      </c>
      <c r="I327" s="3" t="s">
        <v>18</v>
      </c>
      <c r="J327" t="s">
        <v>1737</v>
      </c>
      <c r="N327">
        <v>0</v>
      </c>
      <c r="O327"/>
      <c r="P327" t="s">
        <v>1641</v>
      </c>
      <c r="R327" s="87"/>
      <c r="S327" s="87"/>
    </row>
    <row r="328" spans="2:19" hidden="1" x14ac:dyDescent="0.25">
      <c r="B328" s="3" t="s">
        <v>1227</v>
      </c>
      <c r="C328" s="3" t="s">
        <v>17</v>
      </c>
      <c r="D328" s="3" t="s">
        <v>1301</v>
      </c>
      <c r="E328" s="3" t="s">
        <v>71</v>
      </c>
      <c r="F328" s="3" t="s">
        <v>129</v>
      </c>
      <c r="G328" s="6">
        <v>200000</v>
      </c>
      <c r="H328" s="6">
        <f t="shared" si="8"/>
        <v>30508.474576271168</v>
      </c>
      <c r="I328" s="3" t="s">
        <v>113</v>
      </c>
      <c r="O328"/>
      <c r="P328"/>
      <c r="R328" s="87"/>
      <c r="S328" s="87"/>
    </row>
    <row r="329" spans="2:19" hidden="1" x14ac:dyDescent="0.25">
      <c r="B329" s="3" t="s">
        <v>1195</v>
      </c>
      <c r="C329" s="3" t="s">
        <v>32</v>
      </c>
      <c r="D329" s="3" t="s">
        <v>1275</v>
      </c>
      <c r="E329" s="3" t="s">
        <v>71</v>
      </c>
      <c r="F329" s="3" t="s">
        <v>129</v>
      </c>
      <c r="G329" s="6">
        <v>100000</v>
      </c>
      <c r="H329" s="6">
        <f t="shared" si="8"/>
        <v>15254.237288135584</v>
      </c>
      <c r="I329" s="3" t="s">
        <v>113</v>
      </c>
      <c r="O329"/>
      <c r="P329"/>
      <c r="R329" s="87"/>
      <c r="S329" s="87"/>
    </row>
    <row r="330" spans="2:19" hidden="1" x14ac:dyDescent="0.25">
      <c r="B330" s="3" t="s">
        <v>1194</v>
      </c>
      <c r="C330" s="3" t="s">
        <v>32</v>
      </c>
      <c r="D330" s="3" t="s">
        <v>1274</v>
      </c>
      <c r="E330" s="3" t="s">
        <v>110</v>
      </c>
      <c r="F330" s="3" t="s">
        <v>129</v>
      </c>
      <c r="G330" s="6">
        <v>13678</v>
      </c>
      <c r="H330" s="6">
        <f t="shared" si="8"/>
        <v>2086.4745762711864</v>
      </c>
      <c r="I330" s="3" t="s">
        <v>113</v>
      </c>
      <c r="O330"/>
      <c r="P330"/>
      <c r="R330" s="87"/>
      <c r="S330" s="87"/>
    </row>
    <row r="331" spans="2:19" hidden="1" x14ac:dyDescent="0.25">
      <c r="B331" s="3" t="s">
        <v>1196</v>
      </c>
      <c r="C331" s="3" t="s">
        <v>32</v>
      </c>
      <c r="D331" s="3" t="s">
        <v>1276</v>
      </c>
      <c r="E331" s="3" t="s">
        <v>110</v>
      </c>
      <c r="F331" s="3" t="s">
        <v>129</v>
      </c>
      <c r="G331" s="6">
        <v>2373</v>
      </c>
      <c r="H331" s="6">
        <f t="shared" si="8"/>
        <v>361.98305084745743</v>
      </c>
      <c r="I331" s="3" t="s">
        <v>113</v>
      </c>
      <c r="O331"/>
      <c r="P331"/>
      <c r="R331" s="87"/>
      <c r="S331" s="87"/>
    </row>
    <row r="332" spans="2:19" hidden="1" x14ac:dyDescent="0.25">
      <c r="B332" s="3" t="s">
        <v>1198</v>
      </c>
      <c r="C332" s="3" t="s">
        <v>32</v>
      </c>
      <c r="D332" s="3" t="s">
        <v>1277</v>
      </c>
      <c r="E332" s="3" t="s">
        <v>110</v>
      </c>
      <c r="F332" s="3" t="s">
        <v>129</v>
      </c>
      <c r="G332" s="6">
        <v>2541</v>
      </c>
      <c r="H332" s="6">
        <f t="shared" si="8"/>
        <v>387.61016949152508</v>
      </c>
      <c r="I332" s="3" t="s">
        <v>113</v>
      </c>
      <c r="O332"/>
      <c r="P332"/>
      <c r="R332" s="87"/>
      <c r="S332" s="87"/>
    </row>
    <row r="333" spans="2:19" hidden="1" x14ac:dyDescent="0.25">
      <c r="B333" s="3" t="s">
        <v>1200</v>
      </c>
      <c r="C333" s="3" t="s">
        <v>32</v>
      </c>
      <c r="D333" s="8" t="s">
        <v>1278</v>
      </c>
      <c r="E333" s="3" t="s">
        <v>110</v>
      </c>
      <c r="F333" s="3" t="s">
        <v>129</v>
      </c>
      <c r="G333" s="6">
        <v>5377.75</v>
      </c>
      <c r="H333" s="6">
        <f t="shared" si="8"/>
        <v>820.33474576271146</v>
      </c>
      <c r="I333" s="3" t="s">
        <v>113</v>
      </c>
      <c r="O333"/>
      <c r="P333"/>
      <c r="R333" s="87"/>
      <c r="S333" s="87"/>
    </row>
    <row r="334" spans="2:19" hidden="1" x14ac:dyDescent="0.25">
      <c r="B334" s="3" t="s">
        <v>1174</v>
      </c>
      <c r="C334" s="3" t="s">
        <v>32</v>
      </c>
      <c r="D334" s="3" t="s">
        <v>1145</v>
      </c>
      <c r="E334" s="3" t="s">
        <v>110</v>
      </c>
      <c r="F334" s="3" t="s">
        <v>129</v>
      </c>
      <c r="G334" s="6">
        <v>1954.75</v>
      </c>
      <c r="H334" s="6">
        <f t="shared" si="8"/>
        <v>298.18220338983042</v>
      </c>
      <c r="I334" s="3" t="s">
        <v>113</v>
      </c>
      <c r="O334"/>
      <c r="P334"/>
      <c r="R334" s="87"/>
      <c r="S334" s="87"/>
    </row>
    <row r="335" spans="2:19" hidden="1" x14ac:dyDescent="0.25">
      <c r="B335" s="3" t="s">
        <v>725</v>
      </c>
      <c r="C335" s="3" t="s">
        <v>96</v>
      </c>
      <c r="D335" s="3" t="s">
        <v>1739</v>
      </c>
      <c r="E335" s="3" t="s">
        <v>110</v>
      </c>
      <c r="F335" s="3" t="s">
        <v>129</v>
      </c>
      <c r="G335" s="6">
        <v>3290</v>
      </c>
      <c r="H335" s="6">
        <f t="shared" si="8"/>
        <v>501.86440677966084</v>
      </c>
      <c r="I335" s="3" t="s">
        <v>18</v>
      </c>
      <c r="J335" t="s">
        <v>1738</v>
      </c>
      <c r="O335"/>
      <c r="P335" t="s">
        <v>1593</v>
      </c>
      <c r="R335" s="87"/>
      <c r="S335" s="87"/>
    </row>
    <row r="336" spans="2:19" hidden="1" x14ac:dyDescent="0.25">
      <c r="B336" s="3" t="s">
        <v>731</v>
      </c>
      <c r="C336" s="3" t="s">
        <v>96</v>
      </c>
      <c r="D336" s="3" t="s">
        <v>1740</v>
      </c>
      <c r="E336" s="3" t="s">
        <v>110</v>
      </c>
      <c r="F336" s="3" t="s">
        <v>129</v>
      </c>
      <c r="G336" s="6">
        <v>483</v>
      </c>
      <c r="H336" s="6">
        <f t="shared" si="8"/>
        <v>73.677966101694892</v>
      </c>
      <c r="I336" s="3" t="s">
        <v>18</v>
      </c>
      <c r="J336" t="s">
        <v>1946</v>
      </c>
      <c r="O336"/>
      <c r="P336" t="s">
        <v>1593</v>
      </c>
      <c r="R336" s="87"/>
      <c r="S336" s="87"/>
    </row>
    <row r="337" spans="2:19" hidden="1" x14ac:dyDescent="0.25">
      <c r="B337" s="3" t="s">
        <v>936</v>
      </c>
      <c r="C337" s="3" t="s">
        <v>96</v>
      </c>
      <c r="D337" s="3" t="s">
        <v>1741</v>
      </c>
      <c r="E337" s="3" t="s">
        <v>110</v>
      </c>
      <c r="F337" s="3" t="s">
        <v>129</v>
      </c>
      <c r="G337" s="6">
        <v>1034.25</v>
      </c>
      <c r="H337" s="6">
        <f t="shared" si="8"/>
        <v>157.76694915254234</v>
      </c>
      <c r="I337" s="3" t="s">
        <v>18</v>
      </c>
      <c r="J337" t="s">
        <v>1896</v>
      </c>
      <c r="O337"/>
      <c r="P337" t="s">
        <v>1593</v>
      </c>
      <c r="R337" s="87"/>
      <c r="S337" s="87"/>
    </row>
    <row r="338" spans="2:19" hidden="1" x14ac:dyDescent="0.25">
      <c r="B338" s="3" t="s">
        <v>936</v>
      </c>
      <c r="C338" s="3" t="s">
        <v>96</v>
      </c>
      <c r="D338" s="3" t="s">
        <v>1742</v>
      </c>
      <c r="E338" s="3" t="s">
        <v>110</v>
      </c>
      <c r="F338" s="3" t="s">
        <v>129</v>
      </c>
      <c r="G338" s="6">
        <v>920.5</v>
      </c>
      <c r="H338" s="6">
        <f t="shared" si="8"/>
        <v>140.41525423728808</v>
      </c>
      <c r="I338" s="3" t="s">
        <v>18</v>
      </c>
      <c r="J338" t="s">
        <v>1897</v>
      </c>
      <c r="O338"/>
      <c r="P338" t="s">
        <v>1593</v>
      </c>
      <c r="R338" s="87"/>
      <c r="S338" s="87"/>
    </row>
    <row r="339" spans="2:19" hidden="1" x14ac:dyDescent="0.25">
      <c r="B339" s="3" t="s">
        <v>949</v>
      </c>
      <c r="C339" s="3" t="s">
        <v>96</v>
      </c>
      <c r="D339" s="3" t="s">
        <v>1744</v>
      </c>
      <c r="E339" s="3" t="s">
        <v>110</v>
      </c>
      <c r="F339" s="3" t="s">
        <v>129</v>
      </c>
      <c r="G339" s="6">
        <v>656.25</v>
      </c>
      <c r="H339" s="6">
        <f t="shared" si="8"/>
        <v>100.10593220338978</v>
      </c>
      <c r="I339" s="3" t="s">
        <v>18</v>
      </c>
      <c r="J339" t="s">
        <v>1743</v>
      </c>
      <c r="O339"/>
      <c r="P339" t="s">
        <v>1593</v>
      </c>
      <c r="R339" s="87"/>
      <c r="S339" s="87"/>
    </row>
    <row r="340" spans="2:19" hidden="1" x14ac:dyDescent="0.25">
      <c r="B340" s="3" t="s">
        <v>949</v>
      </c>
      <c r="C340" s="3" t="s">
        <v>96</v>
      </c>
      <c r="D340" s="3" t="s">
        <v>1746</v>
      </c>
      <c r="E340" s="3" t="s">
        <v>110</v>
      </c>
      <c r="F340" s="3" t="s">
        <v>129</v>
      </c>
      <c r="G340" s="6">
        <v>1680</v>
      </c>
      <c r="H340" s="6">
        <f t="shared" si="8"/>
        <v>256.27118644067787</v>
      </c>
      <c r="I340" s="3" t="s">
        <v>18</v>
      </c>
      <c r="J340" t="s">
        <v>1745</v>
      </c>
      <c r="O340"/>
      <c r="P340" t="s">
        <v>1593</v>
      </c>
      <c r="R340" s="87"/>
      <c r="S340" s="87"/>
    </row>
    <row r="341" spans="2:19" hidden="1" x14ac:dyDescent="0.25">
      <c r="B341" s="3" t="s">
        <v>949</v>
      </c>
      <c r="C341" s="3" t="s">
        <v>96</v>
      </c>
      <c r="D341" s="3" t="s">
        <v>1748</v>
      </c>
      <c r="E341" s="3" t="s">
        <v>110</v>
      </c>
      <c r="F341" s="3" t="s">
        <v>129</v>
      </c>
      <c r="G341" s="6">
        <v>1365</v>
      </c>
      <c r="H341" s="6">
        <f t="shared" si="8"/>
        <v>208.22033898305085</v>
      </c>
      <c r="I341" s="3" t="s">
        <v>18</v>
      </c>
      <c r="J341" t="s">
        <v>1747</v>
      </c>
      <c r="O341"/>
      <c r="P341" t="s">
        <v>1593</v>
      </c>
      <c r="R341" s="87"/>
      <c r="S341" s="87"/>
    </row>
    <row r="342" spans="2:19" hidden="1" x14ac:dyDescent="0.25">
      <c r="B342" s="3" t="s">
        <v>949</v>
      </c>
      <c r="C342" s="3" t="s">
        <v>96</v>
      </c>
      <c r="D342" s="3" t="s">
        <v>1750</v>
      </c>
      <c r="E342" s="3" t="s">
        <v>110</v>
      </c>
      <c r="F342" s="3" t="s">
        <v>129</v>
      </c>
      <c r="G342" s="6">
        <v>3724</v>
      </c>
      <c r="H342" s="6">
        <f t="shared" si="8"/>
        <v>568.06779661016935</v>
      </c>
      <c r="I342" s="3" t="s">
        <v>18</v>
      </c>
      <c r="J342" t="s">
        <v>1749</v>
      </c>
      <c r="O342"/>
      <c r="P342" t="s">
        <v>1593</v>
      </c>
      <c r="R342" s="87"/>
      <c r="S342" s="87"/>
    </row>
    <row r="343" spans="2:19" hidden="1" x14ac:dyDescent="0.25">
      <c r="B343" s="3" t="s">
        <v>949</v>
      </c>
      <c r="C343" s="3" t="s">
        <v>96</v>
      </c>
      <c r="D343" s="3" t="s">
        <v>1752</v>
      </c>
      <c r="E343" s="3" t="s">
        <v>110</v>
      </c>
      <c r="F343" s="3" t="s">
        <v>129</v>
      </c>
      <c r="G343" s="6">
        <v>3466.75</v>
      </c>
      <c r="H343" s="6">
        <f t="shared" ref="H343:H406" si="9">G343-G343/1.18</f>
        <v>528.82627118644041</v>
      </c>
      <c r="I343" s="3" t="s">
        <v>18</v>
      </c>
      <c r="J343" t="s">
        <v>1751</v>
      </c>
      <c r="O343"/>
      <c r="P343" t="s">
        <v>1593</v>
      </c>
      <c r="R343" s="87"/>
      <c r="S343" s="87"/>
    </row>
    <row r="344" spans="2:19" hidden="1" x14ac:dyDescent="0.25">
      <c r="B344" s="3" t="s">
        <v>944</v>
      </c>
      <c r="C344" s="3" t="s">
        <v>96</v>
      </c>
      <c r="D344" s="3" t="s">
        <v>1755</v>
      </c>
      <c r="E344" s="3" t="s">
        <v>110</v>
      </c>
      <c r="F344" s="3" t="s">
        <v>129</v>
      </c>
      <c r="G344" s="6">
        <v>560</v>
      </c>
      <c r="H344" s="6">
        <f t="shared" si="9"/>
        <v>85.423728813559308</v>
      </c>
      <c r="I344" s="3" t="s">
        <v>18</v>
      </c>
      <c r="J344" t="s">
        <v>1753</v>
      </c>
      <c r="O344"/>
      <c r="P344" t="s">
        <v>1593</v>
      </c>
      <c r="R344" s="87"/>
      <c r="S344" s="87"/>
    </row>
    <row r="345" spans="2:19" hidden="1" x14ac:dyDescent="0.25">
      <c r="B345" s="3" t="s">
        <v>944</v>
      </c>
      <c r="C345" s="3" t="s">
        <v>96</v>
      </c>
      <c r="D345" s="3" t="s">
        <v>1756</v>
      </c>
      <c r="E345" s="3" t="s">
        <v>110</v>
      </c>
      <c r="F345" s="3" t="s">
        <v>129</v>
      </c>
      <c r="G345" s="6">
        <v>1086.75</v>
      </c>
      <c r="H345" s="6">
        <f t="shared" si="9"/>
        <v>165.77542372881351</v>
      </c>
      <c r="I345" s="3" t="s">
        <v>18</v>
      </c>
      <c r="J345" t="s">
        <v>1754</v>
      </c>
      <c r="O345"/>
      <c r="P345" t="s">
        <v>1593</v>
      </c>
      <c r="R345" s="87"/>
      <c r="S345" s="87"/>
    </row>
    <row r="346" spans="2:19" hidden="1" x14ac:dyDescent="0.25">
      <c r="B346" s="3" t="s">
        <v>1229</v>
      </c>
      <c r="C346" s="3" t="s">
        <v>34</v>
      </c>
      <c r="D346" s="3" t="s">
        <v>1303</v>
      </c>
      <c r="E346" s="3" t="s">
        <v>71</v>
      </c>
      <c r="F346" s="3" t="s">
        <v>129</v>
      </c>
      <c r="G346" s="6">
        <v>106187</v>
      </c>
      <c r="H346" s="6">
        <f t="shared" si="9"/>
        <v>16198.016949152545</v>
      </c>
      <c r="I346" s="3" t="s">
        <v>113</v>
      </c>
      <c r="O346"/>
      <c r="P346"/>
      <c r="R346" s="87"/>
      <c r="S346" s="87"/>
    </row>
    <row r="347" spans="2:19" hidden="1" x14ac:dyDescent="0.25">
      <c r="B347" s="3" t="s">
        <v>828</v>
      </c>
      <c r="C347" s="3" t="s">
        <v>30</v>
      </c>
      <c r="D347" s="3" t="s">
        <v>906</v>
      </c>
      <c r="E347" s="3" t="s">
        <v>87</v>
      </c>
      <c r="F347" s="3" t="s">
        <v>129</v>
      </c>
      <c r="G347" s="6">
        <v>100000</v>
      </c>
      <c r="H347" s="6">
        <f t="shared" si="9"/>
        <v>15254.237288135584</v>
      </c>
      <c r="I347" s="3" t="s">
        <v>113</v>
      </c>
      <c r="O347"/>
      <c r="P347"/>
      <c r="R347" s="87"/>
      <c r="S347" s="87"/>
    </row>
    <row r="348" spans="2:19" hidden="1" x14ac:dyDescent="0.25">
      <c r="B348" s="3" t="s">
        <v>1618</v>
      </c>
      <c r="C348" s="3" t="s">
        <v>45</v>
      </c>
      <c r="D348" s="3" t="s">
        <v>1619</v>
      </c>
      <c r="E348" s="3" t="s">
        <v>75</v>
      </c>
      <c r="F348" s="3" t="s">
        <v>129</v>
      </c>
      <c r="G348" s="6">
        <v>15000</v>
      </c>
      <c r="H348" s="6">
        <f t="shared" si="9"/>
        <v>2288.1355932203387</v>
      </c>
      <c r="I348" s="3" t="s">
        <v>113</v>
      </c>
      <c r="O348"/>
      <c r="P348"/>
      <c r="R348" s="87"/>
      <c r="S348" s="87"/>
    </row>
    <row r="349" spans="2:19" hidden="1" x14ac:dyDescent="0.25">
      <c r="B349" s="3" t="s">
        <v>726</v>
      </c>
      <c r="C349" s="3" t="s">
        <v>96</v>
      </c>
      <c r="D349" s="3" t="s">
        <v>1685</v>
      </c>
      <c r="E349" s="3" t="s">
        <v>71</v>
      </c>
      <c r="F349" s="3" t="s">
        <v>129</v>
      </c>
      <c r="G349" s="6">
        <v>10356</v>
      </c>
      <c r="H349" s="6">
        <f t="shared" si="9"/>
        <v>1579.7288135593208</v>
      </c>
      <c r="I349" s="3" t="s">
        <v>18</v>
      </c>
      <c r="J349" t="s">
        <v>1757</v>
      </c>
      <c r="L349">
        <v>876</v>
      </c>
      <c r="N349">
        <v>0</v>
      </c>
      <c r="O349"/>
      <c r="P349" t="s">
        <v>718</v>
      </c>
      <c r="Q349" t="s">
        <v>1657</v>
      </c>
      <c r="R349" s="87"/>
      <c r="S349" s="87"/>
    </row>
    <row r="350" spans="2:19" hidden="1" x14ac:dyDescent="0.25">
      <c r="B350" s="3" t="s">
        <v>726</v>
      </c>
      <c r="C350" s="3" t="s">
        <v>96</v>
      </c>
      <c r="D350" s="3" t="s">
        <v>1684</v>
      </c>
      <c r="E350" s="3" t="s">
        <v>71</v>
      </c>
      <c r="F350" s="3" t="s">
        <v>129</v>
      </c>
      <c r="G350" s="6">
        <v>5195</v>
      </c>
      <c r="H350" s="6">
        <f t="shared" si="9"/>
        <v>792.45762711864427</v>
      </c>
      <c r="I350" s="3" t="s">
        <v>18</v>
      </c>
      <c r="J350" t="s">
        <v>1758</v>
      </c>
      <c r="L350">
        <v>668</v>
      </c>
      <c r="N350">
        <v>0</v>
      </c>
      <c r="O350"/>
      <c r="P350" t="s">
        <v>718</v>
      </c>
      <c r="Q350" t="s">
        <v>1657</v>
      </c>
      <c r="R350" s="87"/>
      <c r="S350" s="87"/>
    </row>
    <row r="351" spans="2:19" hidden="1" x14ac:dyDescent="0.25">
      <c r="B351" s="3" t="s">
        <v>717</v>
      </c>
      <c r="C351" s="3" t="s">
        <v>96</v>
      </c>
      <c r="D351" s="3" t="s">
        <v>1900</v>
      </c>
      <c r="E351" s="3" t="s">
        <v>71</v>
      </c>
      <c r="F351" s="3" t="s">
        <v>129</v>
      </c>
      <c r="G351" s="6">
        <v>21086</v>
      </c>
      <c r="H351" s="6">
        <f t="shared" si="9"/>
        <v>3216.5084745762688</v>
      </c>
      <c r="I351" s="3" t="s">
        <v>18</v>
      </c>
      <c r="J351" t="s">
        <v>1901</v>
      </c>
      <c r="L351">
        <v>1389</v>
      </c>
      <c r="O351"/>
      <c r="P351" t="s">
        <v>718</v>
      </c>
      <c r="R351" s="87"/>
      <c r="S351" s="87"/>
    </row>
    <row r="352" spans="2:19" hidden="1" x14ac:dyDescent="0.25">
      <c r="B352" s="3" t="s">
        <v>943</v>
      </c>
      <c r="C352" s="3" t="s">
        <v>96</v>
      </c>
      <c r="D352" s="3" t="s">
        <v>1682</v>
      </c>
      <c r="E352" s="3" t="s">
        <v>71</v>
      </c>
      <c r="F352" s="3" t="s">
        <v>129</v>
      </c>
      <c r="G352" s="6">
        <v>15343</v>
      </c>
      <c r="H352" s="6">
        <f t="shared" si="9"/>
        <v>2340.4576271186434</v>
      </c>
      <c r="I352" s="3" t="s">
        <v>18</v>
      </c>
      <c r="J352" t="s">
        <v>1912</v>
      </c>
      <c r="L352">
        <v>1195</v>
      </c>
      <c r="O352"/>
      <c r="P352" t="s">
        <v>718</v>
      </c>
      <c r="R352" s="87"/>
      <c r="S352" s="87"/>
    </row>
    <row r="353" spans="2:19" hidden="1" x14ac:dyDescent="0.25">
      <c r="B353" s="3" t="s">
        <v>950</v>
      </c>
      <c r="C353" s="3" t="s">
        <v>96</v>
      </c>
      <c r="D353" s="3" t="s">
        <v>1683</v>
      </c>
      <c r="E353" s="3" t="s">
        <v>71</v>
      </c>
      <c r="F353" s="3" t="s">
        <v>129</v>
      </c>
      <c r="G353" s="6">
        <v>7431</v>
      </c>
      <c r="H353" s="6">
        <f t="shared" si="9"/>
        <v>1133.5423728813557</v>
      </c>
      <c r="I353" s="3" t="s">
        <v>18</v>
      </c>
      <c r="J353" t="s">
        <v>1677</v>
      </c>
      <c r="L353">
        <v>910</v>
      </c>
      <c r="O353"/>
      <c r="P353" t="s">
        <v>718</v>
      </c>
      <c r="R353" s="87"/>
      <c r="S353" s="87"/>
    </row>
    <row r="354" spans="2:19" hidden="1" x14ac:dyDescent="0.25">
      <c r="B354" s="3" t="s">
        <v>943</v>
      </c>
      <c r="C354" s="3" t="s">
        <v>96</v>
      </c>
      <c r="D354" s="3" t="s">
        <v>1760</v>
      </c>
      <c r="E354" s="3" t="s">
        <v>71</v>
      </c>
      <c r="F354" s="3" t="s">
        <v>129</v>
      </c>
      <c r="G354" s="6">
        <v>9949</v>
      </c>
      <c r="H354" s="6">
        <f t="shared" si="9"/>
        <v>1517.6440677966093</v>
      </c>
      <c r="I354" s="3" t="s">
        <v>18</v>
      </c>
      <c r="J354" s="18" t="s">
        <v>1759</v>
      </c>
      <c r="L354">
        <v>194</v>
      </c>
      <c r="N354">
        <v>0</v>
      </c>
      <c r="O354"/>
      <c r="P354" t="s">
        <v>718</v>
      </c>
      <c r="R354" s="87"/>
      <c r="S354" s="87"/>
    </row>
    <row r="355" spans="2:19" hidden="1" x14ac:dyDescent="0.25">
      <c r="B355" s="3" t="s">
        <v>823</v>
      </c>
      <c r="C355" s="3" t="s">
        <v>29</v>
      </c>
      <c r="D355" s="3" t="s">
        <v>901</v>
      </c>
      <c r="E355" s="3" t="s">
        <v>87</v>
      </c>
      <c r="F355" s="3" t="s">
        <v>129</v>
      </c>
      <c r="G355" s="6">
        <v>22266.13</v>
      </c>
      <c r="H355" s="6">
        <f t="shared" si="9"/>
        <v>3396.5283050847465</v>
      </c>
      <c r="I355" s="3" t="s">
        <v>113</v>
      </c>
      <c r="O355"/>
      <c r="P355"/>
      <c r="R355" s="87"/>
      <c r="S355" s="87"/>
    </row>
    <row r="356" spans="2:19" hidden="1" x14ac:dyDescent="0.25">
      <c r="B356" s="3" t="s">
        <v>919</v>
      </c>
      <c r="C356" s="3" t="s">
        <v>50</v>
      </c>
      <c r="D356" s="3" t="s">
        <v>915</v>
      </c>
      <c r="E356" s="3" t="s">
        <v>141</v>
      </c>
      <c r="F356" s="3" t="s">
        <v>131</v>
      </c>
      <c r="G356" s="6">
        <v>100000</v>
      </c>
      <c r="H356" s="6">
        <f t="shared" si="9"/>
        <v>15254.237288135584</v>
      </c>
      <c r="I356" s="3" t="s">
        <v>18</v>
      </c>
      <c r="O356"/>
      <c r="P356"/>
      <c r="R356" s="87"/>
      <c r="S356" s="87"/>
    </row>
    <row r="357" spans="2:19" hidden="1" x14ac:dyDescent="0.25">
      <c r="B357" s="3" t="s">
        <v>918</v>
      </c>
      <c r="C357" s="3" t="s">
        <v>50</v>
      </c>
      <c r="D357" s="3" t="s">
        <v>916</v>
      </c>
      <c r="E357" s="3" t="s">
        <v>141</v>
      </c>
      <c r="F357" s="3" t="s">
        <v>131</v>
      </c>
      <c r="G357" s="6">
        <v>100000</v>
      </c>
      <c r="H357" s="6">
        <f t="shared" si="9"/>
        <v>15254.237288135584</v>
      </c>
      <c r="I357" s="3" t="s">
        <v>18</v>
      </c>
      <c r="O357"/>
      <c r="P357"/>
      <c r="R357" s="87"/>
      <c r="S357" s="87"/>
    </row>
    <row r="358" spans="2:19" hidden="1" x14ac:dyDescent="0.25">
      <c r="B358" s="3" t="s">
        <v>806</v>
      </c>
      <c r="C358" s="3" t="s">
        <v>30</v>
      </c>
      <c r="D358" s="3" t="s">
        <v>884</v>
      </c>
      <c r="E358" s="3" t="s">
        <v>87</v>
      </c>
      <c r="F358" s="3" t="s">
        <v>129</v>
      </c>
      <c r="G358" s="6">
        <v>17010.64</v>
      </c>
      <c r="H358" s="6">
        <f t="shared" si="9"/>
        <v>2594.8433898305084</v>
      </c>
      <c r="I358" s="3" t="s">
        <v>113</v>
      </c>
      <c r="O358"/>
      <c r="P358"/>
      <c r="R358" s="87"/>
      <c r="S358" s="87"/>
    </row>
    <row r="359" spans="2:19" hidden="1" x14ac:dyDescent="0.25">
      <c r="B359" s="3" t="s">
        <v>809</v>
      </c>
      <c r="C359" s="3" t="s">
        <v>30</v>
      </c>
      <c r="D359" s="3" t="s">
        <v>887</v>
      </c>
      <c r="E359" s="3" t="s">
        <v>87</v>
      </c>
      <c r="F359" s="3" t="s">
        <v>129</v>
      </c>
      <c r="G359" s="6">
        <v>49450.64</v>
      </c>
      <c r="H359" s="6">
        <f t="shared" si="9"/>
        <v>7543.3179661016911</v>
      </c>
      <c r="I359" s="3" t="s">
        <v>113</v>
      </c>
      <c r="O359"/>
      <c r="P359"/>
      <c r="R359" s="87"/>
      <c r="S359" s="87"/>
    </row>
    <row r="360" spans="2:19" hidden="1" x14ac:dyDescent="0.25">
      <c r="B360" s="3" t="s">
        <v>910</v>
      </c>
      <c r="C360" s="3" t="s">
        <v>140</v>
      </c>
      <c r="D360" s="3" t="s">
        <v>907</v>
      </c>
      <c r="E360" s="3" t="s">
        <v>141</v>
      </c>
      <c r="F360" s="3" t="s">
        <v>129</v>
      </c>
      <c r="G360" s="6">
        <v>72262.460000000006</v>
      </c>
      <c r="H360" s="6">
        <f t="shared" si="9"/>
        <v>11023.087118644064</v>
      </c>
      <c r="I360" s="3" t="s">
        <v>113</v>
      </c>
      <c r="O360"/>
      <c r="P360"/>
      <c r="R360" s="87"/>
      <c r="S360" s="87"/>
    </row>
    <row r="361" spans="2:19" hidden="1" x14ac:dyDescent="0.25">
      <c r="B361" s="3" t="s">
        <v>1618</v>
      </c>
      <c r="C361" s="3" t="s">
        <v>45</v>
      </c>
      <c r="D361" s="3" t="s">
        <v>1619</v>
      </c>
      <c r="E361" s="3" t="s">
        <v>75</v>
      </c>
      <c r="F361" s="3" t="s">
        <v>131</v>
      </c>
      <c r="G361" s="6">
        <v>650000</v>
      </c>
      <c r="H361" s="6">
        <f t="shared" si="9"/>
        <v>99152.542372881318</v>
      </c>
      <c r="I361" s="3" t="s">
        <v>113</v>
      </c>
      <c r="O361"/>
      <c r="P361"/>
      <c r="R361" s="87"/>
      <c r="S361" s="87"/>
    </row>
    <row r="362" spans="2:19" hidden="1" x14ac:dyDescent="0.25">
      <c r="B362" s="3" t="s">
        <v>1714</v>
      </c>
      <c r="C362" s="3" t="s">
        <v>21</v>
      </c>
      <c r="D362" s="3" t="s">
        <v>924</v>
      </c>
      <c r="E362" s="3" t="s">
        <v>115</v>
      </c>
      <c r="F362" s="3" t="s">
        <v>129</v>
      </c>
      <c r="G362" s="6">
        <v>198000</v>
      </c>
      <c r="H362" s="6">
        <f t="shared" si="9"/>
        <v>30203.389830508473</v>
      </c>
      <c r="I362" s="3" t="s">
        <v>113</v>
      </c>
      <c r="O362"/>
      <c r="P362"/>
      <c r="R362" s="87"/>
      <c r="S362" s="87"/>
    </row>
    <row r="363" spans="2:19" hidden="1" x14ac:dyDescent="0.25">
      <c r="B363" s="3" t="s">
        <v>1467</v>
      </c>
      <c r="C363" s="3" t="s">
        <v>41</v>
      </c>
      <c r="D363" s="3" t="s">
        <v>1355</v>
      </c>
      <c r="E363" s="3" t="s">
        <v>90</v>
      </c>
      <c r="F363" s="3" t="s">
        <v>131</v>
      </c>
      <c r="G363" s="6">
        <v>4901.58</v>
      </c>
      <c r="H363" s="6">
        <f t="shared" si="9"/>
        <v>747.69864406779652</v>
      </c>
      <c r="I363" s="3" t="s">
        <v>113</v>
      </c>
      <c r="O363"/>
      <c r="P363"/>
      <c r="R363" s="87"/>
      <c r="S363" s="87"/>
    </row>
    <row r="364" spans="2:19" hidden="1" x14ac:dyDescent="0.25">
      <c r="B364" s="3" t="s">
        <v>1521</v>
      </c>
      <c r="C364" s="3" t="s">
        <v>94</v>
      </c>
      <c r="D364" s="3" t="s">
        <v>280</v>
      </c>
      <c r="E364" s="3" t="s">
        <v>90</v>
      </c>
      <c r="F364" s="3" t="s">
        <v>131</v>
      </c>
      <c r="G364" s="6">
        <v>4341.6000000000004</v>
      </c>
      <c r="H364" s="6">
        <f t="shared" si="9"/>
        <v>662.2779661016948</v>
      </c>
      <c r="I364" s="3" t="s">
        <v>18</v>
      </c>
      <c r="J364" s="19"/>
      <c r="K364" s="19"/>
      <c r="O364"/>
      <c r="P364"/>
      <c r="R364" s="87"/>
      <c r="S364" s="87"/>
    </row>
    <row r="365" spans="2:19" hidden="1" x14ac:dyDescent="0.25">
      <c r="B365" s="3" t="s">
        <v>972</v>
      </c>
      <c r="C365" s="3" t="s">
        <v>95</v>
      </c>
      <c r="D365" s="3" t="s">
        <v>971</v>
      </c>
      <c r="E365" s="3" t="s">
        <v>90</v>
      </c>
      <c r="F365" s="3" t="s">
        <v>125</v>
      </c>
      <c r="G365" s="6">
        <v>4293</v>
      </c>
      <c r="H365" s="6">
        <f t="shared" si="9"/>
        <v>654.86440677966084</v>
      </c>
      <c r="I365" s="3" t="s">
        <v>18</v>
      </c>
      <c r="O365"/>
      <c r="P365"/>
      <c r="R365" s="87"/>
      <c r="S365" s="87"/>
    </row>
    <row r="366" spans="2:19" x14ac:dyDescent="0.25">
      <c r="B366" s="3" t="s">
        <v>295</v>
      </c>
      <c r="C366" s="3" t="s">
        <v>74</v>
      </c>
      <c r="D366" s="3" t="s">
        <v>304</v>
      </c>
      <c r="E366" s="3" t="s">
        <v>90</v>
      </c>
      <c r="F366" s="3" t="s">
        <v>124</v>
      </c>
      <c r="G366" s="6">
        <v>3726</v>
      </c>
      <c r="H366" s="6">
        <f t="shared" si="9"/>
        <v>568.3728813559319</v>
      </c>
      <c r="I366" s="6" t="s">
        <v>18</v>
      </c>
      <c r="R366" s="87"/>
      <c r="S366" s="87"/>
    </row>
    <row r="367" spans="2:19" hidden="1" x14ac:dyDescent="0.25">
      <c r="B367" s="3" t="s">
        <v>1473</v>
      </c>
      <c r="C367" s="3" t="s">
        <v>40</v>
      </c>
      <c r="D367" s="3" t="s">
        <v>1361</v>
      </c>
      <c r="E367" s="3" t="s">
        <v>90</v>
      </c>
      <c r="F367" s="3" t="s">
        <v>131</v>
      </c>
      <c r="G367" s="6">
        <v>3712.76</v>
      </c>
      <c r="H367" s="6">
        <f t="shared" si="9"/>
        <v>566.35322033898274</v>
      </c>
      <c r="I367" s="3" t="s">
        <v>113</v>
      </c>
      <c r="O367"/>
      <c r="P367"/>
      <c r="R367" s="87"/>
      <c r="S367" s="87"/>
    </row>
    <row r="368" spans="2:19" hidden="1" x14ac:dyDescent="0.25">
      <c r="B368" s="3" t="s">
        <v>1451</v>
      </c>
      <c r="C368" s="3" t="s">
        <v>42</v>
      </c>
      <c r="D368" s="3" t="s">
        <v>1341</v>
      </c>
      <c r="E368" s="3" t="s">
        <v>90</v>
      </c>
      <c r="F368" s="3" t="s">
        <v>139</v>
      </c>
      <c r="G368" s="6">
        <v>3402</v>
      </c>
      <c r="H368" s="6">
        <f t="shared" si="9"/>
        <v>518.94915254237276</v>
      </c>
      <c r="I368" s="3" t="s">
        <v>113</v>
      </c>
      <c r="J368" s="77"/>
      <c r="K368" s="5"/>
      <c r="O368"/>
      <c r="P368"/>
      <c r="R368" s="87"/>
      <c r="S368" s="87"/>
    </row>
    <row r="369" spans="2:19" hidden="1" x14ac:dyDescent="0.25">
      <c r="B369" s="3" t="s">
        <v>782</v>
      </c>
      <c r="C369" s="3" t="s">
        <v>57</v>
      </c>
      <c r="D369" s="3" t="s">
        <v>860</v>
      </c>
      <c r="E369" s="3" t="s">
        <v>117</v>
      </c>
      <c r="F369" s="3" t="s">
        <v>131</v>
      </c>
      <c r="G369" s="6">
        <v>1249.5</v>
      </c>
      <c r="H369" s="6">
        <f t="shared" si="9"/>
        <v>190.60169491525426</v>
      </c>
      <c r="I369" s="3" t="s">
        <v>113</v>
      </c>
      <c r="O369"/>
      <c r="P369"/>
      <c r="R369" s="87"/>
      <c r="S369" s="87"/>
    </row>
    <row r="370" spans="2:19" hidden="1" x14ac:dyDescent="0.25">
      <c r="B370" s="3" t="s">
        <v>784</v>
      </c>
      <c r="C370" s="3" t="s">
        <v>57</v>
      </c>
      <c r="D370" s="3" t="s">
        <v>862</v>
      </c>
      <c r="E370" s="3" t="s">
        <v>117</v>
      </c>
      <c r="F370" s="3" t="s">
        <v>131</v>
      </c>
      <c r="G370" s="6">
        <v>1319.5</v>
      </c>
      <c r="H370" s="6">
        <f t="shared" si="9"/>
        <v>201.27966101694915</v>
      </c>
      <c r="I370" s="3" t="s">
        <v>113</v>
      </c>
      <c r="O370"/>
      <c r="P370"/>
      <c r="R370" s="87"/>
      <c r="S370" s="87"/>
    </row>
    <row r="371" spans="2:19" hidden="1" x14ac:dyDescent="0.25">
      <c r="B371" s="3" t="s">
        <v>786</v>
      </c>
      <c r="C371" s="3" t="s">
        <v>29</v>
      </c>
      <c r="D371" s="3" t="s">
        <v>864</v>
      </c>
      <c r="E371" s="3" t="s">
        <v>117</v>
      </c>
      <c r="F371" s="3" t="s">
        <v>131</v>
      </c>
      <c r="G371" s="6">
        <v>304.5</v>
      </c>
      <c r="H371" s="6">
        <f t="shared" si="9"/>
        <v>46.449152542372872</v>
      </c>
      <c r="I371" s="3" t="s">
        <v>113</v>
      </c>
      <c r="O371"/>
      <c r="P371"/>
      <c r="R371" s="87"/>
      <c r="S371" s="87"/>
    </row>
    <row r="372" spans="2:19" hidden="1" x14ac:dyDescent="0.25">
      <c r="B372" s="3" t="s">
        <v>747</v>
      </c>
      <c r="C372" s="3" t="s">
        <v>93</v>
      </c>
      <c r="D372" s="3" t="s">
        <v>1761</v>
      </c>
      <c r="E372" s="3" t="s">
        <v>117</v>
      </c>
      <c r="F372" s="3" t="s">
        <v>131</v>
      </c>
      <c r="G372" s="6">
        <f>4314*1.75</f>
        <v>7549.5</v>
      </c>
      <c r="H372" s="6">
        <f t="shared" si="9"/>
        <v>1151.6186440677966</v>
      </c>
      <c r="I372" s="3" t="s">
        <v>18</v>
      </c>
      <c r="O372"/>
      <c r="P372"/>
      <c r="R372" s="87"/>
      <c r="S372" s="87"/>
    </row>
    <row r="373" spans="2:19" hidden="1" x14ac:dyDescent="0.25">
      <c r="B373" s="3" t="s">
        <v>747</v>
      </c>
      <c r="C373" s="3" t="s">
        <v>93</v>
      </c>
      <c r="D373" s="3" t="s">
        <v>1762</v>
      </c>
      <c r="E373" s="3" t="s">
        <v>117</v>
      </c>
      <c r="F373" s="3" t="s">
        <v>131</v>
      </c>
      <c r="G373" s="6">
        <f>1663*1.75</f>
        <v>2910.25</v>
      </c>
      <c r="H373" s="6">
        <f t="shared" si="9"/>
        <v>443.93644067796595</v>
      </c>
      <c r="I373" s="3" t="s">
        <v>18</v>
      </c>
      <c r="O373"/>
      <c r="P373"/>
      <c r="R373" s="87"/>
      <c r="S373" s="87"/>
    </row>
    <row r="374" spans="2:19" hidden="1" x14ac:dyDescent="0.25">
      <c r="B374" s="3" t="s">
        <v>1763</v>
      </c>
      <c r="C374" s="3" t="s">
        <v>136</v>
      </c>
      <c r="D374" s="3" t="s">
        <v>1764</v>
      </c>
      <c r="E374" s="3" t="s">
        <v>117</v>
      </c>
      <c r="F374" s="3" t="s">
        <v>131</v>
      </c>
      <c r="G374" s="6">
        <v>292.25</v>
      </c>
      <c r="H374" s="6">
        <f t="shared" si="9"/>
        <v>44.580508474576249</v>
      </c>
      <c r="I374" s="3" t="s">
        <v>18</v>
      </c>
      <c r="O374"/>
      <c r="P374"/>
      <c r="R374" s="87"/>
      <c r="S374" s="87"/>
    </row>
    <row r="375" spans="2:19" hidden="1" x14ac:dyDescent="0.25">
      <c r="B375" s="3" t="s">
        <v>1765</v>
      </c>
      <c r="C375" s="3" t="s">
        <v>136</v>
      </c>
      <c r="D375" s="3" t="s">
        <v>1764</v>
      </c>
      <c r="E375" s="3" t="s">
        <v>87</v>
      </c>
      <c r="F375" s="3" t="s">
        <v>131</v>
      </c>
      <c r="G375" s="6">
        <v>46346.03</v>
      </c>
      <c r="H375" s="6">
        <f t="shared" si="9"/>
        <v>7069.7333898305078</v>
      </c>
      <c r="I375" s="3" t="s">
        <v>18</v>
      </c>
      <c r="O375"/>
      <c r="P375"/>
      <c r="R375" s="87"/>
      <c r="S375" s="87"/>
    </row>
    <row r="376" spans="2:19" hidden="1" x14ac:dyDescent="0.25">
      <c r="B376" s="3" t="s">
        <v>1618</v>
      </c>
      <c r="C376" s="3" t="s">
        <v>45</v>
      </c>
      <c r="D376" s="3" t="s">
        <v>1619</v>
      </c>
      <c r="E376" s="3" t="s">
        <v>75</v>
      </c>
      <c r="F376" s="3" t="s">
        <v>131</v>
      </c>
      <c r="G376" s="6">
        <v>700000</v>
      </c>
      <c r="H376" s="6">
        <f t="shared" si="9"/>
        <v>106779.6610169491</v>
      </c>
      <c r="I376" s="3" t="s">
        <v>113</v>
      </c>
      <c r="O376"/>
      <c r="P376"/>
      <c r="R376" s="87"/>
      <c r="S376" s="87"/>
    </row>
    <row r="377" spans="2:19" hidden="1" x14ac:dyDescent="0.25">
      <c r="B377" s="3" t="s">
        <v>950</v>
      </c>
      <c r="C377" s="3" t="s">
        <v>96</v>
      </c>
      <c r="D377" s="3" t="s">
        <v>1855</v>
      </c>
      <c r="E377" s="3" t="s">
        <v>71</v>
      </c>
      <c r="F377" s="3" t="s">
        <v>131</v>
      </c>
      <c r="G377" s="6">
        <v>50000</v>
      </c>
      <c r="H377" s="6">
        <f t="shared" si="9"/>
        <v>7627.118644067792</v>
      </c>
      <c r="I377" s="3" t="s">
        <v>18</v>
      </c>
      <c r="J377" t="s">
        <v>1854</v>
      </c>
      <c r="O377"/>
      <c r="P377" t="s">
        <v>1641</v>
      </c>
      <c r="R377" s="87"/>
      <c r="S377" s="87"/>
    </row>
    <row r="378" spans="2:19" hidden="1" x14ac:dyDescent="0.25">
      <c r="B378" s="3" t="s">
        <v>943</v>
      </c>
      <c r="C378" s="3" t="s">
        <v>96</v>
      </c>
      <c r="D378" s="3" t="s">
        <v>1857</v>
      </c>
      <c r="E378" s="3" t="s">
        <v>71</v>
      </c>
      <c r="F378" s="3" t="s">
        <v>131</v>
      </c>
      <c r="G378" s="6">
        <v>80000</v>
      </c>
      <c r="H378" s="6">
        <f t="shared" si="9"/>
        <v>12203.389830508473</v>
      </c>
      <c r="I378" s="3" t="s">
        <v>18</v>
      </c>
      <c r="J378" s="18" t="s">
        <v>1856</v>
      </c>
      <c r="O378"/>
      <c r="P378" t="s">
        <v>1641</v>
      </c>
      <c r="R378" s="87"/>
      <c r="S378" s="87"/>
    </row>
    <row r="379" spans="2:19" hidden="1" x14ac:dyDescent="0.25">
      <c r="B379" s="3" t="s">
        <v>717</v>
      </c>
      <c r="C379" s="3" t="s">
        <v>96</v>
      </c>
      <c r="D379" s="3" t="s">
        <v>1859</v>
      </c>
      <c r="E379" s="3" t="s">
        <v>71</v>
      </c>
      <c r="F379" s="3" t="s">
        <v>131</v>
      </c>
      <c r="G379" s="6">
        <v>60000</v>
      </c>
      <c r="H379" s="6">
        <f t="shared" si="9"/>
        <v>9152.5423728813548</v>
      </c>
      <c r="I379" s="3" t="s">
        <v>18</v>
      </c>
      <c r="J379" t="s">
        <v>1858</v>
      </c>
      <c r="O379"/>
      <c r="P379" t="s">
        <v>1641</v>
      </c>
      <c r="R379" s="87"/>
      <c r="S379" s="87"/>
    </row>
    <row r="380" spans="2:19" hidden="1" x14ac:dyDescent="0.25">
      <c r="B380" s="3" t="s">
        <v>717</v>
      </c>
      <c r="C380" s="3" t="s">
        <v>96</v>
      </c>
      <c r="D380" s="3" t="s">
        <v>1861</v>
      </c>
      <c r="E380" s="3" t="s">
        <v>71</v>
      </c>
      <c r="F380" s="3" t="s">
        <v>131</v>
      </c>
      <c r="G380" s="6">
        <v>60000</v>
      </c>
      <c r="H380" s="6">
        <f t="shared" si="9"/>
        <v>9152.5423728813548</v>
      </c>
      <c r="I380" s="3" t="s">
        <v>18</v>
      </c>
      <c r="J380" t="s">
        <v>1860</v>
      </c>
      <c r="O380"/>
      <c r="P380" t="s">
        <v>1641</v>
      </c>
      <c r="R380" s="87"/>
      <c r="S380" s="87"/>
    </row>
    <row r="381" spans="2:19" hidden="1" x14ac:dyDescent="0.25">
      <c r="B381" s="3" t="s">
        <v>943</v>
      </c>
      <c r="C381" s="3" t="s">
        <v>96</v>
      </c>
      <c r="D381" s="3" t="s">
        <v>1862</v>
      </c>
      <c r="E381" s="3" t="s">
        <v>71</v>
      </c>
      <c r="F381" s="3" t="s">
        <v>131</v>
      </c>
      <c r="G381" s="6">
        <v>60000</v>
      </c>
      <c r="H381" s="6">
        <f t="shared" si="9"/>
        <v>9152.5423728813548</v>
      </c>
      <c r="I381" s="3" t="s">
        <v>18</v>
      </c>
      <c r="J381" t="s">
        <v>1898</v>
      </c>
      <c r="N381">
        <v>0</v>
      </c>
      <c r="O381"/>
      <c r="P381" t="s">
        <v>1641</v>
      </c>
      <c r="R381" s="87"/>
      <c r="S381" s="87"/>
    </row>
    <row r="382" spans="2:19" ht="17.25" hidden="1" x14ac:dyDescent="0.25">
      <c r="B382" s="3" t="s">
        <v>949</v>
      </c>
      <c r="C382" s="3" t="s">
        <v>96</v>
      </c>
      <c r="D382" s="3" t="s">
        <v>1864</v>
      </c>
      <c r="E382" s="3" t="s">
        <v>110</v>
      </c>
      <c r="F382" s="3" t="s">
        <v>131</v>
      </c>
      <c r="G382" s="6">
        <v>1153.25</v>
      </c>
      <c r="H382" s="6">
        <f t="shared" si="9"/>
        <v>175.91949152542372</v>
      </c>
      <c r="I382" s="3" t="s">
        <v>18</v>
      </c>
      <c r="J382" t="s">
        <v>1863</v>
      </c>
      <c r="O382"/>
      <c r="P382" t="s">
        <v>1593</v>
      </c>
      <c r="R382" s="87"/>
      <c r="S382" s="87"/>
    </row>
    <row r="383" spans="2:19" hidden="1" x14ac:dyDescent="0.25">
      <c r="B383" s="3" t="s">
        <v>944</v>
      </c>
      <c r="C383" s="3" t="s">
        <v>96</v>
      </c>
      <c r="D383" s="3" t="s">
        <v>1869</v>
      </c>
      <c r="E383" s="3" t="s">
        <v>110</v>
      </c>
      <c r="F383" s="3" t="s">
        <v>131</v>
      </c>
      <c r="G383" s="6">
        <v>2264.5</v>
      </c>
      <c r="H383" s="6">
        <f t="shared" si="9"/>
        <v>345.43220338983042</v>
      </c>
      <c r="I383" s="3" t="s">
        <v>18</v>
      </c>
      <c r="J383" t="s">
        <v>1867</v>
      </c>
      <c r="O383"/>
      <c r="P383" t="s">
        <v>1593</v>
      </c>
      <c r="R383" s="87"/>
      <c r="S383" s="87"/>
    </row>
    <row r="384" spans="2:19" hidden="1" x14ac:dyDescent="0.25">
      <c r="B384" s="3" t="s">
        <v>944</v>
      </c>
      <c r="C384" s="3" t="s">
        <v>96</v>
      </c>
      <c r="D384" s="3" t="s">
        <v>1870</v>
      </c>
      <c r="E384" s="3" t="s">
        <v>110</v>
      </c>
      <c r="F384" s="3" t="s">
        <v>131</v>
      </c>
      <c r="G384" s="6">
        <v>1737.75</v>
      </c>
      <c r="H384" s="6">
        <f t="shared" si="9"/>
        <v>265.08050847457616</v>
      </c>
      <c r="I384" s="3" t="s">
        <v>18</v>
      </c>
      <c r="J384" t="s">
        <v>1868</v>
      </c>
      <c r="O384"/>
      <c r="P384" t="s">
        <v>1593</v>
      </c>
      <c r="R384" s="87"/>
      <c r="S384" s="87"/>
    </row>
    <row r="385" spans="2:19" hidden="1" x14ac:dyDescent="0.25">
      <c r="B385" s="3" t="s">
        <v>945</v>
      </c>
      <c r="C385" s="3" t="s">
        <v>96</v>
      </c>
      <c r="D385" s="3" t="s">
        <v>1871</v>
      </c>
      <c r="E385" s="3" t="s">
        <v>71</v>
      </c>
      <c r="F385" s="3" t="s">
        <v>131</v>
      </c>
      <c r="G385" s="6">
        <v>80000</v>
      </c>
      <c r="H385" s="6">
        <f t="shared" si="9"/>
        <v>12203.389830508473</v>
      </c>
      <c r="I385" s="3" t="s">
        <v>18</v>
      </c>
      <c r="J385" t="s">
        <v>1866</v>
      </c>
      <c r="O385"/>
      <c r="P385" t="s">
        <v>1641</v>
      </c>
      <c r="R385" s="87"/>
      <c r="S385" s="87"/>
    </row>
    <row r="386" spans="2:19" hidden="1" x14ac:dyDescent="0.25">
      <c r="B386" s="3" t="s">
        <v>945</v>
      </c>
      <c r="C386" s="3" t="s">
        <v>96</v>
      </c>
      <c r="D386" s="3" t="s">
        <v>1872</v>
      </c>
      <c r="E386" s="3" t="s">
        <v>71</v>
      </c>
      <c r="F386" s="3" t="s">
        <v>131</v>
      </c>
      <c r="G386" s="6">
        <v>80000</v>
      </c>
      <c r="H386" s="6">
        <f t="shared" si="9"/>
        <v>12203.389830508473</v>
      </c>
      <c r="I386" s="3" t="s">
        <v>18</v>
      </c>
      <c r="J386" t="s">
        <v>1865</v>
      </c>
      <c r="O386"/>
      <c r="P386" t="s">
        <v>1641</v>
      </c>
      <c r="R386" s="87"/>
      <c r="S386" s="87"/>
    </row>
    <row r="387" spans="2:19" ht="17.25" hidden="1" x14ac:dyDescent="0.25">
      <c r="B387" s="3" t="s">
        <v>950</v>
      </c>
      <c r="C387" s="3" t="s">
        <v>96</v>
      </c>
      <c r="D387" s="3" t="s">
        <v>948</v>
      </c>
      <c r="E387" s="3" t="s">
        <v>71</v>
      </c>
      <c r="F387" s="3" t="s">
        <v>131</v>
      </c>
      <c r="G387" s="6">
        <v>35000</v>
      </c>
      <c r="H387" s="6">
        <f t="shared" si="9"/>
        <v>5338.9830508474552</v>
      </c>
      <c r="I387" s="3" t="s">
        <v>18</v>
      </c>
      <c r="J387" t="s">
        <v>1873</v>
      </c>
      <c r="O387"/>
      <c r="P387" t="s">
        <v>1641</v>
      </c>
      <c r="R387" s="87"/>
      <c r="S387" s="87"/>
    </row>
    <row r="388" spans="2:19" hidden="1" x14ac:dyDescent="0.25">
      <c r="B388" s="3" t="s">
        <v>1056</v>
      </c>
      <c r="C388" s="3" t="s">
        <v>95</v>
      </c>
      <c r="D388" s="3" t="s">
        <v>1113</v>
      </c>
      <c r="E388" s="3" t="s">
        <v>106</v>
      </c>
      <c r="F388" s="3" t="s">
        <v>131</v>
      </c>
      <c r="G388" s="6">
        <v>1366.75</v>
      </c>
      <c r="H388" s="6">
        <f t="shared" si="9"/>
        <v>208.48728813559319</v>
      </c>
      <c r="I388" s="3" t="s">
        <v>18</v>
      </c>
      <c r="O388"/>
      <c r="P388"/>
      <c r="R388" s="87"/>
      <c r="S388" s="87"/>
    </row>
    <row r="389" spans="2:19" hidden="1" x14ac:dyDescent="0.25">
      <c r="B389" s="3" t="s">
        <v>1051</v>
      </c>
      <c r="C389" s="3" t="s">
        <v>95</v>
      </c>
      <c r="D389" s="3" t="s">
        <v>1108</v>
      </c>
      <c r="E389" s="3" t="s">
        <v>106</v>
      </c>
      <c r="F389" s="3" t="s">
        <v>131</v>
      </c>
      <c r="G389" s="6">
        <v>1435</v>
      </c>
      <c r="H389" s="6">
        <f t="shared" si="9"/>
        <v>218.89830508474574</v>
      </c>
      <c r="I389" s="3" t="s">
        <v>18</v>
      </c>
      <c r="O389"/>
      <c r="P389"/>
      <c r="R389" s="87"/>
      <c r="S389" s="87"/>
    </row>
    <row r="390" spans="2:19" hidden="1" x14ac:dyDescent="0.25">
      <c r="B390" s="3" t="s">
        <v>1045</v>
      </c>
      <c r="C390" s="3" t="s">
        <v>94</v>
      </c>
      <c r="D390" s="3" t="s">
        <v>1102</v>
      </c>
      <c r="E390" s="3" t="s">
        <v>106</v>
      </c>
      <c r="F390" s="3" t="s">
        <v>131</v>
      </c>
      <c r="G390" s="6">
        <v>10422.299999999999</v>
      </c>
      <c r="H390" s="6">
        <f t="shared" si="9"/>
        <v>1589.8423728813559</v>
      </c>
      <c r="I390" s="3" t="s">
        <v>18</v>
      </c>
      <c r="O390"/>
      <c r="P390"/>
      <c r="R390" s="87"/>
      <c r="S390" s="87"/>
    </row>
    <row r="391" spans="2:19" hidden="1" x14ac:dyDescent="0.25">
      <c r="B391" s="3" t="s">
        <v>1880</v>
      </c>
      <c r="C391" s="3" t="s">
        <v>27</v>
      </c>
      <c r="D391" s="3" t="s">
        <v>1878</v>
      </c>
      <c r="E391" s="3" t="s">
        <v>115</v>
      </c>
      <c r="F391" s="3" t="s">
        <v>131</v>
      </c>
      <c r="G391" s="6">
        <v>2492</v>
      </c>
      <c r="H391" s="6">
        <f t="shared" si="9"/>
        <v>380.13559322033871</v>
      </c>
      <c r="I391" s="3" t="s">
        <v>113</v>
      </c>
      <c r="O391"/>
      <c r="P391"/>
      <c r="R391" s="87"/>
      <c r="S391" s="87"/>
    </row>
    <row r="392" spans="2:19" hidden="1" x14ac:dyDescent="0.25">
      <c r="B392" s="3" t="s">
        <v>1879</v>
      </c>
      <c r="C392" s="3" t="s">
        <v>27</v>
      </c>
      <c r="D392" s="3" t="s">
        <v>1881</v>
      </c>
      <c r="E392" s="3" t="s">
        <v>115</v>
      </c>
      <c r="F392" s="3" t="s">
        <v>131</v>
      </c>
      <c r="G392" s="6">
        <v>2486</v>
      </c>
      <c r="H392" s="6">
        <f t="shared" si="9"/>
        <v>379.22033898305062</v>
      </c>
      <c r="I392" s="3" t="s">
        <v>113</v>
      </c>
      <c r="O392"/>
      <c r="P392"/>
      <c r="R392" s="87"/>
      <c r="S392" s="87"/>
    </row>
    <row r="393" spans="2:19" hidden="1" x14ac:dyDescent="0.25">
      <c r="B393" s="3" t="s">
        <v>796</v>
      </c>
      <c r="C393" s="3" t="s">
        <v>56</v>
      </c>
      <c r="D393" s="3" t="s">
        <v>874</v>
      </c>
      <c r="E393" s="3" t="s">
        <v>87</v>
      </c>
      <c r="F393" s="3" t="s">
        <v>131</v>
      </c>
      <c r="G393" s="6">
        <v>670000</v>
      </c>
      <c r="H393" s="6">
        <f t="shared" si="9"/>
        <v>102203.3898305085</v>
      </c>
      <c r="I393" s="3" t="s">
        <v>113</v>
      </c>
      <c r="O393"/>
      <c r="P393"/>
      <c r="R393" s="87"/>
      <c r="S393" s="87"/>
    </row>
    <row r="394" spans="2:19" hidden="1" x14ac:dyDescent="0.25">
      <c r="B394" s="3" t="s">
        <v>803</v>
      </c>
      <c r="C394" s="3" t="s">
        <v>56</v>
      </c>
      <c r="D394" s="3" t="s">
        <v>881</v>
      </c>
      <c r="E394" s="3" t="s">
        <v>87</v>
      </c>
      <c r="F394" s="3" t="s">
        <v>131</v>
      </c>
      <c r="G394" s="6">
        <v>520000</v>
      </c>
      <c r="H394" s="6">
        <f t="shared" si="9"/>
        <v>79322.03389830509</v>
      </c>
      <c r="I394" s="3" t="s">
        <v>113</v>
      </c>
      <c r="O394"/>
      <c r="P394"/>
      <c r="R394" s="87"/>
      <c r="S394" s="87"/>
    </row>
    <row r="395" spans="2:19" hidden="1" x14ac:dyDescent="0.25">
      <c r="B395" s="3" t="s">
        <v>962</v>
      </c>
      <c r="C395" s="3" t="s">
        <v>97</v>
      </c>
      <c r="D395" s="3" t="s">
        <v>956</v>
      </c>
      <c r="E395" s="3" t="s">
        <v>110</v>
      </c>
      <c r="F395" s="3" t="s">
        <v>131</v>
      </c>
      <c r="G395" s="6">
        <v>1947.75</v>
      </c>
      <c r="H395" s="6">
        <f t="shared" si="9"/>
        <v>297.11440677966084</v>
      </c>
      <c r="I395" s="3" t="s">
        <v>18</v>
      </c>
      <c r="O395"/>
      <c r="P395"/>
      <c r="R395" s="87"/>
      <c r="S395" s="87"/>
    </row>
    <row r="396" spans="2:19" hidden="1" x14ac:dyDescent="0.25">
      <c r="B396" s="3" t="s">
        <v>963</v>
      </c>
      <c r="C396" s="3" t="s">
        <v>97</v>
      </c>
      <c r="D396" s="3" t="s">
        <v>957</v>
      </c>
      <c r="E396" s="3" t="s">
        <v>71</v>
      </c>
      <c r="F396" s="3" t="s">
        <v>131</v>
      </c>
      <c r="G396" s="6">
        <v>35000</v>
      </c>
      <c r="H396" s="6">
        <f t="shared" si="9"/>
        <v>5338.9830508474552</v>
      </c>
      <c r="I396" s="3" t="s">
        <v>18</v>
      </c>
      <c r="O396"/>
      <c r="P396"/>
      <c r="R396" s="87"/>
      <c r="S396" s="87"/>
    </row>
    <row r="397" spans="2:19" hidden="1" x14ac:dyDescent="0.25">
      <c r="B397" s="3" t="s">
        <v>950</v>
      </c>
      <c r="C397" s="3" t="s">
        <v>96</v>
      </c>
      <c r="D397" s="3" t="s">
        <v>1883</v>
      </c>
      <c r="E397" s="3" t="s">
        <v>71</v>
      </c>
      <c r="F397" s="3" t="s">
        <v>131</v>
      </c>
      <c r="G397" s="6">
        <v>15000</v>
      </c>
      <c r="H397" s="6">
        <f t="shared" si="9"/>
        <v>2288.1355932203387</v>
      </c>
      <c r="I397" s="3" t="s">
        <v>18</v>
      </c>
      <c r="J397" t="s">
        <v>1706</v>
      </c>
      <c r="O397"/>
      <c r="P397" t="s">
        <v>1654</v>
      </c>
      <c r="R397" s="87"/>
      <c r="S397" s="87"/>
    </row>
    <row r="398" spans="2:19" hidden="1" x14ac:dyDescent="0.25">
      <c r="B398" s="3" t="s">
        <v>950</v>
      </c>
      <c r="C398" s="3" t="s">
        <v>96</v>
      </c>
      <c r="D398" s="3" t="s">
        <v>1728</v>
      </c>
      <c r="E398" s="3" t="s">
        <v>71</v>
      </c>
      <c r="F398" s="3" t="s">
        <v>131</v>
      </c>
      <c r="G398" s="6">
        <v>7000</v>
      </c>
      <c r="H398" s="6">
        <f t="shared" si="9"/>
        <v>1067.796610169491</v>
      </c>
      <c r="I398" s="3" t="s">
        <v>18</v>
      </c>
      <c r="J398" t="s">
        <v>1707</v>
      </c>
      <c r="O398"/>
      <c r="P398" t="s">
        <v>1882</v>
      </c>
      <c r="R398" s="87"/>
      <c r="S398" s="87"/>
    </row>
    <row r="399" spans="2:19" hidden="1" x14ac:dyDescent="0.25">
      <c r="B399" s="3" t="s">
        <v>717</v>
      </c>
      <c r="C399" s="3" t="s">
        <v>96</v>
      </c>
      <c r="D399" s="3" t="s">
        <v>1892</v>
      </c>
      <c r="E399" s="3" t="s">
        <v>71</v>
      </c>
      <c r="F399" s="3" t="s">
        <v>131</v>
      </c>
      <c r="G399" s="6">
        <v>12000</v>
      </c>
      <c r="H399" s="6">
        <f t="shared" si="9"/>
        <v>1830.5084745762706</v>
      </c>
      <c r="I399" s="3" t="s">
        <v>18</v>
      </c>
      <c r="J399" t="s">
        <v>1888</v>
      </c>
      <c r="O399"/>
      <c r="P399" t="s">
        <v>1654</v>
      </c>
      <c r="R399" s="87"/>
      <c r="S399" s="87"/>
    </row>
    <row r="400" spans="2:19" hidden="1" x14ac:dyDescent="0.25">
      <c r="B400" s="3" t="s">
        <v>717</v>
      </c>
      <c r="C400" s="3" t="s">
        <v>96</v>
      </c>
      <c r="D400" s="3" t="s">
        <v>1884</v>
      </c>
      <c r="E400" s="3" t="s">
        <v>71</v>
      </c>
      <c r="F400" s="3" t="s">
        <v>131</v>
      </c>
      <c r="G400" s="6">
        <v>15000</v>
      </c>
      <c r="H400" s="6">
        <f t="shared" si="9"/>
        <v>2288.1355932203387</v>
      </c>
      <c r="I400" s="3" t="s">
        <v>18</v>
      </c>
      <c r="J400" t="s">
        <v>1886</v>
      </c>
      <c r="O400"/>
      <c r="P400" t="s">
        <v>1654</v>
      </c>
      <c r="R400" s="87"/>
      <c r="S400" s="87"/>
    </row>
    <row r="401" spans="2:19" hidden="1" x14ac:dyDescent="0.25">
      <c r="B401" s="3" t="s">
        <v>717</v>
      </c>
      <c r="C401" s="3" t="s">
        <v>96</v>
      </c>
      <c r="D401" s="3" t="s">
        <v>1885</v>
      </c>
      <c r="E401" s="3" t="s">
        <v>71</v>
      </c>
      <c r="F401" s="3" t="s">
        <v>131</v>
      </c>
      <c r="G401" s="6">
        <v>10000</v>
      </c>
      <c r="H401" s="6">
        <f t="shared" si="9"/>
        <v>1525.4237288135591</v>
      </c>
      <c r="I401" s="3" t="s">
        <v>18</v>
      </c>
      <c r="J401" t="s">
        <v>1887</v>
      </c>
      <c r="O401"/>
      <c r="P401" t="s">
        <v>1654</v>
      </c>
      <c r="R401" s="87"/>
      <c r="S401" s="87"/>
    </row>
    <row r="402" spans="2:19" hidden="1" x14ac:dyDescent="0.25">
      <c r="B402" s="3" t="s">
        <v>943</v>
      </c>
      <c r="C402" s="3" t="s">
        <v>96</v>
      </c>
      <c r="D402" s="3" t="s">
        <v>1899</v>
      </c>
      <c r="E402" s="3" t="s">
        <v>71</v>
      </c>
      <c r="F402" s="3" t="s">
        <v>131</v>
      </c>
      <c r="G402" s="6">
        <v>35000</v>
      </c>
      <c r="H402" s="6">
        <f t="shared" si="9"/>
        <v>5338.9830508474552</v>
      </c>
      <c r="I402" s="3" t="s">
        <v>18</v>
      </c>
      <c r="J402" t="s">
        <v>1894</v>
      </c>
      <c r="K402" s="19"/>
      <c r="O402"/>
      <c r="P402" t="s">
        <v>1654</v>
      </c>
      <c r="R402" s="87"/>
      <c r="S402" s="87"/>
    </row>
    <row r="403" spans="2:19" hidden="1" x14ac:dyDescent="0.25">
      <c r="B403" s="3" t="s">
        <v>1607</v>
      </c>
      <c r="C403" s="3" t="s">
        <v>91</v>
      </c>
      <c r="D403" s="3" t="s">
        <v>1614</v>
      </c>
      <c r="E403" s="3" t="s">
        <v>701</v>
      </c>
      <c r="F403" s="3" t="s">
        <v>131</v>
      </c>
      <c r="G403" s="6">
        <v>350000</v>
      </c>
      <c r="H403" s="6">
        <f t="shared" si="9"/>
        <v>53389.830508474552</v>
      </c>
      <c r="I403" s="3" t="s">
        <v>18</v>
      </c>
      <c r="O403"/>
      <c r="P403"/>
      <c r="R403" s="87"/>
      <c r="S403" s="87"/>
    </row>
    <row r="404" spans="2:19" hidden="1" x14ac:dyDescent="0.25">
      <c r="B404" s="3" t="s">
        <v>1608</v>
      </c>
      <c r="C404" s="3" t="s">
        <v>91</v>
      </c>
      <c r="D404" s="3" t="s">
        <v>1615</v>
      </c>
      <c r="E404" s="3" t="s">
        <v>701</v>
      </c>
      <c r="F404" s="3" t="s">
        <v>131</v>
      </c>
      <c r="G404" s="6">
        <v>100000</v>
      </c>
      <c r="H404" s="6">
        <f t="shared" si="9"/>
        <v>15254.237288135584</v>
      </c>
      <c r="I404" s="3" t="s">
        <v>18</v>
      </c>
      <c r="O404"/>
      <c r="P404"/>
      <c r="R404" s="87"/>
      <c r="S404" s="87"/>
    </row>
    <row r="405" spans="2:19" hidden="1" x14ac:dyDescent="0.25">
      <c r="B405" s="3" t="s">
        <v>219</v>
      </c>
      <c r="C405" s="3" t="s">
        <v>99</v>
      </c>
      <c r="D405" s="3" t="s">
        <v>673</v>
      </c>
      <c r="E405" s="3" t="s">
        <v>105</v>
      </c>
      <c r="F405" s="3" t="s">
        <v>131</v>
      </c>
      <c r="G405" s="6">
        <v>400000</v>
      </c>
      <c r="H405" s="6">
        <f t="shared" si="9"/>
        <v>61016.949152542336</v>
      </c>
      <c r="I405" s="3" t="s">
        <v>113</v>
      </c>
      <c r="O405"/>
      <c r="P405"/>
      <c r="R405" s="87"/>
      <c r="S405" s="87"/>
    </row>
    <row r="406" spans="2:19" hidden="1" x14ac:dyDescent="0.25">
      <c r="B406" s="3" t="s">
        <v>1061</v>
      </c>
      <c r="C406" s="3" t="s">
        <v>94</v>
      </c>
      <c r="D406" s="3" t="s">
        <v>1118</v>
      </c>
      <c r="E406" s="3" t="s">
        <v>90</v>
      </c>
      <c r="F406" s="3" t="s">
        <v>133</v>
      </c>
      <c r="G406" s="6">
        <v>3237.69</v>
      </c>
      <c r="H406" s="86">
        <f t="shared" si="9"/>
        <v>493.88491525423706</v>
      </c>
      <c r="I406" s="3" t="s">
        <v>18</v>
      </c>
      <c r="O406"/>
      <c r="P406"/>
      <c r="R406" s="87"/>
      <c r="S406" s="87"/>
    </row>
    <row r="407" spans="2:19" hidden="1" x14ac:dyDescent="0.25">
      <c r="B407" s="3" t="s">
        <v>702</v>
      </c>
      <c r="C407" s="3" t="s">
        <v>95</v>
      </c>
      <c r="D407" s="3" t="s">
        <v>712</v>
      </c>
      <c r="E407" s="3" t="s">
        <v>90</v>
      </c>
      <c r="F407" s="3" t="s">
        <v>124</v>
      </c>
      <c r="G407" s="6">
        <v>2997</v>
      </c>
      <c r="H407" s="6">
        <f t="shared" ref="H407:H470" si="10">G407-G407/1.18</f>
        <v>457.16949152542338</v>
      </c>
      <c r="I407" s="6" t="s">
        <v>18</v>
      </c>
      <c r="R407" s="87"/>
      <c r="S407" s="87"/>
    </row>
    <row r="408" spans="2:19" hidden="1" x14ac:dyDescent="0.25">
      <c r="B408" s="3" t="s">
        <v>1970</v>
      </c>
      <c r="C408" s="3" t="s">
        <v>91</v>
      </c>
      <c r="D408" s="3" t="s">
        <v>1969</v>
      </c>
      <c r="E408" s="3" t="s">
        <v>105</v>
      </c>
      <c r="F408" s="3" t="s">
        <v>133</v>
      </c>
      <c r="G408" s="6">
        <v>850000</v>
      </c>
      <c r="H408" s="29">
        <f t="shared" si="10"/>
        <v>129661.01694915246</v>
      </c>
      <c r="I408" s="3" t="s">
        <v>18</v>
      </c>
      <c r="O408"/>
      <c r="P408"/>
      <c r="R408" s="87"/>
      <c r="S408" s="87"/>
    </row>
    <row r="409" spans="2:19" hidden="1" x14ac:dyDescent="0.25">
      <c r="B409" s="3" t="s">
        <v>972</v>
      </c>
      <c r="C409" s="3" t="s">
        <v>95</v>
      </c>
      <c r="D409" s="3" t="s">
        <v>971</v>
      </c>
      <c r="E409" s="3" t="s">
        <v>90</v>
      </c>
      <c r="F409" s="3" t="s">
        <v>139</v>
      </c>
      <c r="G409" s="6">
        <v>2673</v>
      </c>
      <c r="H409" s="6">
        <f t="shared" si="10"/>
        <v>407.74576271186424</v>
      </c>
      <c r="I409" s="3" t="s">
        <v>18</v>
      </c>
      <c r="O409"/>
      <c r="P409"/>
      <c r="R409" s="87"/>
      <c r="S409" s="87"/>
    </row>
    <row r="410" spans="2:19" hidden="1" x14ac:dyDescent="0.25">
      <c r="B410" s="3" t="s">
        <v>265</v>
      </c>
      <c r="C410" s="3" t="s">
        <v>94</v>
      </c>
      <c r="D410" s="3" t="s">
        <v>274</v>
      </c>
      <c r="E410" s="3" t="s">
        <v>90</v>
      </c>
      <c r="F410" s="3" t="s">
        <v>124</v>
      </c>
      <c r="G410" s="6">
        <v>2546.25</v>
      </c>
      <c r="H410" s="6">
        <f t="shared" si="10"/>
        <v>388.41101694915233</v>
      </c>
      <c r="I410" s="6" t="s">
        <v>18</v>
      </c>
      <c r="K410" s="77"/>
      <c r="R410" s="87"/>
      <c r="S410" s="87"/>
    </row>
    <row r="411" spans="2:19" hidden="1" x14ac:dyDescent="0.25">
      <c r="B411" s="3" t="s">
        <v>997</v>
      </c>
      <c r="C411" s="3" t="s">
        <v>74</v>
      </c>
      <c r="D411" s="3" t="s">
        <v>1096</v>
      </c>
      <c r="E411" s="3" t="s">
        <v>106</v>
      </c>
      <c r="F411" s="3" t="s">
        <v>131</v>
      </c>
      <c r="G411" s="6">
        <v>9462.25</v>
      </c>
      <c r="H411" s="6">
        <f t="shared" si="10"/>
        <v>1443.3940677966093</v>
      </c>
      <c r="I411" s="3" t="s">
        <v>18</v>
      </c>
      <c r="O411"/>
      <c r="P411"/>
      <c r="R411" s="87"/>
      <c r="S411" s="87"/>
    </row>
    <row r="412" spans="2:19" hidden="1" x14ac:dyDescent="0.25">
      <c r="B412" s="3" t="s">
        <v>1173</v>
      </c>
      <c r="C412" s="3" t="s">
        <v>38</v>
      </c>
      <c r="D412" s="3" t="s">
        <v>1144</v>
      </c>
      <c r="E412" s="3" t="s">
        <v>71</v>
      </c>
      <c r="F412" s="3" t="s">
        <v>131</v>
      </c>
      <c r="G412" s="6">
        <v>50000</v>
      </c>
      <c r="H412" s="6">
        <f t="shared" si="10"/>
        <v>7627.118644067792</v>
      </c>
      <c r="I412" s="3" t="s">
        <v>113</v>
      </c>
      <c r="O412"/>
      <c r="P412"/>
      <c r="R412" s="87"/>
      <c r="S412" s="87"/>
    </row>
    <row r="413" spans="2:19" hidden="1" x14ac:dyDescent="0.25">
      <c r="B413" s="3" t="s">
        <v>1233</v>
      </c>
      <c r="C413" s="3" t="s">
        <v>34</v>
      </c>
      <c r="D413" s="3" t="s">
        <v>1307</v>
      </c>
      <c r="E413" s="3" t="s">
        <v>71</v>
      </c>
      <c r="F413" s="3" t="s">
        <v>131</v>
      </c>
      <c r="G413" s="6">
        <v>120000</v>
      </c>
      <c r="H413" s="6">
        <f t="shared" si="10"/>
        <v>18305.08474576271</v>
      </c>
      <c r="I413" s="3" t="s">
        <v>113</v>
      </c>
      <c r="O413"/>
      <c r="P413"/>
      <c r="R413" s="87"/>
      <c r="S413" s="87"/>
    </row>
    <row r="414" spans="2:19" hidden="1" x14ac:dyDescent="0.25">
      <c r="B414" s="3" t="s">
        <v>1187</v>
      </c>
      <c r="C414" s="3" t="s">
        <v>4</v>
      </c>
      <c r="D414" s="3" t="s">
        <v>1158</v>
      </c>
      <c r="E414" s="3" t="s">
        <v>71</v>
      </c>
      <c r="F414" s="3" t="s">
        <v>131</v>
      </c>
      <c r="G414" s="6">
        <v>35000</v>
      </c>
      <c r="H414" s="6">
        <f t="shared" si="10"/>
        <v>5338.9830508474552</v>
      </c>
      <c r="I414" s="3" t="s">
        <v>113</v>
      </c>
      <c r="O414"/>
      <c r="P414"/>
      <c r="R414" s="87"/>
      <c r="S414" s="87"/>
    </row>
    <row r="415" spans="2:19" hidden="1" x14ac:dyDescent="0.25">
      <c r="B415" s="3" t="s">
        <v>1171</v>
      </c>
      <c r="C415" s="3" t="s">
        <v>38</v>
      </c>
      <c r="D415" s="3" t="s">
        <v>1142</v>
      </c>
      <c r="E415" s="3" t="s">
        <v>71</v>
      </c>
      <c r="F415" s="3" t="s">
        <v>131</v>
      </c>
      <c r="G415" s="6">
        <v>40000</v>
      </c>
      <c r="H415" s="6">
        <f t="shared" si="10"/>
        <v>6101.6949152542365</v>
      </c>
      <c r="I415" s="3" t="s">
        <v>113</v>
      </c>
      <c r="O415"/>
      <c r="P415"/>
      <c r="R415" s="87"/>
      <c r="S415" s="87"/>
    </row>
    <row r="416" spans="2:19" hidden="1" x14ac:dyDescent="0.25">
      <c r="B416" s="3" t="s">
        <v>1227</v>
      </c>
      <c r="C416" s="3" t="s">
        <v>17</v>
      </c>
      <c r="D416" s="3" t="s">
        <v>1301</v>
      </c>
      <c r="E416" s="3" t="s">
        <v>71</v>
      </c>
      <c r="F416" s="3" t="s">
        <v>131</v>
      </c>
      <c r="G416" s="6">
        <v>400000</v>
      </c>
      <c r="H416" s="6">
        <f t="shared" si="10"/>
        <v>61016.949152542336</v>
      </c>
      <c r="I416" s="3" t="s">
        <v>113</v>
      </c>
      <c r="O416"/>
      <c r="P416"/>
      <c r="R416" s="87"/>
      <c r="S416" s="87"/>
    </row>
    <row r="417" spans="2:19" hidden="1" x14ac:dyDescent="0.25">
      <c r="B417" s="3" t="s">
        <v>1218</v>
      </c>
      <c r="C417" s="3" t="s">
        <v>33</v>
      </c>
      <c r="D417" s="3" t="s">
        <v>1292</v>
      </c>
      <c r="E417" s="3" t="s">
        <v>71</v>
      </c>
      <c r="F417" s="3" t="s">
        <v>131</v>
      </c>
      <c r="G417" s="6">
        <v>60000</v>
      </c>
      <c r="H417" s="6">
        <f t="shared" si="10"/>
        <v>9152.5423728813548</v>
      </c>
      <c r="I417" s="3" t="s">
        <v>113</v>
      </c>
      <c r="O417"/>
      <c r="P417"/>
      <c r="R417" s="87"/>
      <c r="S417" s="87"/>
    </row>
    <row r="418" spans="2:19" hidden="1" x14ac:dyDescent="0.25">
      <c r="B418" s="3" t="s">
        <v>1195</v>
      </c>
      <c r="C418" s="3" t="s">
        <v>32</v>
      </c>
      <c r="D418" s="3" t="s">
        <v>1275</v>
      </c>
      <c r="E418" s="3" t="s">
        <v>71</v>
      </c>
      <c r="F418" s="3" t="s">
        <v>131</v>
      </c>
      <c r="G418" s="6">
        <v>100000</v>
      </c>
      <c r="H418" s="6">
        <f t="shared" si="10"/>
        <v>15254.237288135584</v>
      </c>
      <c r="I418" s="3" t="s">
        <v>113</v>
      </c>
      <c r="O418"/>
      <c r="P418"/>
      <c r="R418" s="87"/>
      <c r="S418" s="87"/>
    </row>
    <row r="419" spans="2:19" hidden="1" x14ac:dyDescent="0.25">
      <c r="B419" s="3" t="s">
        <v>1211</v>
      </c>
      <c r="C419" s="3" t="s">
        <v>33</v>
      </c>
      <c r="D419" s="3" t="s">
        <v>1285</v>
      </c>
      <c r="E419" s="3" t="s">
        <v>71</v>
      </c>
      <c r="F419" s="3" t="s">
        <v>131</v>
      </c>
      <c r="G419" s="6">
        <v>30000</v>
      </c>
      <c r="H419" s="6">
        <f t="shared" si="10"/>
        <v>4576.2711864406774</v>
      </c>
      <c r="I419" s="3" t="s">
        <v>113</v>
      </c>
      <c r="O419"/>
      <c r="P419"/>
      <c r="R419" s="87"/>
      <c r="S419" s="87"/>
    </row>
    <row r="420" spans="2:19" hidden="1" x14ac:dyDescent="0.25">
      <c r="B420" s="3" t="s">
        <v>1225</v>
      </c>
      <c r="C420" s="3" t="s">
        <v>35</v>
      </c>
      <c r="D420" s="3" t="s">
        <v>1299</v>
      </c>
      <c r="E420" s="3" t="s">
        <v>71</v>
      </c>
      <c r="F420" s="3" t="s">
        <v>131</v>
      </c>
      <c r="G420" s="6">
        <v>40000</v>
      </c>
      <c r="H420" s="6">
        <f t="shared" si="10"/>
        <v>6101.6949152542365</v>
      </c>
      <c r="I420" s="3" t="s">
        <v>113</v>
      </c>
      <c r="O420"/>
      <c r="P420"/>
      <c r="R420" s="87"/>
      <c r="S420" s="87"/>
    </row>
    <row r="421" spans="2:19" hidden="1" x14ac:dyDescent="0.25">
      <c r="B421" s="3" t="s">
        <v>1231</v>
      </c>
      <c r="C421" s="3" t="s">
        <v>34</v>
      </c>
      <c r="D421" s="3" t="s">
        <v>1305</v>
      </c>
      <c r="E421" s="3" t="s">
        <v>71</v>
      </c>
      <c r="F421" s="3" t="s">
        <v>131</v>
      </c>
      <c r="G421" s="6">
        <v>50000</v>
      </c>
      <c r="H421" s="6">
        <f t="shared" si="10"/>
        <v>7627.118644067792</v>
      </c>
      <c r="I421" s="3" t="s">
        <v>113</v>
      </c>
      <c r="O421"/>
      <c r="P421"/>
      <c r="R421" s="87"/>
      <c r="S421" s="87"/>
    </row>
    <row r="422" spans="2:19" hidden="1" x14ac:dyDescent="0.25">
      <c r="B422" s="3" t="s">
        <v>1205</v>
      </c>
      <c r="C422" s="3" t="s">
        <v>17</v>
      </c>
      <c r="D422" s="3" t="s">
        <v>1168</v>
      </c>
      <c r="E422" s="3" t="s">
        <v>71</v>
      </c>
      <c r="F422" s="3" t="s">
        <v>131</v>
      </c>
      <c r="G422" s="6">
        <v>50000</v>
      </c>
      <c r="H422" s="6">
        <f t="shared" si="10"/>
        <v>7627.118644067792</v>
      </c>
      <c r="I422" s="3" t="s">
        <v>113</v>
      </c>
      <c r="O422"/>
      <c r="P422"/>
      <c r="R422" s="87"/>
      <c r="S422" s="87"/>
    </row>
    <row r="423" spans="2:19" hidden="1" x14ac:dyDescent="0.25">
      <c r="B423" s="3" t="s">
        <v>1207</v>
      </c>
      <c r="C423" s="3" t="s">
        <v>33</v>
      </c>
      <c r="D423" s="3" t="s">
        <v>1169</v>
      </c>
      <c r="E423" s="3" t="s">
        <v>71</v>
      </c>
      <c r="F423" s="3" t="s">
        <v>131</v>
      </c>
      <c r="G423" s="6">
        <v>50000</v>
      </c>
      <c r="H423" s="6">
        <f t="shared" si="10"/>
        <v>7627.118644067792</v>
      </c>
      <c r="I423" s="3" t="s">
        <v>113</v>
      </c>
      <c r="O423"/>
      <c r="P423"/>
      <c r="R423" s="87"/>
      <c r="S423" s="87"/>
    </row>
    <row r="424" spans="2:19" hidden="1" x14ac:dyDescent="0.25">
      <c r="B424" s="3" t="s">
        <v>1209</v>
      </c>
      <c r="C424" s="3" t="s">
        <v>35</v>
      </c>
      <c r="D424" s="3" t="s">
        <v>1283</v>
      </c>
      <c r="E424" s="3" t="s">
        <v>71</v>
      </c>
      <c r="F424" s="3" t="s">
        <v>131</v>
      </c>
      <c r="G424" s="6">
        <v>70000</v>
      </c>
      <c r="H424" s="6">
        <f t="shared" si="10"/>
        <v>10677.96610169491</v>
      </c>
      <c r="I424" s="3" t="s">
        <v>113</v>
      </c>
      <c r="O424"/>
      <c r="P424"/>
      <c r="R424" s="87"/>
      <c r="S424" s="87"/>
    </row>
    <row r="425" spans="2:19" hidden="1" x14ac:dyDescent="0.25">
      <c r="B425" s="3" t="s">
        <v>943</v>
      </c>
      <c r="C425" s="3" t="s">
        <v>96</v>
      </c>
      <c r="D425" s="3" t="s">
        <v>1727</v>
      </c>
      <c r="E425" s="3" t="s">
        <v>71</v>
      </c>
      <c r="F425" s="3" t="s">
        <v>131</v>
      </c>
      <c r="G425" s="6">
        <v>5000</v>
      </c>
      <c r="H425" s="6">
        <f t="shared" si="10"/>
        <v>762.71186440677957</v>
      </c>
      <c r="I425" s="3" t="s">
        <v>18</v>
      </c>
      <c r="J425" t="s">
        <v>1913</v>
      </c>
      <c r="N425">
        <v>39</v>
      </c>
      <c r="O425"/>
      <c r="P425" t="s">
        <v>1654</v>
      </c>
      <c r="R425" s="87"/>
      <c r="S425" s="87"/>
    </row>
    <row r="426" spans="2:19" hidden="1" x14ac:dyDescent="0.25">
      <c r="B426" s="3" t="s">
        <v>944</v>
      </c>
      <c r="C426" s="3" t="s">
        <v>96</v>
      </c>
      <c r="D426" s="3" t="s">
        <v>1902</v>
      </c>
      <c r="E426" s="3" t="s">
        <v>110</v>
      </c>
      <c r="F426" s="3" t="s">
        <v>131</v>
      </c>
      <c r="G426" s="6">
        <v>1389.5</v>
      </c>
      <c r="H426" s="6">
        <f t="shared" si="10"/>
        <v>211.95762711864404</v>
      </c>
      <c r="I426" s="3" t="s">
        <v>18</v>
      </c>
      <c r="J426" t="s">
        <v>1903</v>
      </c>
      <c r="O426"/>
      <c r="P426"/>
      <c r="R426" s="87"/>
      <c r="S426" s="87"/>
    </row>
    <row r="427" spans="2:19" hidden="1" x14ac:dyDescent="0.25">
      <c r="B427" s="3" t="s">
        <v>944</v>
      </c>
      <c r="C427" s="3" t="s">
        <v>96</v>
      </c>
      <c r="D427" s="3" t="s">
        <v>1905</v>
      </c>
      <c r="E427" s="3" t="s">
        <v>110</v>
      </c>
      <c r="F427" s="3" t="s">
        <v>131</v>
      </c>
      <c r="G427" s="6">
        <v>1370.25</v>
      </c>
      <c r="H427" s="6">
        <f t="shared" si="10"/>
        <v>209.02118644067787</v>
      </c>
      <c r="I427" s="3" t="s">
        <v>18</v>
      </c>
      <c r="J427" t="s">
        <v>1904</v>
      </c>
      <c r="O427"/>
      <c r="P427"/>
      <c r="R427" s="87"/>
      <c r="S427" s="87"/>
    </row>
    <row r="428" spans="2:19" hidden="1" x14ac:dyDescent="0.25">
      <c r="B428" s="3" t="s">
        <v>944</v>
      </c>
      <c r="C428" s="3" t="s">
        <v>96</v>
      </c>
      <c r="D428" s="3" t="s">
        <v>1907</v>
      </c>
      <c r="E428" s="3" t="s">
        <v>110</v>
      </c>
      <c r="F428" s="3" t="s">
        <v>131</v>
      </c>
      <c r="G428" s="6">
        <v>1214.5</v>
      </c>
      <c r="H428" s="6">
        <f t="shared" si="10"/>
        <v>185.26271186440681</v>
      </c>
      <c r="I428" s="3" t="s">
        <v>18</v>
      </c>
      <c r="J428" t="s">
        <v>1906</v>
      </c>
      <c r="O428"/>
      <c r="P428"/>
      <c r="R428" s="87"/>
      <c r="S428" s="87"/>
    </row>
    <row r="429" spans="2:19" hidden="1" x14ac:dyDescent="0.25">
      <c r="B429" s="3" t="s">
        <v>944</v>
      </c>
      <c r="C429" s="3" t="s">
        <v>96</v>
      </c>
      <c r="D429" s="3" t="s">
        <v>1909</v>
      </c>
      <c r="E429" s="3" t="s">
        <v>110</v>
      </c>
      <c r="F429" s="3" t="s">
        <v>131</v>
      </c>
      <c r="G429" s="6">
        <v>789.25</v>
      </c>
      <c r="H429" s="6">
        <f t="shared" si="10"/>
        <v>120.3940677966101</v>
      </c>
      <c r="I429" s="3" t="s">
        <v>18</v>
      </c>
      <c r="J429" t="s">
        <v>1908</v>
      </c>
      <c r="O429"/>
      <c r="P429"/>
      <c r="R429" s="87"/>
      <c r="S429" s="87"/>
    </row>
    <row r="430" spans="2:19" hidden="1" x14ac:dyDescent="0.25">
      <c r="B430" s="3" t="s">
        <v>944</v>
      </c>
      <c r="C430" s="3" t="s">
        <v>96</v>
      </c>
      <c r="D430" s="3" t="s">
        <v>1910</v>
      </c>
      <c r="E430" s="3" t="s">
        <v>110</v>
      </c>
      <c r="F430" s="3" t="s">
        <v>131</v>
      </c>
      <c r="G430" s="6">
        <v>778.75</v>
      </c>
      <c r="H430" s="6">
        <f t="shared" si="10"/>
        <v>118.79237288135585</v>
      </c>
      <c r="I430" s="3" t="s">
        <v>18</v>
      </c>
      <c r="J430" t="s">
        <v>1911</v>
      </c>
      <c r="O430"/>
      <c r="P430"/>
      <c r="R430" s="87"/>
      <c r="S430" s="87"/>
    </row>
    <row r="431" spans="2:19" hidden="1" x14ac:dyDescent="0.25">
      <c r="B431" s="3" t="s">
        <v>944</v>
      </c>
      <c r="C431" s="3" t="s">
        <v>96</v>
      </c>
      <c r="D431" s="3" t="s">
        <v>1914</v>
      </c>
      <c r="E431" s="3" t="s">
        <v>110</v>
      </c>
      <c r="F431" s="3" t="s">
        <v>131</v>
      </c>
      <c r="G431" s="6">
        <v>759.5</v>
      </c>
      <c r="H431" s="6">
        <f t="shared" si="10"/>
        <v>115.85593220338978</v>
      </c>
      <c r="I431" s="3" t="s">
        <v>18</v>
      </c>
      <c r="J431" t="s">
        <v>1915</v>
      </c>
      <c r="O431"/>
      <c r="P431"/>
      <c r="R431" s="87"/>
      <c r="S431" s="87"/>
    </row>
    <row r="432" spans="2:19" hidden="1" x14ac:dyDescent="0.25">
      <c r="B432" s="3" t="s">
        <v>944</v>
      </c>
      <c r="C432" s="3" t="s">
        <v>96</v>
      </c>
      <c r="D432" s="3" t="s">
        <v>1917</v>
      </c>
      <c r="E432" s="3" t="s">
        <v>110</v>
      </c>
      <c r="F432" s="3" t="s">
        <v>131</v>
      </c>
      <c r="G432" s="6">
        <v>2096.5</v>
      </c>
      <c r="H432" s="6">
        <f t="shared" si="10"/>
        <v>319.80508474576254</v>
      </c>
      <c r="I432" s="3" t="s">
        <v>18</v>
      </c>
      <c r="J432" t="s">
        <v>1916</v>
      </c>
      <c r="O432"/>
      <c r="P432"/>
      <c r="R432" s="87"/>
      <c r="S432" s="87"/>
    </row>
    <row r="433" spans="2:19" hidden="1" x14ac:dyDescent="0.25">
      <c r="B433" s="3" t="s">
        <v>944</v>
      </c>
      <c r="C433" s="3" t="s">
        <v>96</v>
      </c>
      <c r="D433" s="3" t="s">
        <v>1919</v>
      </c>
      <c r="E433" s="3" t="s">
        <v>110</v>
      </c>
      <c r="F433" s="3" t="s">
        <v>131</v>
      </c>
      <c r="G433" s="6">
        <v>2051</v>
      </c>
      <c r="H433" s="6">
        <f t="shared" si="10"/>
        <v>312.86440677966084</v>
      </c>
      <c r="I433" s="3" t="s">
        <v>18</v>
      </c>
      <c r="J433" t="s">
        <v>1918</v>
      </c>
      <c r="O433"/>
      <c r="P433"/>
      <c r="R433" s="87"/>
      <c r="S433" s="87"/>
    </row>
    <row r="434" spans="2:19" hidden="1" x14ac:dyDescent="0.25">
      <c r="B434" s="3" t="s">
        <v>944</v>
      </c>
      <c r="C434" s="3" t="s">
        <v>96</v>
      </c>
      <c r="D434" s="3" t="s">
        <v>1920</v>
      </c>
      <c r="E434" s="3" t="s">
        <v>110</v>
      </c>
      <c r="F434" s="3" t="s">
        <v>131</v>
      </c>
      <c r="G434" s="6">
        <v>2070.25</v>
      </c>
      <c r="H434" s="6">
        <f t="shared" si="10"/>
        <v>315.80084745762701</v>
      </c>
      <c r="I434" s="3" t="s">
        <v>18</v>
      </c>
      <c r="J434" t="s">
        <v>1921</v>
      </c>
      <c r="K434" s="19"/>
      <c r="O434"/>
      <c r="P434"/>
      <c r="R434" s="87"/>
      <c r="S434" s="87"/>
    </row>
    <row r="435" spans="2:19" hidden="1" x14ac:dyDescent="0.25">
      <c r="B435" s="3" t="s">
        <v>944</v>
      </c>
      <c r="C435" s="3" t="s">
        <v>96</v>
      </c>
      <c r="D435" s="3" t="s">
        <v>1923</v>
      </c>
      <c r="E435" s="3" t="s">
        <v>110</v>
      </c>
      <c r="F435" s="3" t="s">
        <v>131</v>
      </c>
      <c r="G435" s="6">
        <v>866.25</v>
      </c>
      <c r="H435" s="6">
        <f t="shared" si="10"/>
        <v>132.13983050847457</v>
      </c>
      <c r="I435" s="3" t="s">
        <v>18</v>
      </c>
      <c r="J435" t="s">
        <v>1922</v>
      </c>
      <c r="O435"/>
      <c r="P435"/>
      <c r="R435" s="87"/>
      <c r="S435" s="87"/>
    </row>
    <row r="436" spans="2:19" hidden="1" x14ac:dyDescent="0.25">
      <c r="B436" s="3" t="s">
        <v>944</v>
      </c>
      <c r="C436" s="3" t="s">
        <v>96</v>
      </c>
      <c r="D436" s="3" t="s">
        <v>1925</v>
      </c>
      <c r="E436" s="3" t="s">
        <v>110</v>
      </c>
      <c r="F436" s="3" t="s">
        <v>131</v>
      </c>
      <c r="G436" s="6">
        <v>1550.5</v>
      </c>
      <c r="H436" s="6">
        <f t="shared" si="10"/>
        <v>236.51694915254234</v>
      </c>
      <c r="I436" s="3" t="s">
        <v>18</v>
      </c>
      <c r="J436" t="s">
        <v>1924</v>
      </c>
      <c r="O436"/>
      <c r="P436"/>
      <c r="R436" s="87"/>
      <c r="S436" s="87"/>
    </row>
    <row r="437" spans="2:19" hidden="1" x14ac:dyDescent="0.25">
      <c r="B437" s="3" t="s">
        <v>716</v>
      </c>
      <c r="C437" s="3" t="s">
        <v>96</v>
      </c>
      <c r="D437" s="3" t="s">
        <v>1927</v>
      </c>
      <c r="E437" s="3" t="s">
        <v>110</v>
      </c>
      <c r="F437" s="3" t="s">
        <v>131</v>
      </c>
      <c r="G437" s="6">
        <v>1312.5</v>
      </c>
      <c r="H437" s="6">
        <f t="shared" si="10"/>
        <v>200.21186440677957</v>
      </c>
      <c r="I437" s="3" t="s">
        <v>18</v>
      </c>
      <c r="J437" t="s">
        <v>1926</v>
      </c>
      <c r="O437"/>
      <c r="P437"/>
      <c r="R437" s="87"/>
      <c r="S437" s="87"/>
    </row>
    <row r="438" spans="2:19" hidden="1" x14ac:dyDescent="0.25">
      <c r="B438" s="3" t="s">
        <v>731</v>
      </c>
      <c r="C438" s="3" t="s">
        <v>96</v>
      </c>
      <c r="D438" s="3" t="s">
        <v>2038</v>
      </c>
      <c r="E438" s="3" t="s">
        <v>110</v>
      </c>
      <c r="F438" s="3" t="s">
        <v>131</v>
      </c>
      <c r="G438" s="6">
        <v>2247</v>
      </c>
      <c r="H438" s="6">
        <f t="shared" si="10"/>
        <v>342.76271186440658</v>
      </c>
      <c r="I438" s="3" t="s">
        <v>18</v>
      </c>
      <c r="J438" t="s">
        <v>2037</v>
      </c>
      <c r="O438"/>
      <c r="P438"/>
      <c r="R438" s="87"/>
      <c r="S438" s="87"/>
    </row>
    <row r="439" spans="2:19" hidden="1" x14ac:dyDescent="0.25">
      <c r="B439" s="3" t="s">
        <v>936</v>
      </c>
      <c r="C439" s="3" t="s">
        <v>96</v>
      </c>
      <c r="D439" s="3" t="s">
        <v>1930</v>
      </c>
      <c r="E439" s="3" t="s">
        <v>110</v>
      </c>
      <c r="F439" s="3" t="s">
        <v>131</v>
      </c>
      <c r="G439" s="6">
        <v>1274</v>
      </c>
      <c r="H439" s="6">
        <f t="shared" si="10"/>
        <v>194.33898305084745</v>
      </c>
      <c r="I439" s="3" t="s">
        <v>18</v>
      </c>
      <c r="J439" t="s">
        <v>1928</v>
      </c>
      <c r="O439"/>
      <c r="P439"/>
      <c r="R439" s="87"/>
      <c r="S439" s="87"/>
    </row>
    <row r="440" spans="2:19" hidden="1" x14ac:dyDescent="0.25">
      <c r="B440" s="3" t="s">
        <v>936</v>
      </c>
      <c r="C440" s="3" t="s">
        <v>96</v>
      </c>
      <c r="D440" s="3" t="s">
        <v>1931</v>
      </c>
      <c r="E440" s="3" t="s">
        <v>110</v>
      </c>
      <c r="F440" s="3" t="s">
        <v>131</v>
      </c>
      <c r="G440" s="6">
        <v>1610</v>
      </c>
      <c r="H440" s="6">
        <f t="shared" si="10"/>
        <v>245.59322033898297</v>
      </c>
      <c r="I440" s="3" t="s">
        <v>18</v>
      </c>
      <c r="J440" t="s">
        <v>1929</v>
      </c>
      <c r="O440"/>
      <c r="P440"/>
      <c r="R440" s="87"/>
      <c r="S440" s="87"/>
    </row>
    <row r="441" spans="2:19" hidden="1" x14ac:dyDescent="0.25">
      <c r="B441" s="3" t="s">
        <v>1542</v>
      </c>
      <c r="C441" s="3" t="s">
        <v>56</v>
      </c>
      <c r="D441" s="3" t="s">
        <v>534</v>
      </c>
      <c r="E441" s="3" t="s">
        <v>105</v>
      </c>
      <c r="F441" s="3" t="s">
        <v>131</v>
      </c>
      <c r="G441" s="6">
        <v>2215.4899999999998</v>
      </c>
      <c r="H441" s="6">
        <f t="shared" si="10"/>
        <v>337.95610169491511</v>
      </c>
      <c r="I441" s="3" t="s">
        <v>18</v>
      </c>
      <c r="O441"/>
      <c r="P441"/>
      <c r="R441" s="87"/>
      <c r="S441" s="87"/>
    </row>
    <row r="442" spans="2:19" hidden="1" x14ac:dyDescent="0.25">
      <c r="B442" s="3" t="s">
        <v>828</v>
      </c>
      <c r="C442" s="3" t="s">
        <v>30</v>
      </c>
      <c r="D442" s="3" t="s">
        <v>906</v>
      </c>
      <c r="E442" s="3" t="s">
        <v>87</v>
      </c>
      <c r="F442" s="3" t="s">
        <v>131</v>
      </c>
      <c r="G442" s="6">
        <v>39016.31</v>
      </c>
      <c r="H442" s="6">
        <f t="shared" si="10"/>
        <v>5951.6405084745711</v>
      </c>
      <c r="I442" s="3" t="s">
        <v>113</v>
      </c>
      <c r="O442"/>
      <c r="P442"/>
      <c r="R442" s="87"/>
      <c r="S442" s="87"/>
    </row>
    <row r="443" spans="2:19" hidden="1" x14ac:dyDescent="0.25">
      <c r="B443" s="3" t="s">
        <v>817</v>
      </c>
      <c r="C443" s="3" t="s">
        <v>30</v>
      </c>
      <c r="D443" s="3" t="s">
        <v>895</v>
      </c>
      <c r="E443" s="3" t="s">
        <v>87</v>
      </c>
      <c r="F443" s="3" t="s">
        <v>131</v>
      </c>
      <c r="G443" s="6">
        <v>11942.65</v>
      </c>
      <c r="H443" s="6">
        <f t="shared" si="10"/>
        <v>1821.7601694915247</v>
      </c>
      <c r="I443" s="3" t="s">
        <v>113</v>
      </c>
      <c r="J443" s="5"/>
      <c r="O443"/>
      <c r="P443"/>
      <c r="R443" s="87"/>
      <c r="S443" s="87"/>
    </row>
    <row r="444" spans="2:19" hidden="1" x14ac:dyDescent="0.25">
      <c r="B444" s="3" t="s">
        <v>819</v>
      </c>
      <c r="C444" s="3" t="s">
        <v>30</v>
      </c>
      <c r="D444" s="3" t="s">
        <v>897</v>
      </c>
      <c r="E444" s="3" t="s">
        <v>87</v>
      </c>
      <c r="F444" s="3" t="s">
        <v>131</v>
      </c>
      <c r="G444" s="6">
        <v>45483.5</v>
      </c>
      <c r="H444" s="6">
        <f t="shared" si="10"/>
        <v>6938.1610169491541</v>
      </c>
      <c r="I444" s="3" t="s">
        <v>113</v>
      </c>
      <c r="O444"/>
      <c r="P444"/>
      <c r="R444" s="87"/>
      <c r="S444" s="87"/>
    </row>
    <row r="445" spans="2:19" hidden="1" x14ac:dyDescent="0.25">
      <c r="B445" s="3" t="s">
        <v>794</v>
      </c>
      <c r="C445" s="3" t="s">
        <v>57</v>
      </c>
      <c r="D445" s="3" t="s">
        <v>872</v>
      </c>
      <c r="E445" s="3" t="s">
        <v>87</v>
      </c>
      <c r="F445" s="3" t="s">
        <v>131</v>
      </c>
      <c r="G445" s="6">
        <v>33858.1</v>
      </c>
      <c r="H445" s="6">
        <f t="shared" si="10"/>
        <v>5164.7949152542351</v>
      </c>
      <c r="I445" s="3" t="s">
        <v>113</v>
      </c>
      <c r="J445" s="79"/>
      <c r="O445"/>
      <c r="P445"/>
      <c r="R445" s="87"/>
      <c r="S445" s="87"/>
    </row>
    <row r="446" spans="2:19" hidden="1" x14ac:dyDescent="0.25">
      <c r="B446" s="3" t="s">
        <v>774</v>
      </c>
      <c r="C446" s="3" t="s">
        <v>88</v>
      </c>
      <c r="D446" s="3" t="s">
        <v>775</v>
      </c>
      <c r="E446" s="3" t="s">
        <v>87</v>
      </c>
      <c r="F446" s="3" t="s">
        <v>131</v>
      </c>
      <c r="G446" s="6">
        <v>37721.14</v>
      </c>
      <c r="H446" s="6">
        <f t="shared" si="10"/>
        <v>5754.0722033898273</v>
      </c>
      <c r="I446" s="3" t="s">
        <v>18</v>
      </c>
      <c r="O446"/>
      <c r="P446"/>
      <c r="R446" s="87"/>
      <c r="S446" s="87"/>
    </row>
    <row r="447" spans="2:19" hidden="1" x14ac:dyDescent="0.25">
      <c r="B447" s="3" t="s">
        <v>739</v>
      </c>
      <c r="C447" s="3" t="s">
        <v>103</v>
      </c>
      <c r="D447" s="3" t="s">
        <v>743</v>
      </c>
      <c r="E447" s="3" t="s">
        <v>87</v>
      </c>
      <c r="F447" s="3" t="s">
        <v>131</v>
      </c>
      <c r="G447" s="6">
        <v>3546.04</v>
      </c>
      <c r="H447" s="6">
        <f t="shared" si="10"/>
        <v>540.92135593220337</v>
      </c>
      <c r="I447" s="3" t="s">
        <v>18</v>
      </c>
      <c r="O447"/>
      <c r="P447"/>
      <c r="R447" s="87"/>
      <c r="S447" s="87"/>
    </row>
    <row r="448" spans="2:19" hidden="1" x14ac:dyDescent="0.25">
      <c r="B448" s="3" t="s">
        <v>1521</v>
      </c>
      <c r="C448" s="3" t="s">
        <v>94</v>
      </c>
      <c r="D448" s="3" t="s">
        <v>280</v>
      </c>
      <c r="E448" s="3" t="s">
        <v>90</v>
      </c>
      <c r="F448" s="3" t="s">
        <v>127</v>
      </c>
      <c r="G448" s="6">
        <v>2103.5</v>
      </c>
      <c r="H448" s="6">
        <f t="shared" si="10"/>
        <v>320.87288135593212</v>
      </c>
      <c r="I448" s="3" t="s">
        <v>18</v>
      </c>
      <c r="J448" s="16"/>
      <c r="K448" s="16"/>
      <c r="O448"/>
      <c r="P448"/>
      <c r="R448" s="87"/>
      <c r="S448" s="87"/>
    </row>
    <row r="449" spans="2:19" x14ac:dyDescent="0.25">
      <c r="B449" s="3" t="s">
        <v>1528</v>
      </c>
      <c r="C449" s="3" t="s">
        <v>74</v>
      </c>
      <c r="D449" s="3" t="s">
        <v>304</v>
      </c>
      <c r="E449" s="3" t="s">
        <v>90</v>
      </c>
      <c r="F449" s="3" t="s">
        <v>125</v>
      </c>
      <c r="G449" s="6">
        <v>1863</v>
      </c>
      <c r="H449" s="6">
        <f t="shared" si="10"/>
        <v>284.18644067796595</v>
      </c>
      <c r="I449" s="3" t="s">
        <v>18</v>
      </c>
      <c r="O449"/>
      <c r="P449"/>
      <c r="R449" s="87"/>
      <c r="S449" s="87"/>
    </row>
    <row r="450" spans="2:19" hidden="1" x14ac:dyDescent="0.25">
      <c r="B450" s="3" t="s">
        <v>1507</v>
      </c>
      <c r="C450" s="3" t="s">
        <v>42</v>
      </c>
      <c r="D450" s="3" t="s">
        <v>1680</v>
      </c>
      <c r="E450" s="3" t="s">
        <v>90</v>
      </c>
      <c r="F450" s="3" t="s">
        <v>127</v>
      </c>
      <c r="G450" s="6">
        <v>1782</v>
      </c>
      <c r="H450" s="6">
        <f t="shared" si="10"/>
        <v>271.83050847457616</v>
      </c>
      <c r="I450" s="3" t="s">
        <v>113</v>
      </c>
      <c r="J450" s="78"/>
      <c r="K450" s="78"/>
      <c r="O450"/>
      <c r="P450"/>
      <c r="R450" s="87"/>
      <c r="S450" s="87"/>
    </row>
    <row r="451" spans="2:19" hidden="1" x14ac:dyDescent="0.25">
      <c r="B451" s="3" t="s">
        <v>1451</v>
      </c>
      <c r="C451" s="3" t="s">
        <v>42</v>
      </c>
      <c r="D451" s="3" t="s">
        <v>1341</v>
      </c>
      <c r="E451" s="3" t="s">
        <v>90</v>
      </c>
      <c r="F451" s="3" t="s">
        <v>133</v>
      </c>
      <c r="G451" s="6">
        <v>1782</v>
      </c>
      <c r="H451" s="29">
        <f t="shared" si="10"/>
        <v>271.83050847457616</v>
      </c>
      <c r="I451" s="3" t="s">
        <v>113</v>
      </c>
      <c r="O451"/>
      <c r="P451"/>
      <c r="R451" s="87"/>
      <c r="S451" s="87"/>
    </row>
    <row r="452" spans="2:19" hidden="1" x14ac:dyDescent="0.25">
      <c r="B452" s="3" t="s">
        <v>1467</v>
      </c>
      <c r="C452" s="3" t="s">
        <v>41</v>
      </c>
      <c r="D452" s="3" t="s">
        <v>1355</v>
      </c>
      <c r="E452" s="3" t="s">
        <v>90</v>
      </c>
      <c r="F452" s="3" t="s">
        <v>131</v>
      </c>
      <c r="G452" s="6">
        <v>1500.8</v>
      </c>
      <c r="H452" s="6">
        <f t="shared" si="10"/>
        <v>228.93559322033889</v>
      </c>
      <c r="I452" s="3" t="s">
        <v>113</v>
      </c>
      <c r="O452"/>
      <c r="P452"/>
      <c r="R452" s="87"/>
      <c r="S452" s="87"/>
    </row>
    <row r="453" spans="2:19" hidden="1" x14ac:dyDescent="0.25">
      <c r="B453" s="3" t="s">
        <v>1473</v>
      </c>
      <c r="C453" s="3" t="s">
        <v>40</v>
      </c>
      <c r="D453" s="3" t="s">
        <v>1361</v>
      </c>
      <c r="E453" s="3" t="s">
        <v>90</v>
      </c>
      <c r="F453" s="3" t="s">
        <v>131</v>
      </c>
      <c r="G453" s="6">
        <v>1393.6</v>
      </c>
      <c r="H453" s="6">
        <f t="shared" si="10"/>
        <v>212.58305084745757</v>
      </c>
      <c r="I453" s="3" t="s">
        <v>113</v>
      </c>
      <c r="O453"/>
      <c r="P453"/>
      <c r="R453" s="87"/>
      <c r="S453" s="87"/>
    </row>
    <row r="454" spans="2:19" hidden="1" x14ac:dyDescent="0.25">
      <c r="B454" s="3" t="s">
        <v>1968</v>
      </c>
      <c r="C454" s="3" t="s">
        <v>88</v>
      </c>
      <c r="D454" s="3" t="s">
        <v>1967</v>
      </c>
      <c r="E454" s="3" t="s">
        <v>87</v>
      </c>
      <c r="F454" s="3" t="s">
        <v>133</v>
      </c>
      <c r="G454" s="6">
        <v>302787</v>
      </c>
      <c r="H454" s="86">
        <f t="shared" si="10"/>
        <v>46187.847457627096</v>
      </c>
      <c r="I454" s="3" t="s">
        <v>18</v>
      </c>
      <c r="O454"/>
      <c r="P454"/>
    </row>
    <row r="455" spans="2:19" hidden="1" x14ac:dyDescent="0.25">
      <c r="B455" s="3" t="s">
        <v>1475</v>
      </c>
      <c r="C455" s="3" t="s">
        <v>40</v>
      </c>
      <c r="D455" s="3" t="s">
        <v>1363</v>
      </c>
      <c r="E455" s="3" t="s">
        <v>90</v>
      </c>
      <c r="F455" s="3" t="s">
        <v>131</v>
      </c>
      <c r="G455" s="6">
        <v>1265.98</v>
      </c>
      <c r="H455" s="6">
        <f t="shared" si="10"/>
        <v>193.11559322033895</v>
      </c>
      <c r="I455" s="3" t="s">
        <v>113</v>
      </c>
      <c r="O455"/>
      <c r="P455"/>
      <c r="R455" s="87"/>
      <c r="S455" s="87"/>
    </row>
    <row r="456" spans="2:19" hidden="1" x14ac:dyDescent="0.25">
      <c r="B456" s="3" t="s">
        <v>699</v>
      </c>
      <c r="C456" s="3" t="s">
        <v>95</v>
      </c>
      <c r="D456" s="3" t="s">
        <v>698</v>
      </c>
      <c r="E456" s="3" t="s">
        <v>90</v>
      </c>
      <c r="F456" s="3" t="s">
        <v>122</v>
      </c>
      <c r="G456" s="6">
        <v>1215</v>
      </c>
      <c r="H456" s="6">
        <f t="shared" si="10"/>
        <v>185.33898305084745</v>
      </c>
      <c r="I456" s="6" t="s">
        <v>18</v>
      </c>
      <c r="O456"/>
      <c r="P456"/>
      <c r="R456" s="87"/>
      <c r="S456" s="87"/>
    </row>
    <row r="457" spans="2:19" hidden="1" x14ac:dyDescent="0.25">
      <c r="B457" s="3" t="s">
        <v>1493</v>
      </c>
      <c r="C457" s="3" t="s">
        <v>43</v>
      </c>
      <c r="D457" s="3" t="s">
        <v>1381</v>
      </c>
      <c r="E457" s="3" t="s">
        <v>90</v>
      </c>
      <c r="F457" s="3" t="s">
        <v>133</v>
      </c>
      <c r="G457" s="6">
        <v>1138.3699999999999</v>
      </c>
      <c r="H457" s="86">
        <f t="shared" si="10"/>
        <v>173.64966101694904</v>
      </c>
      <c r="I457" s="3" t="s">
        <v>113</v>
      </c>
      <c r="O457"/>
      <c r="P457"/>
      <c r="R457" s="87"/>
      <c r="S457" s="87"/>
    </row>
    <row r="458" spans="2:19" hidden="1" x14ac:dyDescent="0.25">
      <c r="B458" s="3" t="s">
        <v>1616</v>
      </c>
      <c r="C458" s="3" t="s">
        <v>93</v>
      </c>
      <c r="D458" s="3" t="s">
        <v>1617</v>
      </c>
      <c r="E458" s="3" t="s">
        <v>75</v>
      </c>
      <c r="F458" s="3" t="s">
        <v>133</v>
      </c>
      <c r="G458" s="6">
        <v>295297</v>
      </c>
      <c r="H458" s="86">
        <f t="shared" si="10"/>
        <v>45045.305084745749</v>
      </c>
      <c r="I458" s="3" t="s">
        <v>18</v>
      </c>
      <c r="O458"/>
      <c r="P458"/>
      <c r="R458" s="87"/>
      <c r="S458" s="87"/>
    </row>
    <row r="459" spans="2:19" hidden="1" x14ac:dyDescent="0.25">
      <c r="B459" s="3" t="s">
        <v>1543</v>
      </c>
      <c r="C459" s="3" t="s">
        <v>91</v>
      </c>
      <c r="D459" s="3" t="s">
        <v>533</v>
      </c>
      <c r="E459" s="3" t="s">
        <v>105</v>
      </c>
      <c r="F459" s="3" t="s">
        <v>131</v>
      </c>
      <c r="G459" s="6">
        <v>68105.320000000007</v>
      </c>
      <c r="H459" s="6">
        <f t="shared" si="10"/>
        <v>10388.947118644064</v>
      </c>
      <c r="I459" s="3" t="s">
        <v>18</v>
      </c>
      <c r="O459"/>
      <c r="P459"/>
      <c r="R459" s="87"/>
      <c r="S459" s="87"/>
    </row>
    <row r="460" spans="2:19" hidden="1" x14ac:dyDescent="0.25">
      <c r="B460" s="3" t="s">
        <v>770</v>
      </c>
      <c r="C460" s="3" t="s">
        <v>88</v>
      </c>
      <c r="D460" s="3" t="s">
        <v>777</v>
      </c>
      <c r="E460" s="3" t="s">
        <v>87</v>
      </c>
      <c r="F460" s="3" t="s">
        <v>133</v>
      </c>
      <c r="G460" s="6">
        <v>284513.17</v>
      </c>
      <c r="H460" s="86">
        <f t="shared" si="10"/>
        <v>43400.3140677966</v>
      </c>
      <c r="I460" s="3" t="s">
        <v>18</v>
      </c>
      <c r="O460"/>
      <c r="P460"/>
      <c r="R460" s="87"/>
      <c r="S460" s="87"/>
    </row>
    <row r="461" spans="2:19" hidden="1" x14ac:dyDescent="0.25">
      <c r="B461" s="3" t="s">
        <v>1451</v>
      </c>
      <c r="C461" s="3" t="s">
        <v>42</v>
      </c>
      <c r="D461" s="3" t="s">
        <v>1341</v>
      </c>
      <c r="E461" s="3" t="s">
        <v>90</v>
      </c>
      <c r="F461" s="3" t="s">
        <v>131</v>
      </c>
      <c r="G461" s="6">
        <v>1134</v>
      </c>
      <c r="H461" s="6">
        <f t="shared" si="10"/>
        <v>172.98305084745755</v>
      </c>
      <c r="I461" s="3" t="s">
        <v>113</v>
      </c>
      <c r="O461"/>
      <c r="P461"/>
      <c r="R461" s="87"/>
      <c r="S461" s="87"/>
    </row>
    <row r="462" spans="2:19" hidden="1" x14ac:dyDescent="0.25">
      <c r="B462" s="3" t="s">
        <v>911</v>
      </c>
      <c r="C462" s="3" t="s">
        <v>29</v>
      </c>
      <c r="D462" s="3" t="s">
        <v>909</v>
      </c>
      <c r="E462" s="3" t="s">
        <v>141</v>
      </c>
      <c r="F462" s="3" t="s">
        <v>133</v>
      </c>
      <c r="G462" s="6">
        <v>200000</v>
      </c>
      <c r="H462" s="29">
        <f t="shared" si="10"/>
        <v>30508.474576271168</v>
      </c>
      <c r="I462" s="3" t="s">
        <v>113</v>
      </c>
      <c r="O462"/>
      <c r="P462"/>
      <c r="R462" s="87"/>
      <c r="S462" s="87"/>
    </row>
    <row r="463" spans="2:19" hidden="1" x14ac:dyDescent="0.25">
      <c r="B463" s="3" t="s">
        <v>1981</v>
      </c>
      <c r="C463" s="3" t="s">
        <v>92</v>
      </c>
      <c r="D463" s="3" t="s">
        <v>1979</v>
      </c>
      <c r="E463" s="3" t="s">
        <v>87</v>
      </c>
      <c r="F463" s="3" t="s">
        <v>133</v>
      </c>
      <c r="G463" s="6">
        <v>197443.07</v>
      </c>
      <c r="H463" s="86">
        <f t="shared" si="10"/>
        <v>30118.434406779648</v>
      </c>
      <c r="I463" s="3" t="s">
        <v>18</v>
      </c>
      <c r="O463"/>
      <c r="P463"/>
      <c r="R463" s="87"/>
      <c r="S463" s="87"/>
    </row>
    <row r="464" spans="2:19" hidden="1" x14ac:dyDescent="0.25">
      <c r="B464" s="3" t="s">
        <v>1694</v>
      </c>
      <c r="C464" s="3" t="s">
        <v>47</v>
      </c>
      <c r="D464" s="3" t="s">
        <v>1693</v>
      </c>
      <c r="E464" s="3" t="s">
        <v>115</v>
      </c>
      <c r="F464" s="3" t="s">
        <v>133</v>
      </c>
      <c r="G464" s="6">
        <v>195000</v>
      </c>
      <c r="H464" s="29">
        <f t="shared" si="10"/>
        <v>29745.762711864401</v>
      </c>
      <c r="I464" s="3" t="s">
        <v>113</v>
      </c>
      <c r="O464"/>
      <c r="P464"/>
      <c r="R464" s="87"/>
      <c r="S464" s="87"/>
    </row>
    <row r="465" spans="2:19" hidden="1" x14ac:dyDescent="0.25">
      <c r="B465" s="3" t="s">
        <v>1195</v>
      </c>
      <c r="C465" s="3" t="s">
        <v>32</v>
      </c>
      <c r="D465" s="3" t="s">
        <v>1275</v>
      </c>
      <c r="E465" s="3" t="s">
        <v>71</v>
      </c>
      <c r="F465" s="3" t="s">
        <v>133</v>
      </c>
      <c r="G465" s="6">
        <v>180000</v>
      </c>
      <c r="H465" s="29">
        <f t="shared" si="10"/>
        <v>27457.627118644072</v>
      </c>
      <c r="I465" s="3" t="s">
        <v>113</v>
      </c>
      <c r="O465"/>
      <c r="P465"/>
      <c r="R465" s="87"/>
      <c r="S465" s="87"/>
    </row>
    <row r="466" spans="2:19" hidden="1" x14ac:dyDescent="0.25">
      <c r="B466" s="3" t="s">
        <v>1714</v>
      </c>
      <c r="C466" s="3" t="s">
        <v>21</v>
      </c>
      <c r="D466" s="3" t="s">
        <v>924</v>
      </c>
      <c r="E466" s="3" t="s">
        <v>115</v>
      </c>
      <c r="F466" s="3" t="s">
        <v>133</v>
      </c>
      <c r="G466" s="6">
        <v>150000</v>
      </c>
      <c r="H466" s="29">
        <f t="shared" si="10"/>
        <v>22881.355932203383</v>
      </c>
      <c r="I466" s="3" t="s">
        <v>113</v>
      </c>
      <c r="O466"/>
      <c r="P466"/>
      <c r="R466" s="87"/>
      <c r="S466" s="87"/>
    </row>
    <row r="467" spans="2:19" hidden="1" x14ac:dyDescent="0.25">
      <c r="B467" s="3" t="s">
        <v>807</v>
      </c>
      <c r="C467" s="3" t="s">
        <v>56</v>
      </c>
      <c r="D467" s="3" t="s">
        <v>885</v>
      </c>
      <c r="E467" s="3" t="s">
        <v>87</v>
      </c>
      <c r="F467" s="3" t="s">
        <v>133</v>
      </c>
      <c r="G467" s="6">
        <v>130686.22</v>
      </c>
      <c r="H467" s="86">
        <f t="shared" si="10"/>
        <v>19935.186101694911</v>
      </c>
      <c r="I467" s="3" t="s">
        <v>113</v>
      </c>
      <c r="O467"/>
      <c r="P467"/>
      <c r="R467" s="87"/>
      <c r="S467" s="87"/>
    </row>
    <row r="468" spans="2:19" hidden="1" x14ac:dyDescent="0.25">
      <c r="B468" s="3" t="s">
        <v>1233</v>
      </c>
      <c r="C468" s="3" t="s">
        <v>34</v>
      </c>
      <c r="D468" s="3" t="s">
        <v>1307</v>
      </c>
      <c r="E468" s="3" t="s">
        <v>71</v>
      </c>
      <c r="F468" s="3" t="s">
        <v>133</v>
      </c>
      <c r="G468" s="6">
        <v>106547</v>
      </c>
      <c r="H468" s="86">
        <f t="shared" si="10"/>
        <v>16252.932203389821</v>
      </c>
      <c r="I468" s="3" t="s">
        <v>113</v>
      </c>
      <c r="O468"/>
      <c r="P468"/>
      <c r="R468" s="87"/>
      <c r="S468" s="87"/>
    </row>
    <row r="469" spans="2:19" hidden="1" x14ac:dyDescent="0.25">
      <c r="B469" s="3" t="s">
        <v>945</v>
      </c>
      <c r="C469" s="3" t="s">
        <v>96</v>
      </c>
      <c r="D469" s="3" t="s">
        <v>1942</v>
      </c>
      <c r="E469" s="3" t="s">
        <v>71</v>
      </c>
      <c r="F469" s="3" t="s">
        <v>133</v>
      </c>
      <c r="G469" s="6">
        <v>80000</v>
      </c>
      <c r="H469" s="29">
        <f t="shared" si="10"/>
        <v>12203.389830508473</v>
      </c>
      <c r="I469" s="3" t="s">
        <v>18</v>
      </c>
      <c r="J469" t="s">
        <v>1940</v>
      </c>
      <c r="O469"/>
      <c r="P469" t="s">
        <v>1641</v>
      </c>
      <c r="R469" s="87"/>
      <c r="S469" s="87"/>
    </row>
    <row r="470" spans="2:19" hidden="1" x14ac:dyDescent="0.25">
      <c r="B470" s="3" t="s">
        <v>945</v>
      </c>
      <c r="C470" s="3" t="s">
        <v>96</v>
      </c>
      <c r="D470" s="3" t="s">
        <v>1943</v>
      </c>
      <c r="E470" s="3" t="s">
        <v>71</v>
      </c>
      <c r="F470" s="3" t="s">
        <v>133</v>
      </c>
      <c r="G470" s="6">
        <v>80000</v>
      </c>
      <c r="H470" s="29">
        <f t="shared" si="10"/>
        <v>12203.389830508473</v>
      </c>
      <c r="I470" s="3" t="s">
        <v>18</v>
      </c>
      <c r="J470" t="s">
        <v>1941</v>
      </c>
      <c r="O470"/>
      <c r="P470" t="s">
        <v>1641</v>
      </c>
      <c r="R470" s="87"/>
      <c r="S470" s="87"/>
    </row>
    <row r="471" spans="2:19" hidden="1" x14ac:dyDescent="0.25">
      <c r="B471" s="3" t="s">
        <v>1191</v>
      </c>
      <c r="C471" s="3" t="s">
        <v>4</v>
      </c>
      <c r="D471" s="3" t="s">
        <v>1162</v>
      </c>
      <c r="E471" s="3" t="s">
        <v>71</v>
      </c>
      <c r="F471" s="3" t="s">
        <v>133</v>
      </c>
      <c r="G471" s="6">
        <v>62490</v>
      </c>
      <c r="H471" s="86">
        <f t="shared" ref="H471:H534" si="11">G471-G471/1.18</f>
        <v>9532.3728813559283</v>
      </c>
      <c r="I471" s="3" t="s">
        <v>113</v>
      </c>
      <c r="O471"/>
      <c r="P471"/>
      <c r="R471" s="87"/>
      <c r="S471" s="87"/>
    </row>
    <row r="472" spans="2:19" hidden="1" x14ac:dyDescent="0.25">
      <c r="B472" s="3" t="s">
        <v>1568</v>
      </c>
      <c r="C472" s="3" t="s">
        <v>50</v>
      </c>
      <c r="D472" s="3" t="s">
        <v>341</v>
      </c>
      <c r="E472" s="3" t="s">
        <v>71</v>
      </c>
      <c r="F472" s="3" t="s">
        <v>133</v>
      </c>
      <c r="G472" s="6">
        <v>60000</v>
      </c>
      <c r="H472" s="29">
        <f t="shared" si="11"/>
        <v>9152.5423728813548</v>
      </c>
      <c r="I472" s="3" t="s">
        <v>18</v>
      </c>
      <c r="O472"/>
      <c r="P472"/>
      <c r="R472" s="87"/>
      <c r="S472" s="87"/>
    </row>
    <row r="473" spans="2:19" hidden="1" x14ac:dyDescent="0.25">
      <c r="B473" s="3" t="s">
        <v>736</v>
      </c>
      <c r="C473" s="3" t="s">
        <v>88</v>
      </c>
      <c r="D473" s="3" t="s">
        <v>741</v>
      </c>
      <c r="E473" s="3" t="s">
        <v>87</v>
      </c>
      <c r="F473" s="3" t="s">
        <v>133</v>
      </c>
      <c r="G473" s="6">
        <v>56305.94</v>
      </c>
      <c r="H473" s="86">
        <f t="shared" si="11"/>
        <v>8589.0416949152495</v>
      </c>
      <c r="I473" s="3" t="s">
        <v>18</v>
      </c>
      <c r="O473"/>
      <c r="P473"/>
      <c r="R473" s="87"/>
      <c r="S473" s="87"/>
    </row>
    <row r="474" spans="2:19" hidden="1" x14ac:dyDescent="0.25">
      <c r="B474" s="3" t="s">
        <v>1511</v>
      </c>
      <c r="C474" s="3" t="s">
        <v>1681</v>
      </c>
      <c r="D474" s="3" t="s">
        <v>255</v>
      </c>
      <c r="E474" s="3" t="s">
        <v>90</v>
      </c>
      <c r="F474" s="3" t="s">
        <v>131</v>
      </c>
      <c r="G474" s="6">
        <v>1072</v>
      </c>
      <c r="H474" s="6">
        <f t="shared" si="11"/>
        <v>163.52542372881351</v>
      </c>
      <c r="I474" s="3" t="s">
        <v>18</v>
      </c>
      <c r="J474" s="19"/>
      <c r="K474" s="19"/>
      <c r="O474"/>
      <c r="P474"/>
      <c r="R474" s="87"/>
      <c r="S474" s="87"/>
    </row>
    <row r="475" spans="2:19" hidden="1" x14ac:dyDescent="0.25">
      <c r="B475" s="3" t="s">
        <v>943</v>
      </c>
      <c r="C475" s="3" t="s">
        <v>96</v>
      </c>
      <c r="D475" s="3" t="s">
        <v>1945</v>
      </c>
      <c r="E475" s="3" t="s">
        <v>71</v>
      </c>
      <c r="F475" s="3" t="s">
        <v>133</v>
      </c>
      <c r="G475" s="6">
        <v>50000</v>
      </c>
      <c r="H475" s="29">
        <f t="shared" si="11"/>
        <v>7627.118644067792</v>
      </c>
      <c r="I475" s="3" t="s">
        <v>18</v>
      </c>
      <c r="J475" t="s">
        <v>1944</v>
      </c>
      <c r="O475"/>
      <c r="P475" t="s">
        <v>1641</v>
      </c>
      <c r="R475" s="87"/>
      <c r="S475" s="87"/>
    </row>
    <row r="476" spans="2:19" hidden="1" x14ac:dyDescent="0.25">
      <c r="B476" s="3" t="s">
        <v>730</v>
      </c>
      <c r="C476" s="3" t="s">
        <v>96</v>
      </c>
      <c r="D476" s="3" t="s">
        <v>1948</v>
      </c>
      <c r="E476" s="3" t="s">
        <v>71</v>
      </c>
      <c r="F476" s="3" t="s">
        <v>133</v>
      </c>
      <c r="G476" s="6">
        <v>50000</v>
      </c>
      <c r="H476" s="29">
        <f t="shared" si="11"/>
        <v>7627.118644067792</v>
      </c>
      <c r="I476" s="3" t="s">
        <v>18</v>
      </c>
      <c r="J476" t="s">
        <v>1947</v>
      </c>
      <c r="O476"/>
      <c r="P476" t="s">
        <v>1641</v>
      </c>
      <c r="R476" s="87"/>
      <c r="S476" s="87"/>
    </row>
    <row r="477" spans="2:19" hidden="1" x14ac:dyDescent="0.25">
      <c r="B477" s="3" t="s">
        <v>717</v>
      </c>
      <c r="C477" s="3" t="s">
        <v>96</v>
      </c>
      <c r="D477" s="3" t="s">
        <v>1955</v>
      </c>
      <c r="E477" s="3" t="s">
        <v>71</v>
      </c>
      <c r="F477" s="3" t="s">
        <v>133</v>
      </c>
      <c r="G477" s="6">
        <v>50000</v>
      </c>
      <c r="H477" s="29">
        <f t="shared" si="11"/>
        <v>7627.118644067792</v>
      </c>
      <c r="I477" s="3" t="s">
        <v>18</v>
      </c>
      <c r="J477" t="s">
        <v>1954</v>
      </c>
      <c r="O477"/>
      <c r="P477" t="s">
        <v>1641</v>
      </c>
    </row>
    <row r="478" spans="2:19" hidden="1" x14ac:dyDescent="0.25">
      <c r="B478" s="3" t="s">
        <v>717</v>
      </c>
      <c r="C478" s="3" t="s">
        <v>96</v>
      </c>
      <c r="D478" s="3" t="s">
        <v>1956</v>
      </c>
      <c r="E478" s="3" t="s">
        <v>71</v>
      </c>
      <c r="F478" s="3" t="s">
        <v>133</v>
      </c>
      <c r="G478" s="6">
        <v>50000</v>
      </c>
      <c r="H478" s="29">
        <f t="shared" si="11"/>
        <v>7627.118644067792</v>
      </c>
      <c r="I478" s="3" t="s">
        <v>18</v>
      </c>
      <c r="J478" t="s">
        <v>1957</v>
      </c>
      <c r="O478"/>
      <c r="P478" t="s">
        <v>1641</v>
      </c>
      <c r="R478" s="87"/>
      <c r="S478" s="87"/>
    </row>
    <row r="479" spans="2:19" hidden="1" x14ac:dyDescent="0.25">
      <c r="B479" s="3" t="s">
        <v>717</v>
      </c>
      <c r="C479" s="3" t="s">
        <v>96</v>
      </c>
      <c r="D479" s="3" t="s">
        <v>1958</v>
      </c>
      <c r="E479" s="3" t="s">
        <v>71</v>
      </c>
      <c r="F479" s="3" t="s">
        <v>133</v>
      </c>
      <c r="G479" s="6">
        <v>50000</v>
      </c>
      <c r="H479" s="29">
        <f t="shared" si="11"/>
        <v>7627.118644067792</v>
      </c>
      <c r="I479" s="3" t="s">
        <v>18</v>
      </c>
      <c r="J479" t="s">
        <v>1959</v>
      </c>
      <c r="O479"/>
      <c r="P479" t="s">
        <v>1641</v>
      </c>
      <c r="R479" s="87"/>
      <c r="S479" s="87"/>
    </row>
    <row r="480" spans="2:19" x14ac:dyDescent="0.25">
      <c r="B480" s="3" t="s">
        <v>295</v>
      </c>
      <c r="C480" s="3" t="s">
        <v>74</v>
      </c>
      <c r="D480" s="3" t="s">
        <v>304</v>
      </c>
      <c r="E480" s="3" t="s">
        <v>90</v>
      </c>
      <c r="F480" s="3" t="s">
        <v>122</v>
      </c>
      <c r="G480" s="6">
        <v>1053</v>
      </c>
      <c r="H480" s="6">
        <f t="shared" si="11"/>
        <v>160.62711864406776</v>
      </c>
      <c r="I480" s="6" t="s">
        <v>18</v>
      </c>
      <c r="O480"/>
      <c r="P480"/>
      <c r="R480" s="87"/>
      <c r="S480" s="87"/>
    </row>
    <row r="481" spans="2:19" hidden="1" x14ac:dyDescent="0.25">
      <c r="B481" s="3" t="s">
        <v>945</v>
      </c>
      <c r="C481" s="3" t="s">
        <v>96</v>
      </c>
      <c r="D481" s="3" t="s">
        <v>1951</v>
      </c>
      <c r="E481" s="3" t="s">
        <v>71</v>
      </c>
      <c r="F481" s="3" t="s">
        <v>133</v>
      </c>
      <c r="G481" s="6">
        <v>35000</v>
      </c>
      <c r="H481" s="29">
        <f t="shared" si="11"/>
        <v>5338.9830508474552</v>
      </c>
      <c r="I481" s="3" t="s">
        <v>18</v>
      </c>
      <c r="J481" t="s">
        <v>1949</v>
      </c>
      <c r="O481"/>
      <c r="P481" t="s">
        <v>1641</v>
      </c>
      <c r="R481" s="87"/>
      <c r="S481" s="87"/>
    </row>
    <row r="482" spans="2:19" hidden="1" x14ac:dyDescent="0.25">
      <c r="B482" s="3" t="s">
        <v>945</v>
      </c>
      <c r="C482" s="3" t="s">
        <v>96</v>
      </c>
      <c r="D482" s="3" t="s">
        <v>1952</v>
      </c>
      <c r="E482" s="3" t="s">
        <v>71</v>
      </c>
      <c r="F482" s="3" t="s">
        <v>133</v>
      </c>
      <c r="G482" s="6">
        <v>35000</v>
      </c>
      <c r="H482" s="29">
        <f t="shared" si="11"/>
        <v>5338.9830508474552</v>
      </c>
      <c r="I482" s="3" t="s">
        <v>18</v>
      </c>
      <c r="J482" t="s">
        <v>1950</v>
      </c>
      <c r="O482"/>
      <c r="P482" t="s">
        <v>1641</v>
      </c>
      <c r="R482" s="87"/>
      <c r="S482" s="87"/>
    </row>
    <row r="483" spans="2:19" hidden="1" x14ac:dyDescent="0.25">
      <c r="B483" s="3" t="s">
        <v>945</v>
      </c>
      <c r="C483" s="3" t="s">
        <v>96</v>
      </c>
      <c r="D483" s="3" t="s">
        <v>1962</v>
      </c>
      <c r="E483" s="3" t="s">
        <v>71</v>
      </c>
      <c r="F483" s="3" t="s">
        <v>133</v>
      </c>
      <c r="G483" s="6">
        <v>35000</v>
      </c>
      <c r="H483" s="29">
        <f t="shared" si="11"/>
        <v>5338.9830508474552</v>
      </c>
      <c r="I483" s="3" t="s">
        <v>18</v>
      </c>
      <c r="J483" t="s">
        <v>1961</v>
      </c>
      <c r="O483"/>
      <c r="P483" t="s">
        <v>1641</v>
      </c>
      <c r="R483" s="87"/>
      <c r="S483" s="87"/>
    </row>
    <row r="484" spans="2:19" hidden="1" x14ac:dyDescent="0.25">
      <c r="B484" s="3" t="s">
        <v>1235</v>
      </c>
      <c r="C484" s="3" t="s">
        <v>17</v>
      </c>
      <c r="D484" s="3" t="s">
        <v>1309</v>
      </c>
      <c r="E484" s="3" t="s">
        <v>110</v>
      </c>
      <c r="F484" s="3" t="s">
        <v>133</v>
      </c>
      <c r="G484" s="6">
        <v>34076</v>
      </c>
      <c r="H484" s="86">
        <f t="shared" si="11"/>
        <v>5198.0338983050824</v>
      </c>
      <c r="I484" s="3" t="s">
        <v>113</v>
      </c>
      <c r="O484"/>
      <c r="P484"/>
      <c r="R484" s="87"/>
      <c r="S484" s="87"/>
    </row>
    <row r="485" spans="2:19" hidden="1" x14ac:dyDescent="0.25">
      <c r="B485" s="3" t="s">
        <v>800</v>
      </c>
      <c r="C485" s="3" t="s">
        <v>57</v>
      </c>
      <c r="D485" s="3" t="s">
        <v>878</v>
      </c>
      <c r="E485" s="3" t="s">
        <v>87</v>
      </c>
      <c r="F485" s="3" t="s">
        <v>133</v>
      </c>
      <c r="G485" s="6">
        <v>30779.65</v>
      </c>
      <c r="H485" s="86">
        <f t="shared" si="11"/>
        <v>4695.2008474576251</v>
      </c>
      <c r="I485" s="3" t="s">
        <v>113</v>
      </c>
      <c r="O485"/>
      <c r="P485"/>
      <c r="R485" s="87"/>
      <c r="S485" s="87"/>
    </row>
    <row r="486" spans="2:19" hidden="1" x14ac:dyDescent="0.25">
      <c r="B486" s="3" t="s">
        <v>943</v>
      </c>
      <c r="C486" s="3" t="s">
        <v>96</v>
      </c>
      <c r="D486" s="3" t="s">
        <v>1939</v>
      </c>
      <c r="E486" s="3" t="s">
        <v>71</v>
      </c>
      <c r="F486" s="3" t="s">
        <v>133</v>
      </c>
      <c r="G486" s="6">
        <v>30000</v>
      </c>
      <c r="H486" s="29">
        <f t="shared" si="11"/>
        <v>4576.2711864406774</v>
      </c>
      <c r="I486" s="3" t="s">
        <v>18</v>
      </c>
      <c r="J486" t="s">
        <v>1938</v>
      </c>
      <c r="O486"/>
      <c r="P486" t="s">
        <v>1641</v>
      </c>
    </row>
    <row r="487" spans="2:19" hidden="1" x14ac:dyDescent="0.25">
      <c r="B487" s="3" t="s">
        <v>717</v>
      </c>
      <c r="C487" s="3" t="s">
        <v>96</v>
      </c>
      <c r="D487" s="3" t="s">
        <v>1960</v>
      </c>
      <c r="E487" s="3" t="s">
        <v>71</v>
      </c>
      <c r="F487" s="3" t="s">
        <v>133</v>
      </c>
      <c r="G487" s="6">
        <v>30000</v>
      </c>
      <c r="H487" s="29">
        <f t="shared" si="11"/>
        <v>4576.2711864406774</v>
      </c>
      <c r="I487" s="3" t="s">
        <v>18</v>
      </c>
      <c r="J487" t="s">
        <v>1953</v>
      </c>
      <c r="O487"/>
      <c r="P487" t="s">
        <v>1641</v>
      </c>
      <c r="R487" s="87"/>
      <c r="S487" s="87"/>
    </row>
    <row r="488" spans="2:19" hidden="1" x14ac:dyDescent="0.25">
      <c r="B488" s="3" t="s">
        <v>1451</v>
      </c>
      <c r="C488" s="3" t="s">
        <v>42</v>
      </c>
      <c r="D488" s="3" t="s">
        <v>1341</v>
      </c>
      <c r="E488" s="3" t="s">
        <v>90</v>
      </c>
      <c r="F488" s="3" t="s">
        <v>131</v>
      </c>
      <c r="G488" s="6">
        <v>1053</v>
      </c>
      <c r="H488" s="6">
        <f t="shared" si="11"/>
        <v>160.62711864406776</v>
      </c>
      <c r="I488" s="3" t="s">
        <v>113</v>
      </c>
      <c r="O488"/>
      <c r="P488"/>
      <c r="R488" s="87"/>
      <c r="S488" s="87"/>
    </row>
    <row r="489" spans="2:19" hidden="1" x14ac:dyDescent="0.25">
      <c r="B489" s="3" t="s">
        <v>1227</v>
      </c>
      <c r="C489" s="3" t="s">
        <v>17</v>
      </c>
      <c r="D489" s="3" t="s">
        <v>1301</v>
      </c>
      <c r="E489" s="3" t="s">
        <v>71</v>
      </c>
      <c r="F489" s="3" t="s">
        <v>133</v>
      </c>
      <c r="G489" s="6">
        <v>27787.998000000138</v>
      </c>
      <c r="H489" s="86">
        <f t="shared" si="11"/>
        <v>4238.847152542392</v>
      </c>
      <c r="I489" s="3" t="s">
        <v>113</v>
      </c>
      <c r="O489"/>
      <c r="P489"/>
    </row>
    <row r="490" spans="2:19" hidden="1" x14ac:dyDescent="0.25">
      <c r="B490" s="3" t="s">
        <v>1171</v>
      </c>
      <c r="C490" s="3" t="s">
        <v>38</v>
      </c>
      <c r="D490" s="3" t="s">
        <v>1142</v>
      </c>
      <c r="E490" s="3" t="s">
        <v>71</v>
      </c>
      <c r="F490" s="3" t="s">
        <v>133</v>
      </c>
      <c r="G490" s="6">
        <v>26107</v>
      </c>
      <c r="H490" s="86">
        <f t="shared" si="11"/>
        <v>3982.4237288135591</v>
      </c>
      <c r="I490" s="3" t="s">
        <v>113</v>
      </c>
      <c r="O490"/>
      <c r="P490"/>
      <c r="R490" s="87"/>
      <c r="S490" s="87"/>
    </row>
    <row r="491" spans="2:19" hidden="1" x14ac:dyDescent="0.25">
      <c r="B491" s="3" t="s">
        <v>943</v>
      </c>
      <c r="C491" s="3" t="s">
        <v>96</v>
      </c>
      <c r="D491" s="3" t="s">
        <v>1862</v>
      </c>
      <c r="E491" s="3" t="s">
        <v>71</v>
      </c>
      <c r="F491" s="3" t="s">
        <v>133</v>
      </c>
      <c r="G491" s="6">
        <v>24790</v>
      </c>
      <c r="H491" s="86">
        <f t="shared" si="11"/>
        <v>3781.5254237288136</v>
      </c>
      <c r="I491" s="3" t="s">
        <v>18</v>
      </c>
      <c r="J491" t="s">
        <v>1898</v>
      </c>
      <c r="L491">
        <v>539</v>
      </c>
      <c r="N491">
        <v>0</v>
      </c>
      <c r="O491"/>
      <c r="P491" t="s">
        <v>718</v>
      </c>
      <c r="R491" s="87"/>
      <c r="S491" s="87"/>
    </row>
    <row r="492" spans="2:19" hidden="1" x14ac:dyDescent="0.25">
      <c r="B492" s="3" t="s">
        <v>943</v>
      </c>
      <c r="C492" s="3" t="s">
        <v>96</v>
      </c>
      <c r="D492" s="3" t="s">
        <v>1857</v>
      </c>
      <c r="E492" s="3" t="s">
        <v>71</v>
      </c>
      <c r="F492" s="3" t="s">
        <v>133</v>
      </c>
      <c r="G492" s="6">
        <v>20922</v>
      </c>
      <c r="H492" s="86">
        <f t="shared" si="11"/>
        <v>3191.4915254237276</v>
      </c>
      <c r="I492" s="3" t="s">
        <v>18</v>
      </c>
      <c r="J492" t="s">
        <v>1856</v>
      </c>
      <c r="L492">
        <v>1228</v>
      </c>
      <c r="N492">
        <v>28</v>
      </c>
      <c r="O492"/>
      <c r="P492" t="s">
        <v>718</v>
      </c>
      <c r="R492" s="87"/>
      <c r="S492" s="87"/>
    </row>
    <row r="493" spans="2:19" hidden="1" x14ac:dyDescent="0.25">
      <c r="B493" s="3" t="s">
        <v>1514</v>
      </c>
      <c r="C493" s="3" t="s">
        <v>94</v>
      </c>
      <c r="D493" s="3" t="s">
        <v>331</v>
      </c>
      <c r="E493" s="3" t="s">
        <v>90</v>
      </c>
      <c r="F493" s="3" t="s">
        <v>131</v>
      </c>
      <c r="G493" s="6">
        <v>804</v>
      </c>
      <c r="H493" s="6">
        <f t="shared" si="11"/>
        <v>122.6440677966101</v>
      </c>
      <c r="I493" s="3" t="s">
        <v>18</v>
      </c>
      <c r="J493" s="19"/>
      <c r="K493" s="19"/>
      <c r="O493"/>
      <c r="P493"/>
      <c r="R493" s="87"/>
      <c r="S493" s="87"/>
    </row>
    <row r="494" spans="2:19" hidden="1" x14ac:dyDescent="0.25">
      <c r="B494" s="3" t="s">
        <v>1211</v>
      </c>
      <c r="C494" s="3" t="s">
        <v>33</v>
      </c>
      <c r="D494" s="3" t="s">
        <v>1285</v>
      </c>
      <c r="E494" s="3" t="s">
        <v>71</v>
      </c>
      <c r="F494" s="3" t="s">
        <v>133</v>
      </c>
      <c r="G494" s="6">
        <v>18987</v>
      </c>
      <c r="H494" s="86">
        <f t="shared" si="11"/>
        <v>2896.3220338983047</v>
      </c>
      <c r="I494" s="3" t="s">
        <v>113</v>
      </c>
      <c r="O494"/>
      <c r="P494"/>
      <c r="R494" s="87"/>
      <c r="S494" s="87"/>
    </row>
    <row r="495" spans="2:19" hidden="1" x14ac:dyDescent="0.25">
      <c r="B495" s="3" t="s">
        <v>1516</v>
      </c>
      <c r="C495" s="3" t="s">
        <v>94</v>
      </c>
      <c r="D495" s="3" t="s">
        <v>270</v>
      </c>
      <c r="E495" s="3" t="s">
        <v>90</v>
      </c>
      <c r="F495" s="3" t="s">
        <v>131</v>
      </c>
      <c r="G495" s="6">
        <v>722.14</v>
      </c>
      <c r="H495" s="6">
        <f t="shared" si="11"/>
        <v>110.15694915254232</v>
      </c>
      <c r="I495" s="3" t="s">
        <v>18</v>
      </c>
      <c r="O495"/>
      <c r="P495"/>
      <c r="R495" s="87"/>
      <c r="S495" s="87"/>
    </row>
    <row r="496" spans="2:19" hidden="1" x14ac:dyDescent="0.25">
      <c r="B496" s="3" t="s">
        <v>1189</v>
      </c>
      <c r="C496" s="3" t="s">
        <v>4</v>
      </c>
      <c r="D496" s="3" t="s">
        <v>1160</v>
      </c>
      <c r="E496" s="3" t="s">
        <v>71</v>
      </c>
      <c r="F496" s="3" t="s">
        <v>133</v>
      </c>
      <c r="G496" s="6">
        <v>15770</v>
      </c>
      <c r="H496" s="86">
        <f t="shared" si="11"/>
        <v>2405.5932203389821</v>
      </c>
      <c r="I496" s="3" t="s">
        <v>113</v>
      </c>
      <c r="O496"/>
      <c r="P496"/>
      <c r="R496" s="87"/>
      <c r="S496" s="87"/>
    </row>
    <row r="497" spans="2:19" hidden="1" x14ac:dyDescent="0.25">
      <c r="B497" s="3" t="s">
        <v>943</v>
      </c>
      <c r="C497" s="3" t="s">
        <v>96</v>
      </c>
      <c r="D497" s="3" t="s">
        <v>1727</v>
      </c>
      <c r="E497" s="3" t="s">
        <v>71</v>
      </c>
      <c r="F497" s="3" t="s">
        <v>133</v>
      </c>
      <c r="G497" s="6">
        <v>15769</v>
      </c>
      <c r="H497" s="86">
        <f t="shared" si="11"/>
        <v>2405.4406779661003</v>
      </c>
      <c r="I497" s="3" t="s">
        <v>18</v>
      </c>
      <c r="J497" t="s">
        <v>1913</v>
      </c>
      <c r="L497">
        <v>1166</v>
      </c>
      <c r="N497">
        <v>39</v>
      </c>
      <c r="O497"/>
      <c r="P497" t="s">
        <v>718</v>
      </c>
      <c r="R497" s="87"/>
      <c r="S497" s="87"/>
    </row>
    <row r="498" spans="2:19" hidden="1" x14ac:dyDescent="0.25">
      <c r="B498" s="3" t="s">
        <v>1173</v>
      </c>
      <c r="C498" s="3" t="s">
        <v>38</v>
      </c>
      <c r="D498" s="3" t="s">
        <v>1144</v>
      </c>
      <c r="E498" s="3" t="s">
        <v>71</v>
      </c>
      <c r="F498" s="3" t="s">
        <v>133</v>
      </c>
      <c r="G498" s="6">
        <v>15413</v>
      </c>
      <c r="H498" s="86">
        <f t="shared" si="11"/>
        <v>2351.1355932203387</v>
      </c>
      <c r="I498" s="3" t="s">
        <v>113</v>
      </c>
      <c r="O498"/>
      <c r="P498"/>
      <c r="R498" s="87"/>
      <c r="S498" s="87"/>
    </row>
    <row r="499" spans="2:19" hidden="1" x14ac:dyDescent="0.25">
      <c r="B499" s="3" t="s">
        <v>943</v>
      </c>
      <c r="C499" s="3" t="s">
        <v>96</v>
      </c>
      <c r="D499" s="3" t="s">
        <v>1733</v>
      </c>
      <c r="E499" s="3" t="s">
        <v>71</v>
      </c>
      <c r="F499" s="3" t="s">
        <v>133</v>
      </c>
      <c r="G499" s="6">
        <v>15124</v>
      </c>
      <c r="H499" s="86">
        <f t="shared" si="11"/>
        <v>2307.0508474576272</v>
      </c>
      <c r="I499" s="3" t="s">
        <v>18</v>
      </c>
      <c r="J499" t="s">
        <v>1895</v>
      </c>
      <c r="L499">
        <v>593</v>
      </c>
      <c r="N499">
        <v>0</v>
      </c>
      <c r="O499"/>
      <c r="P499" t="s">
        <v>718</v>
      </c>
      <c r="R499" s="87"/>
      <c r="S499" s="87"/>
    </row>
    <row r="500" spans="2:19" hidden="1" x14ac:dyDescent="0.25">
      <c r="B500" s="3" t="s">
        <v>1209</v>
      </c>
      <c r="C500" s="3" t="s">
        <v>35</v>
      </c>
      <c r="D500" s="3" t="s">
        <v>1283</v>
      </c>
      <c r="E500" s="3" t="s">
        <v>71</v>
      </c>
      <c r="F500" s="3" t="s">
        <v>133</v>
      </c>
      <c r="G500" s="6">
        <v>15098</v>
      </c>
      <c r="H500" s="86">
        <f t="shared" si="11"/>
        <v>2303.0847457627115</v>
      </c>
      <c r="I500" s="3" t="s">
        <v>113</v>
      </c>
      <c r="O500"/>
      <c r="P500"/>
      <c r="R500" s="87"/>
      <c r="S500" s="87"/>
    </row>
    <row r="501" spans="2:19" hidden="1" x14ac:dyDescent="0.25">
      <c r="B501" s="3" t="s">
        <v>1433</v>
      </c>
      <c r="C501" s="3" t="s">
        <v>40</v>
      </c>
      <c r="D501" s="3" t="s">
        <v>1323</v>
      </c>
      <c r="E501" s="3" t="s">
        <v>106</v>
      </c>
      <c r="F501" s="3" t="s">
        <v>133</v>
      </c>
      <c r="G501" s="6">
        <v>15018.5</v>
      </c>
      <c r="H501" s="86">
        <f t="shared" si="11"/>
        <v>2290.9576271186434</v>
      </c>
      <c r="I501" s="3" t="s">
        <v>113</v>
      </c>
      <c r="O501"/>
      <c r="P501"/>
      <c r="R501" s="87"/>
      <c r="S501" s="87"/>
    </row>
    <row r="502" spans="2:19" hidden="1" x14ac:dyDescent="0.25">
      <c r="B502" s="3" t="s">
        <v>950</v>
      </c>
      <c r="C502" s="3" t="s">
        <v>96</v>
      </c>
      <c r="D502" s="3" t="s">
        <v>1729</v>
      </c>
      <c r="E502" s="3" t="s">
        <v>71</v>
      </c>
      <c r="F502" s="3" t="s">
        <v>133</v>
      </c>
      <c r="G502" s="6">
        <v>13133</v>
      </c>
      <c r="H502" s="86">
        <f t="shared" si="11"/>
        <v>2003.3389830508477</v>
      </c>
      <c r="I502" s="3" t="s">
        <v>18</v>
      </c>
      <c r="J502" t="s">
        <v>1730</v>
      </c>
      <c r="L502">
        <v>971</v>
      </c>
      <c r="N502">
        <v>77</v>
      </c>
      <c r="O502"/>
      <c r="P502" t="s">
        <v>718</v>
      </c>
      <c r="R502" s="87"/>
      <c r="S502" s="87"/>
    </row>
    <row r="503" spans="2:19" hidden="1" x14ac:dyDescent="0.25">
      <c r="B503" s="3" t="s">
        <v>717</v>
      </c>
      <c r="C503" s="3" t="s">
        <v>96</v>
      </c>
      <c r="D503" s="3" t="s">
        <v>1966</v>
      </c>
      <c r="E503" s="3" t="s">
        <v>71</v>
      </c>
      <c r="F503" s="3" t="s">
        <v>133</v>
      </c>
      <c r="G503" s="6">
        <v>9184</v>
      </c>
      <c r="H503" s="86">
        <f t="shared" si="11"/>
        <v>1400.9491525423728</v>
      </c>
      <c r="I503" s="3" t="s">
        <v>18</v>
      </c>
      <c r="J503" t="s">
        <v>1890</v>
      </c>
      <c r="L503">
        <v>812</v>
      </c>
      <c r="N503">
        <v>0</v>
      </c>
      <c r="O503"/>
      <c r="P503" t="s">
        <v>718</v>
      </c>
    </row>
    <row r="504" spans="2:19" hidden="1" x14ac:dyDescent="0.25">
      <c r="B504" s="3" t="s">
        <v>963</v>
      </c>
      <c r="C504" s="3" t="s">
        <v>97</v>
      </c>
      <c r="D504" s="3" t="s">
        <v>957</v>
      </c>
      <c r="E504" s="3" t="s">
        <v>71</v>
      </c>
      <c r="F504" s="3" t="s">
        <v>133</v>
      </c>
      <c r="G504" s="6">
        <v>6987</v>
      </c>
      <c r="H504" s="86">
        <f t="shared" si="11"/>
        <v>1065.8135593220331</v>
      </c>
      <c r="I504" s="3" t="s">
        <v>18</v>
      </c>
      <c r="O504"/>
      <c r="P504"/>
    </row>
    <row r="505" spans="2:19" hidden="1" x14ac:dyDescent="0.25">
      <c r="B505" s="3" t="s">
        <v>1936</v>
      </c>
      <c r="C505" s="3" t="s">
        <v>95</v>
      </c>
      <c r="D505" s="3" t="s">
        <v>1937</v>
      </c>
      <c r="E505" s="3" t="s">
        <v>1853</v>
      </c>
      <c r="F505" s="3" t="s">
        <v>133</v>
      </c>
      <c r="G505" s="6">
        <v>6928.25</v>
      </c>
      <c r="H505" s="86">
        <f t="shared" si="11"/>
        <v>1056.8516949152536</v>
      </c>
      <c r="I505" s="3" t="s">
        <v>18</v>
      </c>
      <c r="O505"/>
      <c r="P505"/>
      <c r="R505" s="87"/>
      <c r="S505" s="87"/>
    </row>
    <row r="506" spans="2:19" hidden="1" x14ac:dyDescent="0.25">
      <c r="B506" s="3" t="s">
        <v>950</v>
      </c>
      <c r="C506" s="3" t="s">
        <v>96</v>
      </c>
      <c r="D506" s="3" t="s">
        <v>1883</v>
      </c>
      <c r="E506" s="3" t="s">
        <v>71</v>
      </c>
      <c r="F506" s="3" t="s">
        <v>133</v>
      </c>
      <c r="G506" s="6">
        <v>6842</v>
      </c>
      <c r="H506" s="86">
        <f t="shared" si="11"/>
        <v>1043.6949152542365</v>
      </c>
      <c r="I506" s="3" t="s">
        <v>18</v>
      </c>
      <c r="J506" t="s">
        <v>1706</v>
      </c>
      <c r="L506">
        <v>1046</v>
      </c>
      <c r="N506">
        <v>109</v>
      </c>
      <c r="O506"/>
      <c r="P506" t="s">
        <v>718</v>
      </c>
    </row>
    <row r="507" spans="2:19" hidden="1" x14ac:dyDescent="0.25">
      <c r="B507" s="3" t="s">
        <v>1935</v>
      </c>
      <c r="C507" s="3" t="s">
        <v>136</v>
      </c>
      <c r="D507" s="3" t="s">
        <v>1932</v>
      </c>
      <c r="E507" s="3" t="s">
        <v>1853</v>
      </c>
      <c r="F507" s="3" t="s">
        <v>133</v>
      </c>
      <c r="G507" s="6">
        <v>6837.25</v>
      </c>
      <c r="H507" s="86">
        <f t="shared" si="11"/>
        <v>1042.9703389830502</v>
      </c>
      <c r="I507" s="3" t="s">
        <v>18</v>
      </c>
      <c r="O507"/>
      <c r="P507"/>
      <c r="R507" s="87"/>
      <c r="S507" s="87"/>
    </row>
    <row r="508" spans="2:19" hidden="1" x14ac:dyDescent="0.25">
      <c r="B508" s="3" t="s">
        <v>943</v>
      </c>
      <c r="C508" s="3" t="s">
        <v>96</v>
      </c>
      <c r="D508" s="3" t="s">
        <v>1899</v>
      </c>
      <c r="E508" s="3" t="s">
        <v>71</v>
      </c>
      <c r="F508" s="3" t="s">
        <v>133</v>
      </c>
      <c r="G508" s="6">
        <v>6776</v>
      </c>
      <c r="H508" s="86">
        <f t="shared" si="11"/>
        <v>1033.6271186440672</v>
      </c>
      <c r="I508" s="3" t="s">
        <v>18</v>
      </c>
      <c r="J508" t="s">
        <v>1894</v>
      </c>
      <c r="L508">
        <v>2078</v>
      </c>
      <c r="N508">
        <v>1</v>
      </c>
      <c r="O508"/>
      <c r="P508" t="s">
        <v>718</v>
      </c>
      <c r="R508" s="87"/>
      <c r="S508" s="87"/>
    </row>
    <row r="509" spans="2:19" hidden="1" x14ac:dyDescent="0.25">
      <c r="B509" s="3" t="s">
        <v>1207</v>
      </c>
      <c r="C509" s="3" t="s">
        <v>33</v>
      </c>
      <c r="D509" s="3" t="s">
        <v>1169</v>
      </c>
      <c r="E509" s="3" t="s">
        <v>71</v>
      </c>
      <c r="F509" s="3" t="s">
        <v>133</v>
      </c>
      <c r="G509" s="6">
        <v>6480</v>
      </c>
      <c r="H509" s="86">
        <f t="shared" si="11"/>
        <v>988.47457627118638</v>
      </c>
      <c r="I509" s="3" t="s">
        <v>113</v>
      </c>
      <c r="O509"/>
      <c r="P509"/>
      <c r="R509" s="87"/>
      <c r="S509" s="87"/>
    </row>
    <row r="510" spans="2:19" hidden="1" x14ac:dyDescent="0.25">
      <c r="B510" s="3" t="s">
        <v>1487</v>
      </c>
      <c r="C510" s="3" t="s">
        <v>73</v>
      </c>
      <c r="D510" s="3" t="s">
        <v>1375</v>
      </c>
      <c r="E510" s="3" t="s">
        <v>90</v>
      </c>
      <c r="F510" s="3" t="s">
        <v>133</v>
      </c>
      <c r="G510" s="6">
        <v>687.34</v>
      </c>
      <c r="H510" s="86">
        <f t="shared" si="11"/>
        <v>104.8484745762712</v>
      </c>
      <c r="I510" s="3" t="s">
        <v>113</v>
      </c>
      <c r="O510"/>
      <c r="P510"/>
    </row>
    <row r="511" spans="2:19" hidden="1" x14ac:dyDescent="0.25">
      <c r="B511" s="3" t="s">
        <v>1934</v>
      </c>
      <c r="C511" s="3" t="s">
        <v>136</v>
      </c>
      <c r="D511" s="3" t="s">
        <v>1933</v>
      </c>
      <c r="E511" s="3" t="s">
        <v>1853</v>
      </c>
      <c r="F511" s="3" t="s">
        <v>133</v>
      </c>
      <c r="G511" s="6">
        <v>5911.5</v>
      </c>
      <c r="H511" s="86">
        <f t="shared" si="11"/>
        <v>901.7542372881353</v>
      </c>
      <c r="I511" s="3" t="s">
        <v>18</v>
      </c>
      <c r="O511"/>
      <c r="P511"/>
      <c r="R511" s="87"/>
      <c r="S511" s="87"/>
    </row>
    <row r="512" spans="2:19" hidden="1" x14ac:dyDescent="0.25">
      <c r="B512" s="3" t="s">
        <v>945</v>
      </c>
      <c r="C512" s="3" t="s">
        <v>96</v>
      </c>
      <c r="D512" s="3" t="s">
        <v>1872</v>
      </c>
      <c r="E512" s="3" t="s">
        <v>71</v>
      </c>
      <c r="F512" s="3" t="s">
        <v>133</v>
      </c>
      <c r="G512" s="6">
        <v>5000</v>
      </c>
      <c r="H512" s="29">
        <f t="shared" si="11"/>
        <v>762.71186440677957</v>
      </c>
      <c r="I512" s="3" t="s">
        <v>18</v>
      </c>
      <c r="J512" t="s">
        <v>1865</v>
      </c>
      <c r="N512">
        <v>18</v>
      </c>
      <c r="O512"/>
      <c r="P512" t="s">
        <v>1654</v>
      </c>
      <c r="R512" s="87"/>
      <c r="S512" s="87"/>
    </row>
    <row r="513" spans="2:19" hidden="1" x14ac:dyDescent="0.25">
      <c r="B513" s="3" t="s">
        <v>1534</v>
      </c>
      <c r="C513" s="3" t="s">
        <v>95</v>
      </c>
      <c r="D513" s="3" t="s">
        <v>316</v>
      </c>
      <c r="E513" s="3" t="s">
        <v>90</v>
      </c>
      <c r="F513" s="3" t="s">
        <v>133</v>
      </c>
      <c r="G513" s="6">
        <v>666.75</v>
      </c>
      <c r="H513" s="29">
        <f t="shared" si="11"/>
        <v>101.70762711864404</v>
      </c>
      <c r="I513" s="3" t="s">
        <v>18</v>
      </c>
      <c r="O513"/>
      <c r="P513"/>
      <c r="R513" s="87"/>
      <c r="S513" s="87"/>
    </row>
    <row r="514" spans="2:19" hidden="1" x14ac:dyDescent="0.25">
      <c r="B514" s="3" t="s">
        <v>1515</v>
      </c>
      <c r="C514" s="3" t="s">
        <v>94</v>
      </c>
      <c r="D514" s="3" t="s">
        <v>261</v>
      </c>
      <c r="E514" s="3" t="s">
        <v>90</v>
      </c>
      <c r="F514" s="3" t="s">
        <v>133</v>
      </c>
      <c r="G514" s="6">
        <v>609.29999999999995</v>
      </c>
      <c r="H514" s="86">
        <f t="shared" si="11"/>
        <v>92.94406779661017</v>
      </c>
      <c r="I514" s="3" t="s">
        <v>18</v>
      </c>
      <c r="O514"/>
      <c r="P514"/>
      <c r="R514" s="87"/>
      <c r="S514" s="87"/>
    </row>
    <row r="515" spans="2:19" hidden="1" x14ac:dyDescent="0.25">
      <c r="B515" s="3" t="s">
        <v>717</v>
      </c>
      <c r="C515" s="3" t="s">
        <v>96</v>
      </c>
      <c r="D515" s="3" t="s">
        <v>1892</v>
      </c>
      <c r="E515" s="3" t="s">
        <v>71</v>
      </c>
      <c r="F515" s="3" t="s">
        <v>133</v>
      </c>
      <c r="G515" s="6">
        <v>4764</v>
      </c>
      <c r="H515" s="86">
        <f t="shared" si="11"/>
        <v>726.71186440677957</v>
      </c>
      <c r="I515" s="3" t="s">
        <v>18</v>
      </c>
      <c r="J515" t="s">
        <v>1888</v>
      </c>
      <c r="L515">
        <v>901</v>
      </c>
      <c r="N515">
        <v>0</v>
      </c>
      <c r="O515"/>
      <c r="P515" t="s">
        <v>718</v>
      </c>
      <c r="R515" s="87"/>
      <c r="S515" s="87"/>
    </row>
    <row r="516" spans="2:19" hidden="1" x14ac:dyDescent="0.25">
      <c r="B516" s="3" t="s">
        <v>1187</v>
      </c>
      <c r="C516" s="3" t="s">
        <v>4</v>
      </c>
      <c r="D516" s="3" t="s">
        <v>1158</v>
      </c>
      <c r="E516" s="3" t="s">
        <v>71</v>
      </c>
      <c r="F516" s="3" t="s">
        <v>133</v>
      </c>
      <c r="G516" s="6">
        <v>4217</v>
      </c>
      <c r="H516" s="86">
        <f t="shared" si="11"/>
        <v>643.27118644067787</v>
      </c>
      <c r="I516" s="3" t="s">
        <v>113</v>
      </c>
      <c r="O516"/>
      <c r="P516"/>
      <c r="R516" s="87"/>
      <c r="S516" s="87"/>
    </row>
    <row r="517" spans="2:19" hidden="1" x14ac:dyDescent="0.25">
      <c r="B517" s="3" t="s">
        <v>717</v>
      </c>
      <c r="C517" s="3" t="s">
        <v>96</v>
      </c>
      <c r="D517" s="3" t="s">
        <v>1884</v>
      </c>
      <c r="E517" s="3" t="s">
        <v>71</v>
      </c>
      <c r="F517" s="3" t="s">
        <v>133</v>
      </c>
      <c r="G517" s="6">
        <v>3515</v>
      </c>
      <c r="H517" s="86">
        <f t="shared" si="11"/>
        <v>536.18644067796595</v>
      </c>
      <c r="I517" s="3" t="s">
        <v>18</v>
      </c>
      <c r="J517" t="s">
        <v>1886</v>
      </c>
      <c r="L517">
        <v>715</v>
      </c>
      <c r="N517">
        <v>0</v>
      </c>
      <c r="O517"/>
      <c r="P517" t="s">
        <v>718</v>
      </c>
      <c r="R517" s="87"/>
      <c r="S517" s="87"/>
    </row>
    <row r="518" spans="2:19" hidden="1" x14ac:dyDescent="0.25">
      <c r="B518" s="3" t="s">
        <v>717</v>
      </c>
      <c r="C518" s="3" t="s">
        <v>96</v>
      </c>
      <c r="D518" s="3" t="s">
        <v>1885</v>
      </c>
      <c r="E518" s="3" t="s">
        <v>71</v>
      </c>
      <c r="F518" s="3" t="s">
        <v>133</v>
      </c>
      <c r="G518" s="6">
        <v>3426</v>
      </c>
      <c r="H518" s="86">
        <f t="shared" si="11"/>
        <v>522.61016949152508</v>
      </c>
      <c r="I518" s="3" t="s">
        <v>18</v>
      </c>
      <c r="J518" t="s">
        <v>1887</v>
      </c>
      <c r="L518">
        <v>759</v>
      </c>
      <c r="N518">
        <v>3</v>
      </c>
      <c r="O518"/>
      <c r="P518" t="s">
        <v>718</v>
      </c>
      <c r="R518" s="87"/>
      <c r="S518" s="87"/>
    </row>
    <row r="519" spans="2:19" hidden="1" x14ac:dyDescent="0.25">
      <c r="B519" s="3" t="s">
        <v>985</v>
      </c>
      <c r="C519" s="3" t="s">
        <v>95</v>
      </c>
      <c r="D519" s="3" t="s">
        <v>1084</v>
      </c>
      <c r="E519" s="3" t="s">
        <v>106</v>
      </c>
      <c r="F519" s="3" t="s">
        <v>133</v>
      </c>
      <c r="G519" s="6">
        <v>3337.25</v>
      </c>
      <c r="H519" s="86">
        <f t="shared" si="11"/>
        <v>509.07203389830511</v>
      </c>
      <c r="I519" s="3" t="s">
        <v>18</v>
      </c>
      <c r="O519"/>
      <c r="P519"/>
      <c r="R519" s="87"/>
      <c r="S519" s="87"/>
    </row>
    <row r="520" spans="2:19" hidden="1" x14ac:dyDescent="0.25">
      <c r="B520" s="3" t="s">
        <v>1491</v>
      </c>
      <c r="C520" s="3" t="s">
        <v>43</v>
      </c>
      <c r="D520" s="3" t="s">
        <v>1379</v>
      </c>
      <c r="E520" s="3" t="s">
        <v>90</v>
      </c>
      <c r="F520" s="3" t="s">
        <v>133</v>
      </c>
      <c r="G520" s="6">
        <v>555.46</v>
      </c>
      <c r="H520" s="86">
        <f t="shared" si="11"/>
        <v>84.731186440677959</v>
      </c>
      <c r="I520" s="3" t="s">
        <v>113</v>
      </c>
      <c r="O520"/>
      <c r="P520"/>
      <c r="R520" s="87"/>
      <c r="S520" s="87"/>
    </row>
    <row r="521" spans="2:19" hidden="1" x14ac:dyDescent="0.25">
      <c r="B521" s="3" t="s">
        <v>1716</v>
      </c>
      <c r="C521" s="3" t="s">
        <v>45</v>
      </c>
      <c r="D521" s="3" t="s">
        <v>1628</v>
      </c>
      <c r="E521" s="3" t="s">
        <v>77</v>
      </c>
      <c r="F521" s="3" t="s">
        <v>133</v>
      </c>
      <c r="G521" s="6">
        <v>2882.25</v>
      </c>
      <c r="H521" s="86">
        <f t="shared" si="11"/>
        <v>439.66525423728808</v>
      </c>
      <c r="I521" s="3" t="s">
        <v>113</v>
      </c>
      <c r="O521"/>
      <c r="P521"/>
      <c r="R521" s="87"/>
      <c r="S521" s="87"/>
    </row>
    <row r="522" spans="2:19" hidden="1" x14ac:dyDescent="0.25">
      <c r="B522" s="3" t="s">
        <v>1076</v>
      </c>
      <c r="C522" s="3" t="s">
        <v>74</v>
      </c>
      <c r="D522" s="3" t="s">
        <v>1132</v>
      </c>
      <c r="E522" s="3" t="s">
        <v>106</v>
      </c>
      <c r="F522" s="3" t="s">
        <v>133</v>
      </c>
      <c r="G522" s="6">
        <v>2614.5</v>
      </c>
      <c r="H522" s="86">
        <f t="shared" si="11"/>
        <v>398.82203389830511</v>
      </c>
      <c r="I522" s="3" t="s">
        <v>18</v>
      </c>
      <c r="O522"/>
      <c r="P522"/>
      <c r="R522" s="87"/>
      <c r="S522" s="87"/>
    </row>
    <row r="523" spans="2:19" hidden="1" x14ac:dyDescent="0.25">
      <c r="B523" s="3" t="s">
        <v>717</v>
      </c>
      <c r="C523" s="3" t="s">
        <v>96</v>
      </c>
      <c r="D523" s="3" t="s">
        <v>1726</v>
      </c>
      <c r="E523" s="3" t="s">
        <v>71</v>
      </c>
      <c r="F523" s="3" t="s">
        <v>133</v>
      </c>
      <c r="G523" s="6">
        <v>2500</v>
      </c>
      <c r="H523" s="86">
        <f t="shared" si="11"/>
        <v>381.35593220338978</v>
      </c>
      <c r="I523" s="3" t="s">
        <v>18</v>
      </c>
      <c r="J523" t="s">
        <v>1889</v>
      </c>
      <c r="L523">
        <v>678</v>
      </c>
      <c r="N523">
        <v>18</v>
      </c>
      <c r="O523"/>
      <c r="P523" t="s">
        <v>718</v>
      </c>
      <c r="R523" s="87"/>
      <c r="S523" s="87"/>
    </row>
    <row r="524" spans="2:19" hidden="1" x14ac:dyDescent="0.25">
      <c r="B524" s="3" t="s">
        <v>1980</v>
      </c>
      <c r="C524" s="3" t="s">
        <v>92</v>
      </c>
      <c r="D524" s="3" t="s">
        <v>1978</v>
      </c>
      <c r="E524" s="3" t="s">
        <v>117</v>
      </c>
      <c r="F524" s="3" t="s">
        <v>133</v>
      </c>
      <c r="G524" s="6">
        <v>2467.5</v>
      </c>
      <c r="H524" s="86">
        <f t="shared" si="11"/>
        <v>376.39830508474552</v>
      </c>
      <c r="I524" s="3" t="s">
        <v>18</v>
      </c>
      <c r="O524"/>
      <c r="P524"/>
      <c r="R524" s="87"/>
      <c r="S524" s="87"/>
    </row>
    <row r="525" spans="2:19" hidden="1" x14ac:dyDescent="0.25">
      <c r="B525" s="3" t="s">
        <v>999</v>
      </c>
      <c r="C525" s="3" t="s">
        <v>74</v>
      </c>
      <c r="D525" s="3" t="s">
        <v>1098</v>
      </c>
      <c r="E525" s="3" t="s">
        <v>106</v>
      </c>
      <c r="F525" s="3" t="s">
        <v>133</v>
      </c>
      <c r="G525" s="6">
        <v>2241.75</v>
      </c>
      <c r="H525" s="86">
        <f t="shared" si="11"/>
        <v>341.96186440677957</v>
      </c>
      <c r="I525" s="3" t="s">
        <v>18</v>
      </c>
      <c r="O525"/>
      <c r="P525"/>
      <c r="R525" s="87"/>
      <c r="S525" s="87"/>
    </row>
    <row r="526" spans="2:19" hidden="1" x14ac:dyDescent="0.25">
      <c r="B526" s="3" t="s">
        <v>950</v>
      </c>
      <c r="C526" s="3" t="s">
        <v>96</v>
      </c>
      <c r="D526" s="3" t="s">
        <v>1964</v>
      </c>
      <c r="E526" s="3" t="s">
        <v>71</v>
      </c>
      <c r="F526" s="3" t="s">
        <v>133</v>
      </c>
      <c r="G526" s="6">
        <v>2000</v>
      </c>
      <c r="H526" s="29">
        <f t="shared" si="11"/>
        <v>305.08474576271169</v>
      </c>
      <c r="I526" s="3" t="s">
        <v>18</v>
      </c>
      <c r="J526" t="s">
        <v>1963</v>
      </c>
      <c r="N526">
        <v>1</v>
      </c>
      <c r="O526"/>
      <c r="P526" t="s">
        <v>1654</v>
      </c>
      <c r="R526" s="87"/>
      <c r="S526" s="87"/>
    </row>
    <row r="527" spans="2:19" hidden="1" x14ac:dyDescent="0.25">
      <c r="B527" s="3" t="s">
        <v>950</v>
      </c>
      <c r="C527" s="3" t="s">
        <v>96</v>
      </c>
      <c r="D527" s="3" t="s">
        <v>1855</v>
      </c>
      <c r="E527" s="3" t="s">
        <v>71</v>
      </c>
      <c r="F527" s="3" t="s">
        <v>133</v>
      </c>
      <c r="G527" s="6">
        <v>2000</v>
      </c>
      <c r="H527" s="29">
        <f t="shared" si="11"/>
        <v>305.08474576271169</v>
      </c>
      <c r="I527" s="3" t="s">
        <v>18</v>
      </c>
      <c r="J527" t="s">
        <v>1854</v>
      </c>
      <c r="N527">
        <v>1</v>
      </c>
      <c r="O527"/>
      <c r="P527" t="s">
        <v>1654</v>
      </c>
    </row>
    <row r="528" spans="2:19" hidden="1" x14ac:dyDescent="0.25">
      <c r="B528" s="3" t="s">
        <v>989</v>
      </c>
      <c r="C528" s="3" t="s">
        <v>95</v>
      </c>
      <c r="D528" s="3" t="s">
        <v>1088</v>
      </c>
      <c r="E528" s="3" t="s">
        <v>106</v>
      </c>
      <c r="F528" s="3" t="s">
        <v>133</v>
      </c>
      <c r="G528" s="6">
        <v>1849.75</v>
      </c>
      <c r="H528" s="86">
        <f t="shared" si="11"/>
        <v>282.16525423728808</v>
      </c>
      <c r="I528" s="3" t="s">
        <v>18</v>
      </c>
      <c r="O528"/>
      <c r="P528"/>
      <c r="R528" s="87"/>
      <c r="S528" s="87"/>
    </row>
    <row r="529" spans="2:19" hidden="1" x14ac:dyDescent="0.25">
      <c r="B529" s="3" t="s">
        <v>1475</v>
      </c>
      <c r="C529" s="3" t="s">
        <v>40</v>
      </c>
      <c r="D529" s="3" t="s">
        <v>1363</v>
      </c>
      <c r="E529" s="3" t="s">
        <v>90</v>
      </c>
      <c r="F529" s="3" t="s">
        <v>131</v>
      </c>
      <c r="G529" s="6">
        <v>536</v>
      </c>
      <c r="H529" s="6">
        <f t="shared" si="11"/>
        <v>81.762711864406754</v>
      </c>
      <c r="I529" s="3" t="s">
        <v>113</v>
      </c>
      <c r="O529"/>
      <c r="P529"/>
      <c r="R529" s="87"/>
      <c r="S529" s="87"/>
    </row>
    <row r="530" spans="2:19" hidden="1" x14ac:dyDescent="0.25">
      <c r="B530" s="3" t="s">
        <v>995</v>
      </c>
      <c r="C530" s="3" t="s">
        <v>95</v>
      </c>
      <c r="D530" s="3" t="s">
        <v>1094</v>
      </c>
      <c r="E530" s="3" t="s">
        <v>106</v>
      </c>
      <c r="F530" s="3" t="s">
        <v>133</v>
      </c>
      <c r="G530" s="6">
        <v>1715</v>
      </c>
      <c r="H530" s="86">
        <f t="shared" si="11"/>
        <v>261.61016949152531</v>
      </c>
      <c r="I530" s="3" t="s">
        <v>18</v>
      </c>
      <c r="O530"/>
      <c r="P530"/>
      <c r="R530" s="87"/>
      <c r="S530" s="87"/>
    </row>
    <row r="531" spans="2:19" hidden="1" x14ac:dyDescent="0.25">
      <c r="B531" s="3" t="s">
        <v>991</v>
      </c>
      <c r="C531" s="3" t="s">
        <v>95</v>
      </c>
      <c r="D531" s="3" t="s">
        <v>1090</v>
      </c>
      <c r="E531" s="3" t="s">
        <v>106</v>
      </c>
      <c r="F531" s="3" t="s">
        <v>133</v>
      </c>
      <c r="G531" s="6">
        <v>1470</v>
      </c>
      <c r="H531" s="86">
        <f t="shared" si="11"/>
        <v>224.23728813559319</v>
      </c>
      <c r="I531" s="3" t="s">
        <v>18</v>
      </c>
      <c r="O531"/>
      <c r="P531"/>
      <c r="R531" s="87"/>
      <c r="S531" s="87"/>
    </row>
    <row r="532" spans="2:19" hidden="1" x14ac:dyDescent="0.25">
      <c r="B532" s="3" t="s">
        <v>717</v>
      </c>
      <c r="C532" s="3" t="s">
        <v>96</v>
      </c>
      <c r="D532" s="3" t="s">
        <v>1859</v>
      </c>
      <c r="E532" s="3" t="s">
        <v>71</v>
      </c>
      <c r="F532" s="3" t="s">
        <v>133</v>
      </c>
      <c r="G532" s="6">
        <v>1282</v>
      </c>
      <c r="H532" s="86">
        <f t="shared" si="11"/>
        <v>195.5593220338983</v>
      </c>
      <c r="I532" s="3" t="s">
        <v>18</v>
      </c>
      <c r="J532" t="s">
        <v>1858</v>
      </c>
      <c r="L532">
        <v>804</v>
      </c>
      <c r="N532">
        <v>0</v>
      </c>
      <c r="O532"/>
      <c r="P532" t="s">
        <v>718</v>
      </c>
      <c r="R532" s="87"/>
      <c r="S532" s="87"/>
    </row>
    <row r="533" spans="2:19" hidden="1" x14ac:dyDescent="0.25">
      <c r="B533" s="3" t="s">
        <v>1451</v>
      </c>
      <c r="C533" s="3" t="s">
        <v>42</v>
      </c>
      <c r="D533" s="3" t="s">
        <v>1341</v>
      </c>
      <c r="E533" s="3" t="s">
        <v>90</v>
      </c>
      <c r="F533" s="3" t="s">
        <v>129</v>
      </c>
      <c r="G533" s="6">
        <v>405</v>
      </c>
      <c r="H533" s="6">
        <f t="shared" si="11"/>
        <v>61.779661016949149</v>
      </c>
      <c r="I533" s="3" t="s">
        <v>113</v>
      </c>
      <c r="O533"/>
      <c r="P533"/>
      <c r="R533" s="87"/>
      <c r="S533" s="87"/>
    </row>
    <row r="534" spans="2:19" hidden="1" x14ac:dyDescent="0.25">
      <c r="B534" s="3" t="s">
        <v>717</v>
      </c>
      <c r="C534" s="3" t="s">
        <v>96</v>
      </c>
      <c r="D534" s="3" t="s">
        <v>1965</v>
      </c>
      <c r="E534" s="3" t="s">
        <v>71</v>
      </c>
      <c r="F534" s="3" t="s">
        <v>133</v>
      </c>
      <c r="G534" s="6">
        <v>1009</v>
      </c>
      <c r="H534" s="86">
        <f t="shared" si="11"/>
        <v>153.91525423728808</v>
      </c>
      <c r="I534" s="3" t="s">
        <v>18</v>
      </c>
      <c r="J534" t="s">
        <v>1860</v>
      </c>
      <c r="L534">
        <v>813</v>
      </c>
      <c r="N534">
        <v>0</v>
      </c>
      <c r="O534"/>
      <c r="P534" t="s">
        <v>718</v>
      </c>
      <c r="R534" s="87"/>
      <c r="S534" s="87"/>
    </row>
    <row r="535" spans="2:19" hidden="1" x14ac:dyDescent="0.25">
      <c r="B535" s="3" t="s">
        <v>1225</v>
      </c>
      <c r="C535" s="3" t="s">
        <v>35</v>
      </c>
      <c r="D535" s="3" t="s">
        <v>1299</v>
      </c>
      <c r="E535" s="3" t="s">
        <v>71</v>
      </c>
      <c r="F535" s="3" t="s">
        <v>133</v>
      </c>
      <c r="G535" s="6">
        <v>956</v>
      </c>
      <c r="H535" s="86">
        <f t="shared" ref="H535:H544" si="12">G535-G535/1.18</f>
        <v>145.83050847457628</v>
      </c>
      <c r="I535" s="3" t="s">
        <v>113</v>
      </c>
      <c r="O535"/>
      <c r="P535"/>
      <c r="R535" s="87"/>
      <c r="S535" s="87"/>
    </row>
    <row r="536" spans="2:19" hidden="1" x14ac:dyDescent="0.25">
      <c r="B536" s="3" t="s">
        <v>1205</v>
      </c>
      <c r="C536" s="3" t="s">
        <v>17</v>
      </c>
      <c r="D536" s="3" t="s">
        <v>1168</v>
      </c>
      <c r="E536" s="3" t="s">
        <v>71</v>
      </c>
      <c r="F536" s="3" t="s">
        <v>133</v>
      </c>
      <c r="G536" s="6">
        <v>867</v>
      </c>
      <c r="H536" s="86">
        <f t="shared" si="12"/>
        <v>132.25423728813553</v>
      </c>
      <c r="I536" s="3" t="s">
        <v>113</v>
      </c>
      <c r="O536"/>
      <c r="P536"/>
      <c r="R536" s="87"/>
      <c r="S536" s="87"/>
    </row>
    <row r="537" spans="2:19" hidden="1" x14ac:dyDescent="0.25">
      <c r="B537" s="3" t="s">
        <v>1456</v>
      </c>
      <c r="C537" s="3" t="s">
        <v>40</v>
      </c>
      <c r="D537" s="3" t="s">
        <v>1344</v>
      </c>
      <c r="E537" s="3" t="s">
        <v>106</v>
      </c>
      <c r="F537" s="3" t="s">
        <v>133</v>
      </c>
      <c r="G537" s="6">
        <v>836.5</v>
      </c>
      <c r="H537" s="86">
        <f t="shared" si="12"/>
        <v>127.60169491525426</v>
      </c>
      <c r="I537" s="3" t="s">
        <v>113</v>
      </c>
      <c r="O537"/>
      <c r="P537"/>
      <c r="R537" s="87"/>
      <c r="S537" s="87"/>
    </row>
    <row r="538" spans="2:19" hidden="1" x14ac:dyDescent="0.25">
      <c r="B538" s="3" t="s">
        <v>950</v>
      </c>
      <c r="C538" s="3" t="s">
        <v>96</v>
      </c>
      <c r="D538" s="3" t="s">
        <v>1732</v>
      </c>
      <c r="E538" s="3" t="s">
        <v>71</v>
      </c>
      <c r="F538" s="3" t="s">
        <v>133</v>
      </c>
      <c r="G538" s="6">
        <v>812</v>
      </c>
      <c r="H538" s="86">
        <f t="shared" si="12"/>
        <v>123.86440677966095</v>
      </c>
      <c r="I538" s="3" t="s">
        <v>18</v>
      </c>
      <c r="J538" t="s">
        <v>1731</v>
      </c>
      <c r="L538">
        <v>384</v>
      </c>
      <c r="N538">
        <v>79</v>
      </c>
      <c r="O538"/>
      <c r="P538" t="s">
        <v>718</v>
      </c>
      <c r="R538" s="87"/>
      <c r="S538" s="87"/>
    </row>
    <row r="539" spans="2:19" hidden="1" x14ac:dyDescent="0.25">
      <c r="B539" s="3" t="s">
        <v>972</v>
      </c>
      <c r="C539" s="3" t="s">
        <v>95</v>
      </c>
      <c r="D539" s="3" t="s">
        <v>971</v>
      </c>
      <c r="E539" s="3" t="s">
        <v>90</v>
      </c>
      <c r="F539" s="3" t="s">
        <v>129</v>
      </c>
      <c r="G539" s="6">
        <v>405</v>
      </c>
      <c r="H539" s="6">
        <f t="shared" si="12"/>
        <v>61.779661016949149</v>
      </c>
      <c r="I539" s="3" t="s">
        <v>18</v>
      </c>
      <c r="J539" s="19"/>
      <c r="K539" s="19"/>
      <c r="O539"/>
      <c r="P539"/>
      <c r="R539" s="87"/>
      <c r="S539" s="87"/>
    </row>
    <row r="540" spans="2:19" x14ac:dyDescent="0.25">
      <c r="B540" s="3" t="s">
        <v>1528</v>
      </c>
      <c r="C540" s="3" t="s">
        <v>74</v>
      </c>
      <c r="D540" s="3" t="s">
        <v>304</v>
      </c>
      <c r="E540" s="3" t="s">
        <v>90</v>
      </c>
      <c r="F540" s="3" t="s">
        <v>139</v>
      </c>
      <c r="G540" s="6">
        <v>243</v>
      </c>
      <c r="H540" s="6">
        <f t="shared" si="12"/>
        <v>37.067796610169466</v>
      </c>
      <c r="I540" s="3" t="s">
        <v>18</v>
      </c>
      <c r="J540" s="77"/>
      <c r="O540"/>
      <c r="P540"/>
      <c r="R540" s="87"/>
      <c r="S540" s="87"/>
    </row>
    <row r="541" spans="2:19" hidden="1" x14ac:dyDescent="0.25">
      <c r="B541" s="3" t="s">
        <v>993</v>
      </c>
      <c r="C541" s="3" t="s">
        <v>95</v>
      </c>
      <c r="D541" s="3" t="s">
        <v>1092</v>
      </c>
      <c r="E541" s="3" t="s">
        <v>106</v>
      </c>
      <c r="F541" s="3" t="s">
        <v>133</v>
      </c>
      <c r="G541" s="6">
        <v>647.5</v>
      </c>
      <c r="H541" s="86">
        <f t="shared" si="12"/>
        <v>98.77118644067798</v>
      </c>
      <c r="I541" s="3" t="s">
        <v>18</v>
      </c>
      <c r="O541"/>
      <c r="P541"/>
    </row>
    <row r="542" spans="2:19" x14ac:dyDescent="0.25">
      <c r="B542" s="3" t="s">
        <v>295</v>
      </c>
      <c r="C542" s="3" t="s">
        <v>74</v>
      </c>
      <c r="D542" s="3" t="s">
        <v>304</v>
      </c>
      <c r="E542" s="3" t="s">
        <v>90</v>
      </c>
      <c r="F542" s="3" t="s">
        <v>120</v>
      </c>
      <c r="G542" s="6">
        <v>81</v>
      </c>
      <c r="H542" s="6">
        <f t="shared" si="12"/>
        <v>12.355932203389827</v>
      </c>
      <c r="I542" s="6" t="s">
        <v>18</v>
      </c>
      <c r="R542" s="87"/>
      <c r="S542" s="87"/>
    </row>
    <row r="543" spans="2:19" hidden="1" x14ac:dyDescent="0.25">
      <c r="B543" s="3" t="s">
        <v>1080</v>
      </c>
      <c r="C543" s="3" t="s">
        <v>94</v>
      </c>
      <c r="D543" s="3" t="s">
        <v>1136</v>
      </c>
      <c r="E543" s="3" t="s">
        <v>106</v>
      </c>
      <c r="F543" s="3" t="s">
        <v>133</v>
      </c>
      <c r="G543" s="6">
        <v>574.875</v>
      </c>
      <c r="H543" s="86">
        <f t="shared" si="12"/>
        <v>87.692796610169466</v>
      </c>
      <c r="I543" s="3" t="s">
        <v>18</v>
      </c>
      <c r="O543"/>
      <c r="P543"/>
      <c r="R543" s="87"/>
      <c r="S543" s="87"/>
    </row>
    <row r="544" spans="2:19" x14ac:dyDescent="0.25">
      <c r="B544" s="3" t="s">
        <v>1528</v>
      </c>
      <c r="C544" s="3" t="s">
        <v>74</v>
      </c>
      <c r="D544" s="3" t="s">
        <v>304</v>
      </c>
      <c r="E544" s="3" t="s">
        <v>90</v>
      </c>
      <c r="F544" s="3" t="s">
        <v>131</v>
      </c>
      <c r="G544" s="6">
        <v>81</v>
      </c>
      <c r="H544" s="6">
        <f t="shared" si="12"/>
        <v>12.355932203389827</v>
      </c>
      <c r="I544" s="3" t="s">
        <v>18</v>
      </c>
      <c r="J544" s="19"/>
      <c r="K544" s="19"/>
      <c r="O544"/>
      <c r="P544"/>
      <c r="R544" s="87"/>
      <c r="S544" s="87"/>
    </row>
    <row r="545" spans="2:19" hidden="1" x14ac:dyDescent="0.25">
      <c r="B545" s="3" t="s">
        <v>950</v>
      </c>
      <c r="C545" s="3" t="s">
        <v>96</v>
      </c>
      <c r="D545" s="3" t="s">
        <v>1728</v>
      </c>
      <c r="E545" s="3" t="s">
        <v>71</v>
      </c>
      <c r="F545" s="3" t="s">
        <v>133</v>
      </c>
      <c r="G545" s="6">
        <v>358</v>
      </c>
      <c r="H545" s="86">
        <f t="shared" ref="H545:H547" si="13">G545-G545/1.18</f>
        <v>54.610169491525426</v>
      </c>
      <c r="I545" s="3" t="s">
        <v>18</v>
      </c>
      <c r="J545" t="s">
        <v>1707</v>
      </c>
      <c r="L545">
        <v>603</v>
      </c>
      <c r="N545">
        <v>110</v>
      </c>
      <c r="O545"/>
      <c r="P545" t="s">
        <v>718</v>
      </c>
      <c r="R545" s="87"/>
      <c r="S545" s="87"/>
    </row>
    <row r="546" spans="2:19" hidden="1" x14ac:dyDescent="0.25">
      <c r="B546" s="3" t="s">
        <v>1082</v>
      </c>
      <c r="C546" s="3" t="s">
        <v>74</v>
      </c>
      <c r="D546" s="3" t="s">
        <v>1138</v>
      </c>
      <c r="E546" s="3" t="s">
        <v>106</v>
      </c>
      <c r="F546" s="3" t="s">
        <v>133</v>
      </c>
      <c r="G546" s="6">
        <v>320.25</v>
      </c>
      <c r="H546" s="86">
        <f t="shared" si="13"/>
        <v>48.8516949152542</v>
      </c>
      <c r="I546" s="3" t="s">
        <v>18</v>
      </c>
      <c r="O546"/>
      <c r="P546"/>
      <c r="R546" s="87"/>
      <c r="S546" s="87"/>
    </row>
    <row r="547" spans="2:19" hidden="1" x14ac:dyDescent="0.25">
      <c r="B547" s="3" t="s">
        <v>1074</v>
      </c>
      <c r="C547" s="3" t="s">
        <v>74</v>
      </c>
      <c r="D547" s="3" t="s">
        <v>1130</v>
      </c>
      <c r="E547" s="3" t="s">
        <v>106</v>
      </c>
      <c r="F547" s="3" t="s">
        <v>133</v>
      </c>
      <c r="G547" s="6">
        <v>217</v>
      </c>
      <c r="H547" s="86">
        <f t="shared" si="13"/>
        <v>33.101694915254228</v>
      </c>
      <c r="I547" s="3" t="s">
        <v>18</v>
      </c>
      <c r="O547"/>
      <c r="P547"/>
      <c r="R547" s="87"/>
      <c r="S547" s="87"/>
    </row>
    <row r="548" spans="2:19" x14ac:dyDescent="0.25">
      <c r="B548" s="3"/>
      <c r="C548" s="3"/>
      <c r="D548" s="3"/>
      <c r="E548" s="3"/>
      <c r="F548" s="3"/>
      <c r="G548" s="6"/>
      <c r="H548" s="6"/>
      <c r="I548" s="3"/>
      <c r="O548"/>
      <c r="P548"/>
      <c r="R548" s="87"/>
      <c r="S548" s="87"/>
    </row>
    <row r="549" spans="2:19" x14ac:dyDescent="0.25">
      <c r="B549" s="3"/>
      <c r="C549" s="3"/>
      <c r="D549" s="3"/>
      <c r="E549" s="3"/>
      <c r="F549" s="3"/>
      <c r="G549" s="6"/>
      <c r="H549" s="6"/>
      <c r="I549" s="3"/>
      <c r="O549"/>
      <c r="P549"/>
    </row>
    <row r="550" spans="2:19" x14ac:dyDescent="0.25">
      <c r="B550" s="3"/>
      <c r="C550" s="3"/>
      <c r="D550" s="3"/>
      <c r="E550" s="3"/>
      <c r="F550" s="3"/>
      <c r="G550" s="6"/>
      <c r="H550" s="6"/>
      <c r="I550" s="3"/>
      <c r="O550"/>
      <c r="P550"/>
      <c r="R550" s="87"/>
      <c r="S550" s="87"/>
    </row>
    <row r="551" spans="2:19" x14ac:dyDescent="0.25">
      <c r="B551" s="3"/>
      <c r="C551" s="3"/>
      <c r="D551" s="3"/>
      <c r="E551" s="3"/>
      <c r="F551" s="3"/>
      <c r="G551" s="6"/>
      <c r="H551" s="6"/>
      <c r="I551" s="3"/>
      <c r="O551"/>
      <c r="P551"/>
      <c r="R551" s="87"/>
      <c r="S551" s="87"/>
    </row>
    <row r="552" spans="2:19" x14ac:dyDescent="0.25">
      <c r="B552" s="3"/>
      <c r="C552" s="3"/>
      <c r="D552" s="3"/>
      <c r="E552" s="3"/>
      <c r="F552" s="3"/>
      <c r="G552" s="6"/>
      <c r="H552" s="6"/>
      <c r="I552" s="3"/>
      <c r="O552"/>
      <c r="P552"/>
      <c r="R552" s="87"/>
      <c r="S552" s="87"/>
    </row>
    <row r="553" spans="2:19" x14ac:dyDescent="0.25">
      <c r="B553" s="3"/>
      <c r="C553" s="3"/>
      <c r="D553" s="3"/>
      <c r="E553" s="3"/>
      <c r="F553" s="3"/>
      <c r="G553" s="6"/>
      <c r="H553" s="6"/>
      <c r="I553" s="3"/>
      <c r="O553"/>
      <c r="P553"/>
      <c r="R553" s="87"/>
      <c r="S553" s="87"/>
    </row>
    <row r="554" spans="2:19" x14ac:dyDescent="0.25">
      <c r="B554" s="3"/>
      <c r="C554" s="3"/>
      <c r="D554" s="3"/>
      <c r="E554" s="3"/>
      <c r="F554" s="3"/>
      <c r="G554" s="6"/>
      <c r="H554" s="6"/>
      <c r="I554" s="3"/>
      <c r="O554"/>
      <c r="P554"/>
      <c r="R554" s="87"/>
      <c r="S554" s="87"/>
    </row>
    <row r="555" spans="2:19" x14ac:dyDescent="0.25">
      <c r="B555" s="3"/>
      <c r="C555" s="3"/>
      <c r="D555" s="3"/>
      <c r="E555" s="3"/>
      <c r="F555" s="3"/>
      <c r="G555" s="6"/>
      <c r="H555" s="6"/>
      <c r="I555" s="3"/>
      <c r="O555"/>
      <c r="P555"/>
      <c r="R555" s="87"/>
      <c r="S555" s="87"/>
    </row>
    <row r="556" spans="2:19" x14ac:dyDescent="0.25">
      <c r="B556" s="3"/>
      <c r="C556" s="3"/>
      <c r="D556" s="3"/>
      <c r="E556" s="3"/>
      <c r="F556" s="3"/>
      <c r="G556" s="6"/>
      <c r="H556" s="6"/>
      <c r="I556" s="3"/>
      <c r="O556"/>
      <c r="P556"/>
    </row>
    <row r="557" spans="2:19" x14ac:dyDescent="0.25">
      <c r="B557" s="3"/>
      <c r="C557" s="3"/>
      <c r="D557" s="3"/>
      <c r="E557" s="3"/>
      <c r="F557" s="3"/>
      <c r="G557" s="6"/>
      <c r="H557" s="6"/>
      <c r="I557" s="3"/>
      <c r="O557"/>
      <c r="P557"/>
      <c r="R557" s="87"/>
      <c r="S557" s="87"/>
    </row>
    <row r="558" spans="2:19" x14ac:dyDescent="0.25">
      <c r="B558" s="3"/>
      <c r="C558" s="3"/>
      <c r="D558" s="3"/>
      <c r="E558" s="3"/>
      <c r="F558" s="3"/>
      <c r="G558" s="6"/>
      <c r="H558" s="6"/>
      <c r="I558" s="3"/>
      <c r="O558"/>
      <c r="P558"/>
      <c r="R558" s="87"/>
      <c r="S558" s="87"/>
    </row>
    <row r="559" spans="2:19" x14ac:dyDescent="0.25">
      <c r="B559" s="3"/>
      <c r="C559" s="3"/>
      <c r="D559" s="3"/>
      <c r="E559" s="3"/>
      <c r="F559" s="3"/>
      <c r="G559" s="6"/>
      <c r="H559" s="6"/>
      <c r="I559" s="3"/>
      <c r="O559"/>
      <c r="P559"/>
      <c r="R559" s="87"/>
      <c r="S559" s="87"/>
    </row>
    <row r="560" spans="2:19" x14ac:dyDescent="0.25">
      <c r="B560" s="3"/>
      <c r="C560" s="3"/>
      <c r="D560" s="3"/>
      <c r="E560" s="3"/>
      <c r="F560" s="3"/>
      <c r="G560" s="6"/>
      <c r="H560" s="6"/>
      <c r="I560" s="3"/>
      <c r="O560"/>
      <c r="P560"/>
      <c r="R560" s="87"/>
      <c r="S560" s="87"/>
    </row>
    <row r="561" spans="2:19" x14ac:dyDescent="0.25">
      <c r="B561" s="3"/>
      <c r="C561" s="3"/>
      <c r="D561" s="3"/>
      <c r="E561" s="3"/>
      <c r="F561" s="3"/>
      <c r="G561" s="6"/>
      <c r="H561" s="6"/>
      <c r="I561" s="3"/>
      <c r="O561"/>
      <c r="P561"/>
      <c r="R561" s="87"/>
      <c r="S561" s="87"/>
    </row>
    <row r="562" spans="2:19" x14ac:dyDescent="0.25">
      <c r="B562" s="3"/>
      <c r="C562" s="3"/>
      <c r="D562" s="3"/>
      <c r="E562" s="3"/>
      <c r="F562" s="3"/>
      <c r="G562" s="6"/>
      <c r="H562" s="6"/>
      <c r="I562" s="3"/>
      <c r="O562"/>
      <c r="P562"/>
      <c r="R562" s="87"/>
      <c r="S562" s="87"/>
    </row>
    <row r="563" spans="2:19" x14ac:dyDescent="0.25">
      <c r="B563" s="3"/>
      <c r="C563" s="3"/>
      <c r="D563" s="3"/>
      <c r="E563" s="3"/>
      <c r="F563" s="3"/>
      <c r="G563" s="6"/>
      <c r="H563" s="6"/>
      <c r="I563" s="3"/>
      <c r="O563"/>
      <c r="P563"/>
    </row>
    <row r="564" spans="2:19" x14ac:dyDescent="0.25">
      <c r="B564" s="3"/>
      <c r="C564" s="3"/>
      <c r="D564" s="3"/>
      <c r="E564" s="3"/>
      <c r="F564" s="3"/>
      <c r="G564" s="6"/>
      <c r="H564" s="6"/>
      <c r="I564" s="3"/>
      <c r="O564"/>
      <c r="P564"/>
      <c r="R564" s="87"/>
      <c r="S564" s="87"/>
    </row>
    <row r="565" spans="2:19" x14ac:dyDescent="0.25">
      <c r="B565" s="3"/>
      <c r="C565" s="3"/>
      <c r="D565" s="3"/>
      <c r="E565" s="3"/>
      <c r="F565" s="3"/>
      <c r="G565" s="6"/>
      <c r="H565" s="6"/>
      <c r="I565" s="3"/>
      <c r="O565"/>
      <c r="P565"/>
      <c r="R565" s="87"/>
      <c r="S565" s="87"/>
    </row>
    <row r="566" spans="2:19" x14ac:dyDescent="0.25">
      <c r="B566" s="3"/>
      <c r="C566" s="3"/>
      <c r="D566" s="3"/>
      <c r="E566" s="3"/>
      <c r="F566" s="3"/>
      <c r="G566" s="6"/>
      <c r="H566" s="6"/>
      <c r="I566" s="3"/>
      <c r="O566"/>
      <c r="P566"/>
      <c r="R566" s="87"/>
      <c r="S566" s="87"/>
    </row>
    <row r="567" spans="2:19" x14ac:dyDescent="0.25">
      <c r="B567" s="3"/>
      <c r="C567" s="3"/>
      <c r="D567" s="3"/>
      <c r="E567" s="3"/>
      <c r="F567" s="3"/>
      <c r="G567" s="6"/>
      <c r="H567" s="6"/>
      <c r="I567" s="3"/>
      <c r="O567"/>
      <c r="P567"/>
      <c r="R567" s="87"/>
      <c r="S567" s="87"/>
    </row>
    <row r="568" spans="2:19" x14ac:dyDescent="0.25">
      <c r="B568" s="3"/>
      <c r="C568" s="3"/>
      <c r="D568" s="3"/>
      <c r="E568" s="3"/>
      <c r="F568" s="3"/>
      <c r="G568" s="6"/>
      <c r="H568" s="6"/>
      <c r="I568" s="3"/>
      <c r="O568"/>
      <c r="P568"/>
      <c r="R568" s="87"/>
      <c r="S568" s="87"/>
    </row>
    <row r="569" spans="2:19" x14ac:dyDescent="0.25">
      <c r="B569" s="3"/>
      <c r="C569" s="3"/>
      <c r="D569" s="3"/>
      <c r="E569" s="3"/>
      <c r="F569" s="3"/>
      <c r="G569" s="6"/>
      <c r="H569" s="6"/>
      <c r="I569" s="3"/>
      <c r="O569"/>
      <c r="P569"/>
      <c r="R569" s="87"/>
      <c r="S569" s="87"/>
    </row>
    <row r="570" spans="2:19" x14ac:dyDescent="0.25">
      <c r="B570" s="3"/>
      <c r="C570" s="3"/>
      <c r="D570" s="3"/>
      <c r="E570" s="3"/>
      <c r="F570" s="3"/>
      <c r="G570" s="6"/>
      <c r="H570" s="6"/>
      <c r="I570" s="3"/>
      <c r="O570"/>
      <c r="P570"/>
    </row>
    <row r="571" spans="2:19" x14ac:dyDescent="0.25">
      <c r="B571" s="3"/>
      <c r="C571" s="3"/>
      <c r="D571" s="3"/>
      <c r="E571" s="3"/>
      <c r="F571" s="3"/>
      <c r="G571" s="6"/>
      <c r="H571" s="6"/>
      <c r="I571" s="3"/>
      <c r="O571"/>
      <c r="P571"/>
      <c r="R571" s="87"/>
      <c r="S571" s="87"/>
    </row>
    <row r="572" spans="2:19" x14ac:dyDescent="0.25">
      <c r="B572" s="3"/>
      <c r="C572" s="3"/>
      <c r="D572" s="3"/>
      <c r="E572" s="3"/>
      <c r="F572" s="3"/>
      <c r="G572" s="6"/>
      <c r="H572" s="6"/>
      <c r="I572" s="3"/>
      <c r="O572"/>
      <c r="P572"/>
      <c r="R572" s="87"/>
      <c r="S572" s="87"/>
    </row>
    <row r="573" spans="2:19" x14ac:dyDescent="0.25">
      <c r="B573" s="3"/>
      <c r="C573" s="3"/>
      <c r="D573" s="3"/>
      <c r="E573" s="3"/>
      <c r="F573" s="3"/>
      <c r="G573" s="6"/>
      <c r="H573" s="6"/>
      <c r="I573" s="3"/>
      <c r="O573"/>
      <c r="P573"/>
      <c r="R573" s="87"/>
      <c r="S573" s="87"/>
    </row>
    <row r="574" spans="2:19" x14ac:dyDescent="0.25">
      <c r="B574" s="3"/>
      <c r="C574" s="3"/>
      <c r="D574" s="3"/>
      <c r="E574" s="3"/>
      <c r="F574" s="3"/>
      <c r="G574" s="6"/>
      <c r="H574" s="6"/>
      <c r="I574" s="3"/>
      <c r="O574"/>
      <c r="P574"/>
      <c r="R574" s="87"/>
      <c r="S574" s="87"/>
    </row>
    <row r="575" spans="2:19" x14ac:dyDescent="0.25">
      <c r="B575" s="3"/>
      <c r="C575" s="3"/>
      <c r="D575" s="3"/>
      <c r="E575" s="3"/>
      <c r="F575" s="3"/>
      <c r="G575" s="6"/>
      <c r="H575" s="6"/>
      <c r="I575" s="3"/>
      <c r="O575"/>
      <c r="P575"/>
      <c r="R575" s="87"/>
      <c r="S575" s="87"/>
    </row>
    <row r="576" spans="2:19" x14ac:dyDescent="0.25">
      <c r="B576" s="3"/>
      <c r="C576" s="3"/>
      <c r="D576" s="3"/>
      <c r="E576" s="3"/>
      <c r="F576" s="3"/>
      <c r="G576" s="6"/>
      <c r="H576" s="6"/>
      <c r="I576" s="3"/>
      <c r="O576"/>
      <c r="P576"/>
      <c r="R576" s="87"/>
      <c r="S576" s="87"/>
    </row>
    <row r="577" spans="2:19" x14ac:dyDescent="0.25">
      <c r="B577" s="3"/>
      <c r="C577" s="3"/>
      <c r="D577" s="3"/>
      <c r="E577" s="3"/>
      <c r="F577" s="3"/>
      <c r="G577" s="6"/>
      <c r="H577" s="6"/>
      <c r="I577" s="3"/>
      <c r="O577"/>
      <c r="P577"/>
    </row>
    <row r="578" spans="2:19" x14ac:dyDescent="0.25">
      <c r="B578" s="3"/>
      <c r="C578" s="3"/>
      <c r="D578" s="3"/>
      <c r="E578" s="3"/>
      <c r="F578" s="3"/>
      <c r="G578" s="6"/>
      <c r="H578" s="6"/>
      <c r="I578" s="3"/>
      <c r="O578"/>
      <c r="P578"/>
      <c r="R578" s="87"/>
      <c r="S578" s="87"/>
    </row>
    <row r="579" spans="2:19" x14ac:dyDescent="0.25">
      <c r="B579" s="3"/>
      <c r="C579" s="3"/>
      <c r="D579" s="3"/>
      <c r="E579" s="3"/>
      <c r="F579" s="3"/>
      <c r="G579" s="6"/>
      <c r="H579" s="6"/>
      <c r="I579" s="3"/>
      <c r="O579"/>
      <c r="P579"/>
      <c r="R579" s="87"/>
      <c r="S579" s="87"/>
    </row>
    <row r="580" spans="2:19" x14ac:dyDescent="0.25">
      <c r="B580" s="3"/>
      <c r="C580" s="3"/>
      <c r="D580" s="3"/>
      <c r="E580" s="3"/>
      <c r="F580" s="3"/>
      <c r="G580" s="6"/>
      <c r="H580" s="6"/>
      <c r="I580" s="3"/>
      <c r="O580"/>
      <c r="P580"/>
      <c r="R580" s="87"/>
      <c r="S580" s="87"/>
    </row>
    <row r="581" spans="2:19" x14ac:dyDescent="0.25">
      <c r="B581" s="3"/>
      <c r="C581" s="3"/>
      <c r="D581" s="3"/>
      <c r="E581" s="3"/>
      <c r="F581" s="3"/>
      <c r="G581" s="6"/>
      <c r="H581" s="6"/>
      <c r="I581" s="3"/>
      <c r="O581"/>
      <c r="P581"/>
      <c r="R581" s="87"/>
      <c r="S581" s="87"/>
    </row>
    <row r="582" spans="2:19" x14ac:dyDescent="0.25">
      <c r="B582" s="3"/>
      <c r="C582" s="3"/>
      <c r="D582" s="3"/>
      <c r="E582" s="3"/>
      <c r="F582" s="3"/>
      <c r="G582" s="6"/>
      <c r="H582" s="6"/>
      <c r="I582" s="3"/>
      <c r="O582"/>
      <c r="P582"/>
      <c r="R582" s="87"/>
      <c r="S582" s="87"/>
    </row>
    <row r="583" spans="2:19" x14ac:dyDescent="0.25">
      <c r="B583" s="3"/>
      <c r="C583" s="3"/>
      <c r="D583" s="3"/>
      <c r="E583" s="3"/>
      <c r="F583" s="3"/>
      <c r="G583" s="6"/>
      <c r="H583" s="6"/>
      <c r="I583" s="3"/>
      <c r="O583"/>
      <c r="P583"/>
      <c r="R583" s="87"/>
      <c r="S583" s="87"/>
    </row>
    <row r="584" spans="2:19" x14ac:dyDescent="0.25">
      <c r="B584" s="3"/>
      <c r="C584" s="3"/>
      <c r="D584" s="3"/>
      <c r="E584" s="3"/>
      <c r="F584" s="3"/>
      <c r="G584" s="6"/>
      <c r="H584" s="6"/>
      <c r="I584" s="3"/>
      <c r="O584"/>
      <c r="P584"/>
    </row>
    <row r="585" spans="2:19" x14ac:dyDescent="0.25">
      <c r="B585" s="3"/>
      <c r="C585" s="3"/>
      <c r="D585" s="3"/>
      <c r="E585" s="3"/>
      <c r="F585" s="3"/>
      <c r="G585" s="6"/>
      <c r="H585" s="6"/>
      <c r="I585" s="3"/>
      <c r="O585"/>
      <c r="P585"/>
      <c r="R585" s="87"/>
      <c r="S585" s="87"/>
    </row>
    <row r="586" spans="2:19" x14ac:dyDescent="0.25">
      <c r="B586" s="3"/>
      <c r="C586" s="3"/>
      <c r="D586" s="3"/>
      <c r="E586" s="3"/>
      <c r="F586" s="3"/>
      <c r="G586" s="6"/>
      <c r="H586" s="6"/>
      <c r="I586" s="3"/>
      <c r="O586"/>
      <c r="P586"/>
      <c r="R586" s="87"/>
      <c r="S586" s="87"/>
    </row>
    <row r="587" spans="2:19" x14ac:dyDescent="0.25">
      <c r="B587" s="3"/>
      <c r="C587" s="3"/>
      <c r="D587" s="3"/>
      <c r="E587" s="3"/>
      <c r="F587" s="3"/>
      <c r="G587" s="6"/>
      <c r="H587" s="6"/>
      <c r="I587" s="3"/>
      <c r="O587"/>
      <c r="P587"/>
      <c r="R587" s="87"/>
      <c r="S587" s="87"/>
    </row>
    <row r="588" spans="2:19" x14ac:dyDescent="0.25">
      <c r="B588" s="3"/>
      <c r="C588" s="3"/>
      <c r="D588" s="3"/>
      <c r="E588" s="3"/>
      <c r="F588" s="3"/>
      <c r="G588" s="6"/>
      <c r="H588" s="6"/>
      <c r="I588" s="3"/>
      <c r="O588"/>
      <c r="P588"/>
      <c r="R588" s="87"/>
      <c r="S588" s="87"/>
    </row>
    <row r="589" spans="2:19" x14ac:dyDescent="0.25">
      <c r="B589" s="3"/>
      <c r="C589" s="3"/>
      <c r="D589" s="3"/>
      <c r="E589" s="3"/>
      <c r="F589" s="3"/>
      <c r="G589" s="6"/>
      <c r="H589" s="6"/>
      <c r="I589" s="3"/>
      <c r="O589"/>
      <c r="P589"/>
      <c r="R589" s="87"/>
      <c r="S589" s="87"/>
    </row>
    <row r="590" spans="2:19" x14ac:dyDescent="0.25">
      <c r="B590" s="3"/>
      <c r="C590" s="3"/>
      <c r="D590" s="3"/>
      <c r="E590" s="3"/>
      <c r="F590" s="3"/>
      <c r="G590" s="6"/>
      <c r="H590" s="6"/>
      <c r="I590" s="3"/>
      <c r="O590"/>
      <c r="P590"/>
      <c r="R590" s="87"/>
      <c r="S590" s="87"/>
    </row>
    <row r="591" spans="2:19" x14ac:dyDescent="0.25">
      <c r="B591" s="3"/>
      <c r="C591" s="3"/>
      <c r="D591" s="3"/>
      <c r="E591" s="3"/>
      <c r="F591" s="3"/>
      <c r="G591" s="6"/>
      <c r="H591" s="6"/>
      <c r="I591" s="3"/>
      <c r="O591"/>
      <c r="P591"/>
    </row>
    <row r="592" spans="2:19" x14ac:dyDescent="0.25">
      <c r="B592" s="3"/>
      <c r="C592" s="3"/>
      <c r="D592" s="3"/>
      <c r="E592" s="3"/>
      <c r="F592" s="3"/>
      <c r="G592" s="6"/>
      <c r="H592" s="6"/>
      <c r="I592" s="3"/>
      <c r="O592"/>
      <c r="P592"/>
      <c r="R592" s="87"/>
      <c r="S592" s="87"/>
    </row>
    <row r="593" spans="2:19" x14ac:dyDescent="0.25">
      <c r="B593" s="3"/>
      <c r="C593" s="3"/>
      <c r="D593" s="3"/>
      <c r="E593" s="3"/>
      <c r="F593" s="3"/>
      <c r="G593" s="6"/>
      <c r="H593" s="6"/>
      <c r="I593" s="3"/>
      <c r="O593"/>
      <c r="P593"/>
      <c r="R593" s="87"/>
      <c r="S593" s="87"/>
    </row>
    <row r="594" spans="2:19" x14ac:dyDescent="0.25">
      <c r="B594" s="3"/>
      <c r="C594" s="3"/>
      <c r="D594" s="3"/>
      <c r="E594" s="3"/>
      <c r="F594" s="3"/>
      <c r="G594" s="6"/>
      <c r="H594" s="6"/>
      <c r="I594" s="3"/>
      <c r="O594"/>
      <c r="P594"/>
      <c r="R594" s="87"/>
      <c r="S594" s="87"/>
    </row>
    <row r="595" spans="2:19" x14ac:dyDescent="0.25">
      <c r="B595" s="3"/>
      <c r="C595" s="3"/>
      <c r="D595" s="3"/>
      <c r="E595" s="3"/>
      <c r="F595" s="3"/>
      <c r="G595" s="6"/>
      <c r="H595" s="6"/>
      <c r="I595" s="3"/>
      <c r="O595"/>
      <c r="P595"/>
      <c r="R595" s="87"/>
      <c r="S595" s="87"/>
    </row>
    <row r="596" spans="2:19" x14ac:dyDescent="0.25">
      <c r="B596" s="3"/>
      <c r="C596" s="3"/>
      <c r="D596" s="3"/>
      <c r="E596" s="3"/>
      <c r="F596" s="3"/>
      <c r="G596" s="6"/>
      <c r="H596" s="6"/>
      <c r="I596" s="3"/>
      <c r="O596"/>
      <c r="P596"/>
      <c r="R596" s="87"/>
      <c r="S596" s="87"/>
    </row>
    <row r="597" spans="2:19" x14ac:dyDescent="0.25">
      <c r="B597" s="3"/>
      <c r="C597" s="3"/>
      <c r="D597" s="3"/>
      <c r="E597" s="3"/>
      <c r="F597" s="3"/>
      <c r="G597" s="6"/>
      <c r="H597" s="6"/>
      <c r="I597" s="3"/>
      <c r="O597"/>
      <c r="P597"/>
      <c r="R597" s="87"/>
      <c r="S597" s="87"/>
    </row>
    <row r="598" spans="2:19" x14ac:dyDescent="0.25">
      <c r="B598" s="3"/>
      <c r="C598" s="3"/>
      <c r="D598" s="3"/>
      <c r="E598" s="3"/>
      <c r="F598" s="3"/>
      <c r="G598" s="6"/>
      <c r="H598" s="6"/>
      <c r="I598" s="3"/>
      <c r="O598"/>
      <c r="P598"/>
    </row>
    <row r="599" spans="2:19" x14ac:dyDescent="0.25">
      <c r="B599" s="3"/>
      <c r="C599" s="3"/>
      <c r="D599" s="3"/>
      <c r="E599" s="3"/>
      <c r="F599" s="3"/>
      <c r="G599" s="6"/>
      <c r="H599" s="6"/>
      <c r="I599" s="3"/>
      <c r="O599"/>
      <c r="P599"/>
      <c r="R599" s="87"/>
      <c r="S599" s="87"/>
    </row>
    <row r="600" spans="2:19" x14ac:dyDescent="0.25">
      <c r="B600" s="3"/>
      <c r="C600" s="3"/>
      <c r="D600" s="3"/>
      <c r="E600" s="3"/>
      <c r="F600" s="3"/>
      <c r="G600" s="6"/>
      <c r="H600" s="6"/>
      <c r="I600" s="3"/>
      <c r="O600"/>
      <c r="P600"/>
      <c r="R600" s="87"/>
      <c r="S600" s="87"/>
    </row>
    <row r="601" spans="2:19" x14ac:dyDescent="0.25">
      <c r="B601" s="3"/>
      <c r="C601" s="3"/>
      <c r="D601" s="3"/>
      <c r="E601" s="3"/>
      <c r="F601" s="3"/>
      <c r="G601" s="6"/>
      <c r="H601" s="6"/>
      <c r="I601" s="3"/>
      <c r="O601"/>
      <c r="P601"/>
      <c r="R601" s="87"/>
      <c r="S601" s="87"/>
    </row>
    <row r="602" spans="2:19" x14ac:dyDescent="0.25">
      <c r="B602" s="3"/>
      <c r="C602" s="3"/>
      <c r="D602" s="3"/>
      <c r="E602" s="3"/>
      <c r="F602" s="3"/>
      <c r="G602" s="6"/>
      <c r="H602" s="6"/>
      <c r="I602" s="3"/>
      <c r="O602"/>
      <c r="P602"/>
      <c r="R602" s="87"/>
      <c r="S602" s="87"/>
    </row>
    <row r="603" spans="2:19" x14ac:dyDescent="0.25">
      <c r="B603" s="3"/>
      <c r="C603" s="3"/>
      <c r="D603" s="3"/>
      <c r="E603" s="3"/>
      <c r="F603" s="3"/>
      <c r="G603" s="6"/>
      <c r="H603" s="6"/>
      <c r="I603" s="3"/>
      <c r="O603"/>
      <c r="P603"/>
      <c r="R603" s="87"/>
      <c r="S603" s="87"/>
    </row>
    <row r="604" spans="2:19" x14ac:dyDescent="0.25">
      <c r="B604" s="3"/>
      <c r="C604" s="3"/>
      <c r="D604" s="3"/>
      <c r="E604" s="3"/>
      <c r="F604" s="3"/>
      <c r="G604" s="6"/>
      <c r="H604" s="6"/>
      <c r="I604" s="3"/>
      <c r="O604"/>
      <c r="P604"/>
      <c r="R604" s="87"/>
      <c r="S604" s="87"/>
    </row>
    <row r="605" spans="2:19" x14ac:dyDescent="0.25">
      <c r="B605" s="3"/>
      <c r="C605" s="3"/>
      <c r="D605" s="3"/>
      <c r="E605" s="3"/>
      <c r="F605" s="3"/>
      <c r="G605" s="6"/>
      <c r="H605" s="6"/>
      <c r="I605" s="3"/>
      <c r="O605"/>
      <c r="P605"/>
    </row>
    <row r="606" spans="2:19" x14ac:dyDescent="0.25">
      <c r="B606" s="3"/>
      <c r="C606" s="3"/>
      <c r="D606" s="3"/>
      <c r="E606" s="3"/>
      <c r="F606" s="3"/>
      <c r="G606" s="6"/>
      <c r="H606" s="6"/>
      <c r="I606" s="3"/>
      <c r="O606"/>
      <c r="P606"/>
      <c r="R606" s="87"/>
      <c r="S606" s="87"/>
    </row>
    <row r="607" spans="2:19" x14ac:dyDescent="0.25">
      <c r="B607" s="3"/>
      <c r="C607" s="3"/>
      <c r="D607" s="3"/>
      <c r="E607" s="3"/>
      <c r="F607" s="3"/>
      <c r="G607" s="6"/>
      <c r="H607" s="6"/>
      <c r="I607" s="3"/>
      <c r="O607"/>
      <c r="P607"/>
      <c r="R607" s="87"/>
      <c r="S607" s="87"/>
    </row>
    <row r="608" spans="2:19" x14ac:dyDescent="0.25">
      <c r="B608" s="3"/>
      <c r="C608" s="3"/>
      <c r="D608" s="3"/>
      <c r="E608" s="3"/>
      <c r="F608" s="3"/>
      <c r="G608" s="6"/>
      <c r="H608" s="6"/>
      <c r="I608" s="3"/>
      <c r="O608"/>
      <c r="P608"/>
      <c r="R608" s="87"/>
      <c r="S608" s="87"/>
    </row>
    <row r="609" spans="2:19" x14ac:dyDescent="0.25">
      <c r="B609" s="3"/>
      <c r="C609" s="3"/>
      <c r="D609" s="3"/>
      <c r="E609" s="3"/>
      <c r="F609" s="3"/>
      <c r="G609" s="6"/>
      <c r="H609" s="6"/>
      <c r="I609" s="3"/>
      <c r="O609"/>
      <c r="P609"/>
      <c r="R609" s="87"/>
      <c r="S609" s="87"/>
    </row>
    <row r="610" spans="2:19" x14ac:dyDescent="0.25">
      <c r="B610" s="3"/>
      <c r="C610" s="3"/>
      <c r="D610" s="3"/>
      <c r="E610" s="3"/>
      <c r="F610" s="3"/>
      <c r="G610" s="6"/>
      <c r="H610" s="6"/>
      <c r="I610" s="3"/>
      <c r="O610"/>
      <c r="P610"/>
      <c r="R610" s="87"/>
      <c r="S610" s="87"/>
    </row>
    <row r="611" spans="2:19" x14ac:dyDescent="0.25">
      <c r="B611" s="3"/>
      <c r="C611" s="3"/>
      <c r="D611" s="3"/>
      <c r="E611" s="3"/>
      <c r="F611" s="3"/>
      <c r="G611" s="6"/>
      <c r="H611" s="6"/>
      <c r="I611" s="3"/>
      <c r="O611"/>
      <c r="P611"/>
      <c r="R611" s="87"/>
      <c r="S611" s="87"/>
    </row>
    <row r="612" spans="2:19" x14ac:dyDescent="0.25">
      <c r="B612" s="3"/>
      <c r="C612" s="3"/>
      <c r="D612" s="3"/>
      <c r="E612" s="3"/>
      <c r="F612" s="3"/>
      <c r="G612" s="6"/>
      <c r="H612" s="6"/>
      <c r="I612" s="3"/>
      <c r="O612"/>
      <c r="P612"/>
    </row>
    <row r="613" spans="2:19" x14ac:dyDescent="0.25">
      <c r="B613" s="3"/>
      <c r="C613" s="3"/>
      <c r="D613" s="3"/>
      <c r="E613" s="3"/>
      <c r="F613" s="3"/>
      <c r="G613" s="6"/>
      <c r="H613" s="6"/>
      <c r="I613" s="3"/>
      <c r="O613"/>
      <c r="P613"/>
      <c r="R613" s="87"/>
      <c r="S613" s="87"/>
    </row>
    <row r="614" spans="2:19" x14ac:dyDescent="0.25">
      <c r="B614" s="3"/>
      <c r="C614" s="3"/>
      <c r="D614" s="3"/>
      <c r="E614" s="3"/>
      <c r="F614" s="3"/>
      <c r="G614" s="6"/>
      <c r="H614" s="6"/>
      <c r="I614" s="3"/>
      <c r="O614"/>
      <c r="P614"/>
      <c r="R614" s="87"/>
      <c r="S614" s="87"/>
    </row>
    <row r="615" spans="2:19" x14ac:dyDescent="0.25">
      <c r="B615" s="3"/>
      <c r="C615" s="3"/>
      <c r="D615" s="3"/>
      <c r="E615" s="3"/>
      <c r="F615" s="3"/>
      <c r="G615" s="6"/>
      <c r="H615" s="6"/>
      <c r="I615" s="3"/>
      <c r="O615"/>
      <c r="P615"/>
      <c r="R615" s="87"/>
      <c r="S615" s="87"/>
    </row>
    <row r="616" spans="2:19" x14ac:dyDescent="0.25">
      <c r="B616" s="3"/>
      <c r="C616" s="3"/>
      <c r="D616" s="3"/>
      <c r="E616" s="3"/>
      <c r="F616" s="3"/>
      <c r="G616" s="6"/>
      <c r="H616" s="6"/>
      <c r="I616" s="3"/>
      <c r="O616"/>
      <c r="P616"/>
      <c r="R616" s="87"/>
      <c r="S616" s="87"/>
    </row>
    <row r="617" spans="2:19" x14ac:dyDescent="0.25">
      <c r="B617" s="3"/>
      <c r="C617" s="3"/>
      <c r="D617" s="3"/>
      <c r="E617" s="3"/>
      <c r="F617" s="3"/>
      <c r="G617" s="6"/>
      <c r="H617" s="6"/>
      <c r="I617" s="3"/>
      <c r="O617"/>
      <c r="P617"/>
      <c r="R617" s="87"/>
      <c r="S617" s="87"/>
    </row>
    <row r="618" spans="2:19" x14ac:dyDescent="0.25">
      <c r="B618" s="3"/>
      <c r="C618" s="3"/>
      <c r="D618" s="3"/>
      <c r="E618" s="3"/>
      <c r="F618" s="3"/>
      <c r="G618" s="6"/>
      <c r="H618" s="6"/>
      <c r="I618" s="3"/>
      <c r="O618"/>
      <c r="P618"/>
      <c r="R618" s="87"/>
      <c r="S618" s="87"/>
    </row>
    <row r="619" spans="2:19" x14ac:dyDescent="0.25">
      <c r="B619" s="3"/>
      <c r="C619" s="3"/>
      <c r="D619" s="3"/>
      <c r="E619" s="3"/>
      <c r="F619" s="3"/>
      <c r="G619" s="6"/>
      <c r="H619" s="6"/>
      <c r="I619" s="3"/>
      <c r="O619"/>
      <c r="P619"/>
    </row>
    <row r="620" spans="2:19" x14ac:dyDescent="0.25">
      <c r="B620" s="3"/>
      <c r="C620" s="3"/>
      <c r="D620" s="3"/>
      <c r="E620" s="3"/>
      <c r="F620" s="3"/>
      <c r="G620" s="6"/>
      <c r="H620" s="6"/>
      <c r="I620" s="3"/>
      <c r="O620"/>
      <c r="P620"/>
      <c r="R620" s="87"/>
      <c r="S620" s="87"/>
    </row>
    <row r="621" spans="2:19" x14ac:dyDescent="0.25">
      <c r="B621" s="3"/>
      <c r="C621" s="3"/>
      <c r="D621" s="3"/>
      <c r="E621" s="3"/>
      <c r="F621" s="3"/>
      <c r="G621" s="6"/>
      <c r="H621" s="6"/>
      <c r="I621" s="3"/>
      <c r="O621"/>
      <c r="P621"/>
      <c r="R621" s="87"/>
      <c r="S621" s="87"/>
    </row>
    <row r="622" spans="2:19" x14ac:dyDescent="0.25">
      <c r="B622" s="3"/>
      <c r="C622" s="3"/>
      <c r="D622" s="3"/>
      <c r="E622" s="3"/>
      <c r="F622" s="3"/>
      <c r="G622" s="6"/>
      <c r="H622" s="6"/>
      <c r="I622" s="3"/>
      <c r="O622"/>
      <c r="P622"/>
      <c r="R622" s="87"/>
      <c r="S622" s="87"/>
    </row>
    <row r="623" spans="2:19" x14ac:dyDescent="0.25">
      <c r="B623" s="3"/>
      <c r="C623" s="3"/>
      <c r="D623" s="3"/>
      <c r="E623" s="3"/>
      <c r="F623" s="3"/>
      <c r="G623" s="6"/>
      <c r="H623" s="6"/>
      <c r="I623" s="3"/>
      <c r="O623"/>
      <c r="P623"/>
      <c r="R623" s="87"/>
      <c r="S623" s="87"/>
    </row>
    <row r="624" spans="2:19" x14ac:dyDescent="0.25">
      <c r="B624" s="3"/>
      <c r="C624" s="3"/>
      <c r="D624" s="3"/>
      <c r="E624" s="3"/>
      <c r="F624" s="3"/>
      <c r="G624" s="6"/>
      <c r="H624" s="6"/>
      <c r="I624" s="3"/>
      <c r="O624"/>
      <c r="P624"/>
      <c r="R624" s="87"/>
      <c r="S624" s="87"/>
    </row>
    <row r="625" spans="2:19" x14ac:dyDescent="0.25">
      <c r="B625" s="3"/>
      <c r="C625" s="3"/>
      <c r="D625" s="3"/>
      <c r="E625" s="3"/>
      <c r="F625" s="3"/>
      <c r="G625" s="6"/>
      <c r="H625" s="6"/>
      <c r="I625" s="3"/>
      <c r="O625"/>
      <c r="P625"/>
      <c r="R625" s="87"/>
      <c r="S625" s="87"/>
    </row>
    <row r="626" spans="2:19" x14ac:dyDescent="0.25">
      <c r="B626" s="3"/>
      <c r="C626" s="3"/>
      <c r="D626" s="3"/>
      <c r="E626" s="3"/>
      <c r="F626" s="3"/>
      <c r="G626" s="6"/>
      <c r="H626" s="6"/>
      <c r="I626" s="3"/>
      <c r="O626"/>
      <c r="P626"/>
    </row>
    <row r="627" spans="2:19" x14ac:dyDescent="0.25">
      <c r="B627" s="3"/>
      <c r="C627" s="3"/>
      <c r="D627" s="3"/>
      <c r="E627" s="3"/>
      <c r="F627" s="3"/>
      <c r="G627" s="6"/>
      <c r="H627" s="6"/>
      <c r="I627" s="3"/>
      <c r="O627"/>
      <c r="P627"/>
      <c r="R627" s="87"/>
      <c r="S627" s="87"/>
    </row>
    <row r="628" spans="2:19" x14ac:dyDescent="0.25">
      <c r="B628" s="3"/>
      <c r="C628" s="3"/>
      <c r="D628" s="3"/>
      <c r="E628" s="3"/>
      <c r="F628" s="3"/>
      <c r="G628" s="6"/>
      <c r="H628" s="6"/>
      <c r="I628" s="3"/>
      <c r="O628"/>
      <c r="P628"/>
      <c r="R628" s="87"/>
      <c r="S628" s="87"/>
    </row>
    <row r="629" spans="2:19" x14ac:dyDescent="0.25">
      <c r="B629" s="3"/>
      <c r="C629" s="3"/>
      <c r="D629" s="3"/>
      <c r="E629" s="3"/>
      <c r="F629" s="3"/>
      <c r="G629" s="6"/>
      <c r="H629" s="6"/>
      <c r="I629" s="3"/>
      <c r="O629"/>
      <c r="P629"/>
      <c r="R629" s="87"/>
      <c r="S629" s="87"/>
    </row>
    <row r="630" spans="2:19" x14ac:dyDescent="0.25">
      <c r="B630" s="3"/>
      <c r="C630" s="3"/>
      <c r="D630" s="3"/>
      <c r="E630" s="3"/>
      <c r="F630" s="3"/>
      <c r="G630" s="6"/>
      <c r="H630" s="6"/>
      <c r="I630" s="3"/>
      <c r="O630"/>
      <c r="P630"/>
      <c r="R630" s="87"/>
      <c r="S630" s="87"/>
    </row>
    <row r="631" spans="2:19" x14ac:dyDescent="0.25">
      <c r="B631" s="3"/>
      <c r="C631" s="3"/>
      <c r="D631" s="3"/>
      <c r="E631" s="3"/>
      <c r="F631" s="3"/>
      <c r="G631" s="6"/>
      <c r="H631" s="6"/>
      <c r="I631" s="3"/>
      <c r="O631"/>
      <c r="P631"/>
      <c r="R631" s="87"/>
      <c r="S631" s="87"/>
    </row>
    <row r="632" spans="2:19" x14ac:dyDescent="0.25">
      <c r="B632" s="3"/>
      <c r="C632" s="3"/>
      <c r="D632" s="3"/>
      <c r="E632" s="3"/>
      <c r="F632" s="3"/>
      <c r="G632" s="6"/>
      <c r="H632" s="6"/>
      <c r="I632" s="3"/>
      <c r="O632"/>
      <c r="P632"/>
      <c r="R632" s="87"/>
      <c r="S632" s="87"/>
    </row>
    <row r="633" spans="2:19" x14ac:dyDescent="0.25">
      <c r="B633" s="3"/>
      <c r="C633" s="3"/>
      <c r="D633" s="3"/>
      <c r="E633" s="3"/>
      <c r="F633" s="3"/>
      <c r="G633" s="6"/>
      <c r="H633" s="6"/>
      <c r="I633" s="3"/>
      <c r="O633"/>
      <c r="P633"/>
    </row>
    <row r="634" spans="2:19" x14ac:dyDescent="0.25">
      <c r="B634" s="3"/>
      <c r="C634" s="3"/>
      <c r="D634" s="3"/>
      <c r="E634" s="3"/>
      <c r="F634" s="3"/>
      <c r="G634" s="6"/>
      <c r="H634" s="6"/>
      <c r="I634" s="3"/>
      <c r="O634"/>
      <c r="P634"/>
      <c r="R634" s="87"/>
      <c r="S634" s="87"/>
    </row>
    <row r="635" spans="2:19" x14ac:dyDescent="0.25">
      <c r="B635" s="3"/>
      <c r="C635" s="3"/>
      <c r="D635" s="3"/>
      <c r="E635" s="3"/>
      <c r="F635" s="3"/>
      <c r="G635" s="6"/>
      <c r="H635" s="6"/>
      <c r="I635" s="3"/>
      <c r="O635"/>
      <c r="P635"/>
      <c r="R635" s="87"/>
      <c r="S635" s="87"/>
    </row>
    <row r="636" spans="2:19" x14ac:dyDescent="0.25">
      <c r="B636" s="3"/>
      <c r="C636" s="3"/>
      <c r="D636" s="3"/>
      <c r="E636" s="3"/>
      <c r="F636" s="3"/>
      <c r="G636" s="6"/>
      <c r="H636" s="6"/>
      <c r="I636" s="3"/>
      <c r="O636"/>
      <c r="P636"/>
      <c r="R636" s="87"/>
      <c r="S636" s="87"/>
    </row>
    <row r="637" spans="2:19" x14ac:dyDescent="0.25">
      <c r="B637" s="3"/>
      <c r="C637" s="3"/>
      <c r="D637" s="3"/>
      <c r="E637" s="3"/>
      <c r="F637" s="3"/>
      <c r="G637" s="6"/>
      <c r="H637" s="6"/>
      <c r="I637" s="3"/>
      <c r="O637"/>
      <c r="P637"/>
      <c r="R637" s="87"/>
      <c r="S637" s="87"/>
    </row>
    <row r="638" spans="2:19" x14ac:dyDescent="0.25">
      <c r="B638" s="3"/>
      <c r="C638" s="3"/>
      <c r="D638" s="3"/>
      <c r="E638" s="3"/>
      <c r="F638" s="3"/>
      <c r="G638" s="6"/>
      <c r="H638" s="6"/>
      <c r="I638" s="3"/>
      <c r="O638"/>
      <c r="P638"/>
      <c r="R638" s="87"/>
      <c r="S638" s="87"/>
    </row>
    <row r="639" spans="2:19" x14ac:dyDescent="0.25">
      <c r="B639" s="3"/>
      <c r="C639" s="3"/>
      <c r="D639" s="3"/>
      <c r="E639" s="3"/>
      <c r="F639" s="3"/>
      <c r="G639" s="6"/>
      <c r="H639" s="6"/>
      <c r="I639" s="3"/>
      <c r="O639"/>
      <c r="P639"/>
      <c r="R639" s="87"/>
      <c r="S639" s="87"/>
    </row>
    <row r="640" spans="2:19" x14ac:dyDescent="0.25">
      <c r="B640" s="3"/>
      <c r="C640" s="3"/>
      <c r="D640" s="3"/>
      <c r="E640" s="3"/>
      <c r="F640" s="3"/>
      <c r="G640" s="6"/>
      <c r="H640" s="6"/>
      <c r="I640" s="3"/>
      <c r="O640"/>
      <c r="P640"/>
    </row>
    <row r="641" spans="2:19" x14ac:dyDescent="0.25">
      <c r="B641" s="3"/>
      <c r="C641" s="3"/>
      <c r="D641" s="3"/>
      <c r="E641" s="3"/>
      <c r="F641" s="3"/>
      <c r="G641" s="6"/>
      <c r="H641" s="6"/>
      <c r="I641" s="3"/>
      <c r="O641"/>
      <c r="P641"/>
      <c r="R641" s="87"/>
      <c r="S641" s="87"/>
    </row>
    <row r="642" spans="2:19" x14ac:dyDescent="0.25">
      <c r="B642" s="3"/>
      <c r="C642" s="3"/>
      <c r="D642" s="3"/>
      <c r="E642" s="3"/>
      <c r="F642" s="3"/>
      <c r="G642" s="6"/>
      <c r="H642" s="6"/>
      <c r="I642" s="3"/>
      <c r="O642"/>
      <c r="P642"/>
      <c r="R642" s="87"/>
      <c r="S642" s="87"/>
    </row>
    <row r="643" spans="2:19" x14ac:dyDescent="0.25">
      <c r="B643" s="3"/>
      <c r="C643" s="3"/>
      <c r="D643" s="3"/>
      <c r="E643" s="3"/>
      <c r="F643" s="3"/>
      <c r="G643" s="6"/>
      <c r="H643" s="6"/>
      <c r="I643" s="3"/>
      <c r="O643"/>
      <c r="P643"/>
      <c r="R643" s="87"/>
      <c r="S643" s="87"/>
    </row>
    <row r="644" spans="2:19" x14ac:dyDescent="0.25">
      <c r="B644" s="3"/>
      <c r="C644" s="3"/>
      <c r="D644" s="3"/>
      <c r="E644" s="3"/>
      <c r="F644" s="3"/>
      <c r="G644" s="6"/>
      <c r="H644" s="6"/>
      <c r="I644" s="3"/>
      <c r="O644"/>
      <c r="P644"/>
      <c r="R644" s="87"/>
      <c r="S644" s="87"/>
    </row>
    <row r="645" spans="2:19" x14ac:dyDescent="0.25">
      <c r="B645" s="3"/>
      <c r="C645" s="3"/>
      <c r="D645" s="3"/>
      <c r="E645" s="3"/>
      <c r="F645" s="3"/>
      <c r="G645" s="6"/>
      <c r="H645" s="6"/>
      <c r="I645" s="3"/>
      <c r="O645"/>
      <c r="P645"/>
      <c r="R645" s="87"/>
      <c r="S645" s="87"/>
    </row>
    <row r="646" spans="2:19" x14ac:dyDescent="0.25">
      <c r="B646" s="3"/>
      <c r="C646" s="3"/>
      <c r="D646" s="3"/>
      <c r="E646" s="3"/>
      <c r="F646" s="3"/>
      <c r="G646" s="6"/>
      <c r="H646" s="6"/>
      <c r="I646" s="3"/>
      <c r="O646"/>
      <c r="P646"/>
      <c r="R646" s="87"/>
      <c r="S646" s="87"/>
    </row>
    <row r="647" spans="2:19" x14ac:dyDescent="0.25">
      <c r="B647" s="3"/>
      <c r="C647" s="3"/>
      <c r="D647" s="3"/>
      <c r="E647" s="3"/>
      <c r="F647" s="3"/>
      <c r="G647" s="6"/>
      <c r="H647" s="6"/>
      <c r="I647" s="3"/>
      <c r="O647"/>
      <c r="P647"/>
    </row>
    <row r="648" spans="2:19" x14ac:dyDescent="0.25">
      <c r="B648" s="3"/>
      <c r="C648" s="3"/>
      <c r="D648" s="3"/>
      <c r="E648" s="3"/>
      <c r="F648" s="3"/>
      <c r="G648" s="6"/>
      <c r="H648" s="6"/>
      <c r="I648" s="3"/>
      <c r="O648"/>
      <c r="P648"/>
      <c r="R648" s="87"/>
      <c r="S648" s="87"/>
    </row>
    <row r="649" spans="2:19" x14ac:dyDescent="0.25">
      <c r="B649" s="3"/>
      <c r="C649" s="3"/>
      <c r="D649" s="3"/>
      <c r="E649" s="3"/>
      <c r="F649" s="3"/>
      <c r="G649" s="6"/>
      <c r="H649" s="6"/>
      <c r="I649" s="3"/>
      <c r="O649"/>
      <c r="P649"/>
      <c r="R649" s="87"/>
      <c r="S649" s="87"/>
    </row>
    <row r="650" spans="2:19" x14ac:dyDescent="0.25">
      <c r="B650" s="3"/>
      <c r="C650" s="3"/>
      <c r="D650" s="3"/>
      <c r="E650" s="3"/>
      <c r="F650" s="3"/>
      <c r="G650" s="6"/>
      <c r="H650" s="6"/>
      <c r="I650" s="3"/>
      <c r="O650"/>
      <c r="P650"/>
      <c r="R650" s="87"/>
      <c r="S650" s="87"/>
    </row>
    <row r="651" spans="2:19" x14ac:dyDescent="0.25">
      <c r="B651" s="3"/>
      <c r="C651" s="3"/>
      <c r="D651" s="3"/>
      <c r="E651" s="3"/>
      <c r="F651" s="3"/>
      <c r="G651" s="6"/>
      <c r="H651" s="6"/>
      <c r="I651" s="3"/>
      <c r="O651"/>
      <c r="P651"/>
      <c r="R651" s="87"/>
      <c r="S651" s="87"/>
    </row>
    <row r="652" spans="2:19" x14ac:dyDescent="0.25">
      <c r="B652" s="3"/>
      <c r="C652" s="3"/>
      <c r="D652" s="3"/>
      <c r="E652" s="3"/>
      <c r="F652" s="3"/>
      <c r="G652" s="6"/>
      <c r="H652" s="6"/>
      <c r="I652" s="3"/>
      <c r="O652"/>
      <c r="P652"/>
      <c r="R652" s="87"/>
      <c r="S652" s="87"/>
    </row>
    <row r="653" spans="2:19" x14ac:dyDescent="0.25">
      <c r="B653" s="3"/>
      <c r="C653" s="3"/>
      <c r="D653" s="3"/>
      <c r="E653" s="3"/>
      <c r="F653" s="3"/>
      <c r="G653" s="6"/>
      <c r="H653" s="6"/>
      <c r="I653" s="3"/>
      <c r="O653"/>
      <c r="P653"/>
      <c r="R653" s="87"/>
      <c r="S653" s="87"/>
    </row>
    <row r="654" spans="2:19" x14ac:dyDescent="0.25">
      <c r="B654" s="3"/>
      <c r="C654" s="3"/>
      <c r="D654" s="3"/>
      <c r="E654" s="3"/>
      <c r="F654" s="3"/>
      <c r="G654" s="6"/>
      <c r="H654" s="6"/>
      <c r="I654" s="3"/>
      <c r="O654"/>
      <c r="P654"/>
    </row>
    <row r="655" spans="2:19" x14ac:dyDescent="0.25">
      <c r="B655" s="3"/>
      <c r="C655" s="3"/>
      <c r="D655" s="3"/>
      <c r="E655" s="3"/>
      <c r="F655" s="3"/>
      <c r="G655" s="6"/>
      <c r="H655" s="6"/>
      <c r="I655" s="3"/>
      <c r="O655"/>
      <c r="P655"/>
      <c r="R655" s="87"/>
      <c r="S655" s="87"/>
    </row>
    <row r="656" spans="2:19" x14ac:dyDescent="0.25">
      <c r="B656" s="3"/>
      <c r="C656" s="3"/>
      <c r="D656" s="3"/>
      <c r="E656" s="3"/>
      <c r="F656" s="3"/>
      <c r="G656" s="6"/>
      <c r="H656" s="6"/>
      <c r="I656" s="3"/>
      <c r="O656"/>
      <c r="P656"/>
      <c r="R656" s="87"/>
      <c r="S656" s="87"/>
    </row>
    <row r="657" spans="2:19" x14ac:dyDescent="0.25">
      <c r="B657" s="3"/>
      <c r="C657" s="3"/>
      <c r="D657" s="3"/>
      <c r="E657" s="3"/>
      <c r="F657" s="3"/>
      <c r="G657" s="6"/>
      <c r="H657" s="6"/>
      <c r="I657" s="3"/>
      <c r="O657"/>
      <c r="P657"/>
      <c r="R657" s="87"/>
      <c r="S657" s="87"/>
    </row>
    <row r="658" spans="2:19" x14ac:dyDescent="0.25">
      <c r="B658" s="3"/>
      <c r="C658" s="3"/>
      <c r="D658" s="3"/>
      <c r="E658" s="3"/>
      <c r="F658" s="3"/>
      <c r="G658" s="6"/>
      <c r="H658" s="6"/>
      <c r="I658" s="3"/>
      <c r="O658"/>
      <c r="P658"/>
      <c r="R658" s="87"/>
      <c r="S658" s="87"/>
    </row>
    <row r="659" spans="2:19" x14ac:dyDescent="0.25">
      <c r="B659" s="3"/>
      <c r="C659" s="3"/>
      <c r="D659" s="3"/>
      <c r="E659" s="3"/>
      <c r="F659" s="3"/>
      <c r="G659" s="6"/>
      <c r="H659" s="6"/>
      <c r="I659" s="3"/>
      <c r="O659"/>
      <c r="P659"/>
      <c r="R659" s="87"/>
      <c r="S659" s="87"/>
    </row>
    <row r="660" spans="2:19" x14ac:dyDescent="0.25">
      <c r="B660" s="3"/>
      <c r="C660" s="3"/>
      <c r="D660" s="3"/>
      <c r="E660" s="3"/>
      <c r="F660" s="3"/>
      <c r="G660" s="6"/>
      <c r="H660" s="6"/>
      <c r="I660" s="3"/>
      <c r="O660"/>
      <c r="P660"/>
      <c r="R660" s="87"/>
      <c r="S660" s="87"/>
    </row>
    <row r="661" spans="2:19" x14ac:dyDescent="0.25">
      <c r="B661" s="3"/>
      <c r="C661" s="3"/>
      <c r="D661" s="3"/>
      <c r="E661" s="3"/>
      <c r="F661" s="3"/>
      <c r="G661" s="6"/>
      <c r="H661" s="6"/>
      <c r="I661" s="3"/>
      <c r="O661"/>
      <c r="P661"/>
    </row>
    <row r="662" spans="2:19" x14ac:dyDescent="0.25">
      <c r="B662" s="3"/>
      <c r="C662" s="3"/>
      <c r="D662" s="3"/>
      <c r="E662" s="3"/>
      <c r="F662" s="3"/>
      <c r="G662" s="6"/>
      <c r="H662" s="6"/>
      <c r="I662" s="3"/>
      <c r="O662"/>
      <c r="P662"/>
      <c r="R662" s="87"/>
      <c r="S662" s="87"/>
    </row>
    <row r="663" spans="2:19" x14ac:dyDescent="0.25">
      <c r="B663" s="3"/>
      <c r="C663" s="3"/>
      <c r="D663" s="3"/>
      <c r="E663" s="3"/>
      <c r="F663" s="3"/>
      <c r="G663" s="6"/>
      <c r="H663" s="6"/>
      <c r="I663" s="3"/>
      <c r="O663"/>
      <c r="P663"/>
      <c r="R663" s="87"/>
      <c r="S663" s="87"/>
    </row>
    <row r="664" spans="2:19" x14ac:dyDescent="0.25">
      <c r="B664" s="3"/>
      <c r="C664" s="3"/>
      <c r="D664" s="3"/>
      <c r="E664" s="3"/>
      <c r="F664" s="3"/>
      <c r="G664" s="6"/>
      <c r="H664" s="6"/>
      <c r="I664" s="3"/>
      <c r="O664"/>
      <c r="P664"/>
      <c r="R664" s="87"/>
      <c r="S664" s="87"/>
    </row>
    <row r="665" spans="2:19" x14ac:dyDescent="0.25">
      <c r="B665" s="3"/>
      <c r="C665" s="3"/>
      <c r="D665" s="3"/>
      <c r="E665" s="3"/>
      <c r="F665" s="3"/>
      <c r="G665" s="6"/>
      <c r="H665" s="6"/>
      <c r="I665" s="3"/>
      <c r="O665"/>
      <c r="P665"/>
      <c r="R665" s="87"/>
      <c r="S665" s="87"/>
    </row>
    <row r="666" spans="2:19" x14ac:dyDescent="0.25">
      <c r="B666" s="3"/>
      <c r="C666" s="3"/>
      <c r="D666" s="3"/>
      <c r="E666" s="3"/>
      <c r="F666" s="3"/>
      <c r="G666" s="6"/>
      <c r="H666" s="6"/>
      <c r="I666" s="3"/>
      <c r="O666"/>
      <c r="P666"/>
      <c r="R666" s="87"/>
      <c r="S666" s="87"/>
    </row>
    <row r="667" spans="2:19" x14ac:dyDescent="0.25">
      <c r="B667" s="3"/>
      <c r="C667" s="3"/>
      <c r="D667" s="3"/>
      <c r="E667" s="3"/>
      <c r="F667" s="3"/>
      <c r="G667" s="6"/>
      <c r="H667" s="6"/>
      <c r="I667" s="3"/>
      <c r="O667"/>
      <c r="P667"/>
      <c r="R667" s="87"/>
      <c r="S667" s="87"/>
    </row>
    <row r="668" spans="2:19" x14ac:dyDescent="0.25">
      <c r="B668" s="3"/>
      <c r="C668" s="3"/>
      <c r="D668" s="3"/>
      <c r="E668" s="3"/>
      <c r="F668" s="3"/>
      <c r="G668" s="6"/>
      <c r="H668" s="6"/>
      <c r="I668" s="3"/>
      <c r="O668"/>
      <c r="P668"/>
    </row>
    <row r="669" spans="2:19" x14ac:dyDescent="0.25">
      <c r="B669" s="3"/>
      <c r="C669" s="3"/>
      <c r="D669" s="3"/>
      <c r="E669" s="3"/>
      <c r="F669" s="3"/>
      <c r="G669" s="6"/>
      <c r="H669" s="6"/>
      <c r="I669" s="3"/>
      <c r="O669"/>
      <c r="P669"/>
      <c r="R669" s="87"/>
      <c r="S669" s="87"/>
    </row>
    <row r="670" spans="2:19" x14ac:dyDescent="0.25">
      <c r="B670" s="3"/>
      <c r="C670" s="3"/>
      <c r="D670" s="3"/>
      <c r="E670" s="3"/>
      <c r="F670" s="3"/>
      <c r="G670" s="6"/>
      <c r="H670" s="6"/>
      <c r="I670" s="3"/>
      <c r="O670"/>
      <c r="P670"/>
      <c r="R670" s="87"/>
      <c r="S670" s="87"/>
    </row>
    <row r="671" spans="2:19" x14ac:dyDescent="0.25">
      <c r="B671" s="3"/>
      <c r="C671" s="3"/>
      <c r="D671" s="3"/>
      <c r="E671" s="3"/>
      <c r="F671" s="3"/>
      <c r="G671" s="6"/>
      <c r="H671" s="6"/>
      <c r="I671" s="3"/>
      <c r="O671"/>
      <c r="P671"/>
      <c r="R671" s="87"/>
      <c r="S671" s="87"/>
    </row>
    <row r="672" spans="2:19" x14ac:dyDescent="0.25">
      <c r="B672" s="3"/>
      <c r="C672" s="3"/>
      <c r="D672" s="3"/>
      <c r="E672" s="3"/>
      <c r="F672" s="3"/>
      <c r="G672" s="6"/>
      <c r="H672" s="6"/>
      <c r="I672" s="3"/>
      <c r="O672"/>
      <c r="P672"/>
      <c r="R672" s="87"/>
      <c r="S672" s="87"/>
    </row>
    <row r="673" spans="2:19" x14ac:dyDescent="0.25">
      <c r="B673" s="3"/>
      <c r="C673" s="3"/>
      <c r="D673" s="3"/>
      <c r="E673" s="3"/>
      <c r="F673" s="3"/>
      <c r="G673" s="6"/>
      <c r="H673" s="6"/>
      <c r="I673" s="3"/>
      <c r="O673"/>
      <c r="P673"/>
      <c r="R673" s="87"/>
      <c r="S673" s="87"/>
    </row>
    <row r="674" spans="2:19" x14ac:dyDescent="0.25">
      <c r="B674" s="3"/>
      <c r="C674" s="3"/>
      <c r="D674" s="3"/>
      <c r="E674" s="3"/>
      <c r="F674" s="3"/>
      <c r="G674" s="6"/>
      <c r="H674" s="6"/>
      <c r="I674" s="3"/>
      <c r="O674"/>
      <c r="P674"/>
      <c r="R674" s="87"/>
      <c r="S674" s="87"/>
    </row>
    <row r="675" spans="2:19" x14ac:dyDescent="0.25">
      <c r="B675" s="3"/>
      <c r="C675" s="3"/>
      <c r="D675" s="3"/>
      <c r="E675" s="3"/>
      <c r="F675" s="3"/>
      <c r="G675" s="6"/>
      <c r="H675" s="6"/>
      <c r="I675" s="3"/>
      <c r="O675"/>
      <c r="P675"/>
    </row>
    <row r="676" spans="2:19" x14ac:dyDescent="0.25">
      <c r="B676" s="3"/>
      <c r="C676" s="3"/>
      <c r="D676" s="3"/>
      <c r="E676" s="3"/>
      <c r="F676" s="3"/>
      <c r="G676" s="6"/>
      <c r="H676" s="6"/>
      <c r="I676" s="3"/>
      <c r="O676"/>
      <c r="P676"/>
      <c r="R676" s="87"/>
      <c r="S676" s="87"/>
    </row>
    <row r="677" spans="2:19" x14ac:dyDescent="0.25">
      <c r="B677" s="3"/>
      <c r="C677" s="3"/>
      <c r="D677" s="3"/>
      <c r="E677" s="3"/>
      <c r="F677" s="3"/>
      <c r="G677" s="6"/>
      <c r="H677" s="6"/>
      <c r="I677" s="3"/>
      <c r="O677"/>
      <c r="P677"/>
      <c r="R677" s="87"/>
      <c r="S677" s="87"/>
    </row>
    <row r="678" spans="2:19" x14ac:dyDescent="0.25">
      <c r="B678" s="3"/>
      <c r="C678" s="3"/>
      <c r="D678" s="3"/>
      <c r="E678" s="3"/>
      <c r="F678" s="3"/>
      <c r="G678" s="6"/>
      <c r="H678" s="6"/>
      <c r="I678" s="3"/>
      <c r="O678"/>
      <c r="P678"/>
      <c r="R678" s="87"/>
      <c r="S678" s="87"/>
    </row>
    <row r="679" spans="2:19" x14ac:dyDescent="0.25">
      <c r="B679" s="3"/>
      <c r="C679" s="3"/>
      <c r="D679" s="3"/>
      <c r="E679" s="3"/>
      <c r="F679" s="3"/>
      <c r="G679" s="6"/>
      <c r="H679" s="6"/>
      <c r="I679" s="3"/>
      <c r="O679"/>
      <c r="P679"/>
      <c r="R679" s="87"/>
      <c r="S679" s="87"/>
    </row>
    <row r="680" spans="2:19" x14ac:dyDescent="0.25">
      <c r="B680" s="3"/>
      <c r="C680" s="3"/>
      <c r="D680" s="3"/>
      <c r="E680" s="3"/>
      <c r="F680" s="3"/>
      <c r="G680" s="6"/>
      <c r="H680" s="6"/>
      <c r="I680" s="3"/>
      <c r="O680"/>
      <c r="P680"/>
      <c r="R680" s="87"/>
      <c r="S680" s="87"/>
    </row>
    <row r="681" spans="2:19" x14ac:dyDescent="0.25">
      <c r="B681" s="3"/>
      <c r="C681" s="3"/>
      <c r="D681" s="3"/>
      <c r="E681" s="3"/>
      <c r="F681" s="3"/>
      <c r="G681" s="6"/>
      <c r="H681" s="6"/>
      <c r="I681" s="3"/>
      <c r="O681"/>
      <c r="P681"/>
      <c r="R681" s="87"/>
      <c r="S681" s="87"/>
    </row>
    <row r="682" spans="2:19" x14ac:dyDescent="0.25">
      <c r="B682" s="3"/>
      <c r="C682" s="3"/>
      <c r="D682" s="3"/>
      <c r="E682" s="3"/>
      <c r="F682" s="3"/>
      <c r="G682" s="6"/>
      <c r="H682" s="6"/>
      <c r="I682" s="3"/>
      <c r="O682"/>
      <c r="P682"/>
    </row>
    <row r="683" spans="2:19" x14ac:dyDescent="0.25">
      <c r="B683" s="3"/>
      <c r="C683" s="3"/>
      <c r="D683" s="3"/>
      <c r="E683" s="3"/>
      <c r="F683" s="3"/>
      <c r="G683" s="6"/>
      <c r="H683" s="6"/>
      <c r="I683" s="3"/>
      <c r="O683"/>
      <c r="P683"/>
      <c r="R683" s="87"/>
      <c r="S683" s="87"/>
    </row>
    <row r="684" spans="2:19" x14ac:dyDescent="0.25">
      <c r="B684" s="3"/>
      <c r="C684" s="3"/>
      <c r="D684" s="3"/>
      <c r="E684" s="3"/>
      <c r="F684" s="3"/>
      <c r="G684" s="6"/>
      <c r="H684" s="6"/>
      <c r="I684" s="3"/>
      <c r="O684"/>
      <c r="P684"/>
      <c r="R684" s="87"/>
      <c r="S684" s="87"/>
    </row>
    <row r="685" spans="2:19" x14ac:dyDescent="0.25">
      <c r="B685" s="3"/>
      <c r="C685" s="3"/>
      <c r="D685" s="3"/>
      <c r="E685" s="3"/>
      <c r="F685" s="3"/>
      <c r="G685" s="6"/>
      <c r="H685" s="6"/>
      <c r="I685" s="3"/>
      <c r="O685"/>
      <c r="P685"/>
      <c r="R685" s="87"/>
      <c r="S685" s="87"/>
    </row>
    <row r="686" spans="2:19" x14ac:dyDescent="0.25">
      <c r="B686" s="3"/>
      <c r="C686" s="3"/>
      <c r="D686" s="3"/>
      <c r="E686" s="3"/>
      <c r="F686" s="3"/>
      <c r="G686" s="6"/>
      <c r="H686" s="6"/>
      <c r="I686" s="3"/>
      <c r="O686"/>
      <c r="P686"/>
      <c r="R686" s="87"/>
      <c r="S686" s="87"/>
    </row>
    <row r="687" spans="2:19" x14ac:dyDescent="0.25">
      <c r="B687" s="3"/>
      <c r="C687" s="3"/>
      <c r="D687" s="3"/>
      <c r="E687" s="3"/>
      <c r="F687" s="3"/>
      <c r="G687" s="6"/>
      <c r="H687" s="6"/>
      <c r="I687" s="3"/>
      <c r="O687"/>
      <c r="P687"/>
      <c r="R687" s="87"/>
      <c r="S687" s="87"/>
    </row>
    <row r="688" spans="2:19" x14ac:dyDescent="0.25">
      <c r="B688" s="3"/>
      <c r="C688" s="3"/>
      <c r="D688" s="3"/>
      <c r="E688" s="3"/>
      <c r="F688" s="3"/>
      <c r="G688" s="6"/>
      <c r="H688" s="6"/>
      <c r="I688" s="3"/>
      <c r="O688"/>
      <c r="P688"/>
      <c r="R688" s="87"/>
      <c r="S688" s="87"/>
    </row>
    <row r="689" spans="2:19" x14ac:dyDescent="0.25">
      <c r="B689" s="3"/>
      <c r="C689" s="3"/>
      <c r="D689" s="3"/>
      <c r="E689" s="3"/>
      <c r="F689" s="3"/>
      <c r="G689" s="6"/>
      <c r="H689" s="6"/>
      <c r="I689" s="3"/>
      <c r="O689"/>
      <c r="P689"/>
    </row>
    <row r="690" spans="2:19" x14ac:dyDescent="0.25">
      <c r="B690" s="3"/>
      <c r="C690" s="3"/>
      <c r="D690" s="3"/>
      <c r="E690" s="3"/>
      <c r="F690" s="3"/>
      <c r="G690" s="6"/>
      <c r="H690" s="6"/>
      <c r="I690" s="3"/>
      <c r="O690"/>
      <c r="P690"/>
      <c r="R690" s="87"/>
      <c r="S690" s="87"/>
    </row>
    <row r="691" spans="2:19" x14ac:dyDescent="0.25">
      <c r="B691" s="3"/>
      <c r="C691" s="3"/>
      <c r="D691" s="3"/>
      <c r="E691" s="3"/>
      <c r="F691" s="3"/>
      <c r="G691" s="6"/>
      <c r="H691" s="6"/>
      <c r="I691" s="3"/>
      <c r="O691"/>
      <c r="P691"/>
      <c r="R691" s="87"/>
      <c r="S691" s="87"/>
    </row>
    <row r="692" spans="2:19" x14ac:dyDescent="0.25">
      <c r="B692" s="3"/>
      <c r="C692" s="3"/>
      <c r="D692" s="3"/>
      <c r="E692" s="3"/>
      <c r="F692" s="3"/>
      <c r="G692" s="6"/>
      <c r="H692" s="6"/>
      <c r="I692" s="3"/>
      <c r="O692"/>
      <c r="P692"/>
      <c r="R692" s="87"/>
      <c r="S692" s="87"/>
    </row>
    <row r="693" spans="2:19" x14ac:dyDescent="0.25">
      <c r="B693" s="3"/>
      <c r="C693" s="3"/>
      <c r="D693" s="3"/>
      <c r="E693" s="3"/>
      <c r="F693" s="3"/>
      <c r="G693" s="6"/>
      <c r="H693" s="6"/>
      <c r="I693" s="3"/>
      <c r="O693"/>
      <c r="P693"/>
      <c r="R693" s="87"/>
      <c r="S693" s="87"/>
    </row>
    <row r="694" spans="2:19" x14ac:dyDescent="0.25">
      <c r="B694" s="3"/>
      <c r="C694" s="3"/>
      <c r="D694" s="3"/>
      <c r="E694" s="3"/>
      <c r="F694" s="3"/>
      <c r="G694" s="6"/>
      <c r="H694" s="6"/>
      <c r="I694" s="3"/>
      <c r="O694"/>
      <c r="P694"/>
      <c r="R694" s="87"/>
      <c r="S694" s="87"/>
    </row>
    <row r="695" spans="2:19" x14ac:dyDescent="0.25">
      <c r="B695" s="3"/>
      <c r="C695" s="3"/>
      <c r="D695" s="3"/>
      <c r="E695" s="3"/>
      <c r="F695" s="3"/>
      <c r="G695" s="6"/>
      <c r="H695" s="6"/>
      <c r="I695" s="3"/>
      <c r="O695"/>
      <c r="P695"/>
      <c r="R695" s="87"/>
      <c r="S695" s="87"/>
    </row>
    <row r="696" spans="2:19" x14ac:dyDescent="0.25">
      <c r="B696" s="3"/>
      <c r="C696" s="3"/>
      <c r="D696" s="3"/>
      <c r="E696" s="3"/>
      <c r="F696" s="3"/>
      <c r="G696" s="6"/>
      <c r="H696" s="6"/>
      <c r="I696" s="3"/>
      <c r="O696"/>
      <c r="P696"/>
    </row>
    <row r="697" spans="2:19" x14ac:dyDescent="0.25">
      <c r="B697" s="3"/>
      <c r="C697" s="3"/>
      <c r="D697" s="3"/>
      <c r="E697" s="3"/>
      <c r="F697" s="3"/>
      <c r="G697" s="6"/>
      <c r="H697" s="6"/>
      <c r="I697" s="3"/>
      <c r="O697"/>
      <c r="P697"/>
      <c r="R697" s="87"/>
      <c r="S697" s="87"/>
    </row>
    <row r="698" spans="2:19" x14ac:dyDescent="0.25">
      <c r="B698" s="3"/>
      <c r="C698" s="3"/>
      <c r="D698" s="3"/>
      <c r="E698" s="3"/>
      <c r="F698" s="3"/>
      <c r="G698" s="6"/>
      <c r="H698" s="6"/>
      <c r="I698" s="3"/>
      <c r="O698"/>
      <c r="P698"/>
      <c r="R698" s="87"/>
      <c r="S698" s="87"/>
    </row>
    <row r="699" spans="2:19" x14ac:dyDescent="0.25">
      <c r="B699" s="3"/>
      <c r="C699" s="3"/>
      <c r="D699" s="3"/>
      <c r="E699" s="3"/>
      <c r="F699" s="3"/>
      <c r="G699" s="6"/>
      <c r="H699" s="6"/>
      <c r="I699" s="3"/>
      <c r="O699"/>
      <c r="P699"/>
      <c r="R699" s="87"/>
      <c r="S699" s="87"/>
    </row>
    <row r="700" spans="2:19" x14ac:dyDescent="0.25">
      <c r="B700" s="3"/>
      <c r="C700" s="3"/>
      <c r="D700" s="3"/>
      <c r="E700" s="3"/>
      <c r="F700" s="3"/>
      <c r="G700" s="6"/>
      <c r="H700" s="6"/>
      <c r="I700" s="3"/>
      <c r="O700"/>
      <c r="P700"/>
      <c r="R700" s="87"/>
      <c r="S700" s="87"/>
    </row>
    <row r="701" spans="2:19" x14ac:dyDescent="0.25">
      <c r="B701" s="3"/>
      <c r="C701" s="3"/>
      <c r="D701" s="3"/>
      <c r="E701" s="3"/>
      <c r="F701" s="3"/>
      <c r="G701" s="6"/>
      <c r="H701" s="6"/>
      <c r="I701" s="3"/>
      <c r="O701"/>
      <c r="P701"/>
      <c r="R701" s="87"/>
      <c r="S701" s="87"/>
    </row>
    <row r="702" spans="2:19" x14ac:dyDescent="0.25">
      <c r="B702" s="3"/>
      <c r="C702" s="3"/>
      <c r="D702" s="3"/>
      <c r="E702" s="3"/>
      <c r="F702" s="3"/>
      <c r="G702" s="6"/>
      <c r="H702" s="6"/>
      <c r="I702" s="3"/>
      <c r="O702"/>
      <c r="P702"/>
      <c r="R702" s="87"/>
      <c r="S702" s="87"/>
    </row>
    <row r="703" spans="2:19" x14ac:dyDescent="0.25">
      <c r="B703" s="3"/>
      <c r="C703" s="3"/>
      <c r="D703" s="3"/>
      <c r="E703" s="3"/>
      <c r="F703" s="3"/>
      <c r="G703" s="6"/>
      <c r="H703" s="6"/>
      <c r="I703" s="3"/>
      <c r="O703"/>
      <c r="P703"/>
    </row>
    <row r="704" spans="2:19" x14ac:dyDescent="0.25">
      <c r="B704" s="3"/>
      <c r="C704" s="3"/>
      <c r="D704" s="3"/>
      <c r="E704" s="3"/>
      <c r="F704" s="3"/>
      <c r="G704" s="6"/>
      <c r="H704" s="6"/>
      <c r="I704" s="3"/>
      <c r="O704"/>
      <c r="P704"/>
      <c r="R704" s="87"/>
      <c r="S704" s="87"/>
    </row>
    <row r="705" spans="2:19" x14ac:dyDescent="0.25">
      <c r="B705" s="3"/>
      <c r="C705" s="3"/>
      <c r="D705" s="3"/>
      <c r="E705" s="3"/>
      <c r="F705" s="3"/>
      <c r="G705" s="6"/>
      <c r="H705" s="6"/>
      <c r="I705" s="3"/>
      <c r="O705"/>
      <c r="P705"/>
      <c r="R705" s="87"/>
      <c r="S705" s="87"/>
    </row>
    <row r="706" spans="2:19" x14ac:dyDescent="0.25">
      <c r="B706" s="3"/>
      <c r="C706" s="3"/>
      <c r="D706" s="3"/>
      <c r="E706" s="3"/>
      <c r="F706" s="3"/>
      <c r="G706" s="6"/>
      <c r="H706" s="6"/>
      <c r="I706" s="3"/>
      <c r="O706"/>
      <c r="P706"/>
      <c r="R706" s="87"/>
      <c r="S706" s="87"/>
    </row>
    <row r="707" spans="2:19" x14ac:dyDescent="0.25">
      <c r="B707" s="3"/>
      <c r="C707" s="3"/>
      <c r="D707" s="3"/>
      <c r="E707" s="3"/>
      <c r="F707" s="3"/>
      <c r="G707" s="6"/>
      <c r="H707" s="6"/>
      <c r="I707" s="3"/>
      <c r="O707"/>
      <c r="P707"/>
      <c r="R707" s="87"/>
      <c r="S707" s="87"/>
    </row>
    <row r="708" spans="2:19" x14ac:dyDescent="0.25">
      <c r="B708" s="3"/>
      <c r="C708" s="3"/>
      <c r="D708" s="3"/>
      <c r="E708" s="3"/>
      <c r="F708" s="3"/>
      <c r="G708" s="6"/>
      <c r="H708" s="6"/>
      <c r="I708" s="3"/>
      <c r="O708"/>
      <c r="P708"/>
      <c r="R708" s="87"/>
      <c r="S708" s="87"/>
    </row>
    <row r="709" spans="2:19" x14ac:dyDescent="0.25">
      <c r="B709" s="3"/>
      <c r="C709" s="3"/>
      <c r="D709" s="3"/>
      <c r="E709" s="3"/>
      <c r="F709" s="3"/>
      <c r="G709" s="6"/>
      <c r="H709" s="6"/>
      <c r="I709" s="3"/>
      <c r="O709"/>
      <c r="P709"/>
      <c r="R709" s="87"/>
      <c r="S709" s="87"/>
    </row>
    <row r="710" spans="2:19" x14ac:dyDescent="0.25">
      <c r="B710" s="3"/>
      <c r="C710" s="3"/>
      <c r="D710" s="3"/>
      <c r="E710" s="3"/>
      <c r="F710" s="3"/>
      <c r="G710" s="6"/>
      <c r="H710" s="6"/>
      <c r="I710" s="3"/>
      <c r="O710"/>
      <c r="P710"/>
    </row>
    <row r="711" spans="2:19" x14ac:dyDescent="0.25">
      <c r="B711" s="3"/>
      <c r="C711" s="3"/>
      <c r="D711" s="3"/>
      <c r="E711" s="3"/>
      <c r="F711" s="3"/>
      <c r="G711" s="6"/>
      <c r="H711" s="6"/>
      <c r="I711" s="3"/>
      <c r="O711"/>
      <c r="P711"/>
      <c r="R711" s="87"/>
      <c r="S711" s="87"/>
    </row>
    <row r="712" spans="2:19" x14ac:dyDescent="0.25">
      <c r="B712" s="3"/>
      <c r="C712" s="3"/>
      <c r="D712" s="3"/>
      <c r="E712" s="3"/>
      <c r="F712" s="3"/>
      <c r="G712" s="6"/>
      <c r="H712" s="6"/>
      <c r="I712" s="3"/>
      <c r="O712"/>
      <c r="P712"/>
      <c r="R712" s="87"/>
      <c r="S712" s="87"/>
    </row>
    <row r="713" spans="2:19" x14ac:dyDescent="0.25">
      <c r="B713" s="3"/>
      <c r="C713" s="3"/>
      <c r="D713" s="3"/>
      <c r="E713" s="3"/>
      <c r="F713" s="3"/>
      <c r="G713" s="6"/>
      <c r="H713" s="6"/>
      <c r="I713" s="3"/>
      <c r="O713"/>
      <c r="P713"/>
      <c r="R713" s="87"/>
      <c r="S713" s="87"/>
    </row>
    <row r="714" spans="2:19" x14ac:dyDescent="0.25">
      <c r="B714" s="3"/>
      <c r="C714" s="3"/>
      <c r="D714" s="3"/>
      <c r="E714" s="3"/>
      <c r="F714" s="3"/>
      <c r="G714" s="6"/>
      <c r="H714" s="6"/>
      <c r="I714" s="3"/>
      <c r="O714"/>
      <c r="P714"/>
      <c r="R714" s="87"/>
      <c r="S714" s="87"/>
    </row>
    <row r="715" spans="2:19" x14ac:dyDescent="0.25">
      <c r="B715" s="3"/>
      <c r="C715" s="3"/>
      <c r="D715" s="3"/>
      <c r="E715" s="3"/>
      <c r="F715" s="3"/>
      <c r="G715" s="6"/>
      <c r="H715" s="6"/>
      <c r="I715" s="3"/>
      <c r="O715"/>
      <c r="P715"/>
      <c r="R715" s="87"/>
      <c r="S715" s="87"/>
    </row>
    <row r="716" spans="2:19" x14ac:dyDescent="0.25">
      <c r="B716" s="3"/>
      <c r="C716" s="3"/>
      <c r="D716" s="3"/>
      <c r="E716" s="3"/>
      <c r="F716" s="3"/>
      <c r="G716" s="6"/>
      <c r="H716" s="6"/>
      <c r="I716" s="3"/>
      <c r="O716"/>
      <c r="P716"/>
      <c r="R716" s="87"/>
      <c r="S716" s="87"/>
    </row>
    <row r="717" spans="2:19" x14ac:dyDescent="0.25">
      <c r="B717" s="3"/>
      <c r="C717" s="3"/>
      <c r="D717" s="3"/>
      <c r="E717" s="3"/>
      <c r="F717" s="3"/>
      <c r="G717" s="6"/>
      <c r="H717" s="6"/>
      <c r="I717" s="3"/>
      <c r="O717"/>
      <c r="P717"/>
    </row>
    <row r="718" spans="2:19" x14ac:dyDescent="0.25">
      <c r="B718" s="3"/>
      <c r="C718" s="3"/>
      <c r="D718" s="3"/>
      <c r="E718" s="3"/>
      <c r="F718" s="3"/>
      <c r="G718" s="6"/>
      <c r="H718" s="6"/>
      <c r="I718" s="3"/>
      <c r="O718"/>
      <c r="P718"/>
      <c r="R718" s="87"/>
      <c r="S718" s="87"/>
    </row>
    <row r="719" spans="2:19" x14ac:dyDescent="0.25">
      <c r="B719" s="3"/>
      <c r="C719" s="3"/>
      <c r="D719" s="3"/>
      <c r="E719" s="3"/>
      <c r="F719" s="3"/>
      <c r="G719" s="6"/>
      <c r="H719" s="6"/>
      <c r="I719" s="3"/>
      <c r="O719"/>
      <c r="P719"/>
      <c r="R719" s="87"/>
      <c r="S719" s="87"/>
    </row>
    <row r="720" spans="2:19" x14ac:dyDescent="0.25">
      <c r="B720" s="3"/>
      <c r="C720" s="3"/>
      <c r="D720" s="3"/>
      <c r="E720" s="3"/>
      <c r="F720" s="3"/>
      <c r="G720" s="6"/>
      <c r="H720" s="6"/>
      <c r="I720" s="3"/>
      <c r="O720"/>
      <c r="P720"/>
      <c r="R720" s="87"/>
      <c r="S720" s="87"/>
    </row>
    <row r="721" spans="2:19" x14ac:dyDescent="0.25">
      <c r="B721" s="3"/>
      <c r="C721" s="3"/>
      <c r="D721" s="3"/>
      <c r="E721" s="3"/>
      <c r="F721" s="3"/>
      <c r="G721" s="6"/>
      <c r="H721" s="6"/>
      <c r="I721" s="3"/>
      <c r="O721"/>
      <c r="P721"/>
      <c r="R721" s="87"/>
      <c r="S721" s="87"/>
    </row>
    <row r="722" spans="2:19" x14ac:dyDescent="0.25">
      <c r="B722" s="3"/>
      <c r="C722" s="3"/>
      <c r="D722" s="3"/>
      <c r="E722" s="3"/>
      <c r="F722" s="3"/>
      <c r="G722" s="6"/>
      <c r="H722" s="6"/>
      <c r="I722" s="3"/>
      <c r="O722"/>
      <c r="P722"/>
      <c r="R722" s="87"/>
      <c r="S722" s="87"/>
    </row>
    <row r="723" spans="2:19" x14ac:dyDescent="0.25">
      <c r="B723" s="3"/>
      <c r="C723" s="3"/>
      <c r="D723" s="3"/>
      <c r="E723" s="3"/>
      <c r="F723" s="3"/>
      <c r="G723" s="6"/>
      <c r="H723" s="6"/>
      <c r="I723" s="3"/>
      <c r="O723"/>
      <c r="P723"/>
      <c r="R723" s="87"/>
      <c r="S723" s="87"/>
    </row>
    <row r="724" spans="2:19" x14ac:dyDescent="0.25">
      <c r="B724" s="3"/>
      <c r="C724" s="3"/>
      <c r="D724" s="3"/>
      <c r="E724" s="3"/>
      <c r="F724" s="3"/>
      <c r="G724" s="6"/>
      <c r="H724" s="6"/>
      <c r="I724" s="3"/>
      <c r="O724"/>
      <c r="P724"/>
    </row>
    <row r="725" spans="2:19" x14ac:dyDescent="0.25">
      <c r="B725" s="3"/>
      <c r="C725" s="3"/>
      <c r="D725" s="3"/>
      <c r="E725" s="3"/>
      <c r="F725" s="3"/>
      <c r="G725" s="6"/>
      <c r="H725" s="6"/>
      <c r="I725" s="3"/>
      <c r="O725"/>
      <c r="P725"/>
      <c r="R725" s="87"/>
      <c r="S725" s="87"/>
    </row>
  </sheetData>
  <autoFilter ref="A4:S547" xr:uid="{00000000-0009-0000-0000-000006000000}">
    <filterColumn colId="3">
      <filters>
        <filter val="1.1.18. В г. Каспи замена и вынос счетчиков на улицах Церетели, 26 Мая, Шарикашвили, Гурамишвили и Агмашенебели (II Этап). (P.3.49 (1))"/>
      </filters>
    </filterColumn>
  </autoFilter>
  <mergeCells count="1">
    <mergeCell ref="B1:H1"/>
  </mergeCells>
  <dataValidations disablePrompts="1" count="4">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206 E249" xr:uid="{00000000-0002-0000-0600-000000000000}">
      <formula1>$AM$19:$AM$138</formula1>
    </dataValidation>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B73 B22" xr:uid="{00000000-0002-0000-0600-000001000000}">
      <formula1>$AR$5:$AR$10</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D105:D107" xr:uid="{00000000-0002-0000-0600-000002000000}">
      <formula1>$AS$5:$AS$39</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31 E66:E69" xr:uid="{00000000-0002-0000-0600-000003000000}">
      <formula1>$AO$19:$AO$136</formula1>
    </dataValidation>
  </dataValidations>
  <pageMargins left="0.23" right="0.18" top="0.75" bottom="0.75" header="0.3" footer="0.3"/>
  <pageSetup paperSize="9" orientation="landscape" horizontalDpi="1200"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filterMode="1"/>
  <dimension ref="B1:U949"/>
  <sheetViews>
    <sheetView zoomScaleNormal="100" workbookViewId="0">
      <pane xSplit="10" ySplit="4" topLeftCell="K9" activePane="bottomRight" state="frozen"/>
      <selection pane="topRight" activeCell="K1" sqref="K1"/>
      <selection pane="bottomLeft" activeCell="A5" sqref="A5"/>
      <selection pane="bottomRight" activeCell="A411" sqref="A411:XFD411"/>
    </sheetView>
  </sheetViews>
  <sheetFormatPr defaultColWidth="8.85546875" defaultRowHeight="15" x14ac:dyDescent="0.25"/>
  <cols>
    <col min="1" max="1" width="3.85546875" customWidth="1"/>
    <col min="2" max="2" width="20.42578125" bestFit="1" customWidth="1"/>
    <col min="3" max="3" width="9.28515625" bestFit="1" customWidth="1"/>
    <col min="4" max="4" width="54" customWidth="1"/>
    <col min="5" max="5" width="14.5703125" customWidth="1"/>
    <col min="6" max="6" width="14.140625" bestFit="1" customWidth="1"/>
    <col min="7" max="7" width="12.85546875" bestFit="1" customWidth="1"/>
    <col min="8" max="8" width="11.42578125" bestFit="1" customWidth="1"/>
    <col min="9" max="9" width="11.28515625" bestFit="1" customWidth="1"/>
    <col min="10" max="10" width="14.140625" customWidth="1"/>
    <col min="11" max="11" width="29.7109375" customWidth="1"/>
    <col min="12" max="13" width="8.85546875" customWidth="1"/>
    <col min="14" max="14" width="15.28515625" bestFit="1" customWidth="1"/>
    <col min="15" max="15" width="10.28515625" style="31" bestFit="1" customWidth="1"/>
    <col min="16" max="16" width="12.85546875" style="31" customWidth="1"/>
    <col min="17" max="18" width="8.85546875" customWidth="1"/>
    <col min="21" max="21" width="11.28515625" bestFit="1" customWidth="1"/>
  </cols>
  <sheetData>
    <row r="1" spans="2:21" x14ac:dyDescent="0.25">
      <c r="G1" s="79"/>
      <c r="H1" s="16"/>
      <c r="I1" s="19"/>
      <c r="J1" s="52"/>
      <c r="K1" s="248"/>
      <c r="L1" s="25"/>
      <c r="M1" s="25"/>
      <c r="N1" s="25"/>
      <c r="O1" s="30"/>
      <c r="P1" s="30"/>
    </row>
    <row r="2" spans="2:21" ht="15.75" x14ac:dyDescent="0.25">
      <c r="D2" s="16"/>
      <c r="F2" s="71">
        <f>SUBTOTAL(3,F5:F949)</f>
        <v>26</v>
      </c>
      <c r="G2" s="71">
        <f>SUBTOTAL(9,G5:G949)</f>
        <v>2630393.0100000002</v>
      </c>
      <c r="H2" s="71">
        <f>SUBTOTAL(9,H5:H949)</f>
        <v>401246.39135593199</v>
      </c>
      <c r="I2" s="16"/>
      <c r="J2" s="19">
        <f>SUBTOTAL(3,J5:J949)</f>
        <v>7</v>
      </c>
      <c r="K2" s="71">
        <f>SUBTOTAL(3,K5:K949)</f>
        <v>14</v>
      </c>
      <c r="L2" s="31">
        <f>SUBTOTAL(9,L5:L949)</f>
        <v>0</v>
      </c>
      <c r="M2" s="31">
        <f>SUBTOTAL(9,M5:M949)</f>
        <v>0</v>
      </c>
      <c r="N2" s="31">
        <f>SUBTOTAL(9,N5:N949)</f>
        <v>5787171.5499999989</v>
      </c>
      <c r="P2" s="31">
        <f>G2/N2</f>
        <v>0.45452134730652677</v>
      </c>
    </row>
    <row r="3" spans="2:21" ht="43.5" customHeight="1" x14ac:dyDescent="0.25">
      <c r="B3" s="23" t="s">
        <v>84</v>
      </c>
      <c r="C3" s="23" t="s">
        <v>83</v>
      </c>
      <c r="D3" s="23" t="s">
        <v>86</v>
      </c>
      <c r="E3" s="23" t="s">
        <v>85</v>
      </c>
      <c r="F3" s="23" t="s">
        <v>82</v>
      </c>
      <c r="G3" s="23" t="s">
        <v>81</v>
      </c>
      <c r="H3" s="17" t="s">
        <v>80</v>
      </c>
      <c r="I3" s="17" t="s">
        <v>101</v>
      </c>
      <c r="J3" s="95" t="s">
        <v>1638</v>
      </c>
      <c r="K3" s="26"/>
      <c r="L3" s="26" t="s">
        <v>509</v>
      </c>
      <c r="M3" s="26"/>
      <c r="N3" s="94" t="s">
        <v>656</v>
      </c>
      <c r="O3" s="32" t="s">
        <v>512</v>
      </c>
      <c r="P3" s="32" t="s">
        <v>1676</v>
      </c>
      <c r="Q3" t="s">
        <v>618</v>
      </c>
      <c r="R3" s="94"/>
      <c r="U3" s="16"/>
    </row>
    <row r="4" spans="2:21" x14ac:dyDescent="0.25">
      <c r="B4" s="23">
        <v>1</v>
      </c>
      <c r="C4" s="23">
        <v>2</v>
      </c>
      <c r="D4" s="23">
        <v>3</v>
      </c>
      <c r="E4" s="23">
        <v>4</v>
      </c>
      <c r="F4" s="23">
        <v>5</v>
      </c>
      <c r="G4" s="23">
        <v>6</v>
      </c>
      <c r="H4" s="17">
        <v>7</v>
      </c>
      <c r="I4" s="241">
        <v>8</v>
      </c>
    </row>
    <row r="5" spans="2:21" hidden="1" x14ac:dyDescent="0.25">
      <c r="B5" s="3" t="s">
        <v>1494</v>
      </c>
      <c r="C5" s="3" t="s">
        <v>40</v>
      </c>
      <c r="D5" s="3" t="s">
        <v>1382</v>
      </c>
      <c r="E5" s="3" t="s">
        <v>90</v>
      </c>
      <c r="F5" s="3" t="s">
        <v>3193</v>
      </c>
      <c r="G5" s="6">
        <v>750000</v>
      </c>
      <c r="H5" s="6">
        <f t="shared" ref="H5:H9" si="0">G5-G5/1.18</f>
        <v>114406.77966101689</v>
      </c>
      <c r="I5" s="3" t="s">
        <v>113</v>
      </c>
      <c r="O5"/>
      <c r="P5"/>
      <c r="R5" s="87"/>
    </row>
    <row r="6" spans="2:21" hidden="1" x14ac:dyDescent="0.25">
      <c r="B6" s="3" t="s">
        <v>1434</v>
      </c>
      <c r="C6" s="3" t="s">
        <v>40</v>
      </c>
      <c r="D6" s="3" t="s">
        <v>1324</v>
      </c>
      <c r="E6" s="3" t="s">
        <v>90</v>
      </c>
      <c r="F6" s="3" t="s">
        <v>1986</v>
      </c>
      <c r="G6" s="6">
        <v>600000</v>
      </c>
      <c r="H6" s="6">
        <f t="shared" si="0"/>
        <v>91525.423728813534</v>
      </c>
      <c r="I6" s="3" t="s">
        <v>113</v>
      </c>
      <c r="O6"/>
      <c r="P6"/>
      <c r="R6" s="87"/>
    </row>
    <row r="7" spans="2:21" hidden="1" x14ac:dyDescent="0.25">
      <c r="B7" s="3" t="s">
        <v>1428</v>
      </c>
      <c r="C7" s="3" t="s">
        <v>43</v>
      </c>
      <c r="D7" s="3" t="s">
        <v>1318</v>
      </c>
      <c r="E7" s="3" t="s">
        <v>90</v>
      </c>
      <c r="F7" s="3" t="s">
        <v>2022</v>
      </c>
      <c r="G7" s="6">
        <v>500000</v>
      </c>
      <c r="H7" s="6">
        <f t="shared" si="0"/>
        <v>76271.186440677964</v>
      </c>
      <c r="I7" s="3" t="s">
        <v>113</v>
      </c>
      <c r="O7"/>
      <c r="P7"/>
      <c r="R7" s="87"/>
    </row>
    <row r="8" spans="2:21" hidden="1" x14ac:dyDescent="0.25">
      <c r="B8" s="3" t="s">
        <v>3093</v>
      </c>
      <c r="C8" s="3" t="s">
        <v>94</v>
      </c>
      <c r="D8" s="3" t="s">
        <v>3010</v>
      </c>
      <c r="E8" s="3" t="s">
        <v>90</v>
      </c>
      <c r="F8" s="3" t="s">
        <v>3483</v>
      </c>
      <c r="G8" s="86">
        <v>300000</v>
      </c>
      <c r="H8" s="22">
        <f t="shared" si="0"/>
        <v>45762.711864406767</v>
      </c>
      <c r="I8" s="3" t="s">
        <v>18</v>
      </c>
      <c r="J8" s="99"/>
      <c r="O8"/>
      <c r="P8"/>
      <c r="R8" s="87"/>
    </row>
    <row r="9" spans="2:21" x14ac:dyDescent="0.25">
      <c r="B9" s="3" t="s">
        <v>911</v>
      </c>
      <c r="C9" s="3" t="s">
        <v>29</v>
      </c>
      <c r="D9" s="3" t="s">
        <v>909</v>
      </c>
      <c r="E9" s="3" t="s">
        <v>141</v>
      </c>
      <c r="F9" s="3" t="s">
        <v>1986</v>
      </c>
      <c r="G9" s="6">
        <v>303018.15999999997</v>
      </c>
      <c r="H9" s="6">
        <f t="shared" si="0"/>
        <v>46223.109152542369</v>
      </c>
      <c r="I9" s="3" t="s">
        <v>113</v>
      </c>
      <c r="O9"/>
      <c r="P9"/>
      <c r="R9" s="87"/>
    </row>
    <row r="10" spans="2:21" hidden="1" x14ac:dyDescent="0.25">
      <c r="B10" s="3" t="s">
        <v>1040</v>
      </c>
      <c r="C10" s="3" t="s">
        <v>95</v>
      </c>
      <c r="D10" s="3" t="s">
        <v>979</v>
      </c>
      <c r="E10" s="3" t="s">
        <v>106</v>
      </c>
      <c r="F10" s="3" t="s">
        <v>1986</v>
      </c>
      <c r="G10" s="6">
        <v>35</v>
      </c>
      <c r="H10" s="6">
        <f t="shared" ref="H10:H73" si="1">G10-G10/1.18</f>
        <v>5.3389830508474567</v>
      </c>
      <c r="I10" s="3" t="s">
        <v>18</v>
      </c>
      <c r="O10"/>
      <c r="P10"/>
      <c r="R10" s="87"/>
    </row>
    <row r="11" spans="2:21" hidden="1" x14ac:dyDescent="0.25">
      <c r="B11" s="3" t="s">
        <v>1426</v>
      </c>
      <c r="C11" s="3" t="s">
        <v>41</v>
      </c>
      <c r="D11" s="3" t="s">
        <v>1316</v>
      </c>
      <c r="E11" s="3" t="s">
        <v>90</v>
      </c>
      <c r="F11" s="3" t="s">
        <v>2022</v>
      </c>
      <c r="G11" s="6">
        <v>400000</v>
      </c>
      <c r="H11" s="6">
        <f t="shared" si="1"/>
        <v>61016.949152542336</v>
      </c>
      <c r="I11" s="3" t="s">
        <v>113</v>
      </c>
      <c r="O11"/>
      <c r="P11"/>
      <c r="R11" s="87"/>
    </row>
    <row r="12" spans="2:21" hidden="1" x14ac:dyDescent="0.25">
      <c r="B12" s="3" t="s">
        <v>1526</v>
      </c>
      <c r="C12" s="3" t="s">
        <v>40</v>
      </c>
      <c r="D12" s="3" t="s">
        <v>292</v>
      </c>
      <c r="E12" s="3" t="s">
        <v>90</v>
      </c>
      <c r="F12" s="3" t="s">
        <v>3193</v>
      </c>
      <c r="G12" s="86">
        <v>400000</v>
      </c>
      <c r="H12" s="6">
        <f t="shared" si="1"/>
        <v>61016.949152542336</v>
      </c>
      <c r="I12" s="3" t="s">
        <v>18</v>
      </c>
      <c r="J12" s="78"/>
      <c r="K12">
        <v>1539</v>
      </c>
      <c r="O12"/>
      <c r="P12"/>
      <c r="R12" s="87"/>
    </row>
    <row r="13" spans="2:21" hidden="1" x14ac:dyDescent="0.25">
      <c r="B13" s="3" t="s">
        <v>1494</v>
      </c>
      <c r="C13" s="3" t="s">
        <v>40</v>
      </c>
      <c r="D13" s="3" t="s">
        <v>1382</v>
      </c>
      <c r="E13" s="3" t="s">
        <v>90</v>
      </c>
      <c r="F13" s="3" t="s">
        <v>2054</v>
      </c>
      <c r="G13" s="6">
        <v>360000</v>
      </c>
      <c r="H13" s="6">
        <f t="shared" si="1"/>
        <v>54915.254237288143</v>
      </c>
      <c r="I13" s="3" t="s">
        <v>113</v>
      </c>
      <c r="K13">
        <v>19847</v>
      </c>
      <c r="O13"/>
      <c r="P13"/>
      <c r="R13" s="87"/>
    </row>
    <row r="14" spans="2:21" hidden="1" x14ac:dyDescent="0.25">
      <c r="B14" s="3" t="s">
        <v>986</v>
      </c>
      <c r="C14" s="3" t="s">
        <v>95</v>
      </c>
      <c r="D14" s="3" t="s">
        <v>1085</v>
      </c>
      <c r="E14" s="3" t="s">
        <v>90</v>
      </c>
      <c r="F14" s="3" t="s">
        <v>1986</v>
      </c>
      <c r="G14" s="86">
        <v>300000</v>
      </c>
      <c r="H14" s="6">
        <f t="shared" si="1"/>
        <v>45762.711864406767</v>
      </c>
      <c r="I14" s="3" t="s">
        <v>18</v>
      </c>
      <c r="K14">
        <f>K12+K13</f>
        <v>21386</v>
      </c>
      <c r="O14"/>
      <c r="P14"/>
      <c r="R14" s="87"/>
    </row>
    <row r="15" spans="2:21" hidden="1" x14ac:dyDescent="0.25">
      <c r="B15" s="3" t="s">
        <v>1438</v>
      </c>
      <c r="C15" s="3" t="s">
        <v>41</v>
      </c>
      <c r="D15" s="3" t="s">
        <v>1328</v>
      </c>
      <c r="E15" s="3" t="s">
        <v>90</v>
      </c>
      <c r="F15" s="3" t="s">
        <v>2054</v>
      </c>
      <c r="G15" s="6">
        <v>200000</v>
      </c>
      <c r="H15" s="6">
        <f t="shared" si="1"/>
        <v>30508.474576271168</v>
      </c>
      <c r="I15" s="3" t="s">
        <v>113</v>
      </c>
      <c r="O15"/>
      <c r="P15"/>
      <c r="R15" s="87"/>
    </row>
    <row r="16" spans="2:21" hidden="1" x14ac:dyDescent="0.25">
      <c r="B16" s="3" t="s">
        <v>1526</v>
      </c>
      <c r="C16" s="3" t="s">
        <v>40</v>
      </c>
      <c r="D16" s="3" t="s">
        <v>292</v>
      </c>
      <c r="E16" s="3" t="s">
        <v>90</v>
      </c>
      <c r="F16" s="3" t="s">
        <v>3370</v>
      </c>
      <c r="G16" s="86">
        <v>200000</v>
      </c>
      <c r="H16" s="6">
        <f t="shared" si="1"/>
        <v>30508.474576271168</v>
      </c>
      <c r="I16" s="3" t="s">
        <v>18</v>
      </c>
      <c r="O16"/>
      <c r="P16"/>
      <c r="R16" s="87"/>
    </row>
    <row r="17" spans="2:18" hidden="1" x14ac:dyDescent="0.25">
      <c r="B17" s="3" t="s">
        <v>790</v>
      </c>
      <c r="C17" s="3" t="s">
        <v>57</v>
      </c>
      <c r="D17" s="3" t="s">
        <v>868</v>
      </c>
      <c r="E17" s="3" t="s">
        <v>87</v>
      </c>
      <c r="F17" s="3" t="s">
        <v>1986</v>
      </c>
      <c r="G17" s="6">
        <v>229853.5</v>
      </c>
      <c r="H17" s="6">
        <f t="shared" si="1"/>
        <v>35062.398305084731</v>
      </c>
      <c r="I17" s="3" t="s">
        <v>113</v>
      </c>
      <c r="O17"/>
      <c r="P17"/>
      <c r="R17" s="87"/>
    </row>
    <row r="18" spans="2:18" hidden="1" x14ac:dyDescent="0.25">
      <c r="B18" s="3" t="s">
        <v>811</v>
      </c>
      <c r="C18" s="3" t="s">
        <v>30</v>
      </c>
      <c r="D18" s="3" t="s">
        <v>889</v>
      </c>
      <c r="E18" s="3" t="s">
        <v>87</v>
      </c>
      <c r="F18" s="3" t="s">
        <v>1986</v>
      </c>
      <c r="G18" s="6">
        <v>9013.67</v>
      </c>
      <c r="H18" s="6">
        <f t="shared" si="1"/>
        <v>1374.9666101694911</v>
      </c>
      <c r="I18" s="3" t="s">
        <v>113</v>
      </c>
      <c r="O18"/>
      <c r="P18"/>
      <c r="R18" s="87"/>
    </row>
    <row r="19" spans="2:18" hidden="1" x14ac:dyDescent="0.25">
      <c r="B19" s="3" t="s">
        <v>815</v>
      </c>
      <c r="C19" s="3" t="s">
        <v>30</v>
      </c>
      <c r="D19" s="3" t="s">
        <v>893</v>
      </c>
      <c r="E19" s="3" t="s">
        <v>87</v>
      </c>
      <c r="F19" s="3" t="s">
        <v>1986</v>
      </c>
      <c r="G19" s="6">
        <v>12849.22</v>
      </c>
      <c r="H19" s="6">
        <f t="shared" si="1"/>
        <v>1960.0505084745764</v>
      </c>
      <c r="I19" s="3" t="s">
        <v>113</v>
      </c>
      <c r="J19" s="77"/>
      <c r="O19"/>
      <c r="P19"/>
      <c r="R19" s="87"/>
    </row>
    <row r="20" spans="2:18" hidden="1" x14ac:dyDescent="0.25">
      <c r="B20" s="3" t="s">
        <v>827</v>
      </c>
      <c r="C20" s="3" t="s">
        <v>30</v>
      </c>
      <c r="D20" s="3" t="s">
        <v>905</v>
      </c>
      <c r="E20" s="3" t="s">
        <v>87</v>
      </c>
      <c r="F20" s="3" t="s">
        <v>1986</v>
      </c>
      <c r="G20" s="6">
        <v>16529.25</v>
      </c>
      <c r="H20" s="6">
        <f t="shared" si="1"/>
        <v>2521.4110169491523</v>
      </c>
      <c r="I20" s="3" t="s">
        <v>113</v>
      </c>
      <c r="O20"/>
      <c r="P20"/>
      <c r="R20" s="87"/>
    </row>
    <row r="21" spans="2:18" hidden="1" x14ac:dyDescent="0.25">
      <c r="B21" s="3" t="s">
        <v>813</v>
      </c>
      <c r="C21" s="3" t="s">
        <v>30</v>
      </c>
      <c r="D21" s="3" t="s">
        <v>891</v>
      </c>
      <c r="E21" s="3" t="s">
        <v>87</v>
      </c>
      <c r="F21" s="3" t="s">
        <v>1986</v>
      </c>
      <c r="G21" s="6">
        <v>33892.870000000003</v>
      </c>
      <c r="H21" s="6">
        <f t="shared" si="1"/>
        <v>5170.0988135593216</v>
      </c>
      <c r="I21" s="3" t="s">
        <v>113</v>
      </c>
      <c r="J21" s="78"/>
      <c r="O21"/>
      <c r="P21"/>
      <c r="R21" s="87"/>
    </row>
    <row r="22" spans="2:18" hidden="1" x14ac:dyDescent="0.25">
      <c r="B22" s="3" t="s">
        <v>1568</v>
      </c>
      <c r="C22" s="3" t="s">
        <v>50</v>
      </c>
      <c r="D22" s="3" t="s">
        <v>341</v>
      </c>
      <c r="E22" s="3" t="s">
        <v>71</v>
      </c>
      <c r="F22" s="3" t="s">
        <v>1986</v>
      </c>
      <c r="G22" s="6">
        <v>8210</v>
      </c>
      <c r="H22" s="6">
        <f t="shared" si="1"/>
        <v>1252.3728813559319</v>
      </c>
      <c r="I22" s="3" t="s">
        <v>18</v>
      </c>
      <c r="R22" s="87"/>
    </row>
    <row r="23" spans="2:18" hidden="1" x14ac:dyDescent="0.25">
      <c r="B23" s="3" t="s">
        <v>717</v>
      </c>
      <c r="C23" s="3" t="s">
        <v>96</v>
      </c>
      <c r="D23" s="3" t="s">
        <v>1955</v>
      </c>
      <c r="E23" s="3" t="s">
        <v>71</v>
      </c>
      <c r="F23" s="3" t="s">
        <v>1986</v>
      </c>
      <c r="G23" s="6">
        <v>9134</v>
      </c>
      <c r="H23" s="6">
        <f t="shared" si="1"/>
        <v>1393.3220338983047</v>
      </c>
      <c r="I23" s="3" t="s">
        <v>18</v>
      </c>
      <c r="O23"/>
      <c r="P23"/>
      <c r="R23" s="87"/>
    </row>
    <row r="24" spans="2:18" hidden="1" x14ac:dyDescent="0.25">
      <c r="B24" s="3" t="s">
        <v>717</v>
      </c>
      <c r="C24" s="3" t="s">
        <v>96</v>
      </c>
      <c r="D24" s="3" t="s">
        <v>1956</v>
      </c>
      <c r="E24" s="3" t="s">
        <v>71</v>
      </c>
      <c r="F24" s="3" t="s">
        <v>1986</v>
      </c>
      <c r="G24" s="6">
        <v>12068</v>
      </c>
      <c r="H24" s="6">
        <f t="shared" si="1"/>
        <v>1840.8813559322025</v>
      </c>
      <c r="I24" s="3" t="s">
        <v>18</v>
      </c>
      <c r="R24" s="87"/>
    </row>
    <row r="25" spans="2:18" hidden="1" x14ac:dyDescent="0.25">
      <c r="B25" s="3" t="s">
        <v>717</v>
      </c>
      <c r="C25" s="3" t="s">
        <v>96</v>
      </c>
      <c r="D25" s="3" t="s">
        <v>1958</v>
      </c>
      <c r="E25" s="3" t="s">
        <v>71</v>
      </c>
      <c r="F25" s="3" t="s">
        <v>1986</v>
      </c>
      <c r="G25" s="6">
        <v>9970</v>
      </c>
      <c r="H25" s="6">
        <f t="shared" si="1"/>
        <v>1520.8474576271183</v>
      </c>
      <c r="I25" s="3" t="s">
        <v>18</v>
      </c>
      <c r="R25" s="87"/>
    </row>
    <row r="26" spans="2:18" hidden="1" x14ac:dyDescent="0.25">
      <c r="B26" s="3" t="s">
        <v>945</v>
      </c>
      <c r="C26" s="3" t="s">
        <v>96</v>
      </c>
      <c r="D26" s="3" t="s">
        <v>1872</v>
      </c>
      <c r="E26" s="3" t="s">
        <v>71</v>
      </c>
      <c r="F26" s="3" t="s">
        <v>1986</v>
      </c>
      <c r="G26" s="6">
        <v>8049</v>
      </c>
      <c r="H26" s="6">
        <f t="shared" si="1"/>
        <v>1227.8135593220331</v>
      </c>
      <c r="I26" s="3" t="s">
        <v>18</v>
      </c>
      <c r="R26" s="87"/>
    </row>
    <row r="27" spans="2:18" hidden="1" x14ac:dyDescent="0.25">
      <c r="B27" s="3" t="s">
        <v>945</v>
      </c>
      <c r="C27" s="3" t="s">
        <v>96</v>
      </c>
      <c r="D27" s="3" t="s">
        <v>1871</v>
      </c>
      <c r="E27" s="3" t="s">
        <v>71</v>
      </c>
      <c r="F27" s="3" t="s">
        <v>1986</v>
      </c>
      <c r="G27" s="6">
        <v>28338</v>
      </c>
      <c r="H27" s="6">
        <f t="shared" si="1"/>
        <v>4322.7457627118638</v>
      </c>
      <c r="I27" s="3" t="s">
        <v>18</v>
      </c>
      <c r="R27" s="87"/>
    </row>
    <row r="28" spans="2:18" hidden="1" x14ac:dyDescent="0.25">
      <c r="B28" s="3" t="s">
        <v>943</v>
      </c>
      <c r="C28" s="3" t="s">
        <v>96</v>
      </c>
      <c r="D28" s="3" t="s">
        <v>1945</v>
      </c>
      <c r="E28" s="3" t="s">
        <v>71</v>
      </c>
      <c r="F28" s="3" t="s">
        <v>1986</v>
      </c>
      <c r="G28" s="6">
        <v>743</v>
      </c>
      <c r="H28" s="6">
        <f t="shared" si="1"/>
        <v>113.33898305084745</v>
      </c>
      <c r="I28" s="3" t="s">
        <v>18</v>
      </c>
      <c r="R28" s="87"/>
    </row>
    <row r="29" spans="2:18" hidden="1" x14ac:dyDescent="0.25">
      <c r="B29" s="3" t="s">
        <v>1071</v>
      </c>
      <c r="C29" s="3" t="s">
        <v>94</v>
      </c>
      <c r="D29" s="3" t="s">
        <v>1127</v>
      </c>
      <c r="E29" s="3" t="s">
        <v>90</v>
      </c>
      <c r="F29" s="3" t="s">
        <v>2054</v>
      </c>
      <c r="G29" s="86">
        <v>160000</v>
      </c>
      <c r="H29" s="6">
        <f t="shared" si="1"/>
        <v>24406.779661016946</v>
      </c>
      <c r="I29" s="3" t="s">
        <v>18</v>
      </c>
      <c r="O29"/>
      <c r="P29"/>
      <c r="R29" s="87"/>
    </row>
    <row r="30" spans="2:18" hidden="1" x14ac:dyDescent="0.25">
      <c r="B30" s="3" t="s">
        <v>1461</v>
      </c>
      <c r="C30" s="3" t="s">
        <v>43</v>
      </c>
      <c r="D30" s="3" t="s">
        <v>1349</v>
      </c>
      <c r="E30" s="3" t="s">
        <v>90</v>
      </c>
      <c r="F30" s="3" t="s">
        <v>2054</v>
      </c>
      <c r="G30" s="6">
        <v>150000</v>
      </c>
      <c r="H30" s="6">
        <f t="shared" si="1"/>
        <v>22881.355932203383</v>
      </c>
      <c r="I30" s="3" t="s">
        <v>113</v>
      </c>
      <c r="O30"/>
      <c r="P30"/>
      <c r="R30" s="87"/>
    </row>
    <row r="31" spans="2:18" hidden="1" x14ac:dyDescent="0.25">
      <c r="B31" s="3" t="s">
        <v>1046</v>
      </c>
      <c r="C31" s="3" t="s">
        <v>94</v>
      </c>
      <c r="D31" s="3" t="s">
        <v>1103</v>
      </c>
      <c r="E31" s="3" t="s">
        <v>90</v>
      </c>
      <c r="F31" s="3" t="s">
        <v>3193</v>
      </c>
      <c r="G31" s="86">
        <v>150000</v>
      </c>
      <c r="H31" s="6">
        <f t="shared" si="1"/>
        <v>22881.355932203383</v>
      </c>
      <c r="I31" s="3" t="s">
        <v>18</v>
      </c>
      <c r="O31"/>
      <c r="P31"/>
      <c r="R31" s="87"/>
    </row>
    <row r="32" spans="2:18" hidden="1" x14ac:dyDescent="0.25">
      <c r="B32" s="3" t="s">
        <v>1050</v>
      </c>
      <c r="C32" s="3" t="s">
        <v>94</v>
      </c>
      <c r="D32" s="3" t="s">
        <v>1107</v>
      </c>
      <c r="E32" s="3" t="s">
        <v>90</v>
      </c>
      <c r="F32" s="3" t="s">
        <v>2177</v>
      </c>
      <c r="G32" s="86">
        <v>120000</v>
      </c>
      <c r="H32" s="6">
        <f t="shared" si="1"/>
        <v>18305.08474576271</v>
      </c>
      <c r="I32" s="3" t="s">
        <v>18</v>
      </c>
      <c r="O32" s="79"/>
      <c r="P32"/>
      <c r="R32" s="87"/>
    </row>
    <row r="33" spans="2:18" hidden="1" x14ac:dyDescent="0.25">
      <c r="B33" s="3" t="s">
        <v>996</v>
      </c>
      <c r="C33" s="3" t="s">
        <v>95</v>
      </c>
      <c r="D33" s="3" t="s">
        <v>1095</v>
      </c>
      <c r="E33" s="3" t="s">
        <v>90</v>
      </c>
      <c r="F33" s="3" t="s">
        <v>1986</v>
      </c>
      <c r="G33" s="86">
        <v>100000</v>
      </c>
      <c r="H33" s="6">
        <f t="shared" si="1"/>
        <v>15254.237288135584</v>
      </c>
      <c r="I33" s="3" t="s">
        <v>18</v>
      </c>
      <c r="O33"/>
      <c r="P33"/>
      <c r="R33" s="87"/>
    </row>
    <row r="34" spans="2:18" hidden="1" x14ac:dyDescent="0.25">
      <c r="B34" s="3" t="s">
        <v>998</v>
      </c>
      <c r="C34" s="3" t="s">
        <v>74</v>
      </c>
      <c r="D34" s="3" t="s">
        <v>1097</v>
      </c>
      <c r="E34" s="3" t="s">
        <v>90</v>
      </c>
      <c r="F34" s="3" t="s">
        <v>1986</v>
      </c>
      <c r="G34" s="86">
        <v>100000</v>
      </c>
      <c r="H34" s="6">
        <f t="shared" si="1"/>
        <v>15254.237288135584</v>
      </c>
      <c r="I34" s="3" t="s">
        <v>18</v>
      </c>
      <c r="O34"/>
      <c r="P34"/>
      <c r="R34" s="87"/>
    </row>
    <row r="35" spans="2:18" hidden="1" x14ac:dyDescent="0.25">
      <c r="B35" s="3" t="s">
        <v>1238</v>
      </c>
      <c r="C35" s="3" t="s">
        <v>17</v>
      </c>
      <c r="D35" s="3" t="s">
        <v>1312</v>
      </c>
      <c r="E35" s="3" t="s">
        <v>71</v>
      </c>
      <c r="F35" s="3" t="s">
        <v>1986</v>
      </c>
      <c r="G35" s="86">
        <v>250000</v>
      </c>
      <c r="H35" s="6">
        <f t="shared" si="1"/>
        <v>38135.593220338982</v>
      </c>
      <c r="I35" s="3" t="s">
        <v>113</v>
      </c>
      <c r="O35"/>
      <c r="P35"/>
      <c r="R35" s="87"/>
    </row>
    <row r="36" spans="2:18" hidden="1" x14ac:dyDescent="0.25">
      <c r="B36" s="3" t="s">
        <v>726</v>
      </c>
      <c r="C36" s="3" t="s">
        <v>96</v>
      </c>
      <c r="D36" s="3" t="s">
        <v>2006</v>
      </c>
      <c r="E36" s="3" t="s">
        <v>71</v>
      </c>
      <c r="F36" s="3" t="s">
        <v>1986</v>
      </c>
      <c r="G36" s="6">
        <v>80000</v>
      </c>
      <c r="H36" s="6">
        <f t="shared" si="1"/>
        <v>12203.389830508473</v>
      </c>
      <c r="I36" s="3" t="s">
        <v>18</v>
      </c>
      <c r="J36" s="19"/>
      <c r="O36"/>
      <c r="P36"/>
      <c r="R36" s="87"/>
    </row>
    <row r="37" spans="2:18" hidden="1" x14ac:dyDescent="0.25">
      <c r="B37" s="3" t="s">
        <v>950</v>
      </c>
      <c r="C37" s="3" t="s">
        <v>96</v>
      </c>
      <c r="D37" s="3" t="s">
        <v>2008</v>
      </c>
      <c r="E37" s="3" t="s">
        <v>71</v>
      </c>
      <c r="F37" s="3" t="s">
        <v>1986</v>
      </c>
      <c r="G37" s="6">
        <v>1000</v>
      </c>
      <c r="H37" s="6">
        <f t="shared" si="1"/>
        <v>152.54237288135585</v>
      </c>
      <c r="I37" s="3" t="s">
        <v>18</v>
      </c>
      <c r="O37"/>
      <c r="P37"/>
      <c r="R37" s="87"/>
    </row>
    <row r="38" spans="2:18" hidden="1" x14ac:dyDescent="0.25">
      <c r="B38" s="3" t="s">
        <v>730</v>
      </c>
      <c r="C38" s="3" t="s">
        <v>96</v>
      </c>
      <c r="D38" s="3" t="s">
        <v>2009</v>
      </c>
      <c r="E38" s="3" t="s">
        <v>71</v>
      </c>
      <c r="F38" s="3" t="s">
        <v>1986</v>
      </c>
      <c r="G38" s="6">
        <v>2000</v>
      </c>
      <c r="H38" s="6">
        <f t="shared" si="1"/>
        <v>305.08474576271169</v>
      </c>
      <c r="I38" s="3" t="s">
        <v>18</v>
      </c>
      <c r="J38" s="78"/>
      <c r="O38"/>
      <c r="P38"/>
      <c r="R38" s="87"/>
    </row>
    <row r="39" spans="2:18" hidden="1" x14ac:dyDescent="0.25">
      <c r="B39" s="8" t="s">
        <v>717</v>
      </c>
      <c r="C39" s="3" t="s">
        <v>96</v>
      </c>
      <c r="D39" s="3" t="s">
        <v>2010</v>
      </c>
      <c r="E39" s="3" t="s">
        <v>71</v>
      </c>
      <c r="F39" s="3" t="s">
        <v>1986</v>
      </c>
      <c r="G39" s="6">
        <v>55000</v>
      </c>
      <c r="H39" s="6">
        <f t="shared" si="1"/>
        <v>8389.8305084745734</v>
      </c>
      <c r="I39" s="3" t="s">
        <v>18</v>
      </c>
      <c r="J39" s="98"/>
      <c r="O39"/>
      <c r="P39"/>
      <c r="R39" s="87"/>
    </row>
    <row r="40" spans="2:18" hidden="1" x14ac:dyDescent="0.25">
      <c r="B40" s="3" t="s">
        <v>945</v>
      </c>
      <c r="C40" s="3" t="s">
        <v>96</v>
      </c>
      <c r="D40" s="3" t="s">
        <v>1943</v>
      </c>
      <c r="E40" s="3" t="s">
        <v>71</v>
      </c>
      <c r="F40" s="3" t="s">
        <v>1986</v>
      </c>
      <c r="G40" s="6">
        <v>2000</v>
      </c>
      <c r="H40" s="6">
        <f t="shared" si="1"/>
        <v>305.08474576271169</v>
      </c>
      <c r="I40" s="3" t="s">
        <v>18</v>
      </c>
      <c r="J40" s="18"/>
      <c r="O40"/>
      <c r="P40"/>
      <c r="R40" s="87"/>
    </row>
    <row r="41" spans="2:18" hidden="1" x14ac:dyDescent="0.25">
      <c r="B41" s="3" t="s">
        <v>945</v>
      </c>
      <c r="C41" s="3" t="s">
        <v>96</v>
      </c>
      <c r="D41" s="3" t="s">
        <v>2013</v>
      </c>
      <c r="E41" s="3" t="s">
        <v>71</v>
      </c>
      <c r="F41" s="3" t="s">
        <v>1986</v>
      </c>
      <c r="G41" s="6">
        <v>40000</v>
      </c>
      <c r="H41" s="6">
        <f t="shared" si="1"/>
        <v>6101.6949152542365</v>
      </c>
      <c r="I41" s="3" t="s">
        <v>18</v>
      </c>
      <c r="J41" s="18"/>
      <c r="O41"/>
      <c r="P41"/>
      <c r="R41" s="87"/>
    </row>
    <row r="42" spans="2:18" hidden="1" x14ac:dyDescent="0.25">
      <c r="B42" s="3" t="s">
        <v>945</v>
      </c>
      <c r="C42" s="3" t="s">
        <v>96</v>
      </c>
      <c r="D42" s="3" t="s">
        <v>2014</v>
      </c>
      <c r="E42" s="3" t="s">
        <v>71</v>
      </c>
      <c r="F42" s="3" t="s">
        <v>1986</v>
      </c>
      <c r="G42" s="6">
        <v>40000</v>
      </c>
      <c r="H42" s="6">
        <f t="shared" si="1"/>
        <v>6101.6949152542365</v>
      </c>
      <c r="I42" s="3" t="s">
        <v>18</v>
      </c>
      <c r="J42" s="18"/>
      <c r="O42"/>
      <c r="P42"/>
      <c r="R42" s="87"/>
    </row>
    <row r="43" spans="2:18" hidden="1" x14ac:dyDescent="0.25">
      <c r="B43" s="3" t="s">
        <v>945</v>
      </c>
      <c r="C43" s="3" t="s">
        <v>96</v>
      </c>
      <c r="D43" s="3" t="s">
        <v>2016</v>
      </c>
      <c r="E43" s="3" t="s">
        <v>71</v>
      </c>
      <c r="F43" s="3" t="s">
        <v>1986</v>
      </c>
      <c r="G43" s="6">
        <v>40000</v>
      </c>
      <c r="H43" s="6">
        <f t="shared" si="1"/>
        <v>6101.6949152542365</v>
      </c>
      <c r="I43" s="3" t="s">
        <v>18</v>
      </c>
      <c r="J43" s="18"/>
      <c r="O43"/>
      <c r="P43"/>
      <c r="R43" s="87"/>
    </row>
    <row r="44" spans="2:18" hidden="1" x14ac:dyDescent="0.25">
      <c r="B44" s="3" t="s">
        <v>945</v>
      </c>
      <c r="C44" s="3" t="s">
        <v>96</v>
      </c>
      <c r="D44" s="3" t="s">
        <v>2018</v>
      </c>
      <c r="E44" s="3" t="s">
        <v>71</v>
      </c>
      <c r="F44" s="3" t="s">
        <v>1986</v>
      </c>
      <c r="G44" s="6">
        <v>50000</v>
      </c>
      <c r="H44" s="6">
        <f t="shared" si="1"/>
        <v>7627.118644067792</v>
      </c>
      <c r="I44" s="3" t="s">
        <v>18</v>
      </c>
      <c r="J44" s="18"/>
      <c r="R44" s="87"/>
    </row>
    <row r="45" spans="2:18" hidden="1" x14ac:dyDescent="0.25">
      <c r="B45" s="3" t="s">
        <v>717</v>
      </c>
      <c r="C45" s="3" t="s">
        <v>96</v>
      </c>
      <c r="D45" s="3" t="s">
        <v>2021</v>
      </c>
      <c r="E45" s="3" t="s">
        <v>71</v>
      </c>
      <c r="F45" s="3" t="s">
        <v>1986</v>
      </c>
      <c r="G45" s="6">
        <v>55000</v>
      </c>
      <c r="H45" s="6">
        <f t="shared" si="1"/>
        <v>8389.8305084745734</v>
      </c>
      <c r="I45" s="3" t="s">
        <v>18</v>
      </c>
      <c r="O45"/>
      <c r="P45"/>
      <c r="R45" s="87"/>
    </row>
    <row r="46" spans="2:18" hidden="1" x14ac:dyDescent="0.25">
      <c r="B46" s="3" t="s">
        <v>1077</v>
      </c>
      <c r="C46" s="3" t="s">
        <v>74</v>
      </c>
      <c r="D46" s="3" t="s">
        <v>1133</v>
      </c>
      <c r="E46" s="3" t="s">
        <v>90</v>
      </c>
      <c r="F46" s="3" t="s">
        <v>2177</v>
      </c>
      <c r="G46" s="86">
        <v>100000</v>
      </c>
      <c r="H46" s="6">
        <f t="shared" si="1"/>
        <v>15254.237288135584</v>
      </c>
      <c r="I46" s="3" t="s">
        <v>18</v>
      </c>
      <c r="O46" s="79"/>
      <c r="P46"/>
      <c r="R46" s="87"/>
    </row>
    <row r="47" spans="2:18" hidden="1" x14ac:dyDescent="0.25">
      <c r="B47" s="3" t="s">
        <v>1984</v>
      </c>
      <c r="C47" s="3" t="s">
        <v>33</v>
      </c>
      <c r="D47" s="3" t="s">
        <v>1982</v>
      </c>
      <c r="E47" s="3" t="s">
        <v>71</v>
      </c>
      <c r="F47" s="3" t="s">
        <v>2022</v>
      </c>
      <c r="G47" s="252">
        <v>99594</v>
      </c>
      <c r="H47" s="6">
        <f t="shared" si="1"/>
        <v>15192.305084745763</v>
      </c>
      <c r="I47" s="3" t="s">
        <v>113</v>
      </c>
      <c r="J47" s="79"/>
      <c r="O47"/>
      <c r="P47"/>
      <c r="R47" s="87"/>
    </row>
    <row r="48" spans="2:18" hidden="1" x14ac:dyDescent="0.25">
      <c r="B48" s="3" t="s">
        <v>1544</v>
      </c>
      <c r="C48" s="3" t="s">
        <v>91</v>
      </c>
      <c r="D48" s="3" t="s">
        <v>532</v>
      </c>
      <c r="E48" s="3" t="s">
        <v>105</v>
      </c>
      <c r="F48" s="3" t="s">
        <v>2022</v>
      </c>
      <c r="G48" s="6">
        <v>83898.7</v>
      </c>
      <c r="H48" s="6">
        <f t="shared" si="1"/>
        <v>12798.106779661015</v>
      </c>
      <c r="I48" s="3" t="s">
        <v>18</v>
      </c>
      <c r="O48"/>
      <c r="P48"/>
      <c r="R48" s="87"/>
    </row>
    <row r="49" spans="2:18" hidden="1" x14ac:dyDescent="0.25">
      <c r="B49" s="3" t="s">
        <v>791</v>
      </c>
      <c r="C49" s="3" t="s">
        <v>30</v>
      </c>
      <c r="D49" s="3" t="s">
        <v>869</v>
      </c>
      <c r="E49" s="3" t="s">
        <v>117</v>
      </c>
      <c r="F49" s="3" t="s">
        <v>2022</v>
      </c>
      <c r="G49" s="6">
        <v>640</v>
      </c>
      <c r="H49" s="6">
        <f t="shared" si="1"/>
        <v>97.627118644067764</v>
      </c>
      <c r="I49" s="3" t="s">
        <v>113</v>
      </c>
      <c r="O49"/>
      <c r="P49"/>
      <c r="R49" s="87"/>
    </row>
    <row r="50" spans="2:18" hidden="1" x14ac:dyDescent="0.25">
      <c r="B50" s="3" t="s">
        <v>1974</v>
      </c>
      <c r="C50" s="3" t="s">
        <v>95</v>
      </c>
      <c r="D50" s="3" t="s">
        <v>2057</v>
      </c>
      <c r="E50" s="3" t="s">
        <v>105</v>
      </c>
      <c r="F50" s="3" t="s">
        <v>2022</v>
      </c>
      <c r="G50" s="6">
        <v>212783.98</v>
      </c>
      <c r="H50" s="6">
        <f t="shared" si="1"/>
        <v>32458.573220338963</v>
      </c>
      <c r="I50" s="3" t="s">
        <v>18</v>
      </c>
      <c r="O50"/>
      <c r="P50"/>
      <c r="R50" s="87"/>
    </row>
    <row r="51" spans="2:18" hidden="1" x14ac:dyDescent="0.25">
      <c r="B51" s="3" t="s">
        <v>1065</v>
      </c>
      <c r="C51" s="3" t="s">
        <v>94</v>
      </c>
      <c r="D51" s="3" t="s">
        <v>1122</v>
      </c>
      <c r="E51" s="3" t="s">
        <v>90</v>
      </c>
      <c r="F51" s="3" t="s">
        <v>2177</v>
      </c>
      <c r="G51" s="86">
        <v>100000</v>
      </c>
      <c r="H51" s="6">
        <f t="shared" si="1"/>
        <v>15254.237288135584</v>
      </c>
      <c r="I51" s="3" t="s">
        <v>18</v>
      </c>
      <c r="O51" s="79"/>
      <c r="P51"/>
      <c r="R51" s="87"/>
    </row>
    <row r="52" spans="2:18" hidden="1" x14ac:dyDescent="0.25">
      <c r="B52" s="3" t="s">
        <v>1453</v>
      </c>
      <c r="C52" s="3" t="s">
        <v>40</v>
      </c>
      <c r="D52" s="3" t="s">
        <v>1343</v>
      </c>
      <c r="E52" s="3" t="s">
        <v>90</v>
      </c>
      <c r="F52" s="3" t="s">
        <v>3193</v>
      </c>
      <c r="G52" s="6">
        <v>90000</v>
      </c>
      <c r="H52" s="6">
        <f t="shared" si="1"/>
        <v>13728.813559322036</v>
      </c>
      <c r="I52" s="3" t="s">
        <v>113</v>
      </c>
      <c r="O52"/>
      <c r="P52"/>
      <c r="R52" s="87"/>
    </row>
    <row r="53" spans="2:18" hidden="1" x14ac:dyDescent="0.25">
      <c r="B53" s="3" t="s">
        <v>1504</v>
      </c>
      <c r="C53" s="3" t="s">
        <v>40</v>
      </c>
      <c r="D53" s="3" t="s">
        <v>239</v>
      </c>
      <c r="E53" s="3" t="s">
        <v>90</v>
      </c>
      <c r="F53" s="3" t="s">
        <v>1986</v>
      </c>
      <c r="G53" s="6">
        <v>84081</v>
      </c>
      <c r="H53" s="6">
        <f t="shared" si="1"/>
        <v>12825.91525423729</v>
      </c>
      <c r="I53" s="3" t="s">
        <v>113</v>
      </c>
      <c r="O53"/>
      <c r="P53"/>
      <c r="R53" s="87"/>
    </row>
    <row r="54" spans="2:18" hidden="1" x14ac:dyDescent="0.25">
      <c r="B54" s="3" t="s">
        <v>996</v>
      </c>
      <c r="C54" s="3" t="s">
        <v>95</v>
      </c>
      <c r="D54" s="3" t="s">
        <v>1095</v>
      </c>
      <c r="E54" s="3" t="s">
        <v>90</v>
      </c>
      <c r="F54" s="3" t="s">
        <v>3193</v>
      </c>
      <c r="G54" s="86">
        <v>80000</v>
      </c>
      <c r="H54" s="6">
        <f t="shared" si="1"/>
        <v>12203.389830508473</v>
      </c>
      <c r="I54" s="3" t="s">
        <v>18</v>
      </c>
      <c r="O54"/>
      <c r="P54"/>
      <c r="R54" s="87"/>
    </row>
    <row r="55" spans="2:18" hidden="1" x14ac:dyDescent="0.25">
      <c r="B55" s="3" t="s">
        <v>1507</v>
      </c>
      <c r="C55" s="3" t="s">
        <v>42</v>
      </c>
      <c r="D55" s="3" t="s">
        <v>1680</v>
      </c>
      <c r="E55" s="3" t="s">
        <v>90</v>
      </c>
      <c r="F55" s="3" t="s">
        <v>2022</v>
      </c>
      <c r="G55" s="6">
        <v>73801.39</v>
      </c>
      <c r="H55" s="6">
        <f t="shared" si="1"/>
        <v>11257.839152542372</v>
      </c>
      <c r="I55" s="3" t="s">
        <v>113</v>
      </c>
      <c r="O55"/>
      <c r="P55"/>
      <c r="R55" s="87"/>
    </row>
    <row r="56" spans="2:18" hidden="1" x14ac:dyDescent="0.25">
      <c r="B56" s="3" t="s">
        <v>945</v>
      </c>
      <c r="C56" s="3" t="s">
        <v>96</v>
      </c>
      <c r="D56" s="3" t="s">
        <v>2028</v>
      </c>
      <c r="E56" s="3" t="s">
        <v>71</v>
      </c>
      <c r="F56" s="3" t="s">
        <v>2022</v>
      </c>
      <c r="G56" s="6">
        <v>70000</v>
      </c>
      <c r="H56" s="6">
        <f t="shared" si="1"/>
        <v>10677.96610169491</v>
      </c>
      <c r="I56" s="3" t="s">
        <v>18</v>
      </c>
      <c r="O56"/>
      <c r="P56"/>
      <c r="R56" s="87"/>
    </row>
    <row r="57" spans="2:18" hidden="1" x14ac:dyDescent="0.25">
      <c r="B57" s="3" t="s">
        <v>945</v>
      </c>
      <c r="C57" s="3" t="s">
        <v>96</v>
      </c>
      <c r="D57" s="3" t="s">
        <v>2030</v>
      </c>
      <c r="E57" s="3" t="s">
        <v>71</v>
      </c>
      <c r="F57" s="3" t="s">
        <v>2022</v>
      </c>
      <c r="G57" s="6">
        <v>120000</v>
      </c>
      <c r="H57" s="6">
        <f t="shared" si="1"/>
        <v>18305.08474576271</v>
      </c>
      <c r="I57" s="3" t="s">
        <v>18</v>
      </c>
      <c r="O57"/>
      <c r="P57"/>
      <c r="R57" s="87"/>
    </row>
    <row r="58" spans="2:18" hidden="1" x14ac:dyDescent="0.25">
      <c r="B58" s="3" t="s">
        <v>945</v>
      </c>
      <c r="C58" s="3" t="s">
        <v>96</v>
      </c>
      <c r="D58" s="3" t="s">
        <v>2032</v>
      </c>
      <c r="E58" s="3" t="s">
        <v>71</v>
      </c>
      <c r="F58" s="3" t="s">
        <v>2022</v>
      </c>
      <c r="G58" s="6">
        <v>50000</v>
      </c>
      <c r="H58" s="6">
        <f t="shared" si="1"/>
        <v>7627.118644067792</v>
      </c>
      <c r="I58" s="3" t="s">
        <v>18</v>
      </c>
      <c r="J58" s="16"/>
      <c r="O58"/>
      <c r="P58"/>
      <c r="R58" s="87"/>
    </row>
    <row r="59" spans="2:18" hidden="1" x14ac:dyDescent="0.25">
      <c r="B59" s="3" t="s">
        <v>945</v>
      </c>
      <c r="C59" s="3" t="s">
        <v>96</v>
      </c>
      <c r="D59" s="3" t="s">
        <v>2034</v>
      </c>
      <c r="E59" s="3" t="s">
        <v>71</v>
      </c>
      <c r="F59" s="3" t="s">
        <v>2022</v>
      </c>
      <c r="G59" s="6">
        <v>40000</v>
      </c>
      <c r="H59" s="6">
        <f t="shared" si="1"/>
        <v>6101.6949152542365</v>
      </c>
      <c r="I59" s="3" t="s">
        <v>18</v>
      </c>
      <c r="O59"/>
      <c r="P59"/>
      <c r="R59" s="87"/>
    </row>
    <row r="60" spans="2:18" hidden="1" x14ac:dyDescent="0.25">
      <c r="B60" s="3" t="s">
        <v>726</v>
      </c>
      <c r="C60" s="3" t="s">
        <v>96</v>
      </c>
      <c r="D60" s="3" t="s">
        <v>2036</v>
      </c>
      <c r="E60" s="3" t="s">
        <v>71</v>
      </c>
      <c r="F60" s="3" t="s">
        <v>2022</v>
      </c>
      <c r="G60" s="6">
        <v>2000</v>
      </c>
      <c r="H60" s="6">
        <f t="shared" si="1"/>
        <v>305.08474576271169</v>
      </c>
      <c r="I60" s="3" t="s">
        <v>18</v>
      </c>
      <c r="N60">
        <v>7</v>
      </c>
      <c r="O60"/>
      <c r="P60"/>
      <c r="R60" s="87"/>
    </row>
    <row r="61" spans="2:18" hidden="1" x14ac:dyDescent="0.25">
      <c r="B61" s="3" t="s">
        <v>1238</v>
      </c>
      <c r="C61" s="3" t="s">
        <v>17</v>
      </c>
      <c r="D61" s="3" t="s">
        <v>1312</v>
      </c>
      <c r="E61" s="3" t="s">
        <v>71</v>
      </c>
      <c r="F61" s="3" t="s">
        <v>2022</v>
      </c>
      <c r="G61" s="86">
        <v>150000</v>
      </c>
      <c r="H61" s="6">
        <f t="shared" si="1"/>
        <v>22881.355932203383</v>
      </c>
      <c r="I61" s="3" t="s">
        <v>113</v>
      </c>
      <c r="J61" s="5"/>
      <c r="O61"/>
      <c r="P61"/>
      <c r="R61" s="87"/>
    </row>
    <row r="62" spans="2:18" hidden="1" x14ac:dyDescent="0.25">
      <c r="B62" s="8" t="s">
        <v>730</v>
      </c>
      <c r="C62" s="3" t="s">
        <v>96</v>
      </c>
      <c r="D62" s="3" t="s">
        <v>2040</v>
      </c>
      <c r="E62" s="3" t="s">
        <v>71</v>
      </c>
      <c r="F62" s="3" t="s">
        <v>2022</v>
      </c>
      <c r="G62" s="6">
        <v>90000</v>
      </c>
      <c r="H62" s="6">
        <f t="shared" si="1"/>
        <v>13728.813559322036</v>
      </c>
      <c r="I62" s="3" t="s">
        <v>18</v>
      </c>
      <c r="J62" s="18"/>
      <c r="N62">
        <v>78</v>
      </c>
      <c r="O62"/>
      <c r="P62"/>
      <c r="R62" s="87"/>
    </row>
    <row r="63" spans="2:18" hidden="1" x14ac:dyDescent="0.25">
      <c r="B63" s="3" t="s">
        <v>1231</v>
      </c>
      <c r="C63" s="3" t="s">
        <v>34</v>
      </c>
      <c r="D63" s="3" t="s">
        <v>1305</v>
      </c>
      <c r="E63" s="3" t="s">
        <v>71</v>
      </c>
      <c r="F63" s="3" t="s">
        <v>2022</v>
      </c>
      <c r="G63" s="86">
        <v>59129</v>
      </c>
      <c r="H63" s="6">
        <f t="shared" si="1"/>
        <v>9019.6779661016917</v>
      </c>
      <c r="I63" s="3" t="s">
        <v>113</v>
      </c>
      <c r="O63"/>
      <c r="P63"/>
      <c r="R63" s="87"/>
    </row>
    <row r="64" spans="2:18" hidden="1" x14ac:dyDescent="0.25">
      <c r="B64" s="3" t="s">
        <v>945</v>
      </c>
      <c r="C64" s="3" t="s">
        <v>96</v>
      </c>
      <c r="D64" s="3" t="s">
        <v>1951</v>
      </c>
      <c r="E64" s="3" t="s">
        <v>71</v>
      </c>
      <c r="F64" s="3" t="s">
        <v>2022</v>
      </c>
      <c r="G64" s="6">
        <v>12233.96</v>
      </c>
      <c r="H64" s="6">
        <f t="shared" si="1"/>
        <v>1866.1972881355923</v>
      </c>
      <c r="I64" s="3" t="s">
        <v>18</v>
      </c>
      <c r="J64" s="18"/>
      <c r="N64">
        <v>26</v>
      </c>
      <c r="O64"/>
      <c r="P64"/>
      <c r="R64" s="87"/>
    </row>
    <row r="65" spans="2:18" hidden="1" x14ac:dyDescent="0.25">
      <c r="B65" s="3" t="s">
        <v>990</v>
      </c>
      <c r="C65" s="3" t="s">
        <v>95</v>
      </c>
      <c r="D65" s="3" t="s">
        <v>1089</v>
      </c>
      <c r="E65" s="3" t="s">
        <v>90</v>
      </c>
      <c r="F65" s="3" t="s">
        <v>3193</v>
      </c>
      <c r="G65" s="86">
        <v>70000</v>
      </c>
      <c r="H65" s="6">
        <f t="shared" si="1"/>
        <v>10677.96610169491</v>
      </c>
      <c r="I65" s="3" t="s">
        <v>18</v>
      </c>
      <c r="J65" s="18"/>
      <c r="O65"/>
      <c r="P65"/>
      <c r="R65" s="87"/>
    </row>
    <row r="66" spans="2:18" hidden="1" x14ac:dyDescent="0.25">
      <c r="B66" s="3" t="s">
        <v>1471</v>
      </c>
      <c r="C66" s="3" t="s">
        <v>40</v>
      </c>
      <c r="D66" s="3" t="s">
        <v>1359</v>
      </c>
      <c r="E66" s="3" t="s">
        <v>90</v>
      </c>
      <c r="F66" s="3" t="s">
        <v>2054</v>
      </c>
      <c r="G66" s="6">
        <v>60000</v>
      </c>
      <c r="H66" s="6">
        <f t="shared" si="1"/>
        <v>9152.5423728813548</v>
      </c>
      <c r="I66" s="3" t="s">
        <v>113</v>
      </c>
      <c r="O66"/>
      <c r="P66"/>
      <c r="R66" s="87"/>
    </row>
    <row r="67" spans="2:18" hidden="1" x14ac:dyDescent="0.25">
      <c r="B67" s="3" t="s">
        <v>803</v>
      </c>
      <c r="C67" s="3" t="s">
        <v>56</v>
      </c>
      <c r="D67" s="3" t="s">
        <v>881</v>
      </c>
      <c r="E67" s="3" t="s">
        <v>87</v>
      </c>
      <c r="F67" s="3" t="s">
        <v>2022</v>
      </c>
      <c r="G67" s="6">
        <v>231828.14</v>
      </c>
      <c r="H67" s="6">
        <f t="shared" si="1"/>
        <v>35363.614576271182</v>
      </c>
      <c r="I67" s="3" t="s">
        <v>113</v>
      </c>
      <c r="O67"/>
      <c r="P67"/>
      <c r="R67" s="87"/>
    </row>
    <row r="68" spans="2:18" hidden="1" x14ac:dyDescent="0.25">
      <c r="B68" s="3" t="s">
        <v>748</v>
      </c>
      <c r="C68" s="3" t="s">
        <v>93</v>
      </c>
      <c r="D68" s="3" t="s">
        <v>749</v>
      </c>
      <c r="E68" s="3" t="s">
        <v>87</v>
      </c>
      <c r="F68" s="3" t="s">
        <v>2022</v>
      </c>
      <c r="G68" s="6">
        <v>100000</v>
      </c>
      <c r="H68" s="6">
        <f t="shared" si="1"/>
        <v>15254.237288135584</v>
      </c>
      <c r="I68" s="3" t="s">
        <v>18</v>
      </c>
      <c r="O68"/>
      <c r="P68"/>
      <c r="R68" s="87"/>
    </row>
    <row r="69" spans="2:18" hidden="1" x14ac:dyDescent="0.25">
      <c r="B69" s="3" t="s">
        <v>717</v>
      </c>
      <c r="C69" s="3" t="s">
        <v>96</v>
      </c>
      <c r="D69" s="3" t="s">
        <v>1960</v>
      </c>
      <c r="E69" s="3" t="s">
        <v>71</v>
      </c>
      <c r="F69" s="3" t="s">
        <v>2022</v>
      </c>
      <c r="G69" s="6">
        <v>2000</v>
      </c>
      <c r="H69" s="6">
        <f t="shared" si="1"/>
        <v>305.08474576271169</v>
      </c>
      <c r="I69" s="3" t="s">
        <v>18</v>
      </c>
      <c r="N69">
        <v>2</v>
      </c>
      <c r="O69"/>
      <c r="P69"/>
      <c r="R69" s="87"/>
    </row>
    <row r="70" spans="2:18" hidden="1" x14ac:dyDescent="0.25">
      <c r="B70" s="3" t="s">
        <v>730</v>
      </c>
      <c r="C70" s="3" t="s">
        <v>96</v>
      </c>
      <c r="D70" s="3" t="s">
        <v>2009</v>
      </c>
      <c r="E70" s="3" t="s">
        <v>71</v>
      </c>
      <c r="F70" s="3" t="s">
        <v>2022</v>
      </c>
      <c r="G70" s="6">
        <v>5000</v>
      </c>
      <c r="H70" s="6">
        <f t="shared" si="1"/>
        <v>762.71186440677957</v>
      </c>
      <c r="I70" s="3" t="s">
        <v>18</v>
      </c>
      <c r="N70">
        <v>28</v>
      </c>
      <c r="O70"/>
      <c r="P70"/>
      <c r="R70" s="87"/>
    </row>
    <row r="71" spans="2:18" hidden="1" x14ac:dyDescent="0.25">
      <c r="B71" s="3" t="s">
        <v>945</v>
      </c>
      <c r="C71" s="3" t="s">
        <v>96</v>
      </c>
      <c r="D71" s="3" t="s">
        <v>2042</v>
      </c>
      <c r="E71" s="3" t="s">
        <v>71</v>
      </c>
      <c r="F71" s="3" t="s">
        <v>2022</v>
      </c>
      <c r="G71" s="6">
        <v>5000</v>
      </c>
      <c r="H71" s="6">
        <f t="shared" si="1"/>
        <v>762.71186440677957</v>
      </c>
      <c r="I71" s="3" t="s">
        <v>18</v>
      </c>
      <c r="N71">
        <v>20</v>
      </c>
      <c r="O71"/>
      <c r="P71"/>
      <c r="R71" s="87"/>
    </row>
    <row r="72" spans="2:18" hidden="1" x14ac:dyDescent="0.25">
      <c r="B72" s="3" t="s">
        <v>945</v>
      </c>
      <c r="C72" s="3" t="s">
        <v>96</v>
      </c>
      <c r="D72" s="3" t="s">
        <v>1943</v>
      </c>
      <c r="E72" s="3" t="s">
        <v>71</v>
      </c>
      <c r="F72" s="3" t="s">
        <v>2022</v>
      </c>
      <c r="G72" s="6">
        <v>10000</v>
      </c>
      <c r="H72" s="6">
        <f t="shared" si="1"/>
        <v>1525.4237288135591</v>
      </c>
      <c r="I72" s="3" t="s">
        <v>18</v>
      </c>
      <c r="N72">
        <v>53</v>
      </c>
      <c r="O72"/>
      <c r="P72"/>
      <c r="R72" s="87"/>
    </row>
    <row r="73" spans="2:18" hidden="1" x14ac:dyDescent="0.25">
      <c r="B73" s="3" t="s">
        <v>945</v>
      </c>
      <c r="C73" s="3" t="s">
        <v>96</v>
      </c>
      <c r="D73" s="3" t="s">
        <v>1952</v>
      </c>
      <c r="E73" s="3" t="s">
        <v>71</v>
      </c>
      <c r="F73" s="3" t="s">
        <v>2022</v>
      </c>
      <c r="G73" s="6">
        <v>5000</v>
      </c>
      <c r="H73" s="6">
        <f t="shared" si="1"/>
        <v>762.71186440677957</v>
      </c>
      <c r="I73" s="3" t="s">
        <v>18</v>
      </c>
      <c r="N73">
        <v>23</v>
      </c>
      <c r="O73"/>
      <c r="P73"/>
      <c r="R73" s="87"/>
    </row>
    <row r="74" spans="2:18" hidden="1" x14ac:dyDescent="0.25">
      <c r="B74" s="3" t="s">
        <v>792</v>
      </c>
      <c r="C74" s="3" t="s">
        <v>30</v>
      </c>
      <c r="D74" s="8" t="s">
        <v>870</v>
      </c>
      <c r="E74" s="8" t="s">
        <v>87</v>
      </c>
      <c r="F74" s="3" t="s">
        <v>2022</v>
      </c>
      <c r="G74" s="6">
        <v>33559.82</v>
      </c>
      <c r="H74" s="6">
        <f t="shared" ref="H74:H137" si="2">G74-G74/1.18</f>
        <v>5119.2945762711861</v>
      </c>
      <c r="I74" s="3" t="s">
        <v>113</v>
      </c>
      <c r="O74"/>
      <c r="P74"/>
      <c r="R74" s="87"/>
    </row>
    <row r="75" spans="2:18" hidden="1" x14ac:dyDescent="0.25">
      <c r="B75" s="3" t="s">
        <v>781</v>
      </c>
      <c r="C75" s="3" t="s">
        <v>57</v>
      </c>
      <c r="D75" s="3" t="s">
        <v>859</v>
      </c>
      <c r="E75" s="3" t="s">
        <v>87</v>
      </c>
      <c r="F75" s="3" t="s">
        <v>2022</v>
      </c>
      <c r="G75" s="6">
        <v>259004.11</v>
      </c>
      <c r="H75" s="6">
        <f t="shared" si="2"/>
        <v>39509.101525423728</v>
      </c>
      <c r="I75" s="3" t="s">
        <v>113</v>
      </c>
      <c r="J75" s="18"/>
      <c r="O75"/>
      <c r="P75"/>
      <c r="R75" s="87"/>
    </row>
    <row r="76" spans="2:18" hidden="1" x14ac:dyDescent="0.25">
      <c r="B76" s="3" t="s">
        <v>798</v>
      </c>
      <c r="C76" s="3" t="s">
        <v>57</v>
      </c>
      <c r="D76" s="3" t="s">
        <v>876</v>
      </c>
      <c r="E76" s="3" t="s">
        <v>87</v>
      </c>
      <c r="F76" s="3" t="s">
        <v>2022</v>
      </c>
      <c r="G76" s="6">
        <v>61880.480000000003</v>
      </c>
      <c r="H76" s="6">
        <f t="shared" si="2"/>
        <v>9439.3952542372863</v>
      </c>
      <c r="I76" s="3" t="s">
        <v>113</v>
      </c>
      <c r="O76"/>
      <c r="P76"/>
      <c r="R76" s="87"/>
    </row>
    <row r="77" spans="2:18" hidden="1" x14ac:dyDescent="0.25">
      <c r="B77" s="3" t="s">
        <v>787</v>
      </c>
      <c r="C77" s="3" t="s">
        <v>29</v>
      </c>
      <c r="D77" s="3" t="s">
        <v>865</v>
      </c>
      <c r="E77" s="3" t="s">
        <v>87</v>
      </c>
      <c r="F77" s="3" t="s">
        <v>2022</v>
      </c>
      <c r="G77" s="6">
        <v>43287.19</v>
      </c>
      <c r="H77" s="6">
        <f t="shared" si="2"/>
        <v>6603.1306779661027</v>
      </c>
      <c r="I77" s="3" t="s">
        <v>113</v>
      </c>
      <c r="O77"/>
      <c r="P77"/>
      <c r="R77" s="87"/>
    </row>
    <row r="78" spans="2:18" hidden="1" x14ac:dyDescent="0.25">
      <c r="B78" s="3" t="s">
        <v>1851</v>
      </c>
      <c r="C78" s="3" t="s">
        <v>21</v>
      </c>
      <c r="D78" s="3" t="s">
        <v>2043</v>
      </c>
      <c r="E78" s="3" t="s">
        <v>115</v>
      </c>
      <c r="F78" s="3" t="s">
        <v>2022</v>
      </c>
      <c r="G78" s="6">
        <v>2262</v>
      </c>
      <c r="H78" s="6">
        <f t="shared" si="2"/>
        <v>345.05084745762701</v>
      </c>
      <c r="I78" s="3" t="s">
        <v>113</v>
      </c>
      <c r="J78" s="77" t="s">
        <v>3728</v>
      </c>
      <c r="O78"/>
      <c r="P78"/>
      <c r="R78" s="87"/>
    </row>
    <row r="79" spans="2:18" hidden="1" x14ac:dyDescent="0.25">
      <c r="B79" s="3" t="s">
        <v>1843</v>
      </c>
      <c r="C79" s="3" t="s">
        <v>20</v>
      </c>
      <c r="D79" s="3" t="s">
        <v>2044</v>
      </c>
      <c r="E79" s="3" t="s">
        <v>115</v>
      </c>
      <c r="F79" s="3" t="s">
        <v>2022</v>
      </c>
      <c r="G79" s="6">
        <v>10739</v>
      </c>
      <c r="H79" s="6">
        <f t="shared" si="2"/>
        <v>1638.1525423728817</v>
      </c>
      <c r="I79" s="3" t="s">
        <v>113</v>
      </c>
      <c r="J79" s="77" t="s">
        <v>3728</v>
      </c>
      <c r="O79"/>
      <c r="P79"/>
      <c r="R79" s="87"/>
    </row>
    <row r="80" spans="2:18" hidden="1" x14ac:dyDescent="0.25">
      <c r="B80" s="3" t="s">
        <v>1846</v>
      </c>
      <c r="C80" s="3" t="s">
        <v>20</v>
      </c>
      <c r="D80" s="3" t="s">
        <v>2047</v>
      </c>
      <c r="E80" s="3" t="s">
        <v>115</v>
      </c>
      <c r="F80" s="3" t="s">
        <v>2022</v>
      </c>
      <c r="G80" s="6">
        <v>5451</v>
      </c>
      <c r="H80" s="6">
        <f t="shared" si="2"/>
        <v>831.5084745762706</v>
      </c>
      <c r="I80" s="3" t="s">
        <v>113</v>
      </c>
      <c r="J80" s="77" t="s">
        <v>3728</v>
      </c>
      <c r="R80" s="87"/>
    </row>
    <row r="81" spans="2:18" hidden="1" x14ac:dyDescent="0.25">
      <c r="B81" s="3" t="s">
        <v>1852</v>
      </c>
      <c r="C81" s="3" t="s">
        <v>20</v>
      </c>
      <c r="D81" s="3" t="s">
        <v>2050</v>
      </c>
      <c r="E81" s="3" t="s">
        <v>115</v>
      </c>
      <c r="F81" s="3" t="s">
        <v>2022</v>
      </c>
      <c r="G81" s="6">
        <v>13429</v>
      </c>
      <c r="H81" s="6">
        <f t="shared" si="2"/>
        <v>2048.4915254237276</v>
      </c>
      <c r="I81" s="3" t="s">
        <v>113</v>
      </c>
      <c r="J81" s="77" t="s">
        <v>3728</v>
      </c>
      <c r="O81"/>
      <c r="P81"/>
      <c r="R81" s="87"/>
    </row>
    <row r="82" spans="2:18" hidden="1" x14ac:dyDescent="0.25">
      <c r="B82" s="3" t="s">
        <v>1618</v>
      </c>
      <c r="C82" s="3" t="s">
        <v>45</v>
      </c>
      <c r="D82" s="3" t="s">
        <v>1619</v>
      </c>
      <c r="E82" s="3" t="s">
        <v>75</v>
      </c>
      <c r="F82" s="3" t="s">
        <v>2022</v>
      </c>
      <c r="G82" s="6">
        <v>605000</v>
      </c>
      <c r="H82" s="6">
        <f t="shared" si="2"/>
        <v>92288.135593220301</v>
      </c>
      <c r="I82" s="3" t="s">
        <v>113</v>
      </c>
      <c r="J82" s="18"/>
      <c r="O82"/>
      <c r="P82"/>
      <c r="R82" s="87"/>
    </row>
    <row r="83" spans="2:18" hidden="1" x14ac:dyDescent="0.25">
      <c r="B83" s="3" t="s">
        <v>2051</v>
      </c>
      <c r="C83" s="3" t="s">
        <v>52</v>
      </c>
      <c r="D83" s="3" t="s">
        <v>2053</v>
      </c>
      <c r="E83" s="3" t="s">
        <v>75</v>
      </c>
      <c r="F83" s="3" t="s">
        <v>2022</v>
      </c>
      <c r="G83" s="6">
        <v>95000</v>
      </c>
      <c r="H83" s="6">
        <f t="shared" si="2"/>
        <v>14491.525423728803</v>
      </c>
      <c r="I83" s="3" t="s">
        <v>113</v>
      </c>
      <c r="O83"/>
      <c r="P83"/>
      <c r="R83" s="87"/>
    </row>
    <row r="84" spans="2:18" hidden="1" x14ac:dyDescent="0.25">
      <c r="B84" s="3" t="s">
        <v>950</v>
      </c>
      <c r="C84" s="3" t="s">
        <v>96</v>
      </c>
      <c r="D84" s="3" t="s">
        <v>1964</v>
      </c>
      <c r="E84" s="3" t="s">
        <v>71</v>
      </c>
      <c r="F84" s="3" t="s">
        <v>2054</v>
      </c>
      <c r="G84" s="6">
        <v>36122.19</v>
      </c>
      <c r="H84" s="6">
        <f t="shared" si="2"/>
        <v>5510.1645762711851</v>
      </c>
      <c r="I84" s="3" t="s">
        <v>18</v>
      </c>
      <c r="N84">
        <v>1</v>
      </c>
      <c r="O84"/>
      <c r="P84" t="s">
        <v>718</v>
      </c>
      <c r="R84" s="87"/>
    </row>
    <row r="85" spans="2:18" hidden="1" x14ac:dyDescent="0.25">
      <c r="B85" s="3" t="s">
        <v>950</v>
      </c>
      <c r="C85" s="3" t="s">
        <v>96</v>
      </c>
      <c r="D85" s="3" t="s">
        <v>2055</v>
      </c>
      <c r="E85" s="3" t="s">
        <v>71</v>
      </c>
      <c r="F85" s="3" t="s">
        <v>2054</v>
      </c>
      <c r="G85" s="6">
        <v>35568</v>
      </c>
      <c r="H85" s="6">
        <f t="shared" si="2"/>
        <v>5425.6271186440645</v>
      </c>
      <c r="I85" s="3" t="s">
        <v>18</v>
      </c>
      <c r="J85" s="77"/>
      <c r="N85">
        <v>0</v>
      </c>
      <c r="O85"/>
      <c r="P85" t="s">
        <v>718</v>
      </c>
      <c r="R85" s="87"/>
    </row>
    <row r="86" spans="2:18" hidden="1" x14ac:dyDescent="0.25">
      <c r="B86" s="3" t="s">
        <v>717</v>
      </c>
      <c r="C86" s="3" t="s">
        <v>96</v>
      </c>
      <c r="D86" s="3" t="s">
        <v>2021</v>
      </c>
      <c r="E86" s="3" t="s">
        <v>71</v>
      </c>
      <c r="F86" s="3" t="s">
        <v>2054</v>
      </c>
      <c r="G86" s="6">
        <v>24730</v>
      </c>
      <c r="H86" s="6">
        <f t="shared" si="2"/>
        <v>3772.3728813559319</v>
      </c>
      <c r="I86" s="3" t="s">
        <v>18</v>
      </c>
      <c r="N86">
        <v>64</v>
      </c>
      <c r="O86"/>
      <c r="P86" t="s">
        <v>718</v>
      </c>
      <c r="R86" s="87"/>
    </row>
    <row r="87" spans="2:18" hidden="1" x14ac:dyDescent="0.25">
      <c r="B87" s="3" t="s">
        <v>717</v>
      </c>
      <c r="C87" s="3" t="s">
        <v>96</v>
      </c>
      <c r="D87" s="3" t="s">
        <v>2010</v>
      </c>
      <c r="E87" s="3" t="s">
        <v>71</v>
      </c>
      <c r="F87" s="3" t="s">
        <v>2054</v>
      </c>
      <c r="G87" s="6">
        <v>9360</v>
      </c>
      <c r="H87" s="6">
        <f t="shared" si="2"/>
        <v>1427.796610169491</v>
      </c>
      <c r="I87" s="3" t="s">
        <v>18</v>
      </c>
      <c r="N87">
        <v>0</v>
      </c>
      <c r="O87"/>
      <c r="P87" t="s">
        <v>718</v>
      </c>
      <c r="R87" s="87"/>
    </row>
    <row r="88" spans="2:18" hidden="1" x14ac:dyDescent="0.25">
      <c r="B88" s="3" t="s">
        <v>945</v>
      </c>
      <c r="C88" s="3" t="s">
        <v>96</v>
      </c>
      <c r="D88" s="3" t="s">
        <v>2018</v>
      </c>
      <c r="E88" s="3" t="s">
        <v>71</v>
      </c>
      <c r="F88" s="3" t="s">
        <v>2054</v>
      </c>
      <c r="G88" s="6">
        <v>29540</v>
      </c>
      <c r="H88" s="6">
        <f t="shared" si="2"/>
        <v>4506.1016949152545</v>
      </c>
      <c r="I88" s="3" t="s">
        <v>18</v>
      </c>
      <c r="N88">
        <v>0</v>
      </c>
      <c r="O88"/>
      <c r="P88" t="s">
        <v>718</v>
      </c>
      <c r="R88" s="87"/>
    </row>
    <row r="89" spans="2:18" hidden="1" x14ac:dyDescent="0.25">
      <c r="B89" s="3" t="s">
        <v>2062</v>
      </c>
      <c r="C89" s="3" t="s">
        <v>96</v>
      </c>
      <c r="D89" s="3" t="s">
        <v>2068</v>
      </c>
      <c r="E89" s="3" t="s">
        <v>110</v>
      </c>
      <c r="F89" s="3" t="s">
        <v>2054</v>
      </c>
      <c r="G89" s="6">
        <v>589.75</v>
      </c>
      <c r="H89" s="6">
        <f t="shared" si="2"/>
        <v>89.961864406779625</v>
      </c>
      <c r="I89" s="3" t="s">
        <v>18</v>
      </c>
      <c r="O89"/>
      <c r="P89"/>
      <c r="R89" s="87"/>
    </row>
    <row r="90" spans="2:18" hidden="1" x14ac:dyDescent="0.25">
      <c r="B90" s="3" t="s">
        <v>2064</v>
      </c>
      <c r="C90" s="3" t="s">
        <v>97</v>
      </c>
      <c r="D90" s="8" t="s">
        <v>2072</v>
      </c>
      <c r="E90" s="3" t="s">
        <v>110</v>
      </c>
      <c r="F90" s="3" t="s">
        <v>2054</v>
      </c>
      <c r="G90" s="6">
        <v>5328.75</v>
      </c>
      <c r="H90" s="6">
        <f t="shared" si="2"/>
        <v>812.86016949152508</v>
      </c>
      <c r="I90" s="3" t="s">
        <v>18</v>
      </c>
      <c r="O90"/>
      <c r="P90"/>
      <c r="R90" s="87"/>
    </row>
    <row r="91" spans="2:18" hidden="1" x14ac:dyDescent="0.25">
      <c r="B91" s="3" t="s">
        <v>2059</v>
      </c>
      <c r="C91" s="3" t="s">
        <v>16</v>
      </c>
      <c r="D91" s="3" t="s">
        <v>2070</v>
      </c>
      <c r="E91" s="3" t="s">
        <v>110</v>
      </c>
      <c r="F91" s="3" t="s">
        <v>2054</v>
      </c>
      <c r="G91" s="86">
        <v>2117</v>
      </c>
      <c r="H91" s="6">
        <f t="shared" si="2"/>
        <v>322.93220338983042</v>
      </c>
      <c r="I91" s="3" t="s">
        <v>113</v>
      </c>
      <c r="O91"/>
      <c r="P91"/>
      <c r="R91" s="87"/>
    </row>
    <row r="92" spans="2:18" hidden="1" x14ac:dyDescent="0.25">
      <c r="B92" s="3" t="s">
        <v>739</v>
      </c>
      <c r="C92" s="3" t="s">
        <v>96</v>
      </c>
      <c r="D92" s="3" t="s">
        <v>2030</v>
      </c>
      <c r="E92" s="3" t="s">
        <v>71</v>
      </c>
      <c r="F92" s="3" t="s">
        <v>2054</v>
      </c>
      <c r="G92" s="6">
        <v>20000</v>
      </c>
      <c r="H92" s="6">
        <f t="shared" si="2"/>
        <v>3050.8474576271183</v>
      </c>
      <c r="I92" s="3" t="s">
        <v>18</v>
      </c>
      <c r="J92" s="70" t="s">
        <v>2029</v>
      </c>
      <c r="N92">
        <v>83</v>
      </c>
      <c r="O92"/>
      <c r="P92" t="s">
        <v>2074</v>
      </c>
      <c r="R92" s="87"/>
    </row>
    <row r="93" spans="2:18" hidden="1" x14ac:dyDescent="0.25">
      <c r="B93" s="3" t="s">
        <v>945</v>
      </c>
      <c r="C93" s="3" t="s">
        <v>96</v>
      </c>
      <c r="D93" s="3" t="s">
        <v>2034</v>
      </c>
      <c r="E93" s="3" t="s">
        <v>71</v>
      </c>
      <c r="F93" s="3" t="s">
        <v>2054</v>
      </c>
      <c r="G93" s="6">
        <v>10000</v>
      </c>
      <c r="H93" s="6">
        <f t="shared" si="2"/>
        <v>1525.4237288135591</v>
      </c>
      <c r="I93" s="3" t="s">
        <v>18</v>
      </c>
      <c r="J93" s="18" t="s">
        <v>2033</v>
      </c>
      <c r="N93">
        <v>41</v>
      </c>
      <c r="O93"/>
      <c r="P93" t="s">
        <v>2074</v>
      </c>
      <c r="R93" s="87"/>
    </row>
    <row r="94" spans="2:18" hidden="1" x14ac:dyDescent="0.25">
      <c r="B94" s="3" t="s">
        <v>730</v>
      </c>
      <c r="C94" s="3" t="s">
        <v>96</v>
      </c>
      <c r="D94" s="3" t="s">
        <v>2040</v>
      </c>
      <c r="E94" s="3" t="s">
        <v>71</v>
      </c>
      <c r="F94" s="3" t="s">
        <v>2054</v>
      </c>
      <c r="G94" s="6">
        <v>10000</v>
      </c>
      <c r="H94" s="6">
        <f t="shared" si="2"/>
        <v>1525.4237288135591</v>
      </c>
      <c r="I94" s="3" t="s">
        <v>18</v>
      </c>
      <c r="J94" s="18" t="s">
        <v>2039</v>
      </c>
      <c r="N94">
        <v>37</v>
      </c>
      <c r="O94"/>
      <c r="P94" t="s">
        <v>2074</v>
      </c>
      <c r="R94" s="87"/>
    </row>
    <row r="95" spans="2:18" hidden="1" x14ac:dyDescent="0.25">
      <c r="B95" s="3" t="s">
        <v>945</v>
      </c>
      <c r="C95" s="3" t="s">
        <v>96</v>
      </c>
      <c r="D95" s="3" t="s">
        <v>2032</v>
      </c>
      <c r="E95" s="3" t="s">
        <v>71</v>
      </c>
      <c r="F95" s="3" t="s">
        <v>2054</v>
      </c>
      <c r="G95" s="6">
        <v>10000</v>
      </c>
      <c r="H95" s="6">
        <f t="shared" si="2"/>
        <v>1525.4237288135591</v>
      </c>
      <c r="I95" s="3" t="s">
        <v>18</v>
      </c>
      <c r="J95" s="18" t="s">
        <v>2031</v>
      </c>
      <c r="N95">
        <v>25</v>
      </c>
      <c r="O95"/>
      <c r="P95" t="s">
        <v>2074</v>
      </c>
      <c r="R95" s="87"/>
    </row>
    <row r="96" spans="2:18" hidden="1" x14ac:dyDescent="0.25">
      <c r="B96" s="3" t="s">
        <v>1566</v>
      </c>
      <c r="C96" s="3" t="s">
        <v>50</v>
      </c>
      <c r="D96" s="3" t="s">
        <v>2120</v>
      </c>
      <c r="E96" s="3" t="s">
        <v>110</v>
      </c>
      <c r="F96" s="3" t="s">
        <v>2054</v>
      </c>
      <c r="G96" s="6">
        <v>1529.5</v>
      </c>
      <c r="H96" s="6">
        <f t="shared" si="2"/>
        <v>233.31355932203383</v>
      </c>
      <c r="I96" s="3" t="s">
        <v>18</v>
      </c>
      <c r="J96" s="18"/>
      <c r="O96"/>
      <c r="P96"/>
      <c r="R96" s="87"/>
    </row>
    <row r="97" spans="2:18" hidden="1" x14ac:dyDescent="0.25">
      <c r="B97" s="3" t="s">
        <v>1566</v>
      </c>
      <c r="C97" s="3" t="s">
        <v>50</v>
      </c>
      <c r="D97" s="3" t="s">
        <v>2121</v>
      </c>
      <c r="E97" s="3" t="s">
        <v>110</v>
      </c>
      <c r="F97" s="3" t="s">
        <v>2054</v>
      </c>
      <c r="G97" s="6">
        <v>1622.25</v>
      </c>
      <c r="H97" s="6">
        <f t="shared" si="2"/>
        <v>247.46186440677957</v>
      </c>
      <c r="I97" s="3" t="s">
        <v>18</v>
      </c>
      <c r="J97" s="18"/>
      <c r="O97"/>
      <c r="P97"/>
      <c r="R97" s="87"/>
    </row>
    <row r="98" spans="2:18" hidden="1" x14ac:dyDescent="0.25">
      <c r="B98" s="3" t="s">
        <v>1566</v>
      </c>
      <c r="C98" s="3" t="s">
        <v>50</v>
      </c>
      <c r="D98" s="3" t="s">
        <v>2122</v>
      </c>
      <c r="E98" s="3" t="s">
        <v>110</v>
      </c>
      <c r="F98" s="3" t="s">
        <v>2054</v>
      </c>
      <c r="G98" s="6">
        <v>1683.5</v>
      </c>
      <c r="H98" s="6">
        <f t="shared" si="2"/>
        <v>256.80508474576254</v>
      </c>
      <c r="I98" s="3" t="s">
        <v>18</v>
      </c>
      <c r="O98"/>
      <c r="P98"/>
      <c r="R98" s="87"/>
    </row>
    <row r="99" spans="2:18" hidden="1" x14ac:dyDescent="0.25">
      <c r="B99" s="3" t="s">
        <v>1566</v>
      </c>
      <c r="C99" s="3" t="s">
        <v>50</v>
      </c>
      <c r="D99" s="3" t="s">
        <v>2123</v>
      </c>
      <c r="E99" s="3" t="s">
        <v>110</v>
      </c>
      <c r="F99" s="3" t="s">
        <v>2054</v>
      </c>
      <c r="G99" s="6">
        <v>1604.75</v>
      </c>
      <c r="H99" s="6">
        <f t="shared" si="2"/>
        <v>244.79237288135596</v>
      </c>
      <c r="I99" s="3" t="s">
        <v>18</v>
      </c>
      <c r="O99"/>
      <c r="P99"/>
      <c r="R99" s="87"/>
    </row>
    <row r="100" spans="2:18" hidden="1" x14ac:dyDescent="0.25">
      <c r="B100" s="3" t="s">
        <v>1566</v>
      </c>
      <c r="C100" s="3" t="s">
        <v>50</v>
      </c>
      <c r="D100" s="3" t="s">
        <v>2124</v>
      </c>
      <c r="E100" s="3" t="s">
        <v>110</v>
      </c>
      <c r="F100" s="3" t="s">
        <v>2054</v>
      </c>
      <c r="G100" s="6">
        <v>1538.25</v>
      </c>
      <c r="H100" s="6">
        <f t="shared" si="2"/>
        <v>234.64830508474574</v>
      </c>
      <c r="I100" s="3" t="s">
        <v>18</v>
      </c>
      <c r="R100" s="87"/>
    </row>
    <row r="101" spans="2:18" hidden="1" x14ac:dyDescent="0.25">
      <c r="B101" s="3" t="s">
        <v>1566</v>
      </c>
      <c r="C101" s="3" t="s">
        <v>50</v>
      </c>
      <c r="D101" s="3" t="s">
        <v>2125</v>
      </c>
      <c r="E101" s="3" t="s">
        <v>110</v>
      </c>
      <c r="F101" s="3" t="s">
        <v>2054</v>
      </c>
      <c r="G101" s="6">
        <v>1531.25</v>
      </c>
      <c r="H101" s="6">
        <f t="shared" si="2"/>
        <v>233.58050847457616</v>
      </c>
      <c r="I101" s="3" t="s">
        <v>18</v>
      </c>
      <c r="R101" s="87"/>
    </row>
    <row r="102" spans="2:18" hidden="1" x14ac:dyDescent="0.25">
      <c r="B102" s="3" t="s">
        <v>1566</v>
      </c>
      <c r="C102" s="3" t="s">
        <v>50</v>
      </c>
      <c r="D102" s="3" t="s">
        <v>2126</v>
      </c>
      <c r="E102" s="3" t="s">
        <v>110</v>
      </c>
      <c r="F102" s="3" t="s">
        <v>2054</v>
      </c>
      <c r="G102" s="6">
        <v>224</v>
      </c>
      <c r="H102" s="6">
        <f t="shared" si="2"/>
        <v>34.169491525423723</v>
      </c>
      <c r="I102" s="3" t="s">
        <v>18</v>
      </c>
      <c r="J102" s="18"/>
      <c r="R102" s="87"/>
    </row>
    <row r="103" spans="2:18" hidden="1" x14ac:dyDescent="0.25">
      <c r="B103" s="3" t="s">
        <v>1566</v>
      </c>
      <c r="C103" s="3" t="s">
        <v>50</v>
      </c>
      <c r="D103" s="1" t="s">
        <v>2127</v>
      </c>
      <c r="E103" s="3" t="s">
        <v>110</v>
      </c>
      <c r="F103" s="3" t="s">
        <v>2054</v>
      </c>
      <c r="G103" s="6">
        <v>78.75</v>
      </c>
      <c r="H103" s="6">
        <f t="shared" si="2"/>
        <v>12.012711864406782</v>
      </c>
      <c r="I103" s="3" t="s">
        <v>18</v>
      </c>
      <c r="O103"/>
      <c r="P103"/>
      <c r="R103" s="87"/>
    </row>
    <row r="104" spans="2:18" hidden="1" x14ac:dyDescent="0.25">
      <c r="B104" s="3" t="s">
        <v>1566</v>
      </c>
      <c r="C104" s="3" t="s">
        <v>50</v>
      </c>
      <c r="D104" s="3" t="s">
        <v>2128</v>
      </c>
      <c r="E104" s="3" t="s">
        <v>110</v>
      </c>
      <c r="F104" s="3" t="s">
        <v>2054</v>
      </c>
      <c r="G104" s="6">
        <v>120.75</v>
      </c>
      <c r="H104" s="6">
        <f t="shared" si="2"/>
        <v>18.419491525423723</v>
      </c>
      <c r="I104" s="3" t="s">
        <v>18</v>
      </c>
      <c r="J104" s="99"/>
      <c r="K104" s="88"/>
      <c r="L104" s="88"/>
      <c r="M104" s="88"/>
      <c r="N104" s="87"/>
      <c r="O104"/>
      <c r="P104"/>
      <c r="R104" s="87"/>
    </row>
    <row r="105" spans="2:18" hidden="1" x14ac:dyDescent="0.25">
      <c r="B105" s="3" t="s">
        <v>1566</v>
      </c>
      <c r="C105" s="3" t="s">
        <v>50</v>
      </c>
      <c r="D105" s="3" t="s">
        <v>2129</v>
      </c>
      <c r="E105" s="3" t="s">
        <v>110</v>
      </c>
      <c r="F105" s="3" t="s">
        <v>2054</v>
      </c>
      <c r="G105" s="6">
        <v>208.25</v>
      </c>
      <c r="H105" s="6">
        <f t="shared" si="2"/>
        <v>31.766949152542367</v>
      </c>
      <c r="I105" s="3" t="s">
        <v>18</v>
      </c>
      <c r="J105" s="88"/>
      <c r="K105" s="87"/>
      <c r="L105" s="87"/>
      <c r="M105" s="87"/>
      <c r="N105" s="87"/>
      <c r="O105"/>
      <c r="P105"/>
      <c r="R105" s="87"/>
    </row>
    <row r="106" spans="2:18" hidden="1" x14ac:dyDescent="0.25">
      <c r="B106" s="3" t="s">
        <v>1566</v>
      </c>
      <c r="C106" s="3" t="s">
        <v>50</v>
      </c>
      <c r="D106" s="3" t="s">
        <v>2130</v>
      </c>
      <c r="E106" s="3" t="s">
        <v>110</v>
      </c>
      <c r="F106" s="3" t="s">
        <v>2054</v>
      </c>
      <c r="G106" s="6">
        <v>208.25</v>
      </c>
      <c r="H106" s="6">
        <f t="shared" si="2"/>
        <v>31.766949152542367</v>
      </c>
      <c r="I106" s="3" t="s">
        <v>18</v>
      </c>
      <c r="J106" s="88"/>
      <c r="K106" s="87"/>
      <c r="L106" s="87"/>
      <c r="M106" s="87"/>
      <c r="N106" s="87"/>
      <c r="O106"/>
      <c r="P106"/>
      <c r="R106" s="87"/>
    </row>
    <row r="107" spans="2:18" hidden="1" x14ac:dyDescent="0.25">
      <c r="B107" s="3" t="s">
        <v>1566</v>
      </c>
      <c r="C107" s="3" t="s">
        <v>50</v>
      </c>
      <c r="D107" s="3" t="s">
        <v>2131</v>
      </c>
      <c r="E107" s="3" t="s">
        <v>110</v>
      </c>
      <c r="F107" s="3" t="s">
        <v>2054</v>
      </c>
      <c r="G107" s="6">
        <v>197.75</v>
      </c>
      <c r="H107" s="6">
        <f t="shared" si="2"/>
        <v>30.165254237288138</v>
      </c>
      <c r="I107" s="3" t="s">
        <v>18</v>
      </c>
      <c r="J107" s="88"/>
      <c r="K107" s="87"/>
      <c r="L107" s="87"/>
      <c r="M107" s="87"/>
      <c r="N107" s="87"/>
      <c r="O107"/>
      <c r="P107"/>
      <c r="R107" s="87"/>
    </row>
    <row r="108" spans="2:18" hidden="1" x14ac:dyDescent="0.25">
      <c r="B108" s="3" t="s">
        <v>1566</v>
      </c>
      <c r="C108" s="3" t="s">
        <v>50</v>
      </c>
      <c r="D108" s="3" t="s">
        <v>2132</v>
      </c>
      <c r="E108" s="3" t="s">
        <v>110</v>
      </c>
      <c r="F108" s="3" t="s">
        <v>2054</v>
      </c>
      <c r="G108" s="6">
        <v>192.5</v>
      </c>
      <c r="H108" s="6">
        <f t="shared" si="2"/>
        <v>29.36440677966101</v>
      </c>
      <c r="I108" s="3" t="s">
        <v>18</v>
      </c>
      <c r="J108" s="88"/>
      <c r="K108" s="88"/>
      <c r="L108" s="88"/>
      <c r="M108" s="88"/>
      <c r="N108" s="87"/>
      <c r="P108"/>
      <c r="R108" s="87"/>
    </row>
    <row r="109" spans="2:18" hidden="1" x14ac:dyDescent="0.25">
      <c r="B109" s="3" t="s">
        <v>1566</v>
      </c>
      <c r="C109" s="3" t="s">
        <v>50</v>
      </c>
      <c r="D109" s="3" t="s">
        <v>2133</v>
      </c>
      <c r="E109" s="3" t="s">
        <v>110</v>
      </c>
      <c r="F109" s="3" t="s">
        <v>2054</v>
      </c>
      <c r="G109" s="6">
        <v>136.5</v>
      </c>
      <c r="H109" s="6">
        <f t="shared" si="2"/>
        <v>20.822033898305079</v>
      </c>
      <c r="I109" s="3" t="s">
        <v>18</v>
      </c>
      <c r="R109" s="87"/>
    </row>
    <row r="110" spans="2:18" hidden="1" x14ac:dyDescent="0.25">
      <c r="B110" s="3" t="s">
        <v>1566</v>
      </c>
      <c r="C110" s="3" t="s">
        <v>50</v>
      </c>
      <c r="D110" s="3" t="s">
        <v>2134</v>
      </c>
      <c r="E110" s="3" t="s">
        <v>110</v>
      </c>
      <c r="F110" s="3" t="s">
        <v>2054</v>
      </c>
      <c r="G110" s="6">
        <v>211.75</v>
      </c>
      <c r="H110" s="6">
        <f t="shared" si="2"/>
        <v>32.3008474576271</v>
      </c>
      <c r="I110" s="3" t="s">
        <v>18</v>
      </c>
      <c r="O110"/>
      <c r="P110"/>
      <c r="R110" s="87"/>
    </row>
    <row r="111" spans="2:18" hidden="1" x14ac:dyDescent="0.25">
      <c r="B111" s="3" t="s">
        <v>1566</v>
      </c>
      <c r="C111" s="3" t="s">
        <v>50</v>
      </c>
      <c r="D111" s="3" t="s">
        <v>2135</v>
      </c>
      <c r="E111" s="3" t="s">
        <v>110</v>
      </c>
      <c r="F111" s="3" t="s">
        <v>2054</v>
      </c>
      <c r="G111" s="6">
        <v>203</v>
      </c>
      <c r="H111" s="6">
        <f t="shared" si="2"/>
        <v>30.966101694915238</v>
      </c>
      <c r="I111" s="3" t="s">
        <v>18</v>
      </c>
      <c r="O111"/>
      <c r="P111"/>
      <c r="R111" s="87"/>
    </row>
    <row r="112" spans="2:18" hidden="1" x14ac:dyDescent="0.25">
      <c r="B112" s="3" t="s">
        <v>1566</v>
      </c>
      <c r="C112" s="3" t="s">
        <v>50</v>
      </c>
      <c r="D112" s="3" t="s">
        <v>2136</v>
      </c>
      <c r="E112" s="3" t="s">
        <v>110</v>
      </c>
      <c r="F112" s="3" t="s">
        <v>2054</v>
      </c>
      <c r="G112" s="6">
        <v>112</v>
      </c>
      <c r="H112" s="6">
        <f t="shared" si="2"/>
        <v>17.084745762711862</v>
      </c>
      <c r="I112" s="3" t="s">
        <v>18</v>
      </c>
      <c r="O112"/>
      <c r="P112"/>
      <c r="R112" s="87"/>
    </row>
    <row r="113" spans="2:18" hidden="1" x14ac:dyDescent="0.25">
      <c r="B113" s="3" t="s">
        <v>1566</v>
      </c>
      <c r="C113" s="3" t="s">
        <v>50</v>
      </c>
      <c r="D113" s="3" t="s">
        <v>2137</v>
      </c>
      <c r="E113" s="3" t="s">
        <v>110</v>
      </c>
      <c r="F113" s="3" t="s">
        <v>2054</v>
      </c>
      <c r="G113" s="6">
        <v>232.75</v>
      </c>
      <c r="H113" s="6">
        <f t="shared" si="2"/>
        <v>35.504237288135585</v>
      </c>
      <c r="I113" s="3" t="s">
        <v>18</v>
      </c>
      <c r="O113"/>
      <c r="P113"/>
      <c r="R113" s="87"/>
    </row>
    <row r="114" spans="2:18" hidden="1" x14ac:dyDescent="0.25">
      <c r="B114" s="3" t="s">
        <v>1566</v>
      </c>
      <c r="C114" s="3" t="s">
        <v>50</v>
      </c>
      <c r="D114" s="3" t="s">
        <v>2138</v>
      </c>
      <c r="E114" s="3" t="s">
        <v>110</v>
      </c>
      <c r="F114" s="3" t="s">
        <v>2054</v>
      </c>
      <c r="G114" s="6">
        <v>624.75</v>
      </c>
      <c r="H114" s="6">
        <f t="shared" si="2"/>
        <v>95.300847457627128</v>
      </c>
      <c r="I114" s="3" t="s">
        <v>18</v>
      </c>
      <c r="O114"/>
      <c r="P114"/>
      <c r="R114" s="87"/>
    </row>
    <row r="115" spans="2:18" hidden="1" x14ac:dyDescent="0.25">
      <c r="B115" s="3" t="s">
        <v>1566</v>
      </c>
      <c r="C115" s="3" t="s">
        <v>50</v>
      </c>
      <c r="D115" s="8" t="s">
        <v>2139</v>
      </c>
      <c r="E115" s="3" t="s">
        <v>110</v>
      </c>
      <c r="F115" s="3" t="s">
        <v>2054</v>
      </c>
      <c r="G115" s="6">
        <v>967.75</v>
      </c>
      <c r="H115" s="6">
        <f t="shared" si="2"/>
        <v>147.62288135593212</v>
      </c>
      <c r="I115" s="3" t="s">
        <v>18</v>
      </c>
      <c r="J115" s="18"/>
      <c r="O115"/>
      <c r="P115"/>
      <c r="R115" s="87"/>
    </row>
    <row r="116" spans="2:18" hidden="1" x14ac:dyDescent="0.25">
      <c r="B116" s="3" t="s">
        <v>1566</v>
      </c>
      <c r="C116" s="3" t="s">
        <v>50</v>
      </c>
      <c r="D116" s="3" t="s">
        <v>2140</v>
      </c>
      <c r="E116" s="3" t="s">
        <v>110</v>
      </c>
      <c r="F116" s="3" t="s">
        <v>2054</v>
      </c>
      <c r="G116" s="6">
        <v>962.5</v>
      </c>
      <c r="H116" s="6">
        <f t="shared" si="2"/>
        <v>146.82203389830499</v>
      </c>
      <c r="I116" s="3" t="s">
        <v>18</v>
      </c>
      <c r="O116"/>
      <c r="P116"/>
      <c r="R116" s="87"/>
    </row>
    <row r="117" spans="2:18" hidden="1" x14ac:dyDescent="0.25">
      <c r="B117" s="3" t="s">
        <v>1566</v>
      </c>
      <c r="C117" s="3" t="s">
        <v>50</v>
      </c>
      <c r="D117" s="3" t="s">
        <v>2141</v>
      </c>
      <c r="E117" s="3" t="s">
        <v>110</v>
      </c>
      <c r="F117" s="3" t="s">
        <v>2054</v>
      </c>
      <c r="G117" s="6">
        <v>915.25</v>
      </c>
      <c r="H117" s="6">
        <f t="shared" si="2"/>
        <v>139.61440677966095</v>
      </c>
      <c r="I117" s="3" t="s">
        <v>18</v>
      </c>
      <c r="O117"/>
      <c r="P117"/>
      <c r="R117" s="87"/>
    </row>
    <row r="118" spans="2:18" hidden="1" x14ac:dyDescent="0.25">
      <c r="B118" s="3" t="s">
        <v>1566</v>
      </c>
      <c r="C118" s="3" t="s">
        <v>50</v>
      </c>
      <c r="D118" s="3" t="s">
        <v>2142</v>
      </c>
      <c r="E118" s="3" t="s">
        <v>110</v>
      </c>
      <c r="F118" s="3" t="s">
        <v>2054</v>
      </c>
      <c r="G118" s="6">
        <v>925.75</v>
      </c>
      <c r="H118" s="6">
        <f t="shared" si="2"/>
        <v>141.21610169491521</v>
      </c>
      <c r="I118" s="3" t="s">
        <v>18</v>
      </c>
      <c r="R118" s="87"/>
    </row>
    <row r="119" spans="2:18" hidden="1" x14ac:dyDescent="0.25">
      <c r="B119" s="3" t="s">
        <v>1566</v>
      </c>
      <c r="C119" s="3" t="s">
        <v>50</v>
      </c>
      <c r="D119" s="3" t="s">
        <v>2143</v>
      </c>
      <c r="E119" s="3" t="s">
        <v>110</v>
      </c>
      <c r="F119" s="3" t="s">
        <v>2054</v>
      </c>
      <c r="G119" s="6">
        <v>1310.75</v>
      </c>
      <c r="H119" s="6">
        <f t="shared" si="2"/>
        <v>199.94491525423723</v>
      </c>
      <c r="I119" s="3" t="s">
        <v>18</v>
      </c>
      <c r="R119" s="87"/>
    </row>
    <row r="120" spans="2:18" hidden="1" x14ac:dyDescent="0.25">
      <c r="B120" s="3" t="s">
        <v>1566</v>
      </c>
      <c r="C120" s="3" t="s">
        <v>50</v>
      </c>
      <c r="D120" s="3" t="s">
        <v>2144</v>
      </c>
      <c r="E120" s="3" t="s">
        <v>110</v>
      </c>
      <c r="F120" s="3" t="s">
        <v>2054</v>
      </c>
      <c r="G120" s="6">
        <v>1555.75</v>
      </c>
      <c r="H120" s="6">
        <f t="shared" si="2"/>
        <v>237.31779661016935</v>
      </c>
      <c r="I120" s="3" t="s">
        <v>18</v>
      </c>
      <c r="R120" s="87"/>
    </row>
    <row r="121" spans="2:18" hidden="1" x14ac:dyDescent="0.25">
      <c r="B121" s="3" t="s">
        <v>1566</v>
      </c>
      <c r="C121" s="3" t="s">
        <v>50</v>
      </c>
      <c r="D121" s="3" t="s">
        <v>2145</v>
      </c>
      <c r="E121" s="3" t="s">
        <v>110</v>
      </c>
      <c r="F121" s="3" t="s">
        <v>2054</v>
      </c>
      <c r="G121" s="6">
        <v>1324.75</v>
      </c>
      <c r="H121" s="6">
        <f t="shared" si="2"/>
        <v>202.08050847457616</v>
      </c>
      <c r="I121" s="3" t="s">
        <v>18</v>
      </c>
      <c r="R121" s="87"/>
    </row>
    <row r="122" spans="2:18" hidden="1" x14ac:dyDescent="0.25">
      <c r="B122" s="3" t="s">
        <v>1566</v>
      </c>
      <c r="C122" s="3" t="s">
        <v>50</v>
      </c>
      <c r="D122" s="3" t="s">
        <v>2146</v>
      </c>
      <c r="E122" s="3" t="s">
        <v>110</v>
      </c>
      <c r="F122" s="3" t="s">
        <v>2054</v>
      </c>
      <c r="G122" s="6">
        <v>1512</v>
      </c>
      <c r="H122" s="6">
        <f t="shared" si="2"/>
        <v>230.64406779660999</v>
      </c>
      <c r="I122" s="3" t="s">
        <v>18</v>
      </c>
      <c r="R122" s="87"/>
    </row>
    <row r="123" spans="2:18" hidden="1" x14ac:dyDescent="0.25">
      <c r="B123" s="3" t="s">
        <v>1566</v>
      </c>
      <c r="C123" s="3" t="s">
        <v>50</v>
      </c>
      <c r="D123" s="3" t="s">
        <v>2147</v>
      </c>
      <c r="E123" s="3" t="s">
        <v>110</v>
      </c>
      <c r="F123" s="3" t="s">
        <v>2054</v>
      </c>
      <c r="G123" s="6">
        <v>1482.25</v>
      </c>
      <c r="H123" s="6">
        <f t="shared" si="2"/>
        <v>226.10593220338978</v>
      </c>
      <c r="I123" s="3" t="s">
        <v>18</v>
      </c>
      <c r="R123" s="87"/>
    </row>
    <row r="124" spans="2:18" hidden="1" x14ac:dyDescent="0.25">
      <c r="B124" s="3" t="s">
        <v>1566</v>
      </c>
      <c r="C124" s="3" t="s">
        <v>50</v>
      </c>
      <c r="D124" s="3" t="s">
        <v>2148</v>
      </c>
      <c r="E124" s="3" t="s">
        <v>110</v>
      </c>
      <c r="F124" s="3" t="s">
        <v>2054</v>
      </c>
      <c r="G124" s="6">
        <v>2394</v>
      </c>
      <c r="H124" s="6">
        <f t="shared" si="2"/>
        <v>365.18644067796595</v>
      </c>
      <c r="I124" s="3" t="s">
        <v>18</v>
      </c>
      <c r="R124" s="87"/>
    </row>
    <row r="125" spans="2:18" hidden="1" x14ac:dyDescent="0.25">
      <c r="B125" s="3" t="s">
        <v>1566</v>
      </c>
      <c r="C125" s="3" t="s">
        <v>50</v>
      </c>
      <c r="D125" s="3" t="s">
        <v>2149</v>
      </c>
      <c r="E125" s="3" t="s">
        <v>110</v>
      </c>
      <c r="F125" s="3" t="s">
        <v>2054</v>
      </c>
      <c r="G125" s="6">
        <v>2553.25</v>
      </c>
      <c r="H125" s="6">
        <f t="shared" si="2"/>
        <v>389.47881355932213</v>
      </c>
      <c r="I125" s="3" t="s">
        <v>18</v>
      </c>
      <c r="R125" s="87"/>
    </row>
    <row r="126" spans="2:18" hidden="1" x14ac:dyDescent="0.25">
      <c r="B126" s="3" t="s">
        <v>1566</v>
      </c>
      <c r="C126" s="3" t="s">
        <v>50</v>
      </c>
      <c r="D126" s="3" t="s">
        <v>2150</v>
      </c>
      <c r="E126" s="3" t="s">
        <v>110</v>
      </c>
      <c r="F126" s="3" t="s">
        <v>2054</v>
      </c>
      <c r="G126" s="6">
        <v>2541</v>
      </c>
      <c r="H126" s="6">
        <f t="shared" si="2"/>
        <v>387.61016949152508</v>
      </c>
      <c r="I126" s="3" t="s">
        <v>18</v>
      </c>
      <c r="R126" s="87"/>
    </row>
    <row r="127" spans="2:18" hidden="1" x14ac:dyDescent="0.25">
      <c r="B127" s="3" t="s">
        <v>1566</v>
      </c>
      <c r="C127" s="3" t="s">
        <v>50</v>
      </c>
      <c r="D127" s="3" t="s">
        <v>2151</v>
      </c>
      <c r="E127" s="3" t="s">
        <v>110</v>
      </c>
      <c r="F127" s="3" t="s">
        <v>2054</v>
      </c>
      <c r="G127" s="6">
        <v>2506</v>
      </c>
      <c r="H127" s="6">
        <f t="shared" si="2"/>
        <v>382.27118644067787</v>
      </c>
      <c r="I127" s="3" t="s">
        <v>18</v>
      </c>
      <c r="R127" s="87"/>
    </row>
    <row r="128" spans="2:18" hidden="1" x14ac:dyDescent="0.25">
      <c r="B128" s="3" t="s">
        <v>1566</v>
      </c>
      <c r="C128" s="3" t="s">
        <v>50</v>
      </c>
      <c r="D128" s="3" t="s">
        <v>2152</v>
      </c>
      <c r="E128" s="3" t="s">
        <v>110</v>
      </c>
      <c r="F128" s="3" t="s">
        <v>2054</v>
      </c>
      <c r="G128" s="6">
        <v>2523.5</v>
      </c>
      <c r="H128" s="6">
        <f t="shared" si="2"/>
        <v>384.9406779661017</v>
      </c>
      <c r="I128" s="3" t="s">
        <v>18</v>
      </c>
      <c r="R128" s="87"/>
    </row>
    <row r="129" spans="2:18" hidden="1" x14ac:dyDescent="0.25">
      <c r="B129" s="3" t="s">
        <v>1566</v>
      </c>
      <c r="C129" s="3" t="s">
        <v>50</v>
      </c>
      <c r="D129" s="3" t="s">
        <v>2153</v>
      </c>
      <c r="E129" s="3" t="s">
        <v>110</v>
      </c>
      <c r="F129" s="3" t="s">
        <v>2054</v>
      </c>
      <c r="G129" s="6">
        <v>1604.75</v>
      </c>
      <c r="H129" s="6">
        <f t="shared" si="2"/>
        <v>244.79237288135596</v>
      </c>
      <c r="I129" s="3" t="s">
        <v>18</v>
      </c>
      <c r="J129" s="77"/>
      <c r="R129" s="87"/>
    </row>
    <row r="130" spans="2:18" hidden="1" x14ac:dyDescent="0.25">
      <c r="B130" s="3" t="s">
        <v>1566</v>
      </c>
      <c r="C130" s="3" t="s">
        <v>50</v>
      </c>
      <c r="D130" s="3" t="s">
        <v>2154</v>
      </c>
      <c r="E130" s="3" t="s">
        <v>110</v>
      </c>
      <c r="F130" s="3" t="s">
        <v>2054</v>
      </c>
      <c r="G130" s="6">
        <v>1046.5</v>
      </c>
      <c r="H130" s="6">
        <f t="shared" si="2"/>
        <v>159.63559322033893</v>
      </c>
      <c r="I130" s="3" t="s">
        <v>18</v>
      </c>
      <c r="R130" s="87"/>
    </row>
    <row r="131" spans="2:18" hidden="1" x14ac:dyDescent="0.25">
      <c r="B131" s="3" t="s">
        <v>1566</v>
      </c>
      <c r="C131" s="3" t="s">
        <v>50</v>
      </c>
      <c r="D131" s="3" t="s">
        <v>2155</v>
      </c>
      <c r="E131" s="3" t="s">
        <v>110</v>
      </c>
      <c r="F131" s="3" t="s">
        <v>2054</v>
      </c>
      <c r="G131" s="6">
        <v>1032.5</v>
      </c>
      <c r="H131" s="6">
        <f t="shared" si="2"/>
        <v>157.5</v>
      </c>
      <c r="I131" s="3" t="s">
        <v>18</v>
      </c>
      <c r="O131"/>
      <c r="P131"/>
      <c r="R131" s="87"/>
    </row>
    <row r="132" spans="2:18" hidden="1" x14ac:dyDescent="0.25">
      <c r="B132" s="3" t="s">
        <v>1566</v>
      </c>
      <c r="C132" s="3" t="s">
        <v>50</v>
      </c>
      <c r="D132" s="3" t="s">
        <v>2156</v>
      </c>
      <c r="E132" s="3" t="s">
        <v>110</v>
      </c>
      <c r="F132" s="3" t="s">
        <v>2054</v>
      </c>
      <c r="G132" s="6">
        <v>1027.25</v>
      </c>
      <c r="H132" s="6">
        <f t="shared" si="2"/>
        <v>156.69915254237287</v>
      </c>
      <c r="I132" s="3" t="s">
        <v>18</v>
      </c>
      <c r="O132"/>
      <c r="P132"/>
      <c r="R132" s="87"/>
    </row>
    <row r="133" spans="2:18" hidden="1" x14ac:dyDescent="0.25">
      <c r="B133" s="3" t="s">
        <v>1566</v>
      </c>
      <c r="C133" s="3" t="s">
        <v>50</v>
      </c>
      <c r="D133" s="3" t="s">
        <v>2157</v>
      </c>
      <c r="E133" s="3" t="s">
        <v>110</v>
      </c>
      <c r="F133" s="3" t="s">
        <v>2054</v>
      </c>
      <c r="G133" s="6">
        <v>1510.25</v>
      </c>
      <c r="H133" s="6">
        <f t="shared" si="2"/>
        <v>230.37711864406765</v>
      </c>
      <c r="I133" s="3" t="s">
        <v>18</v>
      </c>
      <c r="O133"/>
      <c r="P133"/>
      <c r="R133" s="87"/>
    </row>
    <row r="134" spans="2:18" hidden="1" x14ac:dyDescent="0.25">
      <c r="B134" s="3" t="s">
        <v>1566</v>
      </c>
      <c r="C134" s="3" t="s">
        <v>50</v>
      </c>
      <c r="D134" s="3" t="s">
        <v>2158</v>
      </c>
      <c r="E134" s="3" t="s">
        <v>110</v>
      </c>
      <c r="F134" s="3" t="s">
        <v>2054</v>
      </c>
      <c r="G134" s="6">
        <v>1463</v>
      </c>
      <c r="H134" s="6">
        <f t="shared" si="2"/>
        <v>223.16949152542361</v>
      </c>
      <c r="I134" s="3" t="s">
        <v>18</v>
      </c>
      <c r="O134"/>
      <c r="P134"/>
      <c r="R134" s="87"/>
    </row>
    <row r="135" spans="2:18" hidden="1" x14ac:dyDescent="0.25">
      <c r="B135" s="3" t="s">
        <v>1566</v>
      </c>
      <c r="C135" s="3" t="s">
        <v>50</v>
      </c>
      <c r="D135" s="3" t="s">
        <v>2159</v>
      </c>
      <c r="E135" s="3" t="s">
        <v>110</v>
      </c>
      <c r="F135" s="3" t="s">
        <v>2054</v>
      </c>
      <c r="G135" s="6">
        <v>3197.25</v>
      </c>
      <c r="H135" s="6">
        <f t="shared" si="2"/>
        <v>487.71610169491532</v>
      </c>
      <c r="I135" s="3" t="s">
        <v>18</v>
      </c>
      <c r="O135"/>
      <c r="P135"/>
      <c r="R135" s="87"/>
    </row>
    <row r="136" spans="2:18" hidden="1" x14ac:dyDescent="0.25">
      <c r="B136" s="3" t="s">
        <v>1566</v>
      </c>
      <c r="C136" s="3" t="s">
        <v>50</v>
      </c>
      <c r="D136" s="3" t="s">
        <v>2160</v>
      </c>
      <c r="E136" s="3" t="s">
        <v>110</v>
      </c>
      <c r="F136" s="3" t="s">
        <v>2054</v>
      </c>
      <c r="G136" s="6">
        <v>3704.75</v>
      </c>
      <c r="H136" s="6">
        <f t="shared" si="2"/>
        <v>565.13135593220341</v>
      </c>
      <c r="I136" s="3" t="s">
        <v>18</v>
      </c>
      <c r="O136"/>
      <c r="P136"/>
      <c r="R136" s="87"/>
    </row>
    <row r="137" spans="2:18" hidden="1" x14ac:dyDescent="0.25">
      <c r="B137" s="3" t="s">
        <v>1566</v>
      </c>
      <c r="C137" s="3" t="s">
        <v>50</v>
      </c>
      <c r="D137" s="3" t="s">
        <v>2161</v>
      </c>
      <c r="E137" s="3" t="s">
        <v>110</v>
      </c>
      <c r="F137" s="3" t="s">
        <v>2054</v>
      </c>
      <c r="G137" s="6">
        <v>1064</v>
      </c>
      <c r="H137" s="6">
        <f t="shared" si="2"/>
        <v>162.30508474576266</v>
      </c>
      <c r="I137" s="3" t="s">
        <v>18</v>
      </c>
      <c r="J137" s="78"/>
      <c r="O137"/>
      <c r="P137"/>
      <c r="R137" s="87"/>
    </row>
    <row r="138" spans="2:18" hidden="1" x14ac:dyDescent="0.25">
      <c r="B138" s="3" t="s">
        <v>1566</v>
      </c>
      <c r="C138" s="3" t="s">
        <v>50</v>
      </c>
      <c r="D138" s="3" t="s">
        <v>2162</v>
      </c>
      <c r="E138" s="3" t="s">
        <v>110</v>
      </c>
      <c r="F138" s="3" t="s">
        <v>2054</v>
      </c>
      <c r="G138" s="6">
        <v>1016.75</v>
      </c>
      <c r="H138" s="6">
        <f t="shared" ref="H138:H201" si="3">G138-G138/1.18</f>
        <v>155.09745762711862</v>
      </c>
      <c r="I138" s="3" t="s">
        <v>18</v>
      </c>
      <c r="O138"/>
      <c r="P138"/>
      <c r="R138" s="87"/>
    </row>
    <row r="139" spans="2:18" hidden="1" x14ac:dyDescent="0.25">
      <c r="B139" s="3" t="s">
        <v>1566</v>
      </c>
      <c r="C139" s="3" t="s">
        <v>50</v>
      </c>
      <c r="D139" s="3" t="s">
        <v>2163</v>
      </c>
      <c r="E139" s="3" t="s">
        <v>110</v>
      </c>
      <c r="F139" s="3" t="s">
        <v>2054</v>
      </c>
      <c r="G139" s="6">
        <v>1043</v>
      </c>
      <c r="H139" s="6">
        <f t="shared" si="3"/>
        <v>159.10169491525414</v>
      </c>
      <c r="I139" s="3" t="s">
        <v>18</v>
      </c>
      <c r="O139"/>
      <c r="P139"/>
      <c r="R139" s="87"/>
    </row>
    <row r="140" spans="2:18" hidden="1" x14ac:dyDescent="0.25">
      <c r="B140" s="3" t="s">
        <v>1566</v>
      </c>
      <c r="C140" s="3" t="s">
        <v>50</v>
      </c>
      <c r="D140" s="3" t="s">
        <v>2164</v>
      </c>
      <c r="E140" s="3" t="s">
        <v>110</v>
      </c>
      <c r="F140" s="3" t="s">
        <v>2054</v>
      </c>
      <c r="G140" s="6">
        <v>1055.25</v>
      </c>
      <c r="H140" s="6">
        <f t="shared" si="3"/>
        <v>160.97033898305085</v>
      </c>
      <c r="I140" s="3" t="s">
        <v>18</v>
      </c>
      <c r="J140" s="19"/>
      <c r="O140"/>
      <c r="P140"/>
      <c r="R140" s="87"/>
    </row>
    <row r="141" spans="2:18" hidden="1" x14ac:dyDescent="0.25">
      <c r="B141" s="3" t="s">
        <v>950</v>
      </c>
      <c r="C141" s="3" t="s">
        <v>96</v>
      </c>
      <c r="D141" s="3" t="s">
        <v>1855</v>
      </c>
      <c r="E141" s="3" t="s">
        <v>71</v>
      </c>
      <c r="F141" s="3" t="s">
        <v>2054</v>
      </c>
      <c r="G141" s="86">
        <v>17200</v>
      </c>
      <c r="H141" s="6">
        <f t="shared" si="3"/>
        <v>2623.7288135593208</v>
      </c>
      <c r="I141" s="3" t="s">
        <v>18</v>
      </c>
      <c r="J141" s="70" t="s">
        <v>1854</v>
      </c>
      <c r="N141">
        <v>1</v>
      </c>
      <c r="O141"/>
      <c r="P141" t="s">
        <v>718</v>
      </c>
      <c r="R141" s="87"/>
    </row>
    <row r="142" spans="2:18" hidden="1" x14ac:dyDescent="0.25">
      <c r="B142" s="3" t="s">
        <v>950</v>
      </c>
      <c r="C142" s="3" t="s">
        <v>96</v>
      </c>
      <c r="D142" s="3" t="s">
        <v>2008</v>
      </c>
      <c r="E142" s="3" t="s">
        <v>71</v>
      </c>
      <c r="F142" s="3" t="s">
        <v>2054</v>
      </c>
      <c r="G142" s="86">
        <v>10260</v>
      </c>
      <c r="H142" s="6">
        <f t="shared" si="3"/>
        <v>1565.0847457627115</v>
      </c>
      <c r="I142" s="3" t="s">
        <v>18</v>
      </c>
      <c r="J142" s="70" t="s">
        <v>2007</v>
      </c>
      <c r="N142">
        <v>2</v>
      </c>
      <c r="O142"/>
      <c r="P142" t="s">
        <v>718</v>
      </c>
      <c r="R142" s="87"/>
    </row>
    <row r="143" spans="2:18" hidden="1" x14ac:dyDescent="0.25">
      <c r="B143" s="3" t="s">
        <v>945</v>
      </c>
      <c r="C143" s="3" t="s">
        <v>96</v>
      </c>
      <c r="D143" s="3" t="s">
        <v>1942</v>
      </c>
      <c r="E143" s="3" t="s">
        <v>71</v>
      </c>
      <c r="F143" s="3" t="s">
        <v>2054</v>
      </c>
      <c r="G143" s="86">
        <v>36640</v>
      </c>
      <c r="H143" s="6">
        <f t="shared" si="3"/>
        <v>5589.1525423728781</v>
      </c>
      <c r="I143" s="3" t="s">
        <v>18</v>
      </c>
      <c r="J143" t="s">
        <v>1940</v>
      </c>
      <c r="N143">
        <v>34</v>
      </c>
      <c r="O143"/>
      <c r="P143" t="s">
        <v>718</v>
      </c>
      <c r="R143" s="87"/>
    </row>
    <row r="144" spans="2:18" hidden="1" x14ac:dyDescent="0.25">
      <c r="B144" s="3" t="s">
        <v>943</v>
      </c>
      <c r="C144" s="3" t="s">
        <v>96</v>
      </c>
      <c r="D144" s="3" t="s">
        <v>1939</v>
      </c>
      <c r="E144" s="3" t="s">
        <v>71</v>
      </c>
      <c r="F144" s="3" t="s">
        <v>2054</v>
      </c>
      <c r="G144" s="86">
        <v>2731</v>
      </c>
      <c r="H144" s="6">
        <f t="shared" si="3"/>
        <v>416.59322033898297</v>
      </c>
      <c r="I144" s="3" t="s">
        <v>18</v>
      </c>
      <c r="J144" t="s">
        <v>1938</v>
      </c>
      <c r="N144">
        <v>1</v>
      </c>
      <c r="O144"/>
      <c r="P144" t="s">
        <v>718</v>
      </c>
      <c r="R144" s="87"/>
    </row>
    <row r="145" spans="2:18" hidden="1" x14ac:dyDescent="0.25">
      <c r="B145" s="3" t="s">
        <v>945</v>
      </c>
      <c r="C145" s="3" t="s">
        <v>96</v>
      </c>
      <c r="D145" s="3" t="s">
        <v>2014</v>
      </c>
      <c r="E145" s="3" t="s">
        <v>71</v>
      </c>
      <c r="F145" s="3" t="s">
        <v>2054</v>
      </c>
      <c r="G145" s="86">
        <v>41772</v>
      </c>
      <c r="H145" s="6">
        <f t="shared" si="3"/>
        <v>6372</v>
      </c>
      <c r="I145" s="3" t="s">
        <v>18</v>
      </c>
      <c r="J145" t="s">
        <v>2015</v>
      </c>
      <c r="N145">
        <v>40</v>
      </c>
      <c r="O145"/>
      <c r="P145" t="s">
        <v>718</v>
      </c>
      <c r="R145" s="87"/>
    </row>
    <row r="146" spans="2:18" hidden="1" x14ac:dyDescent="0.25">
      <c r="B146" s="3" t="s">
        <v>945</v>
      </c>
      <c r="C146" s="3" t="s">
        <v>96</v>
      </c>
      <c r="D146" s="3" t="s">
        <v>2013</v>
      </c>
      <c r="E146" s="3" t="s">
        <v>71</v>
      </c>
      <c r="F146" s="3" t="s">
        <v>2054</v>
      </c>
      <c r="G146" s="86">
        <v>48407</v>
      </c>
      <c r="H146" s="6">
        <f t="shared" si="3"/>
        <v>7384.118644067792</v>
      </c>
      <c r="I146" s="3" t="s">
        <v>18</v>
      </c>
      <c r="J146" t="s">
        <v>2012</v>
      </c>
      <c r="N146">
        <v>14</v>
      </c>
      <c r="O146"/>
      <c r="P146" t="s">
        <v>718</v>
      </c>
      <c r="R146" s="87"/>
    </row>
    <row r="147" spans="2:18" hidden="1" x14ac:dyDescent="0.25">
      <c r="B147" s="3" t="s">
        <v>945</v>
      </c>
      <c r="C147" s="3" t="s">
        <v>96</v>
      </c>
      <c r="D147" s="3" t="s">
        <v>2016</v>
      </c>
      <c r="E147" s="3" t="s">
        <v>71</v>
      </c>
      <c r="F147" s="3" t="s">
        <v>2054</v>
      </c>
      <c r="G147" s="86">
        <v>31053</v>
      </c>
      <c r="H147" s="6">
        <f t="shared" si="3"/>
        <v>4736.8983050847455</v>
      </c>
      <c r="I147" s="3" t="s">
        <v>18</v>
      </c>
      <c r="J147" t="s">
        <v>2165</v>
      </c>
      <c r="N147">
        <v>24</v>
      </c>
      <c r="O147"/>
      <c r="P147" t="s">
        <v>718</v>
      </c>
      <c r="R147" s="87"/>
    </row>
    <row r="148" spans="2:18" hidden="1" x14ac:dyDescent="0.25">
      <c r="B148" s="3" t="s">
        <v>2168</v>
      </c>
      <c r="C148" s="3" t="s">
        <v>56</v>
      </c>
      <c r="D148" s="3" t="s">
        <v>2167</v>
      </c>
      <c r="E148" s="3" t="s">
        <v>117</v>
      </c>
      <c r="F148" s="3" t="s">
        <v>2054</v>
      </c>
      <c r="G148" s="6">
        <v>1776.25</v>
      </c>
      <c r="H148" s="6">
        <f t="shared" si="3"/>
        <v>270.95338983050829</v>
      </c>
      <c r="I148" s="3" t="s">
        <v>113</v>
      </c>
      <c r="O148"/>
      <c r="P148"/>
      <c r="R148" s="87"/>
    </row>
    <row r="149" spans="2:18" hidden="1" x14ac:dyDescent="0.25">
      <c r="B149" s="3" t="s">
        <v>1457</v>
      </c>
      <c r="C149" s="3" t="s">
        <v>40</v>
      </c>
      <c r="D149" s="3" t="s">
        <v>1345</v>
      </c>
      <c r="E149" s="3" t="s">
        <v>90</v>
      </c>
      <c r="F149" s="3" t="s">
        <v>2054</v>
      </c>
      <c r="G149" s="6">
        <v>60000</v>
      </c>
      <c r="H149" s="6">
        <f t="shared" si="3"/>
        <v>9152.5423728813548</v>
      </c>
      <c r="I149" s="3" t="s">
        <v>113</v>
      </c>
      <c r="O149"/>
      <c r="P149"/>
      <c r="R149" s="87"/>
    </row>
    <row r="150" spans="2:18" hidden="1" x14ac:dyDescent="0.25">
      <c r="B150" s="3" t="s">
        <v>998</v>
      </c>
      <c r="C150" s="3" t="s">
        <v>74</v>
      </c>
      <c r="D150" s="3" t="s">
        <v>1097</v>
      </c>
      <c r="E150" s="3" t="s">
        <v>90</v>
      </c>
      <c r="F150" s="3" t="s">
        <v>2054</v>
      </c>
      <c r="G150" s="86">
        <v>56894.93</v>
      </c>
      <c r="H150" s="6">
        <f t="shared" si="3"/>
        <v>8678.8876271186382</v>
      </c>
      <c r="I150" s="3" t="s">
        <v>18</v>
      </c>
      <c r="O150"/>
      <c r="P150"/>
      <c r="R150" s="87"/>
    </row>
    <row r="151" spans="2:18" hidden="1" x14ac:dyDescent="0.25">
      <c r="B151" s="3" t="s">
        <v>972</v>
      </c>
      <c r="C151" s="3" t="s">
        <v>95</v>
      </c>
      <c r="D151" s="3" t="s">
        <v>971</v>
      </c>
      <c r="E151" s="3" t="s">
        <v>90</v>
      </c>
      <c r="F151" s="3" t="s">
        <v>2177</v>
      </c>
      <c r="G151" s="86">
        <v>50000</v>
      </c>
      <c r="H151" s="6">
        <f t="shared" si="3"/>
        <v>7627.118644067792</v>
      </c>
      <c r="I151" s="3" t="s">
        <v>18</v>
      </c>
      <c r="O151" s="79"/>
      <c r="P151"/>
      <c r="R151" s="87"/>
    </row>
    <row r="152" spans="2:18" hidden="1" x14ac:dyDescent="0.25">
      <c r="B152" s="3" t="s">
        <v>1055</v>
      </c>
      <c r="C152" s="3" t="s">
        <v>95</v>
      </c>
      <c r="D152" s="3" t="s">
        <v>1112</v>
      </c>
      <c r="E152" s="3" t="s">
        <v>90</v>
      </c>
      <c r="F152" s="3" t="s">
        <v>3193</v>
      </c>
      <c r="G152" s="86">
        <v>50000</v>
      </c>
      <c r="H152" s="6">
        <f t="shared" si="3"/>
        <v>7627.118644067792</v>
      </c>
      <c r="I152" s="3" t="s">
        <v>18</v>
      </c>
      <c r="O152"/>
      <c r="P152"/>
      <c r="R152" s="87"/>
    </row>
    <row r="153" spans="2:18" hidden="1" x14ac:dyDescent="0.25">
      <c r="B153" s="3" t="s">
        <v>1449</v>
      </c>
      <c r="C153" s="3" t="s">
        <v>40</v>
      </c>
      <c r="D153" s="3" t="s">
        <v>1339</v>
      </c>
      <c r="E153" s="3" t="s">
        <v>90</v>
      </c>
      <c r="F153" s="3" t="s">
        <v>3193</v>
      </c>
      <c r="G153" s="6">
        <v>50000</v>
      </c>
      <c r="H153" s="6">
        <f t="shared" si="3"/>
        <v>7627.118644067792</v>
      </c>
      <c r="I153" s="3" t="s">
        <v>113</v>
      </c>
      <c r="O153"/>
      <c r="P153"/>
      <c r="R153" s="87"/>
    </row>
    <row r="154" spans="2:18" hidden="1" x14ac:dyDescent="0.25">
      <c r="B154" s="3" t="s">
        <v>1463</v>
      </c>
      <c r="C154" s="3" t="s">
        <v>40</v>
      </c>
      <c r="D154" s="3" t="s">
        <v>1351</v>
      </c>
      <c r="E154" s="3" t="s">
        <v>90</v>
      </c>
      <c r="F154" s="3" t="s">
        <v>3193</v>
      </c>
      <c r="G154" s="6">
        <v>50000</v>
      </c>
      <c r="H154" s="6">
        <f t="shared" si="3"/>
        <v>7627.118644067792</v>
      </c>
      <c r="I154" s="3" t="s">
        <v>113</v>
      </c>
      <c r="O154"/>
      <c r="P154"/>
      <c r="R154" s="87"/>
    </row>
    <row r="155" spans="2:18" hidden="1" x14ac:dyDescent="0.25">
      <c r="B155" s="3" t="s">
        <v>796</v>
      </c>
      <c r="C155" s="3" t="s">
        <v>56</v>
      </c>
      <c r="D155" s="3" t="s">
        <v>874</v>
      </c>
      <c r="E155" s="3" t="s">
        <v>87</v>
      </c>
      <c r="F155" s="3" t="s">
        <v>2054</v>
      </c>
      <c r="G155" s="6">
        <v>750000</v>
      </c>
      <c r="H155" s="6">
        <f t="shared" si="3"/>
        <v>114406.77966101689</v>
      </c>
      <c r="I155" s="3" t="s">
        <v>113</v>
      </c>
      <c r="J155" s="77"/>
      <c r="O155"/>
      <c r="P155"/>
      <c r="R155" s="87"/>
    </row>
    <row r="156" spans="2:18" hidden="1" x14ac:dyDescent="0.25">
      <c r="B156" s="3" t="s">
        <v>785</v>
      </c>
      <c r="C156" s="3" t="s">
        <v>57</v>
      </c>
      <c r="D156" s="3" t="s">
        <v>863</v>
      </c>
      <c r="E156" s="3" t="s">
        <v>87</v>
      </c>
      <c r="F156" s="3" t="s">
        <v>2054</v>
      </c>
      <c r="G156" s="6">
        <v>91665.17</v>
      </c>
      <c r="H156" s="6">
        <f t="shared" si="3"/>
        <v>13982.822542372873</v>
      </c>
      <c r="I156" s="3" t="s">
        <v>113</v>
      </c>
      <c r="J156" s="77"/>
      <c r="O156"/>
      <c r="P156"/>
      <c r="R156" s="87"/>
    </row>
    <row r="157" spans="2:18" hidden="1" x14ac:dyDescent="0.25">
      <c r="B157" s="3" t="s">
        <v>2169</v>
      </c>
      <c r="C157" s="3" t="s">
        <v>56</v>
      </c>
      <c r="D157" s="3" t="s">
        <v>2166</v>
      </c>
      <c r="E157" s="8" t="s">
        <v>87</v>
      </c>
      <c r="F157" s="3" t="s">
        <v>2054</v>
      </c>
      <c r="G157" s="6">
        <v>49582.89</v>
      </c>
      <c r="H157" s="6">
        <f t="shared" si="3"/>
        <v>7563.4916949152539</v>
      </c>
      <c r="I157" s="3" t="s">
        <v>113</v>
      </c>
      <c r="J157" s="77"/>
      <c r="O157"/>
      <c r="P157"/>
      <c r="R157" s="87"/>
    </row>
    <row r="158" spans="2:18" hidden="1" x14ac:dyDescent="0.25">
      <c r="B158" s="3" t="s">
        <v>1714</v>
      </c>
      <c r="C158" s="3" t="s">
        <v>21</v>
      </c>
      <c r="D158" s="3" t="s">
        <v>924</v>
      </c>
      <c r="E158" s="3" t="s">
        <v>115</v>
      </c>
      <c r="F158" s="3" t="s">
        <v>2054</v>
      </c>
      <c r="G158" s="6">
        <v>84000</v>
      </c>
      <c r="H158" s="6">
        <f t="shared" si="3"/>
        <v>12813.559322033892</v>
      </c>
      <c r="I158" s="3" t="s">
        <v>113</v>
      </c>
      <c r="O158"/>
      <c r="P158"/>
      <c r="R158" s="87"/>
    </row>
    <row r="159" spans="2:18" hidden="1" x14ac:dyDescent="0.25">
      <c r="B159" s="3" t="s">
        <v>1694</v>
      </c>
      <c r="C159" s="3" t="s">
        <v>47</v>
      </c>
      <c r="D159" s="3" t="s">
        <v>1693</v>
      </c>
      <c r="E159" s="3" t="s">
        <v>115</v>
      </c>
      <c r="F159" s="3" t="s">
        <v>2054</v>
      </c>
      <c r="G159" s="6">
        <v>150000</v>
      </c>
      <c r="H159" s="6">
        <f t="shared" si="3"/>
        <v>22881.355932203383</v>
      </c>
      <c r="I159" s="3" t="s">
        <v>113</v>
      </c>
      <c r="R159" s="87"/>
    </row>
    <row r="160" spans="2:18" hidden="1" x14ac:dyDescent="0.25">
      <c r="B160" s="3" t="s">
        <v>1534</v>
      </c>
      <c r="C160" s="3" t="s">
        <v>95</v>
      </c>
      <c r="D160" s="204" t="s">
        <v>2026</v>
      </c>
      <c r="E160" s="204" t="s">
        <v>90</v>
      </c>
      <c r="F160" s="204" t="s">
        <v>2022</v>
      </c>
      <c r="G160" s="86">
        <v>47717.84</v>
      </c>
      <c r="H160" s="203">
        <f t="shared" si="3"/>
        <v>7278.9925423728782</v>
      </c>
      <c r="I160" s="204" t="s">
        <v>18</v>
      </c>
      <c r="O160"/>
      <c r="P160"/>
      <c r="R160" s="87"/>
    </row>
    <row r="161" spans="2:18" hidden="1" x14ac:dyDescent="0.25">
      <c r="B161" s="3" t="s">
        <v>1068</v>
      </c>
      <c r="C161" s="3" t="s">
        <v>94</v>
      </c>
      <c r="D161" s="3" t="s">
        <v>1124</v>
      </c>
      <c r="E161" s="3" t="s">
        <v>106</v>
      </c>
      <c r="F161" s="3" t="s">
        <v>2054</v>
      </c>
      <c r="G161" s="6">
        <v>605.5</v>
      </c>
      <c r="H161" s="6">
        <f t="shared" si="3"/>
        <v>92.364406779660953</v>
      </c>
      <c r="I161" s="3" t="s">
        <v>18</v>
      </c>
      <c r="R161" s="87"/>
    </row>
    <row r="162" spans="2:18" hidden="1" x14ac:dyDescent="0.25">
      <c r="B162" s="3" t="s">
        <v>1062</v>
      </c>
      <c r="C162" s="3" t="s">
        <v>94</v>
      </c>
      <c r="D162" s="3" t="s">
        <v>1119</v>
      </c>
      <c r="E162" s="3" t="s">
        <v>106</v>
      </c>
      <c r="F162" s="3" t="s">
        <v>2054</v>
      </c>
      <c r="G162" s="6">
        <v>2003.75</v>
      </c>
      <c r="H162" s="6">
        <f t="shared" si="3"/>
        <v>305.6567796610168</v>
      </c>
      <c r="I162" s="3" t="s">
        <v>18</v>
      </c>
      <c r="R162" s="87"/>
    </row>
    <row r="163" spans="2:18" hidden="1" x14ac:dyDescent="0.25">
      <c r="B163" s="3" t="s">
        <v>1036</v>
      </c>
      <c r="C163" s="3" t="s">
        <v>74</v>
      </c>
      <c r="D163" s="3" t="s">
        <v>975</v>
      </c>
      <c r="E163" s="3" t="s">
        <v>106</v>
      </c>
      <c r="F163" s="3" t="s">
        <v>2054</v>
      </c>
      <c r="G163" s="6">
        <v>1925</v>
      </c>
      <c r="H163" s="6">
        <f t="shared" si="3"/>
        <v>293.64406779660999</v>
      </c>
      <c r="I163" s="3" t="s">
        <v>18</v>
      </c>
      <c r="O163"/>
      <c r="P163"/>
      <c r="R163" s="87"/>
    </row>
    <row r="164" spans="2:18" hidden="1" x14ac:dyDescent="0.25">
      <c r="B164" s="3" t="s">
        <v>972</v>
      </c>
      <c r="C164" s="3" t="s">
        <v>95</v>
      </c>
      <c r="D164" s="3" t="s">
        <v>971</v>
      </c>
      <c r="E164" s="3" t="s">
        <v>90</v>
      </c>
      <c r="F164" s="3" t="s">
        <v>1986</v>
      </c>
      <c r="G164" s="86">
        <v>46545.37</v>
      </c>
      <c r="H164" s="6">
        <f t="shared" si="3"/>
        <v>7100.1411864406764</v>
      </c>
      <c r="I164" s="3" t="s">
        <v>18</v>
      </c>
      <c r="O164"/>
      <c r="P164"/>
      <c r="R164" s="87"/>
    </row>
    <row r="165" spans="2:18" hidden="1" x14ac:dyDescent="0.25">
      <c r="B165" s="3" t="s">
        <v>1460</v>
      </c>
      <c r="C165" s="3" t="s">
        <v>43</v>
      </c>
      <c r="D165" s="3" t="s">
        <v>1348</v>
      </c>
      <c r="E165" s="3" t="s">
        <v>106</v>
      </c>
      <c r="F165" s="3" t="s">
        <v>2054</v>
      </c>
      <c r="G165" s="6">
        <v>2481.5</v>
      </c>
      <c r="H165" s="6">
        <f t="shared" si="3"/>
        <v>378.53389830508468</v>
      </c>
      <c r="I165" s="3" t="s">
        <v>113</v>
      </c>
      <c r="O165"/>
      <c r="P165"/>
      <c r="R165" s="87"/>
    </row>
    <row r="166" spans="2:18" hidden="1" x14ac:dyDescent="0.25">
      <c r="B166" s="3" t="s">
        <v>1039</v>
      </c>
      <c r="C166" s="3" t="s">
        <v>94</v>
      </c>
      <c r="D166" s="3" t="s">
        <v>978</v>
      </c>
      <c r="E166" s="3" t="s">
        <v>90</v>
      </c>
      <c r="F166" s="3" t="s">
        <v>2054</v>
      </c>
      <c r="G166" s="86">
        <v>40000</v>
      </c>
      <c r="H166" s="6">
        <f t="shared" si="3"/>
        <v>6101.6949152542365</v>
      </c>
      <c r="I166" s="3" t="s">
        <v>18</v>
      </c>
      <c r="O166"/>
      <c r="P166"/>
      <c r="R166" s="87"/>
    </row>
    <row r="167" spans="2:18" hidden="1" x14ac:dyDescent="0.25">
      <c r="B167" s="3" t="s">
        <v>1459</v>
      </c>
      <c r="C167" s="3" t="s">
        <v>40</v>
      </c>
      <c r="D167" s="3" t="s">
        <v>1347</v>
      </c>
      <c r="E167" s="3" t="s">
        <v>90</v>
      </c>
      <c r="F167" s="3" t="s">
        <v>3193</v>
      </c>
      <c r="G167" s="6">
        <v>40000</v>
      </c>
      <c r="H167" s="6">
        <f t="shared" si="3"/>
        <v>6101.6949152542365</v>
      </c>
      <c r="I167" s="3" t="s">
        <v>113</v>
      </c>
      <c r="O167"/>
      <c r="P167"/>
      <c r="R167" s="87"/>
    </row>
    <row r="168" spans="2:18" hidden="1" x14ac:dyDescent="0.25">
      <c r="B168" s="3" t="s">
        <v>2172</v>
      </c>
      <c r="C168" s="3" t="s">
        <v>21</v>
      </c>
      <c r="D168" s="3" t="s">
        <v>2173</v>
      </c>
      <c r="E168" s="3" t="s">
        <v>115</v>
      </c>
      <c r="F168" s="3" t="s">
        <v>2054</v>
      </c>
      <c r="G168" s="6">
        <v>29385</v>
      </c>
      <c r="H168" s="6">
        <f t="shared" si="3"/>
        <v>4482.4576271186415</v>
      </c>
      <c r="I168" s="3" t="s">
        <v>113</v>
      </c>
      <c r="O168"/>
      <c r="P168"/>
      <c r="R168" s="87"/>
    </row>
    <row r="169" spans="2:18" hidden="1" x14ac:dyDescent="0.25">
      <c r="B169" s="3" t="s">
        <v>2172</v>
      </c>
      <c r="C169" s="3" t="s">
        <v>20</v>
      </c>
      <c r="D169" s="3" t="s">
        <v>2174</v>
      </c>
      <c r="E169" s="3" t="s">
        <v>115</v>
      </c>
      <c r="F169" s="3" t="s">
        <v>2054</v>
      </c>
      <c r="G169" s="6">
        <v>29272</v>
      </c>
      <c r="H169" s="6">
        <f t="shared" si="3"/>
        <v>4465.2203389830502</v>
      </c>
      <c r="I169" s="3" t="s">
        <v>113</v>
      </c>
      <c r="O169"/>
      <c r="P169"/>
      <c r="R169" s="87"/>
    </row>
    <row r="170" spans="2:18" hidden="1" x14ac:dyDescent="0.25">
      <c r="B170" s="3" t="s">
        <v>2172</v>
      </c>
      <c r="C170" s="3" t="s">
        <v>24</v>
      </c>
      <c r="D170" s="3" t="s">
        <v>2175</v>
      </c>
      <c r="E170" s="3" t="s">
        <v>115</v>
      </c>
      <c r="F170" s="3" t="s">
        <v>2054</v>
      </c>
      <c r="G170" s="6">
        <v>19189</v>
      </c>
      <c r="H170" s="6">
        <f t="shared" si="3"/>
        <v>2927.1355932203387</v>
      </c>
      <c r="I170" s="3" t="s">
        <v>113</v>
      </c>
      <c r="O170"/>
      <c r="P170"/>
      <c r="R170" s="87"/>
    </row>
    <row r="171" spans="2:18" hidden="1" x14ac:dyDescent="0.25">
      <c r="B171" s="3" t="s">
        <v>1848</v>
      </c>
      <c r="C171" s="3" t="s">
        <v>26</v>
      </c>
      <c r="D171" s="3" t="s">
        <v>2171</v>
      </c>
      <c r="E171" s="3" t="s">
        <v>115</v>
      </c>
      <c r="F171" s="3" t="s">
        <v>2054</v>
      </c>
      <c r="G171" s="6">
        <v>4838</v>
      </c>
      <c r="H171" s="6">
        <f t="shared" si="3"/>
        <v>738</v>
      </c>
      <c r="I171" s="3" t="s">
        <v>113</v>
      </c>
      <c r="J171" s="77" t="s">
        <v>3728</v>
      </c>
      <c r="O171"/>
      <c r="P171"/>
      <c r="R171" s="87"/>
    </row>
    <row r="172" spans="2:18" hidden="1" x14ac:dyDescent="0.25">
      <c r="B172" s="3" t="s">
        <v>1845</v>
      </c>
      <c r="C172" s="3" t="s">
        <v>24</v>
      </c>
      <c r="D172" s="3" t="s">
        <v>2046</v>
      </c>
      <c r="E172" s="3" t="s">
        <v>115</v>
      </c>
      <c r="F172" s="3" t="s">
        <v>2054</v>
      </c>
      <c r="G172" s="6">
        <v>9821</v>
      </c>
      <c r="H172" s="6">
        <f t="shared" si="3"/>
        <v>1498.1186440677957</v>
      </c>
      <c r="I172" s="3" t="s">
        <v>113</v>
      </c>
      <c r="J172" s="77" t="s">
        <v>3728</v>
      </c>
      <c r="O172"/>
      <c r="P172"/>
      <c r="R172" s="87"/>
    </row>
    <row r="173" spans="2:18" hidden="1" x14ac:dyDescent="0.25">
      <c r="B173" s="3" t="s">
        <v>1849</v>
      </c>
      <c r="C173" s="3" t="s">
        <v>58</v>
      </c>
      <c r="D173" s="3" t="s">
        <v>2048</v>
      </c>
      <c r="E173" s="3" t="s">
        <v>115</v>
      </c>
      <c r="F173" s="3" t="s">
        <v>2054</v>
      </c>
      <c r="G173" s="6">
        <v>5543</v>
      </c>
      <c r="H173" s="6">
        <f t="shared" si="3"/>
        <v>845.54237288135573</v>
      </c>
      <c r="I173" s="3" t="s">
        <v>113</v>
      </c>
      <c r="J173" s="77" t="s">
        <v>3728</v>
      </c>
      <c r="O173"/>
      <c r="P173"/>
      <c r="R173" s="87"/>
    </row>
    <row r="174" spans="2:18" hidden="1" x14ac:dyDescent="0.25">
      <c r="B174" s="3" t="s">
        <v>1847</v>
      </c>
      <c r="C174" s="3" t="s">
        <v>47</v>
      </c>
      <c r="D174" s="3" t="s">
        <v>2176</v>
      </c>
      <c r="E174" s="3" t="s">
        <v>115</v>
      </c>
      <c r="F174" s="3" t="s">
        <v>2054</v>
      </c>
      <c r="G174" s="6">
        <v>8604</v>
      </c>
      <c r="H174" s="6">
        <f t="shared" si="3"/>
        <v>1312.4745762711864</v>
      </c>
      <c r="I174" s="3" t="s">
        <v>113</v>
      </c>
      <c r="J174" s="77" t="s">
        <v>3728</v>
      </c>
      <c r="O174"/>
      <c r="P174"/>
      <c r="R174" s="87"/>
    </row>
    <row r="175" spans="2:18" hidden="1" x14ac:dyDescent="0.25">
      <c r="B175" s="3" t="s">
        <v>1844</v>
      </c>
      <c r="C175" s="3" t="s">
        <v>21</v>
      </c>
      <c r="D175" s="3" t="s">
        <v>2045</v>
      </c>
      <c r="E175" s="3" t="s">
        <v>115</v>
      </c>
      <c r="F175" s="3" t="s">
        <v>2054</v>
      </c>
      <c r="G175" s="6">
        <v>5101</v>
      </c>
      <c r="H175" s="6">
        <f t="shared" si="3"/>
        <v>778.11864406779659</v>
      </c>
      <c r="I175" s="3" t="s">
        <v>113</v>
      </c>
      <c r="J175" s="77" t="s">
        <v>3728</v>
      </c>
      <c r="R175" s="87"/>
    </row>
    <row r="176" spans="2:18" hidden="1" x14ac:dyDescent="0.25">
      <c r="B176" s="3" t="s">
        <v>1850</v>
      </c>
      <c r="C176" s="3" t="s">
        <v>24</v>
      </c>
      <c r="D176" s="3" t="s">
        <v>2049</v>
      </c>
      <c r="E176" s="3" t="s">
        <v>115</v>
      </c>
      <c r="F176" s="3" t="s">
        <v>2054</v>
      </c>
      <c r="G176" s="6">
        <v>929</v>
      </c>
      <c r="H176" s="6">
        <f t="shared" si="3"/>
        <v>141.71186440677957</v>
      </c>
      <c r="I176" s="3" t="s">
        <v>113</v>
      </c>
      <c r="J176" s="77" t="s">
        <v>3728</v>
      </c>
      <c r="R176" s="87"/>
    </row>
    <row r="177" spans="2:18" hidden="1" x14ac:dyDescent="0.25">
      <c r="B177" s="3" t="s">
        <v>945</v>
      </c>
      <c r="C177" s="3" t="s">
        <v>96</v>
      </c>
      <c r="D177" s="3" t="s">
        <v>1943</v>
      </c>
      <c r="E177" s="3" t="s">
        <v>71</v>
      </c>
      <c r="F177" s="3" t="s">
        <v>2177</v>
      </c>
      <c r="G177" s="6">
        <v>13567</v>
      </c>
      <c r="H177" s="6">
        <f t="shared" si="3"/>
        <v>2069.5423728813548</v>
      </c>
      <c r="I177" s="3" t="s">
        <v>18</v>
      </c>
      <c r="J177" t="s">
        <v>3585</v>
      </c>
      <c r="N177">
        <v>71</v>
      </c>
      <c r="O177"/>
      <c r="P177" t="s">
        <v>718</v>
      </c>
      <c r="R177" s="87"/>
    </row>
    <row r="178" spans="2:18" hidden="1" x14ac:dyDescent="0.25">
      <c r="B178" s="3" t="s">
        <v>945</v>
      </c>
      <c r="C178" s="3" t="s">
        <v>96</v>
      </c>
      <c r="D178" s="3" t="s">
        <v>2042</v>
      </c>
      <c r="E178" s="3" t="s">
        <v>71</v>
      </c>
      <c r="F178" s="3" t="s">
        <v>2177</v>
      </c>
      <c r="G178" s="6">
        <v>22059</v>
      </c>
      <c r="H178" s="6">
        <f t="shared" si="3"/>
        <v>3364.9322033898279</v>
      </c>
      <c r="I178" s="3" t="s">
        <v>18</v>
      </c>
      <c r="J178" t="s">
        <v>3585</v>
      </c>
      <c r="N178">
        <v>20</v>
      </c>
      <c r="P178" t="s">
        <v>718</v>
      </c>
      <c r="R178" s="87"/>
    </row>
    <row r="179" spans="2:18" hidden="1" x14ac:dyDescent="0.25">
      <c r="B179" s="3" t="s">
        <v>945</v>
      </c>
      <c r="C179" s="3" t="s">
        <v>96</v>
      </c>
      <c r="D179" s="3" t="s">
        <v>1952</v>
      </c>
      <c r="E179" s="3" t="s">
        <v>71</v>
      </c>
      <c r="F179" s="3" t="s">
        <v>2177</v>
      </c>
      <c r="G179" s="6">
        <v>8022</v>
      </c>
      <c r="H179" s="6">
        <f t="shared" si="3"/>
        <v>1223.6949152542365</v>
      </c>
      <c r="I179" s="3" t="s">
        <v>18</v>
      </c>
      <c r="J179" t="s">
        <v>3585</v>
      </c>
      <c r="N179">
        <v>23</v>
      </c>
      <c r="P179" t="s">
        <v>718</v>
      </c>
      <c r="R179" s="87"/>
    </row>
    <row r="180" spans="2:18" hidden="1" x14ac:dyDescent="0.25">
      <c r="B180" s="3" t="s">
        <v>730</v>
      </c>
      <c r="C180" s="3" t="s">
        <v>96</v>
      </c>
      <c r="D180" s="3" t="s">
        <v>2009</v>
      </c>
      <c r="E180" s="3" t="s">
        <v>71</v>
      </c>
      <c r="F180" s="3" t="s">
        <v>2177</v>
      </c>
      <c r="G180" s="6">
        <v>3635</v>
      </c>
      <c r="H180" s="6">
        <f t="shared" si="3"/>
        <v>554.49152542372849</v>
      </c>
      <c r="I180" s="3" t="s">
        <v>18</v>
      </c>
      <c r="J180" t="s">
        <v>3585</v>
      </c>
      <c r="N180">
        <v>43</v>
      </c>
      <c r="P180" t="s">
        <v>718</v>
      </c>
      <c r="R180" s="87"/>
    </row>
    <row r="181" spans="2:18" hidden="1" x14ac:dyDescent="0.25">
      <c r="B181" s="3" t="s">
        <v>717</v>
      </c>
      <c r="C181" s="3" t="s">
        <v>96</v>
      </c>
      <c r="D181" s="3" t="s">
        <v>1960</v>
      </c>
      <c r="E181" s="3" t="s">
        <v>71</v>
      </c>
      <c r="F181" s="3" t="s">
        <v>2177</v>
      </c>
      <c r="G181" s="6">
        <v>5557</v>
      </c>
      <c r="H181" s="6">
        <f t="shared" si="3"/>
        <v>847.67796610169444</v>
      </c>
      <c r="I181" s="3" t="s">
        <v>18</v>
      </c>
      <c r="J181" t="s">
        <v>3585</v>
      </c>
      <c r="N181">
        <v>2</v>
      </c>
      <c r="O181"/>
      <c r="P181" t="s">
        <v>718</v>
      </c>
      <c r="R181" s="87"/>
    </row>
    <row r="182" spans="2:18" hidden="1" x14ac:dyDescent="0.25">
      <c r="B182" s="3" t="s">
        <v>726</v>
      </c>
      <c r="C182" s="3" t="s">
        <v>96</v>
      </c>
      <c r="D182" s="3" t="s">
        <v>2036</v>
      </c>
      <c r="E182" s="3" t="s">
        <v>71</v>
      </c>
      <c r="F182" s="3" t="s">
        <v>2177</v>
      </c>
      <c r="G182" s="6">
        <v>25842</v>
      </c>
      <c r="H182" s="6">
        <f t="shared" si="3"/>
        <v>3942</v>
      </c>
      <c r="I182" s="3" t="s">
        <v>18</v>
      </c>
      <c r="J182" t="s">
        <v>3585</v>
      </c>
      <c r="N182">
        <v>7</v>
      </c>
      <c r="O182"/>
      <c r="P182" t="s">
        <v>718</v>
      </c>
      <c r="R182" s="87"/>
    </row>
    <row r="183" spans="2:18" hidden="1" x14ac:dyDescent="0.25">
      <c r="B183" s="3" t="s">
        <v>945</v>
      </c>
      <c r="C183" s="3" t="s">
        <v>96</v>
      </c>
      <c r="D183" s="3" t="s">
        <v>2028</v>
      </c>
      <c r="E183" s="3" t="s">
        <v>71</v>
      </c>
      <c r="F183" s="3" t="s">
        <v>2177</v>
      </c>
      <c r="G183" s="6">
        <v>40956</v>
      </c>
      <c r="H183" s="6">
        <f t="shared" si="3"/>
        <v>6247.52542372881</v>
      </c>
      <c r="I183" s="3" t="s">
        <v>18</v>
      </c>
      <c r="J183" t="s">
        <v>3585</v>
      </c>
      <c r="N183">
        <v>0</v>
      </c>
      <c r="O183"/>
      <c r="P183" t="s">
        <v>718</v>
      </c>
      <c r="R183" s="87"/>
    </row>
    <row r="184" spans="2:18" hidden="1" x14ac:dyDescent="0.25">
      <c r="B184" s="3" t="s">
        <v>945</v>
      </c>
      <c r="C184" s="3" t="s">
        <v>96</v>
      </c>
      <c r="D184" s="3" t="s">
        <v>2034</v>
      </c>
      <c r="E184" s="3" t="s">
        <v>71</v>
      </c>
      <c r="F184" s="3" t="s">
        <v>2177</v>
      </c>
      <c r="G184" s="6">
        <v>24276</v>
      </c>
      <c r="H184" s="6">
        <f t="shared" si="3"/>
        <v>3703.1186440677957</v>
      </c>
      <c r="I184" s="3" t="s">
        <v>18</v>
      </c>
      <c r="J184" t="s">
        <v>3585</v>
      </c>
      <c r="N184">
        <v>41</v>
      </c>
      <c r="P184" t="s">
        <v>718</v>
      </c>
      <c r="R184" s="87"/>
    </row>
    <row r="185" spans="2:18" hidden="1" x14ac:dyDescent="0.25">
      <c r="B185" s="3" t="s">
        <v>945</v>
      </c>
      <c r="C185" s="3" t="s">
        <v>96</v>
      </c>
      <c r="D185" s="3" t="s">
        <v>2030</v>
      </c>
      <c r="E185" s="3" t="s">
        <v>71</v>
      </c>
      <c r="F185" s="3" t="s">
        <v>2177</v>
      </c>
      <c r="G185" s="6">
        <v>39778</v>
      </c>
      <c r="H185" s="6">
        <f t="shared" si="3"/>
        <v>6067.8305084745734</v>
      </c>
      <c r="I185" s="3" t="s">
        <v>18</v>
      </c>
      <c r="J185" t="s">
        <v>3585</v>
      </c>
      <c r="N185">
        <v>83</v>
      </c>
      <c r="P185" t="s">
        <v>718</v>
      </c>
      <c r="R185" s="87"/>
    </row>
    <row r="186" spans="2:18" hidden="1" x14ac:dyDescent="0.25">
      <c r="B186" s="3" t="s">
        <v>945</v>
      </c>
      <c r="C186" s="3" t="s">
        <v>96</v>
      </c>
      <c r="D186" s="3" t="s">
        <v>2032</v>
      </c>
      <c r="E186" s="3" t="s">
        <v>71</v>
      </c>
      <c r="F186" s="3" t="s">
        <v>2177</v>
      </c>
      <c r="G186" s="6">
        <v>13943</v>
      </c>
      <c r="H186" s="6">
        <f t="shared" si="3"/>
        <v>2126.8983050847455</v>
      </c>
      <c r="I186" s="3" t="s">
        <v>18</v>
      </c>
      <c r="J186" t="s">
        <v>3585</v>
      </c>
      <c r="N186">
        <v>25</v>
      </c>
      <c r="O186"/>
      <c r="P186" t="s">
        <v>718</v>
      </c>
      <c r="R186" s="87"/>
    </row>
    <row r="187" spans="2:18" hidden="1" x14ac:dyDescent="0.25">
      <c r="B187" s="3" t="s">
        <v>730</v>
      </c>
      <c r="C187" s="3" t="s">
        <v>96</v>
      </c>
      <c r="D187" s="3" t="s">
        <v>2040</v>
      </c>
      <c r="E187" s="3" t="s">
        <v>71</v>
      </c>
      <c r="F187" s="3" t="s">
        <v>2177</v>
      </c>
      <c r="G187" s="6">
        <v>11965</v>
      </c>
      <c r="H187" s="6">
        <f t="shared" si="3"/>
        <v>1825.1694915254229</v>
      </c>
      <c r="I187" s="3" t="s">
        <v>18</v>
      </c>
      <c r="J187" t="s">
        <v>3585</v>
      </c>
      <c r="N187">
        <v>115</v>
      </c>
      <c r="O187"/>
      <c r="P187" t="s">
        <v>718</v>
      </c>
      <c r="R187" s="87"/>
    </row>
    <row r="188" spans="2:18" hidden="1" x14ac:dyDescent="0.25">
      <c r="B188" s="3" t="s">
        <v>2065</v>
      </c>
      <c r="C188" s="3" t="s">
        <v>97</v>
      </c>
      <c r="D188" s="8" t="s">
        <v>2073</v>
      </c>
      <c r="E188" s="8" t="s">
        <v>71</v>
      </c>
      <c r="F188" s="3" t="s">
        <v>2177</v>
      </c>
      <c r="G188" s="6">
        <v>117994</v>
      </c>
      <c r="H188" s="6">
        <f t="shared" si="3"/>
        <v>17999.08474576271</v>
      </c>
      <c r="I188" s="3" t="s">
        <v>18</v>
      </c>
      <c r="J188" t="s">
        <v>3585</v>
      </c>
      <c r="O188"/>
      <c r="P188"/>
      <c r="R188" s="87"/>
    </row>
    <row r="189" spans="2:18" hidden="1" x14ac:dyDescent="0.25">
      <c r="B189" s="3" t="s">
        <v>2063</v>
      </c>
      <c r="C189" s="3" t="s">
        <v>96</v>
      </c>
      <c r="D189" s="8" t="s">
        <v>2069</v>
      </c>
      <c r="E189" s="8" t="s">
        <v>71</v>
      </c>
      <c r="F189" s="3" t="s">
        <v>2177</v>
      </c>
      <c r="G189" s="6">
        <v>24014</v>
      </c>
      <c r="H189" s="6">
        <f t="shared" si="3"/>
        <v>3663.1525423728817</v>
      </c>
      <c r="I189" s="3" t="s">
        <v>18</v>
      </c>
      <c r="J189" t="s">
        <v>3585</v>
      </c>
      <c r="O189"/>
      <c r="P189"/>
      <c r="R189" s="87"/>
    </row>
    <row r="190" spans="2:18" hidden="1" x14ac:dyDescent="0.25">
      <c r="B190" s="3" t="s">
        <v>2060</v>
      </c>
      <c r="C190" s="3" t="s">
        <v>16</v>
      </c>
      <c r="D190" s="3" t="s">
        <v>2071</v>
      </c>
      <c r="E190" s="3" t="s">
        <v>71</v>
      </c>
      <c r="F190" s="3" t="s">
        <v>2177</v>
      </c>
      <c r="G190" s="86">
        <v>59725</v>
      </c>
      <c r="H190" s="6">
        <f t="shared" si="3"/>
        <v>9110.5932203389821</v>
      </c>
      <c r="I190" s="3" t="s">
        <v>113</v>
      </c>
      <c r="J190" t="s">
        <v>3585</v>
      </c>
      <c r="O190"/>
      <c r="P190"/>
      <c r="R190" s="87"/>
    </row>
    <row r="191" spans="2:18" hidden="1" x14ac:dyDescent="0.25">
      <c r="B191" s="3" t="s">
        <v>1220</v>
      </c>
      <c r="C191" s="3" t="s">
        <v>17</v>
      </c>
      <c r="D191" s="3" t="s">
        <v>1294</v>
      </c>
      <c r="E191" s="3" t="s">
        <v>71</v>
      </c>
      <c r="F191" s="3" t="s">
        <v>2177</v>
      </c>
      <c r="G191" s="86">
        <v>20655</v>
      </c>
      <c r="H191" s="6">
        <f t="shared" si="3"/>
        <v>3150.762711864405</v>
      </c>
      <c r="I191" s="3" t="s">
        <v>113</v>
      </c>
      <c r="J191" t="s">
        <v>3585</v>
      </c>
      <c r="O191"/>
      <c r="P191"/>
      <c r="R191" s="87"/>
    </row>
    <row r="192" spans="2:18" hidden="1" x14ac:dyDescent="0.25">
      <c r="B192" s="3" t="s">
        <v>1238</v>
      </c>
      <c r="C192" s="3" t="s">
        <v>17</v>
      </c>
      <c r="D192" s="3" t="s">
        <v>1312</v>
      </c>
      <c r="E192" s="3" t="s">
        <v>71</v>
      </c>
      <c r="F192" s="3" t="s">
        <v>2177</v>
      </c>
      <c r="G192" s="86">
        <v>200000</v>
      </c>
      <c r="H192" s="6">
        <f t="shared" si="3"/>
        <v>30508.474576271168</v>
      </c>
      <c r="I192" s="3" t="s">
        <v>113</v>
      </c>
      <c r="O192"/>
      <c r="P192"/>
      <c r="R192" s="87"/>
    </row>
    <row r="193" spans="2:18" hidden="1" x14ac:dyDescent="0.25">
      <c r="B193" s="3" t="s">
        <v>1221</v>
      </c>
      <c r="C193" s="3" t="s">
        <v>38</v>
      </c>
      <c r="D193" s="3" t="s">
        <v>1295</v>
      </c>
      <c r="E193" s="3" t="s">
        <v>71</v>
      </c>
      <c r="F193" s="3" t="s">
        <v>2177</v>
      </c>
      <c r="G193" s="86">
        <v>150000</v>
      </c>
      <c r="H193" s="6">
        <f t="shared" si="3"/>
        <v>22881.355932203383</v>
      </c>
      <c r="I193" s="3" t="s">
        <v>113</v>
      </c>
      <c r="O193"/>
      <c r="P193"/>
      <c r="R193" s="87"/>
    </row>
    <row r="194" spans="2:18" hidden="1" x14ac:dyDescent="0.25">
      <c r="B194" s="3" t="s">
        <v>1201</v>
      </c>
      <c r="C194" s="3" t="s">
        <v>32</v>
      </c>
      <c r="D194" s="3" t="s">
        <v>1166</v>
      </c>
      <c r="E194" s="3" t="s">
        <v>71</v>
      </c>
      <c r="F194" s="3" t="s">
        <v>2177</v>
      </c>
      <c r="G194" s="6">
        <v>150000</v>
      </c>
      <c r="H194" s="6">
        <f t="shared" si="3"/>
        <v>22881.355932203383</v>
      </c>
      <c r="I194" s="3" t="s">
        <v>113</v>
      </c>
      <c r="O194"/>
      <c r="P194"/>
      <c r="R194" s="87"/>
    </row>
    <row r="195" spans="2:18" hidden="1" x14ac:dyDescent="0.25">
      <c r="B195" s="3" t="s">
        <v>1584</v>
      </c>
      <c r="C195" s="3" t="s">
        <v>16</v>
      </c>
      <c r="D195" s="3" t="s">
        <v>365</v>
      </c>
      <c r="E195" s="3" t="s">
        <v>71</v>
      </c>
      <c r="F195" s="3" t="s">
        <v>2177</v>
      </c>
      <c r="G195" s="86">
        <v>150000</v>
      </c>
      <c r="H195" s="6">
        <f t="shared" si="3"/>
        <v>22881.355932203383</v>
      </c>
      <c r="I195" s="3" t="s">
        <v>113</v>
      </c>
      <c r="O195"/>
      <c r="P195"/>
      <c r="R195" s="87"/>
    </row>
    <row r="196" spans="2:18" hidden="1" x14ac:dyDescent="0.25">
      <c r="B196" s="3" t="s">
        <v>1236</v>
      </c>
      <c r="C196" s="3" t="s">
        <v>17</v>
      </c>
      <c r="D196" s="3" t="s">
        <v>1310</v>
      </c>
      <c r="E196" s="3" t="s">
        <v>71</v>
      </c>
      <c r="F196" s="3" t="s">
        <v>2177</v>
      </c>
      <c r="G196" s="86">
        <v>250000</v>
      </c>
      <c r="H196" s="6">
        <f t="shared" si="3"/>
        <v>38135.593220338982</v>
      </c>
      <c r="I196" s="3" t="s">
        <v>113</v>
      </c>
      <c r="O196" s="79"/>
      <c r="P196"/>
      <c r="R196" s="87"/>
    </row>
    <row r="197" spans="2:18" hidden="1" x14ac:dyDescent="0.25">
      <c r="B197" s="3" t="s">
        <v>3188</v>
      </c>
      <c r="C197" s="3" t="s">
        <v>68</v>
      </c>
      <c r="D197" s="3" t="s">
        <v>3190</v>
      </c>
      <c r="E197" s="3" t="s">
        <v>1853</v>
      </c>
      <c r="F197" s="3" t="s">
        <v>2177</v>
      </c>
      <c r="G197" s="6">
        <v>3251.5</v>
      </c>
      <c r="H197" s="6">
        <f t="shared" si="3"/>
        <v>495.99152542372849</v>
      </c>
      <c r="I197" s="3" t="s">
        <v>113</v>
      </c>
      <c r="O197" s="79"/>
      <c r="P197"/>
      <c r="R197" s="87"/>
    </row>
    <row r="198" spans="2:18" hidden="1" x14ac:dyDescent="0.25">
      <c r="B198" s="3" t="s">
        <v>1485</v>
      </c>
      <c r="C198" s="3" t="s">
        <v>40</v>
      </c>
      <c r="D198" s="3" t="s">
        <v>1373</v>
      </c>
      <c r="E198" s="3" t="s">
        <v>90</v>
      </c>
      <c r="F198" s="3" t="s">
        <v>3193</v>
      </c>
      <c r="G198" s="6">
        <v>40000</v>
      </c>
      <c r="H198" s="6">
        <f t="shared" si="3"/>
        <v>6101.6949152542365</v>
      </c>
      <c r="I198" s="3" t="s">
        <v>113</v>
      </c>
      <c r="O198"/>
      <c r="P198"/>
      <c r="R198" s="87"/>
    </row>
    <row r="199" spans="2:18" hidden="1" x14ac:dyDescent="0.25">
      <c r="B199" s="3" t="s">
        <v>1471</v>
      </c>
      <c r="C199" s="3" t="s">
        <v>40</v>
      </c>
      <c r="D199" s="3" t="s">
        <v>1359</v>
      </c>
      <c r="E199" s="3" t="s">
        <v>90</v>
      </c>
      <c r="F199" s="3" t="s">
        <v>3193</v>
      </c>
      <c r="G199" s="6">
        <v>35000</v>
      </c>
      <c r="H199" s="6">
        <f t="shared" si="3"/>
        <v>5338.9830508474552</v>
      </c>
      <c r="I199" s="3" t="s">
        <v>113</v>
      </c>
      <c r="J199" s="78"/>
      <c r="O199"/>
      <c r="P199"/>
      <c r="R199" s="87"/>
    </row>
    <row r="200" spans="2:18" hidden="1" x14ac:dyDescent="0.25">
      <c r="B200" s="3" t="s">
        <v>972</v>
      </c>
      <c r="C200" s="3" t="s">
        <v>95</v>
      </c>
      <c r="D200" s="3" t="s">
        <v>971</v>
      </c>
      <c r="E200" s="3" t="s">
        <v>90</v>
      </c>
      <c r="F200" s="3" t="s">
        <v>2054</v>
      </c>
      <c r="G200" s="86">
        <v>34000</v>
      </c>
      <c r="H200" s="6">
        <f t="shared" si="3"/>
        <v>5186.4406779661003</v>
      </c>
      <c r="I200" s="3" t="s">
        <v>18</v>
      </c>
      <c r="O200"/>
      <c r="P200"/>
      <c r="R200" s="87"/>
    </row>
    <row r="201" spans="2:18" hidden="1" x14ac:dyDescent="0.25">
      <c r="B201" s="3" t="s">
        <v>1971</v>
      </c>
      <c r="C201" s="3" t="s">
        <v>91</v>
      </c>
      <c r="D201" s="250" t="s">
        <v>1613</v>
      </c>
      <c r="E201" s="3" t="s">
        <v>701</v>
      </c>
      <c r="F201" s="3" t="s">
        <v>2177</v>
      </c>
      <c r="G201" s="6">
        <v>39009.81</v>
      </c>
      <c r="H201" s="6">
        <f t="shared" si="3"/>
        <v>5950.6489830508435</v>
      </c>
      <c r="I201" s="3" t="s">
        <v>18</v>
      </c>
      <c r="O201" s="79"/>
      <c r="P201"/>
      <c r="R201" s="87"/>
    </row>
    <row r="202" spans="2:18" x14ac:dyDescent="0.25">
      <c r="B202" s="3" t="s">
        <v>2199</v>
      </c>
      <c r="C202" s="3" t="s">
        <v>40</v>
      </c>
      <c r="D202" s="3" t="s">
        <v>2217</v>
      </c>
      <c r="E202" s="3" t="s">
        <v>141</v>
      </c>
      <c r="F202" s="3" t="s">
        <v>3193</v>
      </c>
      <c r="G202" s="6">
        <v>350000</v>
      </c>
      <c r="H202" s="6">
        <f t="shared" ref="H202:H265" si="4">G202-G202/1.18</f>
        <v>53389.830508474552</v>
      </c>
      <c r="I202" s="3" t="s">
        <v>113</v>
      </c>
      <c r="O202" s="79"/>
      <c r="P202"/>
      <c r="R202" s="87"/>
    </row>
    <row r="203" spans="2:18" hidden="1" x14ac:dyDescent="0.25">
      <c r="B203" s="3" t="s">
        <v>1057</v>
      </c>
      <c r="C203" s="3" t="s">
        <v>95</v>
      </c>
      <c r="D203" s="3" t="s">
        <v>1114</v>
      </c>
      <c r="E203" s="3" t="s">
        <v>90</v>
      </c>
      <c r="F203" s="3" t="s">
        <v>3193</v>
      </c>
      <c r="G203" s="86">
        <v>30000</v>
      </c>
      <c r="H203" s="6">
        <f t="shared" si="4"/>
        <v>4576.2711864406774</v>
      </c>
      <c r="I203" s="3" t="s">
        <v>18</v>
      </c>
      <c r="O203"/>
      <c r="P203"/>
      <c r="R203" s="87"/>
    </row>
    <row r="204" spans="2:18" hidden="1" x14ac:dyDescent="0.25">
      <c r="B204" s="3" t="s">
        <v>1714</v>
      </c>
      <c r="C204" s="3" t="s">
        <v>21</v>
      </c>
      <c r="D204" s="3" t="s">
        <v>924</v>
      </c>
      <c r="E204" s="3" t="s">
        <v>115</v>
      </c>
      <c r="F204" s="3" t="s">
        <v>2177</v>
      </c>
      <c r="G204" s="6">
        <v>100000</v>
      </c>
      <c r="H204" s="6">
        <f t="shared" si="4"/>
        <v>15254.237288135584</v>
      </c>
      <c r="I204" s="3" t="s">
        <v>113</v>
      </c>
      <c r="O204" s="79"/>
      <c r="P204"/>
      <c r="R204" s="87"/>
    </row>
    <row r="205" spans="2:18" hidden="1" x14ac:dyDescent="0.25">
      <c r="B205" s="3" t="s">
        <v>1694</v>
      </c>
      <c r="C205" s="3" t="s">
        <v>47</v>
      </c>
      <c r="D205" s="3" t="s">
        <v>1693</v>
      </c>
      <c r="E205" s="3" t="s">
        <v>115</v>
      </c>
      <c r="F205" s="3" t="s">
        <v>2177</v>
      </c>
      <c r="G205" s="6">
        <v>250000</v>
      </c>
      <c r="H205" s="6">
        <f t="shared" si="4"/>
        <v>38135.593220338982</v>
      </c>
      <c r="I205" s="3" t="s">
        <v>113</v>
      </c>
      <c r="O205" s="79"/>
      <c r="P205"/>
      <c r="R205" s="87"/>
    </row>
    <row r="206" spans="2:18" hidden="1" x14ac:dyDescent="0.25">
      <c r="B206" s="3" t="s">
        <v>3288</v>
      </c>
      <c r="C206" s="3" t="s">
        <v>96</v>
      </c>
      <c r="D206" s="3" t="s">
        <v>3322</v>
      </c>
      <c r="E206" s="2" t="s">
        <v>110</v>
      </c>
      <c r="F206" s="3" t="s">
        <v>2177</v>
      </c>
      <c r="G206" s="6">
        <v>952</v>
      </c>
      <c r="H206" s="6">
        <f t="shared" si="4"/>
        <v>145.22033898305085</v>
      </c>
      <c r="I206" s="3" t="s">
        <v>18</v>
      </c>
      <c r="O206" s="79"/>
      <c r="P206"/>
      <c r="R206" s="87"/>
    </row>
    <row r="207" spans="2:18" hidden="1" x14ac:dyDescent="0.25">
      <c r="B207" s="3" t="s">
        <v>3288</v>
      </c>
      <c r="C207" s="3" t="s">
        <v>96</v>
      </c>
      <c r="D207" s="3" t="s">
        <v>3323</v>
      </c>
      <c r="E207" s="2" t="s">
        <v>110</v>
      </c>
      <c r="F207" s="3" t="s">
        <v>2177</v>
      </c>
      <c r="G207" s="6">
        <v>1879.5</v>
      </c>
      <c r="H207" s="6">
        <f t="shared" si="4"/>
        <v>286.70338983050829</v>
      </c>
      <c r="I207" s="3" t="s">
        <v>18</v>
      </c>
      <c r="O207" s="79"/>
      <c r="P207"/>
      <c r="R207" s="87"/>
    </row>
    <row r="208" spans="2:18" hidden="1" x14ac:dyDescent="0.25">
      <c r="B208" s="3" t="s">
        <v>3288</v>
      </c>
      <c r="C208" s="3" t="s">
        <v>96</v>
      </c>
      <c r="D208" s="3" t="s">
        <v>3324</v>
      </c>
      <c r="E208" s="2" t="s">
        <v>110</v>
      </c>
      <c r="F208" s="3" t="s">
        <v>2177</v>
      </c>
      <c r="G208" s="6">
        <v>1874.25</v>
      </c>
      <c r="H208" s="6">
        <f t="shared" si="4"/>
        <v>285.90254237288127</v>
      </c>
      <c r="I208" s="3" t="s">
        <v>18</v>
      </c>
      <c r="O208" s="79"/>
      <c r="P208"/>
      <c r="R208" s="87"/>
    </row>
    <row r="209" spans="2:18" hidden="1" x14ac:dyDescent="0.25">
      <c r="B209" s="3" t="s">
        <v>3288</v>
      </c>
      <c r="C209" s="3" t="s">
        <v>96</v>
      </c>
      <c r="D209" s="3" t="s">
        <v>3325</v>
      </c>
      <c r="E209" s="2" t="s">
        <v>110</v>
      </c>
      <c r="F209" s="3" t="s">
        <v>2177</v>
      </c>
      <c r="G209" s="6">
        <v>2264.5</v>
      </c>
      <c r="H209" s="6">
        <f t="shared" si="4"/>
        <v>345.43220338983042</v>
      </c>
      <c r="I209" s="3" t="s">
        <v>18</v>
      </c>
      <c r="O209" s="79"/>
      <c r="P209"/>
      <c r="R209" s="87"/>
    </row>
    <row r="210" spans="2:18" hidden="1" x14ac:dyDescent="0.25">
      <c r="B210" s="3" t="s">
        <v>3288</v>
      </c>
      <c r="C210" s="3" t="s">
        <v>96</v>
      </c>
      <c r="D210" s="3" t="s">
        <v>3326</v>
      </c>
      <c r="E210" s="2" t="s">
        <v>110</v>
      </c>
      <c r="F210" s="3" t="s">
        <v>2177</v>
      </c>
      <c r="G210" s="6">
        <v>999.25</v>
      </c>
      <c r="H210" s="6">
        <f t="shared" si="4"/>
        <v>152.42796610169489</v>
      </c>
      <c r="I210" s="3" t="s">
        <v>18</v>
      </c>
      <c r="O210" s="79"/>
      <c r="P210"/>
      <c r="R210" s="87"/>
    </row>
    <row r="211" spans="2:18" hidden="1" x14ac:dyDescent="0.25">
      <c r="B211" s="3" t="s">
        <v>3288</v>
      </c>
      <c r="C211" s="3" t="s">
        <v>96</v>
      </c>
      <c r="D211" s="3" t="s">
        <v>3327</v>
      </c>
      <c r="E211" s="2" t="s">
        <v>110</v>
      </c>
      <c r="F211" s="3" t="s">
        <v>2177</v>
      </c>
      <c r="G211" s="6">
        <v>892.5</v>
      </c>
      <c r="H211" s="6">
        <f t="shared" si="4"/>
        <v>136.1440677966101</v>
      </c>
      <c r="I211" s="3" t="s">
        <v>18</v>
      </c>
      <c r="O211" s="79"/>
      <c r="P211"/>
      <c r="R211" s="87"/>
    </row>
    <row r="212" spans="2:18" hidden="1" x14ac:dyDescent="0.25">
      <c r="B212" s="3" t="s">
        <v>3288</v>
      </c>
      <c r="C212" s="3" t="s">
        <v>96</v>
      </c>
      <c r="D212" s="3" t="s">
        <v>3328</v>
      </c>
      <c r="E212" s="2" t="s">
        <v>110</v>
      </c>
      <c r="F212" s="3" t="s">
        <v>2177</v>
      </c>
      <c r="G212" s="6">
        <v>2695</v>
      </c>
      <c r="H212" s="6">
        <f t="shared" si="4"/>
        <v>411.10169491525403</v>
      </c>
      <c r="I212" s="3" t="s">
        <v>18</v>
      </c>
      <c r="J212" s="88"/>
      <c r="O212"/>
      <c r="P212"/>
      <c r="R212" s="87"/>
    </row>
    <row r="213" spans="2:18" hidden="1" x14ac:dyDescent="0.25">
      <c r="B213" s="3" t="s">
        <v>3288</v>
      </c>
      <c r="C213" s="3" t="s">
        <v>96</v>
      </c>
      <c r="D213" s="3" t="s">
        <v>3329</v>
      </c>
      <c r="E213" s="2" t="s">
        <v>110</v>
      </c>
      <c r="F213" s="3" t="s">
        <v>2177</v>
      </c>
      <c r="G213" s="6">
        <v>5166</v>
      </c>
      <c r="H213" s="6">
        <f t="shared" si="4"/>
        <v>788.03389830508422</v>
      </c>
      <c r="I213" s="3" t="s">
        <v>18</v>
      </c>
      <c r="J213" s="18"/>
      <c r="O213"/>
      <c r="P213"/>
      <c r="R213" s="87"/>
    </row>
    <row r="214" spans="2:18" hidden="1" x14ac:dyDescent="0.25">
      <c r="B214" s="3" t="s">
        <v>3288</v>
      </c>
      <c r="C214" s="3" t="s">
        <v>96</v>
      </c>
      <c r="D214" s="3" t="s">
        <v>3330</v>
      </c>
      <c r="E214" s="2" t="s">
        <v>110</v>
      </c>
      <c r="F214" s="3" t="s">
        <v>2177</v>
      </c>
      <c r="G214" s="6">
        <v>2681</v>
      </c>
      <c r="H214" s="6">
        <f t="shared" si="4"/>
        <v>408.96610169491532</v>
      </c>
      <c r="I214" s="3" t="s">
        <v>18</v>
      </c>
      <c r="O214"/>
      <c r="P214"/>
      <c r="R214" s="87"/>
    </row>
    <row r="215" spans="2:18" hidden="1" x14ac:dyDescent="0.25">
      <c r="B215" s="3" t="s">
        <v>3288</v>
      </c>
      <c r="C215" s="3" t="s">
        <v>96</v>
      </c>
      <c r="D215" s="3" t="s">
        <v>3331</v>
      </c>
      <c r="E215" s="2" t="s">
        <v>110</v>
      </c>
      <c r="F215" s="3" t="s">
        <v>2177</v>
      </c>
      <c r="G215" s="6">
        <v>444.5</v>
      </c>
      <c r="H215" s="6">
        <f t="shared" si="4"/>
        <v>67.805084745762713</v>
      </c>
      <c r="I215" s="3" t="s">
        <v>18</v>
      </c>
      <c r="J215" s="18"/>
      <c r="O215"/>
      <c r="P215"/>
      <c r="R215" s="87"/>
    </row>
    <row r="216" spans="2:18" hidden="1" x14ac:dyDescent="0.25">
      <c r="B216" s="3" t="s">
        <v>3288</v>
      </c>
      <c r="C216" s="3" t="s">
        <v>96</v>
      </c>
      <c r="D216" s="3" t="s">
        <v>3332</v>
      </c>
      <c r="E216" s="2" t="s">
        <v>110</v>
      </c>
      <c r="F216" s="3" t="s">
        <v>2177</v>
      </c>
      <c r="G216" s="6">
        <v>598.5</v>
      </c>
      <c r="H216" s="6">
        <f t="shared" si="4"/>
        <v>91.296610169491487</v>
      </c>
      <c r="I216" s="3" t="s">
        <v>18</v>
      </c>
      <c r="J216" s="18"/>
      <c r="O216"/>
      <c r="P216"/>
      <c r="R216" s="87"/>
    </row>
    <row r="217" spans="2:18" hidden="1" x14ac:dyDescent="0.25">
      <c r="B217" s="3" t="s">
        <v>3288</v>
      </c>
      <c r="C217" s="3" t="s">
        <v>96</v>
      </c>
      <c r="D217" s="3" t="s">
        <v>3333</v>
      </c>
      <c r="E217" s="2" t="s">
        <v>110</v>
      </c>
      <c r="F217" s="3" t="s">
        <v>2177</v>
      </c>
      <c r="G217" s="6">
        <v>1606.5</v>
      </c>
      <c r="H217" s="6">
        <f t="shared" si="4"/>
        <v>245.0593220338983</v>
      </c>
      <c r="I217" s="3" t="s">
        <v>18</v>
      </c>
      <c r="J217" s="18"/>
      <c r="R217" s="87"/>
    </row>
    <row r="218" spans="2:18" hidden="1" x14ac:dyDescent="0.25">
      <c r="B218" s="3" t="s">
        <v>3288</v>
      </c>
      <c r="C218" s="3" t="s">
        <v>96</v>
      </c>
      <c r="D218" s="3" t="s">
        <v>3334</v>
      </c>
      <c r="E218" s="2" t="s">
        <v>110</v>
      </c>
      <c r="F218" s="3" t="s">
        <v>2177</v>
      </c>
      <c r="G218" s="6">
        <v>2541</v>
      </c>
      <c r="H218" s="6">
        <f t="shared" si="4"/>
        <v>387.61016949152508</v>
      </c>
      <c r="I218" s="3" t="s">
        <v>18</v>
      </c>
      <c r="J218" s="88"/>
      <c r="R218" s="87"/>
    </row>
    <row r="219" spans="2:18" hidden="1" x14ac:dyDescent="0.25">
      <c r="B219" s="3" t="s">
        <v>3288</v>
      </c>
      <c r="C219" s="3" t="s">
        <v>96</v>
      </c>
      <c r="D219" s="3" t="s">
        <v>3335</v>
      </c>
      <c r="E219" s="2" t="s">
        <v>110</v>
      </c>
      <c r="F219" s="3" t="s">
        <v>2177</v>
      </c>
      <c r="G219" s="6">
        <v>1701</v>
      </c>
      <c r="H219" s="6">
        <f t="shared" si="4"/>
        <v>259.47457627118638</v>
      </c>
      <c r="I219" s="3" t="s">
        <v>18</v>
      </c>
      <c r="J219" s="88"/>
      <c r="R219" s="87"/>
    </row>
    <row r="220" spans="2:18" hidden="1" x14ac:dyDescent="0.25">
      <c r="B220" s="3" t="s">
        <v>3288</v>
      </c>
      <c r="C220" s="3" t="s">
        <v>96</v>
      </c>
      <c r="D220" s="3" t="s">
        <v>3336</v>
      </c>
      <c r="E220" s="2" t="s">
        <v>110</v>
      </c>
      <c r="F220" s="3" t="s">
        <v>2177</v>
      </c>
      <c r="G220" s="6">
        <v>1743</v>
      </c>
      <c r="H220" s="6">
        <f t="shared" si="4"/>
        <v>265.88135593220341</v>
      </c>
      <c r="I220" s="3" t="s">
        <v>18</v>
      </c>
      <c r="J220" s="88"/>
      <c r="R220" s="87"/>
    </row>
    <row r="221" spans="2:18" hidden="1" x14ac:dyDescent="0.25">
      <c r="B221" s="3" t="s">
        <v>3288</v>
      </c>
      <c r="C221" s="3" t="s">
        <v>96</v>
      </c>
      <c r="D221" s="3" t="s">
        <v>3337</v>
      </c>
      <c r="E221" s="2" t="s">
        <v>110</v>
      </c>
      <c r="F221" s="3" t="s">
        <v>2177</v>
      </c>
      <c r="G221" s="6">
        <v>1764</v>
      </c>
      <c r="H221" s="6">
        <f t="shared" si="4"/>
        <v>269.08474576271169</v>
      </c>
      <c r="I221" s="3" t="s">
        <v>18</v>
      </c>
      <c r="J221" s="88"/>
      <c r="P221"/>
      <c r="R221" s="87"/>
    </row>
    <row r="222" spans="2:18" hidden="1" x14ac:dyDescent="0.25">
      <c r="B222" s="3" t="s">
        <v>3289</v>
      </c>
      <c r="C222" s="3" t="s">
        <v>96</v>
      </c>
      <c r="D222" s="3" t="s">
        <v>3338</v>
      </c>
      <c r="E222" s="2" t="s">
        <v>110</v>
      </c>
      <c r="F222" s="3" t="s">
        <v>2177</v>
      </c>
      <c r="G222" s="6">
        <v>1058.75</v>
      </c>
      <c r="H222" s="6">
        <f t="shared" si="4"/>
        <v>161.50423728813553</v>
      </c>
      <c r="I222" s="3" t="s">
        <v>18</v>
      </c>
      <c r="J222" s="96"/>
      <c r="P222"/>
      <c r="R222" s="87"/>
    </row>
    <row r="223" spans="2:18" hidden="1" x14ac:dyDescent="0.25">
      <c r="B223" s="3" t="s">
        <v>3289</v>
      </c>
      <c r="C223" s="3" t="s">
        <v>96</v>
      </c>
      <c r="D223" s="3" t="s">
        <v>3339</v>
      </c>
      <c r="E223" s="2" t="s">
        <v>110</v>
      </c>
      <c r="F223" s="3" t="s">
        <v>2177</v>
      </c>
      <c r="G223" s="6">
        <v>1069.25</v>
      </c>
      <c r="H223" s="6">
        <f t="shared" si="4"/>
        <v>163.10593220338978</v>
      </c>
      <c r="I223" s="3" t="s">
        <v>18</v>
      </c>
      <c r="R223" s="87"/>
    </row>
    <row r="224" spans="2:18" hidden="1" x14ac:dyDescent="0.25">
      <c r="B224" s="3" t="s">
        <v>3289</v>
      </c>
      <c r="C224" s="3" t="s">
        <v>96</v>
      </c>
      <c r="D224" s="3" t="s">
        <v>3340</v>
      </c>
      <c r="E224" s="2" t="s">
        <v>110</v>
      </c>
      <c r="F224" s="3" t="s">
        <v>2177</v>
      </c>
      <c r="G224" s="6">
        <v>1050</v>
      </c>
      <c r="H224" s="6">
        <f t="shared" si="4"/>
        <v>160.16949152542372</v>
      </c>
      <c r="I224" s="3" t="s">
        <v>18</v>
      </c>
      <c r="O224"/>
      <c r="P224"/>
      <c r="R224" s="87"/>
    </row>
    <row r="225" spans="2:18" hidden="1" x14ac:dyDescent="0.25">
      <c r="B225" s="3" t="s">
        <v>3289</v>
      </c>
      <c r="C225" s="3" t="s">
        <v>96</v>
      </c>
      <c r="D225" s="3" t="s">
        <v>3341</v>
      </c>
      <c r="E225" s="2" t="s">
        <v>110</v>
      </c>
      <c r="F225" s="3" t="s">
        <v>2177</v>
      </c>
      <c r="G225" s="6">
        <v>2773.75</v>
      </c>
      <c r="H225" s="6">
        <f t="shared" si="4"/>
        <v>423.11440677966084</v>
      </c>
      <c r="I225" s="3" t="s">
        <v>18</v>
      </c>
      <c r="J225" s="88"/>
      <c r="P225"/>
      <c r="R225" s="87"/>
    </row>
    <row r="226" spans="2:18" hidden="1" x14ac:dyDescent="0.25">
      <c r="B226" s="3" t="s">
        <v>3289</v>
      </c>
      <c r="C226" s="3" t="s">
        <v>96</v>
      </c>
      <c r="D226" s="3" t="s">
        <v>3342</v>
      </c>
      <c r="E226" s="2" t="s">
        <v>110</v>
      </c>
      <c r="F226" s="3" t="s">
        <v>2177</v>
      </c>
      <c r="G226" s="6">
        <v>1454.25</v>
      </c>
      <c r="H226" s="6">
        <f t="shared" si="4"/>
        <v>221.83474576271169</v>
      </c>
      <c r="I226" s="3" t="s">
        <v>18</v>
      </c>
      <c r="P226"/>
      <c r="R226" s="87"/>
    </row>
    <row r="227" spans="2:18" hidden="1" x14ac:dyDescent="0.25">
      <c r="B227" s="3" t="s">
        <v>3289</v>
      </c>
      <c r="C227" s="3" t="s">
        <v>96</v>
      </c>
      <c r="D227" s="3" t="s">
        <v>3343</v>
      </c>
      <c r="E227" s="2" t="s">
        <v>110</v>
      </c>
      <c r="F227" s="3" t="s">
        <v>2177</v>
      </c>
      <c r="G227" s="6">
        <v>1858.5</v>
      </c>
      <c r="H227" s="6">
        <f t="shared" si="4"/>
        <v>283.5</v>
      </c>
      <c r="I227" s="3" t="s">
        <v>18</v>
      </c>
      <c r="P227"/>
      <c r="R227" s="87"/>
    </row>
    <row r="228" spans="2:18" hidden="1" x14ac:dyDescent="0.25">
      <c r="B228" s="3" t="s">
        <v>3289</v>
      </c>
      <c r="C228" s="3" t="s">
        <v>96</v>
      </c>
      <c r="D228" s="3" t="s">
        <v>3344</v>
      </c>
      <c r="E228" s="2" t="s">
        <v>110</v>
      </c>
      <c r="F228" s="3" t="s">
        <v>2177</v>
      </c>
      <c r="G228" s="6">
        <v>1884.75</v>
      </c>
      <c r="H228" s="6">
        <f t="shared" si="4"/>
        <v>287.50423728813553</v>
      </c>
      <c r="I228" s="3" t="s">
        <v>18</v>
      </c>
      <c r="P228"/>
      <c r="R228" s="87"/>
    </row>
    <row r="229" spans="2:18" hidden="1" x14ac:dyDescent="0.25">
      <c r="B229" s="3" t="s">
        <v>1431</v>
      </c>
      <c r="C229" s="3" t="s">
        <v>41</v>
      </c>
      <c r="D229" s="3" t="s">
        <v>1321</v>
      </c>
      <c r="E229" s="3" t="s">
        <v>106</v>
      </c>
      <c r="F229" s="3" t="s">
        <v>2177</v>
      </c>
      <c r="G229" s="6">
        <v>2950.5</v>
      </c>
      <c r="H229" s="6">
        <f t="shared" si="4"/>
        <v>450.07627118644041</v>
      </c>
      <c r="I229" s="3" t="s">
        <v>113</v>
      </c>
      <c r="P229"/>
      <c r="R229" s="87"/>
    </row>
    <row r="230" spans="2:18" hidden="1" x14ac:dyDescent="0.25">
      <c r="B230" s="3" t="s">
        <v>2902</v>
      </c>
      <c r="C230" s="3" t="s">
        <v>40</v>
      </c>
      <c r="D230" s="3" t="s">
        <v>2834</v>
      </c>
      <c r="E230" s="3" t="s">
        <v>106</v>
      </c>
      <c r="F230" s="3" t="s">
        <v>2177</v>
      </c>
      <c r="G230" s="6">
        <v>25172</v>
      </c>
      <c r="H230" s="6">
        <f t="shared" si="4"/>
        <v>3839.796610169491</v>
      </c>
      <c r="I230" s="3" t="s">
        <v>113</v>
      </c>
      <c r="R230" s="87"/>
    </row>
    <row r="231" spans="2:18" hidden="1" x14ac:dyDescent="0.25">
      <c r="B231" s="3" t="s">
        <v>3094</v>
      </c>
      <c r="C231" s="3" t="s">
        <v>94</v>
      </c>
      <c r="D231" s="3" t="s">
        <v>3011</v>
      </c>
      <c r="E231" s="3" t="s">
        <v>106</v>
      </c>
      <c r="F231" s="3" t="s">
        <v>2177</v>
      </c>
      <c r="G231" s="86">
        <v>7224</v>
      </c>
      <c r="H231" s="6">
        <f t="shared" si="4"/>
        <v>1101.9661016949149</v>
      </c>
      <c r="I231" s="3" t="s">
        <v>18</v>
      </c>
      <c r="O231"/>
      <c r="P231"/>
      <c r="R231" s="87"/>
    </row>
    <row r="232" spans="2:18" ht="30" hidden="1" x14ac:dyDescent="0.25">
      <c r="B232" s="3" t="s">
        <v>1972</v>
      </c>
      <c r="C232" s="3" t="s">
        <v>91</v>
      </c>
      <c r="D232" s="250" t="s">
        <v>1614</v>
      </c>
      <c r="E232" s="3" t="s">
        <v>701</v>
      </c>
      <c r="F232" s="3" t="s">
        <v>2177</v>
      </c>
      <c r="G232" s="6">
        <v>8275</v>
      </c>
      <c r="H232" s="6">
        <f t="shared" si="4"/>
        <v>1262.2881355932195</v>
      </c>
      <c r="I232" s="3" t="s">
        <v>18</v>
      </c>
      <c r="R232" s="87"/>
    </row>
    <row r="233" spans="2:18" hidden="1" x14ac:dyDescent="0.25">
      <c r="B233" s="3" t="s">
        <v>779</v>
      </c>
      <c r="C233" s="3" t="s">
        <v>30</v>
      </c>
      <c r="D233" s="3" t="s">
        <v>3348</v>
      </c>
      <c r="E233" s="3" t="s">
        <v>87</v>
      </c>
      <c r="F233" s="3" t="s">
        <v>2177</v>
      </c>
      <c r="G233" s="6">
        <v>48392.41</v>
      </c>
      <c r="H233" s="6">
        <f t="shared" si="4"/>
        <v>7381.8930508474587</v>
      </c>
      <c r="I233" s="3" t="s">
        <v>113</v>
      </c>
      <c r="R233" s="87"/>
    </row>
    <row r="234" spans="2:18" hidden="1" x14ac:dyDescent="0.25">
      <c r="B234" s="3" t="s">
        <v>2051</v>
      </c>
      <c r="C234" s="3" t="s">
        <v>52</v>
      </c>
      <c r="D234" s="3" t="s">
        <v>2053</v>
      </c>
      <c r="E234" s="3" t="s">
        <v>75</v>
      </c>
      <c r="F234" s="3" t="s">
        <v>3193</v>
      </c>
      <c r="G234" s="6">
        <v>500000</v>
      </c>
      <c r="H234" s="6">
        <f t="shared" si="4"/>
        <v>76271.186440677964</v>
      </c>
      <c r="I234" s="3" t="s">
        <v>113</v>
      </c>
      <c r="R234" s="87"/>
    </row>
    <row r="235" spans="2:18" hidden="1" x14ac:dyDescent="0.25">
      <c r="B235" s="3" t="s">
        <v>2180</v>
      </c>
      <c r="C235" s="3" t="s">
        <v>56</v>
      </c>
      <c r="D235" s="3" t="s">
        <v>2178</v>
      </c>
      <c r="E235" s="3" t="s">
        <v>105</v>
      </c>
      <c r="F235" s="3" t="s">
        <v>3193</v>
      </c>
      <c r="G235" s="6">
        <v>1300000</v>
      </c>
      <c r="H235" s="6">
        <f t="shared" si="4"/>
        <v>198305.08474576264</v>
      </c>
      <c r="I235" s="3" t="s">
        <v>113</v>
      </c>
      <c r="J235" s="70" t="s">
        <v>3360</v>
      </c>
      <c r="O235"/>
      <c r="P235"/>
      <c r="R235" s="87"/>
    </row>
    <row r="236" spans="2:18" hidden="1" x14ac:dyDescent="0.25">
      <c r="B236" s="3" t="s">
        <v>3358</v>
      </c>
      <c r="C236" s="3" t="s">
        <v>96</v>
      </c>
      <c r="D236" s="3" t="s">
        <v>3344</v>
      </c>
      <c r="E236" s="3" t="s">
        <v>71</v>
      </c>
      <c r="F236" s="3" t="s">
        <v>3193</v>
      </c>
      <c r="G236" s="6">
        <v>50000</v>
      </c>
      <c r="H236" s="6">
        <f t="shared" si="4"/>
        <v>7627.118644067792</v>
      </c>
      <c r="I236" s="3" t="s">
        <v>18</v>
      </c>
      <c r="J236" s="70" t="s">
        <v>3321</v>
      </c>
      <c r="N236">
        <v>0</v>
      </c>
      <c r="O236"/>
      <c r="P236" t="s">
        <v>2074</v>
      </c>
      <c r="R236" s="87"/>
    </row>
    <row r="237" spans="2:18" hidden="1" x14ac:dyDescent="0.25">
      <c r="B237" s="3" t="s">
        <v>3358</v>
      </c>
      <c r="C237" s="3" t="s">
        <v>96</v>
      </c>
      <c r="D237" s="3" t="s">
        <v>3341</v>
      </c>
      <c r="E237" s="3" t="s">
        <v>71</v>
      </c>
      <c r="F237" s="3" t="s">
        <v>3193</v>
      </c>
      <c r="G237" s="6">
        <v>60000</v>
      </c>
      <c r="H237" s="6">
        <f t="shared" si="4"/>
        <v>9152.5423728813548</v>
      </c>
      <c r="I237" s="3" t="s">
        <v>18</v>
      </c>
      <c r="J237" s="70" t="s">
        <v>3318</v>
      </c>
      <c r="N237">
        <v>0</v>
      </c>
      <c r="O237"/>
      <c r="P237" t="s">
        <v>2074</v>
      </c>
      <c r="R237" s="87"/>
    </row>
    <row r="238" spans="2:18" hidden="1" x14ac:dyDescent="0.25">
      <c r="B238" s="3" t="s">
        <v>3359</v>
      </c>
      <c r="C238" s="3" t="s">
        <v>96</v>
      </c>
      <c r="D238" s="231" t="s">
        <v>3331</v>
      </c>
      <c r="E238" s="3" t="s">
        <v>71</v>
      </c>
      <c r="F238" s="3" t="s">
        <v>3193</v>
      </c>
      <c r="G238" s="6">
        <v>20000</v>
      </c>
      <c r="H238" s="6">
        <f t="shared" si="4"/>
        <v>3050.8474576271183</v>
      </c>
      <c r="I238" s="3" t="s">
        <v>18</v>
      </c>
      <c r="J238" t="s">
        <v>3315</v>
      </c>
      <c r="N238">
        <v>28</v>
      </c>
      <c r="O238"/>
      <c r="P238" t="s">
        <v>2074</v>
      </c>
      <c r="R238" s="87"/>
    </row>
    <row r="239" spans="2:18" hidden="1" x14ac:dyDescent="0.25">
      <c r="B239" s="3" t="s">
        <v>3359</v>
      </c>
      <c r="C239" s="3" t="s">
        <v>96</v>
      </c>
      <c r="D239" s="232" t="s">
        <v>3336</v>
      </c>
      <c r="E239" s="3" t="s">
        <v>71</v>
      </c>
      <c r="F239" s="3" t="s">
        <v>3193</v>
      </c>
      <c r="G239" s="6">
        <v>80000</v>
      </c>
      <c r="H239" s="6">
        <f t="shared" si="4"/>
        <v>12203.389830508473</v>
      </c>
      <c r="I239" s="3" t="s">
        <v>18</v>
      </c>
      <c r="J239" t="s">
        <v>3310</v>
      </c>
      <c r="N239">
        <v>0</v>
      </c>
      <c r="O239"/>
      <c r="P239" t="s">
        <v>2074</v>
      </c>
      <c r="R239" s="87"/>
    </row>
    <row r="240" spans="2:18" hidden="1" x14ac:dyDescent="0.25">
      <c r="B240" s="3" t="s">
        <v>3359</v>
      </c>
      <c r="C240" s="3" t="s">
        <v>96</v>
      </c>
      <c r="D240" s="3" t="s">
        <v>3329</v>
      </c>
      <c r="E240" s="3" t="s">
        <v>71</v>
      </c>
      <c r="F240" s="3" t="s">
        <v>3193</v>
      </c>
      <c r="G240" s="6">
        <v>120000</v>
      </c>
      <c r="H240" s="6">
        <f t="shared" si="4"/>
        <v>18305.08474576271</v>
      </c>
      <c r="I240" s="3" t="s">
        <v>18</v>
      </c>
      <c r="J240" t="s">
        <v>3306</v>
      </c>
      <c r="N240">
        <v>0</v>
      </c>
      <c r="O240" s="19"/>
      <c r="P240" t="s">
        <v>2074</v>
      </c>
      <c r="R240" s="87"/>
    </row>
    <row r="241" spans="2:18" hidden="1" x14ac:dyDescent="0.25">
      <c r="B241" s="3" t="s">
        <v>3359</v>
      </c>
      <c r="C241" s="3" t="s">
        <v>96</v>
      </c>
      <c r="D241" s="3" t="s">
        <v>3325</v>
      </c>
      <c r="E241" s="3" t="s">
        <v>71</v>
      </c>
      <c r="F241" s="3" t="s">
        <v>3193</v>
      </c>
      <c r="G241" s="6">
        <v>70000</v>
      </c>
      <c r="H241" s="6">
        <f t="shared" si="4"/>
        <v>10677.96610169491</v>
      </c>
      <c r="I241" s="3" t="s">
        <v>18</v>
      </c>
      <c r="J241" t="s">
        <v>3302</v>
      </c>
      <c r="N241">
        <v>39</v>
      </c>
      <c r="O241"/>
      <c r="P241" t="s">
        <v>2074</v>
      </c>
      <c r="R241" s="87"/>
    </row>
    <row r="242" spans="2:18" hidden="1" x14ac:dyDescent="0.25">
      <c r="B242" s="3" t="s">
        <v>2180</v>
      </c>
      <c r="C242" s="3" t="s">
        <v>56</v>
      </c>
      <c r="D242" s="3" t="s">
        <v>2178</v>
      </c>
      <c r="E242" s="3" t="s">
        <v>105</v>
      </c>
      <c r="F242" s="3" t="s">
        <v>3193</v>
      </c>
      <c r="G242" s="6">
        <v>700000</v>
      </c>
      <c r="H242" s="6">
        <f t="shared" si="4"/>
        <v>106779.6610169491</v>
      </c>
      <c r="I242" s="3" t="s">
        <v>113</v>
      </c>
      <c r="J242" s="70" t="s">
        <v>3360</v>
      </c>
      <c r="O242"/>
      <c r="P242"/>
      <c r="R242" s="87"/>
    </row>
    <row r="243" spans="2:18" ht="30" hidden="1" x14ac:dyDescent="0.25">
      <c r="B243" s="3" t="s">
        <v>1546</v>
      </c>
      <c r="C243" s="3" t="s">
        <v>91</v>
      </c>
      <c r="D243" s="250" t="s">
        <v>529</v>
      </c>
      <c r="E243" s="3" t="s">
        <v>105</v>
      </c>
      <c r="F243" s="3" t="s">
        <v>3193</v>
      </c>
      <c r="G243" s="6">
        <v>5302</v>
      </c>
      <c r="H243" s="6">
        <f t="shared" si="4"/>
        <v>808.77966101694892</v>
      </c>
      <c r="I243" s="3" t="s">
        <v>18</v>
      </c>
      <c r="O243"/>
      <c r="P243"/>
      <c r="R243" s="87"/>
    </row>
    <row r="244" spans="2:18" hidden="1" x14ac:dyDescent="0.25">
      <c r="B244" s="3" t="s">
        <v>1238</v>
      </c>
      <c r="C244" s="3" t="s">
        <v>17</v>
      </c>
      <c r="D244" s="3" t="s">
        <v>1312</v>
      </c>
      <c r="E244" s="3" t="s">
        <v>71</v>
      </c>
      <c r="F244" s="3" t="s">
        <v>3193</v>
      </c>
      <c r="G244" s="86">
        <v>250000</v>
      </c>
      <c r="H244" s="6">
        <f t="shared" si="4"/>
        <v>38135.593220338982</v>
      </c>
      <c r="I244" s="3" t="s">
        <v>113</v>
      </c>
      <c r="O244"/>
      <c r="P244"/>
      <c r="R244" s="87"/>
    </row>
    <row r="245" spans="2:18" hidden="1" x14ac:dyDescent="0.25">
      <c r="B245" s="3" t="s">
        <v>1236</v>
      </c>
      <c r="C245" s="3" t="s">
        <v>17</v>
      </c>
      <c r="D245" s="3" t="s">
        <v>1310</v>
      </c>
      <c r="E245" s="3" t="s">
        <v>71</v>
      </c>
      <c r="F245" s="3" t="s">
        <v>3193</v>
      </c>
      <c r="G245" s="86">
        <v>250000</v>
      </c>
      <c r="H245" s="6">
        <f t="shared" si="4"/>
        <v>38135.593220338982</v>
      </c>
      <c r="I245" s="3" t="s">
        <v>113</v>
      </c>
      <c r="O245"/>
      <c r="P245"/>
      <c r="R245" s="87"/>
    </row>
    <row r="246" spans="2:18" hidden="1" x14ac:dyDescent="0.25">
      <c r="B246" s="3" t="s">
        <v>1221</v>
      </c>
      <c r="C246" s="3" t="s">
        <v>38</v>
      </c>
      <c r="D246" s="3" t="s">
        <v>1295</v>
      </c>
      <c r="E246" s="3" t="s">
        <v>71</v>
      </c>
      <c r="F246" s="3" t="s">
        <v>3193</v>
      </c>
      <c r="G246" s="86">
        <v>50000</v>
      </c>
      <c r="H246" s="6">
        <f t="shared" si="4"/>
        <v>7627.118644067792</v>
      </c>
      <c r="I246" s="3" t="s">
        <v>113</v>
      </c>
      <c r="O246"/>
      <c r="P246"/>
      <c r="R246" s="87"/>
    </row>
    <row r="247" spans="2:18" hidden="1" x14ac:dyDescent="0.25">
      <c r="B247" s="3" t="s">
        <v>1193</v>
      </c>
      <c r="C247" s="3" t="s">
        <v>17</v>
      </c>
      <c r="D247" s="3" t="s">
        <v>1163</v>
      </c>
      <c r="E247" s="3" t="s">
        <v>71</v>
      </c>
      <c r="F247" s="3" t="s">
        <v>3193</v>
      </c>
      <c r="G247" s="86">
        <v>250000</v>
      </c>
      <c r="H247" s="6">
        <f t="shared" si="4"/>
        <v>38135.593220338982</v>
      </c>
      <c r="I247" s="3" t="s">
        <v>113</v>
      </c>
      <c r="O247"/>
      <c r="P247"/>
      <c r="R247" s="87"/>
    </row>
    <row r="248" spans="2:18" hidden="1" x14ac:dyDescent="0.25">
      <c r="B248" s="3" t="s">
        <v>3346</v>
      </c>
      <c r="C248" s="3" t="s">
        <v>52</v>
      </c>
      <c r="D248" s="3" t="s">
        <v>3347</v>
      </c>
      <c r="E248" s="3" t="s">
        <v>3345</v>
      </c>
      <c r="F248" s="3" t="s">
        <v>3193</v>
      </c>
      <c r="G248" s="6">
        <v>58351</v>
      </c>
      <c r="H248" s="6">
        <f t="shared" si="4"/>
        <v>8901</v>
      </c>
      <c r="I248" s="3" t="s">
        <v>113</v>
      </c>
      <c r="J248" s="5"/>
      <c r="N248" s="79"/>
      <c r="O248"/>
      <c r="P248"/>
      <c r="R248" s="87"/>
    </row>
    <row r="249" spans="2:18" hidden="1" x14ac:dyDescent="0.25">
      <c r="B249" s="3" t="s">
        <v>2524</v>
      </c>
      <c r="C249" s="3" t="s">
        <v>93</v>
      </c>
      <c r="D249" s="3" t="s">
        <v>2466</v>
      </c>
      <c r="E249" s="3" t="s">
        <v>117</v>
      </c>
      <c r="F249" s="3" t="s">
        <v>3193</v>
      </c>
      <c r="G249" s="6">
        <v>12117.875</v>
      </c>
      <c r="H249" s="6">
        <f t="shared" si="4"/>
        <v>1848.4894067796613</v>
      </c>
      <c r="I249" s="3" t="s">
        <v>18</v>
      </c>
      <c r="O249"/>
      <c r="P249"/>
      <c r="R249" s="87"/>
    </row>
    <row r="250" spans="2:18" hidden="1" x14ac:dyDescent="0.25">
      <c r="B250" s="3" t="s">
        <v>2569</v>
      </c>
      <c r="C250" s="3" t="s">
        <v>88</v>
      </c>
      <c r="D250" s="3" t="s">
        <v>2510</v>
      </c>
      <c r="E250" s="3" t="s">
        <v>117</v>
      </c>
      <c r="F250" s="3" t="s">
        <v>3193</v>
      </c>
      <c r="G250" s="6">
        <v>917</v>
      </c>
      <c r="H250" s="6">
        <f t="shared" si="4"/>
        <v>139.88135593220341</v>
      </c>
      <c r="I250" s="3" t="s">
        <v>18</v>
      </c>
      <c r="O250"/>
      <c r="P250"/>
      <c r="R250" s="87"/>
    </row>
    <row r="251" spans="2:18" hidden="1" x14ac:dyDescent="0.25">
      <c r="B251" s="3" t="s">
        <v>2571</v>
      </c>
      <c r="C251" s="3" t="s">
        <v>92</v>
      </c>
      <c r="D251" s="3" t="s">
        <v>2512</v>
      </c>
      <c r="E251" s="3" t="s">
        <v>117</v>
      </c>
      <c r="F251" s="3" t="s">
        <v>3193</v>
      </c>
      <c r="G251" s="6">
        <v>1135.75</v>
      </c>
      <c r="H251" s="6">
        <f t="shared" si="4"/>
        <v>173.25</v>
      </c>
      <c r="I251" s="3" t="s">
        <v>18</v>
      </c>
      <c r="O251"/>
      <c r="P251"/>
      <c r="R251" s="87"/>
    </row>
    <row r="252" spans="2:18" hidden="1" x14ac:dyDescent="0.25">
      <c r="B252" s="3" t="s">
        <v>2382</v>
      </c>
      <c r="C252" s="3" t="s">
        <v>56</v>
      </c>
      <c r="D252" s="3" t="s">
        <v>2357</v>
      </c>
      <c r="E252" s="3" t="s">
        <v>117</v>
      </c>
      <c r="F252" s="3" t="s">
        <v>3193</v>
      </c>
      <c r="G252" s="6">
        <v>57006.25</v>
      </c>
      <c r="H252" s="6">
        <f t="shared" si="4"/>
        <v>8695.868644067792</v>
      </c>
      <c r="I252" s="3" t="s">
        <v>113</v>
      </c>
      <c r="O252"/>
      <c r="P252"/>
      <c r="R252" s="87"/>
    </row>
    <row r="253" spans="2:18" hidden="1" x14ac:dyDescent="0.25">
      <c r="B253" s="3" t="s">
        <v>2386</v>
      </c>
      <c r="C253" s="3" t="s">
        <v>29</v>
      </c>
      <c r="D253" s="3" t="s">
        <v>2360</v>
      </c>
      <c r="E253" s="3" t="s">
        <v>117</v>
      </c>
      <c r="F253" s="3" t="s">
        <v>3193</v>
      </c>
      <c r="G253" s="6">
        <v>49624.75</v>
      </c>
      <c r="H253" s="6">
        <f t="shared" si="4"/>
        <v>7569.8771186440645</v>
      </c>
      <c r="I253" s="3" t="s">
        <v>113</v>
      </c>
      <c r="J253" s="79"/>
      <c r="O253"/>
      <c r="P253"/>
      <c r="R253" s="87"/>
    </row>
    <row r="254" spans="2:18" hidden="1" x14ac:dyDescent="0.25">
      <c r="B254" s="3" t="s">
        <v>2404</v>
      </c>
      <c r="C254" s="3" t="s">
        <v>29</v>
      </c>
      <c r="D254" s="3" t="s">
        <v>2368</v>
      </c>
      <c r="E254" s="3" t="s">
        <v>117</v>
      </c>
      <c r="F254" s="3" t="s">
        <v>3193</v>
      </c>
      <c r="G254" s="6">
        <v>787.5</v>
      </c>
      <c r="H254" s="6">
        <f t="shared" si="4"/>
        <v>120.12711864406776</v>
      </c>
      <c r="I254" s="3" t="s">
        <v>113</v>
      </c>
      <c r="O254"/>
      <c r="P254"/>
      <c r="R254" s="87"/>
    </row>
    <row r="255" spans="2:18" hidden="1" x14ac:dyDescent="0.25">
      <c r="B255" s="3" t="s">
        <v>2421</v>
      </c>
      <c r="C255" s="3" t="s">
        <v>29</v>
      </c>
      <c r="D255" s="3" t="s">
        <v>2376</v>
      </c>
      <c r="E255" s="3" t="s">
        <v>117</v>
      </c>
      <c r="F255" s="3" t="s">
        <v>3193</v>
      </c>
      <c r="G255" s="6">
        <v>1435</v>
      </c>
      <c r="H255" s="6">
        <f t="shared" si="4"/>
        <v>218.89830508474574</v>
      </c>
      <c r="I255" s="3" t="s">
        <v>113</v>
      </c>
      <c r="O255"/>
      <c r="P255"/>
      <c r="R255" s="87"/>
    </row>
    <row r="256" spans="2:18" hidden="1" x14ac:dyDescent="0.25">
      <c r="B256" s="3" t="s">
        <v>2425</v>
      </c>
      <c r="C256" s="3" t="s">
        <v>57</v>
      </c>
      <c r="D256" s="3" t="s">
        <v>2378</v>
      </c>
      <c r="E256" s="3" t="s">
        <v>117</v>
      </c>
      <c r="F256" s="3" t="s">
        <v>3193</v>
      </c>
      <c r="G256" s="6">
        <v>13130.25</v>
      </c>
      <c r="H256" s="6">
        <f t="shared" si="4"/>
        <v>2002.9194915254229</v>
      </c>
      <c r="I256" s="3" t="s">
        <v>113</v>
      </c>
      <c r="O256"/>
      <c r="P256"/>
      <c r="R256" s="87"/>
    </row>
    <row r="257" spans="2:18" hidden="1" x14ac:dyDescent="0.25">
      <c r="B257" s="3" t="s">
        <v>2411</v>
      </c>
      <c r="C257" s="3" t="s">
        <v>57</v>
      </c>
      <c r="D257" s="3" t="s">
        <v>2372</v>
      </c>
      <c r="E257" s="3" t="s">
        <v>117</v>
      </c>
      <c r="F257" s="3" t="s">
        <v>3193</v>
      </c>
      <c r="G257" s="6">
        <v>1786.75</v>
      </c>
      <c r="H257" s="6">
        <f t="shared" si="4"/>
        <v>272.55508474576254</v>
      </c>
      <c r="I257" s="3" t="s">
        <v>113</v>
      </c>
      <c r="O257"/>
      <c r="P257"/>
      <c r="R257" s="87"/>
    </row>
    <row r="258" spans="2:18" hidden="1" x14ac:dyDescent="0.25">
      <c r="B258" s="3" t="s">
        <v>2389</v>
      </c>
      <c r="C258" s="3" t="s">
        <v>30</v>
      </c>
      <c r="D258" s="3" t="s">
        <v>2362</v>
      </c>
      <c r="E258" s="3" t="s">
        <v>117</v>
      </c>
      <c r="F258" s="3" t="s">
        <v>3193</v>
      </c>
      <c r="G258" s="6">
        <v>3603.25</v>
      </c>
      <c r="H258" s="6">
        <f t="shared" si="4"/>
        <v>549.64830508474552</v>
      </c>
      <c r="I258" s="3" t="s">
        <v>113</v>
      </c>
      <c r="O258"/>
      <c r="P258"/>
      <c r="R258" s="87"/>
    </row>
    <row r="259" spans="2:18" hidden="1" x14ac:dyDescent="0.25">
      <c r="B259" s="3" t="s">
        <v>2522</v>
      </c>
      <c r="C259" s="3" t="s">
        <v>92</v>
      </c>
      <c r="D259" s="3" t="s">
        <v>2464</v>
      </c>
      <c r="E259" s="3" t="s">
        <v>117</v>
      </c>
      <c r="F259" s="3" t="s">
        <v>3193</v>
      </c>
      <c r="G259" s="6">
        <v>2887.5</v>
      </c>
      <c r="H259" s="6">
        <f t="shared" si="4"/>
        <v>440.46610169491532</v>
      </c>
      <c r="I259" s="3" t="s">
        <v>18</v>
      </c>
      <c r="O259"/>
      <c r="P259"/>
      <c r="R259" s="87"/>
    </row>
    <row r="260" spans="2:18" hidden="1" x14ac:dyDescent="0.25">
      <c r="B260" s="3" t="s">
        <v>2542</v>
      </c>
      <c r="C260" s="3" t="s">
        <v>92</v>
      </c>
      <c r="D260" s="3" t="s">
        <v>2484</v>
      </c>
      <c r="E260" s="3" t="s">
        <v>117</v>
      </c>
      <c r="F260" s="3" t="s">
        <v>3193</v>
      </c>
      <c r="G260" s="6">
        <v>5265.75</v>
      </c>
      <c r="H260" s="6">
        <f t="shared" si="4"/>
        <v>803.25</v>
      </c>
      <c r="I260" s="3" t="s">
        <v>18</v>
      </c>
      <c r="O260"/>
      <c r="P260"/>
      <c r="R260" s="87"/>
    </row>
    <row r="261" spans="2:18" hidden="1" x14ac:dyDescent="0.25">
      <c r="B261" s="3" t="s">
        <v>752</v>
      </c>
      <c r="C261" s="3" t="s">
        <v>92</v>
      </c>
      <c r="D261" s="3" t="s">
        <v>750</v>
      </c>
      <c r="E261" s="3" t="s">
        <v>117</v>
      </c>
      <c r="F261" s="3" t="s">
        <v>3193</v>
      </c>
      <c r="G261" s="6">
        <v>65</v>
      </c>
      <c r="H261" s="6">
        <f t="shared" si="4"/>
        <v>9.9152542372881314</v>
      </c>
      <c r="I261" s="3" t="s">
        <v>18</v>
      </c>
      <c r="O261"/>
      <c r="P261"/>
      <c r="R261" s="87"/>
    </row>
    <row r="262" spans="2:18" hidden="1" x14ac:dyDescent="0.25">
      <c r="B262" s="3" t="s">
        <v>1489</v>
      </c>
      <c r="C262" s="3" t="s">
        <v>40</v>
      </c>
      <c r="D262" s="3" t="s">
        <v>1377</v>
      </c>
      <c r="E262" s="3" t="s">
        <v>90</v>
      </c>
      <c r="F262" s="3" t="s">
        <v>3193</v>
      </c>
      <c r="G262" s="6">
        <v>30000</v>
      </c>
      <c r="H262" s="6">
        <f t="shared" si="4"/>
        <v>4576.2711864406774</v>
      </c>
      <c r="I262" s="3" t="s">
        <v>113</v>
      </c>
      <c r="J262" s="18"/>
      <c r="O262"/>
      <c r="P262"/>
      <c r="R262" s="87"/>
    </row>
    <row r="263" spans="2:18" hidden="1" x14ac:dyDescent="0.25">
      <c r="B263" s="3" t="s">
        <v>972</v>
      </c>
      <c r="C263" s="3" t="s">
        <v>95</v>
      </c>
      <c r="D263" s="3" t="s">
        <v>971</v>
      </c>
      <c r="E263" s="3" t="s">
        <v>90</v>
      </c>
      <c r="F263" s="3" t="s">
        <v>3193</v>
      </c>
      <c r="G263" s="86">
        <v>30000</v>
      </c>
      <c r="H263" s="6">
        <f t="shared" si="4"/>
        <v>4576.2711864406774</v>
      </c>
      <c r="I263" s="3" t="s">
        <v>18</v>
      </c>
      <c r="J263" s="234"/>
      <c r="N263" s="79"/>
      <c r="O263"/>
      <c r="P263"/>
      <c r="R263" s="87"/>
    </row>
    <row r="264" spans="2:18" hidden="1" x14ac:dyDescent="0.25">
      <c r="B264" s="3" t="s">
        <v>1534</v>
      </c>
      <c r="C264" s="3" t="s">
        <v>95</v>
      </c>
      <c r="D264" s="3" t="s">
        <v>2001</v>
      </c>
      <c r="E264" s="3" t="s">
        <v>90</v>
      </c>
      <c r="F264" s="3" t="s">
        <v>1986</v>
      </c>
      <c r="G264" s="86">
        <v>28404.560000000001</v>
      </c>
      <c r="H264" s="6">
        <f t="shared" si="4"/>
        <v>4332.8989830508472</v>
      </c>
      <c r="I264" s="3" t="s">
        <v>18</v>
      </c>
      <c r="J264" s="18"/>
      <c r="R264" s="87"/>
    </row>
    <row r="265" spans="2:18" hidden="1" x14ac:dyDescent="0.25">
      <c r="B265" s="3" t="s">
        <v>1534</v>
      </c>
      <c r="C265" s="3" t="s">
        <v>95</v>
      </c>
      <c r="D265" s="3" t="s">
        <v>1995</v>
      </c>
      <c r="E265" s="3" t="s">
        <v>90</v>
      </c>
      <c r="F265" s="3" t="s">
        <v>1986</v>
      </c>
      <c r="G265" s="86">
        <v>26491.26</v>
      </c>
      <c r="H265" s="6">
        <f t="shared" si="4"/>
        <v>4041.0396610169482</v>
      </c>
      <c r="I265" s="3" t="s">
        <v>18</v>
      </c>
      <c r="J265" s="18"/>
      <c r="R265" s="87"/>
    </row>
    <row r="266" spans="2:18" hidden="1" x14ac:dyDescent="0.25">
      <c r="B266" s="3" t="s">
        <v>1534</v>
      </c>
      <c r="C266" s="3" t="s">
        <v>95</v>
      </c>
      <c r="D266" s="3" t="s">
        <v>1999</v>
      </c>
      <c r="E266" s="3" t="s">
        <v>90</v>
      </c>
      <c r="F266" s="3" t="s">
        <v>1986</v>
      </c>
      <c r="G266" s="86">
        <v>20650.93</v>
      </c>
      <c r="H266" s="6">
        <f t="shared" ref="H266:H329" si="5">G266-G266/1.18</f>
        <v>3150.141864406778</v>
      </c>
      <c r="I266" s="3" t="s">
        <v>18</v>
      </c>
      <c r="J266" s="18"/>
      <c r="R266" s="87"/>
    </row>
    <row r="267" spans="2:18" hidden="1" x14ac:dyDescent="0.25">
      <c r="B267" s="3" t="s">
        <v>972</v>
      </c>
      <c r="C267" s="3" t="s">
        <v>95</v>
      </c>
      <c r="D267" s="3" t="s">
        <v>971</v>
      </c>
      <c r="E267" s="3" t="s">
        <v>90</v>
      </c>
      <c r="F267" s="3" t="s">
        <v>3370</v>
      </c>
      <c r="G267" s="86">
        <v>20000</v>
      </c>
      <c r="H267" s="6">
        <f t="shared" si="5"/>
        <v>3050.8474576271183</v>
      </c>
      <c r="I267" s="3" t="s">
        <v>18</v>
      </c>
      <c r="J267" s="18"/>
      <c r="O267"/>
      <c r="P267"/>
      <c r="R267" s="87"/>
    </row>
    <row r="268" spans="2:18" hidden="1" x14ac:dyDescent="0.25">
      <c r="B268" s="3" t="s">
        <v>1441</v>
      </c>
      <c r="C268" s="3" t="s">
        <v>42</v>
      </c>
      <c r="D268" s="3" t="s">
        <v>1331</v>
      </c>
      <c r="E268" s="3" t="s">
        <v>90</v>
      </c>
      <c r="F268" s="3" t="s">
        <v>1986</v>
      </c>
      <c r="G268" s="6">
        <v>8579.52</v>
      </c>
      <c r="H268" s="6">
        <f t="shared" si="5"/>
        <v>1308.7403389830506</v>
      </c>
      <c r="I268" s="3" t="s">
        <v>113</v>
      </c>
      <c r="J268" s="18"/>
      <c r="O268"/>
      <c r="P268"/>
      <c r="R268" s="87"/>
    </row>
    <row r="269" spans="2:18" hidden="1" x14ac:dyDescent="0.25">
      <c r="B269" s="3" t="s">
        <v>1534</v>
      </c>
      <c r="C269" s="3" t="s">
        <v>95</v>
      </c>
      <c r="D269" s="3" t="s">
        <v>2004</v>
      </c>
      <c r="E269" s="3" t="s">
        <v>90</v>
      </c>
      <c r="F269" s="3" t="s">
        <v>1986</v>
      </c>
      <c r="G269" s="86">
        <v>7711.34</v>
      </c>
      <c r="H269" s="6">
        <f t="shared" si="5"/>
        <v>1176.306101694915</v>
      </c>
      <c r="I269" s="3" t="s">
        <v>18</v>
      </c>
      <c r="J269" s="18"/>
      <c r="O269"/>
      <c r="P269"/>
      <c r="R269" s="87"/>
    </row>
    <row r="270" spans="2:18" hidden="1" x14ac:dyDescent="0.25">
      <c r="B270" s="3" t="s">
        <v>1044</v>
      </c>
      <c r="C270" s="3" t="s">
        <v>95</v>
      </c>
      <c r="D270" s="204" t="s">
        <v>1101</v>
      </c>
      <c r="E270" s="204" t="s">
        <v>90</v>
      </c>
      <c r="F270" s="204" t="s">
        <v>2022</v>
      </c>
      <c r="G270" s="203">
        <v>7491.71</v>
      </c>
      <c r="H270" s="203">
        <f t="shared" si="5"/>
        <v>1142.803220338983</v>
      </c>
      <c r="I270" s="204" t="s">
        <v>18</v>
      </c>
      <c r="J270" s="18"/>
      <c r="O270"/>
      <c r="P270"/>
      <c r="R270" s="87"/>
    </row>
    <row r="271" spans="2:18" hidden="1" x14ac:dyDescent="0.25">
      <c r="B271" s="3" t="s">
        <v>1534</v>
      </c>
      <c r="C271" s="3" t="s">
        <v>95</v>
      </c>
      <c r="D271" s="3" t="s">
        <v>2003</v>
      </c>
      <c r="E271" s="3" t="s">
        <v>90</v>
      </c>
      <c r="F271" s="3" t="s">
        <v>1986</v>
      </c>
      <c r="G271" s="86">
        <v>6357.74</v>
      </c>
      <c r="H271" s="6">
        <f t="shared" si="5"/>
        <v>969.82474576271125</v>
      </c>
      <c r="I271" s="3" t="s">
        <v>18</v>
      </c>
      <c r="J271" s="18"/>
      <c r="O271" s="19"/>
      <c r="P271" s="19"/>
      <c r="R271" s="87"/>
    </row>
    <row r="272" spans="2:18" hidden="1" x14ac:dyDescent="0.25">
      <c r="B272" s="3" t="s">
        <v>1059</v>
      </c>
      <c r="C272" s="3" t="s">
        <v>95</v>
      </c>
      <c r="D272" s="3" t="s">
        <v>1116</v>
      </c>
      <c r="E272" s="3" t="s">
        <v>90</v>
      </c>
      <c r="F272" s="3" t="s">
        <v>1986</v>
      </c>
      <c r="G272" s="6">
        <v>3691.76</v>
      </c>
      <c r="H272" s="6">
        <f t="shared" si="5"/>
        <v>563.14983050847422</v>
      </c>
      <c r="I272" s="3" t="s">
        <v>18</v>
      </c>
      <c r="J272" s="18"/>
      <c r="O272"/>
      <c r="P272"/>
      <c r="R272" s="87"/>
    </row>
    <row r="273" spans="2:18" hidden="1" x14ac:dyDescent="0.25">
      <c r="B273" s="3" t="s">
        <v>1504</v>
      </c>
      <c r="C273" s="3" t="s">
        <v>40</v>
      </c>
      <c r="D273" s="3" t="s">
        <v>1992</v>
      </c>
      <c r="E273" s="3" t="s">
        <v>90</v>
      </c>
      <c r="F273" s="3" t="s">
        <v>1986</v>
      </c>
      <c r="G273" s="6">
        <v>2500.75</v>
      </c>
      <c r="H273" s="6">
        <f t="shared" si="5"/>
        <v>381.47033898305062</v>
      </c>
      <c r="I273" s="3" t="s">
        <v>113</v>
      </c>
      <c r="J273" s="18"/>
      <c r="O273"/>
      <c r="P273"/>
      <c r="R273" s="87"/>
    </row>
    <row r="274" spans="2:18" hidden="1" x14ac:dyDescent="0.25">
      <c r="B274" s="3" t="s">
        <v>2383</v>
      </c>
      <c r="C274" s="3" t="s">
        <v>56</v>
      </c>
      <c r="D274" s="3" t="s">
        <v>2337</v>
      </c>
      <c r="E274" s="3" t="s">
        <v>87</v>
      </c>
      <c r="F274" s="3" t="s">
        <v>3193</v>
      </c>
      <c r="G274" s="6">
        <v>400000</v>
      </c>
      <c r="H274" s="6">
        <f t="shared" si="5"/>
        <v>61016.949152542336</v>
      </c>
      <c r="I274" s="3" t="s">
        <v>113</v>
      </c>
      <c r="O274"/>
      <c r="P274"/>
      <c r="R274" s="87"/>
    </row>
    <row r="275" spans="2:18" hidden="1" x14ac:dyDescent="0.25">
      <c r="B275" s="3" t="s">
        <v>2385</v>
      </c>
      <c r="C275" s="3" t="s">
        <v>56</v>
      </c>
      <c r="D275" s="8" t="s">
        <v>2359</v>
      </c>
      <c r="E275" s="8" t="s">
        <v>87</v>
      </c>
      <c r="F275" s="3" t="s">
        <v>3193</v>
      </c>
      <c r="G275" s="6">
        <v>300000</v>
      </c>
      <c r="H275" s="6">
        <f t="shared" si="5"/>
        <v>45762.711864406767</v>
      </c>
      <c r="I275" s="3" t="s">
        <v>113</v>
      </c>
      <c r="O275"/>
      <c r="P275"/>
      <c r="R275" s="87"/>
    </row>
    <row r="276" spans="2:18" hidden="1" x14ac:dyDescent="0.25">
      <c r="B276" s="3" t="s">
        <v>2381</v>
      </c>
      <c r="C276" s="3" t="s">
        <v>56</v>
      </c>
      <c r="D276" s="3" t="s">
        <v>2336</v>
      </c>
      <c r="E276" s="3" t="s">
        <v>87</v>
      </c>
      <c r="F276" s="3" t="s">
        <v>3193</v>
      </c>
      <c r="G276" s="6">
        <v>50000</v>
      </c>
      <c r="H276" s="6">
        <f t="shared" si="5"/>
        <v>7627.118644067792</v>
      </c>
      <c r="I276" s="3" t="s">
        <v>113</v>
      </c>
      <c r="O276"/>
      <c r="P276"/>
      <c r="R276" s="87"/>
    </row>
    <row r="277" spans="2:18" hidden="1" x14ac:dyDescent="0.25">
      <c r="B277" s="3" t="s">
        <v>760</v>
      </c>
      <c r="C277" s="3" t="s">
        <v>91</v>
      </c>
      <c r="D277" s="3" t="s">
        <v>759</v>
      </c>
      <c r="E277" s="3" t="s">
        <v>87</v>
      </c>
      <c r="F277" s="3" t="s">
        <v>3193</v>
      </c>
      <c r="G277" s="6">
        <v>180000</v>
      </c>
      <c r="H277" s="6">
        <f t="shared" si="5"/>
        <v>27457.627118644072</v>
      </c>
      <c r="I277" s="3" t="s">
        <v>18</v>
      </c>
      <c r="O277"/>
      <c r="P277"/>
      <c r="R277" s="87"/>
    </row>
    <row r="278" spans="2:18" hidden="1" x14ac:dyDescent="0.25">
      <c r="B278" s="3" t="s">
        <v>766</v>
      </c>
      <c r="C278" s="3" t="s">
        <v>91</v>
      </c>
      <c r="D278" s="3" t="s">
        <v>762</v>
      </c>
      <c r="E278" s="3" t="s">
        <v>87</v>
      </c>
      <c r="F278" s="3" t="s">
        <v>3193</v>
      </c>
      <c r="G278" s="6">
        <v>270000</v>
      </c>
      <c r="H278" s="6">
        <f t="shared" si="5"/>
        <v>41186.440677966079</v>
      </c>
      <c r="I278" s="3" t="s">
        <v>18</v>
      </c>
      <c r="O278"/>
      <c r="P278"/>
      <c r="R278" s="87"/>
    </row>
    <row r="279" spans="2:18" hidden="1" x14ac:dyDescent="0.25">
      <c r="B279" s="3" t="s">
        <v>2525</v>
      </c>
      <c r="C279" s="3" t="s">
        <v>93</v>
      </c>
      <c r="D279" s="3" t="s">
        <v>2467</v>
      </c>
      <c r="E279" s="3" t="s">
        <v>87</v>
      </c>
      <c r="F279" s="3" t="s">
        <v>3193</v>
      </c>
      <c r="G279" s="6">
        <v>350000</v>
      </c>
      <c r="H279" s="6">
        <f t="shared" si="5"/>
        <v>53389.830508474552</v>
      </c>
      <c r="I279" s="3" t="s">
        <v>18</v>
      </c>
      <c r="O279"/>
      <c r="P279"/>
      <c r="R279" s="87"/>
    </row>
    <row r="280" spans="2:18" hidden="1" x14ac:dyDescent="0.25">
      <c r="B280" s="3" t="s">
        <v>1079</v>
      </c>
      <c r="C280" s="3" t="s">
        <v>74</v>
      </c>
      <c r="D280" s="204" t="s">
        <v>1135</v>
      </c>
      <c r="E280" s="204" t="s">
        <v>90</v>
      </c>
      <c r="F280" s="204" t="s">
        <v>2022</v>
      </c>
      <c r="G280" s="203">
        <v>1922.26</v>
      </c>
      <c r="H280" s="203">
        <f t="shared" si="5"/>
        <v>293.22610169491509</v>
      </c>
      <c r="I280" s="204" t="s">
        <v>18</v>
      </c>
      <c r="O280"/>
      <c r="P280"/>
      <c r="R280" s="87"/>
    </row>
    <row r="281" spans="2:18" hidden="1" x14ac:dyDescent="0.25">
      <c r="B281" s="3" t="s">
        <v>1041</v>
      </c>
      <c r="C281" s="3" t="s">
        <v>95</v>
      </c>
      <c r="D281" s="3" t="s">
        <v>980</v>
      </c>
      <c r="E281" s="3" t="s">
        <v>90</v>
      </c>
      <c r="F281" s="3" t="s">
        <v>1986</v>
      </c>
      <c r="G281" s="6">
        <v>1438.77</v>
      </c>
      <c r="H281" s="6">
        <f t="shared" si="5"/>
        <v>219.47338983050849</v>
      </c>
      <c r="I281" s="3" t="s">
        <v>18</v>
      </c>
      <c r="O281"/>
      <c r="P281"/>
      <c r="R281" s="87"/>
    </row>
    <row r="282" spans="2:18" x14ac:dyDescent="0.25">
      <c r="B282" s="3" t="s">
        <v>918</v>
      </c>
      <c r="C282" s="3" t="s">
        <v>50</v>
      </c>
      <c r="D282" s="3" t="s">
        <v>916</v>
      </c>
      <c r="E282" s="3" t="s">
        <v>141</v>
      </c>
      <c r="F282" s="3" t="s">
        <v>3193</v>
      </c>
      <c r="G282" s="6">
        <v>130000</v>
      </c>
      <c r="H282" s="6">
        <f t="shared" si="5"/>
        <v>19830.508474576272</v>
      </c>
      <c r="I282" s="3" t="s">
        <v>18</v>
      </c>
      <c r="J282" s="78"/>
      <c r="O282"/>
      <c r="P282"/>
      <c r="R282" s="87"/>
    </row>
    <row r="283" spans="2:18" x14ac:dyDescent="0.25">
      <c r="B283" s="3" t="s">
        <v>920</v>
      </c>
      <c r="C283" s="3" t="s">
        <v>50</v>
      </c>
      <c r="D283" s="3" t="s">
        <v>917</v>
      </c>
      <c r="E283" s="3" t="s">
        <v>141</v>
      </c>
      <c r="F283" s="3" t="s">
        <v>3193</v>
      </c>
      <c r="G283" s="6">
        <v>45000</v>
      </c>
      <c r="H283" s="6">
        <f t="shared" si="5"/>
        <v>6864.4067796610179</v>
      </c>
      <c r="I283" s="3" t="s">
        <v>18</v>
      </c>
      <c r="O283"/>
      <c r="P283"/>
      <c r="R283" s="87"/>
    </row>
    <row r="284" spans="2:18" hidden="1" x14ac:dyDescent="0.25">
      <c r="B284" s="3" t="s">
        <v>2380</v>
      </c>
      <c r="C284" s="3" t="s">
        <v>56</v>
      </c>
      <c r="D284" s="3" t="s">
        <v>2356</v>
      </c>
      <c r="E284" s="3" t="s">
        <v>117</v>
      </c>
      <c r="F284" s="3" t="s">
        <v>3193</v>
      </c>
      <c r="G284" s="6">
        <v>1081.5</v>
      </c>
      <c r="H284" s="6">
        <f t="shared" si="5"/>
        <v>164.97457627118638</v>
      </c>
      <c r="I284" s="3" t="s">
        <v>113</v>
      </c>
      <c r="J284" s="16"/>
      <c r="O284"/>
      <c r="P284"/>
      <c r="R284" s="87"/>
    </row>
    <row r="285" spans="2:18" hidden="1" x14ac:dyDescent="0.25">
      <c r="B285" s="3" t="s">
        <v>1043</v>
      </c>
      <c r="C285" s="3" t="s">
        <v>95</v>
      </c>
      <c r="D285" s="3" t="s">
        <v>1100</v>
      </c>
      <c r="E285" s="3" t="s">
        <v>90</v>
      </c>
      <c r="F285" s="3" t="s">
        <v>1986</v>
      </c>
      <c r="G285" s="6">
        <v>229.25</v>
      </c>
      <c r="H285" s="6">
        <f t="shared" si="5"/>
        <v>34.970338983050851</v>
      </c>
      <c r="I285" s="3" t="s">
        <v>18</v>
      </c>
      <c r="O285"/>
      <c r="P285"/>
      <c r="R285" s="87"/>
    </row>
    <row r="286" spans="2:18" hidden="1" x14ac:dyDescent="0.25">
      <c r="B286" s="3" t="s">
        <v>1480</v>
      </c>
      <c r="C286" s="3" t="s">
        <v>42</v>
      </c>
      <c r="D286" s="3" t="s">
        <v>1368</v>
      </c>
      <c r="E286" s="3" t="s">
        <v>106</v>
      </c>
      <c r="F286" s="3" t="s">
        <v>3193</v>
      </c>
      <c r="G286" s="6">
        <v>707</v>
      </c>
      <c r="H286" s="6">
        <f t="shared" si="5"/>
        <v>107.84745762711862</v>
      </c>
      <c r="I286" s="3" t="s">
        <v>113</v>
      </c>
      <c r="J286" s="16"/>
      <c r="O286"/>
      <c r="P286"/>
      <c r="R286" s="87"/>
    </row>
    <row r="287" spans="2:18" hidden="1" x14ac:dyDescent="0.25">
      <c r="B287" s="3" t="s">
        <v>2900</v>
      </c>
      <c r="C287" s="3" t="s">
        <v>43</v>
      </c>
      <c r="D287" s="3" t="s">
        <v>2832</v>
      </c>
      <c r="E287" s="3" t="s">
        <v>106</v>
      </c>
      <c r="F287" s="3" t="s">
        <v>3193</v>
      </c>
      <c r="G287" s="6">
        <v>12540.5</v>
      </c>
      <c r="H287" s="6">
        <f t="shared" si="5"/>
        <v>1912.9576271186434</v>
      </c>
      <c r="I287" s="3" t="s">
        <v>113</v>
      </c>
      <c r="J287" s="16"/>
      <c r="O287"/>
      <c r="P287"/>
      <c r="R287" s="87"/>
    </row>
    <row r="288" spans="2:18" hidden="1" x14ac:dyDescent="0.25">
      <c r="B288" s="3" t="s">
        <v>1694</v>
      </c>
      <c r="C288" s="3" t="s">
        <v>47</v>
      </c>
      <c r="D288" s="3" t="s">
        <v>1693</v>
      </c>
      <c r="E288" s="3" t="s">
        <v>115</v>
      </c>
      <c r="F288" s="3" t="s">
        <v>3193</v>
      </c>
      <c r="G288" s="6">
        <v>650000</v>
      </c>
      <c r="H288" s="6">
        <f t="shared" si="5"/>
        <v>99152.542372881318</v>
      </c>
      <c r="I288" s="3" t="s">
        <v>113</v>
      </c>
      <c r="J288" s="16"/>
      <c r="O288"/>
      <c r="P288"/>
      <c r="R288" s="87"/>
    </row>
    <row r="289" spans="2:18" hidden="1" x14ac:dyDescent="0.25">
      <c r="B289" s="3" t="s">
        <v>1689</v>
      </c>
      <c r="C289" s="3" t="s">
        <v>52</v>
      </c>
      <c r="D289" s="3" t="s">
        <v>406</v>
      </c>
      <c r="E289" s="3" t="s">
        <v>87</v>
      </c>
      <c r="F289" s="3" t="s">
        <v>3193</v>
      </c>
      <c r="G289" s="6">
        <v>1750.5249999999999</v>
      </c>
      <c r="H289" s="6">
        <f t="shared" si="5"/>
        <v>267.02923728813539</v>
      </c>
      <c r="I289" s="3" t="s">
        <v>113</v>
      </c>
      <c r="O289"/>
      <c r="P289"/>
      <c r="R289" s="87"/>
    </row>
    <row r="290" spans="2:18" hidden="1" x14ac:dyDescent="0.25">
      <c r="B290" s="3" t="s">
        <v>820</v>
      </c>
      <c r="C290" s="3" t="s">
        <v>47</v>
      </c>
      <c r="D290" s="3" t="s">
        <v>898</v>
      </c>
      <c r="E290" s="3" t="s">
        <v>117</v>
      </c>
      <c r="F290" s="3" t="s">
        <v>3193</v>
      </c>
      <c r="G290" s="6">
        <v>1019.8999999999999</v>
      </c>
      <c r="H290" s="6">
        <f t="shared" si="5"/>
        <v>155.57796610169487</v>
      </c>
      <c r="I290" s="3" t="s">
        <v>113</v>
      </c>
      <c r="O290"/>
      <c r="P290"/>
      <c r="R290" s="87"/>
    </row>
    <row r="291" spans="2:18" hidden="1" x14ac:dyDescent="0.25">
      <c r="B291" s="3" t="s">
        <v>796</v>
      </c>
      <c r="C291" s="3" t="s">
        <v>56</v>
      </c>
      <c r="D291" s="3" t="s">
        <v>874</v>
      </c>
      <c r="E291" s="3" t="s">
        <v>87</v>
      </c>
      <c r="F291" s="3" t="s">
        <v>3193</v>
      </c>
      <c r="G291" s="6">
        <v>409430.27799999999</v>
      </c>
      <c r="H291" s="6">
        <f t="shared" si="5"/>
        <v>62455.466135593189</v>
      </c>
      <c r="I291" s="3" t="s">
        <v>113</v>
      </c>
      <c r="O291"/>
      <c r="P291"/>
      <c r="R291" s="87"/>
    </row>
    <row r="292" spans="2:18" hidden="1" x14ac:dyDescent="0.25">
      <c r="B292" s="3" t="s">
        <v>1462</v>
      </c>
      <c r="C292" s="3" t="s">
        <v>40</v>
      </c>
      <c r="D292" s="3" t="s">
        <v>1350</v>
      </c>
      <c r="E292" s="3" t="s">
        <v>106</v>
      </c>
      <c r="F292" s="3" t="s">
        <v>3193</v>
      </c>
      <c r="G292" s="6">
        <v>973</v>
      </c>
      <c r="H292" s="6">
        <f t="shared" si="5"/>
        <v>148.42372881355925</v>
      </c>
      <c r="I292" s="3" t="s">
        <v>113</v>
      </c>
      <c r="O292"/>
      <c r="P292"/>
      <c r="R292" s="87"/>
    </row>
    <row r="293" spans="2:18" hidden="1" x14ac:dyDescent="0.25">
      <c r="B293" s="3" t="s">
        <v>1484</v>
      </c>
      <c r="C293" s="3" t="s">
        <v>40</v>
      </c>
      <c r="D293" s="3" t="s">
        <v>1372</v>
      </c>
      <c r="E293" s="3" t="s">
        <v>106</v>
      </c>
      <c r="F293" s="3" t="s">
        <v>3193</v>
      </c>
      <c r="G293" s="6">
        <v>266</v>
      </c>
      <c r="H293" s="6">
        <f t="shared" si="5"/>
        <v>40.576271186440664</v>
      </c>
      <c r="I293" s="3" t="s">
        <v>113</v>
      </c>
      <c r="O293"/>
      <c r="P293"/>
      <c r="R293" s="87"/>
    </row>
    <row r="294" spans="2:18" hidden="1" x14ac:dyDescent="0.25">
      <c r="B294" s="3" t="s">
        <v>1488</v>
      </c>
      <c r="C294" s="3" t="s">
        <v>40</v>
      </c>
      <c r="D294" s="3" t="s">
        <v>1376</v>
      </c>
      <c r="E294" s="3" t="s">
        <v>106</v>
      </c>
      <c r="F294" s="3" t="s">
        <v>3193</v>
      </c>
      <c r="G294" s="6">
        <v>1142.75</v>
      </c>
      <c r="H294" s="6">
        <f t="shared" si="5"/>
        <v>174.31779661016947</v>
      </c>
      <c r="I294" s="3" t="s">
        <v>113</v>
      </c>
      <c r="O294"/>
      <c r="P294"/>
      <c r="R294" s="87"/>
    </row>
    <row r="295" spans="2:18" hidden="1" x14ac:dyDescent="0.25">
      <c r="B295" s="3" t="s">
        <v>1458</v>
      </c>
      <c r="C295" s="3" t="s">
        <v>40</v>
      </c>
      <c r="D295" s="3" t="s">
        <v>1346</v>
      </c>
      <c r="E295" s="3" t="s">
        <v>106</v>
      </c>
      <c r="F295" s="3" t="s">
        <v>3193</v>
      </c>
      <c r="G295" s="6">
        <v>3001.25</v>
      </c>
      <c r="H295" s="6">
        <f t="shared" si="5"/>
        <v>457.81779661016935</v>
      </c>
      <c r="I295" s="3" t="s">
        <v>113</v>
      </c>
      <c r="O295"/>
      <c r="P295"/>
      <c r="R295" s="87"/>
    </row>
    <row r="296" spans="2:18" hidden="1" x14ac:dyDescent="0.25">
      <c r="B296" s="3" t="s">
        <v>1448</v>
      </c>
      <c r="C296" s="3" t="s">
        <v>40</v>
      </c>
      <c r="D296" s="3" t="s">
        <v>1338</v>
      </c>
      <c r="E296" s="3" t="s">
        <v>106</v>
      </c>
      <c r="F296" s="3" t="s">
        <v>3193</v>
      </c>
      <c r="G296" s="6">
        <v>2954</v>
      </c>
      <c r="H296" s="6">
        <f t="shared" si="5"/>
        <v>450.61016949152508</v>
      </c>
      <c r="I296" s="3" t="s">
        <v>113</v>
      </c>
      <c r="O296"/>
      <c r="P296"/>
      <c r="R296" s="87"/>
    </row>
    <row r="297" spans="2:18" hidden="1" x14ac:dyDescent="0.25">
      <c r="B297" s="3" t="s">
        <v>2180</v>
      </c>
      <c r="C297" s="3" t="s">
        <v>56</v>
      </c>
      <c r="D297" s="3" t="s">
        <v>2178</v>
      </c>
      <c r="E297" s="3" t="s">
        <v>105</v>
      </c>
      <c r="F297" s="3" t="s">
        <v>3370</v>
      </c>
      <c r="G297" s="6">
        <v>1500000</v>
      </c>
      <c r="H297" s="6">
        <f t="shared" si="5"/>
        <v>228813.55932203378</v>
      </c>
      <c r="I297" s="3" t="s">
        <v>113</v>
      </c>
      <c r="J297" s="19"/>
      <c r="K297" t="s">
        <v>3385</v>
      </c>
      <c r="O297"/>
      <c r="P297"/>
      <c r="R297" s="87"/>
    </row>
    <row r="298" spans="2:18" hidden="1" x14ac:dyDescent="0.25">
      <c r="B298" s="3" t="s">
        <v>1975</v>
      </c>
      <c r="C298" s="3" t="s">
        <v>136</v>
      </c>
      <c r="D298" s="250" t="s">
        <v>3371</v>
      </c>
      <c r="E298" s="3" t="s">
        <v>105</v>
      </c>
      <c r="F298" s="3" t="s">
        <v>3370</v>
      </c>
      <c r="G298" s="6">
        <v>140000</v>
      </c>
      <c r="H298" s="6">
        <f t="shared" si="5"/>
        <v>21355.932203389821</v>
      </c>
      <c r="I298" s="3" t="s">
        <v>18</v>
      </c>
      <c r="J298" s="19"/>
      <c r="K298" t="s">
        <v>3386</v>
      </c>
      <c r="O298"/>
      <c r="P298"/>
      <c r="R298" s="87"/>
    </row>
    <row r="299" spans="2:18" hidden="1" x14ac:dyDescent="0.25">
      <c r="B299" s="3" t="s">
        <v>1976</v>
      </c>
      <c r="C299" s="3" t="s">
        <v>136</v>
      </c>
      <c r="D299" s="250" t="s">
        <v>3372</v>
      </c>
      <c r="E299" s="3" t="s">
        <v>105</v>
      </c>
      <c r="F299" s="3" t="s">
        <v>3370</v>
      </c>
      <c r="G299" s="6">
        <v>160000</v>
      </c>
      <c r="H299" s="6">
        <f t="shared" si="5"/>
        <v>24406.779661016946</v>
      </c>
      <c r="I299" s="3" t="s">
        <v>18</v>
      </c>
      <c r="J299" s="19"/>
      <c r="K299" t="s">
        <v>3386</v>
      </c>
      <c r="O299"/>
      <c r="P299"/>
      <c r="R299" s="87"/>
    </row>
    <row r="300" spans="2:18" hidden="1" x14ac:dyDescent="0.25">
      <c r="B300" s="3" t="s">
        <v>3376</v>
      </c>
      <c r="C300" s="3"/>
      <c r="D300" s="3" t="s">
        <v>3375</v>
      </c>
      <c r="E300" s="3" t="s">
        <v>105</v>
      </c>
      <c r="F300" s="3" t="s">
        <v>3370</v>
      </c>
      <c r="G300" s="6">
        <v>1200000</v>
      </c>
      <c r="H300" s="6">
        <f t="shared" si="5"/>
        <v>183050.84745762707</v>
      </c>
      <c r="I300" s="3" t="s">
        <v>18</v>
      </c>
      <c r="J300" s="19"/>
      <c r="K300" t="s">
        <v>3386</v>
      </c>
      <c r="O300"/>
      <c r="P300"/>
      <c r="R300" s="87"/>
    </row>
    <row r="301" spans="2:18" hidden="1" x14ac:dyDescent="0.25">
      <c r="B301" s="3" t="s">
        <v>1618</v>
      </c>
      <c r="C301" s="3" t="s">
        <v>45</v>
      </c>
      <c r="D301" s="3" t="s">
        <v>1619</v>
      </c>
      <c r="E301" s="3" t="s">
        <v>75</v>
      </c>
      <c r="F301" s="3" t="s">
        <v>3370</v>
      </c>
      <c r="G301" s="6">
        <v>200000</v>
      </c>
      <c r="H301" s="6">
        <f t="shared" si="5"/>
        <v>30508.474576271168</v>
      </c>
      <c r="I301" s="3" t="s">
        <v>113</v>
      </c>
      <c r="J301" s="19"/>
      <c r="O301"/>
      <c r="P301"/>
      <c r="R301" s="87"/>
    </row>
    <row r="302" spans="2:18" hidden="1" x14ac:dyDescent="0.25">
      <c r="B302" s="3" t="s">
        <v>2051</v>
      </c>
      <c r="C302" s="3" t="s">
        <v>52</v>
      </c>
      <c r="D302" s="3" t="s">
        <v>2053</v>
      </c>
      <c r="E302" s="3" t="s">
        <v>75</v>
      </c>
      <c r="F302" s="3" t="s">
        <v>3370</v>
      </c>
      <c r="G302" s="6">
        <v>500000</v>
      </c>
      <c r="H302" s="6">
        <f t="shared" si="5"/>
        <v>76271.186440677964</v>
      </c>
      <c r="I302" s="3" t="s">
        <v>113</v>
      </c>
      <c r="O302"/>
      <c r="P302"/>
      <c r="R302" s="87"/>
    </row>
    <row r="303" spans="2:18" hidden="1" x14ac:dyDescent="0.25">
      <c r="B303" s="3" t="s">
        <v>2194</v>
      </c>
      <c r="C303" s="3" t="s">
        <v>68</v>
      </c>
      <c r="D303" s="3" t="s">
        <v>2189</v>
      </c>
      <c r="E303" s="3" t="s">
        <v>75</v>
      </c>
      <c r="F303" s="3" t="s">
        <v>3370</v>
      </c>
      <c r="G303" s="6">
        <v>300000</v>
      </c>
      <c r="H303" s="6">
        <f t="shared" si="5"/>
        <v>45762.711864406767</v>
      </c>
      <c r="I303" s="3" t="s">
        <v>113</v>
      </c>
      <c r="O303"/>
      <c r="P303"/>
      <c r="R303" s="87"/>
    </row>
    <row r="304" spans="2:18" x14ac:dyDescent="0.25">
      <c r="B304" s="3" t="s">
        <v>2197</v>
      </c>
      <c r="C304" s="3" t="s">
        <v>29</v>
      </c>
      <c r="D304" s="3" t="s">
        <v>2200</v>
      </c>
      <c r="E304" s="3" t="s">
        <v>141</v>
      </c>
      <c r="F304" s="3" t="s">
        <v>3370</v>
      </c>
      <c r="G304" s="6">
        <v>230000</v>
      </c>
      <c r="H304" s="6">
        <f t="shared" si="5"/>
        <v>35084.745762711857</v>
      </c>
      <c r="I304" s="3" t="s">
        <v>113</v>
      </c>
      <c r="O304"/>
      <c r="P304"/>
      <c r="R304" s="87"/>
    </row>
    <row r="305" spans="2:18" hidden="1" x14ac:dyDescent="0.25">
      <c r="B305" s="3" t="s">
        <v>2295</v>
      </c>
      <c r="C305" s="3" t="s">
        <v>38</v>
      </c>
      <c r="D305" s="3" t="s">
        <v>2277</v>
      </c>
      <c r="E305" s="3" t="s">
        <v>114</v>
      </c>
      <c r="F305" s="3" t="s">
        <v>3370</v>
      </c>
      <c r="G305" s="64">
        <v>950000</v>
      </c>
      <c r="H305" s="6">
        <f t="shared" si="5"/>
        <v>144915.25423728814</v>
      </c>
      <c r="I305" s="3" t="s">
        <v>113</v>
      </c>
      <c r="O305"/>
      <c r="P305"/>
      <c r="R305" s="87"/>
    </row>
    <row r="306" spans="2:18" hidden="1" x14ac:dyDescent="0.25">
      <c r="B306" s="3" t="s">
        <v>2253</v>
      </c>
      <c r="C306" s="3" t="s">
        <v>94</v>
      </c>
      <c r="D306" s="3" t="s">
        <v>2257</v>
      </c>
      <c r="E306" s="3" t="s">
        <v>114</v>
      </c>
      <c r="F306" s="3" t="s">
        <v>3370</v>
      </c>
      <c r="G306" s="6">
        <v>350000</v>
      </c>
      <c r="H306" s="6">
        <f t="shared" si="5"/>
        <v>53389.830508474552</v>
      </c>
      <c r="I306" s="3" t="s">
        <v>18</v>
      </c>
      <c r="O306"/>
      <c r="P306"/>
      <c r="R306" s="87"/>
    </row>
    <row r="307" spans="2:18" hidden="1" x14ac:dyDescent="0.25">
      <c r="B307" s="3" t="s">
        <v>3233</v>
      </c>
      <c r="C307" s="3" t="s">
        <v>38</v>
      </c>
      <c r="D307" s="3" t="s">
        <v>3194</v>
      </c>
      <c r="E307" s="3" t="s">
        <v>110</v>
      </c>
      <c r="F307" s="3" t="s">
        <v>3370</v>
      </c>
      <c r="G307" s="254">
        <v>15454.25</v>
      </c>
      <c r="H307" s="6">
        <f t="shared" si="5"/>
        <v>2357.4279661016935</v>
      </c>
      <c r="I307" s="3" t="s">
        <v>113</v>
      </c>
      <c r="K307" t="s">
        <v>3386</v>
      </c>
      <c r="O307"/>
      <c r="P307"/>
      <c r="R307" s="87"/>
    </row>
    <row r="308" spans="2:18" hidden="1" x14ac:dyDescent="0.25">
      <c r="B308" s="3" t="s">
        <v>1193</v>
      </c>
      <c r="C308" s="3" t="s">
        <v>17</v>
      </c>
      <c r="D308" s="3" t="s">
        <v>1163</v>
      </c>
      <c r="E308" s="3" t="s">
        <v>71</v>
      </c>
      <c r="F308" s="3" t="s">
        <v>3370</v>
      </c>
      <c r="G308" s="86">
        <v>250000</v>
      </c>
      <c r="H308" s="6">
        <f t="shared" si="5"/>
        <v>38135.593220338982</v>
      </c>
      <c r="I308" s="3" t="s">
        <v>113</v>
      </c>
      <c r="O308"/>
      <c r="P308"/>
      <c r="R308" s="87"/>
    </row>
    <row r="309" spans="2:18" hidden="1" x14ac:dyDescent="0.25">
      <c r="B309" s="3" t="s">
        <v>1236</v>
      </c>
      <c r="C309" s="3" t="s">
        <v>17</v>
      </c>
      <c r="D309" s="3" t="s">
        <v>1310</v>
      </c>
      <c r="E309" s="3" t="s">
        <v>71</v>
      </c>
      <c r="F309" s="3" t="s">
        <v>3370</v>
      </c>
      <c r="G309" s="86">
        <v>250000</v>
      </c>
      <c r="H309" s="6">
        <f t="shared" si="5"/>
        <v>38135.593220338982</v>
      </c>
      <c r="I309" s="3" t="s">
        <v>113</v>
      </c>
      <c r="O309"/>
      <c r="P309"/>
      <c r="R309" s="87"/>
    </row>
    <row r="310" spans="2:18" hidden="1" x14ac:dyDescent="0.25">
      <c r="B310" s="3" t="s">
        <v>3235</v>
      </c>
      <c r="C310" s="3" t="s">
        <v>37</v>
      </c>
      <c r="D310" s="3" t="s">
        <v>3196</v>
      </c>
      <c r="E310" s="3" t="s">
        <v>110</v>
      </c>
      <c r="F310" s="3" t="s">
        <v>3370</v>
      </c>
      <c r="G310" s="203">
        <v>3311</v>
      </c>
      <c r="H310" s="6">
        <f t="shared" si="5"/>
        <v>505.06779661016935</v>
      </c>
      <c r="I310" s="3" t="s">
        <v>113</v>
      </c>
      <c r="K310" t="s">
        <v>3386</v>
      </c>
      <c r="O310"/>
      <c r="P310"/>
      <c r="R310" s="87"/>
    </row>
    <row r="311" spans="2:18" hidden="1" x14ac:dyDescent="0.25">
      <c r="B311" s="3" t="s">
        <v>3238</v>
      </c>
      <c r="C311" s="3" t="s">
        <v>34</v>
      </c>
      <c r="D311" s="3" t="s">
        <v>3199</v>
      </c>
      <c r="E311" s="3" t="s">
        <v>110</v>
      </c>
      <c r="F311" s="3" t="s">
        <v>3370</v>
      </c>
      <c r="G311" s="203">
        <v>4221</v>
      </c>
      <c r="H311" s="6">
        <f t="shared" si="5"/>
        <v>643.88135593220341</v>
      </c>
      <c r="I311" s="3" t="s">
        <v>113</v>
      </c>
      <c r="K311" t="s">
        <v>3386</v>
      </c>
      <c r="O311"/>
      <c r="P311"/>
      <c r="R311" s="87"/>
    </row>
    <row r="312" spans="2:18" hidden="1" x14ac:dyDescent="0.25">
      <c r="B312" s="3" t="s">
        <v>3247</v>
      </c>
      <c r="C312" s="3" t="s">
        <v>34</v>
      </c>
      <c r="D312" s="3" t="s">
        <v>3208</v>
      </c>
      <c r="E312" s="3" t="s">
        <v>110</v>
      </c>
      <c r="F312" s="3" t="s">
        <v>3370</v>
      </c>
      <c r="G312" s="203">
        <v>1081.5</v>
      </c>
      <c r="H312" s="6">
        <f t="shared" si="5"/>
        <v>164.97457627118638</v>
      </c>
      <c r="I312" s="3" t="s">
        <v>113</v>
      </c>
      <c r="K312" t="s">
        <v>3386</v>
      </c>
      <c r="O312"/>
      <c r="P312"/>
      <c r="R312" s="87"/>
    </row>
    <row r="313" spans="2:18" hidden="1" x14ac:dyDescent="0.25">
      <c r="B313" s="3" t="s">
        <v>3252</v>
      </c>
      <c r="C313" s="3" t="s">
        <v>34</v>
      </c>
      <c r="D313" s="3" t="s">
        <v>3213</v>
      </c>
      <c r="E313" s="3" t="s">
        <v>110</v>
      </c>
      <c r="F313" s="3" t="s">
        <v>3370</v>
      </c>
      <c r="G313" s="203">
        <v>2800</v>
      </c>
      <c r="H313" s="6">
        <f t="shared" si="5"/>
        <v>427.11864406779659</v>
      </c>
      <c r="I313" s="3" t="s">
        <v>113</v>
      </c>
      <c r="K313" t="s">
        <v>3386</v>
      </c>
      <c r="O313"/>
      <c r="P313"/>
      <c r="R313" s="87"/>
    </row>
    <row r="314" spans="2:18" hidden="1" x14ac:dyDescent="0.25">
      <c r="B314" s="3" t="s">
        <v>3257</v>
      </c>
      <c r="C314" s="3" t="s">
        <v>34</v>
      </c>
      <c r="D314" s="3" t="s">
        <v>3218</v>
      </c>
      <c r="E314" s="3" t="s">
        <v>110</v>
      </c>
      <c r="F314" s="3" t="s">
        <v>3370</v>
      </c>
      <c r="G314" s="203">
        <v>1172.5</v>
      </c>
      <c r="H314" s="6">
        <f t="shared" si="5"/>
        <v>178.85593220338978</v>
      </c>
      <c r="I314" s="3" t="s">
        <v>113</v>
      </c>
      <c r="K314" t="s">
        <v>3386</v>
      </c>
      <c r="O314"/>
      <c r="P314"/>
      <c r="R314" s="87"/>
    </row>
    <row r="315" spans="2:18" hidden="1" x14ac:dyDescent="0.25">
      <c r="B315" s="3" t="s">
        <v>3258</v>
      </c>
      <c r="C315" s="3" t="s">
        <v>34</v>
      </c>
      <c r="D315" s="3" t="s">
        <v>3219</v>
      </c>
      <c r="E315" s="3" t="s">
        <v>110</v>
      </c>
      <c r="F315" s="3" t="s">
        <v>3370</v>
      </c>
      <c r="G315" s="203">
        <v>2093</v>
      </c>
      <c r="H315" s="6">
        <f t="shared" si="5"/>
        <v>319.27118644067787</v>
      </c>
      <c r="I315" s="3" t="s">
        <v>113</v>
      </c>
      <c r="K315" t="s">
        <v>3386</v>
      </c>
      <c r="O315"/>
      <c r="P315"/>
      <c r="R315" s="87"/>
    </row>
    <row r="316" spans="2:18" hidden="1" x14ac:dyDescent="0.25">
      <c r="B316" s="3" t="s">
        <v>3259</v>
      </c>
      <c r="C316" s="3" t="s">
        <v>17</v>
      </c>
      <c r="D316" s="3" t="s">
        <v>3220</v>
      </c>
      <c r="E316" s="3" t="s">
        <v>110</v>
      </c>
      <c r="F316" s="3" t="s">
        <v>3370</v>
      </c>
      <c r="G316" s="203">
        <v>2619.75</v>
      </c>
      <c r="H316" s="6">
        <f t="shared" si="5"/>
        <v>399.6228813559319</v>
      </c>
      <c r="I316" s="3" t="s">
        <v>113</v>
      </c>
      <c r="K316" t="s">
        <v>3386</v>
      </c>
      <c r="O316"/>
      <c r="P316"/>
      <c r="R316" s="87"/>
    </row>
    <row r="317" spans="2:18" hidden="1" x14ac:dyDescent="0.25">
      <c r="B317" s="1" t="s">
        <v>3261</v>
      </c>
      <c r="C317" s="3" t="s">
        <v>34</v>
      </c>
      <c r="D317" s="3" t="s">
        <v>2660</v>
      </c>
      <c r="E317" s="3" t="s">
        <v>110</v>
      </c>
      <c r="F317" s="3" t="s">
        <v>3370</v>
      </c>
      <c r="G317" s="203">
        <v>2957.5</v>
      </c>
      <c r="H317" s="6">
        <f t="shared" si="5"/>
        <v>451.14406779661022</v>
      </c>
      <c r="I317" s="3" t="s">
        <v>113</v>
      </c>
      <c r="K317" t="s">
        <v>3386</v>
      </c>
      <c r="O317"/>
      <c r="P317"/>
      <c r="R317" s="87"/>
    </row>
    <row r="318" spans="2:18" hidden="1" x14ac:dyDescent="0.25">
      <c r="B318" s="3" t="s">
        <v>3264</v>
      </c>
      <c r="C318" s="3" t="s">
        <v>34</v>
      </c>
      <c r="D318" s="3" t="s">
        <v>2662</v>
      </c>
      <c r="E318" s="3" t="s">
        <v>110</v>
      </c>
      <c r="F318" s="3" t="s">
        <v>3370</v>
      </c>
      <c r="G318" s="203">
        <v>2443</v>
      </c>
      <c r="H318" s="6">
        <f t="shared" si="5"/>
        <v>372.66101694915233</v>
      </c>
      <c r="I318" s="3" t="s">
        <v>113</v>
      </c>
      <c r="K318" t="s">
        <v>3386</v>
      </c>
      <c r="O318"/>
      <c r="P318"/>
      <c r="R318" s="87"/>
    </row>
    <row r="319" spans="2:18" hidden="1" x14ac:dyDescent="0.25">
      <c r="B319" s="3" t="s">
        <v>3271</v>
      </c>
      <c r="C319" s="3" t="s">
        <v>34</v>
      </c>
      <c r="D319" s="3" t="s">
        <v>3223</v>
      </c>
      <c r="E319" s="3" t="s">
        <v>110</v>
      </c>
      <c r="F319" s="3" t="s">
        <v>3370</v>
      </c>
      <c r="G319" s="203">
        <v>945</v>
      </c>
      <c r="H319" s="6">
        <f t="shared" si="5"/>
        <v>144.15254237288127</v>
      </c>
      <c r="I319" s="3" t="s">
        <v>113</v>
      </c>
      <c r="K319" t="s">
        <v>3386</v>
      </c>
      <c r="O319"/>
      <c r="P319"/>
      <c r="R319" s="87"/>
    </row>
    <row r="320" spans="2:18" hidden="1" x14ac:dyDescent="0.25">
      <c r="B320" s="3" t="s">
        <v>3274</v>
      </c>
      <c r="C320" s="3" t="s">
        <v>36</v>
      </c>
      <c r="D320" s="3" t="s">
        <v>3225</v>
      </c>
      <c r="E320" s="3" t="s">
        <v>110</v>
      </c>
      <c r="F320" s="3" t="s">
        <v>3370</v>
      </c>
      <c r="G320" s="203">
        <v>2420.25</v>
      </c>
      <c r="H320" s="6">
        <f t="shared" si="5"/>
        <v>369.1906779661017</v>
      </c>
      <c r="I320" s="3" t="s">
        <v>113</v>
      </c>
      <c r="K320" t="s">
        <v>3386</v>
      </c>
      <c r="O320"/>
      <c r="P320"/>
      <c r="R320" s="87"/>
    </row>
    <row r="321" spans="2:18" hidden="1" x14ac:dyDescent="0.25">
      <c r="B321" s="3" t="s">
        <v>3276</v>
      </c>
      <c r="C321" s="3" t="s">
        <v>34</v>
      </c>
      <c r="D321" s="3" t="s">
        <v>3227</v>
      </c>
      <c r="E321" s="3" t="s">
        <v>110</v>
      </c>
      <c r="F321" s="3" t="s">
        <v>3370</v>
      </c>
      <c r="G321" s="203">
        <v>1029</v>
      </c>
      <c r="H321" s="6">
        <f t="shared" si="5"/>
        <v>156.96610169491521</v>
      </c>
      <c r="I321" s="3" t="s">
        <v>113</v>
      </c>
      <c r="K321" t="s">
        <v>3386</v>
      </c>
      <c r="O321"/>
      <c r="P321"/>
      <c r="R321" s="87"/>
    </row>
    <row r="322" spans="2:18" hidden="1" x14ac:dyDescent="0.25">
      <c r="B322" s="3" t="s">
        <v>3278</v>
      </c>
      <c r="C322" s="3" t="s">
        <v>34</v>
      </c>
      <c r="D322" s="3" t="s">
        <v>3229</v>
      </c>
      <c r="E322" s="3" t="s">
        <v>110</v>
      </c>
      <c r="F322" s="3" t="s">
        <v>3370</v>
      </c>
      <c r="G322" s="203">
        <v>2261</v>
      </c>
      <c r="H322" s="6">
        <f t="shared" si="5"/>
        <v>344.89830508474574</v>
      </c>
      <c r="I322" s="3" t="s">
        <v>113</v>
      </c>
      <c r="K322" t="s">
        <v>3386</v>
      </c>
      <c r="O322"/>
      <c r="P322"/>
      <c r="R322" s="87"/>
    </row>
    <row r="323" spans="2:18" hidden="1" x14ac:dyDescent="0.25">
      <c r="B323" s="3" t="s">
        <v>3279</v>
      </c>
      <c r="C323" s="3" t="s">
        <v>34</v>
      </c>
      <c r="D323" s="3" t="s">
        <v>3230</v>
      </c>
      <c r="E323" s="3" t="s">
        <v>110</v>
      </c>
      <c r="F323" s="3" t="s">
        <v>3370</v>
      </c>
      <c r="G323" s="203">
        <v>1100.75</v>
      </c>
      <c r="H323" s="6">
        <f t="shared" si="5"/>
        <v>167.91101694915244</v>
      </c>
      <c r="I323" s="3" t="s">
        <v>113</v>
      </c>
      <c r="K323" t="s">
        <v>3386</v>
      </c>
      <c r="O323"/>
      <c r="P323"/>
      <c r="R323" s="87"/>
    </row>
    <row r="324" spans="2:18" hidden="1" x14ac:dyDescent="0.25">
      <c r="B324" s="3" t="s">
        <v>3262</v>
      </c>
      <c r="C324" s="3" t="s">
        <v>36</v>
      </c>
      <c r="D324" s="3" t="s">
        <v>3221</v>
      </c>
      <c r="E324" s="3" t="s">
        <v>110</v>
      </c>
      <c r="F324" s="3" t="s">
        <v>3370</v>
      </c>
      <c r="G324" s="203">
        <v>1400</v>
      </c>
      <c r="H324" s="6">
        <f t="shared" si="5"/>
        <v>213.5593220338983</v>
      </c>
      <c r="I324" s="3" t="s">
        <v>113</v>
      </c>
      <c r="K324" t="s">
        <v>3386</v>
      </c>
      <c r="O324"/>
      <c r="P324"/>
      <c r="R324" s="87"/>
    </row>
    <row r="325" spans="2:18" hidden="1" x14ac:dyDescent="0.25">
      <c r="B325" s="3" t="s">
        <v>3245</v>
      </c>
      <c r="C325" s="3" t="s">
        <v>4</v>
      </c>
      <c r="D325" s="3" t="s">
        <v>3206</v>
      </c>
      <c r="E325" s="3" t="s">
        <v>110</v>
      </c>
      <c r="F325" s="3" t="s">
        <v>3370</v>
      </c>
      <c r="G325" s="203">
        <v>4639.25</v>
      </c>
      <c r="H325" s="6">
        <f t="shared" si="5"/>
        <v>707.68220338983019</v>
      </c>
      <c r="I325" s="3" t="s">
        <v>113</v>
      </c>
      <c r="K325" t="s">
        <v>3386</v>
      </c>
      <c r="O325"/>
      <c r="P325"/>
      <c r="R325" s="87"/>
    </row>
    <row r="326" spans="2:18" hidden="1" x14ac:dyDescent="0.25">
      <c r="B326" s="3" t="s">
        <v>3280</v>
      </c>
      <c r="C326" s="3" t="s">
        <v>33</v>
      </c>
      <c r="D326" s="3" t="s">
        <v>3231</v>
      </c>
      <c r="E326" s="3" t="s">
        <v>110</v>
      </c>
      <c r="F326" s="3" t="s">
        <v>3370</v>
      </c>
      <c r="G326" s="203">
        <v>829.5</v>
      </c>
      <c r="H326" s="6">
        <f t="shared" si="5"/>
        <v>126.53389830508468</v>
      </c>
      <c r="I326" s="3" t="s">
        <v>113</v>
      </c>
      <c r="K326" t="s">
        <v>3386</v>
      </c>
      <c r="O326"/>
      <c r="P326"/>
      <c r="R326" s="87"/>
    </row>
    <row r="327" spans="2:18" hidden="1" x14ac:dyDescent="0.25">
      <c r="B327" s="3" t="s">
        <v>3248</v>
      </c>
      <c r="C327" s="3" t="s">
        <v>38</v>
      </c>
      <c r="D327" s="3" t="s">
        <v>3209</v>
      </c>
      <c r="E327" s="3" t="s">
        <v>110</v>
      </c>
      <c r="F327" s="3" t="s">
        <v>3370</v>
      </c>
      <c r="G327" s="203">
        <v>3766</v>
      </c>
      <c r="H327" s="6">
        <f t="shared" si="5"/>
        <v>574.47457627118638</v>
      </c>
      <c r="I327" s="3" t="s">
        <v>113</v>
      </c>
      <c r="K327" t="s">
        <v>3386</v>
      </c>
      <c r="O327"/>
      <c r="P327"/>
      <c r="R327" s="87"/>
    </row>
    <row r="328" spans="2:18" hidden="1" x14ac:dyDescent="0.25">
      <c r="B328" s="3" t="s">
        <v>3269</v>
      </c>
      <c r="C328" s="3" t="s">
        <v>38</v>
      </c>
      <c r="D328" s="3" t="s">
        <v>2666</v>
      </c>
      <c r="E328" s="3" t="s">
        <v>110</v>
      </c>
      <c r="F328" s="3" t="s">
        <v>3370</v>
      </c>
      <c r="G328" s="203">
        <v>1417.5</v>
      </c>
      <c r="H328" s="6">
        <f t="shared" si="5"/>
        <v>216.22881355932191</v>
      </c>
      <c r="I328" s="3" t="s">
        <v>113</v>
      </c>
      <c r="K328" t="s">
        <v>3386</v>
      </c>
      <c r="O328"/>
      <c r="P328"/>
      <c r="R328" s="87"/>
    </row>
    <row r="329" spans="2:18" hidden="1" x14ac:dyDescent="0.25">
      <c r="B329" s="3" t="s">
        <v>3270</v>
      </c>
      <c r="C329" s="3" t="s">
        <v>33</v>
      </c>
      <c r="D329" s="3" t="s">
        <v>2667</v>
      </c>
      <c r="E329" s="3" t="s">
        <v>110</v>
      </c>
      <c r="F329" s="3" t="s">
        <v>3370</v>
      </c>
      <c r="G329" s="203">
        <v>2754.5</v>
      </c>
      <c r="H329" s="6">
        <f t="shared" si="5"/>
        <v>420.17796610169489</v>
      </c>
      <c r="I329" s="3" t="s">
        <v>113</v>
      </c>
      <c r="K329" t="s">
        <v>3386</v>
      </c>
      <c r="O329"/>
      <c r="P329"/>
      <c r="R329" s="87"/>
    </row>
    <row r="330" spans="2:18" hidden="1" x14ac:dyDescent="0.25">
      <c r="B330" s="3" t="s">
        <v>3272</v>
      </c>
      <c r="C330" s="3" t="s">
        <v>38</v>
      </c>
      <c r="D330" s="3" t="s">
        <v>3224</v>
      </c>
      <c r="E330" s="3" t="s">
        <v>110</v>
      </c>
      <c r="F330" s="3" t="s">
        <v>3370</v>
      </c>
      <c r="G330" s="203">
        <v>1242.5</v>
      </c>
      <c r="H330" s="6">
        <f t="shared" ref="H330:H393" si="6">G330-G330/1.18</f>
        <v>189.53389830508468</v>
      </c>
      <c r="I330" s="3" t="s">
        <v>113</v>
      </c>
      <c r="K330" t="s">
        <v>3386</v>
      </c>
      <c r="O330"/>
      <c r="P330"/>
      <c r="R330" s="87"/>
    </row>
    <row r="331" spans="2:18" hidden="1" x14ac:dyDescent="0.25">
      <c r="B331" s="3" t="s">
        <v>3273</v>
      </c>
      <c r="C331" s="3" t="s">
        <v>33</v>
      </c>
      <c r="D331" s="3" t="s">
        <v>2670</v>
      </c>
      <c r="E331" s="3" t="s">
        <v>110</v>
      </c>
      <c r="F331" s="3" t="s">
        <v>3370</v>
      </c>
      <c r="G331" s="203">
        <v>1338.75</v>
      </c>
      <c r="H331" s="6">
        <f t="shared" si="6"/>
        <v>204.2161016949151</v>
      </c>
      <c r="I331" s="3" t="s">
        <v>113</v>
      </c>
      <c r="K331" t="s">
        <v>3386</v>
      </c>
      <c r="O331"/>
      <c r="P331"/>
      <c r="R331" s="87"/>
    </row>
    <row r="332" spans="2:18" hidden="1" x14ac:dyDescent="0.25">
      <c r="B332" s="3" t="s">
        <v>3275</v>
      </c>
      <c r="C332" s="3" t="s">
        <v>33</v>
      </c>
      <c r="D332" s="3" t="s">
        <v>3226</v>
      </c>
      <c r="E332" s="3" t="s">
        <v>110</v>
      </c>
      <c r="F332" s="3" t="s">
        <v>3370</v>
      </c>
      <c r="G332" s="203">
        <v>985.25</v>
      </c>
      <c r="H332" s="6">
        <f t="shared" si="6"/>
        <v>150.29237288135585</v>
      </c>
      <c r="I332" s="3" t="s">
        <v>113</v>
      </c>
      <c r="K332" t="s">
        <v>3386</v>
      </c>
      <c r="O332"/>
      <c r="P332"/>
      <c r="R332" s="87"/>
    </row>
    <row r="333" spans="2:18" hidden="1" x14ac:dyDescent="0.25">
      <c r="B333" s="3" t="s">
        <v>3281</v>
      </c>
      <c r="C333" s="3" t="s">
        <v>33</v>
      </c>
      <c r="D333" s="8" t="s">
        <v>3232</v>
      </c>
      <c r="E333" s="3" t="s">
        <v>110</v>
      </c>
      <c r="F333" s="3" t="s">
        <v>3370</v>
      </c>
      <c r="G333" s="203">
        <v>416.5</v>
      </c>
      <c r="H333" s="6">
        <f t="shared" si="6"/>
        <v>63.533898305084733</v>
      </c>
      <c r="I333" s="3" t="s">
        <v>113</v>
      </c>
      <c r="K333" t="s">
        <v>3386</v>
      </c>
      <c r="O333"/>
      <c r="P333"/>
      <c r="R333" s="87"/>
    </row>
    <row r="334" spans="2:18" hidden="1" x14ac:dyDescent="0.25">
      <c r="B334" s="3" t="s">
        <v>3088</v>
      </c>
      <c r="C334" s="3" t="s">
        <v>94</v>
      </c>
      <c r="D334" s="3" t="s">
        <v>2257</v>
      </c>
      <c r="E334" s="3" t="s">
        <v>106</v>
      </c>
      <c r="F334" s="3" t="s">
        <v>3370</v>
      </c>
      <c r="G334" s="6">
        <v>2185.75</v>
      </c>
      <c r="H334" s="6">
        <f t="shared" si="6"/>
        <v>333.41949152542361</v>
      </c>
      <c r="I334" s="3" t="s">
        <v>18</v>
      </c>
      <c r="K334" t="s">
        <v>3386</v>
      </c>
      <c r="O334"/>
      <c r="P334"/>
      <c r="R334" s="87"/>
    </row>
    <row r="335" spans="2:18" hidden="1" x14ac:dyDescent="0.25">
      <c r="B335" s="3" t="s">
        <v>3091</v>
      </c>
      <c r="C335" s="3" t="s">
        <v>94</v>
      </c>
      <c r="D335" s="3" t="s">
        <v>2260</v>
      </c>
      <c r="E335" s="3" t="s">
        <v>106</v>
      </c>
      <c r="F335" s="3" t="s">
        <v>3370</v>
      </c>
      <c r="G335" s="6">
        <v>12862.85</v>
      </c>
      <c r="H335" s="6">
        <f t="shared" si="6"/>
        <v>1962.1296610169484</v>
      </c>
      <c r="I335" s="3" t="s">
        <v>18</v>
      </c>
      <c r="K335" t="s">
        <v>3386</v>
      </c>
      <c r="O335"/>
      <c r="P335"/>
      <c r="R335" s="87"/>
    </row>
    <row r="336" spans="2:18" hidden="1" x14ac:dyDescent="0.25">
      <c r="B336" s="3" t="s">
        <v>3090</v>
      </c>
      <c r="C336" s="3" t="s">
        <v>94</v>
      </c>
      <c r="D336" s="3" t="s">
        <v>2259</v>
      </c>
      <c r="E336" s="3" t="s">
        <v>106</v>
      </c>
      <c r="F336" s="3" t="s">
        <v>3370</v>
      </c>
      <c r="G336" s="86">
        <v>17092.25</v>
      </c>
      <c r="H336" s="6">
        <f t="shared" si="6"/>
        <v>2607.2923728813548</v>
      </c>
      <c r="I336" s="3" t="s">
        <v>18</v>
      </c>
      <c r="K336" t="s">
        <v>3386</v>
      </c>
      <c r="O336"/>
      <c r="P336"/>
      <c r="R336" s="87"/>
    </row>
    <row r="337" spans="2:18" hidden="1" x14ac:dyDescent="0.25">
      <c r="B337" s="3" t="s">
        <v>3359</v>
      </c>
      <c r="C337" s="3" t="s">
        <v>96</v>
      </c>
      <c r="D337" s="3" t="s">
        <v>3323</v>
      </c>
      <c r="E337" s="3" t="s">
        <v>71</v>
      </c>
      <c r="F337" s="3" t="s">
        <v>3370</v>
      </c>
      <c r="G337" s="6">
        <v>50000</v>
      </c>
      <c r="H337" s="6">
        <f t="shared" si="6"/>
        <v>7627.118644067792</v>
      </c>
      <c r="I337" s="3" t="s">
        <v>18</v>
      </c>
      <c r="O337"/>
      <c r="P337"/>
      <c r="R337" s="87"/>
    </row>
    <row r="338" spans="2:18" hidden="1" x14ac:dyDescent="0.25">
      <c r="B338" s="3" t="s">
        <v>3359</v>
      </c>
      <c r="C338" s="3" t="s">
        <v>96</v>
      </c>
      <c r="D338" s="3" t="s">
        <v>3326</v>
      </c>
      <c r="E338" s="3" t="s">
        <v>71</v>
      </c>
      <c r="F338" s="3" t="s">
        <v>3370</v>
      </c>
      <c r="G338" s="6">
        <v>20000</v>
      </c>
      <c r="H338" s="6">
        <f t="shared" si="6"/>
        <v>3050.8474576271183</v>
      </c>
      <c r="I338" s="3" t="s">
        <v>18</v>
      </c>
      <c r="O338"/>
      <c r="P338"/>
      <c r="R338" s="87"/>
    </row>
    <row r="339" spans="2:18" hidden="1" x14ac:dyDescent="0.25">
      <c r="B339" s="3" t="s">
        <v>3359</v>
      </c>
      <c r="C339" s="3" t="s">
        <v>96</v>
      </c>
      <c r="D339" s="3" t="s">
        <v>3324</v>
      </c>
      <c r="E339" s="3" t="s">
        <v>71</v>
      </c>
      <c r="F339" s="3" t="s">
        <v>3370</v>
      </c>
      <c r="G339" s="6">
        <v>50000</v>
      </c>
      <c r="H339" s="6">
        <f t="shared" si="6"/>
        <v>7627.118644067792</v>
      </c>
      <c r="I339" s="3" t="s">
        <v>18</v>
      </c>
      <c r="N339">
        <v>17</v>
      </c>
      <c r="O339"/>
      <c r="P339"/>
      <c r="R339" s="87"/>
    </row>
    <row r="340" spans="2:18" hidden="1" x14ac:dyDescent="0.25">
      <c r="B340" s="3" t="s">
        <v>1694</v>
      </c>
      <c r="C340" s="3" t="s">
        <v>47</v>
      </c>
      <c r="D340" s="3" t="s">
        <v>1693</v>
      </c>
      <c r="E340" s="3" t="s">
        <v>115</v>
      </c>
      <c r="F340" s="3" t="s">
        <v>3370</v>
      </c>
      <c r="G340" s="6">
        <v>550000</v>
      </c>
      <c r="H340" s="6">
        <f t="shared" si="6"/>
        <v>83898.305084745749</v>
      </c>
      <c r="I340" s="3" t="s">
        <v>113</v>
      </c>
      <c r="O340"/>
      <c r="P340"/>
      <c r="R340" s="87"/>
    </row>
    <row r="341" spans="2:18" hidden="1" x14ac:dyDescent="0.25">
      <c r="B341" s="3" t="s">
        <v>1075</v>
      </c>
      <c r="C341" s="3" t="s">
        <v>74</v>
      </c>
      <c r="D341" s="3" t="s">
        <v>1131</v>
      </c>
      <c r="E341" s="3" t="s">
        <v>90</v>
      </c>
      <c r="F341" s="3" t="s">
        <v>3387</v>
      </c>
      <c r="G341" s="73">
        <v>13470.48</v>
      </c>
      <c r="H341" s="251">
        <f t="shared" si="6"/>
        <v>2054.8189830508472</v>
      </c>
      <c r="I341" s="3" t="s">
        <v>18</v>
      </c>
      <c r="R341" s="87"/>
    </row>
    <row r="342" spans="2:18" hidden="1" x14ac:dyDescent="0.25">
      <c r="B342" s="3" t="s">
        <v>3359</v>
      </c>
      <c r="C342" s="3" t="s">
        <v>96</v>
      </c>
      <c r="D342" s="3" t="s">
        <v>3325</v>
      </c>
      <c r="E342" s="3" t="s">
        <v>71</v>
      </c>
      <c r="F342" s="3" t="s">
        <v>3370</v>
      </c>
      <c r="G342" s="6">
        <v>20000</v>
      </c>
      <c r="H342" s="6">
        <f t="shared" si="6"/>
        <v>3050.8474576271183</v>
      </c>
      <c r="I342" s="3" t="s">
        <v>18</v>
      </c>
      <c r="K342" s="79"/>
      <c r="N342">
        <v>72</v>
      </c>
      <c r="O342"/>
      <c r="P342"/>
      <c r="R342" s="87"/>
    </row>
    <row r="343" spans="2:18" hidden="1" x14ac:dyDescent="0.25">
      <c r="B343" s="3" t="s">
        <v>3358</v>
      </c>
      <c r="C343" s="3" t="s">
        <v>96</v>
      </c>
      <c r="D343" s="3" t="s">
        <v>3341</v>
      </c>
      <c r="E343" s="3" t="s">
        <v>71</v>
      </c>
      <c r="F343" s="3" t="s">
        <v>3370</v>
      </c>
      <c r="G343" s="6">
        <v>10000</v>
      </c>
      <c r="H343" s="6">
        <f t="shared" si="6"/>
        <v>1525.4237288135591</v>
      </c>
      <c r="I343" s="3" t="s">
        <v>18</v>
      </c>
      <c r="N343">
        <v>77</v>
      </c>
      <c r="O343"/>
      <c r="P343"/>
      <c r="R343" s="87"/>
    </row>
    <row r="344" spans="2:18" hidden="1" x14ac:dyDescent="0.25">
      <c r="B344" s="3" t="s">
        <v>3359</v>
      </c>
      <c r="C344" s="3" t="s">
        <v>96</v>
      </c>
      <c r="D344" s="3" t="s">
        <v>3337</v>
      </c>
      <c r="E344" s="3" t="s">
        <v>71</v>
      </c>
      <c r="F344" s="3" t="s">
        <v>3370</v>
      </c>
      <c r="G344" s="6">
        <v>70000</v>
      </c>
      <c r="H344" s="6">
        <f t="shared" si="6"/>
        <v>10677.96610169491</v>
      </c>
      <c r="I344" s="3" t="s">
        <v>18</v>
      </c>
      <c r="O344"/>
      <c r="P344"/>
      <c r="R344" s="87"/>
    </row>
    <row r="345" spans="2:18" hidden="1" x14ac:dyDescent="0.25">
      <c r="B345" s="3" t="s">
        <v>3359</v>
      </c>
      <c r="C345" s="3" t="s">
        <v>96</v>
      </c>
      <c r="D345" s="3" t="s">
        <v>3332</v>
      </c>
      <c r="E345" s="3" t="s">
        <v>71</v>
      </c>
      <c r="F345" s="3" t="s">
        <v>3370</v>
      </c>
      <c r="G345" s="6">
        <v>25000</v>
      </c>
      <c r="H345" s="6">
        <f t="shared" si="6"/>
        <v>3813.559322033896</v>
      </c>
      <c r="I345" s="3" t="s">
        <v>18</v>
      </c>
      <c r="N345">
        <v>34</v>
      </c>
      <c r="O345"/>
      <c r="P345"/>
      <c r="R345" s="87"/>
    </row>
    <row r="346" spans="2:18" hidden="1" x14ac:dyDescent="0.25">
      <c r="B346" s="3" t="s">
        <v>3359</v>
      </c>
      <c r="C346" s="3" t="s">
        <v>96</v>
      </c>
      <c r="D346" s="3" t="s">
        <v>3336</v>
      </c>
      <c r="E346" s="3" t="s">
        <v>71</v>
      </c>
      <c r="F346" s="3" t="s">
        <v>3370</v>
      </c>
      <c r="G346" s="6">
        <v>10000</v>
      </c>
      <c r="H346" s="6">
        <f t="shared" si="6"/>
        <v>1525.4237288135591</v>
      </c>
      <c r="I346" s="3" t="s">
        <v>18</v>
      </c>
      <c r="N346">
        <v>29</v>
      </c>
      <c r="O346"/>
      <c r="P346"/>
      <c r="R346" s="87"/>
    </row>
    <row r="347" spans="2:18" hidden="1" x14ac:dyDescent="0.25">
      <c r="B347" s="3" t="s">
        <v>3358</v>
      </c>
      <c r="C347" s="3" t="s">
        <v>96</v>
      </c>
      <c r="D347" s="3" t="s">
        <v>3342</v>
      </c>
      <c r="E347" s="3" t="s">
        <v>71</v>
      </c>
      <c r="F347" s="3" t="s">
        <v>3370</v>
      </c>
      <c r="G347" s="6">
        <v>50000</v>
      </c>
      <c r="H347" s="6">
        <f t="shared" si="6"/>
        <v>7627.118644067792</v>
      </c>
      <c r="I347" s="3" t="s">
        <v>18</v>
      </c>
      <c r="O347"/>
      <c r="P347"/>
      <c r="R347" s="87"/>
    </row>
    <row r="348" spans="2:18" hidden="1" x14ac:dyDescent="0.25">
      <c r="B348" s="3" t="s">
        <v>3358</v>
      </c>
      <c r="C348" s="3" t="s">
        <v>96</v>
      </c>
      <c r="D348" s="3" t="s">
        <v>3340</v>
      </c>
      <c r="E348" s="3" t="s">
        <v>71</v>
      </c>
      <c r="F348" s="3" t="s">
        <v>3370</v>
      </c>
      <c r="G348" s="6">
        <v>50000</v>
      </c>
      <c r="H348" s="6">
        <f t="shared" si="6"/>
        <v>7627.118644067792</v>
      </c>
      <c r="I348" s="3" t="s">
        <v>18</v>
      </c>
      <c r="O348"/>
      <c r="P348"/>
      <c r="R348" s="87"/>
    </row>
    <row r="349" spans="2:18" hidden="1" x14ac:dyDescent="0.25">
      <c r="B349" s="3" t="s">
        <v>3358</v>
      </c>
      <c r="C349" s="3" t="s">
        <v>96</v>
      </c>
      <c r="D349" s="3" t="s">
        <v>3339</v>
      </c>
      <c r="E349" s="3" t="s">
        <v>71</v>
      </c>
      <c r="F349" s="3" t="s">
        <v>3370</v>
      </c>
      <c r="G349" s="6">
        <v>50000</v>
      </c>
      <c r="H349" s="6">
        <f t="shared" si="6"/>
        <v>7627.118644067792</v>
      </c>
      <c r="I349" s="3" t="s">
        <v>18</v>
      </c>
      <c r="O349"/>
      <c r="P349"/>
      <c r="R349" s="87"/>
    </row>
    <row r="350" spans="2:18" hidden="1" x14ac:dyDescent="0.25">
      <c r="B350" s="3" t="s">
        <v>3358</v>
      </c>
      <c r="C350" s="3" t="s">
        <v>96</v>
      </c>
      <c r="D350" s="3" t="s">
        <v>3344</v>
      </c>
      <c r="E350" s="3" t="s">
        <v>71</v>
      </c>
      <c r="F350" s="3" t="s">
        <v>3370</v>
      </c>
      <c r="G350" s="6">
        <v>15000</v>
      </c>
      <c r="H350" s="6">
        <f t="shared" si="6"/>
        <v>2288.1355932203387</v>
      </c>
      <c r="I350" s="3" t="s">
        <v>18</v>
      </c>
      <c r="N350">
        <v>70</v>
      </c>
      <c r="O350"/>
      <c r="P350"/>
      <c r="R350" s="87"/>
    </row>
    <row r="351" spans="2:18" hidden="1" x14ac:dyDescent="0.25">
      <c r="B351" s="3" t="s">
        <v>3358</v>
      </c>
      <c r="C351" s="3" t="s">
        <v>96</v>
      </c>
      <c r="D351" s="3" t="s">
        <v>3343</v>
      </c>
      <c r="E351" s="3" t="s">
        <v>71</v>
      </c>
      <c r="F351" s="3" t="s">
        <v>3370</v>
      </c>
      <c r="G351" s="6">
        <v>50000</v>
      </c>
      <c r="H351" s="6">
        <f t="shared" si="6"/>
        <v>7627.118644067792</v>
      </c>
      <c r="I351" s="3" t="s">
        <v>18</v>
      </c>
      <c r="O351"/>
      <c r="P351"/>
      <c r="R351" s="87"/>
    </row>
    <row r="352" spans="2:18" hidden="1" x14ac:dyDescent="0.25">
      <c r="B352" s="3" t="s">
        <v>3359</v>
      </c>
      <c r="C352" s="3" t="s">
        <v>96</v>
      </c>
      <c r="D352" s="3" t="s">
        <v>3330</v>
      </c>
      <c r="E352" s="3" t="s">
        <v>71</v>
      </c>
      <c r="F352" s="3" t="s">
        <v>3370</v>
      </c>
      <c r="G352" s="6">
        <v>60000</v>
      </c>
      <c r="H352" s="6">
        <f t="shared" si="6"/>
        <v>9152.5423728813548</v>
      </c>
      <c r="I352" s="3" t="s">
        <v>18</v>
      </c>
      <c r="O352"/>
      <c r="P352"/>
      <c r="R352" s="87"/>
    </row>
    <row r="353" spans="2:18" hidden="1" x14ac:dyDescent="0.25">
      <c r="B353" s="3" t="s">
        <v>3359</v>
      </c>
      <c r="C353" s="3" t="s">
        <v>96</v>
      </c>
      <c r="D353" s="3" t="s">
        <v>3329</v>
      </c>
      <c r="E353" s="3" t="s">
        <v>71</v>
      </c>
      <c r="F353" s="3" t="s">
        <v>3370</v>
      </c>
      <c r="G353" s="6">
        <v>10000</v>
      </c>
      <c r="H353" s="6">
        <f t="shared" si="6"/>
        <v>1525.4237288135591</v>
      </c>
      <c r="I353" s="3" t="s">
        <v>18</v>
      </c>
      <c r="J353" s="18"/>
      <c r="N353">
        <v>4</v>
      </c>
      <c r="O353"/>
      <c r="P353"/>
      <c r="R353" s="87"/>
    </row>
    <row r="354" spans="2:18" ht="30" hidden="1" x14ac:dyDescent="0.25">
      <c r="B354" s="3" t="s">
        <v>704</v>
      </c>
      <c r="C354" s="3"/>
      <c r="D354" s="250" t="s">
        <v>3377</v>
      </c>
      <c r="E354" s="3" t="s">
        <v>701</v>
      </c>
      <c r="F354" s="3" t="s">
        <v>3370</v>
      </c>
      <c r="G354" s="6">
        <v>1340506</v>
      </c>
      <c r="H354" s="6">
        <f t="shared" si="6"/>
        <v>204483.96610169485</v>
      </c>
      <c r="I354" s="3" t="s">
        <v>18</v>
      </c>
      <c r="K354" t="s">
        <v>3386</v>
      </c>
      <c r="O354"/>
      <c r="P354"/>
      <c r="R354" s="87"/>
    </row>
    <row r="355" spans="2:18" hidden="1" x14ac:dyDescent="0.25">
      <c r="B355" s="3" t="s">
        <v>1436</v>
      </c>
      <c r="C355" s="3" t="s">
        <v>73</v>
      </c>
      <c r="D355" s="3" t="s">
        <v>1326</v>
      </c>
      <c r="E355" s="3" t="s">
        <v>90</v>
      </c>
      <c r="F355" s="3" t="s">
        <v>3387</v>
      </c>
      <c r="G355" s="6">
        <v>700000</v>
      </c>
      <c r="H355" s="6">
        <f t="shared" si="6"/>
        <v>106779.6610169491</v>
      </c>
      <c r="I355" s="3" t="s">
        <v>113</v>
      </c>
      <c r="O355"/>
      <c r="P355"/>
      <c r="R355" s="87"/>
    </row>
    <row r="356" spans="2:18" hidden="1" x14ac:dyDescent="0.25">
      <c r="B356" s="3" t="s">
        <v>2413</v>
      </c>
      <c r="C356" s="3" t="s">
        <v>29</v>
      </c>
      <c r="D356" s="3" t="s">
        <v>2373</v>
      </c>
      <c r="E356" s="3" t="s">
        <v>117</v>
      </c>
      <c r="F356" s="3" t="s">
        <v>3387</v>
      </c>
      <c r="G356" s="6">
        <v>476</v>
      </c>
      <c r="H356" s="6">
        <f t="shared" si="6"/>
        <v>72.610169491525426</v>
      </c>
      <c r="I356" s="3" t="s">
        <v>113</v>
      </c>
      <c r="O356"/>
      <c r="P356"/>
      <c r="R356" s="87"/>
    </row>
    <row r="357" spans="2:18" hidden="1" x14ac:dyDescent="0.25">
      <c r="B357" s="3" t="s">
        <v>2417</v>
      </c>
      <c r="C357" s="3" t="s">
        <v>29</v>
      </c>
      <c r="D357" s="3" t="s">
        <v>2374</v>
      </c>
      <c r="E357" s="3" t="s">
        <v>117</v>
      </c>
      <c r="F357" s="3" t="s">
        <v>3387</v>
      </c>
      <c r="G357" s="6">
        <v>427</v>
      </c>
      <c r="H357" s="6">
        <f t="shared" si="6"/>
        <v>65.13559322033899</v>
      </c>
      <c r="I357" s="3" t="s">
        <v>113</v>
      </c>
      <c r="O357"/>
      <c r="P357"/>
      <c r="R357" s="87"/>
    </row>
    <row r="358" spans="2:18" hidden="1" x14ac:dyDescent="0.25">
      <c r="B358" s="3" t="s">
        <v>2423</v>
      </c>
      <c r="C358" s="3" t="s">
        <v>29</v>
      </c>
      <c r="D358" s="3" t="s">
        <v>2377</v>
      </c>
      <c r="E358" s="3" t="s">
        <v>117</v>
      </c>
      <c r="F358" s="3" t="s">
        <v>3387</v>
      </c>
      <c r="G358" s="6">
        <v>610.75</v>
      </c>
      <c r="H358" s="6">
        <f t="shared" si="6"/>
        <v>93.165254237288082</v>
      </c>
      <c r="I358" s="3" t="s">
        <v>113</v>
      </c>
      <c r="O358"/>
      <c r="P358"/>
      <c r="R358" s="87"/>
    </row>
    <row r="359" spans="2:18" hidden="1" x14ac:dyDescent="0.25">
      <c r="B359" s="3" t="s">
        <v>2514</v>
      </c>
      <c r="C359" s="3" t="s">
        <v>88</v>
      </c>
      <c r="D359" s="3" t="s">
        <v>3389</v>
      </c>
      <c r="E359" s="3" t="s">
        <v>117</v>
      </c>
      <c r="F359" s="3" t="s">
        <v>3387</v>
      </c>
      <c r="G359" s="6">
        <v>3098.375</v>
      </c>
      <c r="H359" s="6">
        <f t="shared" si="6"/>
        <v>472.63347457627106</v>
      </c>
      <c r="I359" s="3" t="s">
        <v>18</v>
      </c>
      <c r="O359"/>
      <c r="P359"/>
      <c r="R359" s="87"/>
    </row>
    <row r="360" spans="2:18" hidden="1" x14ac:dyDescent="0.25">
      <c r="B360" s="3" t="s">
        <v>2514</v>
      </c>
      <c r="C360" s="3" t="s">
        <v>88</v>
      </c>
      <c r="D360" s="3" t="s">
        <v>3391</v>
      </c>
      <c r="E360" s="3" t="s">
        <v>117</v>
      </c>
      <c r="F360" s="3" t="s">
        <v>3387</v>
      </c>
      <c r="G360" s="6">
        <v>2896.25</v>
      </c>
      <c r="H360" s="6">
        <f t="shared" si="6"/>
        <v>441.80084745762679</v>
      </c>
      <c r="I360" s="3" t="s">
        <v>18</v>
      </c>
      <c r="O360"/>
      <c r="P360"/>
      <c r="R360" s="87"/>
    </row>
    <row r="361" spans="2:18" hidden="1" x14ac:dyDescent="0.25">
      <c r="B361" s="3" t="s">
        <v>2514</v>
      </c>
      <c r="C361" s="3" t="s">
        <v>88</v>
      </c>
      <c r="D361" s="3" t="s">
        <v>3392</v>
      </c>
      <c r="E361" s="3" t="s">
        <v>117</v>
      </c>
      <c r="F361" s="3" t="s">
        <v>3387</v>
      </c>
      <c r="G361" s="6">
        <v>2873.5</v>
      </c>
      <c r="H361" s="6">
        <f t="shared" si="6"/>
        <v>438.33050847457616</v>
      </c>
      <c r="I361" s="3" t="s">
        <v>18</v>
      </c>
      <c r="O361"/>
      <c r="P361"/>
      <c r="R361" s="87"/>
    </row>
    <row r="362" spans="2:18" hidden="1" x14ac:dyDescent="0.25">
      <c r="B362" s="3" t="s">
        <v>2514</v>
      </c>
      <c r="C362" s="3" t="s">
        <v>88</v>
      </c>
      <c r="D362" s="3" t="s">
        <v>3395</v>
      </c>
      <c r="E362" s="3" t="s">
        <v>117</v>
      </c>
      <c r="F362" s="3" t="s">
        <v>3387</v>
      </c>
      <c r="G362" s="6">
        <v>6091.75</v>
      </c>
      <c r="H362" s="6">
        <f t="shared" si="6"/>
        <v>929.25</v>
      </c>
      <c r="I362" s="3" t="s">
        <v>18</v>
      </c>
      <c r="O362"/>
      <c r="P362"/>
      <c r="R362" s="87"/>
    </row>
    <row r="363" spans="2:18" hidden="1" x14ac:dyDescent="0.25">
      <c r="B363" s="3" t="s">
        <v>2514</v>
      </c>
      <c r="C363" s="3" t="s">
        <v>88</v>
      </c>
      <c r="D363" s="3" t="s">
        <v>3397</v>
      </c>
      <c r="E363" s="3" t="s">
        <v>117</v>
      </c>
      <c r="F363" s="3" t="s">
        <v>3387</v>
      </c>
      <c r="G363" s="6">
        <v>2823.625</v>
      </c>
      <c r="H363" s="6">
        <f t="shared" si="6"/>
        <v>430.72245762711873</v>
      </c>
      <c r="I363" s="3" t="s">
        <v>18</v>
      </c>
      <c r="O363"/>
      <c r="P363"/>
      <c r="R363" s="87"/>
    </row>
    <row r="364" spans="2:18" hidden="1" x14ac:dyDescent="0.25">
      <c r="B364" s="3" t="s">
        <v>2514</v>
      </c>
      <c r="C364" s="3" t="s">
        <v>88</v>
      </c>
      <c r="D364" s="3" t="s">
        <v>3399</v>
      </c>
      <c r="E364" s="3" t="s">
        <v>117</v>
      </c>
      <c r="F364" s="3" t="s">
        <v>3387</v>
      </c>
      <c r="G364" s="6">
        <v>2877.875</v>
      </c>
      <c r="H364" s="6">
        <f t="shared" si="6"/>
        <v>438.9978813559319</v>
      </c>
      <c r="I364" s="3" t="s">
        <v>18</v>
      </c>
      <c r="O364"/>
      <c r="P364"/>
      <c r="R364" s="87"/>
    </row>
    <row r="365" spans="2:18" hidden="1" x14ac:dyDescent="0.25">
      <c r="B365" s="3" t="s">
        <v>2514</v>
      </c>
      <c r="C365" s="3" t="s">
        <v>88</v>
      </c>
      <c r="D365" s="3" t="s">
        <v>3400</v>
      </c>
      <c r="E365" s="3" t="s">
        <v>117</v>
      </c>
      <c r="F365" s="3" t="s">
        <v>3387</v>
      </c>
      <c r="G365" s="6">
        <v>2884</v>
      </c>
      <c r="H365" s="6">
        <f t="shared" si="6"/>
        <v>439.93220338983019</v>
      </c>
      <c r="I365" s="3" t="s">
        <v>18</v>
      </c>
      <c r="O365"/>
      <c r="P365"/>
      <c r="R365" s="87"/>
    </row>
    <row r="366" spans="2:18" hidden="1" x14ac:dyDescent="0.25">
      <c r="B366" s="3" t="s">
        <v>2514</v>
      </c>
      <c r="C366" s="3" t="s">
        <v>88</v>
      </c>
      <c r="D366" s="3" t="s">
        <v>3402</v>
      </c>
      <c r="E366" s="3" t="s">
        <v>117</v>
      </c>
      <c r="F366" s="3" t="s">
        <v>3387</v>
      </c>
      <c r="G366" s="6">
        <v>2007.25</v>
      </c>
      <c r="H366" s="6">
        <f t="shared" si="6"/>
        <v>306.1906779661017</v>
      </c>
      <c r="I366" s="3" t="s">
        <v>18</v>
      </c>
      <c r="O366"/>
      <c r="P366"/>
      <c r="R366" s="87"/>
    </row>
    <row r="367" spans="2:18" hidden="1" x14ac:dyDescent="0.25">
      <c r="B367" s="3" t="s">
        <v>2514</v>
      </c>
      <c r="C367" s="3" t="s">
        <v>88</v>
      </c>
      <c r="D367" s="3" t="s">
        <v>3404</v>
      </c>
      <c r="E367" s="3" t="s">
        <v>117</v>
      </c>
      <c r="F367" s="3" t="s">
        <v>3387</v>
      </c>
      <c r="G367" s="6">
        <v>2924.25</v>
      </c>
      <c r="H367" s="6">
        <f t="shared" si="6"/>
        <v>446.07203389830511</v>
      </c>
      <c r="I367" s="3" t="s">
        <v>18</v>
      </c>
      <c r="O367"/>
      <c r="P367"/>
      <c r="R367" s="87"/>
    </row>
    <row r="368" spans="2:18" hidden="1" x14ac:dyDescent="0.25">
      <c r="B368" s="3" t="s">
        <v>2514</v>
      </c>
      <c r="C368" s="3" t="s">
        <v>88</v>
      </c>
      <c r="D368" s="3" t="s">
        <v>3410</v>
      </c>
      <c r="E368" s="3" t="s">
        <v>117</v>
      </c>
      <c r="F368" s="3" t="s">
        <v>3387</v>
      </c>
      <c r="G368" s="6">
        <v>2975.875</v>
      </c>
      <c r="H368" s="6">
        <f t="shared" si="6"/>
        <v>453.94703389830511</v>
      </c>
      <c r="I368" s="3" t="s">
        <v>18</v>
      </c>
      <c r="O368"/>
      <c r="P368"/>
      <c r="R368" s="87"/>
    </row>
    <row r="369" spans="2:18" hidden="1" x14ac:dyDescent="0.25">
      <c r="B369" s="3" t="s">
        <v>2514</v>
      </c>
      <c r="C369" s="3" t="s">
        <v>88</v>
      </c>
      <c r="D369" s="3" t="s">
        <v>3411</v>
      </c>
      <c r="E369" s="3" t="s">
        <v>117</v>
      </c>
      <c r="F369" s="3" t="s">
        <v>3387</v>
      </c>
      <c r="G369" s="6">
        <v>3120.25</v>
      </c>
      <c r="H369" s="6">
        <f t="shared" si="6"/>
        <v>475.97033898305062</v>
      </c>
      <c r="I369" s="3" t="s">
        <v>18</v>
      </c>
      <c r="O369"/>
      <c r="P369"/>
      <c r="R369" s="87"/>
    </row>
    <row r="370" spans="2:18" hidden="1" x14ac:dyDescent="0.25">
      <c r="B370" s="3" t="s">
        <v>2514</v>
      </c>
      <c r="C370" s="3" t="s">
        <v>88</v>
      </c>
      <c r="D370" s="3" t="s">
        <v>3412</v>
      </c>
      <c r="E370" s="3" t="s">
        <v>117</v>
      </c>
      <c r="F370" s="3" t="s">
        <v>3387</v>
      </c>
      <c r="G370" s="6">
        <v>2875.25</v>
      </c>
      <c r="H370" s="6">
        <f t="shared" si="6"/>
        <v>438.59745762711873</v>
      </c>
      <c r="I370" s="3" t="s">
        <v>18</v>
      </c>
      <c r="O370"/>
      <c r="P370"/>
      <c r="R370" s="87"/>
    </row>
    <row r="371" spans="2:18" hidden="1" x14ac:dyDescent="0.25">
      <c r="B371" s="3" t="s">
        <v>2514</v>
      </c>
      <c r="C371" s="3" t="s">
        <v>88</v>
      </c>
      <c r="D371" s="3" t="s">
        <v>3413</v>
      </c>
      <c r="E371" s="3" t="s">
        <v>117</v>
      </c>
      <c r="F371" s="3" t="s">
        <v>3387</v>
      </c>
      <c r="G371" s="6">
        <v>2867.375</v>
      </c>
      <c r="H371" s="6">
        <f t="shared" si="6"/>
        <v>437.39618644067787</v>
      </c>
      <c r="I371" s="3" t="s">
        <v>18</v>
      </c>
      <c r="O371"/>
      <c r="P371"/>
      <c r="R371" s="87"/>
    </row>
    <row r="372" spans="2:18" hidden="1" x14ac:dyDescent="0.25">
      <c r="B372" s="3" t="s">
        <v>2514</v>
      </c>
      <c r="C372" s="3" t="s">
        <v>88</v>
      </c>
      <c r="D372" s="3" t="s">
        <v>3414</v>
      </c>
      <c r="E372" s="3" t="s">
        <v>117</v>
      </c>
      <c r="F372" s="3" t="s">
        <v>3387</v>
      </c>
      <c r="G372" s="6">
        <v>2665.25</v>
      </c>
      <c r="H372" s="6">
        <f t="shared" si="6"/>
        <v>406.5635593220336</v>
      </c>
      <c r="I372" s="3" t="s">
        <v>18</v>
      </c>
      <c r="O372"/>
      <c r="P372"/>
      <c r="R372" s="87"/>
    </row>
    <row r="373" spans="2:18" hidden="1" x14ac:dyDescent="0.25">
      <c r="B373" s="3" t="s">
        <v>2514</v>
      </c>
      <c r="C373" s="3" t="s">
        <v>88</v>
      </c>
      <c r="D373" s="3" t="s">
        <v>3416</v>
      </c>
      <c r="E373" s="3" t="s">
        <v>117</v>
      </c>
      <c r="F373" s="3" t="s">
        <v>3387</v>
      </c>
      <c r="G373" s="6">
        <v>2891.875</v>
      </c>
      <c r="H373" s="6">
        <f t="shared" si="6"/>
        <v>441.13347457627106</v>
      </c>
      <c r="I373" s="3" t="s">
        <v>18</v>
      </c>
      <c r="O373"/>
      <c r="P373"/>
      <c r="R373" s="87"/>
    </row>
    <row r="374" spans="2:18" hidden="1" x14ac:dyDescent="0.25">
      <c r="B374" s="3" t="s">
        <v>2514</v>
      </c>
      <c r="C374" s="3" t="s">
        <v>88</v>
      </c>
      <c r="D374" s="3" t="s">
        <v>3418</v>
      </c>
      <c r="E374" s="3" t="s">
        <v>117</v>
      </c>
      <c r="F374" s="3" t="s">
        <v>3387</v>
      </c>
      <c r="G374" s="6">
        <v>3004.75</v>
      </c>
      <c r="H374" s="6">
        <f t="shared" si="6"/>
        <v>458.35169491525403</v>
      </c>
      <c r="I374" s="3" t="s">
        <v>18</v>
      </c>
      <c r="O374"/>
      <c r="P374"/>
      <c r="R374" s="87"/>
    </row>
    <row r="375" spans="2:18" hidden="1" x14ac:dyDescent="0.25">
      <c r="B375" s="3" t="s">
        <v>2514</v>
      </c>
      <c r="C375" s="3" t="s">
        <v>88</v>
      </c>
      <c r="D375" s="3" t="s">
        <v>3423</v>
      </c>
      <c r="E375" s="3" t="s">
        <v>117</v>
      </c>
      <c r="F375" s="3" t="s">
        <v>3387</v>
      </c>
      <c r="G375" s="6">
        <v>6021.75</v>
      </c>
      <c r="H375" s="6">
        <f t="shared" si="6"/>
        <v>918.57203389830465</v>
      </c>
      <c r="I375" s="3" t="s">
        <v>18</v>
      </c>
      <c r="O375"/>
      <c r="P375"/>
      <c r="R375" s="87"/>
    </row>
    <row r="376" spans="2:18" hidden="1" x14ac:dyDescent="0.25">
      <c r="B376" s="3" t="s">
        <v>2514</v>
      </c>
      <c r="C376" s="3" t="s">
        <v>88</v>
      </c>
      <c r="D376" s="3" t="s">
        <v>3424</v>
      </c>
      <c r="E376" s="3" t="s">
        <v>117</v>
      </c>
      <c r="F376" s="3" t="s">
        <v>3387</v>
      </c>
      <c r="G376" s="6">
        <v>1760.5</v>
      </c>
      <c r="H376" s="6">
        <f t="shared" si="6"/>
        <v>268.55084745762701</v>
      </c>
      <c r="I376" s="3" t="s">
        <v>18</v>
      </c>
      <c r="O376"/>
      <c r="P376"/>
      <c r="R376" s="87"/>
    </row>
    <row r="377" spans="2:18" hidden="1" x14ac:dyDescent="0.25">
      <c r="B377" s="3" t="s">
        <v>2514</v>
      </c>
      <c r="C377" s="3" t="s">
        <v>88</v>
      </c>
      <c r="D377" s="3" t="s">
        <v>3425</v>
      </c>
      <c r="E377" s="3" t="s">
        <v>117</v>
      </c>
      <c r="F377" s="3" t="s">
        <v>3387</v>
      </c>
      <c r="G377" s="6">
        <v>2978.5</v>
      </c>
      <c r="H377" s="6">
        <f t="shared" si="6"/>
        <v>454.34745762711873</v>
      </c>
      <c r="I377" s="3" t="s">
        <v>18</v>
      </c>
      <c r="J377" s="18"/>
      <c r="O377"/>
      <c r="P377"/>
      <c r="R377" s="87"/>
    </row>
    <row r="378" spans="2:18" hidden="1" x14ac:dyDescent="0.25">
      <c r="B378" s="3" t="s">
        <v>2565</v>
      </c>
      <c r="C378" s="3" t="s">
        <v>93</v>
      </c>
      <c r="D378" s="3" t="s">
        <v>2506</v>
      </c>
      <c r="E378" s="3" t="s">
        <v>117</v>
      </c>
      <c r="F378" s="3" t="s">
        <v>3387</v>
      </c>
      <c r="G378" s="6">
        <v>402.5</v>
      </c>
      <c r="H378" s="6">
        <f t="shared" si="6"/>
        <v>61.398305084745743</v>
      </c>
      <c r="I378" s="3" t="s">
        <v>18</v>
      </c>
      <c r="O378"/>
      <c r="P378"/>
      <c r="R378" s="87"/>
    </row>
    <row r="379" spans="2:18" hidden="1" x14ac:dyDescent="0.25">
      <c r="B379" s="3" t="s">
        <v>3288</v>
      </c>
      <c r="C379" s="3" t="s">
        <v>96</v>
      </c>
      <c r="D379" s="3" t="s">
        <v>3427</v>
      </c>
      <c r="E379" s="3" t="s">
        <v>110</v>
      </c>
      <c r="F379" s="3" t="s">
        <v>3387</v>
      </c>
      <c r="G379" s="6">
        <v>1333.5</v>
      </c>
      <c r="H379" s="6">
        <f t="shared" si="6"/>
        <v>203.41525423728808</v>
      </c>
      <c r="I379" s="3" t="s">
        <v>18</v>
      </c>
      <c r="O379"/>
      <c r="P379"/>
      <c r="R379" s="87"/>
    </row>
    <row r="380" spans="2:18" hidden="1" x14ac:dyDescent="0.25">
      <c r="B380" s="3" t="s">
        <v>3288</v>
      </c>
      <c r="C380" s="3" t="s">
        <v>96</v>
      </c>
      <c r="D380" s="3" t="s">
        <v>3429</v>
      </c>
      <c r="E380" s="3" t="s">
        <v>110</v>
      </c>
      <c r="F380" s="3" t="s">
        <v>3387</v>
      </c>
      <c r="G380" s="6">
        <v>1708</v>
      </c>
      <c r="H380" s="6">
        <f t="shared" si="6"/>
        <v>260.54237288135596</v>
      </c>
      <c r="I380" s="3" t="s">
        <v>18</v>
      </c>
      <c r="O380"/>
      <c r="P380"/>
      <c r="R380" s="87"/>
    </row>
    <row r="381" spans="2:18" hidden="1" x14ac:dyDescent="0.25">
      <c r="B381" s="3" t="s">
        <v>3288</v>
      </c>
      <c r="C381" s="3" t="s">
        <v>96</v>
      </c>
      <c r="D381" s="3" t="s">
        <v>3430</v>
      </c>
      <c r="E381" s="3" t="s">
        <v>110</v>
      </c>
      <c r="F381" s="3" t="s">
        <v>3387</v>
      </c>
      <c r="G381" s="6">
        <v>1275.75</v>
      </c>
      <c r="H381" s="6">
        <f t="shared" si="6"/>
        <v>194.60593220338978</v>
      </c>
      <c r="I381" s="3" t="s">
        <v>18</v>
      </c>
      <c r="O381"/>
      <c r="P381"/>
      <c r="R381" s="87"/>
    </row>
    <row r="382" spans="2:18" hidden="1" x14ac:dyDescent="0.25">
      <c r="B382" s="3" t="s">
        <v>3288</v>
      </c>
      <c r="C382" s="3" t="s">
        <v>96</v>
      </c>
      <c r="D382" s="3" t="s">
        <v>3433</v>
      </c>
      <c r="E382" s="3" t="s">
        <v>110</v>
      </c>
      <c r="F382" s="3" t="s">
        <v>3387</v>
      </c>
      <c r="G382" s="6">
        <v>2037</v>
      </c>
      <c r="H382" s="6">
        <f t="shared" si="6"/>
        <v>310.72881355932191</v>
      </c>
      <c r="I382" s="3" t="s">
        <v>18</v>
      </c>
      <c r="O382"/>
      <c r="P382"/>
      <c r="R382" s="87"/>
    </row>
    <row r="383" spans="2:18" hidden="1" x14ac:dyDescent="0.25">
      <c r="B383" s="3" t="s">
        <v>3288</v>
      </c>
      <c r="C383" s="3" t="s">
        <v>96</v>
      </c>
      <c r="D383" s="3" t="s">
        <v>3435</v>
      </c>
      <c r="E383" s="3" t="s">
        <v>110</v>
      </c>
      <c r="F383" s="3" t="s">
        <v>3387</v>
      </c>
      <c r="G383" s="6">
        <v>1998.5</v>
      </c>
      <c r="H383" s="6">
        <f t="shared" si="6"/>
        <v>304.85593220338978</v>
      </c>
      <c r="I383" s="3" t="s">
        <v>18</v>
      </c>
      <c r="O383"/>
      <c r="P383"/>
      <c r="R383" s="87"/>
    </row>
    <row r="384" spans="2:18" hidden="1" x14ac:dyDescent="0.25">
      <c r="B384" s="3" t="s">
        <v>3288</v>
      </c>
      <c r="C384" s="3" t="s">
        <v>96</v>
      </c>
      <c r="D384" s="3" t="s">
        <v>3436</v>
      </c>
      <c r="E384" s="3" t="s">
        <v>110</v>
      </c>
      <c r="F384" s="3" t="s">
        <v>3387</v>
      </c>
      <c r="G384" s="6">
        <v>2042.25</v>
      </c>
      <c r="H384" s="6">
        <f t="shared" si="6"/>
        <v>311.52966101694915</v>
      </c>
      <c r="I384" s="3" t="s">
        <v>18</v>
      </c>
      <c r="O384"/>
      <c r="P384"/>
      <c r="R384" s="87"/>
    </row>
    <row r="385" spans="2:18" hidden="1" x14ac:dyDescent="0.25">
      <c r="B385" s="3" t="s">
        <v>3288</v>
      </c>
      <c r="C385" s="3" t="s">
        <v>96</v>
      </c>
      <c r="D385" s="3" t="s">
        <v>3439</v>
      </c>
      <c r="E385" s="3" t="s">
        <v>110</v>
      </c>
      <c r="F385" s="3" t="s">
        <v>3387</v>
      </c>
      <c r="G385" s="6">
        <v>521.5</v>
      </c>
      <c r="H385" s="6">
        <f t="shared" si="6"/>
        <v>79.550847457627071</v>
      </c>
      <c r="I385" s="3" t="s">
        <v>18</v>
      </c>
      <c r="O385"/>
      <c r="P385"/>
      <c r="R385" s="87"/>
    </row>
    <row r="386" spans="2:18" hidden="1" x14ac:dyDescent="0.25">
      <c r="B386" s="3" t="s">
        <v>3288</v>
      </c>
      <c r="C386" s="3" t="s">
        <v>96</v>
      </c>
      <c r="D386" s="3" t="s">
        <v>3441</v>
      </c>
      <c r="E386" s="3" t="s">
        <v>110</v>
      </c>
      <c r="F386" s="3" t="s">
        <v>3387</v>
      </c>
      <c r="G386" s="6">
        <v>521.5</v>
      </c>
      <c r="H386" s="6">
        <f t="shared" si="6"/>
        <v>79.550847457627071</v>
      </c>
      <c r="I386" s="3" t="s">
        <v>18</v>
      </c>
      <c r="O386"/>
      <c r="P386"/>
      <c r="R386" s="87"/>
    </row>
    <row r="387" spans="2:18" hidden="1" x14ac:dyDescent="0.25">
      <c r="B387" s="3" t="s">
        <v>3288</v>
      </c>
      <c r="C387" s="3" t="s">
        <v>96</v>
      </c>
      <c r="D387" s="3" t="s">
        <v>3442</v>
      </c>
      <c r="E387" s="3" t="s">
        <v>110</v>
      </c>
      <c r="F387" s="3" t="s">
        <v>3387</v>
      </c>
      <c r="G387" s="6">
        <v>836.5</v>
      </c>
      <c r="H387" s="6">
        <f t="shared" si="6"/>
        <v>127.60169491525426</v>
      </c>
      <c r="I387" s="3" t="s">
        <v>18</v>
      </c>
      <c r="O387"/>
      <c r="P387"/>
      <c r="R387" s="87"/>
    </row>
    <row r="388" spans="2:18" hidden="1" x14ac:dyDescent="0.25">
      <c r="B388" s="3" t="s">
        <v>3288</v>
      </c>
      <c r="C388" s="3" t="s">
        <v>96</v>
      </c>
      <c r="D388" s="3" t="s">
        <v>3443</v>
      </c>
      <c r="E388" s="3" t="s">
        <v>110</v>
      </c>
      <c r="F388" s="3" t="s">
        <v>3387</v>
      </c>
      <c r="G388" s="6">
        <v>829.5</v>
      </c>
      <c r="H388" s="6">
        <f t="shared" si="6"/>
        <v>126.53389830508468</v>
      </c>
      <c r="I388" s="3" t="s">
        <v>18</v>
      </c>
      <c r="O388"/>
      <c r="P388"/>
      <c r="R388" s="87"/>
    </row>
    <row r="389" spans="2:18" hidden="1" x14ac:dyDescent="0.25">
      <c r="B389" s="3" t="s">
        <v>3288</v>
      </c>
      <c r="C389" s="3" t="s">
        <v>96</v>
      </c>
      <c r="D389" s="3" t="s">
        <v>3444</v>
      </c>
      <c r="E389" s="3" t="s">
        <v>110</v>
      </c>
      <c r="F389" s="3" t="s">
        <v>3387</v>
      </c>
      <c r="G389" s="6">
        <v>831.25</v>
      </c>
      <c r="H389" s="6">
        <f t="shared" si="6"/>
        <v>126.80084745762713</v>
      </c>
      <c r="I389" s="3" t="s">
        <v>18</v>
      </c>
      <c r="O389"/>
      <c r="P389"/>
      <c r="R389" s="87"/>
    </row>
    <row r="390" spans="2:18" hidden="1" x14ac:dyDescent="0.25">
      <c r="B390" s="3" t="s">
        <v>3288</v>
      </c>
      <c r="C390" s="3" t="s">
        <v>96</v>
      </c>
      <c r="D390" s="3" t="s">
        <v>3445</v>
      </c>
      <c r="E390" s="3" t="s">
        <v>110</v>
      </c>
      <c r="F390" s="3" t="s">
        <v>3387</v>
      </c>
      <c r="G390" s="6">
        <v>822.5</v>
      </c>
      <c r="H390" s="6">
        <f t="shared" si="6"/>
        <v>125.46610169491521</v>
      </c>
      <c r="I390" s="3" t="s">
        <v>18</v>
      </c>
      <c r="O390"/>
      <c r="P390"/>
      <c r="R390" s="87"/>
    </row>
    <row r="391" spans="2:18" hidden="1" x14ac:dyDescent="0.25">
      <c r="B391" s="3" t="s">
        <v>3288</v>
      </c>
      <c r="C391" s="3" t="s">
        <v>96</v>
      </c>
      <c r="D391" s="3" t="s">
        <v>3451</v>
      </c>
      <c r="E391" s="3" t="s">
        <v>110</v>
      </c>
      <c r="F391" s="3" t="s">
        <v>3387</v>
      </c>
      <c r="G391" s="6">
        <v>3325</v>
      </c>
      <c r="H391" s="6">
        <f t="shared" si="6"/>
        <v>507.20338983050851</v>
      </c>
      <c r="I391" s="3" t="s">
        <v>18</v>
      </c>
      <c r="O391"/>
      <c r="P391"/>
      <c r="R391" s="87"/>
    </row>
    <row r="392" spans="2:18" hidden="1" x14ac:dyDescent="0.25">
      <c r="B392" s="3" t="s">
        <v>3288</v>
      </c>
      <c r="C392" s="3" t="s">
        <v>96</v>
      </c>
      <c r="D392" s="3" t="s">
        <v>3452</v>
      </c>
      <c r="E392" s="3" t="s">
        <v>110</v>
      </c>
      <c r="F392" s="3" t="s">
        <v>3387</v>
      </c>
      <c r="G392" s="6">
        <v>1046.5</v>
      </c>
      <c r="H392" s="6">
        <f t="shared" si="6"/>
        <v>159.63559322033893</v>
      </c>
      <c r="I392" s="3" t="s">
        <v>18</v>
      </c>
      <c r="O392"/>
      <c r="P392"/>
      <c r="R392" s="87"/>
    </row>
    <row r="393" spans="2:18" hidden="1" x14ac:dyDescent="0.25">
      <c r="B393" s="3" t="s">
        <v>3289</v>
      </c>
      <c r="C393" s="3" t="s">
        <v>96</v>
      </c>
      <c r="D393" s="3" t="s">
        <v>3458</v>
      </c>
      <c r="E393" s="3" t="s">
        <v>110</v>
      </c>
      <c r="F393" s="3" t="s">
        <v>3387</v>
      </c>
      <c r="G393" s="6">
        <v>1400</v>
      </c>
      <c r="H393" s="6">
        <f t="shared" si="6"/>
        <v>213.5593220338983</v>
      </c>
      <c r="I393" s="3" t="s">
        <v>18</v>
      </c>
      <c r="O393"/>
      <c r="P393"/>
      <c r="R393" s="87"/>
    </row>
    <row r="394" spans="2:18" hidden="1" x14ac:dyDescent="0.25">
      <c r="B394" s="3" t="s">
        <v>3289</v>
      </c>
      <c r="C394" s="3" t="s">
        <v>96</v>
      </c>
      <c r="D394" s="3" t="s">
        <v>3459</v>
      </c>
      <c r="E394" s="3" t="s">
        <v>110</v>
      </c>
      <c r="F394" s="3" t="s">
        <v>3387</v>
      </c>
      <c r="G394" s="6">
        <v>1342.25</v>
      </c>
      <c r="H394" s="6">
        <f t="shared" ref="H394:H457" si="7">G394-G394/1.18</f>
        <v>204.75</v>
      </c>
      <c r="I394" s="3" t="s">
        <v>18</v>
      </c>
      <c r="O394"/>
      <c r="P394"/>
      <c r="R394" s="87"/>
    </row>
    <row r="395" spans="2:18" hidden="1" x14ac:dyDescent="0.25">
      <c r="B395" s="3" t="s">
        <v>3289</v>
      </c>
      <c r="C395" s="3" t="s">
        <v>96</v>
      </c>
      <c r="D395" s="3" t="s">
        <v>3460</v>
      </c>
      <c r="E395" s="3" t="s">
        <v>110</v>
      </c>
      <c r="F395" s="3" t="s">
        <v>3387</v>
      </c>
      <c r="G395" s="6">
        <v>1298.5</v>
      </c>
      <c r="H395" s="6">
        <f t="shared" si="7"/>
        <v>198.07627118644064</v>
      </c>
      <c r="I395" s="3" t="s">
        <v>18</v>
      </c>
      <c r="O395"/>
      <c r="P395"/>
      <c r="R395" s="87"/>
    </row>
    <row r="396" spans="2:18" hidden="1" x14ac:dyDescent="0.25">
      <c r="B396" s="3" t="s">
        <v>3289</v>
      </c>
      <c r="C396" s="3" t="s">
        <v>96</v>
      </c>
      <c r="D396" s="3" t="s">
        <v>3462</v>
      </c>
      <c r="E396" s="3" t="s">
        <v>110</v>
      </c>
      <c r="F396" s="3" t="s">
        <v>3387</v>
      </c>
      <c r="G396" s="6">
        <v>1211</v>
      </c>
      <c r="H396" s="6">
        <f t="shared" si="7"/>
        <v>184.72881355932191</v>
      </c>
      <c r="I396" s="3" t="s">
        <v>18</v>
      </c>
      <c r="O396"/>
      <c r="P396"/>
      <c r="R396" s="87"/>
    </row>
    <row r="397" spans="2:18" hidden="1" x14ac:dyDescent="0.25">
      <c r="B397" s="3" t="s">
        <v>3289</v>
      </c>
      <c r="C397" s="3" t="s">
        <v>96</v>
      </c>
      <c r="D397" s="3" t="s">
        <v>3463</v>
      </c>
      <c r="E397" s="3" t="s">
        <v>110</v>
      </c>
      <c r="F397" s="3" t="s">
        <v>3387</v>
      </c>
      <c r="G397" s="6">
        <v>2201.5</v>
      </c>
      <c r="H397" s="6">
        <f t="shared" si="7"/>
        <v>335.82203389830488</v>
      </c>
      <c r="I397" s="3" t="s">
        <v>18</v>
      </c>
      <c r="O397"/>
      <c r="P397"/>
      <c r="R397" s="87"/>
    </row>
    <row r="398" spans="2:18" hidden="1" x14ac:dyDescent="0.25">
      <c r="B398" s="3" t="s">
        <v>3289</v>
      </c>
      <c r="C398" s="3" t="s">
        <v>96</v>
      </c>
      <c r="D398" s="3" t="s">
        <v>3465</v>
      </c>
      <c r="E398" s="3" t="s">
        <v>110</v>
      </c>
      <c r="F398" s="3" t="s">
        <v>3387</v>
      </c>
      <c r="G398" s="6">
        <v>1800.75</v>
      </c>
      <c r="H398" s="6">
        <f t="shared" si="7"/>
        <v>274.6906779661017</v>
      </c>
      <c r="I398" s="3" t="s">
        <v>18</v>
      </c>
      <c r="O398"/>
      <c r="P398"/>
      <c r="R398" s="87"/>
    </row>
    <row r="399" spans="2:18" hidden="1" x14ac:dyDescent="0.25">
      <c r="B399" s="3" t="s">
        <v>3289</v>
      </c>
      <c r="C399" s="3" t="s">
        <v>96</v>
      </c>
      <c r="D399" s="3" t="s">
        <v>3466</v>
      </c>
      <c r="E399" s="3" t="s">
        <v>110</v>
      </c>
      <c r="F399" s="3" t="s">
        <v>3387</v>
      </c>
      <c r="G399" s="6">
        <v>1823.5</v>
      </c>
      <c r="H399" s="6">
        <f t="shared" si="7"/>
        <v>278.16101694915255</v>
      </c>
      <c r="I399" s="3" t="s">
        <v>18</v>
      </c>
      <c r="O399"/>
      <c r="P399"/>
      <c r="R399" s="87"/>
    </row>
    <row r="400" spans="2:18" hidden="1" x14ac:dyDescent="0.25">
      <c r="B400" s="3" t="s">
        <v>3289</v>
      </c>
      <c r="C400" s="3" t="s">
        <v>96</v>
      </c>
      <c r="D400" s="3" t="s">
        <v>3467</v>
      </c>
      <c r="E400" s="3" t="s">
        <v>110</v>
      </c>
      <c r="F400" s="3" t="s">
        <v>3387</v>
      </c>
      <c r="G400" s="6">
        <v>1100.75</v>
      </c>
      <c r="H400" s="6">
        <f t="shared" si="7"/>
        <v>167.91101694915244</v>
      </c>
      <c r="I400" s="3" t="s">
        <v>18</v>
      </c>
      <c r="O400"/>
      <c r="P400"/>
      <c r="R400" s="87"/>
    </row>
    <row r="401" spans="2:18" hidden="1" x14ac:dyDescent="0.25">
      <c r="B401" s="3" t="s">
        <v>3292</v>
      </c>
      <c r="C401" s="3" t="s">
        <v>96</v>
      </c>
      <c r="D401" s="3" t="s">
        <v>3457</v>
      </c>
      <c r="E401" s="3" t="s">
        <v>110</v>
      </c>
      <c r="F401" s="3" t="s">
        <v>3387</v>
      </c>
      <c r="G401" s="6">
        <v>411.25</v>
      </c>
      <c r="H401" s="6">
        <f t="shared" si="7"/>
        <v>62.733050847457605</v>
      </c>
      <c r="I401" s="3" t="s">
        <v>18</v>
      </c>
      <c r="O401"/>
      <c r="P401"/>
      <c r="R401" s="87"/>
    </row>
    <row r="402" spans="2:18" hidden="1" x14ac:dyDescent="0.25">
      <c r="B402" s="3" t="s">
        <v>1435</v>
      </c>
      <c r="C402" s="3" t="s">
        <v>73</v>
      </c>
      <c r="D402" s="3" t="s">
        <v>1325</v>
      </c>
      <c r="E402" s="3" t="s">
        <v>106</v>
      </c>
      <c r="F402" s="3" t="s">
        <v>3370</v>
      </c>
      <c r="G402" s="6">
        <v>6891.5</v>
      </c>
      <c r="H402" s="6">
        <f t="shared" si="7"/>
        <v>1051.2457627118638</v>
      </c>
      <c r="I402" s="3" t="s">
        <v>113</v>
      </c>
      <c r="O402"/>
      <c r="P402"/>
      <c r="R402" s="87"/>
    </row>
    <row r="403" spans="2:18" hidden="1" x14ac:dyDescent="0.25">
      <c r="B403" s="3" t="s">
        <v>760</v>
      </c>
      <c r="C403" s="3" t="s">
        <v>91</v>
      </c>
      <c r="D403" s="3" t="s">
        <v>759</v>
      </c>
      <c r="E403" s="3" t="s">
        <v>87</v>
      </c>
      <c r="F403" s="3" t="s">
        <v>3387</v>
      </c>
      <c r="G403" s="6">
        <v>70000</v>
      </c>
      <c r="H403" s="6">
        <f t="shared" si="7"/>
        <v>10677.96610169491</v>
      </c>
      <c r="I403" s="3" t="s">
        <v>18</v>
      </c>
      <c r="O403"/>
      <c r="P403"/>
      <c r="R403" s="87"/>
    </row>
    <row r="404" spans="2:18" hidden="1" x14ac:dyDescent="0.25">
      <c r="B404" s="3" t="s">
        <v>766</v>
      </c>
      <c r="C404" s="3" t="s">
        <v>91</v>
      </c>
      <c r="D404" s="3" t="s">
        <v>762</v>
      </c>
      <c r="E404" s="3" t="s">
        <v>87</v>
      </c>
      <c r="F404" s="3" t="s">
        <v>3387</v>
      </c>
      <c r="G404" s="6">
        <v>50000</v>
      </c>
      <c r="H404" s="6">
        <f t="shared" si="7"/>
        <v>7627.118644067792</v>
      </c>
      <c r="I404" s="3" t="s">
        <v>18</v>
      </c>
      <c r="O404"/>
      <c r="P404"/>
      <c r="R404" s="87"/>
    </row>
    <row r="405" spans="2:18" hidden="1" x14ac:dyDescent="0.25">
      <c r="B405" s="3" t="s">
        <v>2525</v>
      </c>
      <c r="C405" s="3" t="s">
        <v>93</v>
      </c>
      <c r="D405" s="3" t="s">
        <v>2467</v>
      </c>
      <c r="E405" s="3" t="s">
        <v>87</v>
      </c>
      <c r="F405" s="3" t="s">
        <v>3387</v>
      </c>
      <c r="G405" s="6">
        <v>100000</v>
      </c>
      <c r="H405" s="6">
        <f t="shared" si="7"/>
        <v>15254.237288135584</v>
      </c>
      <c r="I405" s="3" t="s">
        <v>18</v>
      </c>
      <c r="O405"/>
      <c r="P405"/>
      <c r="R405" s="87"/>
    </row>
    <row r="406" spans="2:18" hidden="1" x14ac:dyDescent="0.25">
      <c r="B406" s="3" t="s">
        <v>2549</v>
      </c>
      <c r="C406" s="3" t="s">
        <v>103</v>
      </c>
      <c r="D406" s="3" t="s">
        <v>2490</v>
      </c>
      <c r="E406" s="3" t="s">
        <v>87</v>
      </c>
      <c r="F406" s="3" t="s">
        <v>3387</v>
      </c>
      <c r="G406" s="6">
        <v>50000</v>
      </c>
      <c r="H406" s="6">
        <f t="shared" si="7"/>
        <v>7627.118644067792</v>
      </c>
      <c r="I406" s="3" t="s">
        <v>18</v>
      </c>
      <c r="O406"/>
      <c r="P406"/>
      <c r="R406" s="87"/>
    </row>
    <row r="407" spans="2:18" hidden="1" x14ac:dyDescent="0.25">
      <c r="B407" s="3" t="s">
        <v>2544</v>
      </c>
      <c r="C407" s="3" t="s">
        <v>92</v>
      </c>
      <c r="D407" s="3" t="s">
        <v>2573</v>
      </c>
      <c r="E407" s="3" t="s">
        <v>87</v>
      </c>
      <c r="F407" s="3" t="s">
        <v>3387</v>
      </c>
      <c r="G407" s="6">
        <v>40000</v>
      </c>
      <c r="H407" s="6">
        <f t="shared" si="7"/>
        <v>6101.6949152542365</v>
      </c>
      <c r="I407" s="3" t="s">
        <v>18</v>
      </c>
      <c r="O407"/>
      <c r="P407"/>
      <c r="R407" s="87"/>
    </row>
    <row r="408" spans="2:18" hidden="1" x14ac:dyDescent="0.25">
      <c r="B408" s="3" t="s">
        <v>2555</v>
      </c>
      <c r="C408" s="3" t="s">
        <v>92</v>
      </c>
      <c r="D408" s="3" t="s">
        <v>2496</v>
      </c>
      <c r="E408" s="3" t="s">
        <v>87</v>
      </c>
      <c r="F408" s="3" t="s">
        <v>3387</v>
      </c>
      <c r="G408" s="6">
        <v>40000</v>
      </c>
      <c r="H408" s="6">
        <f t="shared" si="7"/>
        <v>6101.6949152542365</v>
      </c>
      <c r="I408" s="3" t="s">
        <v>18</v>
      </c>
      <c r="O408"/>
      <c r="P408"/>
      <c r="R408" s="87"/>
    </row>
    <row r="409" spans="2:18" hidden="1" x14ac:dyDescent="0.25">
      <c r="B409" s="3" t="s">
        <v>2383</v>
      </c>
      <c r="C409" s="3" t="s">
        <v>56</v>
      </c>
      <c r="D409" s="3" t="s">
        <v>2337</v>
      </c>
      <c r="E409" s="3" t="s">
        <v>87</v>
      </c>
      <c r="F409" s="3" t="s">
        <v>3387</v>
      </c>
      <c r="G409" s="6">
        <v>400000</v>
      </c>
      <c r="H409" s="6">
        <f t="shared" si="7"/>
        <v>61016.949152542336</v>
      </c>
      <c r="I409" s="3" t="s">
        <v>113</v>
      </c>
      <c r="O409"/>
      <c r="P409"/>
      <c r="R409" s="87"/>
    </row>
    <row r="410" spans="2:18" hidden="1" x14ac:dyDescent="0.25">
      <c r="B410" s="3" t="s">
        <v>2385</v>
      </c>
      <c r="C410" s="3" t="s">
        <v>56</v>
      </c>
      <c r="D410" s="3" t="s">
        <v>2359</v>
      </c>
      <c r="E410" s="3" t="s">
        <v>87</v>
      </c>
      <c r="F410" s="3" t="s">
        <v>3387</v>
      </c>
      <c r="G410" s="6">
        <v>150000</v>
      </c>
      <c r="H410" s="6">
        <f t="shared" si="7"/>
        <v>22881.355932203383</v>
      </c>
      <c r="I410" s="3" t="s">
        <v>113</v>
      </c>
      <c r="O410"/>
      <c r="P410"/>
      <c r="R410" s="87"/>
    </row>
    <row r="411" spans="2:18" x14ac:dyDescent="0.25">
      <c r="B411" s="3" t="s">
        <v>2198</v>
      </c>
      <c r="C411" s="3" t="s">
        <v>50</v>
      </c>
      <c r="D411" s="3" t="s">
        <v>2216</v>
      </c>
      <c r="E411" s="3" t="s">
        <v>141</v>
      </c>
      <c r="F411" s="3" t="s">
        <v>3387</v>
      </c>
      <c r="G411" s="6">
        <v>3000</v>
      </c>
      <c r="H411" s="6">
        <f t="shared" si="7"/>
        <v>457.62711864406765</v>
      </c>
      <c r="I411" s="3" t="s">
        <v>113</v>
      </c>
      <c r="K411" t="s">
        <v>3471</v>
      </c>
      <c r="O411"/>
      <c r="P411"/>
      <c r="R411" s="87"/>
    </row>
    <row r="412" spans="2:18" x14ac:dyDescent="0.25">
      <c r="B412" s="3" t="s">
        <v>2197</v>
      </c>
      <c r="C412" s="3" t="s">
        <v>29</v>
      </c>
      <c r="D412" s="3" t="s">
        <v>2200</v>
      </c>
      <c r="E412" s="3" t="s">
        <v>141</v>
      </c>
      <c r="F412" s="3" t="s">
        <v>3387</v>
      </c>
      <c r="G412" s="6">
        <v>300000</v>
      </c>
      <c r="H412" s="6">
        <f t="shared" si="7"/>
        <v>45762.711864406767</v>
      </c>
      <c r="I412" s="3" t="s">
        <v>113</v>
      </c>
      <c r="O412"/>
      <c r="P412"/>
      <c r="R412" s="87"/>
    </row>
    <row r="413" spans="2:18" hidden="1" x14ac:dyDescent="0.25">
      <c r="B413" s="3" t="s">
        <v>1195</v>
      </c>
      <c r="C413" s="3" t="s">
        <v>32</v>
      </c>
      <c r="D413" s="3" t="s">
        <v>1275</v>
      </c>
      <c r="E413" s="3" t="s">
        <v>71</v>
      </c>
      <c r="F413" s="3" t="s">
        <v>3387</v>
      </c>
      <c r="G413" s="86">
        <v>70000</v>
      </c>
      <c r="H413" s="6">
        <f t="shared" si="7"/>
        <v>10677.96610169491</v>
      </c>
      <c r="I413" s="3" t="s">
        <v>113</v>
      </c>
      <c r="O413"/>
      <c r="P413"/>
      <c r="R413" s="87"/>
    </row>
    <row r="414" spans="2:18" hidden="1" x14ac:dyDescent="0.25">
      <c r="B414" s="3" t="s">
        <v>1218</v>
      </c>
      <c r="C414" s="3" t="s">
        <v>33</v>
      </c>
      <c r="D414" s="3" t="s">
        <v>1292</v>
      </c>
      <c r="E414" s="3" t="s">
        <v>71</v>
      </c>
      <c r="F414" s="3" t="s">
        <v>3387</v>
      </c>
      <c r="G414" s="255">
        <v>30000</v>
      </c>
      <c r="H414" s="6">
        <f t="shared" si="7"/>
        <v>4576.2711864406774</v>
      </c>
      <c r="I414" s="3" t="s">
        <v>113</v>
      </c>
      <c r="O414"/>
      <c r="P414"/>
      <c r="R414" s="87"/>
    </row>
    <row r="415" spans="2:18" hidden="1" x14ac:dyDescent="0.25">
      <c r="B415" s="3" t="s">
        <v>2554</v>
      </c>
      <c r="C415" s="3" t="s">
        <v>92</v>
      </c>
      <c r="D415" s="3" t="s">
        <v>2495</v>
      </c>
      <c r="E415" s="3" t="s">
        <v>87</v>
      </c>
      <c r="F415" s="3" t="s">
        <v>3387</v>
      </c>
      <c r="G415" s="6">
        <v>100000</v>
      </c>
      <c r="H415" s="6">
        <f t="shared" si="7"/>
        <v>15254.237288135584</v>
      </c>
      <c r="I415" s="3" t="s">
        <v>18</v>
      </c>
      <c r="O415"/>
      <c r="P415"/>
      <c r="R415" s="87"/>
    </row>
    <row r="416" spans="2:18" hidden="1" x14ac:dyDescent="0.25">
      <c r="B416" s="3" t="s">
        <v>2523</v>
      </c>
      <c r="C416" s="3" t="s">
        <v>92</v>
      </c>
      <c r="D416" s="3" t="s">
        <v>2465</v>
      </c>
      <c r="E416" s="3" t="s">
        <v>87</v>
      </c>
      <c r="F416" s="3" t="s">
        <v>3387</v>
      </c>
      <c r="G416" s="6">
        <v>200000</v>
      </c>
      <c r="H416" s="6">
        <f t="shared" si="7"/>
        <v>30508.474576271168</v>
      </c>
      <c r="I416" s="3" t="s">
        <v>18</v>
      </c>
      <c r="O416"/>
      <c r="P416"/>
      <c r="R416" s="87"/>
    </row>
    <row r="417" spans="2:18" hidden="1" x14ac:dyDescent="0.25">
      <c r="B417" s="3" t="s">
        <v>2426</v>
      </c>
      <c r="C417" s="3" t="s">
        <v>57</v>
      </c>
      <c r="D417" s="3" t="s">
        <v>2379</v>
      </c>
      <c r="E417" s="3" t="s">
        <v>87</v>
      </c>
      <c r="F417" s="3" t="s">
        <v>3387</v>
      </c>
      <c r="G417" s="6">
        <v>300000</v>
      </c>
      <c r="H417" s="6">
        <f t="shared" si="7"/>
        <v>45762.711864406767</v>
      </c>
      <c r="I417" s="3" t="s">
        <v>113</v>
      </c>
      <c r="O417"/>
      <c r="P417"/>
      <c r="R417" s="87"/>
    </row>
    <row r="418" spans="2:18" hidden="1" x14ac:dyDescent="0.25">
      <c r="B418" s="3" t="s">
        <v>2390</v>
      </c>
      <c r="C418" s="3" t="s">
        <v>30</v>
      </c>
      <c r="D418" s="3" t="s">
        <v>2339</v>
      </c>
      <c r="E418" s="3" t="s">
        <v>87</v>
      </c>
      <c r="F418" s="3" t="s">
        <v>3387</v>
      </c>
      <c r="G418" s="6">
        <v>100000</v>
      </c>
      <c r="H418" s="6">
        <f t="shared" si="7"/>
        <v>15254.237288135584</v>
      </c>
      <c r="I418" s="3" t="s">
        <v>113</v>
      </c>
      <c r="O418"/>
      <c r="P418"/>
      <c r="R418" s="87"/>
    </row>
    <row r="419" spans="2:18" hidden="1" x14ac:dyDescent="0.25">
      <c r="B419" s="3" t="s">
        <v>3477</v>
      </c>
      <c r="C419" s="3" t="s">
        <v>96</v>
      </c>
      <c r="D419" s="3" t="s">
        <v>2780</v>
      </c>
      <c r="E419" s="3" t="s">
        <v>71</v>
      </c>
      <c r="F419" s="3" t="s">
        <v>3387</v>
      </c>
      <c r="G419" s="6">
        <v>50000</v>
      </c>
      <c r="H419" s="6">
        <f t="shared" si="7"/>
        <v>7627.118644067792</v>
      </c>
      <c r="I419" s="3" t="s">
        <v>18</v>
      </c>
      <c r="O419"/>
      <c r="P419"/>
      <c r="R419" s="87"/>
    </row>
    <row r="420" spans="2:18" hidden="1" x14ac:dyDescent="0.25">
      <c r="B420" s="3" t="s">
        <v>3359</v>
      </c>
      <c r="C420" s="3" t="s">
        <v>96</v>
      </c>
      <c r="D420" s="3" t="s">
        <v>3327</v>
      </c>
      <c r="E420" s="3" t="s">
        <v>71</v>
      </c>
      <c r="F420" s="3" t="s">
        <v>3387</v>
      </c>
      <c r="G420" s="6">
        <v>25000</v>
      </c>
      <c r="H420" s="6">
        <f t="shared" si="7"/>
        <v>3813.559322033896</v>
      </c>
      <c r="I420" s="3" t="s">
        <v>18</v>
      </c>
      <c r="O420"/>
      <c r="P420"/>
      <c r="R420" s="87"/>
    </row>
    <row r="421" spans="2:18" hidden="1" x14ac:dyDescent="0.25">
      <c r="B421" s="3" t="s">
        <v>3358</v>
      </c>
      <c r="C421" s="3" t="s">
        <v>96</v>
      </c>
      <c r="D421" s="3" t="s">
        <v>3458</v>
      </c>
      <c r="E421" s="3" t="s">
        <v>71</v>
      </c>
      <c r="F421" s="3" t="s">
        <v>3387</v>
      </c>
      <c r="G421" s="6">
        <v>50000</v>
      </c>
      <c r="H421" s="6">
        <f t="shared" si="7"/>
        <v>7627.118644067792</v>
      </c>
      <c r="I421" s="3" t="s">
        <v>18</v>
      </c>
      <c r="O421"/>
      <c r="P421"/>
      <c r="R421" s="87"/>
    </row>
    <row r="422" spans="2:18" hidden="1" x14ac:dyDescent="0.25">
      <c r="B422" s="3" t="s">
        <v>3358</v>
      </c>
      <c r="C422" s="3" t="s">
        <v>96</v>
      </c>
      <c r="D422" s="3" t="s">
        <v>3460</v>
      </c>
      <c r="E422" s="3" t="s">
        <v>71</v>
      </c>
      <c r="F422" s="3" t="s">
        <v>3387</v>
      </c>
      <c r="G422" s="6">
        <v>50000</v>
      </c>
      <c r="H422" s="6">
        <f t="shared" si="7"/>
        <v>7627.118644067792</v>
      </c>
      <c r="I422" s="3" t="s">
        <v>18</v>
      </c>
      <c r="O422"/>
      <c r="P422"/>
      <c r="R422" s="87"/>
    </row>
    <row r="423" spans="2:18" hidden="1" x14ac:dyDescent="0.25">
      <c r="B423" s="3" t="s">
        <v>3358</v>
      </c>
      <c r="C423" s="3" t="s">
        <v>96</v>
      </c>
      <c r="D423" s="3" t="s">
        <v>3459</v>
      </c>
      <c r="E423" s="3" t="s">
        <v>71</v>
      </c>
      <c r="F423" s="3" t="s">
        <v>3387</v>
      </c>
      <c r="G423" s="6">
        <v>50000</v>
      </c>
      <c r="H423" s="6">
        <f t="shared" si="7"/>
        <v>7627.118644067792</v>
      </c>
      <c r="I423" s="3" t="s">
        <v>18</v>
      </c>
      <c r="O423"/>
      <c r="P423"/>
      <c r="R423" s="87"/>
    </row>
    <row r="424" spans="2:18" hidden="1" x14ac:dyDescent="0.25">
      <c r="B424" s="3" t="s">
        <v>3358</v>
      </c>
      <c r="C424" s="3" t="s">
        <v>96</v>
      </c>
      <c r="D424" s="3" t="s">
        <v>3338</v>
      </c>
      <c r="E424" s="3" t="s">
        <v>71</v>
      </c>
      <c r="F424" s="3" t="s">
        <v>3387</v>
      </c>
      <c r="G424" s="6">
        <v>60000</v>
      </c>
      <c r="H424" s="6">
        <f t="shared" si="7"/>
        <v>9152.5423728813548</v>
      </c>
      <c r="I424" s="3" t="s">
        <v>18</v>
      </c>
      <c r="O424"/>
      <c r="P424"/>
      <c r="R424" s="87"/>
    </row>
    <row r="425" spans="2:18" hidden="1" x14ac:dyDescent="0.25">
      <c r="B425" s="3" t="s">
        <v>3358</v>
      </c>
      <c r="C425" s="3" t="s">
        <v>96</v>
      </c>
      <c r="D425" s="3" t="s">
        <v>3462</v>
      </c>
      <c r="E425" s="3" t="s">
        <v>71</v>
      </c>
      <c r="F425" s="3" t="s">
        <v>3387</v>
      </c>
      <c r="G425" s="6">
        <v>20000</v>
      </c>
      <c r="H425" s="6">
        <f t="shared" si="7"/>
        <v>3050.8474576271183</v>
      </c>
      <c r="I425" s="3" t="s">
        <v>18</v>
      </c>
      <c r="O425"/>
      <c r="P425"/>
      <c r="R425" s="87"/>
    </row>
    <row r="426" spans="2:18" hidden="1" x14ac:dyDescent="0.25">
      <c r="B426" s="3" t="s">
        <v>3288</v>
      </c>
      <c r="C426" s="3" t="s">
        <v>96</v>
      </c>
      <c r="D426" s="3" t="s">
        <v>3478</v>
      </c>
      <c r="E426" s="3" t="s">
        <v>110</v>
      </c>
      <c r="F426" s="3" t="s">
        <v>3387</v>
      </c>
      <c r="G426" s="6">
        <v>1781.5</v>
      </c>
      <c r="H426" s="6">
        <f t="shared" si="7"/>
        <v>271.75423728813553</v>
      </c>
      <c r="I426" s="3" t="s">
        <v>18</v>
      </c>
      <c r="O426"/>
      <c r="P426"/>
      <c r="R426" s="87"/>
    </row>
    <row r="427" spans="2:18" hidden="1" x14ac:dyDescent="0.25">
      <c r="B427" s="3" t="s">
        <v>3288</v>
      </c>
      <c r="C427" s="3" t="s">
        <v>96</v>
      </c>
      <c r="D427" s="3" t="s">
        <v>3480</v>
      </c>
      <c r="E427" s="3" t="s">
        <v>110</v>
      </c>
      <c r="F427" s="3" t="s">
        <v>3387</v>
      </c>
      <c r="G427" s="6">
        <v>3927</v>
      </c>
      <c r="H427" s="6">
        <f t="shared" si="7"/>
        <v>599.03389830508468</v>
      </c>
      <c r="I427" s="3" t="s">
        <v>18</v>
      </c>
      <c r="O427"/>
      <c r="P427"/>
      <c r="R427" s="87"/>
    </row>
    <row r="428" spans="2:18" hidden="1" x14ac:dyDescent="0.25">
      <c r="B428" s="3" t="s">
        <v>3255</v>
      </c>
      <c r="C428" s="3" t="s">
        <v>34</v>
      </c>
      <c r="D428" s="3" t="s">
        <v>3216</v>
      </c>
      <c r="E428" s="3" t="s">
        <v>110</v>
      </c>
      <c r="F428" s="3" t="s">
        <v>3387</v>
      </c>
      <c r="G428" s="253">
        <v>4539.5</v>
      </c>
      <c r="H428" s="6">
        <f t="shared" si="7"/>
        <v>692.46610169491487</v>
      </c>
      <c r="I428" s="3" t="s">
        <v>113</v>
      </c>
      <c r="O428"/>
      <c r="P428"/>
      <c r="R428" s="87"/>
    </row>
    <row r="429" spans="2:18" hidden="1" x14ac:dyDescent="0.25">
      <c r="B429" s="3" t="s">
        <v>3260</v>
      </c>
      <c r="C429" s="3" t="s">
        <v>34</v>
      </c>
      <c r="D429" s="3" t="s">
        <v>2659</v>
      </c>
      <c r="E429" s="3" t="s">
        <v>110</v>
      </c>
      <c r="F429" s="3" t="s">
        <v>3387</v>
      </c>
      <c r="G429" s="253">
        <v>2908.5</v>
      </c>
      <c r="H429" s="6">
        <f t="shared" si="7"/>
        <v>443.66949152542338</v>
      </c>
      <c r="I429" s="3" t="s">
        <v>113</v>
      </c>
      <c r="O429"/>
      <c r="P429"/>
      <c r="R429" s="87"/>
    </row>
    <row r="430" spans="2:18" hidden="1" x14ac:dyDescent="0.25">
      <c r="B430" s="3" t="s">
        <v>3250</v>
      </c>
      <c r="C430" s="3" t="s">
        <v>37</v>
      </c>
      <c r="D430" s="3" t="s">
        <v>3211</v>
      </c>
      <c r="E430" s="3" t="s">
        <v>110</v>
      </c>
      <c r="F430" s="3" t="s">
        <v>3387</v>
      </c>
      <c r="G430" s="253">
        <v>3503.5</v>
      </c>
      <c r="H430" s="6">
        <f t="shared" si="7"/>
        <v>534.43220338983019</v>
      </c>
      <c r="I430" s="3" t="s">
        <v>113</v>
      </c>
      <c r="O430"/>
      <c r="P430"/>
      <c r="R430" s="87"/>
    </row>
    <row r="431" spans="2:18" hidden="1" x14ac:dyDescent="0.25">
      <c r="B431" s="3" t="s">
        <v>3254</v>
      </c>
      <c r="C431" s="3" t="s">
        <v>35</v>
      </c>
      <c r="D431" s="3" t="s">
        <v>3215</v>
      </c>
      <c r="E431" s="3" t="s">
        <v>110</v>
      </c>
      <c r="F431" s="3" t="s">
        <v>3387</v>
      </c>
      <c r="G431" s="253">
        <v>4077.5</v>
      </c>
      <c r="H431" s="6">
        <f t="shared" si="7"/>
        <v>621.99152542372849</v>
      </c>
      <c r="I431" s="3" t="s">
        <v>113</v>
      </c>
      <c r="O431"/>
      <c r="P431"/>
      <c r="R431" s="87"/>
    </row>
    <row r="432" spans="2:18" hidden="1" x14ac:dyDescent="0.25">
      <c r="B432" s="3" t="s">
        <v>3277</v>
      </c>
      <c r="C432" s="3" t="s">
        <v>35</v>
      </c>
      <c r="D432" s="3" t="s">
        <v>3228</v>
      </c>
      <c r="E432" s="3" t="s">
        <v>110</v>
      </c>
      <c r="F432" s="3" t="s">
        <v>3387</v>
      </c>
      <c r="G432" s="253">
        <v>1314.25</v>
      </c>
      <c r="H432" s="6">
        <f t="shared" si="7"/>
        <v>200.47881355932191</v>
      </c>
      <c r="I432" s="3" t="s">
        <v>113</v>
      </c>
      <c r="O432"/>
      <c r="P432"/>
      <c r="R432" s="87"/>
    </row>
    <row r="433" spans="2:18" hidden="1" x14ac:dyDescent="0.25">
      <c r="B433" s="3" t="s">
        <v>2913</v>
      </c>
      <c r="C433" s="3" t="s">
        <v>43</v>
      </c>
      <c r="D433" s="3" t="s">
        <v>2845</v>
      </c>
      <c r="E433" s="3" t="s">
        <v>90</v>
      </c>
      <c r="F433" s="3" t="s">
        <v>3387</v>
      </c>
      <c r="G433" s="6">
        <v>300000</v>
      </c>
      <c r="H433" s="6">
        <f t="shared" si="7"/>
        <v>45762.711864406767</v>
      </c>
      <c r="I433" s="3" t="s">
        <v>113</v>
      </c>
      <c r="J433" s="79"/>
      <c r="O433"/>
      <c r="P433"/>
      <c r="R433" s="87"/>
    </row>
    <row r="434" spans="2:18" hidden="1" x14ac:dyDescent="0.25">
      <c r="B434" s="3" t="s">
        <v>2901</v>
      </c>
      <c r="C434" s="3" t="s">
        <v>43</v>
      </c>
      <c r="D434" s="3" t="s">
        <v>2833</v>
      </c>
      <c r="E434" s="3" t="s">
        <v>90</v>
      </c>
      <c r="F434" s="3" t="s">
        <v>3387</v>
      </c>
      <c r="G434" s="6">
        <v>400000</v>
      </c>
      <c r="H434" s="6">
        <f t="shared" si="7"/>
        <v>61016.949152542336</v>
      </c>
      <c r="I434" s="3" t="s">
        <v>113</v>
      </c>
      <c r="O434"/>
      <c r="P434"/>
      <c r="R434" s="87"/>
    </row>
    <row r="435" spans="2:18" hidden="1" x14ac:dyDescent="0.25">
      <c r="B435" s="3" t="s">
        <v>1449</v>
      </c>
      <c r="C435" s="3" t="s">
        <v>40</v>
      </c>
      <c r="D435" s="3" t="s">
        <v>1339</v>
      </c>
      <c r="E435" s="3" t="s">
        <v>90</v>
      </c>
      <c r="F435" s="3" t="s">
        <v>3387</v>
      </c>
      <c r="G435" s="6">
        <v>100000</v>
      </c>
      <c r="H435" s="6">
        <f t="shared" si="7"/>
        <v>15254.237288135584</v>
      </c>
      <c r="I435" s="3" t="s">
        <v>113</v>
      </c>
      <c r="O435"/>
      <c r="P435"/>
      <c r="R435" s="87"/>
    </row>
    <row r="436" spans="2:18" hidden="1" x14ac:dyDescent="0.25">
      <c r="B436" s="3" t="s">
        <v>1463</v>
      </c>
      <c r="C436" s="3" t="s">
        <v>40</v>
      </c>
      <c r="D436" s="3" t="s">
        <v>1351</v>
      </c>
      <c r="E436" s="3" t="s">
        <v>90</v>
      </c>
      <c r="F436" s="3" t="s">
        <v>3387</v>
      </c>
      <c r="G436" s="6">
        <v>50000</v>
      </c>
      <c r="H436" s="6">
        <f t="shared" si="7"/>
        <v>7627.118644067792</v>
      </c>
      <c r="I436" s="3" t="s">
        <v>113</v>
      </c>
      <c r="O436"/>
      <c r="P436"/>
      <c r="R436" s="87"/>
    </row>
    <row r="437" spans="2:18" hidden="1" x14ac:dyDescent="0.25">
      <c r="B437" s="3" t="s">
        <v>3093</v>
      </c>
      <c r="C437" s="3" t="s">
        <v>94</v>
      </c>
      <c r="D437" s="3" t="s">
        <v>3010</v>
      </c>
      <c r="E437" s="3" t="s">
        <v>90</v>
      </c>
      <c r="F437" s="3" t="s">
        <v>3387</v>
      </c>
      <c r="G437" s="86">
        <v>150000</v>
      </c>
      <c r="H437" s="6">
        <f t="shared" si="7"/>
        <v>22881.355932203383</v>
      </c>
      <c r="I437" s="3" t="s">
        <v>18</v>
      </c>
      <c r="O437"/>
      <c r="P437"/>
      <c r="R437" s="87"/>
    </row>
    <row r="438" spans="2:18" hidden="1" x14ac:dyDescent="0.25">
      <c r="B438" s="3" t="s">
        <v>3095</v>
      </c>
      <c r="C438" s="3" t="s">
        <v>94</v>
      </c>
      <c r="D438" s="3" t="s">
        <v>3012</v>
      </c>
      <c r="E438" s="3" t="s">
        <v>90</v>
      </c>
      <c r="F438" s="3" t="s">
        <v>3387</v>
      </c>
      <c r="G438" s="86">
        <v>150000</v>
      </c>
      <c r="H438" s="6">
        <f t="shared" si="7"/>
        <v>22881.355932203383</v>
      </c>
      <c r="I438" s="3" t="s">
        <v>18</v>
      </c>
      <c r="O438"/>
      <c r="P438"/>
      <c r="R438" s="87"/>
    </row>
    <row r="439" spans="2:18" hidden="1" x14ac:dyDescent="0.25">
      <c r="B439" s="3" t="s">
        <v>3107</v>
      </c>
      <c r="C439" s="3" t="s">
        <v>95</v>
      </c>
      <c r="D439" s="3" t="s">
        <v>3024</v>
      </c>
      <c r="E439" s="3" t="s">
        <v>90</v>
      </c>
      <c r="F439" s="3" t="s">
        <v>3387</v>
      </c>
      <c r="G439" s="86">
        <v>100000</v>
      </c>
      <c r="H439" s="6">
        <f t="shared" si="7"/>
        <v>15254.237288135584</v>
      </c>
      <c r="I439" s="3" t="s">
        <v>18</v>
      </c>
      <c r="O439"/>
      <c r="P439"/>
      <c r="R439" s="87"/>
    </row>
    <row r="440" spans="2:18" hidden="1" x14ac:dyDescent="0.25">
      <c r="B440" s="3" t="s">
        <v>990</v>
      </c>
      <c r="C440" s="3" t="s">
        <v>95</v>
      </c>
      <c r="D440" s="3" t="s">
        <v>1089</v>
      </c>
      <c r="E440" s="3" t="s">
        <v>90</v>
      </c>
      <c r="F440" s="3" t="s">
        <v>3387</v>
      </c>
      <c r="G440" s="86">
        <v>50000</v>
      </c>
      <c r="H440" s="6">
        <f t="shared" si="7"/>
        <v>7627.118644067792</v>
      </c>
      <c r="I440" s="3" t="s">
        <v>18</v>
      </c>
      <c r="O440"/>
      <c r="P440"/>
      <c r="R440" s="87"/>
    </row>
    <row r="441" spans="2:18" hidden="1" x14ac:dyDescent="0.25">
      <c r="B441" s="3" t="s">
        <v>2744</v>
      </c>
      <c r="C441" s="3" t="s">
        <v>17</v>
      </c>
      <c r="D441" s="3" t="s">
        <v>2672</v>
      </c>
      <c r="E441" s="3" t="s">
        <v>71</v>
      </c>
      <c r="F441" s="3" t="s">
        <v>3387</v>
      </c>
      <c r="G441" s="86">
        <v>20000</v>
      </c>
      <c r="H441" s="6">
        <f t="shared" si="7"/>
        <v>3050.8474576271183</v>
      </c>
      <c r="I441" s="3" t="s">
        <v>113</v>
      </c>
      <c r="K441" s="79">
        <v>43846.34</v>
      </c>
      <c r="O441"/>
      <c r="P441"/>
      <c r="R441" s="87"/>
    </row>
    <row r="442" spans="2:18" hidden="1" x14ac:dyDescent="0.25">
      <c r="B442" s="3" t="s">
        <v>2731</v>
      </c>
      <c r="C442" s="3" t="s">
        <v>4</v>
      </c>
      <c r="D442" s="3" t="s">
        <v>2684</v>
      </c>
      <c r="E442" s="3" t="s">
        <v>71</v>
      </c>
      <c r="F442" s="3" t="s">
        <v>3387</v>
      </c>
      <c r="G442" s="6">
        <v>40000</v>
      </c>
      <c r="H442" s="6">
        <f t="shared" si="7"/>
        <v>6101.6949152542365</v>
      </c>
      <c r="I442" s="3" t="s">
        <v>113</v>
      </c>
      <c r="J442" s="5"/>
      <c r="O442"/>
      <c r="P442"/>
      <c r="R442" s="87"/>
    </row>
    <row r="443" spans="2:18" hidden="1" x14ac:dyDescent="0.25">
      <c r="B443" s="3" t="s">
        <v>2715</v>
      </c>
      <c r="C443" s="3" t="s">
        <v>35</v>
      </c>
      <c r="D443" s="3" t="s">
        <v>2646</v>
      </c>
      <c r="E443" s="3" t="s">
        <v>71</v>
      </c>
      <c r="F443" s="3" t="s">
        <v>3387</v>
      </c>
      <c r="G443" s="86">
        <v>50000</v>
      </c>
      <c r="H443" s="6">
        <f t="shared" si="7"/>
        <v>7627.118644067792</v>
      </c>
      <c r="I443" s="3" t="s">
        <v>113</v>
      </c>
      <c r="O443"/>
      <c r="P443"/>
      <c r="R443" s="87"/>
    </row>
    <row r="444" spans="2:18" hidden="1" x14ac:dyDescent="0.25">
      <c r="B444" s="3" t="s">
        <v>2716</v>
      </c>
      <c r="C444" s="3" t="s">
        <v>33</v>
      </c>
      <c r="D444" s="3" t="s">
        <v>2647</v>
      </c>
      <c r="E444" s="3" t="s">
        <v>71</v>
      </c>
      <c r="F444" s="3" t="s">
        <v>3387</v>
      </c>
      <c r="G444" s="86">
        <v>50000</v>
      </c>
      <c r="H444" s="6">
        <f t="shared" si="7"/>
        <v>7627.118644067792</v>
      </c>
      <c r="I444" s="3" t="s">
        <v>113</v>
      </c>
      <c r="J444" s="79"/>
      <c r="O444"/>
      <c r="P444"/>
      <c r="R444" s="87"/>
    </row>
    <row r="445" spans="2:18" hidden="1" x14ac:dyDescent="0.25">
      <c r="B445" s="3" t="s">
        <v>2713</v>
      </c>
      <c r="C445" s="3" t="s">
        <v>38</v>
      </c>
      <c r="D445" s="3" t="s">
        <v>2682</v>
      </c>
      <c r="E445" s="3" t="s">
        <v>71</v>
      </c>
      <c r="F445" s="3" t="s">
        <v>3387</v>
      </c>
      <c r="G445" s="86">
        <v>70000</v>
      </c>
      <c r="H445" s="6">
        <f t="shared" si="7"/>
        <v>10677.96610169491</v>
      </c>
      <c r="I445" s="3" t="s">
        <v>113</v>
      </c>
      <c r="O445"/>
      <c r="P445"/>
      <c r="R445" s="87"/>
    </row>
    <row r="446" spans="2:18" hidden="1" x14ac:dyDescent="0.25">
      <c r="B446" s="3" t="s">
        <v>2747</v>
      </c>
      <c r="C446" s="3" t="s">
        <v>36</v>
      </c>
      <c r="D446" s="3" t="s">
        <v>2686</v>
      </c>
      <c r="E446" s="3" t="s">
        <v>71</v>
      </c>
      <c r="F446" s="3" t="s">
        <v>3387</v>
      </c>
      <c r="G446" s="86">
        <v>20000</v>
      </c>
      <c r="H446" s="6">
        <f t="shared" si="7"/>
        <v>3050.8474576271183</v>
      </c>
      <c r="I446" s="3" t="s">
        <v>113</v>
      </c>
      <c r="O446"/>
      <c r="P446"/>
      <c r="R446" s="87"/>
    </row>
    <row r="447" spans="2:18" hidden="1" x14ac:dyDescent="0.25">
      <c r="B447" s="3" t="s">
        <v>2710</v>
      </c>
      <c r="C447" s="3" t="s">
        <v>36</v>
      </c>
      <c r="D447" s="3" t="s">
        <v>2680</v>
      </c>
      <c r="E447" s="3" t="s">
        <v>71</v>
      </c>
      <c r="F447" s="3" t="s">
        <v>3387</v>
      </c>
      <c r="G447" s="86">
        <v>50000</v>
      </c>
      <c r="H447" s="6">
        <f t="shared" si="7"/>
        <v>7627.118644067792</v>
      </c>
      <c r="I447" s="3" t="s">
        <v>113</v>
      </c>
      <c r="O447"/>
      <c r="P447"/>
      <c r="R447" s="87"/>
    </row>
    <row r="448" spans="2:18" hidden="1" x14ac:dyDescent="0.25">
      <c r="B448" s="3" t="s">
        <v>2723</v>
      </c>
      <c r="C448" s="3" t="s">
        <v>37</v>
      </c>
      <c r="D448" s="3" t="s">
        <v>2683</v>
      </c>
      <c r="E448" s="3" t="s">
        <v>71</v>
      </c>
      <c r="F448" s="3" t="s">
        <v>3387</v>
      </c>
      <c r="G448" s="6">
        <v>50000</v>
      </c>
      <c r="H448" s="6">
        <f t="shared" si="7"/>
        <v>7627.118644067792</v>
      </c>
      <c r="I448" s="3" t="s">
        <v>113</v>
      </c>
      <c r="O448"/>
      <c r="P448"/>
      <c r="R448" s="87"/>
    </row>
    <row r="449" spans="2:18" hidden="1" x14ac:dyDescent="0.25">
      <c r="B449" s="3" t="s">
        <v>2708</v>
      </c>
      <c r="C449" s="3" t="s">
        <v>37</v>
      </c>
      <c r="D449" s="3" t="s">
        <v>2678</v>
      </c>
      <c r="E449" s="3" t="s">
        <v>71</v>
      </c>
      <c r="F449" s="3" t="s">
        <v>3387</v>
      </c>
      <c r="G449" s="6">
        <v>50000</v>
      </c>
      <c r="H449" s="6">
        <f t="shared" si="7"/>
        <v>7627.118644067792</v>
      </c>
      <c r="I449" s="3" t="s">
        <v>113</v>
      </c>
      <c r="O449"/>
      <c r="P449"/>
      <c r="R449" s="87"/>
    </row>
    <row r="450" spans="2:18" hidden="1" x14ac:dyDescent="0.25">
      <c r="B450" s="3" t="s">
        <v>2727</v>
      </c>
      <c r="C450" s="3" t="s">
        <v>34</v>
      </c>
      <c r="D450" s="3" t="s">
        <v>2657</v>
      </c>
      <c r="E450" s="3" t="s">
        <v>71</v>
      </c>
      <c r="F450" s="3" t="s">
        <v>3387</v>
      </c>
      <c r="G450" s="6">
        <v>50000</v>
      </c>
      <c r="H450" s="6">
        <f t="shared" si="7"/>
        <v>7627.118644067792</v>
      </c>
      <c r="I450" s="3" t="s">
        <v>113</v>
      </c>
      <c r="O450"/>
      <c r="P450"/>
      <c r="R450" s="87"/>
    </row>
    <row r="451" spans="2:18" hidden="1" x14ac:dyDescent="0.25">
      <c r="B451" s="3" t="s">
        <v>1214</v>
      </c>
      <c r="C451" s="3" t="s">
        <v>37</v>
      </c>
      <c r="D451" s="3" t="s">
        <v>1288</v>
      </c>
      <c r="E451" s="3" t="s">
        <v>71</v>
      </c>
      <c r="F451" s="3" t="s">
        <v>3387</v>
      </c>
      <c r="G451" s="86">
        <v>50000</v>
      </c>
      <c r="H451" s="6">
        <f t="shared" si="7"/>
        <v>7627.118644067792</v>
      </c>
      <c r="I451" s="3" t="s">
        <v>113</v>
      </c>
      <c r="O451"/>
      <c r="P451"/>
      <c r="R451" s="87"/>
    </row>
    <row r="452" spans="2:18" hidden="1" x14ac:dyDescent="0.25">
      <c r="B452" s="3" t="s">
        <v>1221</v>
      </c>
      <c r="C452" s="3" t="s">
        <v>38</v>
      </c>
      <c r="D452" s="3" t="s">
        <v>1295</v>
      </c>
      <c r="E452" s="3" t="s">
        <v>71</v>
      </c>
      <c r="F452" s="3" t="s">
        <v>3387</v>
      </c>
      <c r="G452" s="86">
        <v>120000</v>
      </c>
      <c r="H452" s="6">
        <f t="shared" si="7"/>
        <v>18305.08474576271</v>
      </c>
      <c r="I452" s="3" t="s">
        <v>113</v>
      </c>
      <c r="O452"/>
      <c r="P452"/>
    </row>
    <row r="453" spans="2:18" hidden="1" x14ac:dyDescent="0.25">
      <c r="B453" s="3" t="s">
        <v>1193</v>
      </c>
      <c r="C453" s="3" t="s">
        <v>17</v>
      </c>
      <c r="D453" s="3" t="s">
        <v>1163</v>
      </c>
      <c r="E453" s="3" t="s">
        <v>71</v>
      </c>
      <c r="F453" s="3" t="s">
        <v>3387</v>
      </c>
      <c r="G453" s="86">
        <v>250000</v>
      </c>
      <c r="H453" s="6">
        <f t="shared" si="7"/>
        <v>38135.593220338982</v>
      </c>
      <c r="I453" s="3" t="s">
        <v>113</v>
      </c>
      <c r="O453"/>
      <c r="P453"/>
      <c r="R453" s="87"/>
    </row>
    <row r="454" spans="2:18" hidden="1" x14ac:dyDescent="0.25">
      <c r="B454" s="3" t="s">
        <v>2703</v>
      </c>
      <c r="C454" s="3" t="s">
        <v>34</v>
      </c>
      <c r="D454" s="3" t="s">
        <v>2639</v>
      </c>
      <c r="E454" s="3" t="s">
        <v>71</v>
      </c>
      <c r="F454" s="3" t="s">
        <v>3387</v>
      </c>
      <c r="G454" s="86">
        <v>120000</v>
      </c>
      <c r="H454" s="6">
        <f t="shared" si="7"/>
        <v>18305.08474576271</v>
      </c>
      <c r="I454" s="3" t="s">
        <v>113</v>
      </c>
      <c r="O454"/>
      <c r="P454"/>
      <c r="R454" s="87"/>
    </row>
    <row r="455" spans="2:18" hidden="1" x14ac:dyDescent="0.25">
      <c r="B455" s="3" t="s">
        <v>1236</v>
      </c>
      <c r="C455" s="3" t="s">
        <v>17</v>
      </c>
      <c r="D455" s="3" t="s">
        <v>1310</v>
      </c>
      <c r="E455" s="3" t="s">
        <v>71</v>
      </c>
      <c r="F455" s="3" t="s">
        <v>3387</v>
      </c>
      <c r="G455" s="86">
        <v>150000</v>
      </c>
      <c r="H455" s="6">
        <f t="shared" si="7"/>
        <v>22881.355932203383</v>
      </c>
      <c r="I455" s="3" t="s">
        <v>113</v>
      </c>
      <c r="O455"/>
      <c r="P455"/>
      <c r="R455" s="87"/>
    </row>
    <row r="456" spans="2:18" hidden="1" x14ac:dyDescent="0.25">
      <c r="B456" s="3" t="s">
        <v>1238</v>
      </c>
      <c r="C456" s="3" t="s">
        <v>17</v>
      </c>
      <c r="D456" s="3" t="s">
        <v>1312</v>
      </c>
      <c r="E456" s="3" t="s">
        <v>71</v>
      </c>
      <c r="F456" s="3" t="s">
        <v>3387</v>
      </c>
      <c r="G456" s="86">
        <v>30000</v>
      </c>
      <c r="H456" s="6">
        <f t="shared" si="7"/>
        <v>4576.2711864406774</v>
      </c>
      <c r="I456" s="3" t="s">
        <v>113</v>
      </c>
      <c r="O456"/>
      <c r="P456"/>
      <c r="R456" s="87"/>
    </row>
    <row r="457" spans="2:18" hidden="1" x14ac:dyDescent="0.25">
      <c r="B457" s="3" t="s">
        <v>2738</v>
      </c>
      <c r="C457" s="3" t="s">
        <v>38</v>
      </c>
      <c r="D457" s="3" t="s">
        <v>2666</v>
      </c>
      <c r="E457" s="3" t="s">
        <v>71</v>
      </c>
      <c r="F457" s="3" t="s">
        <v>3387</v>
      </c>
      <c r="G457" s="86">
        <v>30000</v>
      </c>
      <c r="H457" s="6">
        <f t="shared" si="7"/>
        <v>4576.2711864406774</v>
      </c>
      <c r="I457" s="3" t="s">
        <v>113</v>
      </c>
      <c r="O457"/>
      <c r="P457"/>
      <c r="R457" s="87"/>
    </row>
    <row r="458" spans="2:18" hidden="1" x14ac:dyDescent="0.25">
      <c r="B458" s="3" t="s">
        <v>1213</v>
      </c>
      <c r="C458" s="3" t="s">
        <v>33</v>
      </c>
      <c r="D458" s="3" t="s">
        <v>1287</v>
      </c>
      <c r="E458" s="3" t="s">
        <v>71</v>
      </c>
      <c r="F458" s="3" t="s">
        <v>3387</v>
      </c>
      <c r="G458" s="86">
        <v>150000</v>
      </c>
      <c r="H458" s="6">
        <f t="shared" ref="H458:H521" si="8">G458-G458/1.18</f>
        <v>22881.355932203383</v>
      </c>
      <c r="I458" s="3" t="s">
        <v>113</v>
      </c>
      <c r="O458"/>
      <c r="P458"/>
      <c r="R458" s="87"/>
    </row>
    <row r="459" spans="2:18" hidden="1" x14ac:dyDescent="0.25">
      <c r="B459" s="3" t="s">
        <v>3092</v>
      </c>
      <c r="C459" s="3" t="s">
        <v>94</v>
      </c>
      <c r="D459" s="3" t="s">
        <v>3009</v>
      </c>
      <c r="E459" s="3" t="s">
        <v>106</v>
      </c>
      <c r="F459" s="3" t="s">
        <v>3387</v>
      </c>
      <c r="G459" s="86">
        <v>32999.75</v>
      </c>
      <c r="H459" s="6">
        <f t="shared" si="8"/>
        <v>5033.8601694915233</v>
      </c>
      <c r="I459" s="3" t="s">
        <v>18</v>
      </c>
      <c r="O459"/>
      <c r="P459"/>
    </row>
    <row r="460" spans="2:18" hidden="1" x14ac:dyDescent="0.25">
      <c r="B460" s="3" t="s">
        <v>2912</v>
      </c>
      <c r="C460" s="3" t="s">
        <v>43</v>
      </c>
      <c r="D460" s="3" t="s">
        <v>2844</v>
      </c>
      <c r="E460" s="3" t="s">
        <v>106</v>
      </c>
      <c r="F460" s="3" t="s">
        <v>3387</v>
      </c>
      <c r="G460" s="6">
        <v>10055.5</v>
      </c>
      <c r="H460" s="6">
        <f t="shared" si="8"/>
        <v>1533.8898305084749</v>
      </c>
      <c r="I460" s="3" t="s">
        <v>113</v>
      </c>
      <c r="O460"/>
      <c r="P460"/>
      <c r="R460" s="87"/>
    </row>
    <row r="461" spans="2:18" hidden="1" x14ac:dyDescent="0.25">
      <c r="B461" s="3" t="s">
        <v>1689</v>
      </c>
      <c r="C461" s="3" t="s">
        <v>52</v>
      </c>
      <c r="D461" s="3" t="s">
        <v>406</v>
      </c>
      <c r="E461" s="3" t="s">
        <v>87</v>
      </c>
      <c r="F461" s="3" t="s">
        <v>3387</v>
      </c>
      <c r="G461" s="6">
        <v>104211.69</v>
      </c>
      <c r="H461" s="6">
        <f t="shared" si="8"/>
        <v>15896.69847457626</v>
      </c>
      <c r="I461" s="3" t="s">
        <v>113</v>
      </c>
      <c r="O461"/>
      <c r="P461"/>
      <c r="R461" s="87"/>
    </row>
    <row r="462" spans="2:18" hidden="1" x14ac:dyDescent="0.25">
      <c r="B462" s="3" t="s">
        <v>821</v>
      </c>
      <c r="C462" s="3" t="s">
        <v>47</v>
      </c>
      <c r="D462" s="3" t="s">
        <v>899</v>
      </c>
      <c r="E462" s="3" t="s">
        <v>87</v>
      </c>
      <c r="F462" s="3" t="s">
        <v>3387</v>
      </c>
      <c r="G462" s="6">
        <v>23866.77</v>
      </c>
      <c r="H462" s="6">
        <f t="shared" si="8"/>
        <v>3640.6937288135596</v>
      </c>
      <c r="I462" s="3" t="s">
        <v>113</v>
      </c>
      <c r="O462"/>
      <c r="P462"/>
      <c r="R462" s="87"/>
    </row>
    <row r="463" spans="2:18" hidden="1" x14ac:dyDescent="0.25">
      <c r="B463" s="3" t="s">
        <v>2381</v>
      </c>
      <c r="C463" s="3" t="s">
        <v>56</v>
      </c>
      <c r="D463" s="3" t="s">
        <v>2336</v>
      </c>
      <c r="E463" s="3" t="s">
        <v>87</v>
      </c>
      <c r="F463" s="3" t="s">
        <v>3387</v>
      </c>
      <c r="G463" s="6">
        <v>49468.2</v>
      </c>
      <c r="H463" s="6">
        <f t="shared" si="8"/>
        <v>7545.9966101694881</v>
      </c>
      <c r="I463" s="3" t="s">
        <v>113</v>
      </c>
      <c r="O463"/>
      <c r="P463"/>
      <c r="R463" s="87"/>
    </row>
    <row r="464" spans="2:18" hidden="1" x14ac:dyDescent="0.25">
      <c r="B464" s="3" t="s">
        <v>753</v>
      </c>
      <c r="C464" s="3" t="s">
        <v>92</v>
      </c>
      <c r="D464" s="3" t="s">
        <v>751</v>
      </c>
      <c r="E464" s="3" t="s">
        <v>87</v>
      </c>
      <c r="F464" s="3" t="s">
        <v>3387</v>
      </c>
      <c r="G464" s="6">
        <v>14731.1</v>
      </c>
      <c r="H464" s="6">
        <f t="shared" si="8"/>
        <v>2247.1169491525416</v>
      </c>
      <c r="I464" s="3" t="s">
        <v>18</v>
      </c>
      <c r="O464"/>
      <c r="P464"/>
      <c r="R464" s="87"/>
    </row>
    <row r="465" spans="2:18" hidden="1" x14ac:dyDescent="0.25">
      <c r="B465" s="3" t="s">
        <v>2180</v>
      </c>
      <c r="C465" s="3" t="s">
        <v>56</v>
      </c>
      <c r="D465" s="3" t="s">
        <v>2178</v>
      </c>
      <c r="E465" s="3" t="s">
        <v>105</v>
      </c>
      <c r="F465" s="3" t="s">
        <v>3387</v>
      </c>
      <c r="G465" s="6">
        <v>3400000</v>
      </c>
      <c r="H465" s="6">
        <f t="shared" si="8"/>
        <v>518644.06779660983</v>
      </c>
      <c r="I465" s="3" t="s">
        <v>113</v>
      </c>
      <c r="O465"/>
      <c r="P465"/>
      <c r="R465" s="87"/>
    </row>
    <row r="466" spans="2:18" hidden="1" x14ac:dyDescent="0.25">
      <c r="B466" s="3" t="s">
        <v>2906</v>
      </c>
      <c r="C466" s="3" t="s">
        <v>43</v>
      </c>
      <c r="D466" s="3" t="s">
        <v>2838</v>
      </c>
      <c r="E466" s="3" t="s">
        <v>106</v>
      </c>
      <c r="F466" s="3" t="s">
        <v>3387</v>
      </c>
      <c r="G466" s="6">
        <v>6779.5</v>
      </c>
      <c r="H466" s="6">
        <f t="shared" si="8"/>
        <v>1034.1610169491523</v>
      </c>
      <c r="I466" s="3" t="s">
        <v>113</v>
      </c>
      <c r="O466"/>
      <c r="P466"/>
    </row>
    <row r="467" spans="2:18" hidden="1" x14ac:dyDescent="0.25">
      <c r="B467" s="3" t="s">
        <v>2248</v>
      </c>
      <c r="C467" s="3" t="s">
        <v>21</v>
      </c>
      <c r="D467" s="3" t="s">
        <v>2231</v>
      </c>
      <c r="E467" s="3" t="s">
        <v>115</v>
      </c>
      <c r="F467" s="3" t="s">
        <v>3387</v>
      </c>
      <c r="G467" s="6">
        <v>5000</v>
      </c>
      <c r="H467" s="6">
        <f t="shared" si="8"/>
        <v>762.71186440677957</v>
      </c>
      <c r="I467" s="3" t="s">
        <v>113</v>
      </c>
      <c r="O467"/>
      <c r="P467"/>
      <c r="R467" s="87"/>
    </row>
    <row r="468" spans="2:18" hidden="1" x14ac:dyDescent="0.25">
      <c r="B468" s="3" t="s">
        <v>2234</v>
      </c>
      <c r="C468" s="3" t="s">
        <v>45</v>
      </c>
      <c r="D468" s="3" t="s">
        <v>2215</v>
      </c>
      <c r="E468" s="3" t="s">
        <v>115</v>
      </c>
      <c r="F468" s="3" t="s">
        <v>3387</v>
      </c>
      <c r="G468" s="6">
        <v>150000</v>
      </c>
      <c r="H468" s="6">
        <f t="shared" si="8"/>
        <v>22881.355932203383</v>
      </c>
      <c r="I468" s="3" t="s">
        <v>113</v>
      </c>
      <c r="O468"/>
      <c r="P468"/>
      <c r="R468" s="87"/>
    </row>
    <row r="469" spans="2:18" hidden="1" x14ac:dyDescent="0.25">
      <c r="B469" s="3" t="s">
        <v>1715</v>
      </c>
      <c r="C469" s="3" t="s">
        <v>20</v>
      </c>
      <c r="D469" s="3" t="s">
        <v>925</v>
      </c>
      <c r="E469" s="3" t="s">
        <v>115</v>
      </c>
      <c r="F469" s="3" t="s">
        <v>3387</v>
      </c>
      <c r="G469" s="6">
        <v>200000</v>
      </c>
      <c r="H469" s="6">
        <f t="shared" si="8"/>
        <v>30508.474576271168</v>
      </c>
      <c r="I469" s="3" t="s">
        <v>113</v>
      </c>
      <c r="O469"/>
      <c r="P469"/>
      <c r="R469" s="87"/>
    </row>
    <row r="470" spans="2:18" hidden="1" x14ac:dyDescent="0.25">
      <c r="B470" s="3" t="s">
        <v>2295</v>
      </c>
      <c r="C470" s="3" t="s">
        <v>38</v>
      </c>
      <c r="D470" s="3" t="s">
        <v>2277</v>
      </c>
      <c r="E470" s="3" t="s">
        <v>114</v>
      </c>
      <c r="F470" s="3" t="s">
        <v>3387</v>
      </c>
      <c r="G470" s="64">
        <v>450000</v>
      </c>
      <c r="H470" s="6">
        <f t="shared" si="8"/>
        <v>68644.067796610121</v>
      </c>
      <c r="I470" s="3" t="s">
        <v>113</v>
      </c>
      <c r="O470"/>
      <c r="P470"/>
      <c r="R470" s="87"/>
    </row>
    <row r="471" spans="2:18" hidden="1" x14ac:dyDescent="0.25">
      <c r="B471" s="3" t="s">
        <v>2255</v>
      </c>
      <c r="C471" s="3" t="s">
        <v>94</v>
      </c>
      <c r="D471" s="3" t="s">
        <v>2259</v>
      </c>
      <c r="E471" s="3" t="s">
        <v>114</v>
      </c>
      <c r="F471" s="3" t="s">
        <v>3387</v>
      </c>
      <c r="G471" s="6">
        <v>100000</v>
      </c>
      <c r="H471" s="6">
        <f t="shared" si="8"/>
        <v>15254.237288135584</v>
      </c>
      <c r="I471" s="3" t="s">
        <v>18</v>
      </c>
      <c r="J471" s="70" t="s">
        <v>3538</v>
      </c>
      <c r="O471"/>
      <c r="P471"/>
      <c r="R471" s="87"/>
    </row>
    <row r="472" spans="2:18" hidden="1" x14ac:dyDescent="0.25">
      <c r="B472" s="3" t="s">
        <v>1714</v>
      </c>
      <c r="C472" s="3" t="s">
        <v>21</v>
      </c>
      <c r="D472" s="3" t="s">
        <v>924</v>
      </c>
      <c r="E472" s="3" t="s">
        <v>115</v>
      </c>
      <c r="F472" s="3" t="s">
        <v>3387</v>
      </c>
      <c r="G472" s="6">
        <v>7602.44</v>
      </c>
      <c r="H472" s="6">
        <f t="shared" si="8"/>
        <v>1159.6942372881349</v>
      </c>
      <c r="I472" s="3" t="s">
        <v>113</v>
      </c>
      <c r="O472"/>
      <c r="P472"/>
      <c r="R472" s="87"/>
    </row>
    <row r="473" spans="2:18" hidden="1" x14ac:dyDescent="0.25">
      <c r="B473" s="3" t="s">
        <v>1481</v>
      </c>
      <c r="C473" s="3" t="s">
        <v>42</v>
      </c>
      <c r="D473" s="3" t="s">
        <v>1369</v>
      </c>
      <c r="E473" s="3" t="s">
        <v>90</v>
      </c>
      <c r="F473" s="3" t="s">
        <v>3387</v>
      </c>
      <c r="G473" s="6">
        <v>20766.09</v>
      </c>
      <c r="H473" s="6">
        <f t="shared" si="8"/>
        <v>3167.7086440677958</v>
      </c>
      <c r="I473" s="3" t="s">
        <v>113</v>
      </c>
      <c r="O473"/>
      <c r="P473"/>
    </row>
    <row r="474" spans="2:18" hidden="1" x14ac:dyDescent="0.25">
      <c r="B474" s="3" t="s">
        <v>1496</v>
      </c>
      <c r="C474" s="3" t="s">
        <v>42</v>
      </c>
      <c r="D474" s="3" t="s">
        <v>1384</v>
      </c>
      <c r="E474" s="3" t="s">
        <v>90</v>
      </c>
      <c r="F474" s="3" t="s">
        <v>3387</v>
      </c>
      <c r="G474" s="6">
        <v>15302.48</v>
      </c>
      <c r="H474" s="6">
        <f t="shared" si="8"/>
        <v>2334.2766101694906</v>
      </c>
      <c r="I474" s="3" t="s">
        <v>113</v>
      </c>
      <c r="O474"/>
      <c r="P474"/>
      <c r="R474" s="87"/>
    </row>
    <row r="475" spans="2:18" hidden="1" x14ac:dyDescent="0.25">
      <c r="B475" s="3" t="s">
        <v>1457</v>
      </c>
      <c r="C475" s="3" t="s">
        <v>40</v>
      </c>
      <c r="D475" s="3" t="s">
        <v>1345</v>
      </c>
      <c r="E475" s="3" t="s">
        <v>90</v>
      </c>
      <c r="F475" s="3" t="s">
        <v>3387</v>
      </c>
      <c r="G475" s="6">
        <v>8813.34</v>
      </c>
      <c r="H475" s="6">
        <f t="shared" si="8"/>
        <v>1344.4077966101695</v>
      </c>
      <c r="I475" s="3" t="s">
        <v>113</v>
      </c>
      <c r="O475"/>
      <c r="P475"/>
      <c r="R475" s="87"/>
    </row>
    <row r="476" spans="2:18" hidden="1" x14ac:dyDescent="0.25">
      <c r="B476" s="3" t="s">
        <v>1432</v>
      </c>
      <c r="C476" s="3" t="s">
        <v>41</v>
      </c>
      <c r="D476" s="3" t="s">
        <v>1322</v>
      </c>
      <c r="E476" s="3" t="s">
        <v>90</v>
      </c>
      <c r="F476" s="3" t="s">
        <v>3387</v>
      </c>
      <c r="G476" s="6">
        <v>47773.03</v>
      </c>
      <c r="H476" s="6">
        <f t="shared" si="8"/>
        <v>7287.4113559321995</v>
      </c>
      <c r="I476" s="3" t="s">
        <v>113</v>
      </c>
      <c r="O476"/>
      <c r="P476"/>
      <c r="R476" s="87"/>
    </row>
    <row r="477" spans="2:18" hidden="1" x14ac:dyDescent="0.25">
      <c r="B477" s="3" t="s">
        <v>2422</v>
      </c>
      <c r="C477" s="3" t="s">
        <v>29</v>
      </c>
      <c r="D477" s="3" t="s">
        <v>2354</v>
      </c>
      <c r="E477" s="3" t="s">
        <v>87</v>
      </c>
      <c r="F477" s="3" t="s">
        <v>3387</v>
      </c>
      <c r="G477" s="6">
        <v>68824.58</v>
      </c>
      <c r="H477" s="6">
        <f t="shared" si="8"/>
        <v>10498.664745762711</v>
      </c>
      <c r="I477" s="3" t="s">
        <v>113</v>
      </c>
      <c r="O477"/>
      <c r="P477"/>
      <c r="R477" s="87"/>
    </row>
    <row r="478" spans="2:18" hidden="1" x14ac:dyDescent="0.25">
      <c r="B478" s="3" t="s">
        <v>2412</v>
      </c>
      <c r="C478" s="3" t="s">
        <v>57</v>
      </c>
      <c r="D478" s="3" t="s">
        <v>3364</v>
      </c>
      <c r="E478" s="3" t="s">
        <v>87</v>
      </c>
      <c r="F478" s="3" t="s">
        <v>3387</v>
      </c>
      <c r="G478" s="6">
        <v>44620.47</v>
      </c>
      <c r="H478" s="6">
        <f t="shared" si="8"/>
        <v>6806.512372881356</v>
      </c>
      <c r="I478" s="3" t="s">
        <v>113</v>
      </c>
      <c r="O478"/>
      <c r="P478"/>
      <c r="R478" s="87"/>
    </row>
    <row r="479" spans="2:18" hidden="1" x14ac:dyDescent="0.25">
      <c r="B479" s="3" t="s">
        <v>3359</v>
      </c>
      <c r="C479" s="3" t="s">
        <v>96</v>
      </c>
      <c r="D479" s="3" t="s">
        <v>3336</v>
      </c>
      <c r="E479" s="3" t="s">
        <v>71</v>
      </c>
      <c r="F479" s="3" t="s">
        <v>3387</v>
      </c>
      <c r="G479" s="6">
        <v>27077.26</v>
      </c>
      <c r="H479" s="6">
        <f t="shared" si="8"/>
        <v>4130.4294915254213</v>
      </c>
      <c r="I479" s="3" t="s">
        <v>18</v>
      </c>
      <c r="O479"/>
      <c r="P479"/>
    </row>
    <row r="480" spans="2:18" hidden="1" x14ac:dyDescent="0.25">
      <c r="B480" s="3" t="s">
        <v>3359</v>
      </c>
      <c r="C480" s="3" t="s">
        <v>96</v>
      </c>
      <c r="D480" s="3" t="s">
        <v>3337</v>
      </c>
      <c r="E480" s="3" t="s">
        <v>71</v>
      </c>
      <c r="F480" s="3" t="s">
        <v>3387</v>
      </c>
      <c r="G480" s="6">
        <v>29797.599999999999</v>
      </c>
      <c r="H480" s="6">
        <f t="shared" si="8"/>
        <v>4545.3966101694896</v>
      </c>
      <c r="I480" s="3" t="s">
        <v>18</v>
      </c>
      <c r="O480"/>
      <c r="P480"/>
      <c r="R480" s="87"/>
    </row>
    <row r="481" spans="2:18" hidden="1" x14ac:dyDescent="0.25">
      <c r="B481" s="3" t="s">
        <v>3359</v>
      </c>
      <c r="C481" s="3" t="s">
        <v>96</v>
      </c>
      <c r="D481" s="3" t="s">
        <v>3329</v>
      </c>
      <c r="E481" s="3" t="s">
        <v>71</v>
      </c>
      <c r="F481" s="3" t="s">
        <v>3387</v>
      </c>
      <c r="G481" s="6">
        <v>25861.86</v>
      </c>
      <c r="H481" s="6">
        <f t="shared" si="8"/>
        <v>3945.0294915254235</v>
      </c>
      <c r="I481" s="3" t="s">
        <v>18</v>
      </c>
      <c r="O481"/>
      <c r="P481"/>
      <c r="R481" s="87"/>
    </row>
    <row r="482" spans="2:18" hidden="1" x14ac:dyDescent="0.25">
      <c r="B482" s="3" t="s">
        <v>3359</v>
      </c>
      <c r="C482" s="3" t="s">
        <v>96</v>
      </c>
      <c r="D482" s="3" t="s">
        <v>3331</v>
      </c>
      <c r="E482" s="3" t="s">
        <v>71</v>
      </c>
      <c r="F482" s="3" t="s">
        <v>3387</v>
      </c>
      <c r="G482" s="6">
        <v>10676.29</v>
      </c>
      <c r="H482" s="6">
        <f t="shared" si="8"/>
        <v>1628.5866101694919</v>
      </c>
      <c r="I482" s="3" t="s">
        <v>18</v>
      </c>
      <c r="O482"/>
      <c r="P482"/>
      <c r="R482" s="87"/>
    </row>
    <row r="483" spans="2:18" hidden="1" x14ac:dyDescent="0.25">
      <c r="B483" s="3" t="s">
        <v>3359</v>
      </c>
      <c r="C483" s="3" t="s">
        <v>96</v>
      </c>
      <c r="D483" s="3" t="s">
        <v>3332</v>
      </c>
      <c r="E483" s="3" t="s">
        <v>71</v>
      </c>
      <c r="F483" s="3" t="s">
        <v>3387</v>
      </c>
      <c r="G483" s="6">
        <v>7298.78</v>
      </c>
      <c r="H483" s="6">
        <f t="shared" si="8"/>
        <v>1113.3732203389827</v>
      </c>
      <c r="I483" s="3" t="s">
        <v>18</v>
      </c>
      <c r="O483"/>
      <c r="P483"/>
      <c r="R483" s="87"/>
    </row>
    <row r="484" spans="2:18" hidden="1" x14ac:dyDescent="0.25">
      <c r="B484" s="3" t="s">
        <v>3359</v>
      </c>
      <c r="C484" s="3" t="s">
        <v>96</v>
      </c>
      <c r="D484" s="3" t="s">
        <v>3326</v>
      </c>
      <c r="E484" s="3" t="s">
        <v>71</v>
      </c>
      <c r="F484" s="3" t="s">
        <v>3387</v>
      </c>
      <c r="G484" s="6">
        <v>18201.5</v>
      </c>
      <c r="H484" s="6">
        <f t="shared" si="8"/>
        <v>2776.5</v>
      </c>
      <c r="I484" s="3" t="s">
        <v>18</v>
      </c>
      <c r="O484"/>
      <c r="P484"/>
      <c r="R484" s="87"/>
    </row>
    <row r="485" spans="2:18" hidden="1" x14ac:dyDescent="0.25">
      <c r="B485" s="3" t="s">
        <v>3359</v>
      </c>
      <c r="C485" s="3" t="s">
        <v>96</v>
      </c>
      <c r="D485" s="3" t="s">
        <v>3324</v>
      </c>
      <c r="E485" s="3" t="s">
        <v>71</v>
      </c>
      <c r="F485" s="3" t="s">
        <v>3387</v>
      </c>
      <c r="G485" s="6">
        <v>18414.95</v>
      </c>
      <c r="H485" s="6">
        <f t="shared" si="8"/>
        <v>2809.060169491524</v>
      </c>
      <c r="I485" s="3" t="s">
        <v>18</v>
      </c>
      <c r="O485"/>
      <c r="P485"/>
      <c r="R485" s="87"/>
    </row>
    <row r="486" spans="2:18" hidden="1" x14ac:dyDescent="0.25">
      <c r="B486" s="3" t="s">
        <v>3359</v>
      </c>
      <c r="C486" s="3" t="s">
        <v>96</v>
      </c>
      <c r="D486" s="3" t="s">
        <v>3325</v>
      </c>
      <c r="E486" s="3" t="s">
        <v>71</v>
      </c>
      <c r="F486" s="3" t="s">
        <v>3387</v>
      </c>
      <c r="G486" s="6">
        <v>10845.6</v>
      </c>
      <c r="H486" s="6">
        <f t="shared" si="8"/>
        <v>1654.4135593220326</v>
      </c>
      <c r="I486" s="3" t="s">
        <v>18</v>
      </c>
      <c r="O486"/>
      <c r="P486"/>
    </row>
    <row r="487" spans="2:18" hidden="1" x14ac:dyDescent="0.25">
      <c r="B487" s="3" t="s">
        <v>3358</v>
      </c>
      <c r="C487" s="3" t="s">
        <v>96</v>
      </c>
      <c r="D487" s="3" t="s">
        <v>3339</v>
      </c>
      <c r="E487" s="3" t="s">
        <v>71</v>
      </c>
      <c r="F487" s="3" t="s">
        <v>3387</v>
      </c>
      <c r="G487" s="6">
        <v>20770.990000000002</v>
      </c>
      <c r="H487" s="6">
        <f t="shared" si="8"/>
        <v>3168.4561016949156</v>
      </c>
      <c r="I487" s="3" t="s">
        <v>18</v>
      </c>
      <c r="O487"/>
      <c r="P487"/>
      <c r="R487" s="87"/>
    </row>
    <row r="488" spans="2:18" hidden="1" x14ac:dyDescent="0.25">
      <c r="B488" s="3" t="s">
        <v>3358</v>
      </c>
      <c r="C488" s="3" t="s">
        <v>96</v>
      </c>
      <c r="D488" s="3" t="s">
        <v>3341</v>
      </c>
      <c r="E488" s="3" t="s">
        <v>71</v>
      </c>
      <c r="F488" s="3" t="s">
        <v>3387</v>
      </c>
      <c r="G488" s="6">
        <v>20997.1</v>
      </c>
      <c r="H488" s="6">
        <f t="shared" si="8"/>
        <v>3202.9474576271168</v>
      </c>
      <c r="I488" s="3" t="s">
        <v>18</v>
      </c>
      <c r="O488"/>
      <c r="P488"/>
      <c r="R488" s="87"/>
    </row>
    <row r="489" spans="2:18" hidden="1" x14ac:dyDescent="0.25">
      <c r="B489" s="3" t="s">
        <v>3358</v>
      </c>
      <c r="C489" s="3" t="s">
        <v>96</v>
      </c>
      <c r="D489" s="3" t="s">
        <v>3342</v>
      </c>
      <c r="E489" s="3" t="s">
        <v>71</v>
      </c>
      <c r="F489" s="3" t="s">
        <v>3387</v>
      </c>
      <c r="G489" s="6">
        <v>16464.72</v>
      </c>
      <c r="H489" s="6">
        <f t="shared" si="8"/>
        <v>2511.5674576271176</v>
      </c>
      <c r="I489" s="3" t="s">
        <v>18</v>
      </c>
      <c r="O489"/>
      <c r="P489"/>
      <c r="R489" s="87"/>
    </row>
    <row r="490" spans="2:18" hidden="1" x14ac:dyDescent="0.25">
      <c r="B490" s="3" t="s">
        <v>3358</v>
      </c>
      <c r="C490" s="3" t="s">
        <v>96</v>
      </c>
      <c r="D490" s="3" t="s">
        <v>3344</v>
      </c>
      <c r="E490" s="3" t="s">
        <v>71</v>
      </c>
      <c r="F490" s="3" t="s">
        <v>3387</v>
      </c>
      <c r="G490" s="6">
        <v>11189.42</v>
      </c>
      <c r="H490" s="6">
        <f t="shared" si="8"/>
        <v>1706.8606779661004</v>
      </c>
      <c r="I490" s="3" t="s">
        <v>18</v>
      </c>
      <c r="O490"/>
      <c r="P490"/>
      <c r="R490" s="87"/>
    </row>
    <row r="491" spans="2:18" hidden="1" x14ac:dyDescent="0.25">
      <c r="B491" s="3" t="s">
        <v>3106</v>
      </c>
      <c r="C491" s="3" t="s">
        <v>95</v>
      </c>
      <c r="D491" s="3" t="s">
        <v>3023</v>
      </c>
      <c r="E491" s="3" t="s">
        <v>106</v>
      </c>
      <c r="F491" s="3" t="s">
        <v>3387</v>
      </c>
      <c r="G491" s="86">
        <v>4511.5</v>
      </c>
      <c r="H491" s="6">
        <f t="shared" si="8"/>
        <v>688.194915254237</v>
      </c>
      <c r="I491" s="3" t="s">
        <v>18</v>
      </c>
      <c r="O491"/>
      <c r="P491"/>
      <c r="R491" s="87"/>
    </row>
    <row r="492" spans="2:18" hidden="1" x14ac:dyDescent="0.25">
      <c r="B492" s="3" t="s">
        <v>972</v>
      </c>
      <c r="C492" s="3" t="s">
        <v>95</v>
      </c>
      <c r="D492" s="3" t="s">
        <v>971</v>
      </c>
      <c r="E492" s="3" t="s">
        <v>90</v>
      </c>
      <c r="F492" s="3" t="s">
        <v>3387</v>
      </c>
      <c r="G492" s="86">
        <v>2000</v>
      </c>
      <c r="H492" s="6">
        <f t="shared" si="8"/>
        <v>305.08474576271169</v>
      </c>
      <c r="I492" s="3" t="s">
        <v>18</v>
      </c>
      <c r="O492"/>
      <c r="P492"/>
      <c r="R492" s="87"/>
    </row>
    <row r="493" spans="2:18" hidden="1" x14ac:dyDescent="0.25">
      <c r="B493" s="3" t="s">
        <v>1976</v>
      </c>
      <c r="C493" s="3" t="s">
        <v>136</v>
      </c>
      <c r="D493" s="250" t="s">
        <v>3372</v>
      </c>
      <c r="E493" s="3" t="s">
        <v>105</v>
      </c>
      <c r="F493" s="3" t="s">
        <v>3387</v>
      </c>
      <c r="G493" s="6">
        <v>33543.864999999998</v>
      </c>
      <c r="H493" s="6">
        <f t="shared" si="8"/>
        <v>5116.8607627118618</v>
      </c>
      <c r="I493" s="3" t="s">
        <v>18</v>
      </c>
      <c r="O493"/>
      <c r="P493"/>
    </row>
    <row r="494" spans="2:18" hidden="1" x14ac:dyDescent="0.25">
      <c r="B494" s="3" t="s">
        <v>1975</v>
      </c>
      <c r="C494" s="3" t="s">
        <v>136</v>
      </c>
      <c r="D494" s="250" t="s">
        <v>3371</v>
      </c>
      <c r="E494" s="3" t="s">
        <v>105</v>
      </c>
      <c r="F494" s="3" t="s">
        <v>3387</v>
      </c>
      <c r="G494" s="6">
        <v>21884.47</v>
      </c>
      <c r="H494" s="6">
        <f t="shared" si="8"/>
        <v>3338.308983050847</v>
      </c>
      <c r="I494" s="3" t="s">
        <v>18</v>
      </c>
      <c r="O494"/>
      <c r="P494"/>
      <c r="R494" s="87"/>
    </row>
    <row r="495" spans="2:18" hidden="1" x14ac:dyDescent="0.25">
      <c r="B495" s="3" t="s">
        <v>1065</v>
      </c>
      <c r="C495" s="3" t="s">
        <v>94</v>
      </c>
      <c r="D495" s="3" t="s">
        <v>1122</v>
      </c>
      <c r="E495" s="3" t="s">
        <v>90</v>
      </c>
      <c r="F495" s="3" t="s">
        <v>3387</v>
      </c>
      <c r="G495" s="86">
        <v>21613.03</v>
      </c>
      <c r="H495" s="6">
        <f t="shared" si="8"/>
        <v>3296.9028813559307</v>
      </c>
      <c r="I495" s="3" t="s">
        <v>18</v>
      </c>
      <c r="O495"/>
      <c r="P495"/>
      <c r="R495" s="87"/>
    </row>
    <row r="496" spans="2:18" hidden="1" x14ac:dyDescent="0.25">
      <c r="B496" s="3" t="s">
        <v>1071</v>
      </c>
      <c r="C496" s="3" t="s">
        <v>94</v>
      </c>
      <c r="D496" s="3" t="s">
        <v>1127</v>
      </c>
      <c r="E496" s="3" t="s">
        <v>90</v>
      </c>
      <c r="F496" s="3" t="s">
        <v>3387</v>
      </c>
      <c r="G496" s="86">
        <v>5481.66</v>
      </c>
      <c r="H496" s="6">
        <f t="shared" si="8"/>
        <v>836.18542372881348</v>
      </c>
      <c r="I496" s="3" t="s">
        <v>18</v>
      </c>
      <c r="O496"/>
      <c r="P496"/>
      <c r="R496" s="87"/>
    </row>
    <row r="497" spans="2:18" hidden="1" x14ac:dyDescent="0.25">
      <c r="B497" s="3" t="s">
        <v>2405</v>
      </c>
      <c r="C497" s="3" t="s">
        <v>29</v>
      </c>
      <c r="D497" s="3" t="s">
        <v>2348</v>
      </c>
      <c r="E497" s="3" t="s">
        <v>87</v>
      </c>
      <c r="F497" s="3" t="s">
        <v>3387</v>
      </c>
      <c r="G497" s="6">
        <v>34696.699999999997</v>
      </c>
      <c r="H497" s="6">
        <f t="shared" si="8"/>
        <v>5292.7169491525419</v>
      </c>
      <c r="I497" s="3" t="s">
        <v>113</v>
      </c>
      <c r="O497"/>
      <c r="P497"/>
      <c r="R497" s="87"/>
    </row>
    <row r="498" spans="2:18" hidden="1" x14ac:dyDescent="0.25">
      <c r="B498" s="3" t="s">
        <v>2309</v>
      </c>
      <c r="C498" s="3" t="s">
        <v>4</v>
      </c>
      <c r="D498" s="3" t="s">
        <v>2288</v>
      </c>
      <c r="E498" s="3" t="s">
        <v>114</v>
      </c>
      <c r="F498" s="3" t="s">
        <v>3483</v>
      </c>
      <c r="G498" s="64">
        <v>70000</v>
      </c>
      <c r="H498" s="6">
        <f t="shared" si="8"/>
        <v>10677.96610169491</v>
      </c>
      <c r="I498" s="3" t="s">
        <v>113</v>
      </c>
      <c r="O498"/>
      <c r="P498"/>
      <c r="R498" s="87"/>
    </row>
    <row r="499" spans="2:18" hidden="1" x14ac:dyDescent="0.25">
      <c r="B499" s="3" t="s">
        <v>2051</v>
      </c>
      <c r="C499" s="3" t="s">
        <v>52</v>
      </c>
      <c r="D499" s="3" t="s">
        <v>2053</v>
      </c>
      <c r="E499" s="3" t="s">
        <v>75</v>
      </c>
      <c r="F499" s="3" t="s">
        <v>3483</v>
      </c>
      <c r="G499" s="6">
        <v>300000</v>
      </c>
      <c r="H499" s="6">
        <f t="shared" si="8"/>
        <v>45762.711864406767</v>
      </c>
      <c r="I499" s="3" t="s">
        <v>113</v>
      </c>
      <c r="O499"/>
      <c r="P499"/>
      <c r="R499" s="87"/>
    </row>
    <row r="500" spans="2:18" hidden="1" x14ac:dyDescent="0.25">
      <c r="B500" s="3" t="s">
        <v>1618</v>
      </c>
      <c r="C500" s="3" t="s">
        <v>45</v>
      </c>
      <c r="D500" s="3" t="s">
        <v>1619</v>
      </c>
      <c r="E500" s="3" t="s">
        <v>75</v>
      </c>
      <c r="F500" s="3" t="s">
        <v>3483</v>
      </c>
      <c r="G500" s="6">
        <v>300000</v>
      </c>
      <c r="H500" s="6">
        <f t="shared" si="8"/>
        <v>45762.711864406767</v>
      </c>
      <c r="I500" s="3" t="s">
        <v>113</v>
      </c>
      <c r="O500"/>
      <c r="P500"/>
    </row>
    <row r="501" spans="2:18" hidden="1" x14ac:dyDescent="0.25">
      <c r="B501" s="3" t="s">
        <v>2194</v>
      </c>
      <c r="C501" s="3" t="s">
        <v>68</v>
      </c>
      <c r="D501" s="3" t="s">
        <v>2189</v>
      </c>
      <c r="E501" s="3" t="s">
        <v>75</v>
      </c>
      <c r="F501" s="3" t="s">
        <v>3483</v>
      </c>
      <c r="G501" s="6">
        <v>200000</v>
      </c>
      <c r="H501" s="6">
        <f t="shared" si="8"/>
        <v>30508.474576271168</v>
      </c>
      <c r="I501" s="3" t="s">
        <v>113</v>
      </c>
      <c r="O501"/>
      <c r="P501"/>
      <c r="R501" s="87"/>
    </row>
    <row r="502" spans="2:18" hidden="1" x14ac:dyDescent="0.25">
      <c r="B502" s="3" t="s">
        <v>2907</v>
      </c>
      <c r="C502" s="3" t="s">
        <v>43</v>
      </c>
      <c r="D502" s="3" t="s">
        <v>2839</v>
      </c>
      <c r="E502" s="3" t="s">
        <v>90</v>
      </c>
      <c r="F502" s="3" t="s">
        <v>3483</v>
      </c>
      <c r="G502" s="6">
        <v>400000</v>
      </c>
      <c r="H502" s="6">
        <f t="shared" si="8"/>
        <v>61016.949152542336</v>
      </c>
      <c r="I502" s="3" t="s">
        <v>113</v>
      </c>
      <c r="O502"/>
      <c r="P502"/>
      <c r="R502" s="87"/>
    </row>
    <row r="503" spans="2:18" hidden="1" x14ac:dyDescent="0.25">
      <c r="B503" s="3" t="s">
        <v>1426</v>
      </c>
      <c r="C503" s="3" t="s">
        <v>41</v>
      </c>
      <c r="D503" s="3" t="s">
        <v>1316</v>
      </c>
      <c r="E503" s="3" t="s">
        <v>90</v>
      </c>
      <c r="F503" s="3" t="s">
        <v>3483</v>
      </c>
      <c r="G503" s="6">
        <v>100000</v>
      </c>
      <c r="H503" s="6">
        <f t="shared" si="8"/>
        <v>15254.237288135584</v>
      </c>
      <c r="I503" s="3" t="s">
        <v>113</v>
      </c>
      <c r="O503"/>
      <c r="P503"/>
      <c r="R503" s="87"/>
    </row>
    <row r="504" spans="2:18" hidden="1" x14ac:dyDescent="0.25">
      <c r="B504" s="3" t="s">
        <v>1436</v>
      </c>
      <c r="C504" s="3" t="s">
        <v>73</v>
      </c>
      <c r="D504" s="3" t="s">
        <v>1326</v>
      </c>
      <c r="E504" s="3" t="s">
        <v>90</v>
      </c>
      <c r="F504" s="3" t="s">
        <v>3483</v>
      </c>
      <c r="G504" s="6">
        <v>200000</v>
      </c>
      <c r="H504" s="6">
        <f t="shared" si="8"/>
        <v>30508.474576271168</v>
      </c>
      <c r="I504" s="3" t="s">
        <v>113</v>
      </c>
      <c r="O504"/>
      <c r="P504"/>
      <c r="R504" s="87"/>
    </row>
    <row r="505" spans="2:18" hidden="1" x14ac:dyDescent="0.25">
      <c r="B505" s="3" t="s">
        <v>1221</v>
      </c>
      <c r="C505" s="3" t="s">
        <v>38</v>
      </c>
      <c r="D505" s="3" t="s">
        <v>1295</v>
      </c>
      <c r="E505" s="3" t="s">
        <v>71</v>
      </c>
      <c r="F505" s="3" t="s">
        <v>3483</v>
      </c>
      <c r="G505" s="86">
        <v>44847.96</v>
      </c>
      <c r="H505" s="6">
        <f t="shared" si="8"/>
        <v>6841.2142372881353</v>
      </c>
      <c r="I505" s="3" t="s">
        <v>113</v>
      </c>
      <c r="O505"/>
      <c r="P505"/>
      <c r="R505" s="87"/>
    </row>
    <row r="506" spans="2:18" hidden="1" x14ac:dyDescent="0.25">
      <c r="B506" s="3" t="s">
        <v>1195</v>
      </c>
      <c r="C506" s="3" t="s">
        <v>32</v>
      </c>
      <c r="D506" s="3" t="s">
        <v>1275</v>
      </c>
      <c r="E506" s="3" t="s">
        <v>71</v>
      </c>
      <c r="F506" s="3" t="s">
        <v>3483</v>
      </c>
      <c r="G506" s="86">
        <v>33964.43</v>
      </c>
      <c r="H506" s="6">
        <f t="shared" si="8"/>
        <v>5181.0147457627099</v>
      </c>
      <c r="I506" s="3" t="s">
        <v>113</v>
      </c>
      <c r="O506"/>
      <c r="P506"/>
    </row>
    <row r="507" spans="2:18" hidden="1" x14ac:dyDescent="0.25">
      <c r="B507" s="3" t="s">
        <v>1218</v>
      </c>
      <c r="C507" s="3" t="s">
        <v>33</v>
      </c>
      <c r="D507" s="3" t="s">
        <v>1292</v>
      </c>
      <c r="E507" s="3" t="s">
        <v>71</v>
      </c>
      <c r="F507" s="3" t="s">
        <v>3483</v>
      </c>
      <c r="G507" s="255">
        <v>13846.34</v>
      </c>
      <c r="H507" s="6">
        <f t="shared" si="8"/>
        <v>2112.1535593220342</v>
      </c>
      <c r="I507" s="3" t="s">
        <v>113</v>
      </c>
      <c r="O507"/>
      <c r="P507"/>
      <c r="R507" s="87"/>
    </row>
    <row r="508" spans="2:18" x14ac:dyDescent="0.25">
      <c r="B508" s="3" t="s">
        <v>2197</v>
      </c>
      <c r="C508" s="3" t="s">
        <v>29</v>
      </c>
      <c r="D508" s="3" t="s">
        <v>2200</v>
      </c>
      <c r="E508" s="3" t="s">
        <v>141</v>
      </c>
      <c r="F508" s="3" t="s">
        <v>3483</v>
      </c>
      <c r="G508" s="6">
        <v>500000</v>
      </c>
      <c r="H508" s="6">
        <f t="shared" si="8"/>
        <v>76271.186440677964</v>
      </c>
      <c r="I508" s="3" t="s">
        <v>113</v>
      </c>
      <c r="O508"/>
      <c r="P508"/>
      <c r="R508" s="87"/>
    </row>
    <row r="509" spans="2:18" hidden="1" x14ac:dyDescent="0.25">
      <c r="B509" s="3" t="s">
        <v>2543</v>
      </c>
      <c r="C509" s="3" t="s">
        <v>92</v>
      </c>
      <c r="D509" s="3" t="s">
        <v>2485</v>
      </c>
      <c r="E509" s="3" t="s">
        <v>87</v>
      </c>
      <c r="F509" s="3" t="s">
        <v>3483</v>
      </c>
      <c r="G509" s="6">
        <v>150000</v>
      </c>
      <c r="H509" s="6">
        <f t="shared" si="8"/>
        <v>22881.355932203383</v>
      </c>
      <c r="I509" s="3" t="s">
        <v>18</v>
      </c>
      <c r="O509"/>
      <c r="P509"/>
      <c r="R509" s="87"/>
    </row>
    <row r="510" spans="2:18" hidden="1" x14ac:dyDescent="0.25">
      <c r="B510" s="3" t="s">
        <v>2402</v>
      </c>
      <c r="C510" s="3" t="s">
        <v>72</v>
      </c>
      <c r="D510" s="3" t="s">
        <v>2367</v>
      </c>
      <c r="E510" s="3" t="s">
        <v>117</v>
      </c>
      <c r="F510" s="3" t="s">
        <v>3483</v>
      </c>
      <c r="G510" s="6">
        <v>1296.75</v>
      </c>
      <c r="H510" s="6">
        <f t="shared" si="8"/>
        <v>197.8093220338983</v>
      </c>
      <c r="I510" s="3" t="s">
        <v>113</v>
      </c>
      <c r="O510"/>
      <c r="P510"/>
      <c r="R510" s="87"/>
    </row>
    <row r="511" spans="2:18" hidden="1" x14ac:dyDescent="0.25">
      <c r="B511" s="3" t="s">
        <v>2419</v>
      </c>
      <c r="C511" s="3" t="s">
        <v>57</v>
      </c>
      <c r="D511" s="3" t="s">
        <v>2375</v>
      </c>
      <c r="E511" s="3" t="s">
        <v>117</v>
      </c>
      <c r="F511" s="3" t="s">
        <v>3483</v>
      </c>
      <c r="G511" s="6">
        <v>691.25</v>
      </c>
      <c r="H511" s="6">
        <f t="shared" si="8"/>
        <v>105.44491525423723</v>
      </c>
      <c r="I511" s="3" t="s">
        <v>113</v>
      </c>
      <c r="O511"/>
      <c r="P511"/>
      <c r="R511" s="87"/>
    </row>
    <row r="512" spans="2:18" hidden="1" x14ac:dyDescent="0.25">
      <c r="B512" s="3" t="s">
        <v>2393</v>
      </c>
      <c r="C512" s="3" t="s">
        <v>29</v>
      </c>
      <c r="D512" s="3" t="s">
        <v>2364</v>
      </c>
      <c r="E512" s="3" t="s">
        <v>117</v>
      </c>
      <c r="F512" s="3" t="s">
        <v>3483</v>
      </c>
      <c r="G512" s="6">
        <v>2812.25</v>
      </c>
      <c r="H512" s="6">
        <f t="shared" si="8"/>
        <v>428.98728813559319</v>
      </c>
      <c r="I512" s="3" t="s">
        <v>113</v>
      </c>
      <c r="O512"/>
      <c r="P512"/>
      <c r="R512" s="87"/>
    </row>
    <row r="513" spans="2:18" hidden="1" x14ac:dyDescent="0.25">
      <c r="B513" s="3" t="s">
        <v>2387</v>
      </c>
      <c r="C513" s="3" t="s">
        <v>29</v>
      </c>
      <c r="D513" s="3" t="s">
        <v>2361</v>
      </c>
      <c r="E513" s="3" t="s">
        <v>117</v>
      </c>
      <c r="F513" s="3" t="s">
        <v>3483</v>
      </c>
      <c r="G513" s="6">
        <v>4158</v>
      </c>
      <c r="H513" s="6">
        <f t="shared" si="8"/>
        <v>634.27118644067787</v>
      </c>
      <c r="I513" s="3" t="s">
        <v>113</v>
      </c>
      <c r="O513"/>
      <c r="P513"/>
    </row>
    <row r="514" spans="2:18" hidden="1" x14ac:dyDescent="0.25">
      <c r="B514" s="3" t="s">
        <v>2518</v>
      </c>
      <c r="C514" s="3" t="s">
        <v>88</v>
      </c>
      <c r="D514" s="3" t="s">
        <v>2460</v>
      </c>
      <c r="E514" s="3" t="s">
        <v>117</v>
      </c>
      <c r="F514" s="3" t="s">
        <v>3483</v>
      </c>
      <c r="G514" s="6">
        <v>7001.75</v>
      </c>
      <c r="H514" s="6">
        <f t="shared" si="8"/>
        <v>1068.0635593220331</v>
      </c>
      <c r="I514" s="3" t="s">
        <v>18</v>
      </c>
      <c r="O514"/>
      <c r="P514"/>
      <c r="R514" s="87"/>
    </row>
    <row r="515" spans="2:18" hidden="1" x14ac:dyDescent="0.25">
      <c r="B515" s="3" t="s">
        <v>2520</v>
      </c>
      <c r="C515" s="3" t="s">
        <v>88</v>
      </c>
      <c r="D515" s="3" t="s">
        <v>2462</v>
      </c>
      <c r="E515" s="3" t="s">
        <v>117</v>
      </c>
      <c r="F515" s="3" t="s">
        <v>3483</v>
      </c>
      <c r="G515" s="6">
        <v>5731.25</v>
      </c>
      <c r="H515" s="6">
        <f t="shared" si="8"/>
        <v>874.2584745762706</v>
      </c>
      <c r="I515" s="3" t="s">
        <v>18</v>
      </c>
      <c r="O515"/>
      <c r="P515"/>
      <c r="R515" s="87"/>
    </row>
    <row r="516" spans="2:18" hidden="1" x14ac:dyDescent="0.25">
      <c r="B516" s="3" t="s">
        <v>2526</v>
      </c>
      <c r="C516" s="3" t="s">
        <v>88</v>
      </c>
      <c r="D516" s="3" t="s">
        <v>2468</v>
      </c>
      <c r="E516" s="3" t="s">
        <v>117</v>
      </c>
      <c r="F516" s="3" t="s">
        <v>3483</v>
      </c>
      <c r="G516" s="6">
        <v>9714.25</v>
      </c>
      <c r="H516" s="6">
        <f t="shared" si="8"/>
        <v>1481.8347457627115</v>
      </c>
      <c r="I516" s="3" t="s">
        <v>18</v>
      </c>
      <c r="O516"/>
      <c r="P516"/>
      <c r="R516" s="87"/>
    </row>
    <row r="517" spans="2:18" hidden="1" x14ac:dyDescent="0.25">
      <c r="B517" s="3" t="s">
        <v>2536</v>
      </c>
      <c r="C517" s="3" t="s">
        <v>88</v>
      </c>
      <c r="D517" s="3" t="s">
        <v>2478</v>
      </c>
      <c r="E517" s="3" t="s">
        <v>117</v>
      </c>
      <c r="F517" s="3" t="s">
        <v>3483</v>
      </c>
      <c r="G517" s="6">
        <v>4371.5</v>
      </c>
      <c r="H517" s="6">
        <f t="shared" si="8"/>
        <v>666.83898305084722</v>
      </c>
      <c r="I517" s="3" t="s">
        <v>18</v>
      </c>
      <c r="O517"/>
      <c r="P517"/>
      <c r="R517" s="87"/>
    </row>
    <row r="518" spans="2:18" hidden="1" x14ac:dyDescent="0.25">
      <c r="B518" s="3" t="s">
        <v>2538</v>
      </c>
      <c r="C518" s="3" t="s">
        <v>92</v>
      </c>
      <c r="D518" s="3" t="s">
        <v>2480</v>
      </c>
      <c r="E518" s="3" t="s">
        <v>117</v>
      </c>
      <c r="F518" s="3" t="s">
        <v>3483</v>
      </c>
      <c r="G518" s="6">
        <v>12006.75</v>
      </c>
      <c r="H518" s="6">
        <f t="shared" si="8"/>
        <v>1831.5381355932204</v>
      </c>
      <c r="I518" s="3" t="s">
        <v>18</v>
      </c>
      <c r="O518"/>
      <c r="P518"/>
      <c r="R518" s="87"/>
    </row>
    <row r="519" spans="2:18" hidden="1" x14ac:dyDescent="0.25">
      <c r="B519" s="3" t="s">
        <v>2547</v>
      </c>
      <c r="C519" s="3" t="s">
        <v>88</v>
      </c>
      <c r="D519" s="3" t="s">
        <v>2488</v>
      </c>
      <c r="E519" s="3" t="s">
        <v>117</v>
      </c>
      <c r="F519" s="3" t="s">
        <v>3483</v>
      </c>
      <c r="G519" s="6">
        <v>1862</v>
      </c>
      <c r="H519" s="6">
        <f t="shared" si="8"/>
        <v>284.03389830508468</v>
      </c>
      <c r="I519" s="3" t="s">
        <v>18</v>
      </c>
      <c r="O519"/>
      <c r="P519"/>
      <c r="R519" s="87"/>
    </row>
    <row r="520" spans="2:18" hidden="1" x14ac:dyDescent="0.25">
      <c r="B520" s="3" t="s">
        <v>2556</v>
      </c>
      <c r="C520" s="3" t="s">
        <v>93</v>
      </c>
      <c r="D520" s="3" t="s">
        <v>2497</v>
      </c>
      <c r="E520" s="3" t="s">
        <v>117</v>
      </c>
      <c r="F520" s="3" t="s">
        <v>3483</v>
      </c>
      <c r="G520" s="6">
        <v>3057.25</v>
      </c>
      <c r="H520" s="6">
        <f t="shared" si="8"/>
        <v>466.36016949152508</v>
      </c>
      <c r="I520" s="3" t="s">
        <v>18</v>
      </c>
      <c r="O520"/>
      <c r="P520"/>
    </row>
    <row r="521" spans="2:18" hidden="1" x14ac:dyDescent="0.25">
      <c r="B521" s="3" t="s">
        <v>2514</v>
      </c>
      <c r="C521" s="3" t="s">
        <v>88</v>
      </c>
      <c r="D521" s="3" t="s">
        <v>3487</v>
      </c>
      <c r="E521" s="3" t="s">
        <v>117</v>
      </c>
      <c r="F521" s="3" t="s">
        <v>3483</v>
      </c>
      <c r="G521" s="6">
        <v>3392.375</v>
      </c>
      <c r="H521" s="6">
        <f t="shared" si="8"/>
        <v>517.48093220338978</v>
      </c>
      <c r="I521" s="3" t="s">
        <v>18</v>
      </c>
      <c r="O521"/>
      <c r="P521"/>
      <c r="R521" s="87"/>
    </row>
    <row r="522" spans="2:18" hidden="1" x14ac:dyDescent="0.25">
      <c r="B522" s="3" t="s">
        <v>2514</v>
      </c>
      <c r="C522" s="3" t="s">
        <v>88</v>
      </c>
      <c r="D522" s="3" t="s">
        <v>3491</v>
      </c>
      <c r="E522" s="3" t="s">
        <v>117</v>
      </c>
      <c r="F522" s="3" t="s">
        <v>3483</v>
      </c>
      <c r="G522" s="6">
        <v>7934.5</v>
      </c>
      <c r="H522" s="6">
        <f t="shared" ref="H522:H585" si="9">G522-G522/1.18</f>
        <v>1210.3474576271183</v>
      </c>
      <c r="I522" s="3" t="s">
        <v>18</v>
      </c>
      <c r="O522"/>
      <c r="P522"/>
      <c r="R522" s="87"/>
    </row>
    <row r="523" spans="2:18" hidden="1" x14ac:dyDescent="0.25">
      <c r="B523" s="3" t="s">
        <v>2514</v>
      </c>
      <c r="C523" s="3" t="s">
        <v>88</v>
      </c>
      <c r="D523" s="3" t="s">
        <v>3492</v>
      </c>
      <c r="E523" s="3" t="s">
        <v>117</v>
      </c>
      <c r="F523" s="3" t="s">
        <v>3483</v>
      </c>
      <c r="G523" s="6">
        <v>5472.25</v>
      </c>
      <c r="H523" s="6">
        <f t="shared" si="9"/>
        <v>834.75</v>
      </c>
      <c r="I523" s="3" t="s">
        <v>18</v>
      </c>
      <c r="O523"/>
      <c r="P523"/>
      <c r="R523" s="87"/>
    </row>
    <row r="524" spans="2:18" hidden="1" x14ac:dyDescent="0.25">
      <c r="B524" s="3" t="s">
        <v>2306</v>
      </c>
      <c r="C524" s="3" t="s">
        <v>38</v>
      </c>
      <c r="D524" s="3" t="s">
        <v>2286</v>
      </c>
      <c r="E524" s="3" t="s">
        <v>114</v>
      </c>
      <c r="F524" s="3" t="s">
        <v>3483</v>
      </c>
      <c r="G524" s="64">
        <v>150000</v>
      </c>
      <c r="H524" s="6">
        <f t="shared" si="9"/>
        <v>22881.355932203383</v>
      </c>
      <c r="I524" s="3" t="s">
        <v>113</v>
      </c>
      <c r="O524"/>
      <c r="P524"/>
      <c r="R524" s="87"/>
    </row>
    <row r="525" spans="2:18" hidden="1" x14ac:dyDescent="0.25">
      <c r="B525" s="3" t="s">
        <v>2303</v>
      </c>
      <c r="C525" s="3" t="s">
        <v>36</v>
      </c>
      <c r="D525" s="3" t="s">
        <v>2283</v>
      </c>
      <c r="E525" s="3" t="s">
        <v>114</v>
      </c>
      <c r="F525" s="3" t="s">
        <v>3483</v>
      </c>
      <c r="G525" s="64">
        <v>130000</v>
      </c>
      <c r="H525" s="6">
        <f t="shared" si="9"/>
        <v>19830.508474576272</v>
      </c>
      <c r="I525" s="3" t="s">
        <v>113</v>
      </c>
      <c r="O525"/>
      <c r="P525"/>
      <c r="R525" s="87"/>
    </row>
    <row r="526" spans="2:18" hidden="1" x14ac:dyDescent="0.25">
      <c r="B526" s="3" t="s">
        <v>2255</v>
      </c>
      <c r="C526" s="3" t="s">
        <v>94</v>
      </c>
      <c r="D526" s="3" t="s">
        <v>2259</v>
      </c>
      <c r="E526" s="3" t="s">
        <v>114</v>
      </c>
      <c r="F526" s="3" t="s">
        <v>3483</v>
      </c>
      <c r="G526" s="6">
        <v>180000</v>
      </c>
      <c r="H526" s="6">
        <f t="shared" si="9"/>
        <v>27457.627118644072</v>
      </c>
      <c r="I526" s="3" t="s">
        <v>18</v>
      </c>
      <c r="O526"/>
      <c r="P526"/>
      <c r="R526" s="87"/>
    </row>
    <row r="527" spans="2:18" hidden="1" x14ac:dyDescent="0.25">
      <c r="B527" s="3" t="s">
        <v>2253</v>
      </c>
      <c r="C527" s="3" t="s">
        <v>94</v>
      </c>
      <c r="D527" s="3" t="s">
        <v>2257</v>
      </c>
      <c r="E527" s="3" t="s">
        <v>114</v>
      </c>
      <c r="F527" s="3" t="s">
        <v>3483</v>
      </c>
      <c r="G527" s="6">
        <v>60000</v>
      </c>
      <c r="H527" s="6">
        <f t="shared" si="9"/>
        <v>9152.5423728813548</v>
      </c>
      <c r="I527" s="3" t="s">
        <v>18</v>
      </c>
      <c r="O527"/>
      <c r="P527"/>
    </row>
    <row r="528" spans="2:18" hidden="1" x14ac:dyDescent="0.25">
      <c r="B528" s="3" t="s">
        <v>2254</v>
      </c>
      <c r="C528" s="3" t="s">
        <v>74</v>
      </c>
      <c r="D528" s="3" t="s">
        <v>2258</v>
      </c>
      <c r="E528" s="3" t="s">
        <v>114</v>
      </c>
      <c r="F528" s="3" t="s">
        <v>3483</v>
      </c>
      <c r="G528" s="6">
        <v>70000</v>
      </c>
      <c r="H528" s="6">
        <f t="shared" si="9"/>
        <v>10677.96610169491</v>
      </c>
      <c r="I528" s="3" t="s">
        <v>18</v>
      </c>
      <c r="O528"/>
      <c r="P528"/>
      <c r="R528" s="87"/>
    </row>
    <row r="529" spans="2:18" hidden="1" x14ac:dyDescent="0.25">
      <c r="B529" s="3" t="s">
        <v>2248</v>
      </c>
      <c r="C529" s="3" t="s">
        <v>21</v>
      </c>
      <c r="D529" s="3" t="s">
        <v>2231</v>
      </c>
      <c r="E529" s="3" t="s">
        <v>115</v>
      </c>
      <c r="F529" s="3" t="s">
        <v>3483</v>
      </c>
      <c r="G529" s="6">
        <v>26907</v>
      </c>
      <c r="H529" s="6">
        <f t="shared" si="9"/>
        <v>4104.4576271186415</v>
      </c>
      <c r="I529" s="3" t="s">
        <v>113</v>
      </c>
      <c r="O529"/>
      <c r="P529"/>
      <c r="R529" s="87"/>
    </row>
    <row r="530" spans="2:18" hidden="1" x14ac:dyDescent="0.25">
      <c r="B530" s="3" t="s">
        <v>1039</v>
      </c>
      <c r="C530" s="3" t="s">
        <v>94</v>
      </c>
      <c r="D530" s="3" t="s">
        <v>978</v>
      </c>
      <c r="E530" s="3" t="s">
        <v>90</v>
      </c>
      <c r="F530" s="3" t="s">
        <v>3483</v>
      </c>
      <c r="G530" s="86">
        <v>12174.95</v>
      </c>
      <c r="H530" s="6">
        <f t="shared" si="9"/>
        <v>1857.1957627118645</v>
      </c>
      <c r="I530" s="3" t="s">
        <v>18</v>
      </c>
      <c r="O530"/>
      <c r="P530"/>
      <c r="R530" s="87"/>
    </row>
    <row r="531" spans="2:18" hidden="1" x14ac:dyDescent="0.25">
      <c r="B531" s="3" t="s">
        <v>1447</v>
      </c>
      <c r="C531" s="3" t="s">
        <v>42</v>
      </c>
      <c r="D531" s="3" t="s">
        <v>1337</v>
      </c>
      <c r="E531" s="3" t="s">
        <v>90</v>
      </c>
      <c r="F531" s="3" t="s">
        <v>3483</v>
      </c>
      <c r="G531" s="6">
        <v>28325.68</v>
      </c>
      <c r="H531" s="6">
        <f t="shared" si="9"/>
        <v>4320.8664406779644</v>
      </c>
      <c r="I531" s="3" t="s">
        <v>113</v>
      </c>
      <c r="O531"/>
      <c r="P531"/>
      <c r="R531" s="87"/>
    </row>
    <row r="532" spans="2:18" hidden="1" x14ac:dyDescent="0.25">
      <c r="B532" s="3" t="s">
        <v>2295</v>
      </c>
      <c r="C532" s="3" t="s">
        <v>38</v>
      </c>
      <c r="D532" s="3" t="s">
        <v>2277</v>
      </c>
      <c r="E532" s="3" t="s">
        <v>114</v>
      </c>
      <c r="F532" s="3" t="s">
        <v>3483</v>
      </c>
      <c r="G532" s="64">
        <v>200000</v>
      </c>
      <c r="H532" s="6">
        <f t="shared" si="9"/>
        <v>30508.474576271168</v>
      </c>
      <c r="I532" s="3" t="s">
        <v>113</v>
      </c>
      <c r="O532"/>
      <c r="P532"/>
      <c r="R532" s="87"/>
    </row>
    <row r="533" spans="2:18" hidden="1" x14ac:dyDescent="0.25">
      <c r="B533" s="3" t="s">
        <v>783</v>
      </c>
      <c r="C533" s="3" t="s">
        <v>57</v>
      </c>
      <c r="D533" s="3" t="s">
        <v>861</v>
      </c>
      <c r="E533" s="3" t="s">
        <v>87</v>
      </c>
      <c r="F533" s="3" t="s">
        <v>3483</v>
      </c>
      <c r="G533" s="6">
        <v>119014.7</v>
      </c>
      <c r="H533" s="6">
        <f t="shared" si="9"/>
        <v>18154.784745762707</v>
      </c>
      <c r="I533" s="3" t="s">
        <v>113</v>
      </c>
      <c r="O533"/>
      <c r="P533"/>
      <c r="R533" s="87"/>
    </row>
    <row r="534" spans="2:18" hidden="1" x14ac:dyDescent="0.25">
      <c r="B534" s="3" t="s">
        <v>2418</v>
      </c>
      <c r="C534" s="3" t="s">
        <v>29</v>
      </c>
      <c r="D534" s="3" t="s">
        <v>2352</v>
      </c>
      <c r="E534" s="3" t="s">
        <v>87</v>
      </c>
      <c r="F534" s="3" t="s">
        <v>3483</v>
      </c>
      <c r="G534" s="6">
        <v>23485.83</v>
      </c>
      <c r="H534" s="6">
        <f t="shared" si="9"/>
        <v>3582.5842372881343</v>
      </c>
      <c r="I534" s="3" t="s">
        <v>113</v>
      </c>
      <c r="O534"/>
      <c r="P534"/>
    </row>
    <row r="535" spans="2:18" hidden="1" x14ac:dyDescent="0.25">
      <c r="B535" s="3" t="s">
        <v>1715</v>
      </c>
      <c r="C535" s="3" t="s">
        <v>20</v>
      </c>
      <c r="D535" s="3" t="s">
        <v>925</v>
      </c>
      <c r="E535" s="3" t="s">
        <v>115</v>
      </c>
      <c r="F535" s="3" t="s">
        <v>3483</v>
      </c>
      <c r="G535" s="6">
        <v>200000</v>
      </c>
      <c r="H535" s="6">
        <f t="shared" si="9"/>
        <v>30508.474576271168</v>
      </c>
      <c r="I535" s="3" t="s">
        <v>113</v>
      </c>
      <c r="O535"/>
      <c r="P535"/>
      <c r="R535" s="87"/>
    </row>
    <row r="536" spans="2:18" hidden="1" x14ac:dyDescent="0.25">
      <c r="B536" s="3" t="s">
        <v>2247</v>
      </c>
      <c r="C536" s="3" t="s">
        <v>21</v>
      </c>
      <c r="D536" s="3" t="s">
        <v>2230</v>
      </c>
      <c r="E536" s="3" t="s">
        <v>115</v>
      </c>
      <c r="F536" s="3" t="s">
        <v>3483</v>
      </c>
      <c r="G536" s="6">
        <v>28000</v>
      </c>
      <c r="H536" s="6">
        <f t="shared" si="9"/>
        <v>4271.1864406779641</v>
      </c>
      <c r="I536" s="3" t="s">
        <v>113</v>
      </c>
      <c r="O536"/>
      <c r="P536"/>
      <c r="R536" s="87"/>
    </row>
    <row r="537" spans="2:18" hidden="1" x14ac:dyDescent="0.25">
      <c r="B537" s="3" t="s">
        <v>3477</v>
      </c>
      <c r="C537" s="3" t="s">
        <v>96</v>
      </c>
      <c r="D537" s="3" t="s">
        <v>2780</v>
      </c>
      <c r="E537" s="3" t="s">
        <v>71</v>
      </c>
      <c r="F537" s="3" t="s">
        <v>3483</v>
      </c>
      <c r="G537" s="6">
        <v>50000</v>
      </c>
      <c r="H537" s="6">
        <f t="shared" si="9"/>
        <v>7627.118644067792</v>
      </c>
      <c r="I537" s="3" t="s">
        <v>18</v>
      </c>
      <c r="O537"/>
      <c r="P537"/>
      <c r="R537" s="87"/>
    </row>
    <row r="538" spans="2:18" hidden="1" x14ac:dyDescent="0.25">
      <c r="B538" s="3" t="s">
        <v>2788</v>
      </c>
      <c r="C538" s="3" t="s">
        <v>96</v>
      </c>
      <c r="D538" s="3" t="s">
        <v>3451</v>
      </c>
      <c r="E538" s="3" t="s">
        <v>71</v>
      </c>
      <c r="F538" s="3" t="s">
        <v>3483</v>
      </c>
      <c r="G538" s="6">
        <v>70000</v>
      </c>
      <c r="H538" s="6">
        <f t="shared" si="9"/>
        <v>10677.96610169491</v>
      </c>
      <c r="I538" s="3" t="s">
        <v>18</v>
      </c>
      <c r="O538"/>
      <c r="P538"/>
      <c r="R538" s="87"/>
    </row>
    <row r="539" spans="2:18" hidden="1" x14ac:dyDescent="0.25">
      <c r="B539" s="3" t="s">
        <v>3358</v>
      </c>
      <c r="C539" s="3" t="s">
        <v>96</v>
      </c>
      <c r="D539" s="3" t="s">
        <v>3463</v>
      </c>
      <c r="E539" s="3" t="s">
        <v>71</v>
      </c>
      <c r="F539" s="3" t="s">
        <v>3483</v>
      </c>
      <c r="G539" s="6">
        <v>50000</v>
      </c>
      <c r="H539" s="6">
        <f t="shared" si="9"/>
        <v>7627.118644067792</v>
      </c>
      <c r="I539" s="3" t="s">
        <v>18</v>
      </c>
      <c r="O539"/>
      <c r="P539"/>
      <c r="R539" s="87"/>
    </row>
    <row r="540" spans="2:18" hidden="1" x14ac:dyDescent="0.25">
      <c r="B540" s="3" t="s">
        <v>3358</v>
      </c>
      <c r="C540" s="3" t="s">
        <v>96</v>
      </c>
      <c r="D540" s="3" t="s">
        <v>3343</v>
      </c>
      <c r="E540" s="3" t="s">
        <v>71</v>
      </c>
      <c r="F540" s="3" t="s">
        <v>3483</v>
      </c>
      <c r="G540" s="6">
        <v>3000</v>
      </c>
      <c r="H540" s="6">
        <f t="shared" si="9"/>
        <v>457.62711864406765</v>
      </c>
      <c r="I540" s="3" t="s">
        <v>18</v>
      </c>
      <c r="N540">
        <v>60</v>
      </c>
      <c r="O540"/>
      <c r="P540"/>
      <c r="R540" s="87"/>
    </row>
    <row r="541" spans="2:18" hidden="1" x14ac:dyDescent="0.25">
      <c r="B541" s="3" t="s">
        <v>3359</v>
      </c>
      <c r="C541" s="3" t="s">
        <v>96</v>
      </c>
      <c r="D541" s="3" t="s">
        <v>3323</v>
      </c>
      <c r="E541" s="3" t="s">
        <v>71</v>
      </c>
      <c r="F541" s="3" t="s">
        <v>3483</v>
      </c>
      <c r="G541" s="6">
        <v>3000</v>
      </c>
      <c r="H541" s="6">
        <f t="shared" si="9"/>
        <v>457.62711864406765</v>
      </c>
      <c r="I541" s="3" t="s">
        <v>18</v>
      </c>
      <c r="N541">
        <v>37</v>
      </c>
      <c r="O541"/>
      <c r="P541"/>
      <c r="R541" s="87"/>
    </row>
    <row r="542" spans="2:18" hidden="1" x14ac:dyDescent="0.25">
      <c r="B542" s="3" t="s">
        <v>2789</v>
      </c>
      <c r="C542" s="3" t="s">
        <v>97</v>
      </c>
      <c r="D542" s="3" t="s">
        <v>2779</v>
      </c>
      <c r="E542" s="3" t="s">
        <v>71</v>
      </c>
      <c r="F542" s="3" t="s">
        <v>3483</v>
      </c>
      <c r="G542" s="6">
        <v>200000</v>
      </c>
      <c r="H542" s="6">
        <f t="shared" si="9"/>
        <v>30508.474576271168</v>
      </c>
      <c r="I542" s="3" t="s">
        <v>18</v>
      </c>
      <c r="O542"/>
      <c r="P542"/>
      <c r="R542" s="87"/>
    </row>
    <row r="543" spans="2:18" hidden="1" x14ac:dyDescent="0.25">
      <c r="B543" s="3" t="s">
        <v>3089</v>
      </c>
      <c r="C543" s="3" t="s">
        <v>74</v>
      </c>
      <c r="D543" s="3" t="s">
        <v>3008</v>
      </c>
      <c r="E543" s="3" t="s">
        <v>106</v>
      </c>
      <c r="F543" s="3" t="s">
        <v>3483</v>
      </c>
      <c r="G543" s="6">
        <v>10342.5</v>
      </c>
      <c r="H543" s="6">
        <f t="shared" si="9"/>
        <v>1577.6694915254229</v>
      </c>
      <c r="I543" s="3" t="s">
        <v>18</v>
      </c>
      <c r="O543"/>
      <c r="P543"/>
    </row>
    <row r="544" spans="2:18" hidden="1" x14ac:dyDescent="0.25">
      <c r="B544" s="3" t="s">
        <v>972</v>
      </c>
      <c r="C544" s="3" t="s">
        <v>95</v>
      </c>
      <c r="D544" s="3" t="s">
        <v>971</v>
      </c>
      <c r="E544" s="3" t="s">
        <v>90</v>
      </c>
      <c r="F544" s="3" t="s">
        <v>3483</v>
      </c>
      <c r="G544" s="86">
        <v>2800</v>
      </c>
      <c r="H544" s="6">
        <f t="shared" si="9"/>
        <v>427.11864406779659</v>
      </c>
      <c r="I544" s="3" t="s">
        <v>18</v>
      </c>
      <c r="O544"/>
      <c r="P544"/>
      <c r="R544" s="87"/>
    </row>
    <row r="545" spans="2:18" hidden="1" x14ac:dyDescent="0.25">
      <c r="B545" s="3" t="s">
        <v>3351</v>
      </c>
      <c r="C545" s="3" t="s">
        <v>40</v>
      </c>
      <c r="D545" s="3" t="s">
        <v>3349</v>
      </c>
      <c r="E545" s="3" t="s">
        <v>128</v>
      </c>
      <c r="F545" s="3" t="s">
        <v>3483</v>
      </c>
      <c r="G545" s="64">
        <v>18984</v>
      </c>
      <c r="H545" s="6">
        <f t="shared" si="9"/>
        <v>2895.8644067796595</v>
      </c>
      <c r="I545" s="3" t="s">
        <v>113</v>
      </c>
      <c r="O545"/>
      <c r="P545"/>
      <c r="R545" s="87"/>
    </row>
    <row r="546" spans="2:18" hidden="1" x14ac:dyDescent="0.25">
      <c r="B546" s="3" t="s">
        <v>3352</v>
      </c>
      <c r="C546" s="3" t="s">
        <v>40</v>
      </c>
      <c r="D546" s="3" t="s">
        <v>3350</v>
      </c>
      <c r="E546" s="3" t="s">
        <v>128</v>
      </c>
      <c r="F546" s="3" t="s">
        <v>3483</v>
      </c>
      <c r="G546" s="64">
        <v>17053.75</v>
      </c>
      <c r="H546" s="6">
        <f t="shared" si="9"/>
        <v>2601.4194915254229</v>
      </c>
      <c r="I546" s="3" t="s">
        <v>113</v>
      </c>
      <c r="O546"/>
      <c r="P546"/>
      <c r="R546" s="87"/>
    </row>
    <row r="547" spans="2:18" hidden="1" x14ac:dyDescent="0.25">
      <c r="B547" s="3" t="s">
        <v>2716</v>
      </c>
      <c r="C547" s="3" t="s">
        <v>33</v>
      </c>
      <c r="D547" s="3" t="s">
        <v>2647</v>
      </c>
      <c r="E547" s="3" t="s">
        <v>71</v>
      </c>
      <c r="F547" s="3" t="s">
        <v>3483</v>
      </c>
      <c r="G547" s="86">
        <v>50000</v>
      </c>
      <c r="H547" s="6">
        <f t="shared" si="9"/>
        <v>7627.118644067792</v>
      </c>
      <c r="I547" s="3" t="s">
        <v>113</v>
      </c>
      <c r="O547"/>
      <c r="P547"/>
      <c r="R547" s="87"/>
    </row>
    <row r="548" spans="2:18" hidden="1" x14ac:dyDescent="0.25">
      <c r="B548" s="3" t="s">
        <v>2901</v>
      </c>
      <c r="C548" s="3" t="s">
        <v>43</v>
      </c>
      <c r="D548" s="3" t="s">
        <v>2833</v>
      </c>
      <c r="E548" s="3" t="s">
        <v>90</v>
      </c>
      <c r="F548" s="3" t="s">
        <v>3483</v>
      </c>
      <c r="G548" s="6">
        <v>400000</v>
      </c>
      <c r="H548" s="6">
        <f t="shared" si="9"/>
        <v>61016.949152542336</v>
      </c>
      <c r="I548" s="3" t="s">
        <v>113</v>
      </c>
      <c r="O548"/>
      <c r="P548"/>
      <c r="R548" s="87"/>
    </row>
    <row r="549" spans="2:18" hidden="1" x14ac:dyDescent="0.25">
      <c r="B549" s="3" t="s">
        <v>2715</v>
      </c>
      <c r="C549" s="3" t="s">
        <v>35</v>
      </c>
      <c r="D549" s="3" t="s">
        <v>2646</v>
      </c>
      <c r="E549" s="3" t="s">
        <v>71</v>
      </c>
      <c r="F549" s="3" t="s">
        <v>3483</v>
      </c>
      <c r="G549" s="86">
        <v>50000</v>
      </c>
      <c r="H549" s="6">
        <f t="shared" si="9"/>
        <v>7627.118644067792</v>
      </c>
      <c r="I549" s="3" t="s">
        <v>113</v>
      </c>
      <c r="O549"/>
      <c r="P549"/>
      <c r="R549" s="87"/>
    </row>
    <row r="550" spans="2:18" hidden="1" x14ac:dyDescent="0.25">
      <c r="B550" s="3" t="s">
        <v>2708</v>
      </c>
      <c r="C550" s="3" t="s">
        <v>37</v>
      </c>
      <c r="D550" s="3" t="s">
        <v>2678</v>
      </c>
      <c r="E550" s="3" t="s">
        <v>71</v>
      </c>
      <c r="F550" s="3" t="s">
        <v>3483</v>
      </c>
      <c r="G550" s="6">
        <v>80000</v>
      </c>
      <c r="H550" s="6">
        <f t="shared" si="9"/>
        <v>12203.389830508473</v>
      </c>
      <c r="I550" s="3" t="s">
        <v>113</v>
      </c>
      <c r="O550"/>
      <c r="P550"/>
    </row>
    <row r="551" spans="2:18" hidden="1" x14ac:dyDescent="0.25">
      <c r="B551" s="3" t="s">
        <v>2710</v>
      </c>
      <c r="C551" s="3" t="s">
        <v>36</v>
      </c>
      <c r="D551" s="3" t="s">
        <v>2680</v>
      </c>
      <c r="E551" s="3" t="s">
        <v>71</v>
      </c>
      <c r="F551" s="3" t="s">
        <v>3483</v>
      </c>
      <c r="G551" s="86">
        <v>70000</v>
      </c>
      <c r="H551" s="6">
        <f t="shared" si="9"/>
        <v>10677.96610169491</v>
      </c>
      <c r="I551" s="3" t="s">
        <v>113</v>
      </c>
      <c r="O551"/>
      <c r="P551"/>
      <c r="R551" s="87"/>
    </row>
    <row r="552" spans="2:18" hidden="1" x14ac:dyDescent="0.25">
      <c r="B552" s="3" t="s">
        <v>2728</v>
      </c>
      <c r="C552" s="3" t="s">
        <v>36</v>
      </c>
      <c r="D552" s="3" t="s">
        <v>2658</v>
      </c>
      <c r="E552" s="3" t="s">
        <v>71</v>
      </c>
      <c r="F552" s="3" t="s">
        <v>3483</v>
      </c>
      <c r="G552" s="86">
        <v>50000</v>
      </c>
      <c r="H552" s="6">
        <f t="shared" si="9"/>
        <v>7627.118644067792</v>
      </c>
      <c r="I552" s="3" t="s">
        <v>113</v>
      </c>
      <c r="O552"/>
      <c r="P552"/>
      <c r="R552" s="87"/>
    </row>
    <row r="553" spans="2:18" hidden="1" x14ac:dyDescent="0.25">
      <c r="B553" s="3" t="s">
        <v>2722</v>
      </c>
      <c r="C553" s="3" t="s">
        <v>36</v>
      </c>
      <c r="D553" s="3" t="s">
        <v>2653</v>
      </c>
      <c r="E553" s="3" t="s">
        <v>71</v>
      </c>
      <c r="F553" s="3" t="s">
        <v>3483</v>
      </c>
      <c r="G553" s="86">
        <v>50000</v>
      </c>
      <c r="H553" s="6">
        <f t="shared" si="9"/>
        <v>7627.118644067792</v>
      </c>
      <c r="I553" s="3" t="s">
        <v>113</v>
      </c>
      <c r="O553"/>
      <c r="P553"/>
      <c r="R553" s="87"/>
    </row>
    <row r="554" spans="2:18" hidden="1" x14ac:dyDescent="0.25">
      <c r="B554" s="3" t="s">
        <v>2712</v>
      </c>
      <c r="C554" s="3" t="s">
        <v>36</v>
      </c>
      <c r="D554" s="3" t="s">
        <v>2681</v>
      </c>
      <c r="E554" s="3" t="s">
        <v>71</v>
      </c>
      <c r="F554" s="3" t="s">
        <v>3483</v>
      </c>
      <c r="G554" s="86">
        <v>70000</v>
      </c>
      <c r="H554" s="6">
        <f t="shared" si="9"/>
        <v>10677.96610169491</v>
      </c>
      <c r="I554" s="3" t="s">
        <v>113</v>
      </c>
      <c r="O554"/>
      <c r="P554"/>
      <c r="R554" s="87"/>
    </row>
    <row r="555" spans="2:18" hidden="1" x14ac:dyDescent="0.25">
      <c r="B555" s="3" t="s">
        <v>1181</v>
      </c>
      <c r="C555" s="3" t="s">
        <v>4</v>
      </c>
      <c r="D555" s="3" t="s">
        <v>1152</v>
      </c>
      <c r="E555" s="3" t="s">
        <v>71</v>
      </c>
      <c r="F555" s="3" t="s">
        <v>3483</v>
      </c>
      <c r="G555" s="86">
        <v>200000</v>
      </c>
      <c r="H555" s="6">
        <f t="shared" si="9"/>
        <v>30508.474576271168</v>
      </c>
      <c r="I555" s="3" t="s">
        <v>113</v>
      </c>
      <c r="O555"/>
      <c r="P555"/>
      <c r="R555" s="87"/>
    </row>
    <row r="556" spans="2:18" hidden="1" x14ac:dyDescent="0.25">
      <c r="B556" s="3" t="s">
        <v>1175</v>
      </c>
      <c r="C556" s="3" t="s">
        <v>32</v>
      </c>
      <c r="D556" s="3" t="s">
        <v>1146</v>
      </c>
      <c r="E556" s="3" t="s">
        <v>71</v>
      </c>
      <c r="F556" s="3" t="s">
        <v>3483</v>
      </c>
      <c r="G556" s="86">
        <v>60000</v>
      </c>
      <c r="H556" s="6">
        <f t="shared" si="9"/>
        <v>9152.5423728813548</v>
      </c>
      <c r="I556" s="3" t="s">
        <v>113</v>
      </c>
      <c r="O556"/>
      <c r="P556"/>
      <c r="R556" s="87"/>
    </row>
    <row r="557" spans="2:18" hidden="1" x14ac:dyDescent="0.25">
      <c r="B557" s="3" t="s">
        <v>1213</v>
      </c>
      <c r="C557" s="3" t="s">
        <v>33</v>
      </c>
      <c r="D557" s="3" t="s">
        <v>1287</v>
      </c>
      <c r="E557" s="3" t="s">
        <v>71</v>
      </c>
      <c r="F557" s="3" t="s">
        <v>3483</v>
      </c>
      <c r="G557" s="86">
        <v>30000</v>
      </c>
      <c r="H557" s="6">
        <f t="shared" si="9"/>
        <v>4576.2711864406774</v>
      </c>
      <c r="I557" s="3" t="s">
        <v>113</v>
      </c>
      <c r="O557"/>
      <c r="P557"/>
    </row>
    <row r="558" spans="2:18" hidden="1" x14ac:dyDescent="0.25">
      <c r="B558" s="3" t="s">
        <v>1197</v>
      </c>
      <c r="C558" s="3" t="s">
        <v>32</v>
      </c>
      <c r="D558" s="3" t="s">
        <v>1164</v>
      </c>
      <c r="E558" s="3" t="s">
        <v>71</v>
      </c>
      <c r="F558" s="3" t="s">
        <v>3483</v>
      </c>
      <c r="G558" s="86">
        <v>60000</v>
      </c>
      <c r="H558" s="6">
        <f t="shared" si="9"/>
        <v>9152.5423728813548</v>
      </c>
      <c r="I558" s="3" t="s">
        <v>113</v>
      </c>
      <c r="O558"/>
      <c r="P558"/>
      <c r="R558" s="87"/>
    </row>
    <row r="559" spans="2:18" hidden="1" x14ac:dyDescent="0.25">
      <c r="B559" s="3" t="s">
        <v>1199</v>
      </c>
      <c r="C559" s="3" t="s">
        <v>32</v>
      </c>
      <c r="D559" s="3" t="s">
        <v>1165</v>
      </c>
      <c r="E559" s="3" t="s">
        <v>71</v>
      </c>
      <c r="F559" s="3" t="s">
        <v>3483</v>
      </c>
      <c r="G559" s="86">
        <v>50000</v>
      </c>
      <c r="H559" s="6">
        <f t="shared" si="9"/>
        <v>7627.118644067792</v>
      </c>
      <c r="I559" s="3" t="s">
        <v>113</v>
      </c>
      <c r="O559"/>
      <c r="P559"/>
      <c r="R559" s="87"/>
    </row>
    <row r="560" spans="2:18" hidden="1" x14ac:dyDescent="0.25">
      <c r="B560" s="3" t="s">
        <v>1223</v>
      </c>
      <c r="C560" s="3" t="s">
        <v>4</v>
      </c>
      <c r="D560" s="3" t="s">
        <v>1297</v>
      </c>
      <c r="E560" s="3" t="s">
        <v>71</v>
      </c>
      <c r="F560" s="3" t="s">
        <v>3483</v>
      </c>
      <c r="G560" s="86">
        <v>150000</v>
      </c>
      <c r="H560" s="6">
        <f t="shared" si="9"/>
        <v>22881.355932203383</v>
      </c>
      <c r="I560" s="3" t="s">
        <v>113</v>
      </c>
      <c r="O560"/>
      <c r="P560"/>
      <c r="R560" s="87"/>
    </row>
    <row r="561" spans="2:18" hidden="1" x14ac:dyDescent="0.25">
      <c r="B561" s="3" t="s">
        <v>1193</v>
      </c>
      <c r="C561" s="3" t="s">
        <v>17</v>
      </c>
      <c r="D561" s="3" t="s">
        <v>1163</v>
      </c>
      <c r="E561" s="3" t="s">
        <v>71</v>
      </c>
      <c r="F561" s="3" t="s">
        <v>3483</v>
      </c>
      <c r="G561" s="86">
        <v>50000</v>
      </c>
      <c r="H561" s="6">
        <f t="shared" si="9"/>
        <v>7627.118644067792</v>
      </c>
      <c r="I561" s="3" t="s">
        <v>113</v>
      </c>
      <c r="O561"/>
      <c r="P561"/>
      <c r="R561" s="87"/>
    </row>
    <row r="562" spans="2:18" hidden="1" x14ac:dyDescent="0.25">
      <c r="B562" s="3" t="s">
        <v>2719</v>
      </c>
      <c r="C562" s="3" t="s">
        <v>34</v>
      </c>
      <c r="D562" s="3" t="s">
        <v>2650</v>
      </c>
      <c r="E562" s="3" t="s">
        <v>71</v>
      </c>
      <c r="F562" s="3" t="s">
        <v>3483</v>
      </c>
      <c r="G562" s="86">
        <v>100000</v>
      </c>
      <c r="H562" s="6">
        <f t="shared" si="9"/>
        <v>15254.237288135584</v>
      </c>
      <c r="I562" s="3" t="s">
        <v>113</v>
      </c>
      <c r="O562"/>
      <c r="P562"/>
      <c r="R562" s="87"/>
    </row>
    <row r="563" spans="2:18" hidden="1" x14ac:dyDescent="0.25">
      <c r="B563" s="3" t="s">
        <v>2424</v>
      </c>
      <c r="C563" s="3" t="s">
        <v>29</v>
      </c>
      <c r="D563" s="3" t="s">
        <v>2355</v>
      </c>
      <c r="E563" s="3" t="s">
        <v>87</v>
      </c>
      <c r="F563" s="3" t="s">
        <v>3483</v>
      </c>
      <c r="G563" s="6">
        <v>28137.17</v>
      </c>
      <c r="H563" s="6">
        <f t="shared" si="9"/>
        <v>4292.1106779660986</v>
      </c>
      <c r="I563" s="3" t="s">
        <v>113</v>
      </c>
      <c r="O563"/>
      <c r="P563"/>
      <c r="R563" s="87"/>
    </row>
    <row r="564" spans="2:18" hidden="1" x14ac:dyDescent="0.25">
      <c r="B564" s="3" t="s">
        <v>2572</v>
      </c>
      <c r="C564" s="3" t="s">
        <v>92</v>
      </c>
      <c r="D564" s="3" t="s">
        <v>2513</v>
      </c>
      <c r="E564" s="3" t="s">
        <v>87</v>
      </c>
      <c r="F564" s="3" t="s">
        <v>3483</v>
      </c>
      <c r="G564" s="6">
        <v>32964.85</v>
      </c>
      <c r="H564" s="6">
        <f t="shared" si="9"/>
        <v>5028.5364406779627</v>
      </c>
      <c r="I564" s="3" t="s">
        <v>18</v>
      </c>
      <c r="O564"/>
      <c r="P564"/>
    </row>
    <row r="565" spans="2:18" hidden="1" x14ac:dyDescent="0.25">
      <c r="B565" s="3" t="s">
        <v>2554</v>
      </c>
      <c r="C565" s="3" t="s">
        <v>92</v>
      </c>
      <c r="D565" s="3" t="s">
        <v>2495</v>
      </c>
      <c r="E565" s="3" t="s">
        <v>87</v>
      </c>
      <c r="F565" s="3" t="s">
        <v>3483</v>
      </c>
      <c r="G565" s="6">
        <v>31838.31</v>
      </c>
      <c r="H565" s="6">
        <f t="shared" si="9"/>
        <v>4856.691355932202</v>
      </c>
      <c r="I565" s="3" t="s">
        <v>18</v>
      </c>
      <c r="O565"/>
      <c r="P565"/>
      <c r="R565" s="87"/>
    </row>
    <row r="566" spans="2:18" hidden="1" x14ac:dyDescent="0.25">
      <c r="B566" s="3" t="s">
        <v>2390</v>
      </c>
      <c r="C566" s="3" t="s">
        <v>30</v>
      </c>
      <c r="D566" s="3" t="s">
        <v>2339</v>
      </c>
      <c r="E566" s="3" t="s">
        <v>87</v>
      </c>
      <c r="F566" s="3" t="s">
        <v>3483</v>
      </c>
      <c r="G566" s="6">
        <v>49880.63</v>
      </c>
      <c r="H566" s="6">
        <f t="shared" si="9"/>
        <v>7608.9096610169436</v>
      </c>
      <c r="I566" s="3" t="s">
        <v>113</v>
      </c>
      <c r="O566"/>
      <c r="P566"/>
      <c r="R566" s="87"/>
    </row>
    <row r="567" spans="2:18" hidden="1" x14ac:dyDescent="0.25">
      <c r="B567" s="3" t="s">
        <v>2566</v>
      </c>
      <c r="C567" s="3" t="s">
        <v>136</v>
      </c>
      <c r="D567" s="3" t="s">
        <v>2507</v>
      </c>
      <c r="E567" s="3" t="s">
        <v>87</v>
      </c>
      <c r="F567" s="3" t="s">
        <v>3483</v>
      </c>
      <c r="G567" s="6">
        <v>39117.160000000003</v>
      </c>
      <c r="H567" s="6">
        <f t="shared" si="9"/>
        <v>5967.0244067796593</v>
      </c>
      <c r="I567" s="3" t="s">
        <v>18</v>
      </c>
      <c r="O567"/>
      <c r="P567"/>
      <c r="R567" s="87"/>
    </row>
    <row r="568" spans="2:18" hidden="1" x14ac:dyDescent="0.25">
      <c r="B568" s="3" t="s">
        <v>2414</v>
      </c>
      <c r="C568" s="3" t="s">
        <v>29</v>
      </c>
      <c r="D568" s="3" t="s">
        <v>2351</v>
      </c>
      <c r="E568" s="3" t="s">
        <v>87</v>
      </c>
      <c r="F568" s="3" t="s">
        <v>3483</v>
      </c>
      <c r="G568" s="6">
        <v>14677.97</v>
      </c>
      <c r="H568" s="6">
        <f t="shared" si="9"/>
        <v>2239.012372881356</v>
      </c>
      <c r="I568" s="3" t="s">
        <v>113</v>
      </c>
      <c r="O568"/>
      <c r="P568"/>
      <c r="R568" s="87"/>
    </row>
    <row r="569" spans="2:18" hidden="1" x14ac:dyDescent="0.25">
      <c r="B569" s="3" t="s">
        <v>3093</v>
      </c>
      <c r="C569" s="3" t="s">
        <v>94</v>
      </c>
      <c r="D569" s="3" t="s">
        <v>3010</v>
      </c>
      <c r="E569" s="3" t="s">
        <v>90</v>
      </c>
      <c r="F569" s="3" t="s">
        <v>3493</v>
      </c>
      <c r="G569" s="86">
        <v>300000</v>
      </c>
      <c r="H569" s="6">
        <f t="shared" si="9"/>
        <v>45762.711864406767</v>
      </c>
      <c r="I569" s="3" t="s">
        <v>18</v>
      </c>
      <c r="J569" s="18" t="s">
        <v>3583</v>
      </c>
      <c r="O569"/>
      <c r="P569"/>
      <c r="R569" s="87"/>
    </row>
    <row r="570" spans="2:18" hidden="1" x14ac:dyDescent="0.25">
      <c r="B570" s="3" t="s">
        <v>3290</v>
      </c>
      <c r="C570" s="3" t="s">
        <v>97</v>
      </c>
      <c r="D570" s="3" t="s">
        <v>2779</v>
      </c>
      <c r="E570" s="3" t="s">
        <v>110</v>
      </c>
      <c r="F570" s="3" t="s">
        <v>3483</v>
      </c>
      <c r="G570" s="6">
        <v>12040</v>
      </c>
      <c r="H570" s="6">
        <f t="shared" si="9"/>
        <v>1836.6101694915251</v>
      </c>
      <c r="I570" s="3" t="s">
        <v>18</v>
      </c>
      <c r="O570"/>
      <c r="P570"/>
      <c r="R570" s="87"/>
    </row>
    <row r="571" spans="2:18" hidden="1" x14ac:dyDescent="0.25">
      <c r="B571" s="3" t="s">
        <v>3293</v>
      </c>
      <c r="C571" s="3" t="s">
        <v>97</v>
      </c>
      <c r="D571" s="3" t="s">
        <v>2782</v>
      </c>
      <c r="E571" s="3" t="s">
        <v>110</v>
      </c>
      <c r="F571" s="3" t="s">
        <v>3493</v>
      </c>
      <c r="G571" s="6">
        <v>2556.75</v>
      </c>
      <c r="H571" s="6">
        <f t="shared" si="9"/>
        <v>390.01271186440681</v>
      </c>
      <c r="I571" s="3" t="s">
        <v>18</v>
      </c>
      <c r="J571" s="18" t="s">
        <v>3582</v>
      </c>
      <c r="O571"/>
      <c r="P571"/>
    </row>
    <row r="572" spans="2:18" hidden="1" x14ac:dyDescent="0.25">
      <c r="B572" s="3" t="s">
        <v>3296</v>
      </c>
      <c r="C572" s="3" t="s">
        <v>96</v>
      </c>
      <c r="D572" s="3" t="s">
        <v>2785</v>
      </c>
      <c r="E572" s="3" t="s">
        <v>110</v>
      </c>
      <c r="F572" s="3" t="s">
        <v>3493</v>
      </c>
      <c r="G572" s="6">
        <v>199.5</v>
      </c>
      <c r="H572" s="6">
        <f t="shared" si="9"/>
        <v>30.432203389830505</v>
      </c>
      <c r="I572" s="3" t="s">
        <v>18</v>
      </c>
      <c r="J572" s="18" t="s">
        <v>3582</v>
      </c>
      <c r="O572"/>
      <c r="P572"/>
      <c r="R572" s="87"/>
    </row>
    <row r="573" spans="2:18" hidden="1" x14ac:dyDescent="0.25">
      <c r="B573" s="3" t="s">
        <v>3297</v>
      </c>
      <c r="C573" s="3" t="s">
        <v>96</v>
      </c>
      <c r="D573" s="3" t="s">
        <v>2786</v>
      </c>
      <c r="E573" s="3" t="s">
        <v>110</v>
      </c>
      <c r="F573" s="3" t="s">
        <v>3493</v>
      </c>
      <c r="G573" s="6">
        <v>176.75</v>
      </c>
      <c r="H573" s="6">
        <f t="shared" si="9"/>
        <v>26.961864406779654</v>
      </c>
      <c r="I573" s="3" t="s">
        <v>18</v>
      </c>
      <c r="J573" s="18" t="s">
        <v>3582</v>
      </c>
      <c r="O573"/>
      <c r="P573"/>
      <c r="R573" s="87"/>
    </row>
    <row r="574" spans="2:18" hidden="1" x14ac:dyDescent="0.25">
      <c r="B574" s="3" t="s">
        <v>3298</v>
      </c>
      <c r="C574" s="3" t="s">
        <v>96</v>
      </c>
      <c r="D574" s="3" t="s">
        <v>2787</v>
      </c>
      <c r="E574" s="3" t="s">
        <v>110</v>
      </c>
      <c r="F574" s="3" t="s">
        <v>3493</v>
      </c>
      <c r="G574" s="6">
        <v>196</v>
      </c>
      <c r="H574" s="6">
        <f t="shared" si="9"/>
        <v>29.898305084745743</v>
      </c>
      <c r="I574" s="3" t="s">
        <v>18</v>
      </c>
      <c r="J574" s="18" t="s">
        <v>3582</v>
      </c>
      <c r="N574" s="16"/>
      <c r="O574"/>
      <c r="P574"/>
      <c r="R574" s="87"/>
    </row>
    <row r="575" spans="2:18" hidden="1" x14ac:dyDescent="0.25">
      <c r="B575" s="3" t="s">
        <v>3288</v>
      </c>
      <c r="C575" s="3" t="s">
        <v>96</v>
      </c>
      <c r="D575" s="3" t="s">
        <v>3495</v>
      </c>
      <c r="E575" s="3" t="s">
        <v>110</v>
      </c>
      <c r="F575" s="3" t="s">
        <v>3493</v>
      </c>
      <c r="G575" s="6">
        <v>1463</v>
      </c>
      <c r="H575" s="6">
        <f t="shared" si="9"/>
        <v>223.16949152542361</v>
      </c>
      <c r="I575" s="3" t="s">
        <v>18</v>
      </c>
      <c r="J575" s="18" t="s">
        <v>3582</v>
      </c>
      <c r="O575"/>
      <c r="P575"/>
      <c r="R575" s="87"/>
    </row>
    <row r="576" spans="2:18" hidden="1" x14ac:dyDescent="0.25">
      <c r="B576" s="3" t="s">
        <v>3288</v>
      </c>
      <c r="C576" s="3" t="s">
        <v>96</v>
      </c>
      <c r="D576" s="3" t="s">
        <v>3496</v>
      </c>
      <c r="E576" s="3" t="s">
        <v>110</v>
      </c>
      <c r="F576" s="3" t="s">
        <v>3493</v>
      </c>
      <c r="G576" s="6">
        <v>2518.25</v>
      </c>
      <c r="H576" s="6">
        <f t="shared" si="9"/>
        <v>384.13983050847446</v>
      </c>
      <c r="I576" s="3" t="s">
        <v>18</v>
      </c>
      <c r="J576" s="18" t="s">
        <v>3582</v>
      </c>
      <c r="O576"/>
      <c r="P576"/>
      <c r="R576" s="87"/>
    </row>
    <row r="577" spans="2:18" hidden="1" x14ac:dyDescent="0.25">
      <c r="B577" s="3" t="s">
        <v>3288</v>
      </c>
      <c r="C577" s="3" t="s">
        <v>96</v>
      </c>
      <c r="D577" s="3" t="s">
        <v>3498</v>
      </c>
      <c r="E577" s="3" t="s">
        <v>110</v>
      </c>
      <c r="F577" s="3" t="s">
        <v>3493</v>
      </c>
      <c r="G577" s="6">
        <v>1487.5</v>
      </c>
      <c r="H577" s="6">
        <f t="shared" si="9"/>
        <v>226.9067796610168</v>
      </c>
      <c r="I577" s="3" t="s">
        <v>18</v>
      </c>
      <c r="J577" s="18" t="s">
        <v>3582</v>
      </c>
      <c r="O577"/>
      <c r="P577"/>
      <c r="R577" s="87"/>
    </row>
    <row r="578" spans="2:18" hidden="1" x14ac:dyDescent="0.25">
      <c r="B578" s="3" t="s">
        <v>3288</v>
      </c>
      <c r="C578" s="3" t="s">
        <v>96</v>
      </c>
      <c r="D578" s="3" t="s">
        <v>3501</v>
      </c>
      <c r="E578" s="3" t="s">
        <v>110</v>
      </c>
      <c r="F578" s="3" t="s">
        <v>3493</v>
      </c>
      <c r="G578" s="6">
        <v>1489.25</v>
      </c>
      <c r="H578" s="6">
        <f t="shared" si="9"/>
        <v>227.17372881355936</v>
      </c>
      <c r="I578" s="3" t="s">
        <v>18</v>
      </c>
      <c r="J578" s="18" t="s">
        <v>3582</v>
      </c>
      <c r="O578"/>
      <c r="P578"/>
    </row>
    <row r="579" spans="2:18" hidden="1" x14ac:dyDescent="0.25">
      <c r="B579" s="3" t="s">
        <v>3288</v>
      </c>
      <c r="C579" s="3" t="s">
        <v>96</v>
      </c>
      <c r="D579" s="3" t="s">
        <v>3503</v>
      </c>
      <c r="E579" s="3" t="s">
        <v>110</v>
      </c>
      <c r="F579" s="3" t="s">
        <v>3493</v>
      </c>
      <c r="G579" s="6">
        <v>1480.5</v>
      </c>
      <c r="H579" s="6">
        <f t="shared" si="9"/>
        <v>225.83898305084745</v>
      </c>
      <c r="I579" s="3" t="s">
        <v>18</v>
      </c>
      <c r="J579" s="18" t="s">
        <v>3582</v>
      </c>
      <c r="O579"/>
      <c r="P579"/>
      <c r="R579" s="87"/>
    </row>
    <row r="580" spans="2:18" hidden="1" x14ac:dyDescent="0.25">
      <c r="B580" s="3" t="s">
        <v>3288</v>
      </c>
      <c r="C580" s="3" t="s">
        <v>96</v>
      </c>
      <c r="D580" s="3" t="s">
        <v>3504</v>
      </c>
      <c r="E580" s="3" t="s">
        <v>110</v>
      </c>
      <c r="F580" s="3" t="s">
        <v>3493</v>
      </c>
      <c r="G580" s="6">
        <v>2523.5</v>
      </c>
      <c r="H580" s="6">
        <f t="shared" si="9"/>
        <v>384.9406779661017</v>
      </c>
      <c r="I580" s="3" t="s">
        <v>18</v>
      </c>
      <c r="J580" s="18" t="s">
        <v>3582</v>
      </c>
      <c r="O580"/>
      <c r="P580"/>
      <c r="R580" s="87"/>
    </row>
    <row r="581" spans="2:18" hidden="1" x14ac:dyDescent="0.25">
      <c r="B581" s="3" t="s">
        <v>3288</v>
      </c>
      <c r="C581" s="3" t="s">
        <v>96</v>
      </c>
      <c r="D581" s="3" t="s">
        <v>3507</v>
      </c>
      <c r="E581" s="3" t="s">
        <v>110</v>
      </c>
      <c r="F581" s="3" t="s">
        <v>3493</v>
      </c>
      <c r="G581" s="6">
        <v>3017</v>
      </c>
      <c r="H581" s="6">
        <f t="shared" si="9"/>
        <v>460.22033898305062</v>
      </c>
      <c r="I581" s="3" t="s">
        <v>18</v>
      </c>
      <c r="J581" s="18" t="s">
        <v>3582</v>
      </c>
      <c r="O581"/>
      <c r="P581"/>
      <c r="R581" s="87"/>
    </row>
    <row r="582" spans="2:18" hidden="1" x14ac:dyDescent="0.25">
      <c r="B582" s="3" t="s">
        <v>3288</v>
      </c>
      <c r="C582" s="3" t="s">
        <v>96</v>
      </c>
      <c r="D582" s="3" t="s">
        <v>3508</v>
      </c>
      <c r="E582" s="3" t="s">
        <v>110</v>
      </c>
      <c r="F582" s="3" t="s">
        <v>3493</v>
      </c>
      <c r="G582" s="6">
        <v>3293.5</v>
      </c>
      <c r="H582" s="6">
        <f t="shared" si="9"/>
        <v>502.39830508474552</v>
      </c>
      <c r="I582" s="3" t="s">
        <v>18</v>
      </c>
      <c r="J582" s="18" t="s">
        <v>3582</v>
      </c>
      <c r="O582"/>
      <c r="P582"/>
      <c r="R582" s="87"/>
    </row>
    <row r="583" spans="2:18" hidden="1" x14ac:dyDescent="0.25">
      <c r="B583" s="3" t="s">
        <v>3288</v>
      </c>
      <c r="C583" s="3" t="s">
        <v>96</v>
      </c>
      <c r="D583" s="3" t="s">
        <v>3513</v>
      </c>
      <c r="E583" s="3" t="s">
        <v>110</v>
      </c>
      <c r="F583" s="3" t="s">
        <v>3493</v>
      </c>
      <c r="G583" s="6">
        <v>621.25</v>
      </c>
      <c r="H583" s="6">
        <f t="shared" si="9"/>
        <v>94.766949152542338</v>
      </c>
      <c r="I583" s="3" t="s">
        <v>18</v>
      </c>
      <c r="J583" s="18" t="s">
        <v>3582</v>
      </c>
      <c r="O583"/>
      <c r="P583"/>
      <c r="R583" s="87"/>
    </row>
    <row r="584" spans="2:18" hidden="1" x14ac:dyDescent="0.25">
      <c r="B584" s="3" t="s">
        <v>3288</v>
      </c>
      <c r="C584" s="3" t="s">
        <v>96</v>
      </c>
      <c r="D584" s="3" t="s">
        <v>3514</v>
      </c>
      <c r="E584" s="3" t="s">
        <v>110</v>
      </c>
      <c r="F584" s="3" t="s">
        <v>3493</v>
      </c>
      <c r="G584" s="6">
        <v>614.25</v>
      </c>
      <c r="H584" s="6">
        <f t="shared" si="9"/>
        <v>93.699152542372872</v>
      </c>
      <c r="I584" s="3" t="s">
        <v>18</v>
      </c>
      <c r="J584" s="18" t="s">
        <v>3582</v>
      </c>
      <c r="O584"/>
      <c r="P584"/>
      <c r="R584" s="87"/>
    </row>
    <row r="585" spans="2:18" hidden="1" x14ac:dyDescent="0.25">
      <c r="B585" s="3" t="s">
        <v>3288</v>
      </c>
      <c r="C585" s="3" t="s">
        <v>96</v>
      </c>
      <c r="D585" s="3" t="s">
        <v>3515</v>
      </c>
      <c r="E585" s="3" t="s">
        <v>110</v>
      </c>
      <c r="F585" s="3" t="s">
        <v>3493</v>
      </c>
      <c r="G585" s="6">
        <v>472.5</v>
      </c>
      <c r="H585" s="6">
        <f t="shared" si="9"/>
        <v>72.076271186440636</v>
      </c>
      <c r="I585" s="3" t="s">
        <v>18</v>
      </c>
      <c r="J585" s="18" t="s">
        <v>3582</v>
      </c>
      <c r="O585"/>
      <c r="P585"/>
    </row>
    <row r="586" spans="2:18" hidden="1" x14ac:dyDescent="0.25">
      <c r="B586" s="3" t="s">
        <v>3288</v>
      </c>
      <c r="C586" s="3" t="s">
        <v>96</v>
      </c>
      <c r="D586" s="3" t="s">
        <v>3516</v>
      </c>
      <c r="E586" s="3" t="s">
        <v>110</v>
      </c>
      <c r="F586" s="3" t="s">
        <v>3493</v>
      </c>
      <c r="G586" s="6">
        <v>283.5</v>
      </c>
      <c r="H586" s="6">
        <f t="shared" ref="H586:H633" si="10">G586-G586/1.18</f>
        <v>43.245762711864387</v>
      </c>
      <c r="I586" s="3" t="s">
        <v>18</v>
      </c>
      <c r="J586" s="18" t="s">
        <v>3582</v>
      </c>
      <c r="O586"/>
      <c r="P586"/>
      <c r="R586" s="87"/>
    </row>
    <row r="587" spans="2:18" hidden="1" x14ac:dyDescent="0.25">
      <c r="B587" s="3" t="s">
        <v>3288</v>
      </c>
      <c r="C587" s="3" t="s">
        <v>96</v>
      </c>
      <c r="D587" s="3" t="s">
        <v>3518</v>
      </c>
      <c r="E587" s="3" t="s">
        <v>110</v>
      </c>
      <c r="F587" s="3" t="s">
        <v>3493</v>
      </c>
      <c r="G587" s="6">
        <v>470.75</v>
      </c>
      <c r="H587" s="6">
        <f t="shared" si="10"/>
        <v>71.809322033898297</v>
      </c>
      <c r="I587" s="3" t="s">
        <v>18</v>
      </c>
      <c r="J587" s="18" t="s">
        <v>3582</v>
      </c>
      <c r="O587"/>
      <c r="P587"/>
      <c r="R587" s="87"/>
    </row>
    <row r="588" spans="2:18" hidden="1" x14ac:dyDescent="0.25">
      <c r="B588" s="3" t="s">
        <v>3288</v>
      </c>
      <c r="C588" s="3" t="s">
        <v>96</v>
      </c>
      <c r="D588" s="3" t="s">
        <v>3522</v>
      </c>
      <c r="E588" s="3" t="s">
        <v>110</v>
      </c>
      <c r="F588" s="3" t="s">
        <v>3493</v>
      </c>
      <c r="G588" s="6">
        <v>1695.75</v>
      </c>
      <c r="H588" s="6">
        <f t="shared" si="10"/>
        <v>258.67372881355914</v>
      </c>
      <c r="I588" s="3" t="s">
        <v>18</v>
      </c>
      <c r="J588" s="18" t="s">
        <v>3582</v>
      </c>
      <c r="O588"/>
      <c r="P588"/>
      <c r="R588" s="87"/>
    </row>
    <row r="589" spans="2:18" hidden="1" x14ac:dyDescent="0.25">
      <c r="B589" s="3" t="s">
        <v>3288</v>
      </c>
      <c r="C589" s="3" t="s">
        <v>96</v>
      </c>
      <c r="D589" s="3" t="s">
        <v>3521</v>
      </c>
      <c r="E589" s="3" t="s">
        <v>110</v>
      </c>
      <c r="F589" s="3" t="s">
        <v>3493</v>
      </c>
      <c r="G589" s="6">
        <v>1884.75</v>
      </c>
      <c r="H589" s="6">
        <f t="shared" si="10"/>
        <v>287.50423728813553</v>
      </c>
      <c r="I589" s="3" t="s">
        <v>18</v>
      </c>
      <c r="J589" s="18" t="s">
        <v>3582</v>
      </c>
      <c r="O589"/>
      <c r="P589"/>
      <c r="R589" s="87"/>
    </row>
    <row r="590" spans="2:18" hidden="1" x14ac:dyDescent="0.25">
      <c r="B590" s="3" t="s">
        <v>3288</v>
      </c>
      <c r="C590" s="3" t="s">
        <v>96</v>
      </c>
      <c r="D590" s="3" t="s">
        <v>3524</v>
      </c>
      <c r="E590" s="3" t="s">
        <v>110</v>
      </c>
      <c r="F590" s="3" t="s">
        <v>3493</v>
      </c>
      <c r="G590" s="6">
        <v>1708</v>
      </c>
      <c r="H590" s="6">
        <f t="shared" si="10"/>
        <v>260.54237288135596</v>
      </c>
      <c r="I590" s="3" t="s">
        <v>18</v>
      </c>
      <c r="J590" s="18" t="s">
        <v>3582</v>
      </c>
      <c r="O590"/>
      <c r="P590"/>
      <c r="R590" s="87"/>
    </row>
    <row r="591" spans="2:18" hidden="1" x14ac:dyDescent="0.25">
      <c r="B591" s="3" t="s">
        <v>3288</v>
      </c>
      <c r="C591" s="3" t="s">
        <v>96</v>
      </c>
      <c r="D591" s="3" t="s">
        <v>3526</v>
      </c>
      <c r="E591" s="3" t="s">
        <v>110</v>
      </c>
      <c r="F591" s="3" t="s">
        <v>3493</v>
      </c>
      <c r="G591" s="6">
        <v>1708</v>
      </c>
      <c r="H591" s="6">
        <f t="shared" si="10"/>
        <v>260.54237288135596</v>
      </c>
      <c r="I591" s="3" t="s">
        <v>18</v>
      </c>
      <c r="J591" s="18" t="s">
        <v>3582</v>
      </c>
      <c r="O591"/>
      <c r="P591"/>
      <c r="R591" s="87"/>
    </row>
    <row r="592" spans="2:18" hidden="1" x14ac:dyDescent="0.25">
      <c r="B592" s="3" t="s">
        <v>3288</v>
      </c>
      <c r="C592" s="3" t="s">
        <v>96</v>
      </c>
      <c r="D592" s="3" t="s">
        <v>3528</v>
      </c>
      <c r="E592" s="3" t="s">
        <v>110</v>
      </c>
      <c r="F592" s="3" t="s">
        <v>3493</v>
      </c>
      <c r="G592" s="6">
        <v>1688.75</v>
      </c>
      <c r="H592" s="6">
        <f t="shared" si="10"/>
        <v>257.60593220338978</v>
      </c>
      <c r="I592" s="3" t="s">
        <v>18</v>
      </c>
      <c r="J592" s="18" t="s">
        <v>3582</v>
      </c>
      <c r="O592"/>
      <c r="P592"/>
    </row>
    <row r="593" spans="2:18" hidden="1" x14ac:dyDescent="0.25">
      <c r="B593" s="3" t="s">
        <v>3289</v>
      </c>
      <c r="C593" s="3" t="s">
        <v>96</v>
      </c>
      <c r="D593" s="3" t="s">
        <v>3530</v>
      </c>
      <c r="E593" s="3" t="s">
        <v>110</v>
      </c>
      <c r="F593" s="3" t="s">
        <v>3493</v>
      </c>
      <c r="G593" s="6">
        <v>1265.25</v>
      </c>
      <c r="H593" s="6">
        <f t="shared" si="10"/>
        <v>193.00423728813553</v>
      </c>
      <c r="I593" s="3" t="s">
        <v>18</v>
      </c>
      <c r="J593" s="18" t="s">
        <v>3582</v>
      </c>
      <c r="O593"/>
      <c r="P593"/>
      <c r="R593" s="87"/>
    </row>
    <row r="594" spans="2:18" hidden="1" x14ac:dyDescent="0.25">
      <c r="B594" s="3" t="s">
        <v>3289</v>
      </c>
      <c r="C594" s="3" t="s">
        <v>96</v>
      </c>
      <c r="D594" s="3" t="s">
        <v>3532</v>
      </c>
      <c r="E594" s="3" t="s">
        <v>110</v>
      </c>
      <c r="F594" s="3" t="s">
        <v>3493</v>
      </c>
      <c r="G594" s="6">
        <v>2163</v>
      </c>
      <c r="H594" s="6">
        <f t="shared" si="10"/>
        <v>329.94915254237276</v>
      </c>
      <c r="I594" s="3" t="s">
        <v>18</v>
      </c>
      <c r="J594" s="18" t="s">
        <v>3582</v>
      </c>
      <c r="O594"/>
      <c r="P594"/>
      <c r="R594" s="87"/>
    </row>
    <row r="595" spans="2:18" hidden="1" x14ac:dyDescent="0.25">
      <c r="B595" s="3" t="s">
        <v>3289</v>
      </c>
      <c r="C595" s="3" t="s">
        <v>96</v>
      </c>
      <c r="D595" s="3" t="s">
        <v>3533</v>
      </c>
      <c r="E595" s="3" t="s">
        <v>110</v>
      </c>
      <c r="F595" s="3" t="s">
        <v>3493</v>
      </c>
      <c r="G595" s="6">
        <v>1060.5</v>
      </c>
      <c r="H595" s="6">
        <f t="shared" si="10"/>
        <v>161.77118644067787</v>
      </c>
      <c r="I595" s="3" t="s">
        <v>18</v>
      </c>
      <c r="J595" s="18" t="s">
        <v>3582</v>
      </c>
      <c r="O595"/>
      <c r="P595"/>
      <c r="R595" s="87"/>
    </row>
    <row r="596" spans="2:18" hidden="1" x14ac:dyDescent="0.25">
      <c r="B596" s="3" t="s">
        <v>3289</v>
      </c>
      <c r="C596" s="3" t="s">
        <v>96</v>
      </c>
      <c r="D596" s="3" t="s">
        <v>3536</v>
      </c>
      <c r="E596" s="3" t="s">
        <v>110</v>
      </c>
      <c r="F596" s="3" t="s">
        <v>3493</v>
      </c>
      <c r="G596" s="6">
        <v>1610</v>
      </c>
      <c r="H596" s="6">
        <f t="shared" si="10"/>
        <v>245.59322033898297</v>
      </c>
      <c r="I596" s="3" t="s">
        <v>18</v>
      </c>
      <c r="J596" s="18" t="s">
        <v>3582</v>
      </c>
      <c r="O596"/>
      <c r="P596"/>
      <c r="R596" s="87"/>
    </row>
    <row r="597" spans="2:18" hidden="1" x14ac:dyDescent="0.25">
      <c r="B597" s="3" t="s">
        <v>2426</v>
      </c>
      <c r="C597" s="3" t="s">
        <v>57</v>
      </c>
      <c r="D597" s="3" t="s">
        <v>2379</v>
      </c>
      <c r="E597" s="3" t="s">
        <v>87</v>
      </c>
      <c r="F597" s="3" t="s">
        <v>3493</v>
      </c>
      <c r="G597" s="6">
        <v>200000</v>
      </c>
      <c r="H597" s="6">
        <f t="shared" si="10"/>
        <v>30508.474576271168</v>
      </c>
      <c r="I597" s="3" t="s">
        <v>113</v>
      </c>
      <c r="J597" t="s">
        <v>3581</v>
      </c>
      <c r="O597"/>
      <c r="P597"/>
      <c r="R597" s="87"/>
    </row>
    <row r="598" spans="2:18" hidden="1" x14ac:dyDescent="0.25">
      <c r="B598" s="3" t="s">
        <v>2519</v>
      </c>
      <c r="C598" s="3" t="s">
        <v>88</v>
      </c>
      <c r="D598" s="3" t="s">
        <v>2461</v>
      </c>
      <c r="E598" s="3" t="s">
        <v>87</v>
      </c>
      <c r="F598" s="3" t="s">
        <v>3493</v>
      </c>
      <c r="G598" s="6">
        <v>1000000</v>
      </c>
      <c r="H598" s="6">
        <f t="shared" si="10"/>
        <v>152542.37288135593</v>
      </c>
      <c r="I598" s="3" t="s">
        <v>18</v>
      </c>
      <c r="J598" s="18" t="s">
        <v>3583</v>
      </c>
      <c r="O598"/>
      <c r="P598"/>
      <c r="R598" s="87"/>
    </row>
    <row r="599" spans="2:18" hidden="1" x14ac:dyDescent="0.25">
      <c r="B599" s="3" t="s">
        <v>2548</v>
      </c>
      <c r="C599" s="3" t="s">
        <v>88</v>
      </c>
      <c r="D599" s="3" t="s">
        <v>2489</v>
      </c>
      <c r="E599" s="3" t="s">
        <v>87</v>
      </c>
      <c r="F599" s="3" t="s">
        <v>3493</v>
      </c>
      <c r="G599" s="6">
        <v>300000</v>
      </c>
      <c r="H599" s="6">
        <f t="shared" si="10"/>
        <v>45762.711864406767</v>
      </c>
      <c r="I599" s="3" t="s">
        <v>18</v>
      </c>
      <c r="J599" s="18" t="s">
        <v>3583</v>
      </c>
      <c r="O599"/>
      <c r="P599"/>
    </row>
    <row r="600" spans="2:18" hidden="1" x14ac:dyDescent="0.25">
      <c r="B600" s="3" t="s">
        <v>2383</v>
      </c>
      <c r="C600" s="3" t="s">
        <v>56</v>
      </c>
      <c r="D600" s="3" t="s">
        <v>2337</v>
      </c>
      <c r="E600" s="3" t="s">
        <v>87</v>
      </c>
      <c r="F600" s="3" t="s">
        <v>3493</v>
      </c>
      <c r="G600" s="6">
        <v>50000</v>
      </c>
      <c r="H600" s="6">
        <f t="shared" si="10"/>
        <v>7627.118644067792</v>
      </c>
      <c r="I600" s="3" t="s">
        <v>113</v>
      </c>
      <c r="J600" t="s">
        <v>3581</v>
      </c>
      <c r="O600"/>
      <c r="P600"/>
      <c r="R600" s="87"/>
    </row>
    <row r="601" spans="2:18" hidden="1" x14ac:dyDescent="0.25">
      <c r="B601" s="3" t="s">
        <v>2192</v>
      </c>
      <c r="C601" s="3" t="s">
        <v>41</v>
      </c>
      <c r="D601" s="3" t="s">
        <v>2186</v>
      </c>
      <c r="E601" s="3" t="s">
        <v>75</v>
      </c>
      <c r="F601" s="3" t="s">
        <v>3493</v>
      </c>
      <c r="G601" s="6">
        <v>500000</v>
      </c>
      <c r="H601" s="6">
        <f t="shared" si="10"/>
        <v>76271.186440677964</v>
      </c>
      <c r="I601" s="3" t="s">
        <v>113</v>
      </c>
      <c r="J601" t="s">
        <v>3581</v>
      </c>
      <c r="O601"/>
      <c r="P601"/>
      <c r="R601" s="87"/>
    </row>
    <row r="602" spans="2:18" hidden="1" x14ac:dyDescent="0.25">
      <c r="B602" s="3" t="s">
        <v>2193</v>
      </c>
      <c r="C602" s="3" t="s">
        <v>40</v>
      </c>
      <c r="D602" s="3" t="s">
        <v>2188</v>
      </c>
      <c r="E602" s="3" t="s">
        <v>75</v>
      </c>
      <c r="F602" s="3" t="s">
        <v>3493</v>
      </c>
      <c r="G602" s="6">
        <v>300000</v>
      </c>
      <c r="H602" s="6">
        <f t="shared" si="10"/>
        <v>45762.711864406767</v>
      </c>
      <c r="I602" s="3" t="s">
        <v>113</v>
      </c>
      <c r="J602" t="s">
        <v>3581</v>
      </c>
      <c r="O602"/>
      <c r="P602"/>
      <c r="R602" s="87"/>
    </row>
    <row r="603" spans="2:18" hidden="1" x14ac:dyDescent="0.25">
      <c r="B603" s="3" t="s">
        <v>2703</v>
      </c>
      <c r="C603" s="3" t="s">
        <v>34</v>
      </c>
      <c r="D603" s="3" t="s">
        <v>2639</v>
      </c>
      <c r="E603" s="3" t="s">
        <v>71</v>
      </c>
      <c r="F603" s="3" t="s">
        <v>3493</v>
      </c>
      <c r="G603" s="86">
        <v>40000</v>
      </c>
      <c r="H603" s="6">
        <f t="shared" si="10"/>
        <v>6101.6949152542365</v>
      </c>
      <c r="I603" s="3" t="s">
        <v>113</v>
      </c>
      <c r="J603" t="s">
        <v>3581</v>
      </c>
      <c r="O603"/>
      <c r="P603"/>
      <c r="R603" s="87"/>
    </row>
    <row r="604" spans="2:18" hidden="1" x14ac:dyDescent="0.25">
      <c r="B604" s="3" t="s">
        <v>1223</v>
      </c>
      <c r="C604" s="3" t="s">
        <v>4</v>
      </c>
      <c r="D604" s="3" t="s">
        <v>1297</v>
      </c>
      <c r="E604" s="3" t="s">
        <v>71</v>
      </c>
      <c r="F604" s="3" t="s">
        <v>3493</v>
      </c>
      <c r="G604" s="86">
        <v>30000</v>
      </c>
      <c r="H604" s="6">
        <f t="shared" si="10"/>
        <v>4576.2711864406774</v>
      </c>
      <c r="I604" s="3" t="s">
        <v>113</v>
      </c>
      <c r="J604" t="s">
        <v>3581</v>
      </c>
      <c r="O604"/>
      <c r="P604"/>
      <c r="R604" s="87"/>
    </row>
    <row r="605" spans="2:18" hidden="1" x14ac:dyDescent="0.25">
      <c r="B605" s="3" t="s">
        <v>1181</v>
      </c>
      <c r="C605" s="3" t="s">
        <v>4</v>
      </c>
      <c r="D605" s="3" t="s">
        <v>1152</v>
      </c>
      <c r="E605" s="3" t="s">
        <v>71</v>
      </c>
      <c r="F605" s="3" t="s">
        <v>3493</v>
      </c>
      <c r="G605" s="86">
        <v>51000</v>
      </c>
      <c r="H605" s="6">
        <f t="shared" si="10"/>
        <v>7779.6610169491469</v>
      </c>
      <c r="I605" s="3" t="s">
        <v>113</v>
      </c>
      <c r="J605" t="s">
        <v>3581</v>
      </c>
      <c r="O605"/>
      <c r="P605"/>
      <c r="R605" s="87"/>
    </row>
    <row r="606" spans="2:18" hidden="1" x14ac:dyDescent="0.25">
      <c r="B606" s="3" t="s">
        <v>2739</v>
      </c>
      <c r="C606" s="3" t="s">
        <v>33</v>
      </c>
      <c r="D606" s="3" t="s">
        <v>2667</v>
      </c>
      <c r="E606" s="3" t="s">
        <v>71</v>
      </c>
      <c r="F606" s="3" t="s">
        <v>3493</v>
      </c>
      <c r="G606" s="86">
        <v>80000</v>
      </c>
      <c r="H606" s="6">
        <f t="shared" si="10"/>
        <v>12203.389830508473</v>
      </c>
      <c r="I606" s="3" t="s">
        <v>113</v>
      </c>
      <c r="J606" t="s">
        <v>3581</v>
      </c>
      <c r="O606"/>
      <c r="P606"/>
    </row>
    <row r="607" spans="2:18" hidden="1" x14ac:dyDescent="0.25">
      <c r="B607" s="3" t="s">
        <v>2730</v>
      </c>
      <c r="C607" s="3" t="s">
        <v>34</v>
      </c>
      <c r="D607" s="3" t="s">
        <v>2660</v>
      </c>
      <c r="E607" s="3" t="s">
        <v>71</v>
      </c>
      <c r="F607" s="3" t="s">
        <v>3493</v>
      </c>
      <c r="G607" s="86">
        <v>115000</v>
      </c>
      <c r="H607" s="6">
        <f t="shared" si="10"/>
        <v>17542.372881355928</v>
      </c>
      <c r="I607" s="3" t="s">
        <v>113</v>
      </c>
      <c r="J607" t="s">
        <v>3581</v>
      </c>
      <c r="O607"/>
      <c r="P607"/>
      <c r="R607" s="87"/>
    </row>
    <row r="608" spans="2:18" hidden="1" x14ac:dyDescent="0.25">
      <c r="B608" s="3" t="s">
        <v>2725</v>
      </c>
      <c r="C608" s="3" t="s">
        <v>34</v>
      </c>
      <c r="D608" s="3" t="s">
        <v>2655</v>
      </c>
      <c r="E608" s="3" t="s">
        <v>71</v>
      </c>
      <c r="F608" s="3" t="s">
        <v>3493</v>
      </c>
      <c r="G608" s="86">
        <v>60000</v>
      </c>
      <c r="H608" s="6">
        <f t="shared" si="10"/>
        <v>9152.5423728813548</v>
      </c>
      <c r="I608" s="3" t="s">
        <v>113</v>
      </c>
      <c r="J608" t="s">
        <v>3581</v>
      </c>
      <c r="O608"/>
      <c r="P608"/>
      <c r="R608" s="87"/>
    </row>
    <row r="609" spans="2:18" hidden="1" x14ac:dyDescent="0.25">
      <c r="B609" s="3" t="s">
        <v>1584</v>
      </c>
      <c r="C609" s="3" t="s">
        <v>16</v>
      </c>
      <c r="D609" s="3" t="s">
        <v>365</v>
      </c>
      <c r="E609" s="3" t="s">
        <v>71</v>
      </c>
      <c r="F609" s="3" t="s">
        <v>3493</v>
      </c>
      <c r="G609" s="86">
        <v>50000</v>
      </c>
      <c r="H609" s="6">
        <f t="shared" si="10"/>
        <v>7627.118644067792</v>
      </c>
      <c r="I609" s="3" t="s">
        <v>113</v>
      </c>
      <c r="J609" t="s">
        <v>3581</v>
      </c>
      <c r="O609"/>
      <c r="P609"/>
      <c r="R609" s="87"/>
    </row>
    <row r="610" spans="2:18" x14ac:dyDescent="0.25">
      <c r="B610" s="3" t="s">
        <v>2197</v>
      </c>
      <c r="C610" s="3" t="s">
        <v>29</v>
      </c>
      <c r="D610" s="3" t="s">
        <v>2200</v>
      </c>
      <c r="E610" s="3" t="s">
        <v>141</v>
      </c>
      <c r="F610" s="3" t="s">
        <v>3493</v>
      </c>
      <c r="G610" s="6">
        <v>300000</v>
      </c>
      <c r="H610" s="6">
        <f t="shared" si="10"/>
        <v>45762.711864406767</v>
      </c>
      <c r="I610" s="3" t="s">
        <v>113</v>
      </c>
      <c r="J610" t="s">
        <v>3581</v>
      </c>
      <c r="O610"/>
      <c r="P610"/>
      <c r="R610" s="87"/>
    </row>
    <row r="611" spans="2:18" hidden="1" x14ac:dyDescent="0.25">
      <c r="B611" s="3" t="s">
        <v>3544</v>
      </c>
      <c r="C611" s="3" t="s">
        <v>91</v>
      </c>
      <c r="D611" s="3" t="s">
        <v>3542</v>
      </c>
      <c r="E611" s="3" t="s">
        <v>105</v>
      </c>
      <c r="F611" s="3" t="s">
        <v>3493</v>
      </c>
      <c r="G611" s="6">
        <v>800000</v>
      </c>
      <c r="H611" s="6">
        <f t="shared" si="10"/>
        <v>122033.89830508467</v>
      </c>
      <c r="I611" s="3" t="s">
        <v>18</v>
      </c>
      <c r="J611" s="18" t="s">
        <v>3583</v>
      </c>
      <c r="O611"/>
      <c r="P611"/>
      <c r="R611" s="87"/>
    </row>
    <row r="612" spans="2:18" hidden="1" x14ac:dyDescent="0.25">
      <c r="B612" s="3" t="s">
        <v>3541</v>
      </c>
      <c r="C612" s="3" t="s">
        <v>91</v>
      </c>
      <c r="D612" s="3" t="s">
        <v>3543</v>
      </c>
      <c r="E612" s="3" t="s">
        <v>116</v>
      </c>
      <c r="F612" s="3" t="s">
        <v>3493</v>
      </c>
      <c r="G612" s="6">
        <v>28493.5</v>
      </c>
      <c r="H612" s="6">
        <f t="shared" si="10"/>
        <v>4346.466101694914</v>
      </c>
      <c r="I612" s="3" t="s">
        <v>18</v>
      </c>
      <c r="J612" s="18" t="s">
        <v>3582</v>
      </c>
      <c r="O612"/>
      <c r="P612"/>
      <c r="R612" s="87"/>
    </row>
    <row r="613" spans="2:18" hidden="1" x14ac:dyDescent="0.25">
      <c r="B613" s="3" t="s">
        <v>3176</v>
      </c>
      <c r="C613" s="3" t="s">
        <v>40</v>
      </c>
      <c r="D613" s="3" t="s">
        <v>3180</v>
      </c>
      <c r="E613" s="3" t="s">
        <v>116</v>
      </c>
      <c r="F613" s="3" t="s">
        <v>3493</v>
      </c>
      <c r="G613" s="6">
        <v>28752.5</v>
      </c>
      <c r="H613" s="6">
        <f t="shared" si="10"/>
        <v>4385.9745762711864</v>
      </c>
      <c r="I613" s="3" t="s">
        <v>113</v>
      </c>
      <c r="J613" t="s">
        <v>3582</v>
      </c>
      <c r="O613"/>
      <c r="P613"/>
    </row>
    <row r="614" spans="2:18" hidden="1" x14ac:dyDescent="0.25">
      <c r="B614" s="3" t="s">
        <v>3175</v>
      </c>
      <c r="C614" s="3" t="s">
        <v>41</v>
      </c>
      <c r="D614" s="3" t="s">
        <v>3181</v>
      </c>
      <c r="E614" s="3" t="s">
        <v>116</v>
      </c>
      <c r="F614" s="3" t="s">
        <v>3493</v>
      </c>
      <c r="G614" s="6">
        <v>58738.75</v>
      </c>
      <c r="H614" s="6">
        <f t="shared" si="10"/>
        <v>8960.1483050847455</v>
      </c>
      <c r="I614" s="3" t="s">
        <v>113</v>
      </c>
      <c r="J614" t="s">
        <v>3582</v>
      </c>
      <c r="O614"/>
      <c r="P614"/>
      <c r="R614" s="87"/>
    </row>
    <row r="615" spans="2:18" hidden="1" x14ac:dyDescent="0.25">
      <c r="B615" s="3" t="s">
        <v>3177</v>
      </c>
      <c r="C615" s="3" t="s">
        <v>20</v>
      </c>
      <c r="D615" s="3" t="s">
        <v>3183</v>
      </c>
      <c r="E615" s="3" t="s">
        <v>116</v>
      </c>
      <c r="F615" s="3" t="s">
        <v>3493</v>
      </c>
      <c r="G615" s="6">
        <v>12232.5</v>
      </c>
      <c r="H615" s="6">
        <f t="shared" si="10"/>
        <v>1865.9745762711864</v>
      </c>
      <c r="I615" s="3" t="s">
        <v>113</v>
      </c>
      <c r="J615" t="s">
        <v>3582</v>
      </c>
      <c r="O615"/>
      <c r="P615"/>
      <c r="R615" s="87"/>
    </row>
    <row r="616" spans="2:18" hidden="1" x14ac:dyDescent="0.25">
      <c r="B616" s="3" t="s">
        <v>3178</v>
      </c>
      <c r="C616" s="3" t="s">
        <v>20</v>
      </c>
      <c r="D616" s="3" t="s">
        <v>3184</v>
      </c>
      <c r="E616" s="3" t="s">
        <v>116</v>
      </c>
      <c r="F616" s="3" t="s">
        <v>3493</v>
      </c>
      <c r="G616" s="6">
        <v>4373.25</v>
      </c>
      <c r="H616" s="6">
        <f t="shared" si="10"/>
        <v>667.10593220338978</v>
      </c>
      <c r="I616" s="3" t="s">
        <v>113</v>
      </c>
      <c r="J616" t="s">
        <v>3582</v>
      </c>
      <c r="O616"/>
      <c r="P616"/>
      <c r="R616" s="87"/>
    </row>
    <row r="617" spans="2:18" hidden="1" x14ac:dyDescent="0.25">
      <c r="B617" s="3" t="s">
        <v>3179</v>
      </c>
      <c r="C617" s="3" t="s">
        <v>24</v>
      </c>
      <c r="D617" s="3" t="s">
        <v>3185</v>
      </c>
      <c r="E617" s="3" t="s">
        <v>116</v>
      </c>
      <c r="F617" s="3" t="s">
        <v>3493</v>
      </c>
      <c r="G617" s="6">
        <v>1218</v>
      </c>
      <c r="H617" s="6">
        <f t="shared" si="10"/>
        <v>185.79661016949149</v>
      </c>
      <c r="I617" s="3" t="s">
        <v>113</v>
      </c>
      <c r="J617" t="s">
        <v>3582</v>
      </c>
      <c r="O617"/>
      <c r="P617"/>
      <c r="R617" s="87"/>
    </row>
    <row r="618" spans="2:18" hidden="1" x14ac:dyDescent="0.25">
      <c r="B618" s="3" t="s">
        <v>2254</v>
      </c>
      <c r="C618" s="3" t="s">
        <v>74</v>
      </c>
      <c r="D618" s="3" t="s">
        <v>2258</v>
      </c>
      <c r="E618" s="3" t="s">
        <v>114</v>
      </c>
      <c r="F618" s="3" t="s">
        <v>3493</v>
      </c>
      <c r="G618" s="6">
        <v>140000</v>
      </c>
      <c r="H618" s="6">
        <f t="shared" si="10"/>
        <v>21355.932203389821</v>
      </c>
      <c r="I618" s="3" t="s">
        <v>18</v>
      </c>
      <c r="J618" s="18" t="s">
        <v>3583</v>
      </c>
      <c r="O618"/>
      <c r="P618"/>
      <c r="R618" s="87"/>
    </row>
    <row r="619" spans="2:18" hidden="1" x14ac:dyDescent="0.25">
      <c r="B619" s="3" t="s">
        <v>2255</v>
      </c>
      <c r="C619" s="3" t="s">
        <v>94</v>
      </c>
      <c r="D619" s="3" t="s">
        <v>2259</v>
      </c>
      <c r="E619" s="3" t="s">
        <v>114</v>
      </c>
      <c r="F619" s="3" t="s">
        <v>3493</v>
      </c>
      <c r="G619" s="6">
        <v>155000</v>
      </c>
      <c r="H619" s="6">
        <f t="shared" si="10"/>
        <v>23644.06779661015</v>
      </c>
      <c r="I619" s="3" t="s">
        <v>18</v>
      </c>
      <c r="J619" s="18" t="s">
        <v>3583</v>
      </c>
      <c r="O619"/>
      <c r="P619"/>
      <c r="R619" s="87"/>
    </row>
    <row r="620" spans="2:18" hidden="1" x14ac:dyDescent="0.25">
      <c r="B620" s="3" t="s">
        <v>3358</v>
      </c>
      <c r="C620" s="3" t="s">
        <v>96</v>
      </c>
      <c r="D620" s="3" t="s">
        <v>3532</v>
      </c>
      <c r="E620" s="3" t="s">
        <v>71</v>
      </c>
      <c r="F620" s="3" t="s">
        <v>3493</v>
      </c>
      <c r="G620" s="6">
        <v>50000</v>
      </c>
      <c r="H620" s="6">
        <f t="shared" si="10"/>
        <v>7627.118644067792</v>
      </c>
      <c r="I620" s="3" t="s">
        <v>18</v>
      </c>
      <c r="J620" s="18" t="s">
        <v>3583</v>
      </c>
      <c r="N620">
        <v>58</v>
      </c>
      <c r="O620"/>
      <c r="P620"/>
    </row>
    <row r="621" spans="2:18" hidden="1" x14ac:dyDescent="0.25">
      <c r="B621" s="3" t="s">
        <v>3359</v>
      </c>
      <c r="C621" s="3" t="s">
        <v>96</v>
      </c>
      <c r="D621" s="3" t="s">
        <v>3480</v>
      </c>
      <c r="E621" s="3" t="s">
        <v>71</v>
      </c>
      <c r="F621" s="3" t="s">
        <v>3493</v>
      </c>
      <c r="G621" s="6">
        <v>80000</v>
      </c>
      <c r="H621" s="6">
        <f t="shared" si="10"/>
        <v>12203.389830508473</v>
      </c>
      <c r="I621" s="3" t="s">
        <v>18</v>
      </c>
      <c r="J621" s="18" t="s">
        <v>3583</v>
      </c>
      <c r="O621"/>
      <c r="P621"/>
      <c r="R621" s="87"/>
    </row>
    <row r="622" spans="2:18" hidden="1" x14ac:dyDescent="0.25">
      <c r="B622" s="3" t="s">
        <v>3358</v>
      </c>
      <c r="C622" s="3" t="s">
        <v>96</v>
      </c>
      <c r="D622" s="3" t="s">
        <v>3466</v>
      </c>
      <c r="E622" s="3" t="s">
        <v>71</v>
      </c>
      <c r="F622" s="3" t="s">
        <v>3493</v>
      </c>
      <c r="G622" s="6">
        <v>70000</v>
      </c>
      <c r="H622" s="6">
        <f t="shared" si="10"/>
        <v>10677.96610169491</v>
      </c>
      <c r="I622" s="3" t="s">
        <v>18</v>
      </c>
      <c r="J622" s="18" t="s">
        <v>3583</v>
      </c>
      <c r="O622"/>
      <c r="P622"/>
      <c r="R622" s="87"/>
    </row>
    <row r="623" spans="2:18" hidden="1" x14ac:dyDescent="0.25">
      <c r="B623" s="3" t="s">
        <v>3358</v>
      </c>
      <c r="C623" s="3" t="s">
        <v>96</v>
      </c>
      <c r="D623" s="3" t="s">
        <v>3467</v>
      </c>
      <c r="E623" s="3" t="s">
        <v>71</v>
      </c>
      <c r="F623" s="3" t="s">
        <v>3493</v>
      </c>
      <c r="G623" s="6">
        <v>30000</v>
      </c>
      <c r="H623" s="6">
        <f t="shared" si="10"/>
        <v>4576.2711864406774</v>
      </c>
      <c r="I623" s="3" t="s">
        <v>18</v>
      </c>
      <c r="J623" s="18" t="s">
        <v>3583</v>
      </c>
      <c r="O623"/>
      <c r="P623"/>
      <c r="R623" s="87"/>
    </row>
    <row r="624" spans="2:18" hidden="1" x14ac:dyDescent="0.25">
      <c r="B624" s="3" t="s">
        <v>3358</v>
      </c>
      <c r="C624" s="3" t="s">
        <v>96</v>
      </c>
      <c r="D624" s="3" t="s">
        <v>3458</v>
      </c>
      <c r="E624" s="3" t="s">
        <v>71</v>
      </c>
      <c r="F624" s="3" t="s">
        <v>3493</v>
      </c>
      <c r="G624" s="6">
        <v>2000</v>
      </c>
      <c r="H624" s="6">
        <f t="shared" si="10"/>
        <v>305.08474576271169</v>
      </c>
      <c r="I624" s="3" t="s">
        <v>18</v>
      </c>
      <c r="J624" s="18" t="s">
        <v>3583</v>
      </c>
      <c r="N624">
        <v>13</v>
      </c>
      <c r="O624"/>
      <c r="P624"/>
      <c r="R624" s="87"/>
    </row>
    <row r="625" spans="2:18" hidden="1" x14ac:dyDescent="0.25">
      <c r="B625" s="3" t="s">
        <v>3358</v>
      </c>
      <c r="C625" s="3" t="s">
        <v>96</v>
      </c>
      <c r="D625" s="3" t="s">
        <v>3459</v>
      </c>
      <c r="E625" s="3" t="s">
        <v>71</v>
      </c>
      <c r="F625" s="3" t="s">
        <v>3493</v>
      </c>
      <c r="G625" s="6">
        <v>2000</v>
      </c>
      <c r="H625" s="6">
        <f t="shared" si="10"/>
        <v>305.08474576271169</v>
      </c>
      <c r="I625" s="3" t="s">
        <v>18</v>
      </c>
      <c r="J625" s="18" t="s">
        <v>3583</v>
      </c>
      <c r="N625">
        <v>12</v>
      </c>
      <c r="O625"/>
      <c r="P625"/>
      <c r="R625" s="87"/>
    </row>
    <row r="626" spans="2:18" hidden="1" x14ac:dyDescent="0.25">
      <c r="B626" s="3" t="s">
        <v>3359</v>
      </c>
      <c r="C626" s="3" t="s">
        <v>96</v>
      </c>
      <c r="D626" s="3" t="s">
        <v>3330</v>
      </c>
      <c r="E626" s="3" t="s">
        <v>71</v>
      </c>
      <c r="F626" s="3" t="s">
        <v>3493</v>
      </c>
      <c r="G626" s="6">
        <v>10000</v>
      </c>
      <c r="H626" s="6">
        <f t="shared" si="10"/>
        <v>1525.4237288135591</v>
      </c>
      <c r="I626" s="3" t="s">
        <v>18</v>
      </c>
      <c r="J626" s="18" t="s">
        <v>3583</v>
      </c>
      <c r="N626">
        <v>82</v>
      </c>
      <c r="O626"/>
      <c r="P626"/>
    </row>
    <row r="627" spans="2:18" hidden="1" x14ac:dyDescent="0.25">
      <c r="B627" s="3" t="s">
        <v>3358</v>
      </c>
      <c r="C627" s="3" t="s">
        <v>96</v>
      </c>
      <c r="D627" s="3" t="s">
        <v>3463</v>
      </c>
      <c r="E627" s="3" t="s">
        <v>71</v>
      </c>
      <c r="F627" s="3" t="s">
        <v>3493</v>
      </c>
      <c r="G627" s="6">
        <v>4000</v>
      </c>
      <c r="H627" s="6">
        <f t="shared" si="10"/>
        <v>610.16949152542338</v>
      </c>
      <c r="I627" s="3" t="s">
        <v>18</v>
      </c>
      <c r="J627" s="18" t="s">
        <v>3583</v>
      </c>
      <c r="N627">
        <v>53</v>
      </c>
      <c r="O627"/>
      <c r="P627"/>
      <c r="R627" s="87"/>
    </row>
    <row r="628" spans="2:18" hidden="1" x14ac:dyDescent="0.25">
      <c r="B628" s="3" t="s">
        <v>3359</v>
      </c>
      <c r="C628" s="3" t="s">
        <v>96</v>
      </c>
      <c r="D628" s="3" t="s">
        <v>3323</v>
      </c>
      <c r="E628" s="3" t="s">
        <v>71</v>
      </c>
      <c r="F628" s="3" t="s">
        <v>3493</v>
      </c>
      <c r="G628" s="6">
        <v>2000</v>
      </c>
      <c r="H628" s="6">
        <f t="shared" si="10"/>
        <v>305.08474576271169</v>
      </c>
      <c r="I628" s="3" t="s">
        <v>18</v>
      </c>
      <c r="J628" s="18" t="s">
        <v>3583</v>
      </c>
      <c r="N628">
        <v>17</v>
      </c>
      <c r="O628"/>
      <c r="P628"/>
      <c r="R628" s="87"/>
    </row>
    <row r="629" spans="2:18" hidden="1" x14ac:dyDescent="0.25">
      <c r="B629" s="3" t="s">
        <v>2296</v>
      </c>
      <c r="C629" s="3" t="s">
        <v>40</v>
      </c>
      <c r="D629" s="3" t="s">
        <v>2278</v>
      </c>
      <c r="E629" s="3" t="s">
        <v>114</v>
      </c>
      <c r="F629" s="3" t="s">
        <v>3493</v>
      </c>
      <c r="G629" s="64">
        <v>145000</v>
      </c>
      <c r="H629" s="6">
        <f t="shared" si="10"/>
        <v>22118.644067796602</v>
      </c>
      <c r="I629" s="3" t="s">
        <v>113</v>
      </c>
      <c r="J629" t="s">
        <v>3581</v>
      </c>
      <c r="O629"/>
      <c r="P629"/>
      <c r="R629" s="87"/>
    </row>
    <row r="630" spans="2:18" hidden="1" x14ac:dyDescent="0.25">
      <c r="B630" s="3" t="s">
        <v>2303</v>
      </c>
      <c r="C630" s="3" t="s">
        <v>36</v>
      </c>
      <c r="D630" s="3" t="s">
        <v>2283</v>
      </c>
      <c r="E630" s="3" t="s">
        <v>114</v>
      </c>
      <c r="F630" s="3" t="s">
        <v>3493</v>
      </c>
      <c r="G630" s="64">
        <v>50000</v>
      </c>
      <c r="H630" s="6">
        <f t="shared" si="10"/>
        <v>7627.118644067792</v>
      </c>
      <c r="I630" s="3" t="s">
        <v>113</v>
      </c>
      <c r="J630" t="s">
        <v>3581</v>
      </c>
      <c r="O630"/>
      <c r="P630"/>
      <c r="R630" s="87"/>
    </row>
    <row r="631" spans="2:18" hidden="1" x14ac:dyDescent="0.25">
      <c r="B631" s="3" t="s">
        <v>2301</v>
      </c>
      <c r="C631" s="3" t="s">
        <v>42</v>
      </c>
      <c r="D631" s="3" t="s">
        <v>2282</v>
      </c>
      <c r="E631" s="3" t="s">
        <v>114</v>
      </c>
      <c r="F631" s="3" t="s">
        <v>3493</v>
      </c>
      <c r="G631" s="64">
        <v>120000</v>
      </c>
      <c r="H631" s="6">
        <f t="shared" si="10"/>
        <v>18305.08474576271</v>
      </c>
      <c r="I631" s="3" t="s">
        <v>113</v>
      </c>
      <c r="J631" t="s">
        <v>3581</v>
      </c>
      <c r="O631"/>
      <c r="P631"/>
      <c r="R631" s="87"/>
    </row>
    <row r="632" spans="2:18" hidden="1" x14ac:dyDescent="0.25">
      <c r="B632" s="3" t="s">
        <v>2298</v>
      </c>
      <c r="C632" s="3" t="s">
        <v>37</v>
      </c>
      <c r="D632" s="3" t="s">
        <v>2280</v>
      </c>
      <c r="E632" s="3" t="s">
        <v>114</v>
      </c>
      <c r="F632" s="3" t="s">
        <v>3493</v>
      </c>
      <c r="G632" s="64">
        <v>200000</v>
      </c>
      <c r="H632" s="6">
        <f t="shared" si="10"/>
        <v>30508.474576271168</v>
      </c>
      <c r="I632" s="3" t="s">
        <v>113</v>
      </c>
      <c r="J632" t="s">
        <v>3581</v>
      </c>
      <c r="O632"/>
      <c r="P632"/>
      <c r="R632" s="87"/>
    </row>
    <row r="633" spans="2:18" hidden="1" x14ac:dyDescent="0.25">
      <c r="B633" s="3" t="s">
        <v>972</v>
      </c>
      <c r="C633" s="3" t="s">
        <v>95</v>
      </c>
      <c r="D633" s="3" t="s">
        <v>971</v>
      </c>
      <c r="E633" s="3" t="s">
        <v>90</v>
      </c>
      <c r="F633" s="3" t="s">
        <v>3493</v>
      </c>
      <c r="G633" s="86">
        <v>2700</v>
      </c>
      <c r="H633" s="6">
        <f t="shared" si="10"/>
        <v>411.86440677966084</v>
      </c>
      <c r="I633" s="3" t="s">
        <v>18</v>
      </c>
      <c r="J633" s="18" t="s">
        <v>3583</v>
      </c>
      <c r="O633"/>
      <c r="P633"/>
    </row>
    <row r="634" spans="2:18" hidden="1" x14ac:dyDescent="0.25">
      <c r="B634" s="3" t="s">
        <v>2539</v>
      </c>
      <c r="C634" s="3" t="s">
        <v>92</v>
      </c>
      <c r="D634" s="3" t="s">
        <v>2481</v>
      </c>
      <c r="E634" s="3" t="s">
        <v>87</v>
      </c>
      <c r="F634" s="3" t="s">
        <v>3493</v>
      </c>
      <c r="G634" s="6">
        <v>130000</v>
      </c>
      <c r="H634" s="6">
        <f t="shared" ref="H634" si="11">G634-G634/1.18</f>
        <v>19830.508474576272</v>
      </c>
      <c r="I634" s="3" t="s">
        <v>18</v>
      </c>
      <c r="J634" s="18" t="s">
        <v>3583</v>
      </c>
      <c r="O634"/>
      <c r="P634"/>
      <c r="R634" s="87"/>
    </row>
    <row r="635" spans="2:18" hidden="1" x14ac:dyDescent="0.25">
      <c r="B635" s="3" t="s">
        <v>2543</v>
      </c>
      <c r="C635" s="3" t="s">
        <v>92</v>
      </c>
      <c r="D635" s="3" t="s">
        <v>2485</v>
      </c>
      <c r="E635" s="3" t="s">
        <v>87</v>
      </c>
      <c r="F635" s="3" t="s">
        <v>3493</v>
      </c>
      <c r="G635" s="6">
        <v>204073.68</v>
      </c>
      <c r="H635" s="6">
        <f t="shared" ref="H635:H641" si="12">G635-G635/1.18</f>
        <v>31129.883389830502</v>
      </c>
      <c r="I635" s="3" t="s">
        <v>18</v>
      </c>
      <c r="J635" s="18" t="s">
        <v>3582</v>
      </c>
      <c r="O635"/>
      <c r="P635"/>
      <c r="R635" s="87"/>
    </row>
    <row r="636" spans="2:18" x14ac:dyDescent="0.25">
      <c r="B636" s="3" t="s">
        <v>2198</v>
      </c>
      <c r="C636" s="3" t="s">
        <v>50</v>
      </c>
      <c r="D636" s="3" t="s">
        <v>3545</v>
      </c>
      <c r="E636" s="3" t="s">
        <v>141</v>
      </c>
      <c r="F636" s="3" t="s">
        <v>3493</v>
      </c>
      <c r="G636" s="6">
        <v>50000</v>
      </c>
      <c r="H636" s="6">
        <f t="shared" si="12"/>
        <v>7627.118644067792</v>
      </c>
      <c r="I636" s="3" t="s">
        <v>113</v>
      </c>
      <c r="J636" t="s">
        <v>3581</v>
      </c>
      <c r="N636">
        <v>22</v>
      </c>
      <c r="O636"/>
      <c r="P636"/>
      <c r="R636" s="87"/>
    </row>
    <row r="637" spans="2:18" x14ac:dyDescent="0.25">
      <c r="B637" s="3" t="s">
        <v>2198</v>
      </c>
      <c r="C637" s="3" t="s">
        <v>50</v>
      </c>
      <c r="D637" s="3" t="s">
        <v>3546</v>
      </c>
      <c r="E637" s="3" t="s">
        <v>141</v>
      </c>
      <c r="F637" s="3" t="s">
        <v>3493</v>
      </c>
      <c r="G637" s="6">
        <v>50000</v>
      </c>
      <c r="H637" s="6">
        <f t="shared" si="12"/>
        <v>7627.118644067792</v>
      </c>
      <c r="I637" s="3" t="s">
        <v>113</v>
      </c>
      <c r="J637" t="s">
        <v>3581</v>
      </c>
      <c r="N637">
        <v>37</v>
      </c>
      <c r="O637"/>
      <c r="P637"/>
      <c r="R637" s="87"/>
    </row>
    <row r="638" spans="2:18" x14ac:dyDescent="0.25">
      <c r="B638" s="3" t="s">
        <v>2198</v>
      </c>
      <c r="C638" s="3" t="s">
        <v>50</v>
      </c>
      <c r="D638" s="3" t="s">
        <v>3548</v>
      </c>
      <c r="E638" s="3" t="s">
        <v>141</v>
      </c>
      <c r="F638" s="3" t="s">
        <v>3493</v>
      </c>
      <c r="G638" s="6">
        <v>50000</v>
      </c>
      <c r="H638" s="6">
        <f t="shared" si="12"/>
        <v>7627.118644067792</v>
      </c>
      <c r="I638" s="3" t="s">
        <v>113</v>
      </c>
      <c r="J638" t="s">
        <v>3581</v>
      </c>
      <c r="N638">
        <v>0</v>
      </c>
      <c r="O638"/>
      <c r="P638"/>
      <c r="R638" s="87"/>
    </row>
    <row r="639" spans="2:18" x14ac:dyDescent="0.25">
      <c r="B639" s="3" t="s">
        <v>2198</v>
      </c>
      <c r="C639" s="3" t="s">
        <v>50</v>
      </c>
      <c r="D639" s="3" t="s">
        <v>3547</v>
      </c>
      <c r="E639" s="3" t="s">
        <v>141</v>
      </c>
      <c r="F639" s="3" t="s">
        <v>3493</v>
      </c>
      <c r="G639" s="6">
        <v>50000</v>
      </c>
      <c r="H639" s="6">
        <f t="shared" si="12"/>
        <v>7627.118644067792</v>
      </c>
      <c r="I639" s="3" t="s">
        <v>113</v>
      </c>
      <c r="J639" t="s">
        <v>3581</v>
      </c>
      <c r="N639">
        <v>0</v>
      </c>
      <c r="O639"/>
      <c r="P639"/>
    </row>
    <row r="640" spans="2:18" x14ac:dyDescent="0.25">
      <c r="B640" s="3" t="s">
        <v>2198</v>
      </c>
      <c r="C640" s="3" t="s">
        <v>50</v>
      </c>
      <c r="D640" s="3" t="s">
        <v>3549</v>
      </c>
      <c r="E640" s="3" t="s">
        <v>141</v>
      </c>
      <c r="F640" s="3" t="s">
        <v>3493</v>
      </c>
      <c r="G640" s="6">
        <v>50000</v>
      </c>
      <c r="H640" s="6">
        <f t="shared" si="12"/>
        <v>7627.118644067792</v>
      </c>
      <c r="I640" s="3" t="s">
        <v>113</v>
      </c>
      <c r="J640" t="s">
        <v>3581</v>
      </c>
      <c r="N640">
        <v>0</v>
      </c>
      <c r="O640"/>
      <c r="P640"/>
      <c r="R640" s="87"/>
    </row>
    <row r="641" spans="2:18" x14ac:dyDescent="0.25">
      <c r="B641" s="3" t="s">
        <v>2198</v>
      </c>
      <c r="C641" s="3" t="s">
        <v>50</v>
      </c>
      <c r="D641" s="3" t="s">
        <v>3550</v>
      </c>
      <c r="E641" s="3" t="s">
        <v>141</v>
      </c>
      <c r="F641" s="3" t="s">
        <v>3493</v>
      </c>
      <c r="G641" s="6">
        <v>50000</v>
      </c>
      <c r="H641" s="6">
        <f t="shared" si="12"/>
        <v>7627.118644067792</v>
      </c>
      <c r="I641" s="3" t="s">
        <v>113</v>
      </c>
      <c r="J641" t="s">
        <v>3581</v>
      </c>
      <c r="N641">
        <v>0</v>
      </c>
      <c r="O641"/>
      <c r="P641"/>
      <c r="R641" s="87"/>
    </row>
    <row r="642" spans="2:18" hidden="1" x14ac:dyDescent="0.25">
      <c r="B642" s="3" t="s">
        <v>2525</v>
      </c>
      <c r="C642" s="3" t="s">
        <v>93</v>
      </c>
      <c r="D642" s="3" t="s">
        <v>2467</v>
      </c>
      <c r="E642" s="3" t="s">
        <v>87</v>
      </c>
      <c r="F642" s="3" t="s">
        <v>3493</v>
      </c>
      <c r="G642" s="6">
        <v>166648.26</v>
      </c>
      <c r="H642" s="6">
        <f t="shared" ref="H642:H647" si="13">G642-G642/1.18</f>
        <v>25420.921016949142</v>
      </c>
      <c r="I642" s="3" t="s">
        <v>18</v>
      </c>
      <c r="J642" s="18" t="s">
        <v>3584</v>
      </c>
      <c r="O642"/>
      <c r="P642"/>
      <c r="R642" s="87"/>
    </row>
    <row r="643" spans="2:18" hidden="1" x14ac:dyDescent="0.25">
      <c r="B643" s="3" t="s">
        <v>1461</v>
      </c>
      <c r="C643" s="3" t="s">
        <v>43</v>
      </c>
      <c r="D643" s="3" t="s">
        <v>1349</v>
      </c>
      <c r="E643" s="3" t="s">
        <v>90</v>
      </c>
      <c r="F643" s="3" t="s">
        <v>3493</v>
      </c>
      <c r="G643" s="6">
        <v>45437.57</v>
      </c>
      <c r="H643" s="6">
        <f t="shared" si="13"/>
        <v>6931.1547457627094</v>
      </c>
      <c r="I643" s="3" t="s">
        <v>113</v>
      </c>
      <c r="J643" t="s">
        <v>3582</v>
      </c>
      <c r="O643"/>
      <c r="P643"/>
      <c r="R643" s="87"/>
    </row>
    <row r="644" spans="2:18" hidden="1" x14ac:dyDescent="0.25">
      <c r="B644" s="3" t="s">
        <v>1829</v>
      </c>
      <c r="C644" s="3" t="s">
        <v>41</v>
      </c>
      <c r="D644" s="3" t="s">
        <v>3554</v>
      </c>
      <c r="E644" s="3" t="s">
        <v>90</v>
      </c>
      <c r="F644" s="3" t="s">
        <v>3493</v>
      </c>
      <c r="G644" s="6">
        <v>6439.84</v>
      </c>
      <c r="H644" s="6">
        <f t="shared" si="13"/>
        <v>982.34847457627075</v>
      </c>
      <c r="I644" s="3" t="s">
        <v>113</v>
      </c>
      <c r="J644" t="s">
        <v>3728</v>
      </c>
      <c r="O644"/>
      <c r="P644"/>
      <c r="R644" s="87"/>
    </row>
    <row r="645" spans="2:18" hidden="1" x14ac:dyDescent="0.25">
      <c r="B645" s="3" t="s">
        <v>1830</v>
      </c>
      <c r="C645" s="3" t="s">
        <v>41</v>
      </c>
      <c r="D645" s="3" t="s">
        <v>3552</v>
      </c>
      <c r="E645" s="3" t="s">
        <v>90</v>
      </c>
      <c r="F645" s="3" t="s">
        <v>3493</v>
      </c>
      <c r="G645" s="6">
        <v>1911.25</v>
      </c>
      <c r="H645" s="6">
        <f t="shared" si="13"/>
        <v>291.54661016949149</v>
      </c>
      <c r="I645" s="3" t="s">
        <v>113</v>
      </c>
      <c r="J645" t="s">
        <v>3728</v>
      </c>
      <c r="O645"/>
      <c r="P645"/>
      <c r="R645" s="87"/>
    </row>
    <row r="646" spans="2:18" hidden="1" x14ac:dyDescent="0.25">
      <c r="B646" s="3" t="s">
        <v>1831</v>
      </c>
      <c r="C646" s="3" t="s">
        <v>42</v>
      </c>
      <c r="D646" s="3" t="s">
        <v>3555</v>
      </c>
      <c r="E646" s="3" t="s">
        <v>90</v>
      </c>
      <c r="F646" s="3" t="s">
        <v>3493</v>
      </c>
      <c r="G646" s="6">
        <v>7773.6</v>
      </c>
      <c r="H646" s="6">
        <f t="shared" si="13"/>
        <v>1185.8033898305084</v>
      </c>
      <c r="I646" s="3" t="s">
        <v>113</v>
      </c>
      <c r="J646" t="s">
        <v>3728</v>
      </c>
      <c r="O646"/>
      <c r="P646"/>
    </row>
    <row r="647" spans="2:18" hidden="1" x14ac:dyDescent="0.25">
      <c r="B647" s="3" t="s">
        <v>1832</v>
      </c>
      <c r="C647" s="3" t="s">
        <v>98</v>
      </c>
      <c r="D647" s="3" t="s">
        <v>3553</v>
      </c>
      <c r="E647" s="3" t="s">
        <v>90</v>
      </c>
      <c r="F647" s="3" t="s">
        <v>3493</v>
      </c>
      <c r="G647" s="6">
        <v>1337.58</v>
      </c>
      <c r="H647" s="6">
        <f t="shared" si="13"/>
        <v>204.03762711864397</v>
      </c>
      <c r="I647" s="3" t="s">
        <v>113</v>
      </c>
      <c r="J647" t="s">
        <v>3728</v>
      </c>
      <c r="O647"/>
      <c r="P647"/>
      <c r="R647" s="87"/>
    </row>
    <row r="648" spans="2:18" hidden="1" x14ac:dyDescent="0.25">
      <c r="B648" s="3" t="s">
        <v>2309</v>
      </c>
      <c r="C648" s="3" t="s">
        <v>4</v>
      </c>
      <c r="D648" s="3" t="s">
        <v>2288</v>
      </c>
      <c r="E648" s="3" t="s">
        <v>114</v>
      </c>
      <c r="F648" s="3" t="s">
        <v>3493</v>
      </c>
      <c r="G648" s="64">
        <v>12746.14</v>
      </c>
      <c r="H648" s="6">
        <f t="shared" ref="H648:H656" si="14">G648-G648/1.18</f>
        <v>1944.3264406779654</v>
      </c>
      <c r="I648" s="3" t="s">
        <v>113</v>
      </c>
      <c r="J648" t="s">
        <v>3582</v>
      </c>
      <c r="O648"/>
      <c r="P648"/>
      <c r="R648" s="87"/>
    </row>
    <row r="649" spans="2:18" hidden="1" x14ac:dyDescent="0.25">
      <c r="B649" s="3" t="s">
        <v>2927</v>
      </c>
      <c r="C649" s="3" t="s">
        <v>41</v>
      </c>
      <c r="D649" s="3" t="s">
        <v>2859</v>
      </c>
      <c r="E649" s="3" t="s">
        <v>90</v>
      </c>
      <c r="F649" s="3" t="s">
        <v>3493</v>
      </c>
      <c r="G649" s="6">
        <v>265000</v>
      </c>
      <c r="H649" s="6">
        <f>G649-G649/1.18</f>
        <v>40423.728813559312</v>
      </c>
      <c r="I649" s="3" t="s">
        <v>113</v>
      </c>
      <c r="J649" t="s">
        <v>3581</v>
      </c>
      <c r="O649"/>
      <c r="P649"/>
      <c r="R649" s="87"/>
    </row>
    <row r="650" spans="2:18" hidden="1" x14ac:dyDescent="0.25">
      <c r="B650" s="3" t="s">
        <v>1489</v>
      </c>
      <c r="C650" s="3" t="s">
        <v>40</v>
      </c>
      <c r="D650" s="3" t="s">
        <v>1377</v>
      </c>
      <c r="E650" s="3" t="s">
        <v>90</v>
      </c>
      <c r="F650" s="3" t="s">
        <v>3493</v>
      </c>
      <c r="G650" s="6">
        <v>75000</v>
      </c>
      <c r="H650" s="6">
        <f t="shared" si="14"/>
        <v>11440.677966101692</v>
      </c>
      <c r="I650" s="3" t="s">
        <v>113</v>
      </c>
      <c r="J650" t="s">
        <v>3581</v>
      </c>
      <c r="O650"/>
      <c r="P650"/>
      <c r="R650" s="87"/>
    </row>
    <row r="651" spans="2:18" hidden="1" x14ac:dyDescent="0.25">
      <c r="B651" s="3" t="s">
        <v>2899</v>
      </c>
      <c r="C651" s="3" t="s">
        <v>43</v>
      </c>
      <c r="D651" s="3" t="s">
        <v>2831</v>
      </c>
      <c r="E651" s="3" t="s">
        <v>90</v>
      </c>
      <c r="F651" s="3" t="s">
        <v>3493</v>
      </c>
      <c r="G651" s="6">
        <v>400000</v>
      </c>
      <c r="H651" s="6">
        <f t="shared" si="14"/>
        <v>61016.949152542336</v>
      </c>
      <c r="I651" s="3" t="s">
        <v>113</v>
      </c>
      <c r="J651" t="s">
        <v>3581</v>
      </c>
      <c r="O651"/>
      <c r="P651"/>
      <c r="R651" s="87"/>
    </row>
    <row r="652" spans="2:18" hidden="1" x14ac:dyDescent="0.25">
      <c r="B652" s="3" t="s">
        <v>1428</v>
      </c>
      <c r="C652" s="3" t="s">
        <v>43</v>
      </c>
      <c r="D652" s="3" t="s">
        <v>1318</v>
      </c>
      <c r="E652" s="3" t="s">
        <v>90</v>
      </c>
      <c r="F652" s="3" t="s">
        <v>3493</v>
      </c>
      <c r="G652" s="6">
        <v>125000</v>
      </c>
      <c r="H652" s="6">
        <f t="shared" si="14"/>
        <v>19067.796610169491</v>
      </c>
      <c r="I652" s="3" t="s">
        <v>113</v>
      </c>
      <c r="J652" t="s">
        <v>3581</v>
      </c>
      <c r="O652"/>
      <c r="P652"/>
      <c r="R652" s="87"/>
    </row>
    <row r="653" spans="2:18" hidden="1" x14ac:dyDescent="0.25">
      <c r="B653" s="3" t="s">
        <v>1453</v>
      </c>
      <c r="C653" s="3" t="s">
        <v>40</v>
      </c>
      <c r="D653" s="3" t="s">
        <v>1343</v>
      </c>
      <c r="E653" s="3" t="s">
        <v>90</v>
      </c>
      <c r="F653" s="3" t="s">
        <v>3493</v>
      </c>
      <c r="G653" s="6">
        <v>50000</v>
      </c>
      <c r="H653" s="6">
        <f t="shared" si="14"/>
        <v>7627.118644067792</v>
      </c>
      <c r="I653" s="3" t="s">
        <v>113</v>
      </c>
      <c r="J653" t="s">
        <v>3581</v>
      </c>
      <c r="O653"/>
      <c r="P653"/>
    </row>
    <row r="654" spans="2:18" hidden="1" x14ac:dyDescent="0.25">
      <c r="B654" s="3" t="s">
        <v>2955</v>
      </c>
      <c r="C654" s="3" t="s">
        <v>40</v>
      </c>
      <c r="D654" s="3" t="s">
        <v>2885</v>
      </c>
      <c r="E654" s="3" t="s">
        <v>90</v>
      </c>
      <c r="F654" s="3" t="s">
        <v>3493</v>
      </c>
      <c r="G654" s="6">
        <v>50000</v>
      </c>
      <c r="H654" s="6">
        <f t="shared" si="14"/>
        <v>7627.118644067792</v>
      </c>
      <c r="I654" s="3" t="s">
        <v>113</v>
      </c>
      <c r="J654" t="s">
        <v>3581</v>
      </c>
      <c r="O654"/>
      <c r="P654"/>
      <c r="R654" s="87"/>
    </row>
    <row r="655" spans="2:18" hidden="1" x14ac:dyDescent="0.25">
      <c r="B655" s="3" t="s">
        <v>2295</v>
      </c>
      <c r="C655" s="3" t="s">
        <v>38</v>
      </c>
      <c r="D655" s="3" t="s">
        <v>2277</v>
      </c>
      <c r="E655" s="3" t="s">
        <v>114</v>
      </c>
      <c r="F655" s="3" t="s">
        <v>3493</v>
      </c>
      <c r="G655" s="64">
        <v>36723.67</v>
      </c>
      <c r="H655" s="6">
        <f t="shared" si="14"/>
        <v>5601.915762711862</v>
      </c>
      <c r="I655" s="3" t="s">
        <v>113</v>
      </c>
      <c r="J655" t="s">
        <v>3582</v>
      </c>
      <c r="O655"/>
      <c r="P655"/>
      <c r="R655" s="87"/>
    </row>
    <row r="656" spans="2:18" hidden="1" x14ac:dyDescent="0.25">
      <c r="B656" s="3" t="s">
        <v>2253</v>
      </c>
      <c r="C656" s="3" t="s">
        <v>94</v>
      </c>
      <c r="D656" s="3" t="s">
        <v>2257</v>
      </c>
      <c r="E656" s="3" t="s">
        <v>114</v>
      </c>
      <c r="F656" s="3" t="s">
        <v>3493</v>
      </c>
      <c r="G656" s="6">
        <v>5696.97</v>
      </c>
      <c r="H656" s="6">
        <f t="shared" si="14"/>
        <v>869.0293220338981</v>
      </c>
      <c r="I656" s="3" t="s">
        <v>18</v>
      </c>
      <c r="J656" s="18" t="s">
        <v>3582</v>
      </c>
      <c r="O656"/>
      <c r="P656"/>
      <c r="R656" s="87"/>
    </row>
    <row r="657" spans="2:18" hidden="1" x14ac:dyDescent="0.25">
      <c r="B657" s="3" t="s">
        <v>2898</v>
      </c>
      <c r="C657" s="3" t="s">
        <v>43</v>
      </c>
      <c r="D657" s="3" t="s">
        <v>2830</v>
      </c>
      <c r="E657" s="3" t="s">
        <v>106</v>
      </c>
      <c r="F657" s="3" t="s">
        <v>3493</v>
      </c>
      <c r="G657" s="6">
        <v>34615</v>
      </c>
      <c r="H657" s="6">
        <f t="shared" ref="H657" si="15">G657-G657/1.18</f>
        <v>5280.2542372881326</v>
      </c>
      <c r="I657" s="3" t="s">
        <v>113</v>
      </c>
      <c r="J657" t="s">
        <v>3582</v>
      </c>
      <c r="O657"/>
      <c r="P657"/>
      <c r="R657" s="87"/>
    </row>
    <row r="658" spans="2:18" hidden="1" x14ac:dyDescent="0.25">
      <c r="B658" s="3" t="s">
        <v>2954</v>
      </c>
      <c r="C658" s="3" t="s">
        <v>40</v>
      </c>
      <c r="D658" s="3" t="s">
        <v>2884</v>
      </c>
      <c r="E658" s="3" t="s">
        <v>106</v>
      </c>
      <c r="F658" s="3" t="s">
        <v>3493</v>
      </c>
      <c r="G658" s="6">
        <v>1723.75</v>
      </c>
      <c r="H658" s="6">
        <f t="shared" ref="H658" si="16">G658-G658/1.18</f>
        <v>262.94491525423723</v>
      </c>
      <c r="I658" s="3" t="s">
        <v>113</v>
      </c>
      <c r="J658" t="s">
        <v>3582</v>
      </c>
      <c r="O658"/>
      <c r="P658"/>
      <c r="R658" s="87"/>
    </row>
    <row r="659" spans="2:18" hidden="1" x14ac:dyDescent="0.25">
      <c r="B659" s="3" t="s">
        <v>2926</v>
      </c>
      <c r="C659" s="3" t="s">
        <v>41</v>
      </c>
      <c r="D659" s="3" t="s">
        <v>2858</v>
      </c>
      <c r="E659" s="3" t="s">
        <v>106</v>
      </c>
      <c r="F659" s="3" t="s">
        <v>3493</v>
      </c>
      <c r="G659" s="6">
        <v>14652.75</v>
      </c>
      <c r="H659" s="6">
        <f t="shared" ref="H659:H669" si="17">G659-G659/1.18</f>
        <v>2235.1652542372867</v>
      </c>
      <c r="I659" s="3" t="s">
        <v>113</v>
      </c>
      <c r="J659" t="s">
        <v>3582</v>
      </c>
      <c r="O659"/>
      <c r="P659"/>
      <c r="R659" s="87"/>
    </row>
    <row r="660" spans="2:18" hidden="1" x14ac:dyDescent="0.25">
      <c r="B660" s="3" t="s">
        <v>2903</v>
      </c>
      <c r="C660" s="3" t="s">
        <v>42</v>
      </c>
      <c r="D660" s="3" t="s">
        <v>2835</v>
      </c>
      <c r="E660" s="3" t="s">
        <v>106</v>
      </c>
      <c r="F660" s="3" t="s">
        <v>3493</v>
      </c>
      <c r="G660" s="6">
        <v>18873.75</v>
      </c>
      <c r="H660" s="6">
        <f t="shared" si="17"/>
        <v>2879.046610169491</v>
      </c>
      <c r="I660" s="3" t="s">
        <v>113</v>
      </c>
      <c r="J660" t="s">
        <v>3582</v>
      </c>
      <c r="O660"/>
      <c r="P660"/>
    </row>
    <row r="661" spans="2:18" hidden="1" x14ac:dyDescent="0.25">
      <c r="B661" s="3" t="s">
        <v>1238</v>
      </c>
      <c r="C661" s="3" t="s">
        <v>17</v>
      </c>
      <c r="D661" s="3" t="s">
        <v>1312</v>
      </c>
      <c r="E661" s="3" t="s">
        <v>71</v>
      </c>
      <c r="F661" s="3" t="s">
        <v>3493</v>
      </c>
      <c r="G661" s="86">
        <v>39433.699999999997</v>
      </c>
      <c r="H661" s="6">
        <f t="shared" si="17"/>
        <v>6015.310169491524</v>
      </c>
      <c r="I661" s="3" t="s">
        <v>113</v>
      </c>
      <c r="J661" t="s">
        <v>3582</v>
      </c>
      <c r="O661"/>
      <c r="P661"/>
      <c r="R661" s="87"/>
    </row>
    <row r="662" spans="2:18" hidden="1" x14ac:dyDescent="0.25">
      <c r="B662" s="3" t="s">
        <v>2738</v>
      </c>
      <c r="C662" s="3" t="s">
        <v>38</v>
      </c>
      <c r="D662" s="3" t="s">
        <v>2666</v>
      </c>
      <c r="E662" s="3" t="s">
        <v>71</v>
      </c>
      <c r="F662" s="3" t="s">
        <v>3493</v>
      </c>
      <c r="G662" s="86">
        <v>25798.55</v>
      </c>
      <c r="H662" s="6">
        <f t="shared" si="17"/>
        <v>3935.3720338983039</v>
      </c>
      <c r="I662" s="3" t="s">
        <v>113</v>
      </c>
      <c r="J662" t="s">
        <v>3581</v>
      </c>
      <c r="O662"/>
      <c r="P662"/>
      <c r="R662" s="87"/>
    </row>
    <row r="663" spans="2:18" hidden="1" x14ac:dyDescent="0.25">
      <c r="B663" s="3" t="s">
        <v>2759</v>
      </c>
      <c r="C663" s="3" t="s">
        <v>38</v>
      </c>
      <c r="D663" s="3" t="s">
        <v>2695</v>
      </c>
      <c r="E663" s="3" t="s">
        <v>71</v>
      </c>
      <c r="F663" s="3" t="s">
        <v>3493</v>
      </c>
      <c r="G663" s="86">
        <v>8023.47</v>
      </c>
      <c r="H663" s="6">
        <f t="shared" si="17"/>
        <v>1223.919152542373</v>
      </c>
      <c r="I663" s="3" t="s">
        <v>113</v>
      </c>
      <c r="J663" t="s">
        <v>3582</v>
      </c>
      <c r="O663"/>
      <c r="P663"/>
      <c r="R663" s="87"/>
    </row>
    <row r="664" spans="2:18" hidden="1" x14ac:dyDescent="0.25">
      <c r="B664" s="3" t="s">
        <v>2306</v>
      </c>
      <c r="C664" s="3" t="s">
        <v>38</v>
      </c>
      <c r="D664" s="3" t="s">
        <v>2286</v>
      </c>
      <c r="E664" s="3" t="s">
        <v>114</v>
      </c>
      <c r="F664" s="3" t="s">
        <v>3493</v>
      </c>
      <c r="G664" s="64">
        <v>25161.75</v>
      </c>
      <c r="H664" s="6">
        <f t="shared" si="17"/>
        <v>3838.2330508474552</v>
      </c>
      <c r="I664" s="3" t="s">
        <v>113</v>
      </c>
      <c r="J664" t="s">
        <v>3582</v>
      </c>
      <c r="O664"/>
      <c r="P664"/>
      <c r="R664" s="87"/>
    </row>
    <row r="665" spans="2:18" hidden="1" x14ac:dyDescent="0.25">
      <c r="B665" s="3" t="s">
        <v>1715</v>
      </c>
      <c r="C665" s="3" t="s">
        <v>20</v>
      </c>
      <c r="D665" s="3" t="s">
        <v>925</v>
      </c>
      <c r="E665" s="3" t="s">
        <v>115</v>
      </c>
      <c r="F665" s="3" t="s">
        <v>3493</v>
      </c>
      <c r="G665" s="6">
        <v>200000</v>
      </c>
      <c r="H665" s="6">
        <f t="shared" si="17"/>
        <v>30508.474576271168</v>
      </c>
      <c r="I665" s="3" t="s">
        <v>113</v>
      </c>
      <c r="J665" t="s">
        <v>3581</v>
      </c>
      <c r="O665"/>
      <c r="P665"/>
      <c r="R665" s="87"/>
    </row>
    <row r="666" spans="2:18" hidden="1" x14ac:dyDescent="0.25">
      <c r="B666" s="3" t="s">
        <v>2180</v>
      </c>
      <c r="C666" s="3" t="s">
        <v>56</v>
      </c>
      <c r="D666" s="3" t="s">
        <v>2178</v>
      </c>
      <c r="E666" s="3" t="s">
        <v>105</v>
      </c>
      <c r="F666" s="3" t="s">
        <v>3493</v>
      </c>
      <c r="G666" s="6">
        <v>500000</v>
      </c>
      <c r="H666" s="6">
        <f t="shared" si="17"/>
        <v>76271.186440677964</v>
      </c>
      <c r="I666" s="3" t="s">
        <v>113</v>
      </c>
      <c r="J666" t="s">
        <v>3581</v>
      </c>
      <c r="O666"/>
      <c r="P666"/>
      <c r="R666" s="87"/>
    </row>
    <row r="667" spans="2:18" hidden="1" x14ac:dyDescent="0.25">
      <c r="B667" s="3" t="s">
        <v>219</v>
      </c>
      <c r="C667" s="3" t="s">
        <v>99</v>
      </c>
      <c r="D667" s="3" t="s">
        <v>673</v>
      </c>
      <c r="E667" s="3" t="s">
        <v>105</v>
      </c>
      <c r="F667" s="3" t="s">
        <v>3493</v>
      </c>
      <c r="G667" s="6">
        <v>250000</v>
      </c>
      <c r="H667" s="6">
        <f t="shared" si="17"/>
        <v>38135.593220338982</v>
      </c>
      <c r="I667" s="3" t="s">
        <v>113</v>
      </c>
      <c r="J667" t="s">
        <v>3581</v>
      </c>
      <c r="O667"/>
      <c r="P667"/>
    </row>
    <row r="668" spans="2:18" hidden="1" x14ac:dyDescent="0.25">
      <c r="B668" s="3" t="s">
        <v>3358</v>
      </c>
      <c r="C668" s="3" t="s">
        <v>96</v>
      </c>
      <c r="D668" s="3" t="s">
        <v>3458</v>
      </c>
      <c r="E668" s="3" t="s">
        <v>71</v>
      </c>
      <c r="F668" s="3" t="s">
        <v>3580</v>
      </c>
      <c r="G668" s="6">
        <v>24440.26</v>
      </c>
      <c r="H668" s="6">
        <f t="shared" si="17"/>
        <v>3728.1752542372851</v>
      </c>
      <c r="I668" s="3" t="s">
        <v>18</v>
      </c>
      <c r="J668" s="18" t="s">
        <v>3556</v>
      </c>
      <c r="N668">
        <v>5</v>
      </c>
      <c r="O668"/>
      <c r="P668"/>
      <c r="R668" s="87"/>
    </row>
    <row r="669" spans="2:18" hidden="1" x14ac:dyDescent="0.25">
      <c r="B669" s="3" t="s">
        <v>3358</v>
      </c>
      <c r="C669" s="3" t="s">
        <v>96</v>
      </c>
      <c r="D669" s="3" t="s">
        <v>3459</v>
      </c>
      <c r="E669" s="3" t="s">
        <v>71</v>
      </c>
      <c r="F669" s="3" t="s">
        <v>3580</v>
      </c>
      <c r="G669" s="6">
        <v>23574.32</v>
      </c>
      <c r="H669" s="6">
        <f t="shared" si="17"/>
        <v>3596.0827118644047</v>
      </c>
      <c r="I669" s="3" t="s">
        <v>18</v>
      </c>
      <c r="J669" s="18" t="s">
        <v>3556</v>
      </c>
      <c r="N669">
        <v>5</v>
      </c>
      <c r="O669"/>
      <c r="P669"/>
      <c r="R669" s="87"/>
    </row>
    <row r="670" spans="2:18" hidden="1" x14ac:dyDescent="0.25">
      <c r="B670" s="3" t="s">
        <v>2194</v>
      </c>
      <c r="C670" s="3" t="s">
        <v>68</v>
      </c>
      <c r="D670" s="3" t="s">
        <v>2189</v>
      </c>
      <c r="E670" s="3" t="s">
        <v>75</v>
      </c>
      <c r="F670" s="3" t="s">
        <v>3580</v>
      </c>
      <c r="G670" s="6">
        <v>119091.15</v>
      </c>
      <c r="H670" s="6">
        <f t="shared" ref="H670:H671" si="18">G670-G670/1.18</f>
        <v>18166.446610169485</v>
      </c>
      <c r="I670" s="3" t="s">
        <v>113</v>
      </c>
      <c r="J670" s="18" t="s">
        <v>3556</v>
      </c>
      <c r="O670"/>
      <c r="P670"/>
      <c r="R670" s="87"/>
    </row>
    <row r="671" spans="2:18" hidden="1" x14ac:dyDescent="0.25">
      <c r="B671" s="3" t="s">
        <v>3358</v>
      </c>
      <c r="C671" s="3" t="s">
        <v>96</v>
      </c>
      <c r="D671" s="3" t="s">
        <v>3463</v>
      </c>
      <c r="E671" s="3" t="s">
        <v>71</v>
      </c>
      <c r="F671" s="3" t="s">
        <v>3580</v>
      </c>
      <c r="G671" s="6">
        <v>11961.81</v>
      </c>
      <c r="H671" s="6">
        <f t="shared" si="18"/>
        <v>1824.6828813559314</v>
      </c>
      <c r="I671" s="3" t="s">
        <v>18</v>
      </c>
      <c r="J671" s="18" t="s">
        <v>3556</v>
      </c>
      <c r="N671">
        <v>0</v>
      </c>
      <c r="O671"/>
      <c r="P671"/>
      <c r="R671" s="87"/>
    </row>
    <row r="672" spans="2:18" hidden="1" x14ac:dyDescent="0.25">
      <c r="B672" s="3" t="s">
        <v>3358</v>
      </c>
      <c r="C672" s="3" t="s">
        <v>96</v>
      </c>
      <c r="D672" s="3" t="s">
        <v>3343</v>
      </c>
      <c r="E672" s="3" t="s">
        <v>71</v>
      </c>
      <c r="F672" s="3" t="s">
        <v>3580</v>
      </c>
      <c r="G672" s="6">
        <v>15299.01</v>
      </c>
      <c r="H672" s="6">
        <f t="shared" ref="H672" si="19">G672-G672/1.18</f>
        <v>2333.7472881355934</v>
      </c>
      <c r="I672" s="3" t="s">
        <v>18</v>
      </c>
      <c r="J672" s="18" t="s">
        <v>3556</v>
      </c>
      <c r="N672">
        <v>0</v>
      </c>
      <c r="O672"/>
      <c r="P672"/>
      <c r="R672" s="87"/>
    </row>
    <row r="673" spans="2:18" hidden="1" x14ac:dyDescent="0.25">
      <c r="B673" s="3" t="s">
        <v>3359</v>
      </c>
      <c r="C673" s="3" t="s">
        <v>96</v>
      </c>
      <c r="D673" s="3" t="s">
        <v>3323</v>
      </c>
      <c r="E673" s="3" t="s">
        <v>71</v>
      </c>
      <c r="F673" s="3" t="s">
        <v>3580</v>
      </c>
      <c r="G673" s="6">
        <v>19030.25</v>
      </c>
      <c r="H673" s="6">
        <f t="shared" ref="H673" si="20">G673-G673/1.18</f>
        <v>2902.9194915254229</v>
      </c>
      <c r="I673" s="3" t="s">
        <v>18</v>
      </c>
      <c r="J673" s="18" t="s">
        <v>3556</v>
      </c>
      <c r="N673">
        <v>0</v>
      </c>
      <c r="O673"/>
      <c r="P673"/>
      <c r="R673" s="87"/>
    </row>
    <row r="674" spans="2:18" hidden="1" x14ac:dyDescent="0.25">
      <c r="B674" s="3" t="s">
        <v>3359</v>
      </c>
      <c r="C674" s="3" t="s">
        <v>96</v>
      </c>
      <c r="D674" s="3" t="s">
        <v>3330</v>
      </c>
      <c r="E674" s="3" t="s">
        <v>71</v>
      </c>
      <c r="F674" s="3" t="s">
        <v>3580</v>
      </c>
      <c r="G674" s="6">
        <v>26265.16</v>
      </c>
      <c r="H674" s="6">
        <f t="shared" ref="H674:H676" si="21">G674-G674/1.18</f>
        <v>4006.549830508473</v>
      </c>
      <c r="I674" s="3" t="s">
        <v>18</v>
      </c>
      <c r="J674" s="18" t="s">
        <v>3556</v>
      </c>
      <c r="N674">
        <v>0</v>
      </c>
      <c r="O674"/>
      <c r="P674"/>
    </row>
    <row r="675" spans="2:18" hidden="1" x14ac:dyDescent="0.25">
      <c r="B675" s="3" t="s">
        <v>1180</v>
      </c>
      <c r="C675" s="3" t="s">
        <v>4</v>
      </c>
      <c r="D675" s="3" t="s">
        <v>1151</v>
      </c>
      <c r="E675" s="3" t="s">
        <v>110</v>
      </c>
      <c r="F675" s="3" t="s">
        <v>3580</v>
      </c>
      <c r="G675" s="6">
        <v>12638.5</v>
      </c>
      <c r="H675" s="6">
        <f t="shared" si="21"/>
        <v>1927.9067796610161</v>
      </c>
      <c r="I675" s="3" t="s">
        <v>113</v>
      </c>
      <c r="J675" s="18" t="s">
        <v>3556</v>
      </c>
      <c r="O675"/>
      <c r="P675"/>
      <c r="R675" s="87"/>
    </row>
    <row r="676" spans="2:18" hidden="1" x14ac:dyDescent="0.25">
      <c r="B676" s="3" t="s">
        <v>3236</v>
      </c>
      <c r="C676" s="3" t="s">
        <v>35</v>
      </c>
      <c r="D676" s="3" t="s">
        <v>3197</v>
      </c>
      <c r="E676" s="3" t="s">
        <v>110</v>
      </c>
      <c r="F676" s="3" t="s">
        <v>3580</v>
      </c>
      <c r="G676" s="6">
        <v>5146.75</v>
      </c>
      <c r="H676" s="6">
        <f t="shared" si="21"/>
        <v>785.09745762711827</v>
      </c>
      <c r="I676" s="3" t="s">
        <v>113</v>
      </c>
      <c r="J676" s="18" t="s">
        <v>3556</v>
      </c>
      <c r="O676"/>
      <c r="P676"/>
      <c r="R676" s="87"/>
    </row>
    <row r="677" spans="2:18" hidden="1" x14ac:dyDescent="0.25">
      <c r="B677" s="3" t="s">
        <v>3243</v>
      </c>
      <c r="C677" s="3" t="s">
        <v>35</v>
      </c>
      <c r="D677" s="3" t="s">
        <v>3204</v>
      </c>
      <c r="E677" s="3" t="s">
        <v>110</v>
      </c>
      <c r="F677" s="3" t="s">
        <v>3580</v>
      </c>
      <c r="G677" s="6">
        <v>8485.75</v>
      </c>
      <c r="H677" s="6">
        <f t="shared" ref="H677" si="22">G677-G677/1.18</f>
        <v>1294.4364406779659</v>
      </c>
      <c r="I677" s="3" t="s">
        <v>113</v>
      </c>
      <c r="J677" s="18" t="s">
        <v>3556</v>
      </c>
      <c r="O677"/>
      <c r="P677"/>
      <c r="R677" s="87"/>
    </row>
    <row r="678" spans="2:18" hidden="1" x14ac:dyDescent="0.25">
      <c r="B678" s="3" t="s">
        <v>3265</v>
      </c>
      <c r="C678" s="3" t="s">
        <v>35</v>
      </c>
      <c r="D678" s="3" t="s">
        <v>2685</v>
      </c>
      <c r="E678" s="3" t="s">
        <v>110</v>
      </c>
      <c r="F678" s="3" t="s">
        <v>3580</v>
      </c>
      <c r="G678" s="6">
        <v>4425.75</v>
      </c>
      <c r="H678" s="6">
        <f t="shared" ref="H678" si="23">G678-G678/1.18</f>
        <v>675.11440677966084</v>
      </c>
      <c r="I678" s="3" t="s">
        <v>113</v>
      </c>
      <c r="J678" s="18" t="s">
        <v>3556</v>
      </c>
      <c r="O678"/>
      <c r="P678"/>
      <c r="R678" s="87"/>
    </row>
    <row r="679" spans="2:18" hidden="1" x14ac:dyDescent="0.25">
      <c r="B679" s="3" t="s">
        <v>3267</v>
      </c>
      <c r="C679" s="3" t="s">
        <v>4</v>
      </c>
      <c r="D679" s="3" t="s">
        <v>3222</v>
      </c>
      <c r="E679" s="3" t="s">
        <v>110</v>
      </c>
      <c r="F679" s="3" t="s">
        <v>3580</v>
      </c>
      <c r="G679" s="6">
        <v>2138.5</v>
      </c>
      <c r="H679" s="6">
        <f t="shared" ref="H679" si="24">G679-G679/1.18</f>
        <v>326.21186440677957</v>
      </c>
      <c r="I679" s="3" t="s">
        <v>113</v>
      </c>
      <c r="J679" s="18" t="s">
        <v>3556</v>
      </c>
      <c r="O679"/>
      <c r="P679"/>
      <c r="R679" s="87"/>
    </row>
    <row r="680" spans="2:18" hidden="1" x14ac:dyDescent="0.25">
      <c r="B680" s="3" t="s">
        <v>3256</v>
      </c>
      <c r="C680" s="3" t="s">
        <v>36</v>
      </c>
      <c r="D680" s="3" t="s">
        <v>3217</v>
      </c>
      <c r="E680" s="3" t="s">
        <v>110</v>
      </c>
      <c r="F680" s="3" t="s">
        <v>3580</v>
      </c>
      <c r="G680" s="6">
        <v>4786.25</v>
      </c>
      <c r="H680" s="6">
        <f t="shared" ref="H680" si="25">G680-G680/1.18</f>
        <v>730.10593220338978</v>
      </c>
      <c r="I680" s="3" t="s">
        <v>113</v>
      </c>
      <c r="J680" s="18" t="s">
        <v>3556</v>
      </c>
      <c r="O680"/>
      <c r="P680"/>
      <c r="R680" s="87"/>
    </row>
    <row r="681" spans="2:18" hidden="1" x14ac:dyDescent="0.25">
      <c r="B681" s="3" t="s">
        <v>3249</v>
      </c>
      <c r="C681" s="3" t="s">
        <v>32</v>
      </c>
      <c r="D681" s="3" t="s">
        <v>3210</v>
      </c>
      <c r="E681" s="3" t="s">
        <v>110</v>
      </c>
      <c r="F681" s="3" t="s">
        <v>3580</v>
      </c>
      <c r="G681" s="6">
        <v>3143</v>
      </c>
      <c r="H681" s="6">
        <f t="shared" ref="H681" si="26">G681-G681/1.18</f>
        <v>479.4406779661017</v>
      </c>
      <c r="I681" s="3" t="s">
        <v>113</v>
      </c>
      <c r="J681" s="18" t="s">
        <v>3556</v>
      </c>
      <c r="O681"/>
      <c r="P681"/>
      <c r="R681" s="87"/>
    </row>
    <row r="682" spans="2:18" hidden="1" x14ac:dyDescent="0.25">
      <c r="B682" s="3" t="s">
        <v>3253</v>
      </c>
      <c r="C682" s="3" t="s">
        <v>32</v>
      </c>
      <c r="D682" s="3" t="s">
        <v>3214</v>
      </c>
      <c r="E682" s="3" t="s">
        <v>110</v>
      </c>
      <c r="F682" s="3" t="s">
        <v>3580</v>
      </c>
      <c r="G682" s="6">
        <v>5302.5</v>
      </c>
      <c r="H682" s="6">
        <f t="shared" ref="H682" si="27">G682-G682/1.18</f>
        <v>808.85593220338978</v>
      </c>
      <c r="I682" s="3" t="s">
        <v>113</v>
      </c>
      <c r="J682" s="18" t="s">
        <v>3556</v>
      </c>
      <c r="O682"/>
      <c r="P682"/>
      <c r="R682" s="87"/>
    </row>
    <row r="683" spans="2:18" hidden="1" x14ac:dyDescent="0.25">
      <c r="B683" s="3" t="s">
        <v>3240</v>
      </c>
      <c r="C683" s="3" t="s">
        <v>32</v>
      </c>
      <c r="D683" s="3" t="s">
        <v>3201</v>
      </c>
      <c r="E683" s="3" t="s">
        <v>110</v>
      </c>
      <c r="F683" s="3" t="s">
        <v>3580</v>
      </c>
      <c r="G683" s="6">
        <v>23567.25</v>
      </c>
      <c r="H683" s="6">
        <f t="shared" ref="H683:H684" si="28">G683-G683/1.18</f>
        <v>3595.0042372881362</v>
      </c>
      <c r="I683" s="3" t="s">
        <v>113</v>
      </c>
      <c r="J683" s="18" t="s">
        <v>3556</v>
      </c>
      <c r="O683"/>
      <c r="P683"/>
      <c r="R683" s="87"/>
    </row>
    <row r="684" spans="2:18" hidden="1" x14ac:dyDescent="0.25">
      <c r="B684" s="3" t="s">
        <v>3237</v>
      </c>
      <c r="C684" s="3" t="s">
        <v>17</v>
      </c>
      <c r="D684" s="3" t="s">
        <v>3198</v>
      </c>
      <c r="E684" s="3" t="s">
        <v>110</v>
      </c>
      <c r="F684" s="3" t="s">
        <v>3580</v>
      </c>
      <c r="G684" s="6">
        <v>26528.25</v>
      </c>
      <c r="H684" s="6">
        <f t="shared" si="28"/>
        <v>4046.6822033898279</v>
      </c>
      <c r="I684" s="3" t="s">
        <v>113</v>
      </c>
      <c r="J684" s="18" t="s">
        <v>3556</v>
      </c>
      <c r="O684"/>
      <c r="P684"/>
      <c r="R684" s="87"/>
    </row>
    <row r="685" spans="2:18" hidden="1" x14ac:dyDescent="0.25">
      <c r="B685" s="3" t="s">
        <v>3242</v>
      </c>
      <c r="C685" s="3" t="s">
        <v>50</v>
      </c>
      <c r="D685" s="3" t="s">
        <v>3203</v>
      </c>
      <c r="E685" s="3" t="s">
        <v>110</v>
      </c>
      <c r="F685" s="3" t="s">
        <v>3580</v>
      </c>
      <c r="G685" s="6">
        <v>7505.75</v>
      </c>
      <c r="H685" s="6">
        <f t="shared" ref="H685:H687" si="29">G685-G685/1.18</f>
        <v>1144.9449152542365</v>
      </c>
      <c r="I685" s="3" t="s">
        <v>113</v>
      </c>
      <c r="J685" s="18" t="s">
        <v>3556</v>
      </c>
      <c r="O685"/>
      <c r="P685"/>
      <c r="R685" s="87"/>
    </row>
    <row r="686" spans="2:18" hidden="1" x14ac:dyDescent="0.25">
      <c r="B686" s="3" t="s">
        <v>2514</v>
      </c>
      <c r="C686" s="3" t="s">
        <v>88</v>
      </c>
      <c r="D686" s="3" t="s">
        <v>3389</v>
      </c>
      <c r="E686" s="3" t="s">
        <v>117</v>
      </c>
      <c r="F686" s="3" t="s">
        <v>3580</v>
      </c>
      <c r="G686" s="6">
        <v>2514.75</v>
      </c>
      <c r="H686" s="6">
        <f t="shared" si="29"/>
        <v>383.60593220338978</v>
      </c>
      <c r="I686" s="3" t="s">
        <v>18</v>
      </c>
      <c r="J686" s="18" t="s">
        <v>3556</v>
      </c>
      <c r="O686"/>
      <c r="P686"/>
      <c r="R686" s="87"/>
    </row>
    <row r="687" spans="2:18" hidden="1" x14ac:dyDescent="0.25">
      <c r="B687" s="3" t="s">
        <v>2514</v>
      </c>
      <c r="C687" s="3" t="s">
        <v>88</v>
      </c>
      <c r="D687" s="3" t="s">
        <v>3587</v>
      </c>
      <c r="E687" s="3" t="s">
        <v>117</v>
      </c>
      <c r="F687" s="3" t="s">
        <v>3580</v>
      </c>
      <c r="G687" s="6">
        <v>2793.875</v>
      </c>
      <c r="H687" s="6">
        <f t="shared" si="29"/>
        <v>426.1843220338983</v>
      </c>
      <c r="I687" s="3" t="s">
        <v>18</v>
      </c>
      <c r="J687" s="18" t="s">
        <v>3556</v>
      </c>
      <c r="O687"/>
      <c r="P687"/>
      <c r="R687" s="87"/>
    </row>
    <row r="688" spans="2:18" hidden="1" x14ac:dyDescent="0.25">
      <c r="B688" s="3" t="s">
        <v>3574</v>
      </c>
      <c r="C688" s="3" t="s">
        <v>30</v>
      </c>
      <c r="D688" s="3" t="s">
        <v>3573</v>
      </c>
      <c r="E688" s="3" t="s">
        <v>117</v>
      </c>
      <c r="F688" s="3" t="s">
        <v>3580</v>
      </c>
      <c r="G688" s="6">
        <v>2819.25</v>
      </c>
      <c r="H688" s="6">
        <f t="shared" ref="H688" si="30">G688-G688/1.18</f>
        <v>430.05508474576254</v>
      </c>
      <c r="I688" s="3" t="s">
        <v>113</v>
      </c>
      <c r="J688" s="18" t="s">
        <v>3556</v>
      </c>
      <c r="O688"/>
      <c r="P688"/>
      <c r="R688" s="87"/>
    </row>
    <row r="689" spans="2:18" hidden="1" x14ac:dyDescent="0.25">
      <c r="B689" s="3" t="s">
        <v>2406</v>
      </c>
      <c r="C689" s="3" t="s">
        <v>29</v>
      </c>
      <c r="D689" s="3" t="s">
        <v>2369</v>
      </c>
      <c r="E689" s="3" t="s">
        <v>117</v>
      </c>
      <c r="F689" s="3" t="s">
        <v>3580</v>
      </c>
      <c r="G689" s="6">
        <v>1051.75</v>
      </c>
      <c r="H689" s="6">
        <f t="shared" ref="H689" si="31">G689-G689/1.18</f>
        <v>160.43644067796606</v>
      </c>
      <c r="I689" s="3" t="s">
        <v>113</v>
      </c>
      <c r="J689" s="18" t="s">
        <v>3556</v>
      </c>
      <c r="O689"/>
      <c r="P689"/>
      <c r="R689" s="87"/>
    </row>
    <row r="690" spans="2:18" hidden="1" x14ac:dyDescent="0.25">
      <c r="B690" s="3" t="s">
        <v>2391</v>
      </c>
      <c r="C690" s="3" t="s">
        <v>57</v>
      </c>
      <c r="D690" s="3" t="s">
        <v>2363</v>
      </c>
      <c r="E690" s="3" t="s">
        <v>117</v>
      </c>
      <c r="F690" s="3" t="s">
        <v>3580</v>
      </c>
      <c r="G690" s="6">
        <v>5484.5</v>
      </c>
      <c r="H690" s="6">
        <f t="shared" ref="H690" si="32">G690-G690/1.18</f>
        <v>836.61864406779659</v>
      </c>
      <c r="I690" s="3" t="s">
        <v>113</v>
      </c>
      <c r="J690" s="18" t="s">
        <v>3556</v>
      </c>
      <c r="O690"/>
      <c r="P690"/>
      <c r="R690" s="87"/>
    </row>
    <row r="691" spans="2:18" hidden="1" x14ac:dyDescent="0.25">
      <c r="B691" s="3" t="s">
        <v>2395</v>
      </c>
      <c r="C691" s="3" t="s">
        <v>57</v>
      </c>
      <c r="D691" s="3" t="s">
        <v>2365</v>
      </c>
      <c r="E691" s="3" t="s">
        <v>117</v>
      </c>
      <c r="F691" s="3" t="s">
        <v>3580</v>
      </c>
      <c r="G691" s="6">
        <v>2572.5</v>
      </c>
      <c r="H691" s="6">
        <f t="shared" ref="H691" si="33">G691-G691/1.18</f>
        <v>392.41525423728808</v>
      </c>
      <c r="I691" s="3" t="s">
        <v>113</v>
      </c>
      <c r="J691" s="18" t="s">
        <v>3556</v>
      </c>
      <c r="O691"/>
      <c r="P691"/>
      <c r="R691" s="87"/>
    </row>
    <row r="692" spans="2:18" hidden="1" x14ac:dyDescent="0.25">
      <c r="B692" s="3" t="s">
        <v>2408</v>
      </c>
      <c r="C692" s="3" t="s">
        <v>29</v>
      </c>
      <c r="D692" s="3" t="s">
        <v>2370</v>
      </c>
      <c r="E692" s="3" t="s">
        <v>117</v>
      </c>
      <c r="F692" s="3" t="s">
        <v>3580</v>
      </c>
      <c r="G692" s="6">
        <v>428.75</v>
      </c>
      <c r="H692" s="6">
        <f t="shared" ref="H692" si="34">G692-G692/1.18</f>
        <v>65.402542372881328</v>
      </c>
      <c r="I692" s="3" t="s">
        <v>113</v>
      </c>
      <c r="J692" s="18" t="s">
        <v>3556</v>
      </c>
      <c r="O692"/>
      <c r="P692"/>
      <c r="R692" s="87"/>
    </row>
    <row r="693" spans="2:18" hidden="1" x14ac:dyDescent="0.25">
      <c r="B693" s="3" t="s">
        <v>1822</v>
      </c>
      <c r="C693" s="3" t="s">
        <v>104</v>
      </c>
      <c r="D693" s="3" t="s">
        <v>1816</v>
      </c>
      <c r="E693" s="3" t="s">
        <v>90</v>
      </c>
      <c r="F693" s="3" t="s">
        <v>3580</v>
      </c>
      <c r="G693" s="6">
        <v>10873.76</v>
      </c>
      <c r="H693" s="6">
        <f t="shared" ref="H693" si="35">G693-G693/1.18</f>
        <v>1658.709152542373</v>
      </c>
      <c r="I693" s="3" t="s">
        <v>18</v>
      </c>
      <c r="J693" s="18" t="s">
        <v>3728</v>
      </c>
      <c r="O693"/>
      <c r="P693"/>
      <c r="R693" s="87"/>
    </row>
    <row r="694" spans="2:18" hidden="1" x14ac:dyDescent="0.25">
      <c r="B694" s="3" t="s">
        <v>1821</v>
      </c>
      <c r="C694" s="3" t="s">
        <v>40</v>
      </c>
      <c r="D694" s="3" t="s">
        <v>1815</v>
      </c>
      <c r="E694" s="3" t="s">
        <v>90</v>
      </c>
      <c r="F694" s="3" t="s">
        <v>3580</v>
      </c>
      <c r="G694" s="6">
        <v>4743.76</v>
      </c>
      <c r="H694" s="6">
        <f t="shared" ref="H694" si="36">G694-G694/1.18</f>
        <v>723.62440677966106</v>
      </c>
      <c r="I694" s="3" t="s">
        <v>18</v>
      </c>
      <c r="J694" s="18" t="s">
        <v>3728</v>
      </c>
      <c r="K694" s="79"/>
      <c r="O694"/>
      <c r="P694"/>
      <c r="R694" s="87"/>
    </row>
    <row r="695" spans="2:18" hidden="1" x14ac:dyDescent="0.25">
      <c r="B695" s="3" t="s">
        <v>1057</v>
      </c>
      <c r="C695" s="3" t="s">
        <v>95</v>
      </c>
      <c r="D695" s="3" t="s">
        <v>1114</v>
      </c>
      <c r="E695" s="3" t="s">
        <v>90</v>
      </c>
      <c r="F695" s="3" t="s">
        <v>3580</v>
      </c>
      <c r="G695" s="6">
        <v>2977.01</v>
      </c>
      <c r="H695" s="6">
        <f t="shared" ref="H695" si="37">G695-G695/1.18</f>
        <v>454.1201694915253</v>
      </c>
      <c r="I695" s="3" t="s">
        <v>18</v>
      </c>
      <c r="J695" s="18" t="s">
        <v>3556</v>
      </c>
      <c r="O695"/>
      <c r="P695"/>
      <c r="R695" s="87"/>
    </row>
    <row r="696" spans="2:18" hidden="1" x14ac:dyDescent="0.25">
      <c r="B696" s="3" t="s">
        <v>1055</v>
      </c>
      <c r="C696" s="3" t="s">
        <v>95</v>
      </c>
      <c r="D696" s="3" t="s">
        <v>1112</v>
      </c>
      <c r="E696" s="3" t="s">
        <v>90</v>
      </c>
      <c r="F696" s="3" t="s">
        <v>3580</v>
      </c>
      <c r="G696" s="6">
        <v>4815</v>
      </c>
      <c r="H696" s="6">
        <f t="shared" ref="H696" si="38">G696-G696/1.18</f>
        <v>734.49152542372849</v>
      </c>
      <c r="I696" s="3" t="s">
        <v>18</v>
      </c>
      <c r="J696" s="18" t="s">
        <v>3556</v>
      </c>
      <c r="O696"/>
      <c r="P696"/>
      <c r="R696" s="87"/>
    </row>
    <row r="697" spans="2:18" s="258" customFormat="1" hidden="1" x14ac:dyDescent="0.25">
      <c r="B697" s="256" t="s">
        <v>3589</v>
      </c>
      <c r="C697" s="256" t="s">
        <v>91</v>
      </c>
      <c r="D697" s="256" t="s">
        <v>3588</v>
      </c>
      <c r="E697" s="256" t="s">
        <v>105</v>
      </c>
      <c r="F697" s="256" t="s">
        <v>3580</v>
      </c>
      <c r="G697" s="73">
        <v>147024</v>
      </c>
      <c r="H697" s="73">
        <f t="shared" ref="H697" si="39">G697-G697/1.18</f>
        <v>22427.389830508473</v>
      </c>
      <c r="I697" s="256" t="s">
        <v>18</v>
      </c>
      <c r="J697" s="257" t="s">
        <v>3556</v>
      </c>
      <c r="R697" s="259"/>
    </row>
    <row r="698" spans="2:18" hidden="1" x14ac:dyDescent="0.25">
      <c r="B698" s="3" t="s">
        <v>1236</v>
      </c>
      <c r="C698" s="3" t="s">
        <v>17</v>
      </c>
      <c r="D698" s="3" t="s">
        <v>1310</v>
      </c>
      <c r="E698" s="3" t="s">
        <v>71</v>
      </c>
      <c r="F698" s="3" t="s">
        <v>3580</v>
      </c>
      <c r="G698" s="6">
        <v>10000</v>
      </c>
      <c r="H698" s="6">
        <f t="shared" ref="H698" si="40">G698-G698/1.18</f>
        <v>1525.4237288135591</v>
      </c>
      <c r="I698" s="3" t="s">
        <v>113</v>
      </c>
      <c r="O698"/>
      <c r="P698"/>
      <c r="R698" s="87"/>
    </row>
    <row r="699" spans="2:18" hidden="1" x14ac:dyDescent="0.25">
      <c r="B699" s="3" t="s">
        <v>2745</v>
      </c>
      <c r="C699" s="3" t="s">
        <v>33</v>
      </c>
      <c r="D699" s="3" t="s">
        <v>2673</v>
      </c>
      <c r="E699" s="3" t="s">
        <v>71</v>
      </c>
      <c r="F699" s="3" t="s">
        <v>3580</v>
      </c>
      <c r="G699" s="6">
        <v>10000</v>
      </c>
      <c r="H699" s="6">
        <f t="shared" ref="H699" si="41">G699-G699/1.18</f>
        <v>1525.4237288135591</v>
      </c>
      <c r="I699" s="3" t="s">
        <v>113</v>
      </c>
      <c r="O699"/>
      <c r="P699"/>
      <c r="R699" s="87"/>
    </row>
    <row r="700" spans="2:18" hidden="1" x14ac:dyDescent="0.25">
      <c r="B700" s="3" t="s">
        <v>1213</v>
      </c>
      <c r="C700" s="3" t="s">
        <v>33</v>
      </c>
      <c r="D700" s="3" t="s">
        <v>1287</v>
      </c>
      <c r="E700" s="3" t="s">
        <v>71</v>
      </c>
      <c r="F700" s="3" t="s">
        <v>3580</v>
      </c>
      <c r="G700" s="6">
        <v>5000</v>
      </c>
      <c r="H700" s="6">
        <f t="shared" ref="H700:H701" si="42">G700-G700/1.18</f>
        <v>762.71186440677957</v>
      </c>
      <c r="I700" s="3" t="s">
        <v>113</v>
      </c>
      <c r="O700"/>
      <c r="P700"/>
      <c r="R700" s="87"/>
    </row>
    <row r="701" spans="2:18" hidden="1" x14ac:dyDescent="0.25">
      <c r="B701" s="3" t="s">
        <v>1193</v>
      </c>
      <c r="C701" s="3" t="s">
        <v>17</v>
      </c>
      <c r="D701" s="3" t="s">
        <v>1163</v>
      </c>
      <c r="E701" s="3" t="s">
        <v>71</v>
      </c>
      <c r="F701" s="3" t="s">
        <v>3580</v>
      </c>
      <c r="G701" s="6">
        <v>10000</v>
      </c>
      <c r="H701" s="6">
        <f t="shared" si="42"/>
        <v>1525.4237288135591</v>
      </c>
      <c r="I701" s="3" t="s">
        <v>113</v>
      </c>
      <c r="O701"/>
      <c r="P701"/>
      <c r="R701" s="87"/>
    </row>
    <row r="702" spans="2:18" hidden="1" x14ac:dyDescent="0.25">
      <c r="B702" s="3" t="s">
        <v>1584</v>
      </c>
      <c r="C702" s="3" t="s">
        <v>16</v>
      </c>
      <c r="D702" s="3" t="s">
        <v>365</v>
      </c>
      <c r="E702" s="3" t="s">
        <v>71</v>
      </c>
      <c r="F702" s="3" t="s">
        <v>3580</v>
      </c>
      <c r="G702" s="6">
        <v>5000</v>
      </c>
      <c r="H702" s="6">
        <f t="shared" ref="H702" si="43">G702-G702/1.18</f>
        <v>762.71186440677957</v>
      </c>
      <c r="I702" s="3" t="s">
        <v>113</v>
      </c>
      <c r="O702"/>
      <c r="P702"/>
      <c r="R702" s="87"/>
    </row>
    <row r="703" spans="2:18" hidden="1" x14ac:dyDescent="0.25">
      <c r="B703" s="3" t="s">
        <v>1201</v>
      </c>
      <c r="C703" s="3" t="s">
        <v>32</v>
      </c>
      <c r="D703" s="3" t="s">
        <v>1166</v>
      </c>
      <c r="E703" s="3" t="s">
        <v>71</v>
      </c>
      <c r="F703" s="3" t="s">
        <v>3580</v>
      </c>
      <c r="G703" s="6">
        <v>8000</v>
      </c>
      <c r="H703" s="6">
        <f t="shared" ref="H703" si="44">G703-G703/1.18</f>
        <v>1220.3389830508468</v>
      </c>
      <c r="I703" s="3" t="s">
        <v>113</v>
      </c>
      <c r="O703"/>
      <c r="P703"/>
      <c r="R703" s="87"/>
    </row>
    <row r="704" spans="2:18" hidden="1" x14ac:dyDescent="0.25">
      <c r="B704" s="3" t="s">
        <v>1175</v>
      </c>
      <c r="C704" s="3" t="s">
        <v>32</v>
      </c>
      <c r="D704" s="3" t="s">
        <v>1146</v>
      </c>
      <c r="E704" s="3" t="s">
        <v>71</v>
      </c>
      <c r="F704" s="3" t="s">
        <v>3580</v>
      </c>
      <c r="G704" s="6">
        <v>2000</v>
      </c>
      <c r="H704" s="6">
        <f t="shared" ref="H704:H707" si="45">G704-G704/1.18</f>
        <v>305.08474576271169</v>
      </c>
      <c r="I704" s="3" t="s">
        <v>113</v>
      </c>
      <c r="O704"/>
      <c r="P704"/>
      <c r="R704" s="87"/>
    </row>
    <row r="705" spans="2:18" hidden="1" x14ac:dyDescent="0.25">
      <c r="B705" s="3" t="s">
        <v>3288</v>
      </c>
      <c r="C705" s="3" t="s">
        <v>96</v>
      </c>
      <c r="D705" s="3" t="s">
        <v>3590</v>
      </c>
      <c r="E705" s="3" t="s">
        <v>110</v>
      </c>
      <c r="F705" s="3" t="s">
        <v>3580</v>
      </c>
      <c r="G705" s="6">
        <v>2989</v>
      </c>
      <c r="H705" s="6">
        <f t="shared" si="45"/>
        <v>455.94915254237276</v>
      </c>
      <c r="I705" s="3" t="s">
        <v>18</v>
      </c>
      <c r="J705" s="18" t="s">
        <v>3556</v>
      </c>
      <c r="O705"/>
      <c r="P705"/>
      <c r="R705" s="87"/>
    </row>
    <row r="706" spans="2:18" hidden="1" x14ac:dyDescent="0.25">
      <c r="B706" s="3" t="s">
        <v>3289</v>
      </c>
      <c r="C706" s="3" t="s">
        <v>96</v>
      </c>
      <c r="D706" s="3" t="s">
        <v>3593</v>
      </c>
      <c r="E706" s="3" t="s">
        <v>110</v>
      </c>
      <c r="F706" s="3" t="s">
        <v>3580</v>
      </c>
      <c r="G706" s="6">
        <v>2304.75</v>
      </c>
      <c r="H706" s="6">
        <f t="shared" si="45"/>
        <v>351.57203389830488</v>
      </c>
      <c r="I706" s="3" t="s">
        <v>18</v>
      </c>
      <c r="J706" s="18" t="s">
        <v>3556</v>
      </c>
      <c r="O706"/>
      <c r="P706"/>
      <c r="R706" s="87"/>
    </row>
    <row r="707" spans="2:18" hidden="1" x14ac:dyDescent="0.25">
      <c r="B707" s="3" t="s">
        <v>1574</v>
      </c>
      <c r="C707" s="3" t="s">
        <v>96</v>
      </c>
      <c r="D707" s="3" t="s">
        <v>3594</v>
      </c>
      <c r="E707" s="3" t="s">
        <v>110</v>
      </c>
      <c r="F707" s="3" t="s">
        <v>3580</v>
      </c>
      <c r="G707" s="6">
        <v>539</v>
      </c>
      <c r="H707" s="6">
        <f t="shared" si="45"/>
        <v>82.220338983050851</v>
      </c>
      <c r="I707" s="3" t="s">
        <v>18</v>
      </c>
      <c r="J707" s="18" t="s">
        <v>3556</v>
      </c>
      <c r="O707"/>
      <c r="P707"/>
      <c r="R707" s="87"/>
    </row>
    <row r="708" spans="2:18" hidden="1" x14ac:dyDescent="0.25">
      <c r="B708" s="3" t="s">
        <v>3358</v>
      </c>
      <c r="C708" s="3" t="s">
        <v>96</v>
      </c>
      <c r="D708" s="3" t="s">
        <v>3460</v>
      </c>
      <c r="E708" s="3" t="s">
        <v>71</v>
      </c>
      <c r="F708" s="3" t="s">
        <v>3580</v>
      </c>
      <c r="G708" s="6">
        <v>10000</v>
      </c>
      <c r="H708" s="6">
        <f t="shared" ref="H708" si="46">G708-G708/1.18</f>
        <v>1525.4237288135591</v>
      </c>
      <c r="I708" s="3" t="s">
        <v>18</v>
      </c>
      <c r="N708">
        <v>23</v>
      </c>
      <c r="O708"/>
      <c r="P708"/>
      <c r="R708" s="87"/>
    </row>
    <row r="709" spans="2:18" hidden="1" x14ac:dyDescent="0.25">
      <c r="B709" s="3" t="s">
        <v>3358</v>
      </c>
      <c r="C709" s="3" t="s">
        <v>96</v>
      </c>
      <c r="D709" s="3" t="s">
        <v>3466</v>
      </c>
      <c r="E709" s="3" t="s">
        <v>71</v>
      </c>
      <c r="F709" s="3" t="s">
        <v>3580</v>
      </c>
      <c r="G709" s="6">
        <v>10000</v>
      </c>
      <c r="H709" s="6">
        <f t="shared" ref="H709" si="47">G709-G709/1.18</f>
        <v>1525.4237288135591</v>
      </c>
      <c r="I709" s="3" t="s">
        <v>18</v>
      </c>
      <c r="N709">
        <v>89</v>
      </c>
      <c r="O709"/>
      <c r="P709"/>
      <c r="R709" s="87"/>
    </row>
    <row r="710" spans="2:18" hidden="1" x14ac:dyDescent="0.25">
      <c r="B710" s="3" t="s">
        <v>3358</v>
      </c>
      <c r="C710" s="3" t="s">
        <v>96</v>
      </c>
      <c r="D710" s="3" t="s">
        <v>3465</v>
      </c>
      <c r="E710" s="3" t="s">
        <v>71</v>
      </c>
      <c r="F710" s="3" t="s">
        <v>3580</v>
      </c>
      <c r="G710" s="6">
        <v>50000</v>
      </c>
      <c r="H710" s="6">
        <f t="shared" ref="H710:H714" si="48">G710-G710/1.18</f>
        <v>7627.118644067792</v>
      </c>
      <c r="I710" s="3" t="s">
        <v>18</v>
      </c>
      <c r="N710">
        <v>0</v>
      </c>
      <c r="O710"/>
      <c r="P710"/>
      <c r="R710" s="87"/>
    </row>
    <row r="711" spans="2:18" hidden="1" x14ac:dyDescent="0.25">
      <c r="B711" s="3" t="s">
        <v>3359</v>
      </c>
      <c r="C711" s="3" t="s">
        <v>96</v>
      </c>
      <c r="D711" s="3" t="s">
        <v>3590</v>
      </c>
      <c r="E711" s="3" t="s">
        <v>71</v>
      </c>
      <c r="F711" s="3" t="s">
        <v>3580</v>
      </c>
      <c r="G711" s="6">
        <v>50000</v>
      </c>
      <c r="H711" s="6">
        <f t="shared" si="48"/>
        <v>7627.118644067792</v>
      </c>
      <c r="I711" s="3" t="s">
        <v>18</v>
      </c>
      <c r="N711">
        <v>24</v>
      </c>
      <c r="O711"/>
      <c r="P711"/>
      <c r="R711" s="87"/>
    </row>
    <row r="712" spans="2:18" hidden="1" x14ac:dyDescent="0.25">
      <c r="B712" s="3" t="s">
        <v>3359</v>
      </c>
      <c r="C712" s="3" t="s">
        <v>96</v>
      </c>
      <c r="D712" s="3" t="s">
        <v>3478</v>
      </c>
      <c r="E712" s="3" t="s">
        <v>71</v>
      </c>
      <c r="F712" s="3" t="s">
        <v>3580</v>
      </c>
      <c r="G712" s="6">
        <v>10000</v>
      </c>
      <c r="H712" s="6">
        <f t="shared" si="48"/>
        <v>1525.4237288135591</v>
      </c>
      <c r="I712" s="3" t="s">
        <v>18</v>
      </c>
      <c r="N712">
        <v>40</v>
      </c>
      <c r="O712"/>
      <c r="P712"/>
      <c r="R712" s="87"/>
    </row>
    <row r="713" spans="2:18" hidden="1" x14ac:dyDescent="0.25">
      <c r="B713" s="3" t="s">
        <v>1574</v>
      </c>
      <c r="C713" s="3" t="s">
        <v>96</v>
      </c>
      <c r="D713" s="3" t="s">
        <v>3594</v>
      </c>
      <c r="E713" s="3" t="s">
        <v>71</v>
      </c>
      <c r="F713" s="3" t="s">
        <v>3580</v>
      </c>
      <c r="G713" s="6">
        <v>20000</v>
      </c>
      <c r="H713" s="6">
        <f t="shared" si="48"/>
        <v>3050.8474576271183</v>
      </c>
      <c r="I713" s="3" t="s">
        <v>18</v>
      </c>
      <c r="O713"/>
      <c r="P713"/>
      <c r="R713" s="87"/>
    </row>
    <row r="714" spans="2:18" hidden="1" x14ac:dyDescent="0.25">
      <c r="B714" s="3" t="s">
        <v>1715</v>
      </c>
      <c r="C714" s="3" t="s">
        <v>20</v>
      </c>
      <c r="D714" s="3" t="s">
        <v>925</v>
      </c>
      <c r="E714" s="3" t="s">
        <v>115</v>
      </c>
      <c r="F714" s="3" t="s">
        <v>3580</v>
      </c>
      <c r="G714" s="6">
        <v>175000</v>
      </c>
      <c r="H714" s="6">
        <f t="shared" si="48"/>
        <v>26694.915254237276</v>
      </c>
      <c r="I714" s="3" t="s">
        <v>113</v>
      </c>
      <c r="O714"/>
      <c r="P714"/>
      <c r="R714" s="87"/>
    </row>
    <row r="715" spans="2:18" hidden="1" x14ac:dyDescent="0.25">
      <c r="B715" s="3" t="s">
        <v>990</v>
      </c>
      <c r="C715" s="3" t="s">
        <v>95</v>
      </c>
      <c r="D715" s="3" t="s">
        <v>1089</v>
      </c>
      <c r="E715" s="3" t="s">
        <v>90</v>
      </c>
      <c r="F715" s="3" t="s">
        <v>3580</v>
      </c>
      <c r="G715" s="6">
        <v>55000</v>
      </c>
      <c r="H715" s="6">
        <f t="shared" ref="H715:H716" si="49">G715-G715/1.18</f>
        <v>8389.8305084745734</v>
      </c>
      <c r="I715" s="3" t="s">
        <v>18</v>
      </c>
      <c r="O715"/>
      <c r="P715"/>
      <c r="R715" s="87"/>
    </row>
    <row r="716" spans="2:18" hidden="1" x14ac:dyDescent="0.25">
      <c r="B716" s="3" t="s">
        <v>3095</v>
      </c>
      <c r="C716" s="3" t="s">
        <v>94</v>
      </c>
      <c r="D716" s="3" t="s">
        <v>3012</v>
      </c>
      <c r="E716" s="3" t="s">
        <v>90</v>
      </c>
      <c r="F716" s="3" t="s">
        <v>3580</v>
      </c>
      <c r="G716" s="6">
        <v>100000</v>
      </c>
      <c r="H716" s="6">
        <f t="shared" si="49"/>
        <v>15254.237288135584</v>
      </c>
      <c r="I716" s="3" t="s">
        <v>18</v>
      </c>
      <c r="O716"/>
      <c r="P716"/>
      <c r="R716" s="87"/>
    </row>
    <row r="717" spans="2:18" hidden="1" x14ac:dyDescent="0.25">
      <c r="B717" s="3" t="s">
        <v>1037</v>
      </c>
      <c r="C717" s="3" t="s">
        <v>74</v>
      </c>
      <c r="D717" s="3" t="s">
        <v>976</v>
      </c>
      <c r="E717" s="3" t="s">
        <v>90</v>
      </c>
      <c r="F717" s="3" t="s">
        <v>3580</v>
      </c>
      <c r="G717" s="6">
        <v>50000</v>
      </c>
      <c r="H717" s="6">
        <f t="shared" ref="H717:H718" si="50">G717-G717/1.18</f>
        <v>7627.118644067792</v>
      </c>
      <c r="I717" s="3" t="s">
        <v>18</v>
      </c>
      <c r="O717"/>
      <c r="P717"/>
      <c r="R717" s="87"/>
    </row>
    <row r="718" spans="2:18" hidden="1" x14ac:dyDescent="0.25">
      <c r="B718" s="3" t="s">
        <v>996</v>
      </c>
      <c r="C718" s="3" t="s">
        <v>95</v>
      </c>
      <c r="D718" s="3" t="s">
        <v>1095</v>
      </c>
      <c r="E718" s="3" t="s">
        <v>90</v>
      </c>
      <c r="F718" s="3" t="s">
        <v>3580</v>
      </c>
      <c r="G718" s="6">
        <v>50000</v>
      </c>
      <c r="H718" s="6">
        <f t="shared" si="50"/>
        <v>7627.118644067792</v>
      </c>
      <c r="I718" s="3" t="s">
        <v>18</v>
      </c>
      <c r="O718"/>
      <c r="P718"/>
      <c r="R718" s="87"/>
    </row>
    <row r="719" spans="2:18" hidden="1" x14ac:dyDescent="0.25">
      <c r="B719" s="3" t="s">
        <v>2911</v>
      </c>
      <c r="C719" s="3" t="s">
        <v>40</v>
      </c>
      <c r="D719" s="3" t="s">
        <v>2843</v>
      </c>
      <c r="E719" s="3" t="s">
        <v>90</v>
      </c>
      <c r="F719" s="3" t="s">
        <v>3580</v>
      </c>
      <c r="G719" s="6">
        <v>105000</v>
      </c>
      <c r="H719" s="6">
        <f t="shared" ref="H719" si="51">G719-G719/1.18</f>
        <v>16016.949152542365</v>
      </c>
      <c r="I719" s="3" t="s">
        <v>113</v>
      </c>
      <c r="O719"/>
      <c r="P719"/>
      <c r="R719" s="87"/>
    </row>
    <row r="720" spans="2:18" hidden="1" x14ac:dyDescent="0.25">
      <c r="B720" s="3" t="s">
        <v>1434</v>
      </c>
      <c r="C720" s="3" t="s">
        <v>40</v>
      </c>
      <c r="D720" s="3" t="s">
        <v>1324</v>
      </c>
      <c r="E720" s="3" t="s">
        <v>90</v>
      </c>
      <c r="F720" s="3" t="s">
        <v>3580</v>
      </c>
      <c r="G720" s="6">
        <v>90000</v>
      </c>
      <c r="H720" s="6">
        <f t="shared" ref="H720" si="52">G720-G720/1.18</f>
        <v>13728.813559322036</v>
      </c>
      <c r="I720" s="3" t="s">
        <v>113</v>
      </c>
      <c r="O720"/>
      <c r="P720"/>
      <c r="R720" s="87"/>
    </row>
    <row r="721" spans="2:21" hidden="1" x14ac:dyDescent="0.25">
      <c r="B721" s="3" t="s">
        <v>2238</v>
      </c>
      <c r="C721" s="3" t="s">
        <v>45</v>
      </c>
      <c r="D721" s="3" t="s">
        <v>2221</v>
      </c>
      <c r="E721" s="3" t="s">
        <v>123</v>
      </c>
      <c r="F721" s="3" t="s">
        <v>3580</v>
      </c>
      <c r="G721" s="6">
        <v>1522.5</v>
      </c>
      <c r="H721" s="6">
        <f t="shared" ref="H721" si="53">G721-G721/1.18</f>
        <v>232.24576271186424</v>
      </c>
      <c r="I721" s="3" t="s">
        <v>113</v>
      </c>
      <c r="J721" s="18" t="s">
        <v>3598</v>
      </c>
      <c r="O721"/>
      <c r="P721"/>
      <c r="R721" s="87"/>
    </row>
    <row r="722" spans="2:21" hidden="1" x14ac:dyDescent="0.25">
      <c r="B722" s="3" t="s">
        <v>2240</v>
      </c>
      <c r="C722" s="3" t="s">
        <v>45</v>
      </c>
      <c r="D722" s="3" t="s">
        <v>2223</v>
      </c>
      <c r="E722" s="3" t="s">
        <v>123</v>
      </c>
      <c r="F722" s="3" t="s">
        <v>3580</v>
      </c>
      <c r="G722" s="6">
        <v>2590</v>
      </c>
      <c r="H722" s="6">
        <f t="shared" ref="H722" si="54">G722-G722/1.18</f>
        <v>395.08474576271192</v>
      </c>
      <c r="I722" s="3" t="s">
        <v>113</v>
      </c>
      <c r="J722" s="18" t="s">
        <v>3598</v>
      </c>
      <c r="O722"/>
      <c r="P722"/>
      <c r="R722" s="87"/>
    </row>
    <row r="723" spans="2:21" hidden="1" x14ac:dyDescent="0.25">
      <c r="B723" s="3" t="s">
        <v>219</v>
      </c>
      <c r="C723" s="3" t="s">
        <v>99</v>
      </c>
      <c r="D723" s="3" t="s">
        <v>673</v>
      </c>
      <c r="E723" s="3" t="s">
        <v>105</v>
      </c>
      <c r="F723" s="3" t="s">
        <v>3580</v>
      </c>
      <c r="G723" s="6">
        <v>30130.71</v>
      </c>
      <c r="H723" s="6">
        <f t="shared" ref="H723" si="55">G723-G723/1.18</f>
        <v>4596.2099999999991</v>
      </c>
      <c r="I723" s="3" t="s">
        <v>113</v>
      </c>
      <c r="J723" s="257" t="s">
        <v>3556</v>
      </c>
      <c r="O723"/>
      <c r="P723"/>
      <c r="R723" s="87"/>
    </row>
    <row r="724" spans="2:21" hidden="1" x14ac:dyDescent="0.25">
      <c r="B724" s="3" t="s">
        <v>3482</v>
      </c>
      <c r="C724" s="3" t="s">
        <v>47</v>
      </c>
      <c r="D724" s="3" t="s">
        <v>3475</v>
      </c>
      <c r="E724" s="3" t="s">
        <v>105</v>
      </c>
      <c r="F724" s="3" t="s">
        <v>3580</v>
      </c>
      <c r="G724" s="6">
        <v>1000000</v>
      </c>
      <c r="H724" s="6">
        <f t="shared" ref="H724:H725" si="56">G724-G724/1.18</f>
        <v>152542.37288135593</v>
      </c>
      <c r="I724" s="3" t="s">
        <v>113</v>
      </c>
      <c r="J724" s="18" t="s">
        <v>3600</v>
      </c>
      <c r="O724"/>
      <c r="P724"/>
      <c r="R724" s="87"/>
    </row>
    <row r="725" spans="2:21" hidden="1" x14ac:dyDescent="0.25">
      <c r="B725" s="3" t="s">
        <v>2539</v>
      </c>
      <c r="C725" s="3" t="s">
        <v>92</v>
      </c>
      <c r="D725" s="3" t="s">
        <v>2481</v>
      </c>
      <c r="E725" s="3" t="s">
        <v>87</v>
      </c>
      <c r="F725" s="3" t="s">
        <v>3580</v>
      </c>
      <c r="G725" s="6">
        <v>397746</v>
      </c>
      <c r="H725" s="6">
        <f t="shared" si="56"/>
        <v>60673.118644067785</v>
      </c>
      <c r="I725" s="3" t="s">
        <v>18</v>
      </c>
      <c r="J725" s="257" t="s">
        <v>3556</v>
      </c>
      <c r="O725"/>
      <c r="P725"/>
      <c r="R725" s="87"/>
    </row>
    <row r="726" spans="2:21" hidden="1" x14ac:dyDescent="0.25">
      <c r="B726" s="3" t="s">
        <v>2426</v>
      </c>
      <c r="C726" s="3" t="s">
        <v>57</v>
      </c>
      <c r="D726" s="3" t="s">
        <v>2379</v>
      </c>
      <c r="E726" s="3" t="s">
        <v>87</v>
      </c>
      <c r="F726" s="3" t="s">
        <v>3580</v>
      </c>
      <c r="G726" s="6">
        <v>78913.34</v>
      </c>
      <c r="H726" s="6">
        <f t="shared" ref="H726" si="57">G726-G726/1.18</f>
        <v>12037.628135593215</v>
      </c>
      <c r="I726" s="3" t="s">
        <v>113</v>
      </c>
      <c r="J726" s="257" t="s">
        <v>3556</v>
      </c>
      <c r="O726"/>
      <c r="P726"/>
      <c r="R726" s="87"/>
    </row>
    <row r="727" spans="2:21" hidden="1" x14ac:dyDescent="0.25">
      <c r="B727" s="3" t="s">
        <v>2420</v>
      </c>
      <c r="C727" s="3" t="s">
        <v>57</v>
      </c>
      <c r="D727" s="3" t="s">
        <v>2353</v>
      </c>
      <c r="E727" s="3" t="s">
        <v>87</v>
      </c>
      <c r="F727" s="3" t="s">
        <v>3580</v>
      </c>
      <c r="G727" s="6">
        <v>41972.44</v>
      </c>
      <c r="H727" s="6">
        <f t="shared" ref="H727:H730" si="58">G727-G727/1.18</f>
        <v>6402.5755932203392</v>
      </c>
      <c r="I727" s="3" t="s">
        <v>113</v>
      </c>
      <c r="J727" s="257" t="s">
        <v>3556</v>
      </c>
      <c r="O727"/>
      <c r="P727"/>
      <c r="R727" s="87"/>
    </row>
    <row r="728" spans="2:21" hidden="1" x14ac:dyDescent="0.25">
      <c r="B728" s="3" t="s">
        <v>748</v>
      </c>
      <c r="C728" s="3" t="s">
        <v>93</v>
      </c>
      <c r="D728" s="3" t="s">
        <v>749</v>
      </c>
      <c r="E728" s="3" t="s">
        <v>87</v>
      </c>
      <c r="F728" s="3" t="s">
        <v>3580</v>
      </c>
      <c r="G728" s="6">
        <v>187086.37</v>
      </c>
      <c r="H728" s="6">
        <f t="shared" si="58"/>
        <v>28538.598813559307</v>
      </c>
      <c r="I728" s="3" t="s">
        <v>18</v>
      </c>
      <c r="J728" s="257" t="s">
        <v>3556</v>
      </c>
      <c r="O728"/>
      <c r="P728"/>
      <c r="R728" s="87"/>
    </row>
    <row r="729" spans="2:21" hidden="1" x14ac:dyDescent="0.25">
      <c r="B729" s="3" t="s">
        <v>2549</v>
      </c>
      <c r="C729" s="3" t="s">
        <v>103</v>
      </c>
      <c r="D729" s="3" t="s">
        <v>2490</v>
      </c>
      <c r="E729" s="3" t="s">
        <v>87</v>
      </c>
      <c r="F729" s="3" t="s">
        <v>3580</v>
      </c>
      <c r="G729" s="6">
        <v>62271.33</v>
      </c>
      <c r="H729" s="6">
        <f t="shared" si="58"/>
        <v>9499.0164406779659</v>
      </c>
      <c r="I729" s="3" t="s">
        <v>18</v>
      </c>
      <c r="J729" s="257" t="s">
        <v>3556</v>
      </c>
      <c r="O729"/>
      <c r="P729"/>
      <c r="R729" s="87"/>
    </row>
    <row r="730" spans="2:21" hidden="1" x14ac:dyDescent="0.25">
      <c r="B730" s="3" t="s">
        <v>2910</v>
      </c>
      <c r="C730" s="3" t="s">
        <v>40</v>
      </c>
      <c r="D730" s="3" t="s">
        <v>2842</v>
      </c>
      <c r="E730" s="3" t="s">
        <v>106</v>
      </c>
      <c r="F730" s="3" t="s">
        <v>3580</v>
      </c>
      <c r="G730" s="6">
        <v>6492.5</v>
      </c>
      <c r="H730" s="6">
        <f t="shared" si="58"/>
        <v>990.38135593220341</v>
      </c>
      <c r="I730" s="3" t="s">
        <v>113</v>
      </c>
      <c r="J730" s="257" t="s">
        <v>3598</v>
      </c>
      <c r="O730"/>
      <c r="P730"/>
      <c r="R730" s="87"/>
    </row>
    <row r="731" spans="2:21" hidden="1" x14ac:dyDescent="0.25">
      <c r="B731" s="3" t="s">
        <v>3187</v>
      </c>
      <c r="C731" s="3" t="s">
        <v>47</v>
      </c>
      <c r="D731" s="3" t="s">
        <v>3192</v>
      </c>
      <c r="E731" s="3" t="s">
        <v>1853</v>
      </c>
      <c r="F731" s="3" t="s">
        <v>3580</v>
      </c>
      <c r="G731" s="6">
        <v>25606</v>
      </c>
      <c r="H731" s="6">
        <f t="shared" ref="H731" si="59">G731-G731/1.18</f>
        <v>3906</v>
      </c>
      <c r="I731" s="3" t="s">
        <v>113</v>
      </c>
      <c r="J731" s="257" t="s">
        <v>3598</v>
      </c>
      <c r="O731"/>
      <c r="P731"/>
      <c r="R731" s="87"/>
    </row>
    <row r="732" spans="2:21" hidden="1" x14ac:dyDescent="0.25">
      <c r="B732" s="3" t="s">
        <v>219</v>
      </c>
      <c r="C732" s="3" t="s">
        <v>99</v>
      </c>
      <c r="D732" s="3" t="s">
        <v>673</v>
      </c>
      <c r="E732" s="3" t="s">
        <v>105</v>
      </c>
      <c r="F732" s="3" t="s">
        <v>3580</v>
      </c>
      <c r="G732" s="6">
        <v>23024.75</v>
      </c>
      <c r="H732" s="6">
        <f t="shared" ref="H732:H733" si="60">G732-G732/1.18</f>
        <v>3512.25</v>
      </c>
      <c r="I732" s="3" t="s">
        <v>113</v>
      </c>
      <c r="J732" s="257" t="s">
        <v>3732</v>
      </c>
      <c r="O732"/>
      <c r="P732"/>
      <c r="R732" s="87"/>
    </row>
    <row r="733" spans="2:21" hidden="1" x14ac:dyDescent="0.25">
      <c r="B733" s="3" t="s">
        <v>2255</v>
      </c>
      <c r="C733" s="3" t="s">
        <v>94</v>
      </c>
      <c r="D733" s="3" t="s">
        <v>2259</v>
      </c>
      <c r="E733" s="3" t="s">
        <v>114</v>
      </c>
      <c r="F733" s="3" t="s">
        <v>3599</v>
      </c>
      <c r="G733" s="6">
        <v>100000</v>
      </c>
      <c r="H733" s="6">
        <f t="shared" si="60"/>
        <v>15254.237288135584</v>
      </c>
      <c r="I733" s="3" t="s">
        <v>18</v>
      </c>
      <c r="J733" s="257"/>
      <c r="O733"/>
      <c r="P733"/>
      <c r="R733" s="87"/>
    </row>
    <row r="734" spans="2:21" hidden="1" x14ac:dyDescent="0.25">
      <c r="B734" s="3" t="s">
        <v>3189</v>
      </c>
      <c r="C734" s="3" t="s">
        <v>52</v>
      </c>
      <c r="D734" s="256" t="s">
        <v>3191</v>
      </c>
      <c r="E734" s="256" t="s">
        <v>1853</v>
      </c>
      <c r="F734" s="3" t="s">
        <v>3599</v>
      </c>
      <c r="G734" s="73">
        <v>5876.5</v>
      </c>
      <c r="H734" s="6">
        <f t="shared" ref="H734:H783" si="61">G734-G734/1.18</f>
        <v>896.41525423728763</v>
      </c>
      <c r="I734" s="3" t="s">
        <v>113</v>
      </c>
      <c r="J734" s="257" t="s">
        <v>3602</v>
      </c>
      <c r="O734"/>
      <c r="P734"/>
      <c r="R734" s="87"/>
    </row>
    <row r="735" spans="2:21" x14ac:dyDescent="0.25">
      <c r="B735" s="3" t="s">
        <v>2198</v>
      </c>
      <c r="C735" s="3" t="s">
        <v>50</v>
      </c>
      <c r="D735" s="256" t="s">
        <v>3545</v>
      </c>
      <c r="E735" s="3" t="s">
        <v>141</v>
      </c>
      <c r="F735" s="3" t="s">
        <v>3580</v>
      </c>
      <c r="G735" s="6">
        <v>900</v>
      </c>
      <c r="H735" s="6">
        <f t="shared" si="61"/>
        <v>137.28813559322032</v>
      </c>
      <c r="I735" s="3" t="s">
        <v>113</v>
      </c>
      <c r="N735">
        <v>15</v>
      </c>
      <c r="O735"/>
      <c r="P735"/>
      <c r="R735" s="87"/>
      <c r="U735" s="79"/>
    </row>
    <row r="736" spans="2:21" hidden="1" x14ac:dyDescent="0.25">
      <c r="B736" s="3" t="s">
        <v>3562</v>
      </c>
      <c r="C736" s="3" t="s">
        <v>47</v>
      </c>
      <c r="D736" s="256" t="s">
        <v>3561</v>
      </c>
      <c r="E736" s="3" t="s">
        <v>123</v>
      </c>
      <c r="F736" s="3" t="s">
        <v>3599</v>
      </c>
      <c r="G736" s="6">
        <v>7626.5</v>
      </c>
      <c r="H736" s="6">
        <f t="shared" si="61"/>
        <v>1163.3644067796604</v>
      </c>
      <c r="I736" s="3" t="s">
        <v>113</v>
      </c>
      <c r="J736" s="257" t="s">
        <v>3598</v>
      </c>
      <c r="O736"/>
      <c r="P736"/>
      <c r="R736" s="87"/>
    </row>
    <row r="737" spans="2:18" hidden="1" x14ac:dyDescent="0.25">
      <c r="B737" s="3" t="s">
        <v>3140</v>
      </c>
      <c r="C737" s="3" t="s">
        <v>99</v>
      </c>
      <c r="D737" s="3" t="s">
        <v>3056</v>
      </c>
      <c r="E737" s="3" t="s">
        <v>106</v>
      </c>
      <c r="F737" s="3" t="s">
        <v>3599</v>
      </c>
      <c r="G737" s="6">
        <v>392</v>
      </c>
      <c r="H737" s="6">
        <f t="shared" si="61"/>
        <v>59.796610169491487</v>
      </c>
      <c r="I737" s="3" t="s">
        <v>18</v>
      </c>
      <c r="J737" s="18" t="s">
        <v>3732</v>
      </c>
      <c r="O737"/>
      <c r="P737"/>
      <c r="R737" s="87"/>
    </row>
    <row r="738" spans="2:18" hidden="1" x14ac:dyDescent="0.25">
      <c r="B738" s="3" t="s">
        <v>1534</v>
      </c>
      <c r="C738" s="3" t="s">
        <v>95</v>
      </c>
      <c r="D738" s="256" t="s">
        <v>3652</v>
      </c>
      <c r="E738" s="3" t="s">
        <v>106</v>
      </c>
      <c r="F738" s="3" t="s">
        <v>3599</v>
      </c>
      <c r="G738" s="6">
        <v>4305</v>
      </c>
      <c r="H738" s="6">
        <f t="shared" si="61"/>
        <v>656.694915254237</v>
      </c>
      <c r="I738" s="3" t="s">
        <v>18</v>
      </c>
      <c r="J738" s="257" t="s">
        <v>3598</v>
      </c>
      <c r="O738"/>
      <c r="P738"/>
      <c r="R738" s="87"/>
    </row>
    <row r="739" spans="2:18" hidden="1" x14ac:dyDescent="0.25">
      <c r="B739" s="3" t="s">
        <v>3104</v>
      </c>
      <c r="C739" s="3" t="s">
        <v>74</v>
      </c>
      <c r="D739" s="256" t="s">
        <v>3021</v>
      </c>
      <c r="E739" s="3" t="s">
        <v>106</v>
      </c>
      <c r="F739" s="3" t="s">
        <v>3599</v>
      </c>
      <c r="G739" s="6">
        <v>2156.875</v>
      </c>
      <c r="H739" s="6">
        <f t="shared" si="61"/>
        <v>329.01483050847446</v>
      </c>
      <c r="I739" s="3" t="s">
        <v>18</v>
      </c>
      <c r="J739" s="257" t="s">
        <v>3732</v>
      </c>
      <c r="O739"/>
      <c r="P739"/>
      <c r="R739" s="87"/>
    </row>
    <row r="740" spans="2:18" hidden="1" x14ac:dyDescent="0.25">
      <c r="B740" s="3" t="s">
        <v>3126</v>
      </c>
      <c r="C740" s="3" t="s">
        <v>74</v>
      </c>
      <c r="D740" s="256" t="s">
        <v>3043</v>
      </c>
      <c r="E740" s="3" t="s">
        <v>106</v>
      </c>
      <c r="F740" s="3" t="s">
        <v>3599</v>
      </c>
      <c r="G740" s="6">
        <v>663.94999999999993</v>
      </c>
      <c r="H740" s="6">
        <f t="shared" si="61"/>
        <v>101.28050847457621</v>
      </c>
      <c r="I740" s="3" t="s">
        <v>18</v>
      </c>
      <c r="J740" s="257" t="s">
        <v>3732</v>
      </c>
      <c r="O740"/>
      <c r="P740"/>
      <c r="R740" s="87"/>
    </row>
    <row r="741" spans="2:18" hidden="1" x14ac:dyDescent="0.25">
      <c r="B741" s="3" t="s">
        <v>2936</v>
      </c>
      <c r="C741" s="3" t="s">
        <v>40</v>
      </c>
      <c r="D741" s="3" t="s">
        <v>2866</v>
      </c>
      <c r="E741" s="3" t="s">
        <v>106</v>
      </c>
      <c r="F741" s="3" t="s">
        <v>3599</v>
      </c>
      <c r="G741" s="6">
        <v>4919.25</v>
      </c>
      <c r="H741" s="6">
        <f t="shared" si="61"/>
        <v>750.39406779661022</v>
      </c>
      <c r="I741" s="3" t="s">
        <v>113</v>
      </c>
      <c r="J741" s="257" t="s">
        <v>3732</v>
      </c>
      <c r="O741"/>
      <c r="P741"/>
      <c r="R741" s="87"/>
    </row>
    <row r="742" spans="2:18" hidden="1" x14ac:dyDescent="0.25">
      <c r="B742" s="3" t="s">
        <v>3359</v>
      </c>
      <c r="C742" s="3" t="s">
        <v>96</v>
      </c>
      <c r="D742" s="3" t="s">
        <v>3478</v>
      </c>
      <c r="E742" s="3" t="s">
        <v>71</v>
      </c>
      <c r="F742" s="3" t="s">
        <v>3599</v>
      </c>
      <c r="G742" s="6">
        <v>40000</v>
      </c>
      <c r="H742" s="6">
        <f t="shared" si="61"/>
        <v>6101.6949152542365</v>
      </c>
      <c r="I742" s="3" t="s">
        <v>18</v>
      </c>
      <c r="N742">
        <v>10</v>
      </c>
      <c r="O742"/>
      <c r="P742"/>
      <c r="R742" s="87"/>
    </row>
    <row r="743" spans="2:18" hidden="1" x14ac:dyDescent="0.25">
      <c r="B743" s="3" t="s">
        <v>3359</v>
      </c>
      <c r="C743" s="3" t="s">
        <v>96</v>
      </c>
      <c r="D743" s="3" t="s">
        <v>3507</v>
      </c>
      <c r="E743" s="3" t="s">
        <v>71</v>
      </c>
      <c r="F743" s="3" t="s">
        <v>3599</v>
      </c>
      <c r="G743" s="6">
        <v>30000</v>
      </c>
      <c r="H743" s="6">
        <f t="shared" si="61"/>
        <v>4576.2711864406774</v>
      </c>
      <c r="I743" s="3" t="s">
        <v>18</v>
      </c>
      <c r="N743">
        <v>1</v>
      </c>
      <c r="O743"/>
      <c r="P743"/>
      <c r="R743" s="87"/>
    </row>
    <row r="744" spans="2:18" hidden="1" x14ac:dyDescent="0.25">
      <c r="B744" s="3" t="s">
        <v>3359</v>
      </c>
      <c r="C744" s="3" t="s">
        <v>96</v>
      </c>
      <c r="D744" s="3" t="s">
        <v>3590</v>
      </c>
      <c r="E744" s="3" t="s">
        <v>71</v>
      </c>
      <c r="F744" s="3" t="s">
        <v>3599</v>
      </c>
      <c r="G744" s="6">
        <v>30000</v>
      </c>
      <c r="H744" s="6">
        <f t="shared" si="61"/>
        <v>4576.2711864406774</v>
      </c>
      <c r="I744" s="3" t="s">
        <v>18</v>
      </c>
      <c r="N744">
        <v>57</v>
      </c>
      <c r="O744"/>
      <c r="P744"/>
      <c r="R744" s="87"/>
    </row>
    <row r="745" spans="2:18" hidden="1" x14ac:dyDescent="0.25">
      <c r="B745" s="3" t="s">
        <v>3288</v>
      </c>
      <c r="C745" s="3" t="s">
        <v>96</v>
      </c>
      <c r="D745" s="3" t="s">
        <v>3606</v>
      </c>
      <c r="E745" s="3" t="s">
        <v>110</v>
      </c>
      <c r="F745" s="3" t="s">
        <v>3599</v>
      </c>
      <c r="G745" s="6">
        <v>1638</v>
      </c>
      <c r="H745" s="6">
        <f t="shared" si="61"/>
        <v>249.86440677966084</v>
      </c>
      <c r="I745" s="3" t="s">
        <v>18</v>
      </c>
      <c r="O745"/>
      <c r="P745"/>
      <c r="R745" s="87"/>
    </row>
    <row r="746" spans="2:18" hidden="1" x14ac:dyDescent="0.25">
      <c r="B746" s="3" t="s">
        <v>3288</v>
      </c>
      <c r="C746" s="3" t="s">
        <v>96</v>
      </c>
      <c r="D746" s="3" t="s">
        <v>3607</v>
      </c>
      <c r="E746" s="3" t="s">
        <v>110</v>
      </c>
      <c r="F746" s="3" t="s">
        <v>3599</v>
      </c>
      <c r="G746" s="6">
        <v>1624</v>
      </c>
      <c r="H746" s="6">
        <f t="shared" si="61"/>
        <v>247.72881355932191</v>
      </c>
      <c r="I746" s="3" t="s">
        <v>18</v>
      </c>
      <c r="O746"/>
      <c r="P746"/>
      <c r="R746" s="87"/>
    </row>
    <row r="747" spans="2:18" hidden="1" x14ac:dyDescent="0.25">
      <c r="B747" s="3" t="s">
        <v>3288</v>
      </c>
      <c r="C747" s="3" t="s">
        <v>96</v>
      </c>
      <c r="D747" s="3" t="s">
        <v>3610</v>
      </c>
      <c r="E747" s="3" t="s">
        <v>110</v>
      </c>
      <c r="F747" s="3" t="s">
        <v>3599</v>
      </c>
      <c r="G747" s="6">
        <v>1323</v>
      </c>
      <c r="H747" s="6">
        <f t="shared" si="61"/>
        <v>201.81355932203383</v>
      </c>
      <c r="I747" s="3" t="s">
        <v>18</v>
      </c>
      <c r="O747"/>
      <c r="P747"/>
      <c r="R747" s="87"/>
    </row>
    <row r="748" spans="2:18" hidden="1" x14ac:dyDescent="0.25">
      <c r="B748" s="3" t="s">
        <v>3288</v>
      </c>
      <c r="C748" s="3" t="s">
        <v>96</v>
      </c>
      <c r="D748" s="3" t="s">
        <v>3611</v>
      </c>
      <c r="E748" s="3" t="s">
        <v>110</v>
      </c>
      <c r="F748" s="3" t="s">
        <v>3599</v>
      </c>
      <c r="G748" s="6">
        <v>1729</v>
      </c>
      <c r="H748" s="6">
        <f t="shared" si="61"/>
        <v>263.74576271186424</v>
      </c>
      <c r="I748" s="3" t="s">
        <v>18</v>
      </c>
      <c r="O748"/>
      <c r="P748"/>
      <c r="R748" s="87"/>
    </row>
    <row r="749" spans="2:18" hidden="1" x14ac:dyDescent="0.25">
      <c r="B749" s="3" t="s">
        <v>3288</v>
      </c>
      <c r="C749" s="3" t="s">
        <v>96</v>
      </c>
      <c r="D749" s="3" t="s">
        <v>3614</v>
      </c>
      <c r="E749" s="3" t="s">
        <v>110</v>
      </c>
      <c r="F749" s="3" t="s">
        <v>3599</v>
      </c>
      <c r="G749" s="6">
        <v>1855</v>
      </c>
      <c r="H749" s="6">
        <f t="shared" si="61"/>
        <v>282.9661016949151</v>
      </c>
      <c r="I749" s="3" t="s">
        <v>18</v>
      </c>
      <c r="O749"/>
      <c r="P749"/>
      <c r="R749" s="87"/>
    </row>
    <row r="750" spans="2:18" hidden="1" x14ac:dyDescent="0.25">
      <c r="B750" s="3" t="s">
        <v>3288</v>
      </c>
      <c r="C750" s="3" t="s">
        <v>96</v>
      </c>
      <c r="D750" s="3" t="s">
        <v>3616</v>
      </c>
      <c r="E750" s="3" t="s">
        <v>110</v>
      </c>
      <c r="F750" s="3" t="s">
        <v>3599</v>
      </c>
      <c r="G750" s="6">
        <v>626.5</v>
      </c>
      <c r="H750" s="6">
        <f t="shared" si="61"/>
        <v>95.567796610169466</v>
      </c>
      <c r="I750" s="3" t="s">
        <v>18</v>
      </c>
      <c r="O750"/>
      <c r="P750"/>
      <c r="R750" s="87"/>
    </row>
    <row r="751" spans="2:18" hidden="1" x14ac:dyDescent="0.25">
      <c r="B751" s="3" t="s">
        <v>3288</v>
      </c>
      <c r="C751" s="3" t="s">
        <v>96</v>
      </c>
      <c r="D751" s="3" t="s">
        <v>3617</v>
      </c>
      <c r="E751" s="3" t="s">
        <v>110</v>
      </c>
      <c r="F751" s="3" t="s">
        <v>3599</v>
      </c>
      <c r="G751" s="6">
        <v>1615.25</v>
      </c>
      <c r="H751" s="6">
        <f t="shared" si="61"/>
        <v>246.39406779660999</v>
      </c>
      <c r="I751" s="3" t="s">
        <v>18</v>
      </c>
      <c r="O751"/>
      <c r="P751"/>
      <c r="R751" s="87"/>
    </row>
    <row r="752" spans="2:18" hidden="1" x14ac:dyDescent="0.25">
      <c r="B752" s="3" t="s">
        <v>3288</v>
      </c>
      <c r="C752" s="3" t="s">
        <v>96</v>
      </c>
      <c r="D752" s="3" t="s">
        <v>3619</v>
      </c>
      <c r="E752" s="3" t="s">
        <v>110</v>
      </c>
      <c r="F752" s="3" t="s">
        <v>3599</v>
      </c>
      <c r="G752" s="6">
        <v>1580.25</v>
      </c>
      <c r="H752" s="6">
        <f t="shared" si="61"/>
        <v>241.05508474576254</v>
      </c>
      <c r="I752" s="3" t="s">
        <v>18</v>
      </c>
      <c r="O752"/>
      <c r="P752"/>
      <c r="R752" s="87"/>
    </row>
    <row r="753" spans="2:18" hidden="1" x14ac:dyDescent="0.25">
      <c r="B753" s="3" t="s">
        <v>3289</v>
      </c>
      <c r="C753" s="3" t="s">
        <v>96</v>
      </c>
      <c r="D753" s="3" t="s">
        <v>3622</v>
      </c>
      <c r="E753" s="3" t="s">
        <v>110</v>
      </c>
      <c r="F753" s="3" t="s">
        <v>3599</v>
      </c>
      <c r="G753" s="6">
        <v>861</v>
      </c>
      <c r="H753" s="6">
        <f t="shared" si="61"/>
        <v>131.33898305084745</v>
      </c>
      <c r="I753" s="3" t="s">
        <v>18</v>
      </c>
      <c r="O753"/>
      <c r="P753"/>
      <c r="R753" s="87"/>
    </row>
    <row r="754" spans="2:18" hidden="1" x14ac:dyDescent="0.25">
      <c r="B754" s="3" t="s">
        <v>3289</v>
      </c>
      <c r="C754" s="3" t="s">
        <v>96</v>
      </c>
      <c r="D754" s="3" t="s">
        <v>3625</v>
      </c>
      <c r="E754" s="3" t="s">
        <v>110</v>
      </c>
      <c r="F754" s="3" t="s">
        <v>3599</v>
      </c>
      <c r="G754" s="6">
        <v>854</v>
      </c>
      <c r="H754" s="6">
        <f t="shared" si="61"/>
        <v>130.27118644067798</v>
      </c>
      <c r="I754" s="3" t="s">
        <v>18</v>
      </c>
      <c r="O754"/>
      <c r="P754"/>
      <c r="R754" s="87"/>
    </row>
    <row r="755" spans="2:18" hidden="1" x14ac:dyDescent="0.25">
      <c r="B755" s="3" t="s">
        <v>3289</v>
      </c>
      <c r="C755" s="3" t="s">
        <v>96</v>
      </c>
      <c r="D755" s="3" t="s">
        <v>3626</v>
      </c>
      <c r="E755" s="3" t="s">
        <v>110</v>
      </c>
      <c r="F755" s="3" t="s">
        <v>3599</v>
      </c>
      <c r="G755" s="6">
        <v>1039.5</v>
      </c>
      <c r="H755" s="6">
        <f t="shared" si="61"/>
        <v>158.56779661016947</v>
      </c>
      <c r="I755" s="3" t="s">
        <v>18</v>
      </c>
      <c r="O755"/>
      <c r="P755"/>
      <c r="R755" s="87"/>
    </row>
    <row r="756" spans="2:18" hidden="1" x14ac:dyDescent="0.25">
      <c r="B756" s="3" t="s">
        <v>3359</v>
      </c>
      <c r="C756" s="3" t="s">
        <v>96</v>
      </c>
      <c r="D756" s="3" t="s">
        <v>3616</v>
      </c>
      <c r="E756" s="3" t="s">
        <v>71</v>
      </c>
      <c r="F756" s="3" t="s">
        <v>3599</v>
      </c>
      <c r="G756" s="6">
        <v>20000</v>
      </c>
      <c r="H756" s="6">
        <f t="shared" si="61"/>
        <v>3050.8474576271183</v>
      </c>
      <c r="I756" s="3" t="s">
        <v>18</v>
      </c>
      <c r="N756">
        <v>7</v>
      </c>
      <c r="O756"/>
      <c r="P756"/>
      <c r="R756" s="87"/>
    </row>
    <row r="757" spans="2:18" hidden="1" x14ac:dyDescent="0.25">
      <c r="B757" s="3" t="s">
        <v>2788</v>
      </c>
      <c r="C757" s="3" t="s">
        <v>96</v>
      </c>
      <c r="D757" s="3" t="s">
        <v>3627</v>
      </c>
      <c r="E757" s="3" t="s">
        <v>71</v>
      </c>
      <c r="F757" s="3" t="s">
        <v>3599</v>
      </c>
      <c r="G757" s="6">
        <v>20000</v>
      </c>
      <c r="H757" s="6">
        <f t="shared" si="61"/>
        <v>3050.8474576271183</v>
      </c>
      <c r="I757" s="3" t="s">
        <v>18</v>
      </c>
      <c r="N757">
        <v>35</v>
      </c>
      <c r="O757"/>
      <c r="P757"/>
      <c r="R757" s="87"/>
    </row>
    <row r="758" spans="2:18" hidden="1" x14ac:dyDescent="0.25">
      <c r="B758" s="3" t="s">
        <v>3359</v>
      </c>
      <c r="C758" s="3" t="s">
        <v>96</v>
      </c>
      <c r="D758" s="256" t="s">
        <v>3480</v>
      </c>
      <c r="E758" s="3" t="s">
        <v>71</v>
      </c>
      <c r="F758" s="3" t="s">
        <v>3599</v>
      </c>
      <c r="G758" s="6">
        <v>10000</v>
      </c>
      <c r="H758" s="6">
        <f t="shared" si="61"/>
        <v>1525.4237288135591</v>
      </c>
      <c r="I758" s="3" t="s">
        <v>18</v>
      </c>
      <c r="J758" s="79"/>
      <c r="N758">
        <v>58</v>
      </c>
      <c r="O758"/>
      <c r="P758"/>
      <c r="R758" s="87"/>
    </row>
    <row r="759" spans="2:18" hidden="1" x14ac:dyDescent="0.25">
      <c r="B759" s="3" t="s">
        <v>3358</v>
      </c>
      <c r="C759" s="3" t="s">
        <v>96</v>
      </c>
      <c r="D759" s="256" t="s">
        <v>3532</v>
      </c>
      <c r="E759" s="3" t="s">
        <v>71</v>
      </c>
      <c r="F759" s="3" t="s">
        <v>3599</v>
      </c>
      <c r="G759" s="6">
        <v>12000</v>
      </c>
      <c r="H759" s="6">
        <f t="shared" si="61"/>
        <v>1830.5084745762706</v>
      </c>
      <c r="I759" s="3" t="s">
        <v>18</v>
      </c>
      <c r="N759">
        <v>0</v>
      </c>
      <c r="O759"/>
      <c r="P759"/>
      <c r="R759" s="87"/>
    </row>
    <row r="760" spans="2:18" hidden="1" x14ac:dyDescent="0.25">
      <c r="B760" s="3" t="s">
        <v>3358</v>
      </c>
      <c r="C760" s="3" t="s">
        <v>96</v>
      </c>
      <c r="D760" s="256" t="s">
        <v>3465</v>
      </c>
      <c r="E760" s="3" t="s">
        <v>71</v>
      </c>
      <c r="F760" s="3" t="s">
        <v>3599</v>
      </c>
      <c r="G760" s="6">
        <v>10000</v>
      </c>
      <c r="H760" s="6">
        <f t="shared" si="61"/>
        <v>1525.4237288135591</v>
      </c>
      <c r="I760" s="3" t="s">
        <v>18</v>
      </c>
      <c r="N760">
        <v>38</v>
      </c>
      <c r="O760"/>
      <c r="P760"/>
      <c r="R760" s="87"/>
    </row>
    <row r="761" spans="2:18" hidden="1" x14ac:dyDescent="0.25">
      <c r="B761" s="3" t="s">
        <v>3358</v>
      </c>
      <c r="C761" s="3" t="s">
        <v>96</v>
      </c>
      <c r="D761" s="256" t="s">
        <v>3466</v>
      </c>
      <c r="E761" s="3" t="s">
        <v>71</v>
      </c>
      <c r="F761" s="3" t="s">
        <v>3599</v>
      </c>
      <c r="G761" s="6">
        <v>12000</v>
      </c>
      <c r="H761" s="6">
        <f t="shared" si="61"/>
        <v>1830.5084745762706</v>
      </c>
      <c r="I761" s="3" t="s">
        <v>18</v>
      </c>
      <c r="O761"/>
      <c r="P761"/>
      <c r="R761" s="87"/>
    </row>
    <row r="762" spans="2:18" hidden="1" x14ac:dyDescent="0.25">
      <c r="B762" s="3" t="s">
        <v>3358</v>
      </c>
      <c r="C762" s="3" t="s">
        <v>96</v>
      </c>
      <c r="D762" s="256" t="s">
        <v>3467</v>
      </c>
      <c r="E762" s="3" t="s">
        <v>71</v>
      </c>
      <c r="F762" s="3" t="s">
        <v>3599</v>
      </c>
      <c r="G762" s="6">
        <v>12000</v>
      </c>
      <c r="H762" s="6">
        <f t="shared" si="61"/>
        <v>1830.5084745762706</v>
      </c>
      <c r="I762" s="3" t="s">
        <v>18</v>
      </c>
      <c r="N762">
        <v>38</v>
      </c>
      <c r="O762"/>
      <c r="P762"/>
      <c r="R762" s="87"/>
    </row>
    <row r="763" spans="2:18" hidden="1" x14ac:dyDescent="0.25">
      <c r="B763" s="3" t="s">
        <v>1574</v>
      </c>
      <c r="C763" s="3" t="s">
        <v>96</v>
      </c>
      <c r="D763" s="3" t="s">
        <v>352</v>
      </c>
      <c r="E763" s="3" t="s">
        <v>71</v>
      </c>
      <c r="F763" s="3" t="s">
        <v>3599</v>
      </c>
      <c r="G763" s="6">
        <v>5000</v>
      </c>
      <c r="H763" s="6">
        <f t="shared" si="61"/>
        <v>762.71186440677957</v>
      </c>
      <c r="I763" s="3" t="s">
        <v>18</v>
      </c>
      <c r="O763"/>
      <c r="P763"/>
      <c r="R763" s="87"/>
    </row>
    <row r="764" spans="2:18" hidden="1" x14ac:dyDescent="0.25">
      <c r="B764" s="3" t="s">
        <v>1567</v>
      </c>
      <c r="C764" s="3" t="s">
        <v>50</v>
      </c>
      <c r="D764" s="3" t="s">
        <v>340</v>
      </c>
      <c r="E764" s="3" t="s">
        <v>71</v>
      </c>
      <c r="F764" s="3" t="s">
        <v>3599</v>
      </c>
      <c r="G764" s="6">
        <v>2000</v>
      </c>
      <c r="H764" s="6">
        <f t="shared" si="61"/>
        <v>305.08474576271169</v>
      </c>
      <c r="I764" s="3" t="s">
        <v>18</v>
      </c>
      <c r="O764"/>
      <c r="P764"/>
      <c r="R764" s="87"/>
    </row>
    <row r="765" spans="2:18" hidden="1" x14ac:dyDescent="0.25">
      <c r="B765" s="3" t="s">
        <v>3358</v>
      </c>
      <c r="C765" s="3" t="s">
        <v>96</v>
      </c>
      <c r="D765" s="3" t="s">
        <v>3530</v>
      </c>
      <c r="E765" s="3" t="s">
        <v>71</v>
      </c>
      <c r="F765" s="3" t="s">
        <v>3599</v>
      </c>
      <c r="G765" s="6">
        <v>23000</v>
      </c>
      <c r="H765" s="6">
        <f t="shared" si="61"/>
        <v>3508.4745762711864</v>
      </c>
      <c r="I765" s="3" t="s">
        <v>18</v>
      </c>
      <c r="N765">
        <v>0</v>
      </c>
      <c r="O765"/>
      <c r="P765"/>
      <c r="R765" s="87"/>
    </row>
    <row r="766" spans="2:18" hidden="1" x14ac:dyDescent="0.25">
      <c r="B766" s="3" t="s">
        <v>2727</v>
      </c>
      <c r="C766" s="3" t="s">
        <v>34</v>
      </c>
      <c r="D766" s="3" t="s">
        <v>2657</v>
      </c>
      <c r="E766" s="3" t="s">
        <v>71</v>
      </c>
      <c r="F766" s="3" t="s">
        <v>3599</v>
      </c>
      <c r="G766" s="6">
        <v>15000</v>
      </c>
      <c r="H766" s="6">
        <f t="shared" si="61"/>
        <v>2288.1355932203387</v>
      </c>
      <c r="I766" s="3" t="s">
        <v>113</v>
      </c>
      <c r="O766"/>
      <c r="P766"/>
      <c r="R766" s="87"/>
    </row>
    <row r="767" spans="2:18" hidden="1" x14ac:dyDescent="0.25">
      <c r="B767" s="3" t="s">
        <v>2708</v>
      </c>
      <c r="C767" s="3" t="s">
        <v>37</v>
      </c>
      <c r="D767" s="3" t="s">
        <v>2678</v>
      </c>
      <c r="E767" s="3" t="s">
        <v>71</v>
      </c>
      <c r="F767" s="3" t="s">
        <v>3599</v>
      </c>
      <c r="G767" s="6">
        <v>40000</v>
      </c>
      <c r="H767" s="6">
        <f t="shared" si="61"/>
        <v>6101.6949152542365</v>
      </c>
      <c r="I767" s="3" t="s">
        <v>113</v>
      </c>
      <c r="O767"/>
      <c r="P767"/>
      <c r="R767" s="87"/>
    </row>
    <row r="768" spans="2:18" hidden="1" x14ac:dyDescent="0.25">
      <c r="B768" s="3" t="s">
        <v>2723</v>
      </c>
      <c r="C768" s="3" t="s">
        <v>37</v>
      </c>
      <c r="D768" s="3" t="s">
        <v>2683</v>
      </c>
      <c r="E768" s="3" t="s">
        <v>71</v>
      </c>
      <c r="F768" s="3" t="s">
        <v>3599</v>
      </c>
      <c r="G768" s="6">
        <v>20000</v>
      </c>
      <c r="H768" s="6">
        <f t="shared" si="61"/>
        <v>3050.8474576271183</v>
      </c>
      <c r="I768" s="3" t="s">
        <v>113</v>
      </c>
      <c r="O768"/>
      <c r="P768"/>
      <c r="R768" s="87"/>
    </row>
    <row r="769" spans="2:18" hidden="1" x14ac:dyDescent="0.25">
      <c r="B769" s="3" t="s">
        <v>2731</v>
      </c>
      <c r="C769" s="3" t="s">
        <v>4</v>
      </c>
      <c r="D769" s="3" t="s">
        <v>2684</v>
      </c>
      <c r="E769" s="3" t="s">
        <v>71</v>
      </c>
      <c r="F769" s="3" t="s">
        <v>3599</v>
      </c>
      <c r="G769" s="6">
        <v>55000</v>
      </c>
      <c r="H769" s="6">
        <f t="shared" si="61"/>
        <v>8389.8305084745734</v>
      </c>
      <c r="I769" s="3" t="s">
        <v>113</v>
      </c>
      <c r="O769"/>
      <c r="P769"/>
      <c r="R769" s="87"/>
    </row>
    <row r="770" spans="2:18" hidden="1" x14ac:dyDescent="0.25">
      <c r="B770" s="3" t="s">
        <v>1193</v>
      </c>
      <c r="C770" s="3" t="s">
        <v>17</v>
      </c>
      <c r="D770" s="3" t="s">
        <v>1163</v>
      </c>
      <c r="E770" s="3" t="s">
        <v>71</v>
      </c>
      <c r="F770" s="3" t="s">
        <v>3599</v>
      </c>
      <c r="G770" s="6">
        <v>3000</v>
      </c>
      <c r="H770" s="6">
        <f t="shared" si="61"/>
        <v>457.62711864406765</v>
      </c>
      <c r="I770" s="3" t="s">
        <v>113</v>
      </c>
      <c r="O770"/>
      <c r="P770"/>
      <c r="R770" s="87"/>
    </row>
    <row r="771" spans="2:18" hidden="1" x14ac:dyDescent="0.25">
      <c r="B771" s="3" t="s">
        <v>1213</v>
      </c>
      <c r="C771" s="3" t="s">
        <v>33</v>
      </c>
      <c r="D771" s="3" t="s">
        <v>1287</v>
      </c>
      <c r="E771" s="3" t="s">
        <v>71</v>
      </c>
      <c r="F771" s="3" t="s">
        <v>3599</v>
      </c>
      <c r="G771" s="6">
        <v>5000</v>
      </c>
      <c r="H771" s="6">
        <f t="shared" si="61"/>
        <v>762.71186440677957</v>
      </c>
      <c r="I771" s="3" t="s">
        <v>113</v>
      </c>
      <c r="O771"/>
      <c r="P771"/>
      <c r="R771" s="87"/>
    </row>
    <row r="772" spans="2:18" hidden="1" x14ac:dyDescent="0.25">
      <c r="B772" s="3" t="s">
        <v>3570</v>
      </c>
      <c r="C772" s="3" t="s">
        <v>4</v>
      </c>
      <c r="D772" s="3" t="s">
        <v>3565</v>
      </c>
      <c r="E772" s="3" t="s">
        <v>110</v>
      </c>
      <c r="F772" s="3" t="s">
        <v>3599</v>
      </c>
      <c r="G772" s="6">
        <v>22149.75</v>
      </c>
      <c r="H772" s="6">
        <f t="shared" si="61"/>
        <v>3378.7754237288136</v>
      </c>
      <c r="I772" s="3" t="s">
        <v>113</v>
      </c>
      <c r="J772" s="70" t="s">
        <v>3732</v>
      </c>
      <c r="O772"/>
      <c r="P772"/>
      <c r="R772" s="87"/>
    </row>
    <row r="773" spans="2:18" hidden="1" x14ac:dyDescent="0.25">
      <c r="B773" s="3" t="s">
        <v>1236</v>
      </c>
      <c r="C773" s="3" t="s">
        <v>17</v>
      </c>
      <c r="D773" s="256" t="s">
        <v>1310</v>
      </c>
      <c r="E773" s="3" t="s">
        <v>71</v>
      </c>
      <c r="F773" s="3" t="s">
        <v>3599</v>
      </c>
      <c r="G773" s="6">
        <v>50000</v>
      </c>
      <c r="H773" s="6">
        <f t="shared" si="61"/>
        <v>7627.118644067792</v>
      </c>
      <c r="I773" s="3" t="s">
        <v>113</v>
      </c>
      <c r="O773"/>
      <c r="P773"/>
      <c r="R773" s="87"/>
    </row>
    <row r="774" spans="2:18" hidden="1" x14ac:dyDescent="0.25">
      <c r="B774" s="3" t="s">
        <v>760</v>
      </c>
      <c r="C774" s="3" t="s">
        <v>91</v>
      </c>
      <c r="D774" s="256" t="s">
        <v>759</v>
      </c>
      <c r="E774" s="3" t="s">
        <v>87</v>
      </c>
      <c r="F774" s="3" t="s">
        <v>3599</v>
      </c>
      <c r="G774" s="6">
        <v>5000</v>
      </c>
      <c r="H774" s="6">
        <f t="shared" si="61"/>
        <v>762.71186440677957</v>
      </c>
      <c r="I774" s="3" t="s">
        <v>18</v>
      </c>
      <c r="O774"/>
      <c r="P774"/>
      <c r="R774" s="87"/>
    </row>
    <row r="775" spans="2:18" hidden="1" x14ac:dyDescent="0.25">
      <c r="B775" s="3" t="s">
        <v>766</v>
      </c>
      <c r="C775" s="3" t="s">
        <v>91</v>
      </c>
      <c r="D775" s="256" t="s">
        <v>762</v>
      </c>
      <c r="E775" s="3" t="s">
        <v>87</v>
      </c>
      <c r="F775" s="3" t="s">
        <v>3599</v>
      </c>
      <c r="G775" s="6">
        <v>10000</v>
      </c>
      <c r="H775" s="6">
        <f t="shared" si="61"/>
        <v>1525.4237288135591</v>
      </c>
      <c r="I775" s="3" t="s">
        <v>18</v>
      </c>
      <c r="O775"/>
      <c r="P775"/>
      <c r="R775" s="87"/>
    </row>
    <row r="776" spans="2:18" hidden="1" x14ac:dyDescent="0.25">
      <c r="B776" s="3" t="s">
        <v>2548</v>
      </c>
      <c r="C776" s="3" t="s">
        <v>88</v>
      </c>
      <c r="D776" s="256" t="s">
        <v>2489</v>
      </c>
      <c r="E776" s="3" t="s">
        <v>87</v>
      </c>
      <c r="F776" s="3" t="s">
        <v>3599</v>
      </c>
      <c r="G776" s="6">
        <v>5000</v>
      </c>
      <c r="H776" s="6">
        <f t="shared" si="61"/>
        <v>762.71186440677957</v>
      </c>
      <c r="I776" s="3" t="s">
        <v>18</v>
      </c>
      <c r="O776"/>
      <c r="P776"/>
      <c r="R776" s="87"/>
    </row>
    <row r="777" spans="2:18" hidden="1" x14ac:dyDescent="0.25">
      <c r="B777" s="3" t="s">
        <v>2247</v>
      </c>
      <c r="C777" s="3" t="s">
        <v>21</v>
      </c>
      <c r="D777" s="256" t="s">
        <v>2230</v>
      </c>
      <c r="E777" s="3" t="s">
        <v>115</v>
      </c>
      <c r="F777" s="3" t="s">
        <v>3599</v>
      </c>
      <c r="G777" s="6">
        <v>38576</v>
      </c>
      <c r="H777" s="6">
        <f t="shared" ref="H777" si="62">G777-G777/1.18</f>
        <v>5884.4745762711864</v>
      </c>
      <c r="I777" s="3" t="s">
        <v>113</v>
      </c>
      <c r="O777"/>
      <c r="P777"/>
      <c r="R777" s="87"/>
    </row>
    <row r="778" spans="2:18" hidden="1" x14ac:dyDescent="0.25">
      <c r="B778" s="3" t="s">
        <v>2955</v>
      </c>
      <c r="C778" s="3" t="s">
        <v>40</v>
      </c>
      <c r="D778" s="256" t="s">
        <v>2885</v>
      </c>
      <c r="E778" s="3" t="s">
        <v>90</v>
      </c>
      <c r="F778" s="3" t="s">
        <v>3599</v>
      </c>
      <c r="G778" s="6">
        <v>14150.75</v>
      </c>
      <c r="H778" s="6">
        <f t="shared" si="61"/>
        <v>2158.5889830508477</v>
      </c>
      <c r="I778" s="3" t="s">
        <v>113</v>
      </c>
      <c r="J778" s="18" t="s">
        <v>3732</v>
      </c>
      <c r="O778"/>
      <c r="P778"/>
      <c r="R778" s="87"/>
    </row>
    <row r="779" spans="2:18" hidden="1" x14ac:dyDescent="0.25">
      <c r="B779" s="3" t="s">
        <v>1471</v>
      </c>
      <c r="C779" s="3" t="s">
        <v>40</v>
      </c>
      <c r="D779" s="256" t="s">
        <v>1359</v>
      </c>
      <c r="E779" s="3" t="s">
        <v>90</v>
      </c>
      <c r="F779" s="3" t="s">
        <v>3599</v>
      </c>
      <c r="G779" s="6">
        <v>29530.14</v>
      </c>
      <c r="H779" s="6">
        <f t="shared" si="61"/>
        <v>4504.597627118641</v>
      </c>
      <c r="I779" s="3" t="s">
        <v>113</v>
      </c>
      <c r="J779" s="18"/>
      <c r="O779"/>
      <c r="P779"/>
      <c r="R779" s="87"/>
    </row>
    <row r="780" spans="2:18" hidden="1" x14ac:dyDescent="0.25">
      <c r="B780" s="3" t="s">
        <v>3141</v>
      </c>
      <c r="C780" s="3" t="s">
        <v>99</v>
      </c>
      <c r="D780" s="256" t="s">
        <v>3057</v>
      </c>
      <c r="E780" s="3" t="s">
        <v>90</v>
      </c>
      <c r="F780" s="3" t="s">
        <v>3599</v>
      </c>
      <c r="G780" s="6">
        <v>15892.05</v>
      </c>
      <c r="H780" s="6">
        <f t="shared" si="61"/>
        <v>2424.2110169491516</v>
      </c>
      <c r="I780" s="3" t="s">
        <v>18</v>
      </c>
      <c r="J780" s="18"/>
      <c r="O780"/>
      <c r="P780"/>
      <c r="R780" s="87"/>
    </row>
    <row r="781" spans="2:18" hidden="1" x14ac:dyDescent="0.25">
      <c r="B781" s="3" t="s">
        <v>1077</v>
      </c>
      <c r="C781" s="3" t="s">
        <v>74</v>
      </c>
      <c r="D781" s="256" t="s">
        <v>1133</v>
      </c>
      <c r="E781" s="3" t="s">
        <v>90</v>
      </c>
      <c r="F781" s="3" t="s">
        <v>3599</v>
      </c>
      <c r="G781" s="6">
        <v>24095.279999999999</v>
      </c>
      <c r="H781" s="6">
        <f t="shared" si="61"/>
        <v>3675.5511864406762</v>
      </c>
      <c r="I781" s="3" t="s">
        <v>18</v>
      </c>
      <c r="J781" s="18"/>
      <c r="O781"/>
      <c r="P781"/>
      <c r="R781" s="87"/>
    </row>
    <row r="782" spans="2:18" hidden="1" x14ac:dyDescent="0.25">
      <c r="B782" s="3" t="s">
        <v>1531</v>
      </c>
      <c r="C782" s="3" t="s">
        <v>74</v>
      </c>
      <c r="D782" s="256" t="s">
        <v>310</v>
      </c>
      <c r="E782" s="3" t="s">
        <v>90</v>
      </c>
      <c r="F782" s="3" t="s">
        <v>3599</v>
      </c>
      <c r="G782" s="6">
        <v>63711.67</v>
      </c>
      <c r="H782" s="6">
        <f t="shared" si="61"/>
        <v>9718.7293220338979</v>
      </c>
      <c r="I782" s="3" t="s">
        <v>18</v>
      </c>
      <c r="K782" s="79"/>
      <c r="O782"/>
      <c r="P782"/>
      <c r="R782" s="87"/>
    </row>
    <row r="783" spans="2:18" hidden="1" x14ac:dyDescent="0.25">
      <c r="B783" s="3" t="s">
        <v>1037</v>
      </c>
      <c r="C783" s="3" t="s">
        <v>74</v>
      </c>
      <c r="D783" s="3" t="s">
        <v>976</v>
      </c>
      <c r="E783" s="3" t="s">
        <v>90</v>
      </c>
      <c r="F783" s="3" t="s">
        <v>3599</v>
      </c>
      <c r="G783" s="6">
        <v>20081.759999999998</v>
      </c>
      <c r="H783" s="6">
        <f t="shared" si="61"/>
        <v>3063.3193220338981</v>
      </c>
      <c r="I783" s="3" t="s">
        <v>18</v>
      </c>
      <c r="O783"/>
      <c r="P783"/>
      <c r="R783" s="87"/>
    </row>
    <row r="784" spans="2:18" hidden="1" x14ac:dyDescent="0.25">
      <c r="B784" s="3" t="s">
        <v>1046</v>
      </c>
      <c r="C784" s="3" t="s">
        <v>94</v>
      </c>
      <c r="D784" s="3" t="s">
        <v>1103</v>
      </c>
      <c r="E784" s="3" t="s">
        <v>90</v>
      </c>
      <c r="F784" s="3" t="s">
        <v>3599</v>
      </c>
      <c r="G784" s="6">
        <v>105410.79</v>
      </c>
      <c r="H784" s="6">
        <f t="shared" ref="H784" si="63">G784-G784/1.18</f>
        <v>16079.612033898302</v>
      </c>
      <c r="I784" s="3" t="s">
        <v>18</v>
      </c>
      <c r="O784"/>
      <c r="P784"/>
      <c r="R784" s="87"/>
    </row>
    <row r="785" spans="2:18" hidden="1" x14ac:dyDescent="0.25">
      <c r="B785" s="3" t="s">
        <v>996</v>
      </c>
      <c r="C785" s="3" t="s">
        <v>95</v>
      </c>
      <c r="D785" s="3" t="s">
        <v>1095</v>
      </c>
      <c r="E785" s="3" t="s">
        <v>90</v>
      </c>
      <c r="F785" s="3" t="s">
        <v>3599</v>
      </c>
      <c r="G785" s="6">
        <v>9389.08</v>
      </c>
      <c r="H785" s="6">
        <f t="shared" ref="H785" si="64">G785-G785/1.18</f>
        <v>1432.2325423728807</v>
      </c>
      <c r="I785" s="3" t="s">
        <v>18</v>
      </c>
      <c r="O785"/>
      <c r="P785"/>
      <c r="R785" s="87"/>
    </row>
    <row r="786" spans="2:18" hidden="1" x14ac:dyDescent="0.25">
      <c r="B786" s="3" t="s">
        <v>990</v>
      </c>
      <c r="C786" s="3" t="s">
        <v>95</v>
      </c>
      <c r="D786" s="3" t="s">
        <v>1089</v>
      </c>
      <c r="E786" s="3" t="s">
        <v>90</v>
      </c>
      <c r="F786" s="3" t="s">
        <v>3599</v>
      </c>
      <c r="G786" s="6">
        <v>87323.02</v>
      </c>
      <c r="H786" s="6">
        <f t="shared" ref="H786:H788" si="65">G786-G786/1.18</f>
        <v>13320.460677966097</v>
      </c>
      <c r="I786" s="3" t="s">
        <v>18</v>
      </c>
      <c r="O786"/>
      <c r="P786"/>
      <c r="R786" s="87"/>
    </row>
    <row r="787" spans="2:18" hidden="1" x14ac:dyDescent="0.25">
      <c r="B787" s="3" t="s">
        <v>2298</v>
      </c>
      <c r="C787" s="3" t="s">
        <v>37</v>
      </c>
      <c r="D787" s="3" t="s">
        <v>2280</v>
      </c>
      <c r="E787" s="3" t="s">
        <v>114</v>
      </c>
      <c r="F787" s="3" t="s">
        <v>3599</v>
      </c>
      <c r="G787" s="6">
        <v>92096.45</v>
      </c>
      <c r="H787" s="6">
        <f t="shared" si="65"/>
        <v>14048.611016949144</v>
      </c>
      <c r="I787" s="3" t="s">
        <v>113</v>
      </c>
      <c r="O787"/>
      <c r="P787"/>
      <c r="R787" s="87"/>
    </row>
    <row r="788" spans="2:18" hidden="1" x14ac:dyDescent="0.25">
      <c r="B788" s="3" t="s">
        <v>2303</v>
      </c>
      <c r="C788" s="3" t="s">
        <v>36</v>
      </c>
      <c r="D788" s="3" t="s">
        <v>2283</v>
      </c>
      <c r="E788" s="3" t="s">
        <v>114</v>
      </c>
      <c r="F788" s="3" t="s">
        <v>3599</v>
      </c>
      <c r="G788" s="6">
        <v>35316.94</v>
      </c>
      <c r="H788" s="6">
        <f t="shared" si="65"/>
        <v>5387.3298305084718</v>
      </c>
      <c r="I788" s="3" t="s">
        <v>113</v>
      </c>
      <c r="O788"/>
      <c r="P788"/>
      <c r="R788" s="87"/>
    </row>
    <row r="789" spans="2:18" x14ac:dyDescent="0.25">
      <c r="B789" s="3" t="s">
        <v>919</v>
      </c>
      <c r="C789" s="3" t="s">
        <v>50</v>
      </c>
      <c r="D789" s="3" t="s">
        <v>915</v>
      </c>
      <c r="E789" s="3" t="s">
        <v>141</v>
      </c>
      <c r="F789" s="3" t="s">
        <v>3599</v>
      </c>
      <c r="G789" s="6">
        <v>38500.949999999997</v>
      </c>
      <c r="H789" s="6">
        <f t="shared" ref="H789" si="66">G789-G789/1.18</f>
        <v>5873.026271186438</v>
      </c>
      <c r="I789" s="3" t="s">
        <v>18</v>
      </c>
      <c r="O789"/>
      <c r="P789"/>
      <c r="R789" s="87"/>
    </row>
    <row r="790" spans="2:18" x14ac:dyDescent="0.25">
      <c r="B790" s="3" t="s">
        <v>918</v>
      </c>
      <c r="C790" s="3" t="s">
        <v>50</v>
      </c>
      <c r="D790" s="3" t="s">
        <v>916</v>
      </c>
      <c r="E790" s="3" t="s">
        <v>141</v>
      </c>
      <c r="F790" s="3" t="s">
        <v>3599</v>
      </c>
      <c r="G790" s="6">
        <v>120653.96</v>
      </c>
      <c r="H790" s="6">
        <f t="shared" ref="H790" si="67">G790-G790/1.18</f>
        <v>18404.841355932193</v>
      </c>
      <c r="I790" s="3" t="s">
        <v>18</v>
      </c>
      <c r="O790"/>
      <c r="P790"/>
      <c r="R790" s="87"/>
    </row>
    <row r="791" spans="2:18" x14ac:dyDescent="0.25">
      <c r="B791" s="3" t="s">
        <v>920</v>
      </c>
      <c r="C791" s="3" t="s">
        <v>50</v>
      </c>
      <c r="D791" s="3" t="s">
        <v>917</v>
      </c>
      <c r="E791" s="3" t="s">
        <v>141</v>
      </c>
      <c r="F791" s="3" t="s">
        <v>3599</v>
      </c>
      <c r="G791" s="6">
        <v>4819.9399999999996</v>
      </c>
      <c r="H791" s="6">
        <f t="shared" ref="H791" si="68">G791-G791/1.18</f>
        <v>735.2450847457626</v>
      </c>
      <c r="I791" s="3" t="s">
        <v>18</v>
      </c>
      <c r="O791"/>
      <c r="P791"/>
      <c r="R791" s="87"/>
    </row>
    <row r="792" spans="2:18" hidden="1" x14ac:dyDescent="0.25">
      <c r="B792" s="3" t="s">
        <v>1970</v>
      </c>
      <c r="C792" s="3" t="s">
        <v>91</v>
      </c>
      <c r="D792" s="3" t="s">
        <v>1969</v>
      </c>
      <c r="E792" s="3" t="s">
        <v>105</v>
      </c>
      <c r="F792" s="3" t="s">
        <v>3599</v>
      </c>
      <c r="G792" s="6">
        <v>3200</v>
      </c>
      <c r="H792" s="6">
        <f t="shared" ref="H792:H795" si="69">G792-G792/1.18</f>
        <v>488.13559322033871</v>
      </c>
      <c r="I792" s="3" t="s">
        <v>18</v>
      </c>
      <c r="O792"/>
      <c r="P792"/>
      <c r="R792" s="87"/>
    </row>
    <row r="793" spans="2:18" hidden="1" x14ac:dyDescent="0.25">
      <c r="B793" s="3" t="s">
        <v>3544</v>
      </c>
      <c r="C793" s="3" t="s">
        <v>91</v>
      </c>
      <c r="D793" s="3" t="s">
        <v>3542</v>
      </c>
      <c r="E793" s="3" t="s">
        <v>105</v>
      </c>
      <c r="F793" s="3" t="s">
        <v>3599</v>
      </c>
      <c r="G793" s="6">
        <v>2000</v>
      </c>
      <c r="H793" s="6">
        <f t="shared" si="69"/>
        <v>305.08474576271169</v>
      </c>
      <c r="I793" s="3" t="s">
        <v>18</v>
      </c>
      <c r="O793"/>
      <c r="P793"/>
      <c r="R793" s="87"/>
    </row>
    <row r="794" spans="2:18" hidden="1" x14ac:dyDescent="0.25">
      <c r="B794" s="3" t="s">
        <v>2403</v>
      </c>
      <c r="C794" s="3" t="s">
        <v>72</v>
      </c>
      <c r="D794" s="3" t="s">
        <v>2347</v>
      </c>
      <c r="E794" s="3" t="s">
        <v>87</v>
      </c>
      <c r="F794" s="3" t="s">
        <v>3599</v>
      </c>
      <c r="G794" s="6">
        <v>51627.58</v>
      </c>
      <c r="H794" s="6">
        <f t="shared" si="69"/>
        <v>7875.3935593220303</v>
      </c>
      <c r="I794" s="3" t="s">
        <v>113</v>
      </c>
      <c r="J794" s="18"/>
      <c r="O794"/>
      <c r="P794"/>
      <c r="R794" s="87"/>
    </row>
    <row r="795" spans="2:18" hidden="1" x14ac:dyDescent="0.25">
      <c r="B795" s="3" t="s">
        <v>3575</v>
      </c>
      <c r="C795" s="3" t="s">
        <v>30</v>
      </c>
      <c r="D795" s="3" t="s">
        <v>4063</v>
      </c>
      <c r="E795" s="3" t="s">
        <v>87</v>
      </c>
      <c r="F795" s="3" t="s">
        <v>3599</v>
      </c>
      <c r="G795" s="6">
        <v>249153.79</v>
      </c>
      <c r="H795" s="6">
        <f t="shared" si="69"/>
        <v>38006.510338983033</v>
      </c>
      <c r="I795" s="3" t="s">
        <v>113</v>
      </c>
      <c r="O795"/>
      <c r="P795"/>
      <c r="R795" s="87"/>
    </row>
    <row r="796" spans="2:18" hidden="1" x14ac:dyDescent="0.25">
      <c r="B796" s="3" t="s">
        <v>2398</v>
      </c>
      <c r="C796" s="3" t="s">
        <v>29</v>
      </c>
      <c r="D796" s="3" t="s">
        <v>2343</v>
      </c>
      <c r="E796" s="3" t="s">
        <v>87</v>
      </c>
      <c r="F796" s="3" t="s">
        <v>3599</v>
      </c>
      <c r="G796" s="6">
        <v>21025.5</v>
      </c>
      <c r="H796" s="6">
        <f t="shared" ref="H796:H798" si="70">G796-G796/1.18</f>
        <v>3207.2796610169498</v>
      </c>
      <c r="I796" s="3" t="s">
        <v>113</v>
      </c>
      <c r="O796"/>
      <c r="P796"/>
      <c r="R796" s="87"/>
    </row>
    <row r="797" spans="2:18" hidden="1" x14ac:dyDescent="0.25">
      <c r="B797" s="3" t="s">
        <v>2397</v>
      </c>
      <c r="C797" s="3" t="s">
        <v>29</v>
      </c>
      <c r="D797" s="3" t="s">
        <v>2366</v>
      </c>
      <c r="E797" s="3" t="s">
        <v>117</v>
      </c>
      <c r="F797" s="3" t="s">
        <v>3599</v>
      </c>
      <c r="G797" s="6">
        <v>170</v>
      </c>
      <c r="H797" s="6">
        <f t="shared" si="70"/>
        <v>25.932203389830505</v>
      </c>
      <c r="I797" s="3" t="s">
        <v>113</v>
      </c>
      <c r="O797"/>
      <c r="P797"/>
      <c r="R797" s="87"/>
    </row>
    <row r="798" spans="2:18" hidden="1" x14ac:dyDescent="0.25">
      <c r="B798" s="3" t="s">
        <v>2523</v>
      </c>
      <c r="C798" s="3" t="s">
        <v>92</v>
      </c>
      <c r="D798" s="3" t="s">
        <v>2465</v>
      </c>
      <c r="E798" s="3" t="s">
        <v>87</v>
      </c>
      <c r="F798" s="3" t="s">
        <v>3599</v>
      </c>
      <c r="G798" s="6">
        <v>412909.52</v>
      </c>
      <c r="H798" s="6">
        <f t="shared" si="70"/>
        <v>62986.197966101696</v>
      </c>
      <c r="I798" s="3" t="s">
        <v>18</v>
      </c>
      <c r="O798"/>
      <c r="P798"/>
      <c r="R798" s="87"/>
    </row>
    <row r="799" spans="2:18" hidden="1" x14ac:dyDescent="0.25">
      <c r="B799" s="3" t="s">
        <v>3577</v>
      </c>
      <c r="C799" s="3" t="s">
        <v>50</v>
      </c>
      <c r="D799" s="3" t="s">
        <v>3576</v>
      </c>
      <c r="E799" s="3" t="s">
        <v>116</v>
      </c>
      <c r="F799" s="3" t="s">
        <v>3599</v>
      </c>
      <c r="G799" s="6">
        <v>26113.5</v>
      </c>
      <c r="H799" s="6">
        <f t="shared" ref="H799:H801" si="71">G799-G799/1.18</f>
        <v>3983.4152542372867</v>
      </c>
      <c r="I799" s="3" t="s">
        <v>18</v>
      </c>
      <c r="O799"/>
      <c r="P799"/>
      <c r="R799" s="87"/>
    </row>
    <row r="800" spans="2:18" hidden="1" x14ac:dyDescent="0.25">
      <c r="B800" s="3" t="s">
        <v>3568</v>
      </c>
      <c r="C800" s="3" t="s">
        <v>3566</v>
      </c>
      <c r="D800" s="3" t="s">
        <v>3567</v>
      </c>
      <c r="E800" s="3" t="s">
        <v>123</v>
      </c>
      <c r="F800" s="3" t="s">
        <v>3599</v>
      </c>
      <c r="G800" s="6">
        <v>5225.5</v>
      </c>
      <c r="H800" s="6">
        <f t="shared" si="71"/>
        <v>797.11016949152508</v>
      </c>
      <c r="I800" s="3" t="s">
        <v>113</v>
      </c>
      <c r="O800"/>
      <c r="P800"/>
      <c r="R800" s="87"/>
    </row>
    <row r="801" spans="2:18" hidden="1" x14ac:dyDescent="0.25">
      <c r="B801" s="3" t="s">
        <v>2244</v>
      </c>
      <c r="C801" s="3" t="s">
        <v>45</v>
      </c>
      <c r="D801" s="3" t="s">
        <v>2227</v>
      </c>
      <c r="E801" s="3" t="s">
        <v>123</v>
      </c>
      <c r="F801" s="3" t="s">
        <v>3599</v>
      </c>
      <c r="G801" s="6">
        <v>385</v>
      </c>
      <c r="H801" s="6">
        <f t="shared" si="71"/>
        <v>58.72881355932202</v>
      </c>
      <c r="I801" s="3" t="s">
        <v>113</v>
      </c>
      <c r="O801"/>
      <c r="P801"/>
      <c r="R801" s="87"/>
    </row>
    <row r="802" spans="2:18" hidden="1" x14ac:dyDescent="0.25">
      <c r="B802" s="3" t="s">
        <v>2242</v>
      </c>
      <c r="C802" s="3" t="s">
        <v>45</v>
      </c>
      <c r="D802" s="3" t="s">
        <v>2225</v>
      </c>
      <c r="E802" s="3" t="s">
        <v>123</v>
      </c>
      <c r="F802" s="3" t="s">
        <v>3599</v>
      </c>
      <c r="G802" s="6">
        <v>728</v>
      </c>
      <c r="H802" s="6">
        <f t="shared" ref="H802:H806" si="72">G802-G802/1.18</f>
        <v>111.05084745762713</v>
      </c>
      <c r="I802" s="3" t="s">
        <v>113</v>
      </c>
      <c r="O802"/>
      <c r="P802"/>
      <c r="R802" s="87"/>
    </row>
    <row r="803" spans="2:18" hidden="1" x14ac:dyDescent="0.25">
      <c r="B803" s="3" t="s">
        <v>1618</v>
      </c>
      <c r="C803" s="3" t="s">
        <v>45</v>
      </c>
      <c r="D803" s="3" t="s">
        <v>1619</v>
      </c>
      <c r="E803" s="3" t="s">
        <v>75</v>
      </c>
      <c r="F803" s="3" t="s">
        <v>3629</v>
      </c>
      <c r="G803" s="6">
        <v>800000</v>
      </c>
      <c r="H803" s="6">
        <f t="shared" si="72"/>
        <v>122033.89830508467</v>
      </c>
      <c r="I803" s="3" t="s">
        <v>113</v>
      </c>
      <c r="J803" s="18" t="s">
        <v>3732</v>
      </c>
      <c r="O803"/>
      <c r="P803"/>
      <c r="R803" s="87"/>
    </row>
    <row r="804" spans="2:18" hidden="1" x14ac:dyDescent="0.25">
      <c r="B804" s="3" t="s">
        <v>2051</v>
      </c>
      <c r="C804" s="3" t="s">
        <v>52</v>
      </c>
      <c r="D804" s="3" t="s">
        <v>2053</v>
      </c>
      <c r="E804" s="3" t="s">
        <v>75</v>
      </c>
      <c r="F804" s="3" t="s">
        <v>3629</v>
      </c>
      <c r="G804" s="6">
        <v>100000</v>
      </c>
      <c r="H804" s="6">
        <f t="shared" si="72"/>
        <v>15254.237288135584</v>
      </c>
      <c r="I804" s="3" t="s">
        <v>113</v>
      </c>
      <c r="J804" s="18" t="s">
        <v>3732</v>
      </c>
      <c r="O804"/>
      <c r="P804"/>
      <c r="R804" s="87"/>
    </row>
    <row r="805" spans="2:18" hidden="1" x14ac:dyDescent="0.25">
      <c r="B805" s="3" t="s">
        <v>1050</v>
      </c>
      <c r="C805" s="3" t="s">
        <v>94</v>
      </c>
      <c r="D805" s="3" t="s">
        <v>1107</v>
      </c>
      <c r="E805" s="3" t="s">
        <v>90</v>
      </c>
      <c r="F805" s="3" t="s">
        <v>3629</v>
      </c>
      <c r="G805" s="6">
        <v>720.24</v>
      </c>
      <c r="H805" s="6">
        <f t="shared" si="72"/>
        <v>109.86711864406777</v>
      </c>
      <c r="I805" s="3" t="s">
        <v>18</v>
      </c>
      <c r="O805"/>
      <c r="P805"/>
      <c r="R805" s="87"/>
    </row>
    <row r="806" spans="2:18" hidden="1" x14ac:dyDescent="0.25">
      <c r="B806" s="3" t="s">
        <v>3095</v>
      </c>
      <c r="C806" s="3" t="s">
        <v>94</v>
      </c>
      <c r="D806" s="3" t="s">
        <v>3012</v>
      </c>
      <c r="E806" s="3" t="s">
        <v>90</v>
      </c>
      <c r="F806" s="3" t="s">
        <v>3629</v>
      </c>
      <c r="G806" s="6">
        <v>6302.1</v>
      </c>
      <c r="H806" s="6">
        <f t="shared" si="72"/>
        <v>961.33728813559264</v>
      </c>
      <c r="I806" s="3" t="s">
        <v>18</v>
      </c>
      <c r="O806"/>
      <c r="P806"/>
      <c r="R806" s="87"/>
    </row>
    <row r="807" spans="2:18" hidden="1" x14ac:dyDescent="0.25">
      <c r="B807" s="3" t="s">
        <v>972</v>
      </c>
      <c r="C807" s="3" t="s">
        <v>95</v>
      </c>
      <c r="D807" s="3" t="s">
        <v>971</v>
      </c>
      <c r="E807" s="3" t="s">
        <v>90</v>
      </c>
      <c r="F807" s="3" t="s">
        <v>3629</v>
      </c>
      <c r="G807" s="6">
        <v>1920.64</v>
      </c>
      <c r="H807" s="6">
        <f t="shared" ref="H807" si="73">G807-G807/1.18</f>
        <v>292.97898305084732</v>
      </c>
      <c r="I807" s="3" t="s">
        <v>18</v>
      </c>
      <c r="O807"/>
      <c r="P807"/>
      <c r="R807" s="87"/>
    </row>
    <row r="808" spans="2:18" hidden="1" x14ac:dyDescent="0.25">
      <c r="B808" s="3" t="s">
        <v>1063</v>
      </c>
      <c r="C808" s="3" t="s">
        <v>94</v>
      </c>
      <c r="D808" s="3" t="s">
        <v>1120</v>
      </c>
      <c r="E808" s="3" t="s">
        <v>90</v>
      </c>
      <c r="F808" s="3" t="s">
        <v>3629</v>
      </c>
      <c r="G808" s="6">
        <v>2700.9</v>
      </c>
      <c r="H808" s="6">
        <f t="shared" ref="H808:H810" si="74">G808-G808/1.18</f>
        <v>412.00169491525412</v>
      </c>
      <c r="I808" s="3" t="s">
        <v>18</v>
      </c>
      <c r="O808"/>
      <c r="P808"/>
      <c r="R808" s="87"/>
    </row>
    <row r="809" spans="2:18" hidden="1" x14ac:dyDescent="0.25">
      <c r="B809" s="3" t="s">
        <v>1438</v>
      </c>
      <c r="C809" s="3" t="s">
        <v>41</v>
      </c>
      <c r="D809" s="3" t="s">
        <v>1328</v>
      </c>
      <c r="E809" s="3" t="s">
        <v>90</v>
      </c>
      <c r="F809" s="3" t="s">
        <v>3629</v>
      </c>
      <c r="G809" s="6">
        <v>4681.5600000000004</v>
      </c>
      <c r="H809" s="6">
        <f t="shared" si="74"/>
        <v>714.13627118644035</v>
      </c>
      <c r="I809" s="3" t="s">
        <v>113</v>
      </c>
      <c r="O809"/>
      <c r="P809"/>
      <c r="R809" s="87"/>
    </row>
    <row r="810" spans="2:18" hidden="1" x14ac:dyDescent="0.25">
      <c r="B810" s="3" t="s">
        <v>1445</v>
      </c>
      <c r="C810" s="3" t="s">
        <v>41</v>
      </c>
      <c r="D810" s="3" t="s">
        <v>1335</v>
      </c>
      <c r="E810" s="3" t="s">
        <v>90</v>
      </c>
      <c r="F810" s="3" t="s">
        <v>3629</v>
      </c>
      <c r="G810" s="6">
        <v>9423.14</v>
      </c>
      <c r="H810" s="6">
        <f t="shared" si="74"/>
        <v>1437.4281355932198</v>
      </c>
      <c r="I810" s="3" t="s">
        <v>113</v>
      </c>
      <c r="O810"/>
      <c r="P810"/>
      <c r="R810" s="87"/>
    </row>
    <row r="811" spans="2:18" hidden="1" x14ac:dyDescent="0.25">
      <c r="B811" s="3" t="s">
        <v>1494</v>
      </c>
      <c r="C811" s="3" t="s">
        <v>40</v>
      </c>
      <c r="D811" s="3" t="s">
        <v>1382</v>
      </c>
      <c r="E811" s="3" t="s">
        <v>90</v>
      </c>
      <c r="F811" s="3" t="s">
        <v>3629</v>
      </c>
      <c r="G811" s="6">
        <v>2580.86</v>
      </c>
      <c r="H811" s="6">
        <f t="shared" ref="H811" si="75">G811-G811/1.18</f>
        <v>393.69050847457629</v>
      </c>
      <c r="I811" s="3" t="s">
        <v>113</v>
      </c>
      <c r="O811"/>
      <c r="P811"/>
      <c r="R811" s="87"/>
    </row>
    <row r="812" spans="2:18" hidden="1" x14ac:dyDescent="0.25">
      <c r="B812" s="3" t="s">
        <v>1463</v>
      </c>
      <c r="C812" s="3" t="s">
        <v>40</v>
      </c>
      <c r="D812" s="3" t="s">
        <v>1351</v>
      </c>
      <c r="E812" s="3" t="s">
        <v>90</v>
      </c>
      <c r="F812" s="3" t="s">
        <v>3629</v>
      </c>
      <c r="G812" s="6">
        <v>60.2</v>
      </c>
      <c r="H812" s="6">
        <f t="shared" ref="H812" si="76">G812-G812/1.18</f>
        <v>9.183050847457622</v>
      </c>
      <c r="I812" s="3" t="s">
        <v>113</v>
      </c>
      <c r="O812"/>
      <c r="P812"/>
      <c r="R812" s="87"/>
    </row>
    <row r="813" spans="2:18" hidden="1" x14ac:dyDescent="0.25">
      <c r="B813" s="3" t="s">
        <v>1449</v>
      </c>
      <c r="C813" s="3" t="s">
        <v>40</v>
      </c>
      <c r="D813" s="3" t="s">
        <v>1339</v>
      </c>
      <c r="E813" s="3" t="s">
        <v>90</v>
      </c>
      <c r="F813" s="3" t="s">
        <v>3629</v>
      </c>
      <c r="G813" s="6">
        <v>2400.8000000000002</v>
      </c>
      <c r="H813" s="6">
        <f t="shared" ref="H813" si="77">G813-G813/1.18</f>
        <v>366.22372881355932</v>
      </c>
      <c r="I813" s="3" t="s">
        <v>113</v>
      </c>
      <c r="O813"/>
      <c r="P813"/>
      <c r="R813" s="87"/>
    </row>
    <row r="814" spans="2:18" hidden="1" x14ac:dyDescent="0.25">
      <c r="B814" s="3" t="s">
        <v>1453</v>
      </c>
      <c r="C814" s="3" t="s">
        <v>40</v>
      </c>
      <c r="D814" s="3" t="s">
        <v>1343</v>
      </c>
      <c r="E814" s="3" t="s">
        <v>90</v>
      </c>
      <c r="F814" s="3" t="s">
        <v>3629</v>
      </c>
      <c r="G814" s="6">
        <v>7922.64</v>
      </c>
      <c r="H814" s="6">
        <f t="shared" ref="H814:H817" si="78">G814-G814/1.18</f>
        <v>1208.5383050847458</v>
      </c>
      <c r="I814" s="3" t="s">
        <v>113</v>
      </c>
      <c r="O814"/>
      <c r="P814"/>
      <c r="R814" s="87"/>
    </row>
    <row r="815" spans="2:18" hidden="1" x14ac:dyDescent="0.25">
      <c r="B815" s="3" t="s">
        <v>1526</v>
      </c>
      <c r="C815" s="3" t="s">
        <v>40</v>
      </c>
      <c r="D815" s="3" t="s">
        <v>3632</v>
      </c>
      <c r="E815" s="3" t="s">
        <v>90</v>
      </c>
      <c r="F815" s="3" t="s">
        <v>3629</v>
      </c>
      <c r="G815" s="6">
        <v>60.02</v>
      </c>
      <c r="H815" s="6">
        <f t="shared" si="78"/>
        <v>9.1555932203389787</v>
      </c>
      <c r="I815" s="3" t="s">
        <v>18</v>
      </c>
      <c r="O815"/>
      <c r="P815"/>
      <c r="R815" s="87"/>
    </row>
    <row r="816" spans="2:18" hidden="1" x14ac:dyDescent="0.25">
      <c r="B816" s="3" t="s">
        <v>1526</v>
      </c>
      <c r="C816" s="3" t="s">
        <v>40</v>
      </c>
      <c r="D816" s="3" t="s">
        <v>3631</v>
      </c>
      <c r="E816" s="3" t="s">
        <v>90</v>
      </c>
      <c r="F816" s="3" t="s">
        <v>3629</v>
      </c>
      <c r="G816" s="6">
        <v>1020.34</v>
      </c>
      <c r="H816" s="6">
        <f t="shared" si="78"/>
        <v>155.64508474576269</v>
      </c>
      <c r="I816" s="3" t="s">
        <v>18</v>
      </c>
      <c r="O816"/>
      <c r="P816"/>
      <c r="R816" s="87"/>
    </row>
    <row r="817" spans="2:18" hidden="1" x14ac:dyDescent="0.25">
      <c r="B817" s="3" t="s">
        <v>1526</v>
      </c>
      <c r="C817" s="3" t="s">
        <v>40</v>
      </c>
      <c r="D817" s="3" t="s">
        <v>3630</v>
      </c>
      <c r="E817" s="3" t="s">
        <v>90</v>
      </c>
      <c r="F817" s="3" t="s">
        <v>3629</v>
      </c>
      <c r="G817" s="6">
        <v>58339.44</v>
      </c>
      <c r="H817" s="6">
        <f t="shared" si="78"/>
        <v>8899.2366101694861</v>
      </c>
      <c r="I817" s="3" t="s">
        <v>18</v>
      </c>
      <c r="O817"/>
      <c r="P817"/>
      <c r="R817" s="87"/>
    </row>
    <row r="818" spans="2:18" x14ac:dyDescent="0.25">
      <c r="B818" s="3" t="s">
        <v>2198</v>
      </c>
      <c r="C818" s="3" t="s">
        <v>50</v>
      </c>
      <c r="D818" s="3" t="s">
        <v>3547</v>
      </c>
      <c r="E818" s="3" t="s">
        <v>141</v>
      </c>
      <c r="F818" s="3" t="s">
        <v>3599</v>
      </c>
      <c r="G818" s="6">
        <v>800</v>
      </c>
      <c r="H818" s="6">
        <f t="shared" ref="H818:H820" si="79">G818-G818/1.18</f>
        <v>122.03389830508468</v>
      </c>
      <c r="I818" s="3" t="s">
        <v>113</v>
      </c>
      <c r="N818">
        <v>38</v>
      </c>
      <c r="O818"/>
      <c r="P818"/>
      <c r="R818" s="87"/>
    </row>
    <row r="819" spans="2:18" x14ac:dyDescent="0.25">
      <c r="B819" s="3" t="s">
        <v>2198</v>
      </c>
      <c r="C819" s="3" t="s">
        <v>50</v>
      </c>
      <c r="D819" s="3" t="s">
        <v>3549</v>
      </c>
      <c r="E819" s="3" t="s">
        <v>141</v>
      </c>
      <c r="F819" s="3" t="s">
        <v>3599</v>
      </c>
      <c r="G819" s="6">
        <v>600</v>
      </c>
      <c r="H819" s="6">
        <f t="shared" si="79"/>
        <v>91.525423728813507</v>
      </c>
      <c r="I819" s="3" t="s">
        <v>113</v>
      </c>
      <c r="N819">
        <v>28</v>
      </c>
      <c r="O819"/>
      <c r="P819"/>
      <c r="R819" s="87"/>
    </row>
    <row r="820" spans="2:18" x14ac:dyDescent="0.25">
      <c r="B820" s="3" t="s">
        <v>2198</v>
      </c>
      <c r="C820" s="3" t="s">
        <v>50</v>
      </c>
      <c r="D820" s="3" t="s">
        <v>3548</v>
      </c>
      <c r="E820" s="3" t="s">
        <v>141</v>
      </c>
      <c r="F820" s="3" t="s">
        <v>3599</v>
      </c>
      <c r="G820" s="6">
        <v>700</v>
      </c>
      <c r="H820" s="6">
        <f t="shared" si="79"/>
        <v>106.77966101694915</v>
      </c>
      <c r="I820" s="3" t="s">
        <v>113</v>
      </c>
      <c r="N820">
        <v>33</v>
      </c>
      <c r="O820"/>
      <c r="P820"/>
      <c r="R820" s="87"/>
    </row>
    <row r="821" spans="2:18" x14ac:dyDescent="0.25">
      <c r="B821" s="3" t="s">
        <v>2198</v>
      </c>
      <c r="C821" s="3" t="s">
        <v>50</v>
      </c>
      <c r="D821" s="3" t="s">
        <v>3550</v>
      </c>
      <c r="E821" s="3" t="s">
        <v>141</v>
      </c>
      <c r="F821" s="3" t="s">
        <v>3599</v>
      </c>
      <c r="G821" s="6">
        <v>800</v>
      </c>
      <c r="H821" s="6">
        <f t="shared" ref="H821:H822" si="80">G821-G821/1.18</f>
        <v>122.03389830508468</v>
      </c>
      <c r="I821" s="3" t="s">
        <v>113</v>
      </c>
      <c r="N821">
        <v>39</v>
      </c>
      <c r="O821"/>
      <c r="P821"/>
      <c r="R821" s="87"/>
    </row>
    <row r="822" spans="2:18" x14ac:dyDescent="0.25">
      <c r="B822" s="3" t="s">
        <v>2198</v>
      </c>
      <c r="C822" s="3" t="s">
        <v>50</v>
      </c>
      <c r="D822" s="3" t="s">
        <v>3633</v>
      </c>
      <c r="E822" s="3" t="s">
        <v>141</v>
      </c>
      <c r="F822" s="3" t="s">
        <v>3599</v>
      </c>
      <c r="G822" s="6">
        <v>500</v>
      </c>
      <c r="H822" s="6">
        <f t="shared" si="80"/>
        <v>76.271186440677923</v>
      </c>
      <c r="I822" s="3" t="s">
        <v>113</v>
      </c>
      <c r="N822">
        <v>23</v>
      </c>
      <c r="O822"/>
      <c r="P822"/>
      <c r="R822" s="87"/>
    </row>
    <row r="823" spans="2:18" x14ac:dyDescent="0.25">
      <c r="B823" s="3" t="s">
        <v>2198</v>
      </c>
      <c r="C823" s="3" t="s">
        <v>50</v>
      </c>
      <c r="D823" s="3" t="s">
        <v>3634</v>
      </c>
      <c r="E823" s="3" t="s">
        <v>141</v>
      </c>
      <c r="F823" s="3" t="s">
        <v>3629</v>
      </c>
      <c r="G823" s="6">
        <v>500</v>
      </c>
      <c r="H823" s="6">
        <f t="shared" ref="H823:H826" si="81">G823-G823/1.18</f>
        <v>76.271186440677923</v>
      </c>
      <c r="I823" s="3" t="s">
        <v>113</v>
      </c>
      <c r="N823">
        <v>20</v>
      </c>
      <c r="O823"/>
      <c r="P823"/>
      <c r="R823" s="87"/>
    </row>
    <row r="824" spans="2:18" hidden="1" x14ac:dyDescent="0.25">
      <c r="B824" s="3" t="s">
        <v>1973</v>
      </c>
      <c r="C824" s="3" t="s">
        <v>91</v>
      </c>
      <c r="D824" s="3" t="s">
        <v>1615</v>
      </c>
      <c r="E824" s="3" t="s">
        <v>701</v>
      </c>
      <c r="F824" s="3" t="s">
        <v>3629</v>
      </c>
      <c r="G824" s="6">
        <v>4000</v>
      </c>
      <c r="H824" s="6">
        <f t="shared" si="81"/>
        <v>610.16949152542338</v>
      </c>
      <c r="I824" s="3" t="s">
        <v>18</v>
      </c>
      <c r="O824"/>
      <c r="P824"/>
      <c r="R824" s="87"/>
    </row>
    <row r="825" spans="2:18" hidden="1" x14ac:dyDescent="0.25">
      <c r="B825" s="3" t="s">
        <v>3358</v>
      </c>
      <c r="C825" s="3" t="s">
        <v>96</v>
      </c>
      <c r="D825" s="3" t="s">
        <v>3465</v>
      </c>
      <c r="E825" s="3" t="s">
        <v>71</v>
      </c>
      <c r="F825" s="3" t="s">
        <v>3629</v>
      </c>
      <c r="G825" s="6">
        <v>5000</v>
      </c>
      <c r="H825" s="6">
        <f t="shared" si="81"/>
        <v>762.71186440677957</v>
      </c>
      <c r="I825" s="3" t="s">
        <v>18</v>
      </c>
      <c r="N825">
        <v>66</v>
      </c>
      <c r="O825"/>
      <c r="P825"/>
      <c r="R825" s="87"/>
    </row>
    <row r="826" spans="2:18" hidden="1" x14ac:dyDescent="0.25">
      <c r="B826" s="3" t="s">
        <v>2788</v>
      </c>
      <c r="C826" s="3" t="s">
        <v>96</v>
      </c>
      <c r="D826" s="3" t="s">
        <v>3627</v>
      </c>
      <c r="E826" s="3" t="s">
        <v>71</v>
      </c>
      <c r="F826" s="3" t="s">
        <v>3629</v>
      </c>
      <c r="G826" s="6">
        <v>2000</v>
      </c>
      <c r="H826" s="6">
        <f t="shared" si="81"/>
        <v>305.08474576271169</v>
      </c>
      <c r="I826" s="3" t="s">
        <v>18</v>
      </c>
      <c r="N826">
        <v>37</v>
      </c>
      <c r="O826"/>
      <c r="P826"/>
      <c r="R826" s="87"/>
    </row>
    <row r="827" spans="2:18" hidden="1" x14ac:dyDescent="0.25">
      <c r="B827" s="3" t="s">
        <v>3359</v>
      </c>
      <c r="C827" s="3" t="s">
        <v>96</v>
      </c>
      <c r="D827" s="3" t="s">
        <v>3480</v>
      </c>
      <c r="E827" s="3" t="s">
        <v>71</v>
      </c>
      <c r="F827" s="3" t="s">
        <v>3629</v>
      </c>
      <c r="G827" s="6">
        <v>2000</v>
      </c>
      <c r="H827" s="6">
        <f t="shared" ref="H827:H828" si="82">G827-G827/1.18</f>
        <v>305.08474576271169</v>
      </c>
      <c r="I827" s="3" t="s">
        <v>18</v>
      </c>
      <c r="N827">
        <v>28</v>
      </c>
      <c r="O827"/>
      <c r="P827"/>
      <c r="R827" s="87"/>
    </row>
    <row r="828" spans="2:18" hidden="1" x14ac:dyDescent="0.25">
      <c r="B828" s="3" t="s">
        <v>3358</v>
      </c>
      <c r="C828" s="3" t="s">
        <v>96</v>
      </c>
      <c r="D828" s="3" t="s">
        <v>3467</v>
      </c>
      <c r="E828" s="3" t="s">
        <v>71</v>
      </c>
      <c r="F828" s="3" t="s">
        <v>3629</v>
      </c>
      <c r="G828" s="6">
        <v>3403.39</v>
      </c>
      <c r="H828" s="6">
        <f t="shared" si="82"/>
        <v>519.16118644067774</v>
      </c>
      <c r="I828" s="3" t="s">
        <v>18</v>
      </c>
      <c r="J828" s="18" t="s">
        <v>3732</v>
      </c>
      <c r="O828"/>
      <c r="P828"/>
      <c r="R828" s="87"/>
    </row>
    <row r="829" spans="2:18" hidden="1" x14ac:dyDescent="0.25">
      <c r="B829" s="3" t="s">
        <v>3358</v>
      </c>
      <c r="C829" s="3" t="s">
        <v>96</v>
      </c>
      <c r="D829" s="3" t="s">
        <v>3532</v>
      </c>
      <c r="E829" s="3" t="s">
        <v>71</v>
      </c>
      <c r="F829" s="3" t="s">
        <v>3629</v>
      </c>
      <c r="G829" s="6">
        <v>684</v>
      </c>
      <c r="H829" s="6">
        <f t="shared" ref="H829:H830" si="83">G829-G829/1.18</f>
        <v>104.33898305084745</v>
      </c>
      <c r="I829" s="3" t="s">
        <v>18</v>
      </c>
      <c r="J829" s="18" t="s">
        <v>3732</v>
      </c>
      <c r="O829"/>
      <c r="P829"/>
      <c r="R829" s="87"/>
    </row>
    <row r="830" spans="2:18" hidden="1" x14ac:dyDescent="0.25">
      <c r="B830" s="3" t="s">
        <v>3358</v>
      </c>
      <c r="C830" s="3" t="s">
        <v>96</v>
      </c>
      <c r="D830" s="3" t="s">
        <v>3460</v>
      </c>
      <c r="E830" s="3" t="s">
        <v>71</v>
      </c>
      <c r="F830" s="3" t="s">
        <v>3629</v>
      </c>
      <c r="G830" s="6">
        <v>3860.7</v>
      </c>
      <c r="H830" s="6">
        <f t="shared" si="83"/>
        <v>588.92033898305044</v>
      </c>
      <c r="I830" s="3" t="s">
        <v>18</v>
      </c>
      <c r="J830" s="18" t="s">
        <v>3732</v>
      </c>
      <c r="O830"/>
      <c r="P830"/>
      <c r="R830" s="87"/>
    </row>
    <row r="831" spans="2:18" hidden="1" x14ac:dyDescent="0.25">
      <c r="B831" s="3" t="s">
        <v>3358</v>
      </c>
      <c r="C831" s="3" t="s">
        <v>96</v>
      </c>
      <c r="D831" s="3" t="s">
        <v>3466</v>
      </c>
      <c r="E831" s="3" t="s">
        <v>71</v>
      </c>
      <c r="F831" s="3" t="s">
        <v>3629</v>
      </c>
      <c r="G831" s="6">
        <v>1569.39</v>
      </c>
      <c r="H831" s="6">
        <f t="shared" ref="H831:H832" si="84">G831-G831/1.18</f>
        <v>239.39847457627116</v>
      </c>
      <c r="I831" s="3" t="s">
        <v>18</v>
      </c>
      <c r="J831" s="18" t="s">
        <v>3732</v>
      </c>
      <c r="O831"/>
      <c r="P831"/>
      <c r="R831" s="87"/>
    </row>
    <row r="832" spans="2:18" hidden="1" x14ac:dyDescent="0.25">
      <c r="B832" s="3" t="s">
        <v>3359</v>
      </c>
      <c r="C832" s="3" t="s">
        <v>96</v>
      </c>
      <c r="D832" s="3" t="s">
        <v>3478</v>
      </c>
      <c r="E832" s="3" t="s">
        <v>71</v>
      </c>
      <c r="F832" s="3" t="s">
        <v>3629</v>
      </c>
      <c r="G832" s="6">
        <v>23429.4</v>
      </c>
      <c r="H832" s="6">
        <f t="shared" si="84"/>
        <v>3573.9762711864387</v>
      </c>
      <c r="I832" s="3" t="s">
        <v>18</v>
      </c>
      <c r="J832" s="18" t="s">
        <v>3732</v>
      </c>
      <c r="O832"/>
      <c r="P832"/>
      <c r="R832" s="87"/>
    </row>
    <row r="833" spans="2:18" hidden="1" x14ac:dyDescent="0.25">
      <c r="B833" s="3" t="s">
        <v>3359</v>
      </c>
      <c r="C833" s="3" t="s">
        <v>96</v>
      </c>
      <c r="D833" s="3" t="s">
        <v>3590</v>
      </c>
      <c r="E833" s="3" t="s">
        <v>71</v>
      </c>
      <c r="F833" s="3" t="s">
        <v>3629</v>
      </c>
      <c r="G833" s="6">
        <v>4125.96</v>
      </c>
      <c r="H833" s="6">
        <f t="shared" ref="H833:H834" si="85">G833-G833/1.18</f>
        <v>629.38372881355917</v>
      </c>
      <c r="I833" s="3" t="s">
        <v>18</v>
      </c>
      <c r="J833" s="18" t="s">
        <v>3732</v>
      </c>
      <c r="O833"/>
      <c r="P833"/>
      <c r="R833" s="87"/>
    </row>
    <row r="834" spans="2:18" hidden="1" x14ac:dyDescent="0.25">
      <c r="B834" s="3" t="s">
        <v>2962</v>
      </c>
      <c r="C834" s="3" t="s">
        <v>73</v>
      </c>
      <c r="D834" s="3" t="s">
        <v>2892</v>
      </c>
      <c r="E834" s="3" t="s">
        <v>106</v>
      </c>
      <c r="F834" s="3" t="s">
        <v>3629</v>
      </c>
      <c r="G834" s="6">
        <v>1634.5</v>
      </c>
      <c r="H834" s="6">
        <f t="shared" si="85"/>
        <v>249.33050847457616</v>
      </c>
      <c r="I834" s="3" t="s">
        <v>113</v>
      </c>
      <c r="J834" s="18" t="s">
        <v>3732</v>
      </c>
      <c r="O834"/>
      <c r="P834"/>
      <c r="R834" s="87"/>
    </row>
    <row r="835" spans="2:18" hidden="1" x14ac:dyDescent="0.25">
      <c r="B835" s="3" t="s">
        <v>3130</v>
      </c>
      <c r="C835" s="3" t="s">
        <v>94</v>
      </c>
      <c r="D835" s="3" t="s">
        <v>3047</v>
      </c>
      <c r="E835" s="3" t="s">
        <v>106</v>
      </c>
      <c r="F835" s="3" t="s">
        <v>3629</v>
      </c>
      <c r="G835" s="6">
        <v>6303.5</v>
      </c>
      <c r="H835" s="6">
        <f t="shared" ref="H835" si="86">G835-G835/1.18</f>
        <v>961.55084745762724</v>
      </c>
      <c r="I835" s="3" t="s">
        <v>18</v>
      </c>
      <c r="J835" s="18" t="s">
        <v>3732</v>
      </c>
      <c r="O835"/>
      <c r="P835"/>
      <c r="R835" s="87"/>
    </row>
    <row r="836" spans="2:18" hidden="1" x14ac:dyDescent="0.25">
      <c r="B836" s="3" t="s">
        <v>3148</v>
      </c>
      <c r="C836" s="3" t="s">
        <v>94</v>
      </c>
      <c r="D836" s="3" t="s">
        <v>3064</v>
      </c>
      <c r="E836" s="3" t="s">
        <v>106</v>
      </c>
      <c r="F836" s="3" t="s">
        <v>3629</v>
      </c>
      <c r="G836" s="6">
        <v>887.25</v>
      </c>
      <c r="H836" s="6">
        <f t="shared" ref="H836" si="87">G836-G836/1.18</f>
        <v>135.34322033898297</v>
      </c>
      <c r="I836" s="3" t="s">
        <v>18</v>
      </c>
      <c r="J836" s="18" t="s">
        <v>3732</v>
      </c>
      <c r="O836"/>
      <c r="P836"/>
      <c r="R836" s="87"/>
    </row>
    <row r="837" spans="2:18" hidden="1" x14ac:dyDescent="0.25">
      <c r="B837" s="3" t="s">
        <v>3156</v>
      </c>
      <c r="C837" s="3" t="s">
        <v>94</v>
      </c>
      <c r="D837" s="3" t="s">
        <v>3072</v>
      </c>
      <c r="E837" s="3" t="s">
        <v>106</v>
      </c>
      <c r="F837" s="3" t="s">
        <v>3629</v>
      </c>
      <c r="G837" s="6">
        <v>938</v>
      </c>
      <c r="H837" s="6">
        <f t="shared" ref="H837:H838" si="88">G837-G837/1.18</f>
        <v>143.0847457627118</v>
      </c>
      <c r="I837" s="3" t="s">
        <v>18</v>
      </c>
      <c r="J837" s="18" t="s">
        <v>3732</v>
      </c>
      <c r="O837"/>
      <c r="P837"/>
      <c r="R837" s="87"/>
    </row>
    <row r="838" spans="2:18" hidden="1" x14ac:dyDescent="0.25">
      <c r="B838" s="3" t="s">
        <v>2966</v>
      </c>
      <c r="C838" s="3" t="s">
        <v>40</v>
      </c>
      <c r="D838" s="3" t="s">
        <v>2896</v>
      </c>
      <c r="E838" s="3" t="s">
        <v>106</v>
      </c>
      <c r="F838" s="3" t="s">
        <v>3629</v>
      </c>
      <c r="G838" s="6">
        <v>196</v>
      </c>
      <c r="H838" s="6">
        <f t="shared" si="88"/>
        <v>29.898305084745743</v>
      </c>
      <c r="I838" s="3" t="s">
        <v>113</v>
      </c>
      <c r="J838" s="18" t="s">
        <v>3732</v>
      </c>
      <c r="O838"/>
      <c r="P838"/>
      <c r="R838" s="87"/>
    </row>
    <row r="839" spans="2:18" hidden="1" x14ac:dyDescent="0.25">
      <c r="B839" s="3" t="s">
        <v>3166</v>
      </c>
      <c r="C839" s="3" t="s">
        <v>74</v>
      </c>
      <c r="D839" s="3" t="s">
        <v>3082</v>
      </c>
      <c r="E839" s="3" t="s">
        <v>106</v>
      </c>
      <c r="F839" s="3" t="s">
        <v>3629</v>
      </c>
      <c r="G839" s="6">
        <v>213.5</v>
      </c>
      <c r="H839" s="6">
        <f t="shared" ref="H839" si="89">G839-G839/1.18</f>
        <v>32.567796610169495</v>
      </c>
      <c r="I839" s="3" t="s">
        <v>18</v>
      </c>
      <c r="J839" s="18" t="s">
        <v>3732</v>
      </c>
      <c r="O839"/>
      <c r="P839"/>
      <c r="R839" s="87"/>
    </row>
    <row r="840" spans="2:18" hidden="1" x14ac:dyDescent="0.25">
      <c r="B840" s="3" t="s">
        <v>3154</v>
      </c>
      <c r="C840" s="3" t="s">
        <v>74</v>
      </c>
      <c r="D840" s="3" t="s">
        <v>3070</v>
      </c>
      <c r="E840" s="3" t="s">
        <v>106</v>
      </c>
      <c r="F840" s="3" t="s">
        <v>3629</v>
      </c>
      <c r="G840" s="6">
        <v>294.87</v>
      </c>
      <c r="H840" s="6">
        <f t="shared" ref="H840:H841" si="90">G840-G840/1.18</f>
        <v>44.980169491525402</v>
      </c>
      <c r="I840" s="3" t="s">
        <v>18</v>
      </c>
      <c r="J840" s="18" t="s">
        <v>3732</v>
      </c>
      <c r="O840"/>
      <c r="P840"/>
      <c r="R840" s="87"/>
    </row>
    <row r="841" spans="2:18" hidden="1" x14ac:dyDescent="0.25">
      <c r="B841" s="3" t="s">
        <v>3096</v>
      </c>
      <c r="C841" s="3" t="s">
        <v>94</v>
      </c>
      <c r="D841" s="3" t="s">
        <v>3013</v>
      </c>
      <c r="E841" s="3" t="s">
        <v>106</v>
      </c>
      <c r="F841" s="3" t="s">
        <v>3629</v>
      </c>
      <c r="G841" s="6">
        <v>63295.75</v>
      </c>
      <c r="H841" s="6">
        <f t="shared" si="90"/>
        <v>9655.2838983050824</v>
      </c>
      <c r="I841" s="3" t="s">
        <v>18</v>
      </c>
      <c r="J841" s="18" t="s">
        <v>3732</v>
      </c>
      <c r="O841"/>
      <c r="P841"/>
      <c r="R841" s="87"/>
    </row>
    <row r="842" spans="2:18" hidden="1" x14ac:dyDescent="0.25">
      <c r="B842" s="3" t="s">
        <v>3168</v>
      </c>
      <c r="C842" s="3" t="s">
        <v>74</v>
      </c>
      <c r="D842" s="3" t="s">
        <v>3084</v>
      </c>
      <c r="E842" s="3" t="s">
        <v>106</v>
      </c>
      <c r="F842" s="3" t="s">
        <v>3629</v>
      </c>
      <c r="G842" s="6">
        <v>75.25</v>
      </c>
      <c r="H842" s="6">
        <f t="shared" ref="H842:H843" si="91">G842-G842/1.18</f>
        <v>11.478813559322028</v>
      </c>
      <c r="I842" s="3" t="s">
        <v>18</v>
      </c>
      <c r="J842" s="18" t="s">
        <v>3732</v>
      </c>
      <c r="O842"/>
      <c r="P842"/>
      <c r="R842" s="87"/>
    </row>
    <row r="843" spans="2:18" hidden="1" x14ac:dyDescent="0.25">
      <c r="B843" s="3" t="s">
        <v>3144</v>
      </c>
      <c r="C843" s="3" t="s">
        <v>74</v>
      </c>
      <c r="D843" s="3" t="s">
        <v>3060</v>
      </c>
      <c r="E843" s="3" t="s">
        <v>106</v>
      </c>
      <c r="F843" s="3" t="s">
        <v>3629</v>
      </c>
      <c r="G843" s="6">
        <v>406.87</v>
      </c>
      <c r="H843" s="6">
        <f t="shared" si="91"/>
        <v>62.064915254237292</v>
      </c>
      <c r="I843" s="3" t="s">
        <v>18</v>
      </c>
      <c r="J843" s="18" t="s">
        <v>3732</v>
      </c>
      <c r="O843"/>
      <c r="P843"/>
      <c r="R843" s="87"/>
    </row>
    <row r="844" spans="2:18" hidden="1" x14ac:dyDescent="0.25">
      <c r="B844" s="3" t="s">
        <v>3162</v>
      </c>
      <c r="C844" s="3" t="s">
        <v>74</v>
      </c>
      <c r="D844" s="3" t="s">
        <v>3078</v>
      </c>
      <c r="E844" s="3" t="s">
        <v>106</v>
      </c>
      <c r="F844" s="3" t="s">
        <v>3629</v>
      </c>
      <c r="G844" s="6">
        <v>207.37</v>
      </c>
      <c r="H844" s="6">
        <f t="shared" ref="H844" si="92">G844-G844/1.18</f>
        <v>31.632711864406758</v>
      </c>
      <c r="I844" s="3" t="s">
        <v>18</v>
      </c>
      <c r="J844" s="18" t="s">
        <v>3732</v>
      </c>
      <c r="O844"/>
      <c r="P844"/>
      <c r="R844" s="87"/>
    </row>
    <row r="845" spans="2:18" hidden="1" x14ac:dyDescent="0.25">
      <c r="B845" s="3" t="s">
        <v>3136</v>
      </c>
      <c r="C845" s="3" t="s">
        <v>74</v>
      </c>
      <c r="D845" s="3" t="s">
        <v>3053</v>
      </c>
      <c r="E845" s="3" t="s">
        <v>106</v>
      </c>
      <c r="F845" s="3" t="s">
        <v>3629</v>
      </c>
      <c r="G845" s="6">
        <v>551.25</v>
      </c>
      <c r="H845" s="6">
        <f t="shared" ref="H845:H847" si="93">G845-G845/1.18</f>
        <v>84.088983050847446</v>
      </c>
      <c r="I845" s="3" t="s">
        <v>18</v>
      </c>
      <c r="J845" s="18" t="s">
        <v>3732</v>
      </c>
      <c r="O845"/>
      <c r="P845"/>
      <c r="R845" s="87"/>
    </row>
    <row r="846" spans="2:18" hidden="1" x14ac:dyDescent="0.25">
      <c r="B846" s="3" t="s">
        <v>3636</v>
      </c>
      <c r="C846" s="3" t="s">
        <v>3637</v>
      </c>
      <c r="D846" s="3" t="s">
        <v>3638</v>
      </c>
      <c r="E846" s="3" t="s">
        <v>3635</v>
      </c>
      <c r="F846" s="3" t="s">
        <v>3629</v>
      </c>
      <c r="G846" s="6">
        <v>27000</v>
      </c>
      <c r="H846" s="6">
        <f t="shared" si="93"/>
        <v>4118.6440677966093</v>
      </c>
      <c r="I846" s="3" t="s">
        <v>18</v>
      </c>
      <c r="J846" s="18" t="s">
        <v>3710</v>
      </c>
      <c r="O846"/>
      <c r="P846"/>
      <c r="R846" s="87"/>
    </row>
    <row r="847" spans="2:18" hidden="1" x14ac:dyDescent="0.25">
      <c r="B847" s="3" t="s">
        <v>3641</v>
      </c>
      <c r="C847" s="3" t="s">
        <v>3642</v>
      </c>
      <c r="D847" s="3" t="s">
        <v>3643</v>
      </c>
      <c r="E847" s="3" t="s">
        <v>3635</v>
      </c>
      <c r="F847" s="3" t="s">
        <v>3629</v>
      </c>
      <c r="G847" s="6">
        <v>8500</v>
      </c>
      <c r="H847" s="6">
        <f t="shared" si="93"/>
        <v>1296.6101694915251</v>
      </c>
      <c r="I847" s="3" t="s">
        <v>113</v>
      </c>
      <c r="J847" s="18" t="s">
        <v>3710</v>
      </c>
      <c r="O847"/>
      <c r="P847"/>
      <c r="R847" s="87"/>
    </row>
    <row r="848" spans="2:18" hidden="1" x14ac:dyDescent="0.25">
      <c r="B848" s="3" t="s">
        <v>2255</v>
      </c>
      <c r="C848" s="3" t="s">
        <v>94</v>
      </c>
      <c r="D848" s="3" t="s">
        <v>2259</v>
      </c>
      <c r="E848" s="3" t="s">
        <v>114</v>
      </c>
      <c r="F848" s="3" t="s">
        <v>3629</v>
      </c>
      <c r="G848" s="6">
        <v>110000</v>
      </c>
      <c r="H848" s="6">
        <f t="shared" ref="H848" si="94">G848-G848/1.18</f>
        <v>16779.661016949147</v>
      </c>
      <c r="I848" s="3" t="s">
        <v>18</v>
      </c>
      <c r="O848"/>
      <c r="P848"/>
      <c r="R848" s="87"/>
    </row>
    <row r="849" spans="2:18" hidden="1" x14ac:dyDescent="0.25">
      <c r="B849" s="3" t="s">
        <v>3288</v>
      </c>
      <c r="C849" s="3" t="s">
        <v>96</v>
      </c>
      <c r="D849" s="3" t="s">
        <v>3674</v>
      </c>
      <c r="E849" s="3" t="s">
        <v>110</v>
      </c>
      <c r="F849" s="3" t="s">
        <v>3629</v>
      </c>
      <c r="G849" s="6">
        <v>1501.5</v>
      </c>
      <c r="H849" s="6">
        <f t="shared" ref="H849:H864" si="95">G849-G849/1.18</f>
        <v>229.04237288135596</v>
      </c>
      <c r="I849" s="3" t="s">
        <v>18</v>
      </c>
      <c r="J849" s="18" t="s">
        <v>3732</v>
      </c>
      <c r="O849"/>
      <c r="P849"/>
      <c r="R849" s="87"/>
    </row>
    <row r="850" spans="2:18" hidden="1" x14ac:dyDescent="0.25">
      <c r="B850" s="3" t="s">
        <v>3288</v>
      </c>
      <c r="C850" s="3" t="s">
        <v>96</v>
      </c>
      <c r="D850" s="3" t="s">
        <v>3676</v>
      </c>
      <c r="E850" s="3" t="s">
        <v>110</v>
      </c>
      <c r="F850" s="3" t="s">
        <v>3629</v>
      </c>
      <c r="G850" s="6">
        <v>2408</v>
      </c>
      <c r="H850" s="6">
        <f t="shared" si="95"/>
        <v>367.32203389830488</v>
      </c>
      <c r="I850" s="3" t="s">
        <v>18</v>
      </c>
      <c r="J850" s="18" t="s">
        <v>3732</v>
      </c>
      <c r="O850"/>
      <c r="P850"/>
      <c r="R850" s="87"/>
    </row>
    <row r="851" spans="2:18" hidden="1" x14ac:dyDescent="0.25">
      <c r="B851" s="3" t="s">
        <v>3288</v>
      </c>
      <c r="C851" s="3" t="s">
        <v>96</v>
      </c>
      <c r="D851" s="3" t="s">
        <v>3678</v>
      </c>
      <c r="E851" s="3" t="s">
        <v>110</v>
      </c>
      <c r="F851" s="3" t="s">
        <v>3629</v>
      </c>
      <c r="G851" s="6">
        <v>1053.5</v>
      </c>
      <c r="H851" s="6">
        <f t="shared" si="95"/>
        <v>160.7033898305084</v>
      </c>
      <c r="I851" s="3" t="s">
        <v>18</v>
      </c>
      <c r="J851" s="18" t="s">
        <v>3732</v>
      </c>
      <c r="O851"/>
      <c r="P851"/>
      <c r="R851" s="87"/>
    </row>
    <row r="852" spans="2:18" hidden="1" x14ac:dyDescent="0.25">
      <c r="B852" s="3" t="s">
        <v>3288</v>
      </c>
      <c r="C852" s="3" t="s">
        <v>96</v>
      </c>
      <c r="D852" s="3" t="s">
        <v>3680</v>
      </c>
      <c r="E852" s="3" t="s">
        <v>110</v>
      </c>
      <c r="F852" s="3" t="s">
        <v>3629</v>
      </c>
      <c r="G852" s="6">
        <v>1841</v>
      </c>
      <c r="H852" s="6">
        <f t="shared" si="95"/>
        <v>280.83050847457616</v>
      </c>
      <c r="I852" s="3" t="s">
        <v>18</v>
      </c>
      <c r="J852" s="18" t="s">
        <v>3732</v>
      </c>
      <c r="O852"/>
      <c r="P852"/>
      <c r="R852" s="87"/>
    </row>
    <row r="853" spans="2:18" hidden="1" x14ac:dyDescent="0.25">
      <c r="B853" s="3" t="s">
        <v>3288</v>
      </c>
      <c r="C853" s="3" t="s">
        <v>96</v>
      </c>
      <c r="D853" s="3" t="s">
        <v>3682</v>
      </c>
      <c r="E853" s="3" t="s">
        <v>110</v>
      </c>
      <c r="F853" s="3" t="s">
        <v>3629</v>
      </c>
      <c r="G853" s="6">
        <v>465.5</v>
      </c>
      <c r="H853" s="6">
        <f t="shared" si="95"/>
        <v>71.008474576271169</v>
      </c>
      <c r="I853" s="3" t="s">
        <v>18</v>
      </c>
      <c r="J853" s="18" t="s">
        <v>3732</v>
      </c>
      <c r="O853"/>
      <c r="P853"/>
      <c r="R853" s="87"/>
    </row>
    <row r="854" spans="2:18" hidden="1" x14ac:dyDescent="0.25">
      <c r="B854" s="3" t="s">
        <v>3288</v>
      </c>
      <c r="C854" s="3" t="s">
        <v>96</v>
      </c>
      <c r="D854" s="3" t="s">
        <v>3684</v>
      </c>
      <c r="E854" s="3" t="s">
        <v>110</v>
      </c>
      <c r="F854" s="3" t="s">
        <v>3629</v>
      </c>
      <c r="G854" s="6">
        <v>418.25</v>
      </c>
      <c r="H854" s="6">
        <f t="shared" si="95"/>
        <v>63.800847457627128</v>
      </c>
      <c r="I854" s="3" t="s">
        <v>18</v>
      </c>
      <c r="J854" s="18" t="s">
        <v>3732</v>
      </c>
      <c r="O854"/>
      <c r="P854"/>
      <c r="R854" s="87"/>
    </row>
    <row r="855" spans="2:18" hidden="1" x14ac:dyDescent="0.25">
      <c r="B855" s="3" t="s">
        <v>3288</v>
      </c>
      <c r="C855" s="3" t="s">
        <v>96</v>
      </c>
      <c r="D855" s="3" t="s">
        <v>3686</v>
      </c>
      <c r="E855" s="3" t="s">
        <v>110</v>
      </c>
      <c r="F855" s="3" t="s">
        <v>3629</v>
      </c>
      <c r="G855" s="6">
        <v>439.25</v>
      </c>
      <c r="H855" s="6">
        <f t="shared" si="95"/>
        <v>67.004237288135585</v>
      </c>
      <c r="I855" s="3" t="s">
        <v>18</v>
      </c>
      <c r="J855" s="18" t="s">
        <v>3732</v>
      </c>
      <c r="O855"/>
      <c r="P855"/>
      <c r="R855" s="87"/>
    </row>
    <row r="856" spans="2:18" hidden="1" x14ac:dyDescent="0.25">
      <c r="B856" s="3" t="s">
        <v>3288</v>
      </c>
      <c r="C856" s="3" t="s">
        <v>96</v>
      </c>
      <c r="D856" s="3" t="s">
        <v>3688</v>
      </c>
      <c r="E856" s="3" t="s">
        <v>110</v>
      </c>
      <c r="F856" s="3" t="s">
        <v>3629</v>
      </c>
      <c r="G856" s="6">
        <v>749</v>
      </c>
      <c r="H856" s="6">
        <f t="shared" si="95"/>
        <v>114.25423728813553</v>
      </c>
      <c r="I856" s="3" t="s">
        <v>18</v>
      </c>
      <c r="J856" s="18" t="s">
        <v>3732</v>
      </c>
      <c r="O856"/>
      <c r="P856"/>
      <c r="R856" s="87"/>
    </row>
    <row r="857" spans="2:18" hidden="1" x14ac:dyDescent="0.25">
      <c r="B857" s="3" t="s">
        <v>3288</v>
      </c>
      <c r="C857" s="3" t="s">
        <v>96</v>
      </c>
      <c r="D857" s="3" t="s">
        <v>3692</v>
      </c>
      <c r="E857" s="3" t="s">
        <v>110</v>
      </c>
      <c r="F857" s="3" t="s">
        <v>3629</v>
      </c>
      <c r="G857" s="6">
        <v>705.25</v>
      </c>
      <c r="H857" s="6">
        <f t="shared" si="95"/>
        <v>107.58050847457628</v>
      </c>
      <c r="I857" s="3" t="s">
        <v>18</v>
      </c>
      <c r="J857" s="18" t="s">
        <v>3732</v>
      </c>
      <c r="O857"/>
      <c r="P857"/>
      <c r="R857" s="87"/>
    </row>
    <row r="858" spans="2:18" hidden="1" x14ac:dyDescent="0.25">
      <c r="B858" s="3" t="s">
        <v>3288</v>
      </c>
      <c r="C858" s="3" t="s">
        <v>96</v>
      </c>
      <c r="D858" s="3" t="s">
        <v>3694</v>
      </c>
      <c r="E858" s="3" t="s">
        <v>110</v>
      </c>
      <c r="F858" s="3" t="s">
        <v>3629</v>
      </c>
      <c r="G858" s="6">
        <v>1746.5</v>
      </c>
      <c r="H858" s="6">
        <f t="shared" si="95"/>
        <v>266.41525423728808</v>
      </c>
      <c r="I858" s="3" t="s">
        <v>18</v>
      </c>
      <c r="J858" s="18" t="s">
        <v>3732</v>
      </c>
      <c r="O858"/>
      <c r="P858"/>
      <c r="R858" s="87"/>
    </row>
    <row r="859" spans="2:18" hidden="1" x14ac:dyDescent="0.25">
      <c r="B859" s="3" t="s">
        <v>3288</v>
      </c>
      <c r="C859" s="3" t="s">
        <v>96</v>
      </c>
      <c r="D859" s="3" t="s">
        <v>3696</v>
      </c>
      <c r="E859" s="3" t="s">
        <v>110</v>
      </c>
      <c r="F859" s="3" t="s">
        <v>3629</v>
      </c>
      <c r="G859" s="6">
        <v>1846.25</v>
      </c>
      <c r="H859" s="6">
        <f t="shared" si="95"/>
        <v>281.63135593220341</v>
      </c>
      <c r="I859" s="3" t="s">
        <v>18</v>
      </c>
      <c r="J859" s="18" t="s">
        <v>3732</v>
      </c>
      <c r="O859"/>
      <c r="P859"/>
      <c r="R859" s="87"/>
    </row>
    <row r="860" spans="2:18" hidden="1" x14ac:dyDescent="0.25">
      <c r="B860" s="3" t="s">
        <v>3289</v>
      </c>
      <c r="C860" s="3" t="s">
        <v>96</v>
      </c>
      <c r="D860" s="3" t="s">
        <v>3698</v>
      </c>
      <c r="E860" s="3" t="s">
        <v>110</v>
      </c>
      <c r="F860" s="3" t="s">
        <v>3629</v>
      </c>
      <c r="G860" s="6">
        <v>1148</v>
      </c>
      <c r="H860" s="6">
        <f t="shared" si="95"/>
        <v>175.11864406779659</v>
      </c>
      <c r="I860" s="3" t="s">
        <v>18</v>
      </c>
      <c r="J860" s="18" t="s">
        <v>3732</v>
      </c>
      <c r="O860"/>
      <c r="P860"/>
      <c r="R860" s="87"/>
    </row>
    <row r="861" spans="2:18" hidden="1" x14ac:dyDescent="0.25">
      <c r="B861" s="3" t="s">
        <v>3289</v>
      </c>
      <c r="C861" s="3" t="s">
        <v>96</v>
      </c>
      <c r="D861" s="3" t="s">
        <v>3700</v>
      </c>
      <c r="E861" s="3" t="s">
        <v>110</v>
      </c>
      <c r="F861" s="3" t="s">
        <v>3629</v>
      </c>
      <c r="G861" s="6">
        <v>171.5</v>
      </c>
      <c r="H861" s="6">
        <f t="shared" si="95"/>
        <v>26.161016949152526</v>
      </c>
      <c r="I861" s="3" t="s">
        <v>18</v>
      </c>
      <c r="J861" s="18" t="s">
        <v>3732</v>
      </c>
      <c r="O861"/>
      <c r="P861"/>
      <c r="R861" s="87"/>
    </row>
    <row r="862" spans="2:18" hidden="1" x14ac:dyDescent="0.25">
      <c r="B862" s="3" t="s">
        <v>3289</v>
      </c>
      <c r="C862" s="3" t="s">
        <v>96</v>
      </c>
      <c r="D862" s="3" t="s">
        <v>3701</v>
      </c>
      <c r="E862" s="3" t="s">
        <v>110</v>
      </c>
      <c r="F862" s="3" t="s">
        <v>3629</v>
      </c>
      <c r="G862" s="6">
        <v>364</v>
      </c>
      <c r="H862" s="6">
        <f t="shared" si="95"/>
        <v>55.525423728813564</v>
      </c>
      <c r="I862" s="3" t="s">
        <v>18</v>
      </c>
      <c r="J862" s="18" t="s">
        <v>3732</v>
      </c>
      <c r="O862"/>
      <c r="P862"/>
      <c r="R862" s="87"/>
    </row>
    <row r="863" spans="2:18" hidden="1" x14ac:dyDescent="0.25">
      <c r="B863" s="3" t="s">
        <v>3289</v>
      </c>
      <c r="C863" s="3" t="s">
        <v>96</v>
      </c>
      <c r="D863" s="3" t="s">
        <v>3704</v>
      </c>
      <c r="E863" s="3" t="s">
        <v>110</v>
      </c>
      <c r="F863" s="3" t="s">
        <v>3629</v>
      </c>
      <c r="G863" s="6">
        <v>2296</v>
      </c>
      <c r="H863" s="6">
        <f t="shared" si="95"/>
        <v>350.23728813559319</v>
      </c>
      <c r="I863" s="3" t="s">
        <v>18</v>
      </c>
      <c r="J863" s="18" t="s">
        <v>3732</v>
      </c>
      <c r="O863"/>
      <c r="P863"/>
      <c r="R863" s="87"/>
    </row>
    <row r="864" spans="2:18" hidden="1" x14ac:dyDescent="0.25">
      <c r="B864" s="3" t="s">
        <v>3289</v>
      </c>
      <c r="C864" s="3" t="s">
        <v>96</v>
      </c>
      <c r="D864" s="3" t="s">
        <v>3706</v>
      </c>
      <c r="E864" s="3" t="s">
        <v>110</v>
      </c>
      <c r="F864" s="3" t="s">
        <v>3629</v>
      </c>
      <c r="G864" s="6">
        <v>2409.75</v>
      </c>
      <c r="H864" s="6">
        <f t="shared" si="95"/>
        <v>367.58898305084745</v>
      </c>
      <c r="I864" s="3" t="s">
        <v>18</v>
      </c>
      <c r="J864" s="18" t="s">
        <v>3732</v>
      </c>
      <c r="O864"/>
      <c r="P864"/>
      <c r="R864" s="87"/>
    </row>
    <row r="865" spans="2:18" hidden="1" x14ac:dyDescent="0.25">
      <c r="B865" s="3" t="s">
        <v>2530</v>
      </c>
      <c r="C865" s="3" t="s">
        <v>88</v>
      </c>
      <c r="D865" s="3" t="s">
        <v>2472</v>
      </c>
      <c r="E865" s="3" t="s">
        <v>117</v>
      </c>
      <c r="F865" s="3" t="s">
        <v>3629</v>
      </c>
      <c r="G865" s="6">
        <v>7707</v>
      </c>
      <c r="H865" s="6">
        <f t="shared" ref="H865:H868" si="96">G865-G865/1.18</f>
        <v>1175.6440677966102</v>
      </c>
      <c r="I865" s="3" t="s">
        <v>18</v>
      </c>
      <c r="J865" s="18" t="s">
        <v>3733</v>
      </c>
      <c r="O865"/>
      <c r="P865"/>
      <c r="R865" s="87"/>
    </row>
    <row r="866" spans="2:18" hidden="1" x14ac:dyDescent="0.25">
      <c r="B866" s="3" t="s">
        <v>2545</v>
      </c>
      <c r="C866" s="3" t="s">
        <v>88</v>
      </c>
      <c r="D866" s="3" t="s">
        <v>2486</v>
      </c>
      <c r="E866" s="3" t="s">
        <v>117</v>
      </c>
      <c r="F866" s="3" t="s">
        <v>3629</v>
      </c>
      <c r="G866" s="6">
        <v>934.5</v>
      </c>
      <c r="H866" s="6">
        <f t="shared" si="96"/>
        <v>142.55084745762713</v>
      </c>
      <c r="I866" s="3" t="s">
        <v>18</v>
      </c>
      <c r="J866" s="18" t="s">
        <v>3733</v>
      </c>
      <c r="O866"/>
      <c r="P866"/>
      <c r="R866" s="87"/>
    </row>
    <row r="867" spans="2:18" hidden="1" x14ac:dyDescent="0.25">
      <c r="B867" s="3" t="s">
        <v>2558</v>
      </c>
      <c r="C867" s="3" t="s">
        <v>88</v>
      </c>
      <c r="D867" s="3" t="s">
        <v>2499</v>
      </c>
      <c r="E867" s="3" t="s">
        <v>117</v>
      </c>
      <c r="F867" s="3" t="s">
        <v>3629</v>
      </c>
      <c r="G867" s="6">
        <v>276.5</v>
      </c>
      <c r="H867" s="6">
        <f t="shared" si="96"/>
        <v>42.177966101694892</v>
      </c>
      <c r="I867" s="3" t="s">
        <v>18</v>
      </c>
      <c r="J867" s="18" t="s">
        <v>3733</v>
      </c>
      <c r="O867"/>
      <c r="P867"/>
      <c r="R867" s="87"/>
    </row>
    <row r="868" spans="2:18" hidden="1" x14ac:dyDescent="0.25">
      <c r="B868" s="3" t="s">
        <v>2551</v>
      </c>
      <c r="C868" s="3" t="s">
        <v>88</v>
      </c>
      <c r="D868" s="3" t="s">
        <v>2492</v>
      </c>
      <c r="E868" s="3" t="s">
        <v>117</v>
      </c>
      <c r="F868" s="3" t="s">
        <v>3629</v>
      </c>
      <c r="G868" s="6">
        <v>4516.75</v>
      </c>
      <c r="H868" s="6">
        <f t="shared" si="96"/>
        <v>688.99576271186424</v>
      </c>
      <c r="I868" s="3" t="s">
        <v>18</v>
      </c>
      <c r="J868" s="18" t="s">
        <v>3733</v>
      </c>
      <c r="O868"/>
      <c r="P868"/>
      <c r="R868" s="87"/>
    </row>
    <row r="869" spans="2:18" hidden="1" x14ac:dyDescent="0.25">
      <c r="B869" s="3" t="s">
        <v>3089</v>
      </c>
      <c r="C869" s="3" t="s">
        <v>74</v>
      </c>
      <c r="D869" s="3" t="s">
        <v>2258</v>
      </c>
      <c r="E869" s="3" t="s">
        <v>114</v>
      </c>
      <c r="F869" s="3" t="s">
        <v>3629</v>
      </c>
      <c r="G869" s="6">
        <v>171083.27</v>
      </c>
      <c r="H869" s="6">
        <f t="shared" ref="H869:H873" si="97">G869-G869/1.18</f>
        <v>26097.447966101696</v>
      </c>
      <c r="I869" s="3" t="s">
        <v>18</v>
      </c>
      <c r="J869" s="18" t="s">
        <v>3732</v>
      </c>
      <c r="O869"/>
      <c r="P869"/>
      <c r="R869" s="87"/>
    </row>
    <row r="870" spans="2:18" hidden="1" x14ac:dyDescent="0.25">
      <c r="B870" s="3" t="s">
        <v>3641</v>
      </c>
      <c r="C870" s="3" t="s">
        <v>3642</v>
      </c>
      <c r="D870" s="3" t="s">
        <v>3711</v>
      </c>
      <c r="E870" s="3" t="s">
        <v>3635</v>
      </c>
      <c r="F870" s="3" t="s">
        <v>3629</v>
      </c>
      <c r="G870" s="6">
        <v>8500</v>
      </c>
      <c r="H870" s="6">
        <f t="shared" si="97"/>
        <v>1296.6101694915251</v>
      </c>
      <c r="I870" s="3" t="s">
        <v>113</v>
      </c>
      <c r="J870" s="18" t="s">
        <v>3710</v>
      </c>
      <c r="O870"/>
      <c r="P870"/>
      <c r="R870" s="87"/>
    </row>
    <row r="871" spans="2:18" hidden="1" x14ac:dyDescent="0.25">
      <c r="B871" s="3" t="s">
        <v>3641</v>
      </c>
      <c r="C871" s="3" t="s">
        <v>3642</v>
      </c>
      <c r="D871" s="3" t="s">
        <v>3713</v>
      </c>
      <c r="E871" s="3" t="s">
        <v>3635</v>
      </c>
      <c r="F871" s="3" t="s">
        <v>3629</v>
      </c>
      <c r="G871" s="6">
        <v>8500</v>
      </c>
      <c r="H871" s="6">
        <f t="shared" si="97"/>
        <v>1296.6101694915251</v>
      </c>
      <c r="I871" s="3" t="s">
        <v>113</v>
      </c>
      <c r="J871" s="18" t="s">
        <v>3710</v>
      </c>
      <c r="O871"/>
      <c r="P871"/>
      <c r="R871" s="87"/>
    </row>
    <row r="872" spans="2:18" hidden="1" x14ac:dyDescent="0.25">
      <c r="B872" s="3" t="s">
        <v>2051</v>
      </c>
      <c r="C872" s="3" t="s">
        <v>52</v>
      </c>
      <c r="D872" s="3" t="s">
        <v>2053</v>
      </c>
      <c r="E872" s="3" t="s">
        <v>75</v>
      </c>
      <c r="F872" s="3" t="s">
        <v>3629</v>
      </c>
      <c r="G872" s="6">
        <v>82001.62</v>
      </c>
      <c r="H872" s="6">
        <f t="shared" si="97"/>
        <v>12508.72169491525</v>
      </c>
      <c r="I872" s="3" t="s">
        <v>113</v>
      </c>
      <c r="J872" s="18" t="s">
        <v>3732</v>
      </c>
      <c r="O872"/>
      <c r="P872"/>
      <c r="R872" s="87"/>
    </row>
    <row r="873" spans="2:18" hidden="1" x14ac:dyDescent="0.25">
      <c r="B873" s="3" t="s">
        <v>3714</v>
      </c>
      <c r="C873" s="3" t="s">
        <v>45</v>
      </c>
      <c r="D873" s="3" t="s">
        <v>1619</v>
      </c>
      <c r="E873" s="3" t="s">
        <v>75</v>
      </c>
      <c r="F873" s="3" t="s">
        <v>3629</v>
      </c>
      <c r="G873" s="6">
        <v>229770.12</v>
      </c>
      <c r="H873" s="6">
        <f t="shared" si="97"/>
        <v>35049.679322033888</v>
      </c>
      <c r="I873" s="3" t="s">
        <v>113</v>
      </c>
      <c r="J873" s="18" t="s">
        <v>3732</v>
      </c>
      <c r="O873"/>
      <c r="P873"/>
      <c r="R873" s="87"/>
    </row>
    <row r="874" spans="2:18" hidden="1" x14ac:dyDescent="0.25">
      <c r="B874" s="3" t="s">
        <v>1201</v>
      </c>
      <c r="C874" s="3" t="s">
        <v>32</v>
      </c>
      <c r="D874" s="3" t="s">
        <v>1166</v>
      </c>
      <c r="E874" s="3" t="s">
        <v>71</v>
      </c>
      <c r="F874" s="3" t="s">
        <v>3629</v>
      </c>
      <c r="G874" s="6">
        <v>22443.13</v>
      </c>
      <c r="H874" s="6">
        <f t="shared" ref="H874" si="98">G874-G874/1.18</f>
        <v>3423.5283050847465</v>
      </c>
      <c r="I874" s="3" t="s">
        <v>113</v>
      </c>
      <c r="J874" s="18" t="s">
        <v>3732</v>
      </c>
      <c r="O874"/>
      <c r="P874"/>
      <c r="R874" s="87"/>
    </row>
    <row r="875" spans="2:18" hidden="1" x14ac:dyDescent="0.25">
      <c r="B875" s="3" t="s">
        <v>1175</v>
      </c>
      <c r="C875" s="3" t="s">
        <v>32</v>
      </c>
      <c r="D875" s="3" t="s">
        <v>1146</v>
      </c>
      <c r="E875" s="3" t="s">
        <v>71</v>
      </c>
      <c r="F875" s="3" t="s">
        <v>3629</v>
      </c>
      <c r="G875" s="6">
        <v>7616.19</v>
      </c>
      <c r="H875" s="6">
        <f t="shared" ref="H875" si="99">G875-G875/1.18</f>
        <v>1161.7916949152541</v>
      </c>
      <c r="I875" s="3" t="s">
        <v>113</v>
      </c>
      <c r="J875" s="18" t="s">
        <v>3732</v>
      </c>
      <c r="O875"/>
      <c r="P875"/>
      <c r="R875" s="87"/>
    </row>
    <row r="876" spans="2:18" hidden="1" x14ac:dyDescent="0.25">
      <c r="B876" s="3" t="s">
        <v>2731</v>
      </c>
      <c r="C876" s="3" t="s">
        <v>4</v>
      </c>
      <c r="D876" s="3" t="s">
        <v>2684</v>
      </c>
      <c r="E876" s="3" t="s">
        <v>71</v>
      </c>
      <c r="F876" s="3" t="s">
        <v>3629</v>
      </c>
      <c r="G876" s="6">
        <v>8426.3700000000008</v>
      </c>
      <c r="H876" s="6">
        <f t="shared" ref="H876" si="100">G876-G876/1.18</f>
        <v>1285.3784745762705</v>
      </c>
      <c r="I876" s="3" t="s">
        <v>113</v>
      </c>
      <c r="J876" s="18" t="s">
        <v>3732</v>
      </c>
      <c r="O876"/>
      <c r="P876"/>
      <c r="R876" s="87"/>
    </row>
    <row r="877" spans="2:18" hidden="1" x14ac:dyDescent="0.25">
      <c r="B877" s="3" t="s">
        <v>2723</v>
      </c>
      <c r="C877" s="3" t="s">
        <v>37</v>
      </c>
      <c r="D877" s="3" t="s">
        <v>2683</v>
      </c>
      <c r="E877" s="3" t="s">
        <v>71</v>
      </c>
      <c r="F877" s="3" t="s">
        <v>3629</v>
      </c>
      <c r="G877" s="6">
        <v>5887.44</v>
      </c>
      <c r="H877" s="6">
        <f t="shared" ref="H877" si="101">G877-G877/1.18</f>
        <v>898.08406779660982</v>
      </c>
      <c r="I877" s="3" t="s">
        <v>113</v>
      </c>
      <c r="J877" s="18" t="s">
        <v>3732</v>
      </c>
      <c r="O877"/>
      <c r="P877"/>
      <c r="R877" s="87"/>
    </row>
    <row r="878" spans="2:18" hidden="1" x14ac:dyDescent="0.25">
      <c r="B878" s="3" t="s">
        <v>2727</v>
      </c>
      <c r="C878" s="3" t="s">
        <v>34</v>
      </c>
      <c r="D878" s="3" t="s">
        <v>2657</v>
      </c>
      <c r="E878" s="3" t="s">
        <v>71</v>
      </c>
      <c r="F878" s="3" t="s">
        <v>3629</v>
      </c>
      <c r="G878" s="6">
        <v>4888.16</v>
      </c>
      <c r="H878" s="6">
        <f t="shared" ref="H878" si="102">G878-G878/1.18</f>
        <v>745.65152542372834</v>
      </c>
      <c r="I878" s="3" t="s">
        <v>113</v>
      </c>
      <c r="J878" s="18" t="s">
        <v>3732</v>
      </c>
      <c r="O878"/>
      <c r="P878"/>
      <c r="R878" s="87"/>
    </row>
    <row r="879" spans="2:18" hidden="1" x14ac:dyDescent="0.25">
      <c r="B879" s="3" t="s">
        <v>2708</v>
      </c>
      <c r="C879" s="3" t="s">
        <v>37</v>
      </c>
      <c r="D879" s="3" t="s">
        <v>2678</v>
      </c>
      <c r="E879" s="3" t="s">
        <v>71</v>
      </c>
      <c r="F879" s="3" t="s">
        <v>3629</v>
      </c>
      <c r="G879" s="6">
        <v>5232.09</v>
      </c>
      <c r="H879" s="6">
        <f t="shared" ref="H879" si="103">G879-G879/1.18</f>
        <v>798.11542372881377</v>
      </c>
      <c r="I879" s="3" t="s">
        <v>113</v>
      </c>
      <c r="J879" s="18" t="s">
        <v>3732</v>
      </c>
      <c r="O879"/>
      <c r="P879"/>
      <c r="R879" s="87"/>
    </row>
    <row r="880" spans="2:18" hidden="1" x14ac:dyDescent="0.25">
      <c r="B880" s="3" t="s">
        <v>2908</v>
      </c>
      <c r="C880" s="3" t="s">
        <v>40</v>
      </c>
      <c r="D880" s="3" t="s">
        <v>2840</v>
      </c>
      <c r="E880" s="3" t="s">
        <v>106</v>
      </c>
      <c r="F880" s="3" t="s">
        <v>3629</v>
      </c>
      <c r="G880" s="6">
        <v>11152.75</v>
      </c>
      <c r="H880" s="6">
        <f t="shared" ref="H880:H882" si="104">G880-G880/1.18</f>
        <v>1701.2669491525412</v>
      </c>
      <c r="I880" s="3" t="s">
        <v>113</v>
      </c>
      <c r="J880" s="18" t="s">
        <v>3732</v>
      </c>
      <c r="O880"/>
      <c r="P880"/>
      <c r="R880" s="87"/>
    </row>
    <row r="881" spans="2:18" hidden="1" x14ac:dyDescent="0.25">
      <c r="B881" s="3" t="s">
        <v>3112</v>
      </c>
      <c r="C881" s="3" t="s">
        <v>94</v>
      </c>
      <c r="D881" s="3" t="s">
        <v>3029</v>
      </c>
      <c r="E881" s="3" t="s">
        <v>106</v>
      </c>
      <c r="F881" s="3" t="s">
        <v>3629</v>
      </c>
      <c r="G881" s="6">
        <v>17886.75</v>
      </c>
      <c r="H881" s="6">
        <f t="shared" si="104"/>
        <v>2728.4872881355932</v>
      </c>
      <c r="I881" s="3" t="s">
        <v>18</v>
      </c>
      <c r="J881" s="18" t="s">
        <v>3732</v>
      </c>
      <c r="O881"/>
      <c r="P881"/>
      <c r="R881" s="87"/>
    </row>
    <row r="882" spans="2:18" hidden="1" x14ac:dyDescent="0.25">
      <c r="B882" s="3" t="s">
        <v>2914</v>
      </c>
      <c r="C882" s="3" t="s">
        <v>40</v>
      </c>
      <c r="D882" s="3" t="s">
        <v>2846</v>
      </c>
      <c r="E882" s="3" t="s">
        <v>106</v>
      </c>
      <c r="F882" s="3" t="s">
        <v>3629</v>
      </c>
      <c r="G882" s="6">
        <v>18650.625</v>
      </c>
      <c r="H882" s="6">
        <f t="shared" si="104"/>
        <v>2845.0105932203387</v>
      </c>
      <c r="I882" s="3" t="s">
        <v>113</v>
      </c>
      <c r="J882" s="18" t="s">
        <v>3732</v>
      </c>
      <c r="O882"/>
      <c r="P882"/>
      <c r="R882" s="87"/>
    </row>
    <row r="883" spans="2:18" hidden="1" x14ac:dyDescent="0.25">
      <c r="B883" s="3" t="s">
        <v>3124</v>
      </c>
      <c r="C883" s="3" t="s">
        <v>95</v>
      </c>
      <c r="D883" s="3" t="s">
        <v>3041</v>
      </c>
      <c r="E883" s="3" t="s">
        <v>106</v>
      </c>
      <c r="F883" s="3" t="s">
        <v>3629</v>
      </c>
      <c r="G883" s="6">
        <v>2929.5</v>
      </c>
      <c r="H883" s="6">
        <f t="shared" ref="H883" si="105">G883-G883/1.18</f>
        <v>446.8728813559319</v>
      </c>
      <c r="I883" s="3" t="s">
        <v>18</v>
      </c>
      <c r="J883" s="18" t="s">
        <v>3598</v>
      </c>
      <c r="O883"/>
      <c r="P883"/>
      <c r="R883" s="87"/>
    </row>
    <row r="884" spans="2:18" hidden="1" x14ac:dyDescent="0.25">
      <c r="B884" s="3" t="s">
        <v>3132</v>
      </c>
      <c r="C884" s="3" t="s">
        <v>74</v>
      </c>
      <c r="D884" s="3" t="s">
        <v>3049</v>
      </c>
      <c r="E884" s="3" t="s">
        <v>106</v>
      </c>
      <c r="F884" s="3" t="s">
        <v>3629</v>
      </c>
      <c r="G884" s="6">
        <v>745.5</v>
      </c>
      <c r="H884" s="6">
        <f t="shared" ref="H884:H885" si="106">G884-G884/1.18</f>
        <v>113.72033898305085</v>
      </c>
      <c r="I884" s="3" t="s">
        <v>18</v>
      </c>
      <c r="J884" s="18" t="s">
        <v>3732</v>
      </c>
      <c r="O884"/>
      <c r="P884"/>
      <c r="R884" s="87"/>
    </row>
    <row r="885" spans="2:18" hidden="1" x14ac:dyDescent="0.25">
      <c r="B885" s="3" t="s">
        <v>2930</v>
      </c>
      <c r="C885" s="3" t="s">
        <v>42</v>
      </c>
      <c r="D885" s="3" t="s">
        <v>2862</v>
      </c>
      <c r="E885" s="3" t="s">
        <v>106</v>
      </c>
      <c r="F885" s="3" t="s">
        <v>3629</v>
      </c>
      <c r="G885" s="6">
        <v>4371.5</v>
      </c>
      <c r="H885" s="6">
        <f t="shared" si="106"/>
        <v>666.83898305084722</v>
      </c>
      <c r="I885" s="3" t="s">
        <v>113</v>
      </c>
      <c r="J885" s="18" t="s">
        <v>3732</v>
      </c>
      <c r="O885"/>
      <c r="P885"/>
      <c r="R885" s="87"/>
    </row>
    <row r="886" spans="2:18" hidden="1" x14ac:dyDescent="0.25">
      <c r="B886" s="3" t="s">
        <v>3118</v>
      </c>
      <c r="C886" s="3" t="s">
        <v>99</v>
      </c>
      <c r="D886" s="3" t="s">
        <v>3035</v>
      </c>
      <c r="E886" s="3" t="s">
        <v>106</v>
      </c>
      <c r="F886" s="3" t="s">
        <v>3629</v>
      </c>
      <c r="G886" s="6">
        <v>754.25</v>
      </c>
      <c r="H886" s="6">
        <f t="shared" ref="H886:H887" si="107">G886-G886/1.18</f>
        <v>115.05508474576266</v>
      </c>
      <c r="I886" s="3" t="s">
        <v>18</v>
      </c>
      <c r="J886" s="18" t="s">
        <v>3732</v>
      </c>
      <c r="O886"/>
      <c r="P886"/>
      <c r="R886" s="87"/>
    </row>
    <row r="887" spans="2:18" hidden="1" x14ac:dyDescent="0.25">
      <c r="B887" s="3" t="s">
        <v>2942</v>
      </c>
      <c r="C887" s="3" t="s">
        <v>40</v>
      </c>
      <c r="D887" s="3" t="s">
        <v>2872</v>
      </c>
      <c r="E887" s="3" t="s">
        <v>106</v>
      </c>
      <c r="F887" s="3" t="s">
        <v>3629</v>
      </c>
      <c r="G887" s="6">
        <v>648.375</v>
      </c>
      <c r="H887" s="6">
        <f t="shared" si="107"/>
        <v>98.904661016949149</v>
      </c>
      <c r="I887" s="3" t="s">
        <v>113</v>
      </c>
      <c r="J887" s="18" t="s">
        <v>3732</v>
      </c>
      <c r="O887"/>
      <c r="P887"/>
      <c r="R887" s="87"/>
    </row>
    <row r="888" spans="2:18" hidden="1" x14ac:dyDescent="0.25">
      <c r="B888" s="3" t="s">
        <v>2946</v>
      </c>
      <c r="C888" s="3" t="s">
        <v>40</v>
      </c>
      <c r="D888" s="3" t="s">
        <v>2876</v>
      </c>
      <c r="E888" s="3" t="s">
        <v>106</v>
      </c>
      <c r="F888" s="3" t="s">
        <v>3629</v>
      </c>
      <c r="G888" s="6">
        <v>633.5</v>
      </c>
      <c r="H888" s="6">
        <f t="shared" ref="H888:H891" si="108">G888-G888/1.18</f>
        <v>96.635593220338933</v>
      </c>
      <c r="I888" s="3" t="s">
        <v>113</v>
      </c>
      <c r="J888" s="18" t="s">
        <v>3732</v>
      </c>
      <c r="O888"/>
      <c r="P888"/>
      <c r="R888" s="87"/>
    </row>
    <row r="889" spans="2:18" hidden="1" x14ac:dyDescent="0.25">
      <c r="B889" s="3" t="s">
        <v>3134</v>
      </c>
      <c r="C889" s="3" t="s">
        <v>74</v>
      </c>
      <c r="D889" s="3" t="s">
        <v>3051</v>
      </c>
      <c r="E889" s="3" t="s">
        <v>106</v>
      </c>
      <c r="F889" s="3" t="s">
        <v>3629</v>
      </c>
      <c r="G889" s="6">
        <v>561.75</v>
      </c>
      <c r="H889" s="6">
        <f t="shared" si="108"/>
        <v>85.690677966101646</v>
      </c>
      <c r="I889" s="3" t="s">
        <v>18</v>
      </c>
      <c r="J889" s="18" t="s">
        <v>3732</v>
      </c>
      <c r="O889"/>
      <c r="P889"/>
      <c r="R889" s="87"/>
    </row>
    <row r="890" spans="2:18" hidden="1" x14ac:dyDescent="0.25">
      <c r="B890" s="3" t="s">
        <v>3152</v>
      </c>
      <c r="C890" s="3" t="s">
        <v>99</v>
      </c>
      <c r="D890" s="3" t="s">
        <v>3068</v>
      </c>
      <c r="E890" s="3" t="s">
        <v>106</v>
      </c>
      <c r="F890" s="3" t="s">
        <v>3629</v>
      </c>
      <c r="G890" s="6">
        <v>281.75</v>
      </c>
      <c r="H890" s="6">
        <f t="shared" si="108"/>
        <v>42.97881355932202</v>
      </c>
      <c r="I890" s="3" t="s">
        <v>18</v>
      </c>
      <c r="J890" s="18" t="s">
        <v>3732</v>
      </c>
      <c r="O890"/>
      <c r="P890"/>
      <c r="R890" s="87"/>
    </row>
    <row r="891" spans="2:18" hidden="1" x14ac:dyDescent="0.25">
      <c r="B891" s="3" t="s">
        <v>3359</v>
      </c>
      <c r="C891" s="3" t="s">
        <v>96</v>
      </c>
      <c r="D891" s="3" t="s">
        <v>3507</v>
      </c>
      <c r="E891" s="3" t="s">
        <v>71</v>
      </c>
      <c r="F891" s="3" t="s">
        <v>3629</v>
      </c>
      <c r="G891" s="6">
        <v>5000</v>
      </c>
      <c r="H891" s="6">
        <f t="shared" si="108"/>
        <v>762.71186440677957</v>
      </c>
      <c r="I891" s="3" t="s">
        <v>18</v>
      </c>
      <c r="J891" s="18"/>
      <c r="N891">
        <v>1</v>
      </c>
      <c r="O891"/>
      <c r="P891"/>
      <c r="R891" s="87"/>
    </row>
    <row r="892" spans="2:18" hidden="1" x14ac:dyDescent="0.25">
      <c r="B892" s="3" t="s">
        <v>3359</v>
      </c>
      <c r="C892" s="3" t="s">
        <v>96</v>
      </c>
      <c r="D892" s="3" t="s">
        <v>3427</v>
      </c>
      <c r="E892" s="3" t="s">
        <v>71</v>
      </c>
      <c r="F892" s="3" t="s">
        <v>3629</v>
      </c>
      <c r="G892" s="6">
        <v>15000</v>
      </c>
      <c r="H892" s="6">
        <f t="shared" ref="H892" si="109">G892-G892/1.18</f>
        <v>2288.1355932203387</v>
      </c>
      <c r="I892" s="3" t="s">
        <v>18</v>
      </c>
      <c r="J892" s="18"/>
      <c r="O892"/>
      <c r="P892"/>
      <c r="R892" s="87"/>
    </row>
    <row r="893" spans="2:18" hidden="1" x14ac:dyDescent="0.25">
      <c r="B893" s="3" t="s">
        <v>3359</v>
      </c>
      <c r="C893" s="3" t="s">
        <v>96</v>
      </c>
      <c r="D893" s="3" t="s">
        <v>3429</v>
      </c>
      <c r="E893" s="3" t="s">
        <v>71</v>
      </c>
      <c r="F893" s="3" t="s">
        <v>3629</v>
      </c>
      <c r="G893" s="6">
        <v>15000</v>
      </c>
      <c r="H893" s="6">
        <f t="shared" ref="H893" si="110">G893-G893/1.18</f>
        <v>2288.1355932203387</v>
      </c>
      <c r="I893" s="3" t="s">
        <v>18</v>
      </c>
      <c r="J893" s="18"/>
      <c r="O893"/>
      <c r="P893"/>
      <c r="R893" s="87"/>
    </row>
    <row r="894" spans="2:18" hidden="1" x14ac:dyDescent="0.25">
      <c r="B894" s="3" t="s">
        <v>3358</v>
      </c>
      <c r="C894" s="3" t="s">
        <v>96</v>
      </c>
      <c r="D894" s="3" t="s">
        <v>3704</v>
      </c>
      <c r="E894" s="3" t="s">
        <v>71</v>
      </c>
      <c r="F894" s="3" t="s">
        <v>3629</v>
      </c>
      <c r="G894" s="6">
        <v>17000</v>
      </c>
      <c r="H894" s="6">
        <f t="shared" ref="H894" si="111">G894-G894/1.18</f>
        <v>2593.2203389830502</v>
      </c>
      <c r="I894" s="3" t="s">
        <v>18</v>
      </c>
      <c r="J894" s="18"/>
      <c r="O894"/>
      <c r="P894"/>
      <c r="R894" s="87"/>
    </row>
    <row r="895" spans="2:18" hidden="1" x14ac:dyDescent="0.25">
      <c r="B895" s="3" t="s">
        <v>3359</v>
      </c>
      <c r="C895" s="3" t="s">
        <v>96</v>
      </c>
      <c r="D895" s="3" t="s">
        <v>3442</v>
      </c>
      <c r="E895" s="3" t="s">
        <v>71</v>
      </c>
      <c r="F895" s="3" t="s">
        <v>3629</v>
      </c>
      <c r="G895" s="6">
        <v>5000</v>
      </c>
      <c r="H895" s="6">
        <f t="shared" ref="H895:H896" si="112">G895-G895/1.18</f>
        <v>762.71186440677957</v>
      </c>
      <c r="I895" s="3" t="s">
        <v>18</v>
      </c>
      <c r="J895" s="18"/>
      <c r="O895"/>
      <c r="P895"/>
      <c r="R895" s="87"/>
    </row>
    <row r="896" spans="2:18" hidden="1" x14ac:dyDescent="0.25">
      <c r="B896" s="3" t="s">
        <v>3359</v>
      </c>
      <c r="C896" s="3" t="s">
        <v>96</v>
      </c>
      <c r="D896" s="3" t="s">
        <v>3443</v>
      </c>
      <c r="E896" s="3" t="s">
        <v>71</v>
      </c>
      <c r="F896" s="3" t="s">
        <v>3629</v>
      </c>
      <c r="G896" s="6">
        <v>5000</v>
      </c>
      <c r="H896" s="6">
        <f t="shared" si="112"/>
        <v>762.71186440677957</v>
      </c>
      <c r="I896" s="3" t="s">
        <v>18</v>
      </c>
      <c r="J896" s="18"/>
      <c r="O896"/>
      <c r="P896"/>
      <c r="R896" s="87"/>
    </row>
    <row r="897" spans="2:18" hidden="1" x14ac:dyDescent="0.25">
      <c r="B897" s="3" t="s">
        <v>3359</v>
      </c>
      <c r="C897" s="3" t="s">
        <v>96</v>
      </c>
      <c r="D897" s="3" t="s">
        <v>3445</v>
      </c>
      <c r="E897" s="3" t="s">
        <v>71</v>
      </c>
      <c r="F897" s="3" t="s">
        <v>3629</v>
      </c>
      <c r="G897" s="6">
        <v>5000</v>
      </c>
      <c r="H897" s="6">
        <f t="shared" ref="H897:H898" si="113">G897-G897/1.18</f>
        <v>762.71186440677957</v>
      </c>
      <c r="I897" s="3" t="s">
        <v>18</v>
      </c>
      <c r="J897" s="18"/>
      <c r="O897"/>
      <c r="P897"/>
      <c r="R897" s="87"/>
    </row>
    <row r="898" spans="2:18" x14ac:dyDescent="0.25">
      <c r="B898" s="3" t="s">
        <v>2198</v>
      </c>
      <c r="C898" s="3" t="s">
        <v>50</v>
      </c>
      <c r="D898" s="3" t="s">
        <v>3731</v>
      </c>
      <c r="E898" s="3" t="s">
        <v>141</v>
      </c>
      <c r="F898" s="3" t="s">
        <v>3629</v>
      </c>
      <c r="G898" s="6">
        <v>600</v>
      </c>
      <c r="H898" s="6">
        <f t="shared" si="113"/>
        <v>91.525423728813507</v>
      </c>
      <c r="I898" s="3" t="s">
        <v>113</v>
      </c>
      <c r="J898" s="18"/>
      <c r="N898">
        <v>28</v>
      </c>
      <c r="O898"/>
      <c r="P898"/>
      <c r="R898" s="87"/>
    </row>
    <row r="899" spans="2:18" x14ac:dyDescent="0.25">
      <c r="B899" s="3"/>
      <c r="C899" s="3"/>
      <c r="D899" s="3"/>
      <c r="E899" s="3"/>
      <c r="F899" s="3"/>
      <c r="G899" s="6"/>
      <c r="H899" s="6"/>
      <c r="I899" s="3"/>
      <c r="J899" s="18"/>
      <c r="O899"/>
      <c r="P899"/>
      <c r="R899" s="87"/>
    </row>
    <row r="900" spans="2:18" x14ac:dyDescent="0.25">
      <c r="B900" s="3"/>
      <c r="C900" s="3"/>
      <c r="D900" s="3"/>
      <c r="E900" s="3"/>
      <c r="F900" s="3"/>
      <c r="G900" s="6"/>
      <c r="H900" s="6"/>
      <c r="I900" s="3"/>
      <c r="J900" s="18"/>
      <c r="K900" t="s">
        <v>3716</v>
      </c>
      <c r="N900" s="219">
        <v>161884.47</v>
      </c>
      <c r="O900"/>
      <c r="P900"/>
      <c r="R900" s="87"/>
    </row>
    <row r="901" spans="2:18" x14ac:dyDescent="0.25">
      <c r="B901" s="3"/>
      <c r="C901" s="3"/>
      <c r="D901" s="3"/>
      <c r="E901" s="3"/>
      <c r="F901" s="3"/>
      <c r="G901" s="6"/>
      <c r="H901" s="6"/>
      <c r="I901" s="3"/>
      <c r="J901" s="18"/>
      <c r="K901" t="s">
        <v>3717</v>
      </c>
      <c r="N901" s="269">
        <v>193543.87</v>
      </c>
      <c r="O901"/>
      <c r="P901"/>
      <c r="R901" s="87"/>
    </row>
    <row r="902" spans="2:18" x14ac:dyDescent="0.25">
      <c r="B902" s="3"/>
      <c r="C902" s="3"/>
      <c r="D902" s="3"/>
      <c r="E902" s="3"/>
      <c r="F902" s="3"/>
      <c r="G902" s="6"/>
      <c r="H902" s="6"/>
      <c r="I902" s="3"/>
      <c r="J902" s="18"/>
      <c r="K902" s="61" t="s">
        <v>3718</v>
      </c>
      <c r="L902" s="61"/>
      <c r="M902" s="61"/>
      <c r="N902" s="270">
        <v>2540506</v>
      </c>
      <c r="O902"/>
      <c r="P902"/>
      <c r="R902" s="87"/>
    </row>
    <row r="903" spans="2:18" x14ac:dyDescent="0.25">
      <c r="B903" s="3"/>
      <c r="C903" s="3"/>
      <c r="D903" s="3"/>
      <c r="E903" s="3"/>
      <c r="F903" s="3"/>
      <c r="G903" s="6"/>
      <c r="H903" s="6"/>
      <c r="I903" s="3"/>
      <c r="J903" s="18"/>
      <c r="K903" t="s">
        <v>3719</v>
      </c>
      <c r="N903" s="87">
        <v>44960.46</v>
      </c>
      <c r="O903"/>
      <c r="P903"/>
      <c r="R903" s="87"/>
    </row>
    <row r="904" spans="2:18" x14ac:dyDescent="0.25">
      <c r="B904" s="3"/>
      <c r="C904" s="3"/>
      <c r="D904" s="3"/>
      <c r="E904" s="3"/>
      <c r="F904" s="3"/>
      <c r="G904" s="6"/>
      <c r="H904" s="6"/>
      <c r="I904" s="3"/>
      <c r="J904" s="18"/>
      <c r="K904" t="s">
        <v>3720</v>
      </c>
      <c r="N904" s="87">
        <v>9537.2900000000009</v>
      </c>
      <c r="O904"/>
      <c r="P904"/>
      <c r="R904" s="87"/>
    </row>
    <row r="905" spans="2:18" x14ac:dyDescent="0.25">
      <c r="B905" s="3"/>
      <c r="C905" s="3"/>
      <c r="D905" s="3"/>
      <c r="E905" s="3"/>
      <c r="F905" s="3"/>
      <c r="G905" s="6"/>
      <c r="H905" s="6"/>
      <c r="I905" s="3"/>
      <c r="J905" s="18"/>
      <c r="K905" t="s">
        <v>3721</v>
      </c>
      <c r="N905" s="267">
        <v>4000</v>
      </c>
      <c r="O905"/>
      <c r="P905"/>
      <c r="R905" s="87"/>
    </row>
    <row r="906" spans="2:18" x14ac:dyDescent="0.25">
      <c r="B906" s="3"/>
      <c r="C906" s="3"/>
      <c r="D906" s="3"/>
      <c r="E906" s="3"/>
      <c r="F906" s="3"/>
      <c r="G906" s="6"/>
      <c r="H906" s="6"/>
      <c r="I906" s="3"/>
      <c r="J906" s="18"/>
      <c r="K906" t="s">
        <v>3715</v>
      </c>
      <c r="N906" s="267">
        <v>212783.98</v>
      </c>
      <c r="O906"/>
      <c r="P906"/>
      <c r="R906" s="87"/>
    </row>
    <row r="907" spans="2:18" x14ac:dyDescent="0.25">
      <c r="B907" s="3"/>
      <c r="C907" s="3"/>
      <c r="D907" s="3"/>
      <c r="E907" s="3"/>
      <c r="F907" s="3"/>
      <c r="G907" s="6"/>
      <c r="H907" s="6"/>
      <c r="I907" s="3"/>
      <c r="J907" s="18"/>
      <c r="K907" t="s">
        <v>3722</v>
      </c>
      <c r="N907" s="267">
        <v>3200</v>
      </c>
      <c r="O907"/>
      <c r="P907"/>
      <c r="R907" s="87"/>
    </row>
    <row r="908" spans="2:18" x14ac:dyDescent="0.25">
      <c r="B908" s="3"/>
      <c r="C908" s="3"/>
      <c r="D908" s="3"/>
      <c r="E908" s="3"/>
      <c r="F908" s="3"/>
      <c r="G908" s="6"/>
      <c r="H908" s="6"/>
      <c r="I908" s="3"/>
      <c r="J908" s="18"/>
      <c r="K908" t="s">
        <v>3723</v>
      </c>
      <c r="N908" s="268">
        <v>802000</v>
      </c>
      <c r="O908"/>
      <c r="P908"/>
      <c r="R908" s="87"/>
    </row>
    <row r="909" spans="2:18" x14ac:dyDescent="0.25">
      <c r="B909" s="3"/>
      <c r="C909" s="3"/>
      <c r="D909" s="3"/>
      <c r="E909" s="3"/>
      <c r="F909" s="3"/>
      <c r="G909" s="6"/>
      <c r="H909" s="6"/>
      <c r="I909" s="3"/>
      <c r="J909" s="18"/>
      <c r="K909" t="s">
        <v>3724</v>
      </c>
      <c r="N909" s="267">
        <v>5302</v>
      </c>
      <c r="O909"/>
      <c r="P909"/>
      <c r="R909" s="87"/>
    </row>
    <row r="910" spans="2:18" x14ac:dyDescent="0.25">
      <c r="B910" s="3"/>
      <c r="C910" s="3"/>
      <c r="D910" s="260" t="s">
        <v>3595</v>
      </c>
      <c r="E910" s="3"/>
      <c r="F910" s="3"/>
      <c r="G910" s="6"/>
      <c r="H910" s="6"/>
      <c r="I910" s="3"/>
      <c r="K910" t="s">
        <v>3725</v>
      </c>
      <c r="N910" s="87">
        <v>0.01</v>
      </c>
      <c r="O910"/>
      <c r="P910"/>
      <c r="R910" s="87"/>
    </row>
    <row r="911" spans="2:18" x14ac:dyDescent="0.25">
      <c r="B911" s="3"/>
      <c r="C911" s="3"/>
      <c r="D911" s="260" t="s">
        <v>3596</v>
      </c>
      <c r="E911" s="3"/>
      <c r="F911" s="3"/>
      <c r="G911" s="6"/>
      <c r="H911" s="6"/>
      <c r="I911" s="3"/>
      <c r="K911" t="s">
        <v>3726</v>
      </c>
      <c r="N911" s="267">
        <v>83898.7</v>
      </c>
      <c r="O911"/>
      <c r="P911"/>
      <c r="R911" s="87"/>
    </row>
    <row r="912" spans="2:18" x14ac:dyDescent="0.25">
      <c r="B912" s="3"/>
      <c r="C912" s="3"/>
      <c r="D912" s="260" t="s">
        <v>3601</v>
      </c>
      <c r="E912" s="3"/>
      <c r="F912" s="3"/>
      <c r="G912" s="6"/>
      <c r="H912" s="6"/>
      <c r="I912" s="3"/>
      <c r="K912" t="s">
        <v>3727</v>
      </c>
      <c r="N912" s="267">
        <v>147024</v>
      </c>
      <c r="O912"/>
      <c r="P912"/>
      <c r="R912" s="87"/>
    </row>
    <row r="913" spans="2:18" x14ac:dyDescent="0.25">
      <c r="B913" s="3"/>
      <c r="C913" s="3"/>
      <c r="D913" s="3"/>
      <c r="E913" s="3"/>
      <c r="F913" s="3"/>
      <c r="G913" s="6"/>
      <c r="H913" s="6"/>
      <c r="I913" s="3"/>
      <c r="N913" s="87">
        <f>SUBTOTAL(9,N900:N912)</f>
        <v>4208640.7799999993</v>
      </c>
      <c r="O913" s="87">
        <v>1262.29</v>
      </c>
      <c r="P913" s="87"/>
      <c r="R913" s="87"/>
    </row>
    <row r="914" spans="2:18" x14ac:dyDescent="0.25">
      <c r="B914" s="3"/>
      <c r="C914" s="3"/>
      <c r="D914" s="3"/>
      <c r="E914" s="3"/>
      <c r="F914" s="3"/>
      <c r="G914" s="6"/>
      <c r="H914" s="6"/>
      <c r="I914" s="3"/>
      <c r="N914" s="79">
        <f>N913-G2</f>
        <v>1578247.7699999991</v>
      </c>
      <c r="O914" s="87">
        <v>5950.65</v>
      </c>
      <c r="P914" s="87"/>
      <c r="R914" s="87"/>
    </row>
    <row r="915" spans="2:18" x14ac:dyDescent="0.25">
      <c r="B915" s="3"/>
      <c r="C915" s="3"/>
      <c r="D915" s="3"/>
      <c r="E915" s="3"/>
      <c r="F915" s="3"/>
      <c r="G915" s="6"/>
      <c r="H915" s="6"/>
      <c r="I915" s="3"/>
      <c r="O915" s="87">
        <f>O913+O914</f>
        <v>7212.94</v>
      </c>
      <c r="P915" s="87"/>
      <c r="R915" s="87"/>
    </row>
    <row r="916" spans="2:18" x14ac:dyDescent="0.25">
      <c r="B916" s="3"/>
      <c r="C916" s="3"/>
      <c r="D916" s="3"/>
      <c r="E916" s="3"/>
      <c r="F916" s="3"/>
      <c r="G916" s="6"/>
      <c r="H916" s="6"/>
      <c r="I916" s="3"/>
      <c r="O916"/>
      <c r="P916"/>
      <c r="R916" s="87"/>
    </row>
    <row r="917" spans="2:18" x14ac:dyDescent="0.25">
      <c r="B917" s="3"/>
      <c r="C917" s="3"/>
      <c r="D917" s="3"/>
      <c r="E917" s="3"/>
      <c r="F917" s="3"/>
      <c r="G917" s="6"/>
      <c r="H917" s="6"/>
      <c r="I917" s="3"/>
      <c r="O917"/>
      <c r="P917"/>
      <c r="R917" s="87"/>
    </row>
    <row r="918" spans="2:18" x14ac:dyDescent="0.25">
      <c r="B918" s="3"/>
      <c r="C918" s="3"/>
      <c r="D918" s="3"/>
      <c r="E918" s="3"/>
      <c r="F918" s="3"/>
      <c r="G918" s="6"/>
      <c r="H918" s="6"/>
      <c r="I918" s="3"/>
      <c r="O918"/>
      <c r="P918"/>
      <c r="R918" s="87"/>
    </row>
    <row r="919" spans="2:18" x14ac:dyDescent="0.25">
      <c r="B919" s="3"/>
      <c r="C919" s="3"/>
      <c r="D919" s="3"/>
      <c r="E919" s="3"/>
      <c r="F919" s="3"/>
      <c r="G919" s="6"/>
      <c r="H919" s="6"/>
      <c r="I919" s="3"/>
      <c r="O919"/>
      <c r="P919"/>
      <c r="R919" s="87"/>
    </row>
    <row r="920" spans="2:18" x14ac:dyDescent="0.25">
      <c r="B920" s="3"/>
      <c r="C920" s="3"/>
      <c r="D920" s="3"/>
      <c r="E920" s="3"/>
      <c r="F920" s="3"/>
      <c r="G920" s="6"/>
      <c r="H920" s="6"/>
      <c r="I920" s="3"/>
      <c r="O920"/>
      <c r="P920"/>
      <c r="R920" s="87"/>
    </row>
    <row r="921" spans="2:18" x14ac:dyDescent="0.25">
      <c r="B921" s="3"/>
      <c r="C921" s="3"/>
      <c r="D921" s="3"/>
      <c r="E921" s="3"/>
      <c r="F921" s="3"/>
      <c r="G921" s="6"/>
      <c r="H921" s="6"/>
      <c r="I921" s="3"/>
      <c r="O921"/>
      <c r="P921"/>
      <c r="R921" s="87"/>
    </row>
    <row r="922" spans="2:18" x14ac:dyDescent="0.25">
      <c r="B922" s="3"/>
      <c r="C922" s="3"/>
      <c r="D922" s="3"/>
      <c r="E922" s="3"/>
      <c r="F922" s="3"/>
      <c r="G922" s="6"/>
      <c r="H922" s="6"/>
      <c r="I922" s="3"/>
      <c r="O922"/>
      <c r="P922"/>
      <c r="R922" s="87"/>
    </row>
    <row r="923" spans="2:18" x14ac:dyDescent="0.25">
      <c r="B923" s="3"/>
      <c r="C923" s="3"/>
      <c r="D923" s="3"/>
      <c r="E923" s="3"/>
      <c r="F923" s="3"/>
      <c r="G923" s="6"/>
      <c r="H923" s="6"/>
      <c r="I923" s="3"/>
      <c r="O923"/>
      <c r="P923"/>
      <c r="R923" s="87"/>
    </row>
    <row r="924" spans="2:18" x14ac:dyDescent="0.25">
      <c r="B924" s="3"/>
      <c r="C924" s="3"/>
      <c r="D924" s="3"/>
      <c r="E924" s="3"/>
      <c r="F924" s="3"/>
      <c r="G924" s="6"/>
      <c r="H924" s="6"/>
      <c r="I924" s="3"/>
      <c r="O924"/>
      <c r="P924"/>
      <c r="R924" s="87"/>
    </row>
    <row r="925" spans="2:18" x14ac:dyDescent="0.25">
      <c r="B925" s="3"/>
      <c r="C925" s="3"/>
      <c r="D925" s="3"/>
      <c r="E925" s="3"/>
      <c r="F925" s="3"/>
      <c r="G925" s="6"/>
      <c r="H925" s="6"/>
      <c r="I925" s="3"/>
      <c r="O925"/>
      <c r="P925"/>
      <c r="R925" s="87"/>
    </row>
    <row r="926" spans="2:18" x14ac:dyDescent="0.25">
      <c r="B926" s="3"/>
      <c r="C926" s="3"/>
      <c r="D926" s="3"/>
      <c r="E926" s="3"/>
      <c r="F926" s="3"/>
      <c r="G926" s="6"/>
      <c r="H926" s="6"/>
      <c r="I926" s="3"/>
      <c r="O926"/>
      <c r="P926"/>
      <c r="R926" s="87"/>
    </row>
    <row r="927" spans="2:18" x14ac:dyDescent="0.25">
      <c r="B927" s="3"/>
      <c r="C927" s="3"/>
      <c r="D927" s="3"/>
      <c r="E927" s="3"/>
      <c r="F927" s="3"/>
      <c r="G927" s="6"/>
      <c r="H927" s="6"/>
      <c r="I927" s="3"/>
      <c r="O927"/>
      <c r="P927"/>
      <c r="R927" s="87"/>
    </row>
    <row r="928" spans="2:18" x14ac:dyDescent="0.25">
      <c r="B928" s="3"/>
      <c r="C928" s="3"/>
      <c r="D928" s="3"/>
      <c r="E928" s="3"/>
      <c r="F928" s="3"/>
      <c r="G928" s="6"/>
      <c r="H928" s="6"/>
      <c r="I928" s="3"/>
      <c r="O928"/>
      <c r="P928"/>
      <c r="R928" s="87"/>
    </row>
    <row r="929" spans="2:18" x14ac:dyDescent="0.25">
      <c r="B929" s="3"/>
      <c r="C929" s="3"/>
      <c r="D929" s="3"/>
      <c r="E929" s="3"/>
      <c r="F929" s="3"/>
      <c r="G929" s="6"/>
      <c r="H929" s="6"/>
      <c r="I929" s="3"/>
      <c r="O929"/>
      <c r="P929"/>
      <c r="R929" s="87"/>
    </row>
    <row r="930" spans="2:18" x14ac:dyDescent="0.25">
      <c r="B930" s="3"/>
      <c r="C930" s="3"/>
      <c r="D930" s="3"/>
      <c r="E930" s="3"/>
      <c r="F930" s="3"/>
      <c r="G930" s="6"/>
      <c r="H930" s="6"/>
      <c r="I930" s="3"/>
      <c r="O930"/>
      <c r="P930"/>
      <c r="R930" s="87"/>
    </row>
    <row r="931" spans="2:18" x14ac:dyDescent="0.25">
      <c r="B931" s="3"/>
      <c r="C931" s="3"/>
      <c r="D931" s="3"/>
      <c r="E931" s="3"/>
      <c r="F931" s="3"/>
      <c r="G931" s="6"/>
      <c r="H931" s="6"/>
      <c r="I931" s="3"/>
      <c r="O931"/>
      <c r="P931"/>
      <c r="R931" s="87"/>
    </row>
    <row r="932" spans="2:18" x14ac:dyDescent="0.25">
      <c r="B932" s="3"/>
      <c r="C932" s="3"/>
      <c r="D932" s="3"/>
      <c r="E932" s="3"/>
      <c r="F932" s="3"/>
      <c r="G932" s="6"/>
      <c r="H932" s="6"/>
      <c r="I932" s="3"/>
      <c r="O932"/>
      <c r="P932"/>
      <c r="R932" s="87"/>
    </row>
    <row r="933" spans="2:18" x14ac:dyDescent="0.25">
      <c r="B933" s="3"/>
      <c r="C933" s="3"/>
      <c r="D933" s="3"/>
      <c r="E933" s="3"/>
      <c r="F933" s="3"/>
      <c r="G933" s="6"/>
      <c r="H933" s="6"/>
      <c r="I933" s="3"/>
      <c r="O933"/>
      <c r="P933"/>
      <c r="R933" s="87"/>
    </row>
    <row r="934" spans="2:18" x14ac:dyDescent="0.25">
      <c r="B934" s="3"/>
      <c r="C934" s="3"/>
      <c r="D934" s="3"/>
      <c r="E934" s="3"/>
      <c r="F934" s="3"/>
      <c r="G934" s="6"/>
      <c r="H934" s="6"/>
      <c r="I934" s="3"/>
      <c r="O934"/>
      <c r="P934"/>
      <c r="R934" s="87"/>
    </row>
    <row r="935" spans="2:18" x14ac:dyDescent="0.25">
      <c r="B935" s="3"/>
      <c r="C935" s="3"/>
      <c r="D935" s="3"/>
      <c r="E935" s="3"/>
      <c r="F935" s="3"/>
      <c r="G935" s="6"/>
      <c r="H935" s="6"/>
      <c r="I935" s="3"/>
      <c r="O935"/>
      <c r="P935"/>
      <c r="R935" s="87"/>
    </row>
    <row r="936" spans="2:18" x14ac:dyDescent="0.25">
      <c r="B936" s="3"/>
      <c r="C936" s="3"/>
      <c r="D936" s="3"/>
      <c r="E936" s="3"/>
      <c r="F936" s="3"/>
      <c r="G936" s="6"/>
      <c r="H936" s="6"/>
      <c r="I936" s="3"/>
      <c r="O936"/>
      <c r="P936"/>
      <c r="R936" s="87"/>
    </row>
    <row r="937" spans="2:18" x14ac:dyDescent="0.25">
      <c r="B937" s="3"/>
      <c r="C937" s="3"/>
      <c r="D937" s="3"/>
      <c r="E937" s="3"/>
      <c r="F937" s="3"/>
      <c r="G937" s="6"/>
      <c r="H937" s="6"/>
      <c r="I937" s="3"/>
      <c r="O937"/>
      <c r="P937"/>
      <c r="R937" s="87"/>
    </row>
    <row r="938" spans="2:18" x14ac:dyDescent="0.25">
      <c r="B938" s="3"/>
      <c r="C938" s="3"/>
      <c r="D938" s="3"/>
      <c r="E938" s="3"/>
      <c r="F938" s="3"/>
      <c r="G938" s="6"/>
      <c r="H938" s="6"/>
      <c r="I938" s="3"/>
      <c r="O938"/>
      <c r="P938"/>
      <c r="R938" s="87"/>
    </row>
    <row r="939" spans="2:18" x14ac:dyDescent="0.25">
      <c r="B939" s="3"/>
      <c r="C939" s="3"/>
      <c r="D939" s="3"/>
      <c r="E939" s="3"/>
      <c r="F939" s="3"/>
      <c r="G939" s="6"/>
      <c r="H939" s="6"/>
      <c r="I939" s="3"/>
      <c r="O939"/>
      <c r="P939"/>
      <c r="R939" s="87"/>
    </row>
    <row r="940" spans="2:18" x14ac:dyDescent="0.25">
      <c r="B940" s="3"/>
      <c r="C940" s="3"/>
      <c r="D940" s="3"/>
      <c r="E940" s="3"/>
      <c r="F940" s="3"/>
      <c r="G940" s="6"/>
      <c r="H940" s="6"/>
      <c r="I940" s="3"/>
      <c r="O940"/>
      <c r="P940"/>
      <c r="R940" s="87"/>
    </row>
    <row r="941" spans="2:18" x14ac:dyDescent="0.25">
      <c r="B941" s="3"/>
      <c r="C941" s="3"/>
      <c r="D941" s="3"/>
      <c r="E941" s="3"/>
      <c r="F941" s="3"/>
      <c r="G941" s="6"/>
      <c r="H941" s="6"/>
      <c r="I941" s="3"/>
      <c r="O941"/>
      <c r="P941"/>
      <c r="R941" s="87"/>
    </row>
    <row r="942" spans="2:18" x14ac:dyDescent="0.25">
      <c r="B942" s="3"/>
      <c r="C942" s="3"/>
      <c r="D942" s="3"/>
      <c r="E942" s="3"/>
      <c r="F942" s="3"/>
      <c r="G942" s="6"/>
      <c r="H942" s="6"/>
      <c r="I942" s="3"/>
      <c r="O942"/>
      <c r="P942"/>
      <c r="R942" s="87"/>
    </row>
    <row r="943" spans="2:18" x14ac:dyDescent="0.25">
      <c r="B943" s="3"/>
      <c r="C943" s="3"/>
      <c r="D943" s="3"/>
      <c r="E943" s="3"/>
      <c r="F943" s="3"/>
      <c r="G943" s="6"/>
      <c r="H943" s="6"/>
      <c r="I943" s="3"/>
      <c r="O943"/>
      <c r="P943"/>
      <c r="R943" s="87"/>
    </row>
    <row r="944" spans="2:18" x14ac:dyDescent="0.25">
      <c r="B944" s="3"/>
      <c r="C944" s="3"/>
      <c r="D944" s="3"/>
      <c r="E944" s="3"/>
      <c r="F944" s="3"/>
      <c r="G944" s="6"/>
      <c r="H944" s="6"/>
      <c r="I944" s="3"/>
      <c r="O944"/>
      <c r="P944"/>
      <c r="R944" s="87"/>
    </row>
    <row r="945" spans="2:18" x14ac:dyDescent="0.25">
      <c r="B945" s="3"/>
      <c r="C945" s="3"/>
      <c r="D945" s="3"/>
      <c r="E945" s="3"/>
      <c r="F945" s="3"/>
      <c r="G945" s="6"/>
      <c r="H945" s="6"/>
      <c r="I945" s="3"/>
      <c r="O945"/>
      <c r="P945"/>
      <c r="R945" s="87"/>
    </row>
    <row r="946" spans="2:18" x14ac:dyDescent="0.25">
      <c r="B946" s="3"/>
      <c r="C946" s="3"/>
      <c r="D946" s="3"/>
      <c r="E946" s="3"/>
      <c r="F946" s="3"/>
      <c r="G946" s="6"/>
      <c r="H946" s="6"/>
      <c r="I946" s="3"/>
      <c r="O946"/>
      <c r="P946"/>
      <c r="R946" s="87"/>
    </row>
    <row r="947" spans="2:18" x14ac:dyDescent="0.25">
      <c r="B947" s="3"/>
      <c r="C947" s="3"/>
      <c r="D947" s="3"/>
      <c r="E947" s="3"/>
      <c r="F947" s="3"/>
      <c r="G947" s="6"/>
      <c r="H947" s="6"/>
      <c r="I947" s="3"/>
      <c r="O947"/>
      <c r="P947"/>
      <c r="R947" s="87"/>
    </row>
    <row r="948" spans="2:18" x14ac:dyDescent="0.25">
      <c r="B948" s="3"/>
      <c r="C948" s="3"/>
      <c r="D948" s="3"/>
      <c r="E948" s="3"/>
      <c r="F948" s="3"/>
      <c r="G948" s="6"/>
      <c r="H948" s="6"/>
      <c r="I948" s="3"/>
      <c r="O948"/>
      <c r="P948"/>
      <c r="R948" s="87"/>
    </row>
    <row r="949" spans="2:18" x14ac:dyDescent="0.25">
      <c r="B949" s="3"/>
      <c r="C949" s="3"/>
      <c r="D949" s="3"/>
      <c r="E949" s="3"/>
      <c r="F949" s="3"/>
      <c r="G949" s="6"/>
      <c r="H949" s="6"/>
      <c r="I949" s="3"/>
      <c r="O949"/>
      <c r="P949"/>
      <c r="R949" s="87"/>
    </row>
  </sheetData>
  <autoFilter ref="B4:R898" xr:uid="{00000000-0009-0000-0000-000007000000}">
    <filterColumn colId="3">
      <filters>
        <filter val="Бриджи"/>
      </filters>
    </filterColumn>
  </autoFilter>
  <dataValidations disablePrompts="1" count="6">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66:E73 E141:E147 E92:E95 E84:E88" xr:uid="{00000000-0002-0000-0700-000000000000}">
      <formula1>$AF$19:$AF$136</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D105:D107" xr:uid="{00000000-0002-0000-0700-000001000000}">
      <formula1>$AJ$5:$AJ$39</formula1>
    </dataValidation>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B73 B22" xr:uid="{00000000-0002-0000-0700-000002000000}">
      <formula1>$AI$5:$AI$10</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249" xr:uid="{00000000-0002-0000-0700-000003000000}">
      <formula1>$AD$19:$AD$138</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206:E228" xr:uid="{00000000-0002-0000-0700-000004000000}">
      <formula1>$AJ$11:$AJ$130</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745:E758" xr:uid="{00000000-0002-0000-0700-000005000000}">
      <formula1>#REF!</formula1>
    </dataValidation>
  </dataValidations>
  <pageMargins left="0.23" right="0.18" top="0.75" bottom="0.75" header="0.3" footer="0.3"/>
  <pageSetup paperSize="9" orientation="landscape" horizontalDpi="1200" verticalDpi="12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V949"/>
  <sheetViews>
    <sheetView topLeftCell="A635" zoomScaleNormal="100" workbookViewId="0">
      <selection activeCell="E671" sqref="E671"/>
    </sheetView>
  </sheetViews>
  <sheetFormatPr defaultColWidth="8.85546875" defaultRowHeight="15" x14ac:dyDescent="0.25"/>
  <cols>
    <col min="1" max="1" width="2.140625" customWidth="1"/>
    <col min="2" max="2" width="5.85546875" bestFit="1" customWidth="1"/>
    <col min="3" max="3" width="24.5703125" bestFit="1" customWidth="1"/>
    <col min="5" max="5" width="101.42578125" customWidth="1"/>
    <col min="6" max="6" width="13.42578125" customWidth="1"/>
    <col min="7" max="7" width="11.42578125" bestFit="1" customWidth="1"/>
    <col min="8" max="8" width="12.85546875" bestFit="1" customWidth="1"/>
    <col min="9" max="9" width="12.7109375" bestFit="1" customWidth="1"/>
    <col min="10" max="10" width="10.140625" bestFit="1" customWidth="1"/>
    <col min="11" max="11" width="11.140625" bestFit="1" customWidth="1"/>
    <col min="12" max="12" width="6.85546875" customWidth="1"/>
    <col min="13" max="13" width="4.140625" customWidth="1"/>
    <col min="14" max="14" width="6.42578125" customWidth="1"/>
    <col min="15" max="15" width="10.42578125" customWidth="1"/>
    <col min="16" max="16" width="6.28515625" customWidth="1"/>
    <col min="17" max="17" width="12.5703125" style="31" customWidth="1"/>
    <col min="18" max="18" width="4.28515625" customWidth="1"/>
    <col min="19" max="19" width="24" bestFit="1" customWidth="1"/>
    <col min="20" max="22" width="11.28515625" bestFit="1" customWidth="1"/>
    <col min="23" max="23" width="9.7109375" bestFit="1" customWidth="1"/>
    <col min="24" max="24" width="11.28515625" bestFit="1" customWidth="1"/>
    <col min="25" max="25" width="13.5703125" bestFit="1" customWidth="1"/>
    <col min="26" max="26" width="17" bestFit="1" customWidth="1"/>
    <col min="27" max="27" width="16.140625" bestFit="1" customWidth="1"/>
    <col min="28" max="28" width="13.5703125" bestFit="1" customWidth="1"/>
    <col min="29" max="31" width="12" bestFit="1" customWidth="1"/>
    <col min="32" max="32" width="17" bestFit="1" customWidth="1"/>
    <col min="33" max="34" width="13.5703125" bestFit="1" customWidth="1"/>
  </cols>
  <sheetData>
    <row r="1" spans="2:22" x14ac:dyDescent="0.25">
      <c r="G1" s="16"/>
      <c r="H1" s="79"/>
      <c r="J1" s="19"/>
      <c r="K1" s="52"/>
      <c r="L1" s="248"/>
      <c r="M1" s="25"/>
      <c r="N1" s="25"/>
      <c r="O1" s="25"/>
      <c r="P1" s="30"/>
      <c r="Q1" s="30"/>
    </row>
    <row r="2" spans="2:22" ht="18.75" x14ac:dyDescent="0.3">
      <c r="B2" s="71">
        <f>SUBTOTAL(3,B5:B949)</f>
        <v>444</v>
      </c>
      <c r="C2" s="71">
        <f>SUBTOTAL(3,C5:C949)</f>
        <v>667</v>
      </c>
      <c r="D2" s="71">
        <f>SUBTOTAL(3,D5:D949)</f>
        <v>667</v>
      </c>
      <c r="E2" s="71">
        <f>SUBTOTAL(3,E5:E949)</f>
        <v>667</v>
      </c>
      <c r="F2" s="71">
        <f>SUBTOTAL(3,F5:F949)</f>
        <v>667</v>
      </c>
      <c r="G2" s="71">
        <f>SUBTOTAL(9,G5:G949)</f>
        <v>8997501.7043135371</v>
      </c>
      <c r="H2" s="71">
        <f>SUBTOTAL(9,H5:H949)</f>
        <v>58983622.283833109</v>
      </c>
      <c r="I2" s="71">
        <f>SUBTOTAL(3,I5:I949)</f>
        <v>667</v>
      </c>
      <c r="J2" s="16"/>
      <c r="K2" s="19">
        <f>SUBTOTAL(3,K5:K949)</f>
        <v>566</v>
      </c>
      <c r="L2" s="71">
        <f>SUBTOTAL(3,L5:L949)</f>
        <v>0</v>
      </c>
      <c r="M2" s="31">
        <f>SUBTOTAL(9,M5:M949)</f>
        <v>0</v>
      </c>
      <c r="N2" s="31">
        <f>SUBTOTAL(9,N5:N949)</f>
        <v>0</v>
      </c>
      <c r="O2" s="31">
        <f>SUBTOTAL(9,O5:O949)</f>
        <v>2225</v>
      </c>
      <c r="P2" s="31"/>
      <c r="S2" s="92" t="s">
        <v>3864</v>
      </c>
      <c r="T2" t="s" vm="1">
        <v>4103</v>
      </c>
      <c r="U2" s="295"/>
      <c r="V2" s="295"/>
    </row>
    <row r="3" spans="2:22" ht="43.5" customHeight="1" x14ac:dyDescent="0.25">
      <c r="B3" s="23"/>
      <c r="C3" s="23" t="s">
        <v>84</v>
      </c>
      <c r="D3" s="23" t="s">
        <v>83</v>
      </c>
      <c r="E3" s="23" t="s">
        <v>86</v>
      </c>
      <c r="F3" s="23" t="s">
        <v>85</v>
      </c>
      <c r="G3" s="17" t="s">
        <v>80</v>
      </c>
      <c r="H3" s="23" t="s">
        <v>81</v>
      </c>
      <c r="I3" s="23" t="s">
        <v>3788</v>
      </c>
      <c r="J3" s="17" t="s">
        <v>101</v>
      </c>
      <c r="K3" s="95" t="s">
        <v>3784</v>
      </c>
      <c r="L3" s="26"/>
      <c r="M3" s="26" t="s">
        <v>509</v>
      </c>
      <c r="N3" s="26"/>
      <c r="O3" s="23" t="s">
        <v>656</v>
      </c>
      <c r="P3" s="32"/>
      <c r="Q3" s="32" t="s">
        <v>1676</v>
      </c>
    </row>
    <row r="4" spans="2:22" x14ac:dyDescent="0.25">
      <c r="B4" s="299" t="s">
        <v>3882</v>
      </c>
      <c r="C4" s="299" t="s">
        <v>3859</v>
      </c>
      <c r="D4" s="300" t="s">
        <v>3860</v>
      </c>
      <c r="E4" s="300" t="s">
        <v>3861</v>
      </c>
      <c r="F4" s="300" t="s">
        <v>3862</v>
      </c>
      <c r="G4" s="301" t="s">
        <v>3953</v>
      </c>
      <c r="H4" s="300" t="s">
        <v>3863</v>
      </c>
      <c r="I4" s="300" t="s">
        <v>3864</v>
      </c>
      <c r="J4" s="302" t="s">
        <v>3865</v>
      </c>
      <c r="K4" s="303" t="s">
        <v>3866</v>
      </c>
      <c r="L4" s="303" t="s">
        <v>3867</v>
      </c>
      <c r="M4" s="303" t="s">
        <v>3868</v>
      </c>
      <c r="N4" s="303" t="s">
        <v>3869</v>
      </c>
      <c r="O4" s="309" t="s">
        <v>3885</v>
      </c>
      <c r="P4" s="304" t="s">
        <v>3870</v>
      </c>
      <c r="Q4" s="304" t="s">
        <v>3871</v>
      </c>
      <c r="S4" s="92" t="s">
        <v>4070</v>
      </c>
      <c r="T4" s="92" t="s">
        <v>3865</v>
      </c>
    </row>
    <row r="5" spans="2:22" x14ac:dyDescent="0.25">
      <c r="B5" s="298"/>
      <c r="C5" s="298" t="s">
        <v>3772</v>
      </c>
      <c r="D5" s="3" t="s">
        <v>52</v>
      </c>
      <c r="E5" s="3" t="s">
        <v>3786</v>
      </c>
      <c r="F5" s="3" t="s">
        <v>3635</v>
      </c>
      <c r="G5" s="6">
        <f t="shared" ref="G5:G70" si="0">H5-H5/1.18</f>
        <v>18305.08474576271</v>
      </c>
      <c r="H5" s="6">
        <v>120000</v>
      </c>
      <c r="I5" s="284" t="s">
        <v>3785</v>
      </c>
      <c r="J5" s="3" t="s">
        <v>113</v>
      </c>
      <c r="O5" s="3"/>
      <c r="Q5"/>
      <c r="S5" s="308" t="s">
        <v>3884</v>
      </c>
      <c r="T5" t="s">
        <v>113</v>
      </c>
      <c r="U5" t="s">
        <v>18</v>
      </c>
      <c r="V5" t="s">
        <v>1610</v>
      </c>
    </row>
    <row r="6" spans="2:22" x14ac:dyDescent="0.25">
      <c r="B6" s="298"/>
      <c r="C6" s="298" t="s">
        <v>3772</v>
      </c>
      <c r="D6" s="3" t="s">
        <v>52</v>
      </c>
      <c r="E6" s="3" t="s">
        <v>3787</v>
      </c>
      <c r="F6" s="3" t="s">
        <v>3635</v>
      </c>
      <c r="G6" s="6">
        <f t="shared" si="0"/>
        <v>24406.779661016946</v>
      </c>
      <c r="H6" s="6">
        <v>160000</v>
      </c>
      <c r="I6" s="284" t="s">
        <v>3785</v>
      </c>
      <c r="J6" s="3" t="s">
        <v>113</v>
      </c>
      <c r="O6" s="3"/>
      <c r="Q6"/>
      <c r="S6" t="s">
        <v>106</v>
      </c>
      <c r="T6" s="16">
        <v>28606.9</v>
      </c>
      <c r="U6" s="16">
        <v>19487.3</v>
      </c>
      <c r="V6" s="16">
        <v>48094.200000000004</v>
      </c>
    </row>
    <row r="7" spans="2:22" x14ac:dyDescent="0.25">
      <c r="B7" s="298"/>
      <c r="C7" s="298" t="s">
        <v>3774</v>
      </c>
      <c r="D7" s="3" t="s">
        <v>40</v>
      </c>
      <c r="E7" s="3" t="s">
        <v>3780</v>
      </c>
      <c r="F7" s="3" t="s">
        <v>3635</v>
      </c>
      <c r="G7" s="6">
        <f t="shared" si="0"/>
        <v>6513.5593220338997</v>
      </c>
      <c r="H7" s="6">
        <v>42700</v>
      </c>
      <c r="I7" s="284" t="s">
        <v>3785</v>
      </c>
      <c r="J7" s="3" t="s">
        <v>113</v>
      </c>
      <c r="O7" s="3"/>
      <c r="Q7"/>
      <c r="S7" t="s">
        <v>117</v>
      </c>
      <c r="T7" s="16"/>
      <c r="U7" s="16">
        <v>115997</v>
      </c>
      <c r="V7" s="16">
        <v>115997</v>
      </c>
    </row>
    <row r="8" spans="2:22" x14ac:dyDescent="0.25">
      <c r="B8" s="298"/>
      <c r="C8" s="298" t="s">
        <v>3775</v>
      </c>
      <c r="D8" s="3" t="s">
        <v>40</v>
      </c>
      <c r="E8" s="3" t="s">
        <v>3781</v>
      </c>
      <c r="F8" s="3" t="s">
        <v>3635</v>
      </c>
      <c r="G8" s="6">
        <f t="shared" si="0"/>
        <v>4118.6440677966093</v>
      </c>
      <c r="H8" s="6">
        <v>27000</v>
      </c>
      <c r="I8" s="284" t="s">
        <v>3785</v>
      </c>
      <c r="J8" s="3" t="s">
        <v>113</v>
      </c>
      <c r="K8" s="99"/>
      <c r="O8" s="3"/>
      <c r="Q8"/>
      <c r="S8" t="s">
        <v>123</v>
      </c>
      <c r="T8" s="16">
        <v>11102</v>
      </c>
      <c r="U8" s="16"/>
      <c r="V8" s="16">
        <v>11102</v>
      </c>
    </row>
    <row r="9" spans="2:22" x14ac:dyDescent="0.25">
      <c r="B9" s="298"/>
      <c r="C9" s="298" t="s">
        <v>3776</v>
      </c>
      <c r="D9" s="3" t="s">
        <v>40</v>
      </c>
      <c r="E9" s="3" t="s">
        <v>3782</v>
      </c>
      <c r="F9" s="3" t="s">
        <v>3635</v>
      </c>
      <c r="G9" s="6">
        <f t="shared" si="0"/>
        <v>4118.6440677966093</v>
      </c>
      <c r="H9" s="6">
        <v>27000</v>
      </c>
      <c r="I9" s="284" t="s">
        <v>3785</v>
      </c>
      <c r="J9" s="3" t="s">
        <v>113</v>
      </c>
      <c r="O9" s="3"/>
      <c r="Q9"/>
      <c r="S9" t="s">
        <v>75</v>
      </c>
      <c r="T9" s="16">
        <v>2971405.57</v>
      </c>
      <c r="U9" s="16"/>
      <c r="V9" s="16">
        <v>2971405.57</v>
      </c>
    </row>
    <row r="10" spans="2:22" x14ac:dyDescent="0.25">
      <c r="B10" s="298"/>
      <c r="C10" s="298" t="s">
        <v>2934</v>
      </c>
      <c r="D10" s="3" t="s">
        <v>108</v>
      </c>
      <c r="E10" s="3" t="s">
        <v>2968</v>
      </c>
      <c r="F10" s="3" t="s">
        <v>106</v>
      </c>
      <c r="G10" s="6">
        <f t="shared" si="0"/>
        <v>847.56355932203405</v>
      </c>
      <c r="H10" s="6">
        <v>5556.25</v>
      </c>
      <c r="I10" s="284" t="s">
        <v>3785</v>
      </c>
      <c r="J10" s="3" t="s">
        <v>113</v>
      </c>
      <c r="O10" s="3"/>
      <c r="Q10"/>
      <c r="S10" t="s">
        <v>141</v>
      </c>
      <c r="T10" s="16">
        <v>2702662.7800000003</v>
      </c>
      <c r="U10" s="16"/>
      <c r="V10" s="16">
        <v>2702662.7800000003</v>
      </c>
    </row>
    <row r="11" spans="2:22" x14ac:dyDescent="0.25">
      <c r="B11" s="298"/>
      <c r="C11" s="298" t="s">
        <v>2904</v>
      </c>
      <c r="D11" s="3" t="s">
        <v>41</v>
      </c>
      <c r="E11" s="3" t="s">
        <v>2836</v>
      </c>
      <c r="F11" s="3" t="s">
        <v>106</v>
      </c>
      <c r="G11" s="6">
        <f t="shared" si="0"/>
        <v>2051.7711864406774</v>
      </c>
      <c r="H11" s="6">
        <v>13450.5</v>
      </c>
      <c r="I11" s="284" t="s">
        <v>3785</v>
      </c>
      <c r="J11" s="3" t="s">
        <v>113</v>
      </c>
      <c r="O11" s="3"/>
      <c r="Q11"/>
      <c r="S11" t="s">
        <v>90</v>
      </c>
      <c r="T11" s="16">
        <v>8037472.0099999988</v>
      </c>
      <c r="U11" s="16">
        <v>4053200.5138331088</v>
      </c>
      <c r="V11" s="16">
        <v>12090672.523833109</v>
      </c>
    </row>
    <row r="12" spans="2:22" x14ac:dyDescent="0.25">
      <c r="B12" s="298"/>
      <c r="C12" s="298" t="s">
        <v>2938</v>
      </c>
      <c r="D12" s="3" t="s">
        <v>43</v>
      </c>
      <c r="E12" s="3" t="s">
        <v>2868</v>
      </c>
      <c r="F12" s="3" t="s">
        <v>106</v>
      </c>
      <c r="G12" s="6">
        <f t="shared" si="0"/>
        <v>184.72881355932191</v>
      </c>
      <c r="H12" s="6">
        <v>1211</v>
      </c>
      <c r="I12" s="284" t="s">
        <v>3785</v>
      </c>
      <c r="J12" s="3" t="s">
        <v>113</v>
      </c>
      <c r="K12" s="78"/>
      <c r="O12" s="3"/>
      <c r="Q12"/>
      <c r="S12" t="s">
        <v>87</v>
      </c>
      <c r="T12" s="16">
        <v>1838896.22</v>
      </c>
      <c r="U12" s="16">
        <v>5330836.9799999995</v>
      </c>
      <c r="V12" s="16">
        <v>7169733.1999999993</v>
      </c>
    </row>
    <row r="13" spans="2:22" x14ac:dyDescent="0.25">
      <c r="B13" s="298"/>
      <c r="C13" s="298" t="s">
        <v>2944</v>
      </c>
      <c r="D13" s="3" t="s">
        <v>42</v>
      </c>
      <c r="E13" s="3" t="s">
        <v>2874</v>
      </c>
      <c r="F13" s="3" t="s">
        <v>106</v>
      </c>
      <c r="G13" s="6">
        <f t="shared" si="0"/>
        <v>396.95338983050851</v>
      </c>
      <c r="H13" s="6">
        <v>2602.25</v>
      </c>
      <c r="I13" s="284" t="s">
        <v>3785</v>
      </c>
      <c r="J13" s="3" t="s">
        <v>113</v>
      </c>
      <c r="O13" s="3"/>
      <c r="Q13"/>
      <c r="S13" t="s">
        <v>114</v>
      </c>
      <c r="T13" s="16">
        <v>4808084.63</v>
      </c>
      <c r="U13" s="16">
        <v>470439</v>
      </c>
      <c r="V13" s="16">
        <v>5278523.63</v>
      </c>
    </row>
    <row r="14" spans="2:22" x14ac:dyDescent="0.25">
      <c r="B14" s="298"/>
      <c r="C14" s="298" t="s">
        <v>3138</v>
      </c>
      <c r="D14" s="3" t="s">
        <v>99</v>
      </c>
      <c r="E14" s="3" t="s">
        <v>3796</v>
      </c>
      <c r="F14" s="3" t="s">
        <v>106</v>
      </c>
      <c r="G14" s="6">
        <f t="shared" si="0"/>
        <v>241.32203389830511</v>
      </c>
      <c r="H14" s="6">
        <v>1582</v>
      </c>
      <c r="I14" s="284" t="s">
        <v>3785</v>
      </c>
      <c r="J14" s="3" t="s">
        <v>18</v>
      </c>
      <c r="O14" s="3"/>
      <c r="Q14"/>
      <c r="S14" t="s">
        <v>105</v>
      </c>
      <c r="T14" s="16">
        <v>5111920.58</v>
      </c>
      <c r="U14" s="16">
        <v>9917716.3200000003</v>
      </c>
      <c r="V14" s="16">
        <v>15029636.9</v>
      </c>
    </row>
    <row r="15" spans="2:22" x14ac:dyDescent="0.25">
      <c r="B15" s="298"/>
      <c r="C15" s="298" t="s">
        <v>3116</v>
      </c>
      <c r="D15" s="3" t="s">
        <v>74</v>
      </c>
      <c r="E15" s="3" t="s">
        <v>3033</v>
      </c>
      <c r="F15" s="3" t="s">
        <v>106</v>
      </c>
      <c r="G15" s="6">
        <f t="shared" si="0"/>
        <v>244.68559322033889</v>
      </c>
      <c r="H15" s="6">
        <v>1604.05</v>
      </c>
      <c r="I15" s="284" t="s">
        <v>3785</v>
      </c>
      <c r="J15" s="3" t="s">
        <v>18</v>
      </c>
      <c r="O15" s="3"/>
      <c r="Q15"/>
      <c r="S15" t="s">
        <v>71</v>
      </c>
      <c r="T15" s="16">
        <v>2339837.58</v>
      </c>
      <c r="U15" s="16">
        <v>1144017.3499999996</v>
      </c>
      <c r="V15" s="16">
        <v>3483854.93</v>
      </c>
    </row>
    <row r="16" spans="2:22" x14ac:dyDescent="0.25">
      <c r="B16" s="298"/>
      <c r="C16" s="298" t="s">
        <v>3108</v>
      </c>
      <c r="D16" s="3" t="s">
        <v>94</v>
      </c>
      <c r="E16" s="3" t="s">
        <v>3025</v>
      </c>
      <c r="F16" s="3" t="s">
        <v>106</v>
      </c>
      <c r="G16" s="6">
        <f t="shared" si="0"/>
        <v>1573.6652542372885</v>
      </c>
      <c r="H16" s="6">
        <v>10316.25</v>
      </c>
      <c r="I16" s="284" t="s">
        <v>3785</v>
      </c>
      <c r="J16" s="3" t="s">
        <v>18</v>
      </c>
      <c r="O16" s="3"/>
      <c r="Q16"/>
      <c r="S16" t="s">
        <v>115</v>
      </c>
      <c r="T16" s="16">
        <v>4406914</v>
      </c>
      <c r="U16" s="16"/>
      <c r="V16" s="16">
        <v>4406914</v>
      </c>
    </row>
    <row r="17" spans="2:22" x14ac:dyDescent="0.25">
      <c r="B17" s="298"/>
      <c r="C17" s="298" t="s">
        <v>3142</v>
      </c>
      <c r="D17" s="3" t="s">
        <v>95</v>
      </c>
      <c r="E17" s="3" t="s">
        <v>3058</v>
      </c>
      <c r="F17" s="3" t="s">
        <v>106</v>
      </c>
      <c r="G17" s="6">
        <f t="shared" si="0"/>
        <v>297.64830508474574</v>
      </c>
      <c r="H17" s="6">
        <v>1951.25</v>
      </c>
      <c r="I17" s="284" t="s">
        <v>3785</v>
      </c>
      <c r="J17" s="3" t="s">
        <v>18</v>
      </c>
      <c r="O17" s="3"/>
      <c r="Q17"/>
      <c r="S17" t="s">
        <v>3635</v>
      </c>
      <c r="T17" s="16">
        <v>3180587.7400000007</v>
      </c>
      <c r="U17" s="16">
        <v>2494437.8099999996</v>
      </c>
      <c r="V17" s="16">
        <v>5675025.5499999998</v>
      </c>
    </row>
    <row r="18" spans="2:22" x14ac:dyDescent="0.25">
      <c r="B18" s="298"/>
      <c r="C18" s="298" t="s">
        <v>2197</v>
      </c>
      <c r="D18" s="3" t="s">
        <v>29</v>
      </c>
      <c r="E18" s="3" t="s">
        <v>2200</v>
      </c>
      <c r="F18" s="3" t="s">
        <v>141</v>
      </c>
      <c r="G18" s="6">
        <f t="shared" si="0"/>
        <v>45762.711864406767</v>
      </c>
      <c r="H18" s="6">
        <v>300000</v>
      </c>
      <c r="I18" s="284" t="s">
        <v>3785</v>
      </c>
      <c r="J18" s="3" t="s">
        <v>113</v>
      </c>
      <c r="K18" s="285"/>
      <c r="O18" s="3"/>
      <c r="Q18"/>
      <c r="S18" t="s">
        <v>1610</v>
      </c>
      <c r="T18" s="16">
        <v>35437490.010000013</v>
      </c>
      <c r="U18" s="16">
        <v>23546132.2738331</v>
      </c>
      <c r="V18" s="16">
        <v>58983622.283833109</v>
      </c>
    </row>
    <row r="19" spans="2:22" x14ac:dyDescent="0.25">
      <c r="B19" s="298"/>
      <c r="C19" s="298" t="s">
        <v>2296</v>
      </c>
      <c r="D19" s="3" t="s">
        <v>40</v>
      </c>
      <c r="E19" s="3" t="s">
        <v>2278</v>
      </c>
      <c r="F19" s="3" t="s">
        <v>114</v>
      </c>
      <c r="G19" s="6">
        <f t="shared" si="0"/>
        <v>38135.593220338982</v>
      </c>
      <c r="H19" s="6">
        <v>250000</v>
      </c>
      <c r="I19" s="284" t="s">
        <v>3785</v>
      </c>
      <c r="J19" s="3" t="s">
        <v>113</v>
      </c>
      <c r="K19" s="285"/>
      <c r="O19" s="3"/>
      <c r="Q19"/>
    </row>
    <row r="20" spans="2:22" x14ac:dyDescent="0.25">
      <c r="B20" s="298"/>
      <c r="C20" s="298" t="s">
        <v>2297</v>
      </c>
      <c r="D20" s="3" t="s">
        <v>37</v>
      </c>
      <c r="E20" s="3" t="s">
        <v>2279</v>
      </c>
      <c r="F20" s="3" t="s">
        <v>114</v>
      </c>
      <c r="G20" s="6">
        <f t="shared" si="0"/>
        <v>61016.949152542336</v>
      </c>
      <c r="H20" s="6">
        <v>400000</v>
      </c>
      <c r="I20" s="284" t="s">
        <v>3785</v>
      </c>
      <c r="J20" s="3" t="s">
        <v>113</v>
      </c>
      <c r="K20" s="285"/>
      <c r="O20" s="3"/>
      <c r="Q20"/>
    </row>
    <row r="21" spans="2:22" x14ac:dyDescent="0.25">
      <c r="B21" s="298"/>
      <c r="C21" s="298" t="s">
        <v>2304</v>
      </c>
      <c r="D21" s="3" t="s">
        <v>36</v>
      </c>
      <c r="E21" s="3" t="s">
        <v>2284</v>
      </c>
      <c r="F21" s="3" t="s">
        <v>114</v>
      </c>
      <c r="G21" s="6">
        <f t="shared" si="0"/>
        <v>22881.355932203383</v>
      </c>
      <c r="H21" s="6">
        <v>150000</v>
      </c>
      <c r="I21" s="284" t="s">
        <v>3785</v>
      </c>
      <c r="J21" s="3" t="s">
        <v>113</v>
      </c>
      <c r="K21" s="285"/>
      <c r="O21" s="3"/>
      <c r="Q21"/>
    </row>
    <row r="22" spans="2:22" x14ac:dyDescent="0.25">
      <c r="B22" s="298"/>
      <c r="C22" s="298" t="s">
        <v>2301</v>
      </c>
      <c r="D22" s="3" t="s">
        <v>42</v>
      </c>
      <c r="E22" s="3" t="s">
        <v>2282</v>
      </c>
      <c r="F22" s="3" t="s">
        <v>114</v>
      </c>
      <c r="G22" s="6">
        <f t="shared" si="0"/>
        <v>19830.508474576272</v>
      </c>
      <c r="H22" s="6">
        <v>130000</v>
      </c>
      <c r="I22" s="284" t="s">
        <v>3785</v>
      </c>
      <c r="J22" s="3" t="s">
        <v>113</v>
      </c>
      <c r="K22" s="285"/>
      <c r="O22" s="3"/>
      <c r="P22" s="31"/>
    </row>
    <row r="23" spans="2:22" x14ac:dyDescent="0.25">
      <c r="B23" s="298"/>
      <c r="C23" s="298" t="s">
        <v>2193</v>
      </c>
      <c r="D23" s="3" t="s">
        <v>40</v>
      </c>
      <c r="E23" s="3" t="s">
        <v>2188</v>
      </c>
      <c r="F23" s="3" t="s">
        <v>75</v>
      </c>
      <c r="G23" s="6">
        <f t="shared" si="0"/>
        <v>76271.186440677964</v>
      </c>
      <c r="H23" s="6">
        <v>500000</v>
      </c>
      <c r="I23" s="284" t="s">
        <v>3785</v>
      </c>
      <c r="J23" s="3" t="s">
        <v>113</v>
      </c>
      <c r="K23" s="285"/>
      <c r="O23" s="3"/>
      <c r="Q23"/>
    </row>
    <row r="24" spans="2:22" x14ac:dyDescent="0.25">
      <c r="B24" s="298"/>
      <c r="C24" s="298" t="s">
        <v>3482</v>
      </c>
      <c r="D24" s="3" t="s">
        <v>47</v>
      </c>
      <c r="E24" s="3" t="s">
        <v>3475</v>
      </c>
      <c r="F24" s="3" t="s">
        <v>105</v>
      </c>
      <c r="G24" s="6">
        <f t="shared" si="0"/>
        <v>183050.84745762707</v>
      </c>
      <c r="H24" s="6">
        <v>1200000</v>
      </c>
      <c r="I24" s="284" t="s">
        <v>3785</v>
      </c>
      <c r="J24" s="3" t="s">
        <v>113</v>
      </c>
      <c r="K24" s="285"/>
      <c r="O24" s="3"/>
      <c r="P24" s="31"/>
    </row>
    <row r="25" spans="2:22" x14ac:dyDescent="0.25">
      <c r="B25" s="298"/>
      <c r="C25" s="298" t="s">
        <v>3544</v>
      </c>
      <c r="D25" s="3" t="s">
        <v>91</v>
      </c>
      <c r="E25" s="3" t="s">
        <v>3793</v>
      </c>
      <c r="F25" s="3" t="s">
        <v>105</v>
      </c>
      <c r="G25" s="6">
        <f t="shared" si="0"/>
        <v>122033.89830508467</v>
      </c>
      <c r="H25" s="6">
        <v>800000</v>
      </c>
      <c r="I25" s="284" t="s">
        <v>3785</v>
      </c>
      <c r="J25" s="3" t="s">
        <v>18</v>
      </c>
      <c r="K25" s="285"/>
      <c r="O25" s="3"/>
      <c r="P25" s="31"/>
    </row>
    <row r="26" spans="2:22" x14ac:dyDescent="0.25">
      <c r="B26" s="298"/>
      <c r="C26" s="298" t="s">
        <v>2182</v>
      </c>
      <c r="D26" s="3" t="s">
        <v>91</v>
      </c>
      <c r="E26" s="3" t="s">
        <v>3792</v>
      </c>
      <c r="F26" s="3" t="s">
        <v>105</v>
      </c>
      <c r="G26" s="6">
        <f t="shared" si="0"/>
        <v>457627.11864406755</v>
      </c>
      <c r="H26" s="6">
        <v>3000000</v>
      </c>
      <c r="I26" s="284" t="s">
        <v>3785</v>
      </c>
      <c r="J26" s="3" t="s">
        <v>18</v>
      </c>
      <c r="K26" s="285"/>
      <c r="O26" s="3"/>
      <c r="P26" s="31"/>
    </row>
    <row r="27" spans="2:22" x14ac:dyDescent="0.25">
      <c r="B27" s="298"/>
      <c r="C27" s="298" t="s">
        <v>3358</v>
      </c>
      <c r="D27" s="3" t="s">
        <v>96</v>
      </c>
      <c r="E27" s="3" t="s">
        <v>3698</v>
      </c>
      <c r="F27" s="3" t="s">
        <v>71</v>
      </c>
      <c r="G27" s="6">
        <f t="shared" si="0"/>
        <v>12203.389830508473</v>
      </c>
      <c r="H27" s="6">
        <v>80000</v>
      </c>
      <c r="I27" s="284" t="s">
        <v>3785</v>
      </c>
      <c r="J27" s="3" t="s">
        <v>18</v>
      </c>
      <c r="K27" s="285"/>
      <c r="O27" s="3"/>
      <c r="P27" s="31"/>
    </row>
    <row r="28" spans="2:22" x14ac:dyDescent="0.25">
      <c r="B28" s="298"/>
      <c r="C28" s="298" t="s">
        <v>3358</v>
      </c>
      <c r="D28" s="3" t="s">
        <v>96</v>
      </c>
      <c r="E28" s="3" t="s">
        <v>3622</v>
      </c>
      <c r="F28" s="3" t="s">
        <v>71</v>
      </c>
      <c r="G28" s="6">
        <f t="shared" si="0"/>
        <v>4576.2711864406774</v>
      </c>
      <c r="H28" s="6">
        <v>30000</v>
      </c>
      <c r="I28" s="284" t="s">
        <v>3785</v>
      </c>
      <c r="J28" s="3" t="s">
        <v>18</v>
      </c>
      <c r="K28" s="285"/>
      <c r="O28" s="3"/>
      <c r="P28" s="31"/>
    </row>
    <row r="29" spans="2:22" x14ac:dyDescent="0.25">
      <c r="B29" s="298"/>
      <c r="C29" s="298" t="s">
        <v>3358</v>
      </c>
      <c r="D29" s="3" t="s">
        <v>96</v>
      </c>
      <c r="E29" s="3" t="s">
        <v>3625</v>
      </c>
      <c r="F29" s="3" t="s">
        <v>71</v>
      </c>
      <c r="G29" s="6">
        <f t="shared" si="0"/>
        <v>4576.2711864406774</v>
      </c>
      <c r="H29" s="6">
        <v>30000</v>
      </c>
      <c r="I29" s="284" t="s">
        <v>3785</v>
      </c>
      <c r="J29" s="3" t="s">
        <v>18</v>
      </c>
      <c r="K29" s="285"/>
      <c r="O29" s="3"/>
      <c r="Q29"/>
    </row>
    <row r="30" spans="2:22" x14ac:dyDescent="0.25">
      <c r="B30" s="298"/>
      <c r="C30" s="298" t="s">
        <v>3358</v>
      </c>
      <c r="D30" s="3" t="s">
        <v>96</v>
      </c>
      <c r="E30" s="3" t="s">
        <v>3593</v>
      </c>
      <c r="F30" s="3" t="s">
        <v>71</v>
      </c>
      <c r="G30" s="6">
        <f t="shared" si="0"/>
        <v>12203.389830508473</v>
      </c>
      <c r="H30" s="6">
        <v>80000</v>
      </c>
      <c r="I30" s="3" t="s">
        <v>3785</v>
      </c>
      <c r="J30" s="3" t="s">
        <v>18</v>
      </c>
      <c r="K30" s="285"/>
      <c r="O30" s="3"/>
      <c r="Q30"/>
    </row>
    <row r="31" spans="2:22" x14ac:dyDescent="0.25">
      <c r="B31" s="298"/>
      <c r="C31" s="298" t="s">
        <v>3358</v>
      </c>
      <c r="D31" s="3" t="s">
        <v>96</v>
      </c>
      <c r="E31" s="3" t="s">
        <v>3797</v>
      </c>
      <c r="F31" s="3" t="s">
        <v>71</v>
      </c>
      <c r="G31" s="6">
        <f t="shared" si="0"/>
        <v>7627.118644067792</v>
      </c>
      <c r="H31" s="6">
        <v>50000</v>
      </c>
      <c r="I31" s="3" t="s">
        <v>3785</v>
      </c>
      <c r="J31" s="3" t="s">
        <v>18</v>
      </c>
      <c r="K31" s="285"/>
      <c r="O31" s="3"/>
      <c r="Q31"/>
    </row>
    <row r="32" spans="2:22" x14ac:dyDescent="0.25">
      <c r="B32" s="298"/>
      <c r="C32" s="298" t="s">
        <v>3359</v>
      </c>
      <c r="D32" s="3" t="s">
        <v>96</v>
      </c>
      <c r="E32" s="3" t="s">
        <v>3692</v>
      </c>
      <c r="F32" s="3" t="s">
        <v>71</v>
      </c>
      <c r="G32" s="6">
        <f t="shared" si="0"/>
        <v>3050.8474576271183</v>
      </c>
      <c r="H32" s="6">
        <v>20000</v>
      </c>
      <c r="I32" s="3" t="s">
        <v>3785</v>
      </c>
      <c r="J32" s="3" t="s">
        <v>18</v>
      </c>
      <c r="K32" s="285"/>
      <c r="O32" s="3"/>
      <c r="P32" s="79"/>
      <c r="Q32"/>
    </row>
    <row r="33" spans="2:17" x14ac:dyDescent="0.25">
      <c r="B33" s="298"/>
      <c r="C33" s="298" t="s">
        <v>3359</v>
      </c>
      <c r="D33" s="3" t="s">
        <v>96</v>
      </c>
      <c r="E33" s="3" t="s">
        <v>3441</v>
      </c>
      <c r="F33" s="3" t="s">
        <v>71</v>
      </c>
      <c r="G33" s="6">
        <f t="shared" si="0"/>
        <v>3050.8474576271183</v>
      </c>
      <c r="H33" s="6">
        <v>20000</v>
      </c>
      <c r="I33" s="3" t="s">
        <v>3785</v>
      </c>
      <c r="J33" s="3" t="s">
        <v>18</v>
      </c>
      <c r="K33" s="285"/>
      <c r="O33" s="3"/>
      <c r="Q33"/>
    </row>
    <row r="34" spans="2:17" x14ac:dyDescent="0.25">
      <c r="B34" s="298"/>
      <c r="C34" s="298" t="s">
        <v>3359</v>
      </c>
      <c r="D34" s="3" t="s">
        <v>96</v>
      </c>
      <c r="E34" s="3" t="s">
        <v>3439</v>
      </c>
      <c r="F34" s="3" t="s">
        <v>71</v>
      </c>
      <c r="G34" s="6">
        <f t="shared" si="0"/>
        <v>3050.8474576271183</v>
      </c>
      <c r="H34" s="6">
        <v>20000</v>
      </c>
      <c r="I34" s="3" t="s">
        <v>3785</v>
      </c>
      <c r="J34" s="3" t="s">
        <v>18</v>
      </c>
      <c r="K34" s="285"/>
      <c r="O34" s="3"/>
      <c r="Q34"/>
    </row>
    <row r="35" spans="2:17" x14ac:dyDescent="0.25">
      <c r="B35" s="298"/>
      <c r="C35" s="298" t="s">
        <v>3359</v>
      </c>
      <c r="D35" s="3" t="s">
        <v>96</v>
      </c>
      <c r="E35" s="3" t="s">
        <v>3798</v>
      </c>
      <c r="F35" s="3" t="s">
        <v>71</v>
      </c>
      <c r="G35" s="6">
        <f t="shared" si="0"/>
        <v>9152.5423728813548</v>
      </c>
      <c r="H35" s="6">
        <v>60000</v>
      </c>
      <c r="I35" s="3" t="s">
        <v>3785</v>
      </c>
      <c r="J35" s="3" t="s">
        <v>18</v>
      </c>
      <c r="K35" s="285"/>
      <c r="O35" s="3"/>
      <c r="Q35"/>
    </row>
    <row r="36" spans="2:17" x14ac:dyDescent="0.25">
      <c r="B36" s="298"/>
      <c r="C36" s="298" t="s">
        <v>3359</v>
      </c>
      <c r="D36" s="3" t="s">
        <v>96</v>
      </c>
      <c r="E36" s="3" t="s">
        <v>3508</v>
      </c>
      <c r="F36" s="3" t="s">
        <v>71</v>
      </c>
      <c r="G36" s="6">
        <f t="shared" si="0"/>
        <v>10677.96610169491</v>
      </c>
      <c r="H36" s="6">
        <v>70000</v>
      </c>
      <c r="I36" s="3" t="s">
        <v>3785</v>
      </c>
      <c r="J36" s="3" t="s">
        <v>18</v>
      </c>
      <c r="K36" s="285"/>
      <c r="O36" s="3"/>
      <c r="Q36"/>
    </row>
    <row r="37" spans="2:17" x14ac:dyDescent="0.25">
      <c r="B37" s="298"/>
      <c r="C37" s="298" t="s">
        <v>2234</v>
      </c>
      <c r="D37" s="3" t="s">
        <v>45</v>
      </c>
      <c r="E37" s="3" t="s">
        <v>2215</v>
      </c>
      <c r="F37" s="3" t="s">
        <v>115</v>
      </c>
      <c r="G37" s="6">
        <f t="shared" si="0"/>
        <v>7627.118644067792</v>
      </c>
      <c r="H37" s="6">
        <v>50000</v>
      </c>
      <c r="I37" s="3" t="s">
        <v>3785</v>
      </c>
      <c r="J37" s="3" t="s">
        <v>113</v>
      </c>
      <c r="K37" s="285"/>
      <c r="O37" s="3"/>
      <c r="Q37"/>
    </row>
    <row r="38" spans="2:17" x14ac:dyDescent="0.25">
      <c r="B38" s="298"/>
      <c r="C38" s="298" t="s">
        <v>1694</v>
      </c>
      <c r="D38" s="3" t="s">
        <v>47</v>
      </c>
      <c r="E38" s="3" t="s">
        <v>1693</v>
      </c>
      <c r="F38" s="3" t="s">
        <v>115</v>
      </c>
      <c r="G38" s="6">
        <f t="shared" si="0"/>
        <v>22881.355932203383</v>
      </c>
      <c r="H38" s="6">
        <v>150000</v>
      </c>
      <c r="I38" s="3" t="s">
        <v>3785</v>
      </c>
      <c r="J38" s="3" t="s">
        <v>113</v>
      </c>
      <c r="K38" s="285"/>
      <c r="O38" s="3"/>
      <c r="Q38"/>
    </row>
    <row r="39" spans="2:17" x14ac:dyDescent="0.25">
      <c r="B39" s="298"/>
      <c r="C39" s="298" t="s">
        <v>1715</v>
      </c>
      <c r="D39" s="3" t="s">
        <v>20</v>
      </c>
      <c r="E39" s="3" t="s">
        <v>925</v>
      </c>
      <c r="F39" s="3" t="s">
        <v>115</v>
      </c>
      <c r="G39" s="6">
        <f t="shared" si="0"/>
        <v>30508.474576271168</v>
      </c>
      <c r="H39" s="6">
        <v>200000</v>
      </c>
      <c r="I39" s="3" t="s">
        <v>3785</v>
      </c>
      <c r="J39" s="3" t="s">
        <v>113</v>
      </c>
      <c r="K39" s="285"/>
      <c r="O39" s="3"/>
      <c r="Q39"/>
    </row>
    <row r="40" spans="2:17" x14ac:dyDescent="0.25">
      <c r="B40" s="298"/>
      <c r="C40" s="298" t="s">
        <v>3359</v>
      </c>
      <c r="D40" s="3" t="s">
        <v>96</v>
      </c>
      <c r="E40" s="3" t="s">
        <v>3480</v>
      </c>
      <c r="F40" s="3" t="s">
        <v>71</v>
      </c>
      <c r="G40" s="6">
        <f t="shared" si="0"/>
        <v>2288.1355932203387</v>
      </c>
      <c r="H40" s="6">
        <v>15000</v>
      </c>
      <c r="I40" s="3" t="s">
        <v>3785</v>
      </c>
      <c r="J40" s="3" t="s">
        <v>18</v>
      </c>
      <c r="K40" s="285"/>
      <c r="O40" s="3">
        <v>13</v>
      </c>
      <c r="Q40"/>
    </row>
    <row r="41" spans="2:17" x14ac:dyDescent="0.25">
      <c r="B41" s="298"/>
      <c r="C41" s="298" t="s">
        <v>3358</v>
      </c>
      <c r="D41" s="3" t="s">
        <v>96</v>
      </c>
      <c r="E41" s="3" t="s">
        <v>3340</v>
      </c>
      <c r="F41" s="3" t="s">
        <v>71</v>
      </c>
      <c r="G41" s="6">
        <f t="shared" si="0"/>
        <v>1525.4237288135591</v>
      </c>
      <c r="H41" s="6">
        <v>10000</v>
      </c>
      <c r="I41" s="3" t="s">
        <v>3785</v>
      </c>
      <c r="J41" s="3" t="s">
        <v>18</v>
      </c>
      <c r="K41" s="285"/>
      <c r="O41" s="3">
        <v>70</v>
      </c>
      <c r="Q41"/>
    </row>
    <row r="42" spans="2:17" x14ac:dyDescent="0.25">
      <c r="B42" s="298"/>
      <c r="C42" s="298" t="s">
        <v>3358</v>
      </c>
      <c r="D42" s="3" t="s">
        <v>96</v>
      </c>
      <c r="E42" s="3" t="s">
        <v>3704</v>
      </c>
      <c r="F42" s="3" t="s">
        <v>71</v>
      </c>
      <c r="G42" s="6">
        <f t="shared" si="0"/>
        <v>7627.118644067792</v>
      </c>
      <c r="H42" s="6">
        <v>50000</v>
      </c>
      <c r="I42" s="3" t="s">
        <v>3785</v>
      </c>
      <c r="J42" s="3" t="s">
        <v>18</v>
      </c>
      <c r="K42" s="285"/>
      <c r="O42" s="3">
        <v>35</v>
      </c>
      <c r="Q42"/>
    </row>
    <row r="43" spans="2:17" x14ac:dyDescent="0.25">
      <c r="B43" s="298"/>
      <c r="C43" s="298" t="s">
        <v>3359</v>
      </c>
      <c r="D43" s="3" t="s">
        <v>96</v>
      </c>
      <c r="E43" s="3" t="s">
        <v>3444</v>
      </c>
      <c r="F43" s="3" t="s">
        <v>71</v>
      </c>
      <c r="G43" s="6">
        <f t="shared" si="0"/>
        <v>3050.8474576271183</v>
      </c>
      <c r="H43" s="6">
        <v>20000</v>
      </c>
      <c r="I43" s="3" t="s">
        <v>3785</v>
      </c>
      <c r="J43" s="3" t="s">
        <v>18</v>
      </c>
      <c r="K43" s="285"/>
      <c r="O43" s="3">
        <v>37</v>
      </c>
      <c r="Q43"/>
    </row>
    <row r="44" spans="2:17" x14ac:dyDescent="0.25">
      <c r="B44" s="298"/>
      <c r="C44" s="298" t="s">
        <v>3359</v>
      </c>
      <c r="D44" s="3" t="s">
        <v>96</v>
      </c>
      <c r="E44" s="3" t="s">
        <v>3445</v>
      </c>
      <c r="F44" s="3" t="s">
        <v>71</v>
      </c>
      <c r="G44" s="6">
        <f t="shared" si="0"/>
        <v>3050.8474576271183</v>
      </c>
      <c r="H44" s="6">
        <v>20000</v>
      </c>
      <c r="I44" s="3" t="s">
        <v>3785</v>
      </c>
      <c r="J44" s="3" t="s">
        <v>18</v>
      </c>
      <c r="K44" s="285"/>
      <c r="O44" s="3">
        <v>36</v>
      </c>
      <c r="P44" s="31"/>
    </row>
    <row r="45" spans="2:17" x14ac:dyDescent="0.25">
      <c r="B45" s="298"/>
      <c r="C45" s="298" t="s">
        <v>3359</v>
      </c>
      <c r="D45" s="3" t="s">
        <v>96</v>
      </c>
      <c r="E45" s="3" t="s">
        <v>3507</v>
      </c>
      <c r="F45" s="3" t="s">
        <v>71</v>
      </c>
      <c r="G45" s="6">
        <f t="shared" si="0"/>
        <v>6101.6949152542365</v>
      </c>
      <c r="H45" s="6">
        <v>40000</v>
      </c>
      <c r="I45" s="3" t="s">
        <v>3785</v>
      </c>
      <c r="J45" s="3" t="s">
        <v>18</v>
      </c>
      <c r="K45" s="285"/>
      <c r="O45" s="3">
        <v>63</v>
      </c>
      <c r="Q45"/>
    </row>
    <row r="46" spans="2:17" x14ac:dyDescent="0.25">
      <c r="B46" s="298"/>
      <c r="C46" s="298" t="s">
        <v>3359</v>
      </c>
      <c r="D46" s="3" t="s">
        <v>96</v>
      </c>
      <c r="E46" s="3" t="s">
        <v>3327</v>
      </c>
      <c r="F46" s="3" t="s">
        <v>71</v>
      </c>
      <c r="G46" s="6">
        <f t="shared" si="0"/>
        <v>762.71186440677957</v>
      </c>
      <c r="H46" s="6">
        <v>5000</v>
      </c>
      <c r="I46" s="3" t="s">
        <v>3785</v>
      </c>
      <c r="J46" s="3" t="s">
        <v>18</v>
      </c>
      <c r="K46" s="285"/>
      <c r="O46" s="3">
        <v>3</v>
      </c>
      <c r="P46" s="79"/>
      <c r="Q46"/>
    </row>
    <row r="47" spans="2:17" x14ac:dyDescent="0.25">
      <c r="B47" s="298"/>
      <c r="C47" s="298" t="s">
        <v>3359</v>
      </c>
      <c r="D47" s="3" t="s">
        <v>96</v>
      </c>
      <c r="E47" s="3" t="s">
        <v>3528</v>
      </c>
      <c r="F47" s="3" t="s">
        <v>71</v>
      </c>
      <c r="G47" s="6">
        <f t="shared" si="0"/>
        <v>9152.5423728813548</v>
      </c>
      <c r="H47" s="6">
        <v>60000</v>
      </c>
      <c r="I47" s="3" t="s">
        <v>3785</v>
      </c>
      <c r="J47" s="3" t="s">
        <v>18</v>
      </c>
      <c r="K47" s="285"/>
      <c r="O47" s="3">
        <v>28</v>
      </c>
      <c r="Q47"/>
    </row>
    <row r="48" spans="2:17" x14ac:dyDescent="0.25">
      <c r="B48" s="298"/>
      <c r="C48" s="298" t="s">
        <v>2394</v>
      </c>
      <c r="D48" s="3" t="s">
        <v>29</v>
      </c>
      <c r="E48" s="3" t="s">
        <v>2341</v>
      </c>
      <c r="F48" s="3" t="s">
        <v>87</v>
      </c>
      <c r="G48" s="6">
        <f t="shared" si="0"/>
        <v>28983.050847457605</v>
      </c>
      <c r="H48" s="6">
        <v>190000</v>
      </c>
      <c r="I48" s="3" t="s">
        <v>3785</v>
      </c>
      <c r="J48" s="3" t="s">
        <v>113</v>
      </c>
      <c r="K48" s="285"/>
      <c r="O48" s="3"/>
      <c r="Q48"/>
    </row>
    <row r="49" spans="2:17" x14ac:dyDescent="0.25">
      <c r="B49" s="298"/>
      <c r="C49" s="298" t="s">
        <v>2400</v>
      </c>
      <c r="D49" s="3" t="s">
        <v>56</v>
      </c>
      <c r="E49" s="3" t="s">
        <v>2345</v>
      </c>
      <c r="F49" s="3" t="s">
        <v>87</v>
      </c>
      <c r="G49" s="6">
        <f t="shared" si="0"/>
        <v>9152.5423728813548</v>
      </c>
      <c r="H49" s="6">
        <v>60000</v>
      </c>
      <c r="I49" s="3" t="s">
        <v>3785</v>
      </c>
      <c r="J49" s="3" t="s">
        <v>113</v>
      </c>
      <c r="K49" s="285"/>
      <c r="O49" s="3"/>
      <c r="Q49"/>
    </row>
    <row r="50" spans="2:17" x14ac:dyDescent="0.25">
      <c r="B50" s="298"/>
      <c r="C50" s="298" t="s">
        <v>2550</v>
      </c>
      <c r="D50" s="3" t="s">
        <v>93</v>
      </c>
      <c r="E50" s="3" t="s">
        <v>2491</v>
      </c>
      <c r="F50" s="3" t="s">
        <v>87</v>
      </c>
      <c r="G50" s="6">
        <f t="shared" si="0"/>
        <v>9152.5423728813548</v>
      </c>
      <c r="H50" s="6">
        <v>60000</v>
      </c>
      <c r="I50" s="3" t="s">
        <v>3785</v>
      </c>
      <c r="J50" s="3" t="s">
        <v>18</v>
      </c>
      <c r="K50" s="285"/>
      <c r="O50" s="3"/>
      <c r="Q50"/>
    </row>
    <row r="51" spans="2:17" x14ac:dyDescent="0.25">
      <c r="B51" s="298"/>
      <c r="C51" s="298" t="s">
        <v>766</v>
      </c>
      <c r="D51" s="3" t="s">
        <v>91</v>
      </c>
      <c r="E51" s="3" t="s">
        <v>762</v>
      </c>
      <c r="F51" s="3" t="s">
        <v>87</v>
      </c>
      <c r="G51" s="6">
        <f t="shared" si="0"/>
        <v>21050.847457627111</v>
      </c>
      <c r="H51" s="6">
        <v>138000</v>
      </c>
      <c r="I51" s="3" t="s">
        <v>3785</v>
      </c>
      <c r="J51" s="3" t="s">
        <v>18</v>
      </c>
      <c r="K51" s="285"/>
      <c r="O51" s="3"/>
      <c r="Q51"/>
    </row>
    <row r="52" spans="2:17" x14ac:dyDescent="0.25">
      <c r="B52" s="298"/>
      <c r="C52" s="298" t="s">
        <v>760</v>
      </c>
      <c r="D52" s="3" t="s">
        <v>91</v>
      </c>
      <c r="E52" s="3" t="s">
        <v>759</v>
      </c>
      <c r="F52" s="3" t="s">
        <v>87</v>
      </c>
      <c r="G52" s="6">
        <f t="shared" si="0"/>
        <v>30813.559322033892</v>
      </c>
      <c r="H52" s="6">
        <v>202000</v>
      </c>
      <c r="I52" s="3" t="s">
        <v>3785</v>
      </c>
      <c r="J52" s="3" t="s">
        <v>18</v>
      </c>
      <c r="K52" s="285"/>
      <c r="O52" s="3"/>
      <c r="Q52"/>
    </row>
    <row r="53" spans="2:17" x14ac:dyDescent="0.25">
      <c r="B53" s="298"/>
      <c r="C53" s="298" t="s">
        <v>2515</v>
      </c>
      <c r="D53" s="3" t="s">
        <v>88</v>
      </c>
      <c r="E53" s="3" t="s">
        <v>3799</v>
      </c>
      <c r="F53" s="3" t="s">
        <v>87</v>
      </c>
      <c r="G53" s="6">
        <f t="shared" si="0"/>
        <v>17847.457627118638</v>
      </c>
      <c r="H53" s="6">
        <v>117000</v>
      </c>
      <c r="I53" s="3" t="s">
        <v>3785</v>
      </c>
      <c r="J53" s="3" t="s">
        <v>18</v>
      </c>
      <c r="K53" s="285"/>
      <c r="O53" s="3"/>
      <c r="P53" s="79"/>
      <c r="Q53"/>
    </row>
    <row r="54" spans="2:17" x14ac:dyDescent="0.25">
      <c r="B54" s="298"/>
      <c r="C54" s="298" t="s">
        <v>2515</v>
      </c>
      <c r="D54" s="3" t="s">
        <v>88</v>
      </c>
      <c r="E54" s="3" t="s">
        <v>3802</v>
      </c>
      <c r="F54" s="3" t="s">
        <v>87</v>
      </c>
      <c r="G54" s="6">
        <f t="shared" si="0"/>
        <v>7932.203389830509</v>
      </c>
      <c r="H54" s="6">
        <v>52000</v>
      </c>
      <c r="I54" s="3" t="s">
        <v>3785</v>
      </c>
      <c r="J54" s="3" t="s">
        <v>18</v>
      </c>
      <c r="K54" s="285"/>
      <c r="O54" s="3"/>
      <c r="Q54"/>
    </row>
    <row r="55" spans="2:17" x14ac:dyDescent="0.25">
      <c r="B55" s="298"/>
      <c r="C55" s="298" t="s">
        <v>2515</v>
      </c>
      <c r="D55" s="3" t="s">
        <v>88</v>
      </c>
      <c r="E55" s="3" t="s">
        <v>3803</v>
      </c>
      <c r="F55" s="3" t="s">
        <v>87</v>
      </c>
      <c r="G55" s="6">
        <f t="shared" si="0"/>
        <v>11288.135593220337</v>
      </c>
      <c r="H55" s="6">
        <v>74000</v>
      </c>
      <c r="I55" s="3" t="s">
        <v>3785</v>
      </c>
      <c r="J55" s="3" t="s">
        <v>18</v>
      </c>
      <c r="K55" s="285"/>
      <c r="O55" s="3"/>
      <c r="Q55"/>
    </row>
    <row r="56" spans="2:17" x14ac:dyDescent="0.25">
      <c r="B56" s="298"/>
      <c r="C56" s="298" t="s">
        <v>2515</v>
      </c>
      <c r="D56" s="3" t="s">
        <v>88</v>
      </c>
      <c r="E56" s="3" t="s">
        <v>3804</v>
      </c>
      <c r="F56" s="3" t="s">
        <v>87</v>
      </c>
      <c r="G56" s="6">
        <f t="shared" si="0"/>
        <v>9915.2542372881362</v>
      </c>
      <c r="H56" s="6">
        <v>65000</v>
      </c>
      <c r="I56" s="3" t="s">
        <v>3785</v>
      </c>
      <c r="J56" s="3" t="s">
        <v>18</v>
      </c>
      <c r="K56" s="285"/>
      <c r="O56" s="3"/>
      <c r="Q56"/>
    </row>
    <row r="57" spans="2:17" x14ac:dyDescent="0.25">
      <c r="B57" s="298"/>
      <c r="C57" s="298" t="s">
        <v>2515</v>
      </c>
      <c r="D57" s="3" t="s">
        <v>88</v>
      </c>
      <c r="E57" s="3" t="s">
        <v>3806</v>
      </c>
      <c r="F57" s="3" t="s">
        <v>87</v>
      </c>
      <c r="G57" s="6">
        <f t="shared" si="0"/>
        <v>9915.2542372881362</v>
      </c>
      <c r="H57" s="6">
        <v>65000</v>
      </c>
      <c r="I57" s="3" t="s">
        <v>3785</v>
      </c>
      <c r="J57" s="3" t="s">
        <v>18</v>
      </c>
      <c r="K57" s="285"/>
      <c r="O57" s="3"/>
      <c r="Q57"/>
    </row>
    <row r="58" spans="2:17" x14ac:dyDescent="0.25">
      <c r="B58" s="298"/>
      <c r="C58" s="298" t="s">
        <v>2515</v>
      </c>
      <c r="D58" s="3" t="s">
        <v>88</v>
      </c>
      <c r="E58" s="3" t="s">
        <v>3805</v>
      </c>
      <c r="F58" s="3" t="s">
        <v>87</v>
      </c>
      <c r="G58" s="6">
        <f t="shared" si="0"/>
        <v>11440.677966101692</v>
      </c>
      <c r="H58" s="6">
        <v>75000</v>
      </c>
      <c r="I58" s="3" t="s">
        <v>3785</v>
      </c>
      <c r="J58" s="3" t="s">
        <v>18</v>
      </c>
      <c r="K58" s="285"/>
      <c r="O58" s="3"/>
      <c r="Q58"/>
    </row>
    <row r="59" spans="2:17" x14ac:dyDescent="0.25">
      <c r="B59" s="298"/>
      <c r="C59" s="298" t="s">
        <v>2519</v>
      </c>
      <c r="D59" s="3" t="s">
        <v>88</v>
      </c>
      <c r="E59" s="3" t="s">
        <v>2461</v>
      </c>
      <c r="F59" s="3" t="s">
        <v>87</v>
      </c>
      <c r="G59" s="6">
        <f t="shared" si="0"/>
        <v>259322.03389830492</v>
      </c>
      <c r="H59" s="6">
        <v>1700000</v>
      </c>
      <c r="I59" s="3" t="s">
        <v>3785</v>
      </c>
      <c r="J59" s="3" t="s">
        <v>18</v>
      </c>
      <c r="K59" s="285"/>
      <c r="O59" s="3"/>
      <c r="Q59"/>
    </row>
    <row r="60" spans="2:17" x14ac:dyDescent="0.25">
      <c r="B60" s="298"/>
      <c r="C60" s="298" t="s">
        <v>2255</v>
      </c>
      <c r="D60" s="3" t="s">
        <v>94</v>
      </c>
      <c r="E60" s="3" t="s">
        <v>2259</v>
      </c>
      <c r="F60" s="3" t="s">
        <v>114</v>
      </c>
      <c r="G60" s="6">
        <f t="shared" si="0"/>
        <v>15254.237288135584</v>
      </c>
      <c r="H60" s="6">
        <v>100000</v>
      </c>
      <c r="I60" s="3" t="s">
        <v>3785</v>
      </c>
      <c r="J60" s="3" t="s">
        <v>18</v>
      </c>
      <c r="K60" s="285"/>
      <c r="O60" s="3"/>
      <c r="Q60"/>
    </row>
    <row r="61" spans="2:17" x14ac:dyDescent="0.25">
      <c r="B61" s="298"/>
      <c r="C61" s="298" t="s">
        <v>3131</v>
      </c>
      <c r="D61" s="3" t="s">
        <v>94</v>
      </c>
      <c r="E61" s="3" t="s">
        <v>3048</v>
      </c>
      <c r="F61" s="3" t="s">
        <v>90</v>
      </c>
      <c r="G61" s="6">
        <f t="shared" si="0"/>
        <v>15254.237288135584</v>
      </c>
      <c r="H61" s="6">
        <v>100000</v>
      </c>
      <c r="I61" s="3" t="s">
        <v>3785</v>
      </c>
      <c r="J61" s="3" t="s">
        <v>18</v>
      </c>
      <c r="K61" s="285"/>
      <c r="O61" s="3"/>
      <c r="Q61"/>
    </row>
    <row r="62" spans="2:17" x14ac:dyDescent="0.25">
      <c r="B62" s="298"/>
      <c r="C62" s="298" t="s">
        <v>3113</v>
      </c>
      <c r="D62" s="3" t="s">
        <v>94</v>
      </c>
      <c r="E62" s="3" t="s">
        <v>3030</v>
      </c>
      <c r="F62" s="3" t="s">
        <v>90</v>
      </c>
      <c r="G62" s="6">
        <f t="shared" si="0"/>
        <v>61016.949152542336</v>
      </c>
      <c r="H62" s="6">
        <v>400000</v>
      </c>
      <c r="I62" s="3" t="s">
        <v>3785</v>
      </c>
      <c r="J62" s="3" t="s">
        <v>18</v>
      </c>
      <c r="K62" s="285"/>
      <c r="O62" s="3"/>
      <c r="Q62"/>
    </row>
    <row r="63" spans="2:17" x14ac:dyDescent="0.25">
      <c r="B63" s="298"/>
      <c r="C63" s="298" t="s">
        <v>3097</v>
      </c>
      <c r="D63" s="3" t="s">
        <v>94</v>
      </c>
      <c r="E63" s="3" t="s">
        <v>3014</v>
      </c>
      <c r="F63" s="3" t="s">
        <v>90</v>
      </c>
      <c r="G63" s="6">
        <f t="shared" si="0"/>
        <v>45762.711864406767</v>
      </c>
      <c r="H63" s="6">
        <v>300000</v>
      </c>
      <c r="I63" s="3" t="s">
        <v>3785</v>
      </c>
      <c r="J63" s="3" t="s">
        <v>18</v>
      </c>
      <c r="K63" s="285"/>
      <c r="O63" s="3"/>
      <c r="Q63"/>
    </row>
    <row r="64" spans="2:17" x14ac:dyDescent="0.25">
      <c r="B64" s="298"/>
      <c r="C64" s="298" t="s">
        <v>3109</v>
      </c>
      <c r="D64" s="8" t="s">
        <v>94</v>
      </c>
      <c r="E64" s="3" t="s">
        <v>3026</v>
      </c>
      <c r="F64" s="3" t="s">
        <v>90</v>
      </c>
      <c r="G64" s="6">
        <f t="shared" si="0"/>
        <v>15254.237288135584</v>
      </c>
      <c r="H64" s="6">
        <v>100000</v>
      </c>
      <c r="I64" s="3" t="s">
        <v>3785</v>
      </c>
      <c r="J64" s="3" t="s">
        <v>18</v>
      </c>
      <c r="K64" s="285"/>
      <c r="O64" s="3"/>
      <c r="Q64"/>
    </row>
    <row r="65" spans="2:17" x14ac:dyDescent="0.25">
      <c r="B65" s="298"/>
      <c r="C65" s="298" t="s">
        <v>1063</v>
      </c>
      <c r="D65" s="3" t="s">
        <v>94</v>
      </c>
      <c r="E65" s="3" t="s">
        <v>1120</v>
      </c>
      <c r="F65" s="3" t="s">
        <v>90</v>
      </c>
      <c r="G65" s="6">
        <f t="shared" si="0"/>
        <v>15406.779661016946</v>
      </c>
      <c r="H65" s="6">
        <v>101000</v>
      </c>
      <c r="I65" s="3" t="s">
        <v>3785</v>
      </c>
      <c r="J65" s="3" t="s">
        <v>18</v>
      </c>
      <c r="K65" s="285"/>
      <c r="O65" s="3"/>
      <c r="Q65"/>
    </row>
    <row r="66" spans="2:17" x14ac:dyDescent="0.25">
      <c r="B66" s="298"/>
      <c r="C66" s="298" t="s">
        <v>1050</v>
      </c>
      <c r="D66" s="3" t="s">
        <v>94</v>
      </c>
      <c r="E66" s="3" t="s">
        <v>1107</v>
      </c>
      <c r="F66" s="3" t="s">
        <v>90</v>
      </c>
      <c r="G66" s="6">
        <f t="shared" si="0"/>
        <v>6101.6949152542365</v>
      </c>
      <c r="H66" s="6">
        <v>40000</v>
      </c>
      <c r="I66" s="3" t="s">
        <v>3785</v>
      </c>
      <c r="J66" s="3" t="s">
        <v>18</v>
      </c>
      <c r="K66" s="285"/>
      <c r="O66" s="3"/>
      <c r="Q66"/>
    </row>
    <row r="67" spans="2:17" x14ac:dyDescent="0.25">
      <c r="B67" s="298"/>
      <c r="C67" s="298" t="s">
        <v>3105</v>
      </c>
      <c r="D67" s="3" t="s">
        <v>74</v>
      </c>
      <c r="E67" s="3" t="s">
        <v>3022</v>
      </c>
      <c r="F67" s="3" t="s">
        <v>90</v>
      </c>
      <c r="G67" s="6">
        <f t="shared" si="0"/>
        <v>10372.881355932201</v>
      </c>
      <c r="H67" s="6">
        <v>68000</v>
      </c>
      <c r="I67" s="3" t="s">
        <v>3785</v>
      </c>
      <c r="J67" s="3" t="s">
        <v>18</v>
      </c>
      <c r="K67" s="285"/>
      <c r="O67" s="3"/>
      <c r="Q67"/>
    </row>
    <row r="68" spans="2:17" x14ac:dyDescent="0.25">
      <c r="B68" s="298"/>
      <c r="C68" s="298" t="s">
        <v>3127</v>
      </c>
      <c r="D68" s="3" t="s">
        <v>74</v>
      </c>
      <c r="E68" s="3" t="s">
        <v>3044</v>
      </c>
      <c r="F68" s="3" t="s">
        <v>90</v>
      </c>
      <c r="G68" s="6">
        <f t="shared" si="0"/>
        <v>5491.5254237288136</v>
      </c>
      <c r="H68" s="6">
        <v>36000</v>
      </c>
      <c r="I68" s="3" t="s">
        <v>3785</v>
      </c>
      <c r="J68" s="3" t="s">
        <v>18</v>
      </c>
      <c r="K68" s="285"/>
      <c r="O68" s="3"/>
      <c r="Q68"/>
    </row>
    <row r="69" spans="2:17" x14ac:dyDescent="0.25">
      <c r="B69" s="298"/>
      <c r="C69" s="298" t="s">
        <v>1428</v>
      </c>
      <c r="D69" s="3" t="s">
        <v>43</v>
      </c>
      <c r="E69" s="3" t="s">
        <v>1318</v>
      </c>
      <c r="F69" s="3" t="s">
        <v>90</v>
      </c>
      <c r="G69" s="6">
        <f t="shared" si="0"/>
        <v>14796.610169491527</v>
      </c>
      <c r="H69" s="6">
        <v>97000</v>
      </c>
      <c r="I69" s="3" t="s">
        <v>3785</v>
      </c>
      <c r="J69" s="3" t="s">
        <v>113</v>
      </c>
      <c r="K69" s="285"/>
      <c r="O69" s="3"/>
      <c r="Q69"/>
    </row>
    <row r="70" spans="2:17" x14ac:dyDescent="0.25">
      <c r="B70" s="298"/>
      <c r="C70" s="298" t="s">
        <v>1438</v>
      </c>
      <c r="D70" s="3" t="s">
        <v>41</v>
      </c>
      <c r="E70" s="3" t="s">
        <v>1328</v>
      </c>
      <c r="F70" s="3" t="s">
        <v>90</v>
      </c>
      <c r="G70" s="6">
        <f t="shared" si="0"/>
        <v>10067.796610169491</v>
      </c>
      <c r="H70" s="6">
        <v>66000</v>
      </c>
      <c r="I70" s="3" t="s">
        <v>3785</v>
      </c>
      <c r="J70" s="3" t="s">
        <v>113</v>
      </c>
      <c r="K70" s="285"/>
      <c r="O70" s="3"/>
      <c r="Q70"/>
    </row>
    <row r="71" spans="2:17" x14ac:dyDescent="0.25">
      <c r="B71" s="298"/>
      <c r="C71" s="298" t="s">
        <v>1445</v>
      </c>
      <c r="D71" s="3" t="s">
        <v>41</v>
      </c>
      <c r="E71" s="3" t="s">
        <v>1335</v>
      </c>
      <c r="F71" s="3" t="s">
        <v>90</v>
      </c>
      <c r="G71" s="6">
        <f t="shared" ref="G71:G135" si="1">H71-H71/1.18</f>
        <v>8847.4576271186379</v>
      </c>
      <c r="H71" s="6">
        <v>58000</v>
      </c>
      <c r="I71" s="3" t="s">
        <v>3785</v>
      </c>
      <c r="J71" s="3" t="s">
        <v>113</v>
      </c>
      <c r="K71" s="285"/>
      <c r="O71" s="3"/>
      <c r="Q71"/>
    </row>
    <row r="72" spans="2:17" x14ac:dyDescent="0.25">
      <c r="B72" s="298"/>
      <c r="C72" s="298" t="s">
        <v>1459</v>
      </c>
      <c r="D72" s="3" t="s">
        <v>40</v>
      </c>
      <c r="E72" s="3" t="s">
        <v>1347</v>
      </c>
      <c r="F72" s="3" t="s">
        <v>90</v>
      </c>
      <c r="G72" s="6">
        <f t="shared" si="1"/>
        <v>45762.711864406767</v>
      </c>
      <c r="H72" s="6">
        <v>300000</v>
      </c>
      <c r="I72" s="3" t="s">
        <v>3785</v>
      </c>
      <c r="J72" s="3" t="s">
        <v>113</v>
      </c>
      <c r="K72" s="285"/>
      <c r="O72" s="3"/>
      <c r="Q72"/>
    </row>
    <row r="73" spans="2:17" x14ac:dyDescent="0.25">
      <c r="B73" s="298"/>
      <c r="C73" s="298" t="s">
        <v>2915</v>
      </c>
      <c r="D73" s="3" t="s">
        <v>40</v>
      </c>
      <c r="E73" s="3" t="s">
        <v>2847</v>
      </c>
      <c r="F73" s="3" t="s">
        <v>90</v>
      </c>
      <c r="G73" s="6">
        <f t="shared" si="1"/>
        <v>91525.423728813534</v>
      </c>
      <c r="H73" s="6">
        <v>600000</v>
      </c>
      <c r="I73" s="3" t="s">
        <v>3785</v>
      </c>
      <c r="J73" s="3" t="s">
        <v>113</v>
      </c>
      <c r="K73" s="285"/>
      <c r="O73" s="3"/>
      <c r="Q73"/>
    </row>
    <row r="74" spans="2:17" x14ac:dyDescent="0.25">
      <c r="B74" s="298"/>
      <c r="C74" s="298" t="s">
        <v>1463</v>
      </c>
      <c r="D74" s="3" t="s">
        <v>40</v>
      </c>
      <c r="E74" s="3" t="s">
        <v>1351</v>
      </c>
      <c r="F74" s="3" t="s">
        <v>90</v>
      </c>
      <c r="G74" s="6">
        <f t="shared" si="1"/>
        <v>4576.2711864406774</v>
      </c>
      <c r="H74" s="6">
        <v>30000</v>
      </c>
      <c r="I74" s="3" t="s">
        <v>3785</v>
      </c>
      <c r="J74" s="3" t="s">
        <v>113</v>
      </c>
      <c r="K74" s="285"/>
      <c r="O74" s="3"/>
      <c r="Q74"/>
    </row>
    <row r="75" spans="2:17" x14ac:dyDescent="0.25">
      <c r="B75" s="298"/>
      <c r="C75" s="298" t="s">
        <v>2905</v>
      </c>
      <c r="D75" s="3" t="s">
        <v>41</v>
      </c>
      <c r="E75" s="3" t="s">
        <v>2837</v>
      </c>
      <c r="F75" s="3" t="s">
        <v>90</v>
      </c>
      <c r="G75" s="6">
        <f t="shared" si="1"/>
        <v>61016.949152542336</v>
      </c>
      <c r="H75" s="6">
        <v>400000</v>
      </c>
      <c r="I75" s="3" t="s">
        <v>3785</v>
      </c>
      <c r="J75" s="3" t="s">
        <v>113</v>
      </c>
      <c r="K75" s="285"/>
      <c r="O75" s="3"/>
      <c r="Q75"/>
    </row>
    <row r="76" spans="2:17" x14ac:dyDescent="0.25">
      <c r="B76" s="298"/>
      <c r="C76" s="298" t="s">
        <v>2909</v>
      </c>
      <c r="D76" s="3" t="s">
        <v>40</v>
      </c>
      <c r="E76" s="3" t="s">
        <v>2841</v>
      </c>
      <c r="F76" s="3" t="s">
        <v>90</v>
      </c>
      <c r="G76" s="6">
        <f t="shared" si="1"/>
        <v>30508.474576271168</v>
      </c>
      <c r="H76" s="6">
        <v>200000</v>
      </c>
      <c r="I76" s="3" t="s">
        <v>3785</v>
      </c>
      <c r="J76" s="3" t="s">
        <v>113</v>
      </c>
      <c r="K76" s="285"/>
      <c r="O76" s="3"/>
      <c r="Q76"/>
    </row>
    <row r="77" spans="2:17" x14ac:dyDescent="0.25">
      <c r="B77" s="298"/>
      <c r="C77" s="298" t="s">
        <v>1236</v>
      </c>
      <c r="D77" s="3" t="s">
        <v>17</v>
      </c>
      <c r="E77" s="3" t="s">
        <v>1310</v>
      </c>
      <c r="F77" s="3" t="s">
        <v>71</v>
      </c>
      <c r="G77" s="6">
        <f t="shared" si="1"/>
        <v>14796.610169491527</v>
      </c>
      <c r="H77" s="6">
        <v>97000</v>
      </c>
      <c r="I77" s="3" t="s">
        <v>3785</v>
      </c>
      <c r="J77" s="3" t="s">
        <v>113</v>
      </c>
      <c r="K77" s="285"/>
      <c r="O77" s="3"/>
      <c r="Q77"/>
    </row>
    <row r="78" spans="2:17" x14ac:dyDescent="0.25">
      <c r="B78" s="298"/>
      <c r="C78" s="298" t="s">
        <v>1193</v>
      </c>
      <c r="D78" s="3" t="s">
        <v>17</v>
      </c>
      <c r="E78" s="3" t="s">
        <v>1163</v>
      </c>
      <c r="F78" s="3" t="s">
        <v>71</v>
      </c>
      <c r="G78" s="6">
        <f t="shared" si="1"/>
        <v>8084.7457627118638</v>
      </c>
      <c r="H78" s="6">
        <v>53000</v>
      </c>
      <c r="I78" s="3" t="s">
        <v>3785</v>
      </c>
      <c r="J78" s="3" t="s">
        <v>113</v>
      </c>
      <c r="K78" s="285"/>
      <c r="O78" s="3"/>
      <c r="Q78"/>
    </row>
    <row r="79" spans="2:17" x14ac:dyDescent="0.25">
      <c r="B79" s="298"/>
      <c r="C79" s="298" t="s">
        <v>1199</v>
      </c>
      <c r="D79" s="3" t="s">
        <v>32</v>
      </c>
      <c r="E79" s="3" t="s">
        <v>1165</v>
      </c>
      <c r="F79" s="3" t="s">
        <v>71</v>
      </c>
      <c r="G79" s="6">
        <f t="shared" si="1"/>
        <v>6559.322033898301</v>
      </c>
      <c r="H79" s="6">
        <v>43000</v>
      </c>
      <c r="I79" s="3" t="s">
        <v>3785</v>
      </c>
      <c r="J79" s="3" t="s">
        <v>113</v>
      </c>
      <c r="K79" s="285"/>
      <c r="O79" s="3"/>
      <c r="Q79"/>
    </row>
    <row r="80" spans="2:17" x14ac:dyDescent="0.25">
      <c r="B80" s="298"/>
      <c r="C80" s="298" t="s">
        <v>1213</v>
      </c>
      <c r="D80" s="3" t="s">
        <v>33</v>
      </c>
      <c r="E80" s="3" t="s">
        <v>1287</v>
      </c>
      <c r="F80" s="3" t="s">
        <v>71</v>
      </c>
      <c r="G80" s="6">
        <f t="shared" si="1"/>
        <v>3203.3898305084731</v>
      </c>
      <c r="H80" s="6">
        <v>21000</v>
      </c>
      <c r="I80" s="3" t="s">
        <v>3785</v>
      </c>
      <c r="J80" s="3" t="s">
        <v>113</v>
      </c>
      <c r="K80" s="285"/>
      <c r="O80" s="3"/>
      <c r="Q80"/>
    </row>
    <row r="81" spans="2:17" x14ac:dyDescent="0.25">
      <c r="B81" s="298"/>
      <c r="C81" s="298" t="s">
        <v>1534</v>
      </c>
      <c r="D81" s="3" t="s">
        <v>95</v>
      </c>
      <c r="E81" s="3" t="s">
        <v>3652</v>
      </c>
      <c r="F81" s="3" t="s">
        <v>90</v>
      </c>
      <c r="G81" s="6">
        <f t="shared" si="1"/>
        <v>15254.237288135584</v>
      </c>
      <c r="H81" s="6">
        <v>100000</v>
      </c>
      <c r="I81" s="3" t="s">
        <v>3785</v>
      </c>
      <c r="J81" s="3" t="s">
        <v>18</v>
      </c>
      <c r="K81" s="285"/>
      <c r="O81" s="3"/>
      <c r="Q81"/>
    </row>
    <row r="82" spans="2:17" x14ac:dyDescent="0.25">
      <c r="B82" s="298"/>
      <c r="C82" s="298" t="s">
        <v>2921</v>
      </c>
      <c r="D82" s="3" t="s">
        <v>94</v>
      </c>
      <c r="E82" s="3" t="s">
        <v>2853</v>
      </c>
      <c r="F82" s="3" t="s">
        <v>90</v>
      </c>
      <c r="G82" s="6">
        <f t="shared" si="1"/>
        <v>12966.101694915254</v>
      </c>
      <c r="H82" s="6">
        <v>85000</v>
      </c>
      <c r="I82" s="3" t="s">
        <v>3785</v>
      </c>
      <c r="J82" s="3" t="s">
        <v>113</v>
      </c>
      <c r="K82" s="285"/>
      <c r="O82" s="3"/>
      <c r="P82" s="31"/>
    </row>
    <row r="83" spans="2:17" x14ac:dyDescent="0.25">
      <c r="B83" s="298"/>
      <c r="C83" s="298" t="s">
        <v>3563</v>
      </c>
      <c r="D83" s="3" t="s">
        <v>47</v>
      </c>
      <c r="E83" s="3" t="s">
        <v>3809</v>
      </c>
      <c r="F83" s="3" t="s">
        <v>115</v>
      </c>
      <c r="G83" s="6">
        <f t="shared" si="1"/>
        <v>59796.610169491498</v>
      </c>
      <c r="H83" s="6">
        <v>392000</v>
      </c>
      <c r="I83" s="3" t="s">
        <v>3785</v>
      </c>
      <c r="J83" s="3" t="s">
        <v>113</v>
      </c>
      <c r="K83" s="285"/>
      <c r="O83" s="3"/>
      <c r="Q83"/>
    </row>
    <row r="84" spans="2:17" x14ac:dyDescent="0.25">
      <c r="B84" s="298"/>
      <c r="C84" s="298" t="s">
        <v>3569</v>
      </c>
      <c r="D84" s="3" t="s">
        <v>3566</v>
      </c>
      <c r="E84" s="3" t="s">
        <v>3810</v>
      </c>
      <c r="F84" s="3" t="s">
        <v>115</v>
      </c>
      <c r="G84" s="6">
        <f t="shared" si="1"/>
        <v>24559.322033898294</v>
      </c>
      <c r="H84" s="6">
        <v>161000</v>
      </c>
      <c r="I84" s="3" t="s">
        <v>3785</v>
      </c>
      <c r="J84" s="3" t="s">
        <v>113</v>
      </c>
      <c r="K84" s="285"/>
      <c r="O84" s="3"/>
      <c r="Q84"/>
    </row>
    <row r="85" spans="2:17" x14ac:dyDescent="0.25">
      <c r="B85" s="298"/>
      <c r="C85" s="298" t="s">
        <v>1181</v>
      </c>
      <c r="D85" s="3" t="s">
        <v>4</v>
      </c>
      <c r="E85" s="3" t="s">
        <v>1152</v>
      </c>
      <c r="F85" s="3" t="s">
        <v>71</v>
      </c>
      <c r="G85" s="6">
        <f t="shared" si="1"/>
        <v>15254.237288135584</v>
      </c>
      <c r="H85" s="6">
        <v>100000</v>
      </c>
      <c r="I85" s="3" t="s">
        <v>3785</v>
      </c>
      <c r="J85" s="3" t="s">
        <v>113</v>
      </c>
      <c r="K85" s="285"/>
      <c r="O85" s="3"/>
      <c r="Q85"/>
    </row>
    <row r="86" spans="2:17" x14ac:dyDescent="0.25">
      <c r="B86" s="298"/>
      <c r="C86" s="298" t="s">
        <v>2788</v>
      </c>
      <c r="D86" s="3" t="s">
        <v>96</v>
      </c>
      <c r="E86" s="3" t="s">
        <v>3627</v>
      </c>
      <c r="F86" s="3" t="s">
        <v>71</v>
      </c>
      <c r="G86" s="6">
        <f t="shared" si="1"/>
        <v>5033.8983050847455</v>
      </c>
      <c r="H86" s="6">
        <v>33000</v>
      </c>
      <c r="I86" s="3" t="s">
        <v>3785</v>
      </c>
      <c r="J86" s="3" t="s">
        <v>18</v>
      </c>
      <c r="K86" s="285"/>
      <c r="O86" s="3"/>
      <c r="Q86"/>
    </row>
    <row r="87" spans="2:17" x14ac:dyDescent="0.25">
      <c r="B87" s="298"/>
      <c r="C87" s="298" t="s">
        <v>2703</v>
      </c>
      <c r="D87" s="3" t="s">
        <v>34</v>
      </c>
      <c r="E87" s="3" t="s">
        <v>2639</v>
      </c>
      <c r="F87" s="3" t="s">
        <v>71</v>
      </c>
      <c r="G87" s="6">
        <f t="shared" si="1"/>
        <v>836.83372881355899</v>
      </c>
      <c r="H87" s="6">
        <v>5485.91</v>
      </c>
      <c r="I87" s="3" t="s">
        <v>3785</v>
      </c>
      <c r="J87" s="3" t="s">
        <v>113</v>
      </c>
      <c r="K87" s="285"/>
      <c r="O87" s="3"/>
      <c r="Q87"/>
    </row>
    <row r="88" spans="2:17" x14ac:dyDescent="0.25">
      <c r="B88" s="298"/>
      <c r="C88" s="298" t="s">
        <v>1584</v>
      </c>
      <c r="D88" s="3" t="s">
        <v>16</v>
      </c>
      <c r="E88" s="3" t="s">
        <v>365</v>
      </c>
      <c r="F88" s="3" t="s">
        <v>71</v>
      </c>
      <c r="G88" s="6">
        <f t="shared" si="1"/>
        <v>252.53694915254232</v>
      </c>
      <c r="H88" s="6">
        <v>1655.52</v>
      </c>
      <c r="I88" s="3" t="s">
        <v>3785</v>
      </c>
      <c r="J88" s="3" t="s">
        <v>113</v>
      </c>
      <c r="K88" s="285"/>
      <c r="O88" s="3"/>
      <c r="Q88"/>
    </row>
    <row r="89" spans="2:17" x14ac:dyDescent="0.25">
      <c r="B89" s="298"/>
      <c r="C89" s="298" t="s">
        <v>3671</v>
      </c>
      <c r="D89" s="3" t="s">
        <v>68</v>
      </c>
      <c r="E89" s="3" t="s">
        <v>3811</v>
      </c>
      <c r="F89" s="3" t="s">
        <v>115</v>
      </c>
      <c r="G89" s="6">
        <f t="shared" si="1"/>
        <v>12813.559322033892</v>
      </c>
      <c r="H89" s="6">
        <v>84000</v>
      </c>
      <c r="I89" s="3" t="s">
        <v>3785</v>
      </c>
      <c r="J89" s="3" t="s">
        <v>113</v>
      </c>
      <c r="K89" s="285"/>
      <c r="O89" s="3"/>
      <c r="Q89"/>
    </row>
    <row r="90" spans="2:17" x14ac:dyDescent="0.25">
      <c r="B90" s="298"/>
      <c r="C90" s="298" t="s">
        <v>1973</v>
      </c>
      <c r="D90" s="3" t="s">
        <v>91</v>
      </c>
      <c r="E90" s="3" t="s">
        <v>1615</v>
      </c>
      <c r="F90" s="3" t="s">
        <v>701</v>
      </c>
      <c r="G90" s="6">
        <f t="shared" si="1"/>
        <v>84508.474576271139</v>
      </c>
      <c r="H90" s="6">
        <v>554000</v>
      </c>
      <c r="I90" s="3" t="s">
        <v>3785</v>
      </c>
      <c r="J90" s="3" t="s">
        <v>18</v>
      </c>
      <c r="K90" s="285"/>
      <c r="O90" s="3"/>
      <c r="Q90"/>
    </row>
    <row r="91" spans="2:17" x14ac:dyDescent="0.25">
      <c r="B91" s="298"/>
      <c r="C91" s="298" t="s">
        <v>2198</v>
      </c>
      <c r="D91" s="3" t="s">
        <v>50</v>
      </c>
      <c r="E91" s="3" t="s">
        <v>3634</v>
      </c>
      <c r="F91" s="3" t="s">
        <v>141</v>
      </c>
      <c r="G91" s="6">
        <f t="shared" si="1"/>
        <v>6406.7796610169462</v>
      </c>
      <c r="H91" s="6">
        <v>42000</v>
      </c>
      <c r="I91" s="3" t="s">
        <v>3785</v>
      </c>
      <c r="J91" s="3" t="s">
        <v>113</v>
      </c>
      <c r="K91" s="285"/>
      <c r="O91" s="3">
        <v>2</v>
      </c>
      <c r="Q91"/>
    </row>
    <row r="92" spans="2:17" x14ac:dyDescent="0.25">
      <c r="B92" s="298"/>
      <c r="C92" s="298" t="s">
        <v>2198</v>
      </c>
      <c r="D92" s="3" t="s">
        <v>50</v>
      </c>
      <c r="E92" s="3" t="s">
        <v>3547</v>
      </c>
      <c r="F92" s="3" t="s">
        <v>141</v>
      </c>
      <c r="G92" s="6">
        <f t="shared" si="1"/>
        <v>2135.5932203389821</v>
      </c>
      <c r="H92" s="6">
        <v>14000</v>
      </c>
      <c r="I92" s="3" t="s">
        <v>3785</v>
      </c>
      <c r="J92" s="3" t="s">
        <v>113</v>
      </c>
      <c r="K92" s="285"/>
      <c r="O92" s="3"/>
      <c r="Q92"/>
    </row>
    <row r="93" spans="2:17" x14ac:dyDescent="0.25">
      <c r="B93" s="298"/>
      <c r="C93" s="298" t="s">
        <v>2198</v>
      </c>
      <c r="D93" s="3" t="s">
        <v>50</v>
      </c>
      <c r="E93" s="3" t="s">
        <v>3546</v>
      </c>
      <c r="F93" s="3" t="s">
        <v>141</v>
      </c>
      <c r="G93" s="6">
        <f t="shared" si="1"/>
        <v>1983.0508474576272</v>
      </c>
      <c r="H93" s="6">
        <v>13000</v>
      </c>
      <c r="I93" s="3" t="s">
        <v>3785</v>
      </c>
      <c r="J93" s="3" t="s">
        <v>113</v>
      </c>
      <c r="K93" s="285"/>
      <c r="O93" s="3"/>
      <c r="Q93"/>
    </row>
    <row r="94" spans="2:17" x14ac:dyDescent="0.25">
      <c r="B94" s="298"/>
      <c r="C94" s="298" t="s">
        <v>2198</v>
      </c>
      <c r="D94" s="3" t="s">
        <v>50</v>
      </c>
      <c r="E94" s="3" t="s">
        <v>3633</v>
      </c>
      <c r="F94" s="3" t="s">
        <v>141</v>
      </c>
      <c r="G94" s="6">
        <f t="shared" si="1"/>
        <v>6101.6949152542365</v>
      </c>
      <c r="H94" s="6">
        <v>40000</v>
      </c>
      <c r="I94" s="3" t="s">
        <v>3785</v>
      </c>
      <c r="J94" s="3" t="s">
        <v>113</v>
      </c>
      <c r="K94" s="285"/>
      <c r="O94" s="3"/>
      <c r="Q94"/>
    </row>
    <row r="95" spans="2:17" x14ac:dyDescent="0.25">
      <c r="B95" s="298"/>
      <c r="C95" s="298" t="s">
        <v>2198</v>
      </c>
      <c r="D95" s="3" t="s">
        <v>50</v>
      </c>
      <c r="E95" s="3" t="s">
        <v>3731</v>
      </c>
      <c r="F95" s="3" t="s">
        <v>141</v>
      </c>
      <c r="G95" s="6">
        <f t="shared" si="1"/>
        <v>6254.2372881355914</v>
      </c>
      <c r="H95" s="6">
        <v>41000</v>
      </c>
      <c r="I95" s="3" t="s">
        <v>3785</v>
      </c>
      <c r="J95" s="3" t="s">
        <v>113</v>
      </c>
      <c r="K95" s="285"/>
      <c r="O95" s="3"/>
      <c r="Q95"/>
    </row>
    <row r="96" spans="2:17" x14ac:dyDescent="0.25">
      <c r="B96" s="298"/>
      <c r="C96" s="298" t="s">
        <v>2198</v>
      </c>
      <c r="D96" s="3" t="s">
        <v>50</v>
      </c>
      <c r="E96" s="3" t="s">
        <v>3549</v>
      </c>
      <c r="F96" s="3" t="s">
        <v>141</v>
      </c>
      <c r="G96" s="6">
        <f t="shared" si="1"/>
        <v>1830.5084745762706</v>
      </c>
      <c r="H96" s="6">
        <v>12000</v>
      </c>
      <c r="I96" s="3" t="s">
        <v>3785</v>
      </c>
      <c r="J96" s="3" t="s">
        <v>113</v>
      </c>
      <c r="K96" s="285"/>
      <c r="O96" s="3"/>
      <c r="Q96"/>
    </row>
    <row r="97" spans="2:17" x14ac:dyDescent="0.25">
      <c r="B97" s="298"/>
      <c r="C97" s="298" t="s">
        <v>2198</v>
      </c>
      <c r="D97" s="3" t="s">
        <v>50</v>
      </c>
      <c r="E97" s="3" t="s">
        <v>3548</v>
      </c>
      <c r="F97" s="3" t="s">
        <v>141</v>
      </c>
      <c r="G97" s="6">
        <f t="shared" si="1"/>
        <v>2135.5932203389821</v>
      </c>
      <c r="H97" s="6">
        <v>14000</v>
      </c>
      <c r="I97" s="3" t="s">
        <v>3785</v>
      </c>
      <c r="J97" s="3" t="s">
        <v>113</v>
      </c>
      <c r="K97" s="285"/>
      <c r="O97" s="3"/>
      <c r="Q97"/>
    </row>
    <row r="98" spans="2:17" x14ac:dyDescent="0.25">
      <c r="B98" s="298"/>
      <c r="C98" s="298" t="s">
        <v>2198</v>
      </c>
      <c r="D98" s="3" t="s">
        <v>50</v>
      </c>
      <c r="E98" s="3" t="s">
        <v>3550</v>
      </c>
      <c r="F98" s="3" t="s">
        <v>141</v>
      </c>
      <c r="G98" s="6">
        <f t="shared" si="1"/>
        <v>2440.6779661016935</v>
      </c>
      <c r="H98" s="6">
        <v>16000</v>
      </c>
      <c r="I98" s="3" t="s">
        <v>3785</v>
      </c>
      <c r="J98" s="3" t="s">
        <v>113</v>
      </c>
      <c r="K98" s="285"/>
      <c r="O98" s="3"/>
      <c r="Q98"/>
    </row>
    <row r="99" spans="2:17" x14ac:dyDescent="0.25">
      <c r="B99" s="298"/>
      <c r="C99" s="298" t="s">
        <v>2198</v>
      </c>
      <c r="D99" s="3" t="s">
        <v>50</v>
      </c>
      <c r="E99" s="3" t="s">
        <v>3545</v>
      </c>
      <c r="F99" s="3" t="s">
        <v>141</v>
      </c>
      <c r="G99" s="6">
        <f t="shared" si="1"/>
        <v>1830.5084745762706</v>
      </c>
      <c r="H99" s="6">
        <v>12000</v>
      </c>
      <c r="I99" s="3" t="s">
        <v>3785</v>
      </c>
      <c r="J99" s="3" t="s">
        <v>113</v>
      </c>
      <c r="K99" s="285"/>
      <c r="O99" s="3"/>
      <c r="Q99"/>
    </row>
    <row r="100" spans="2:17" x14ac:dyDescent="0.25">
      <c r="B100" s="298"/>
      <c r="C100" s="298" t="s">
        <v>2198</v>
      </c>
      <c r="D100" s="3" t="s">
        <v>50</v>
      </c>
      <c r="E100" s="3" t="s">
        <v>3812</v>
      </c>
      <c r="F100" s="3" t="s">
        <v>141</v>
      </c>
      <c r="G100" s="6">
        <f t="shared" si="1"/>
        <v>6254.2372881355914</v>
      </c>
      <c r="H100" s="6">
        <v>41000</v>
      </c>
      <c r="I100" s="3" t="s">
        <v>3785</v>
      </c>
      <c r="J100" s="3" t="s">
        <v>113</v>
      </c>
      <c r="K100" s="285"/>
      <c r="O100" s="3">
        <v>19</v>
      </c>
      <c r="Q100"/>
    </row>
    <row r="101" spans="2:17" x14ac:dyDescent="0.25">
      <c r="B101" s="298"/>
      <c r="C101" s="298" t="s">
        <v>2198</v>
      </c>
      <c r="D101" s="3" t="s">
        <v>50</v>
      </c>
      <c r="E101" s="3" t="s">
        <v>3813</v>
      </c>
      <c r="F101" s="3" t="s">
        <v>141</v>
      </c>
      <c r="G101" s="6">
        <f t="shared" si="1"/>
        <v>6864.4067796610179</v>
      </c>
      <c r="H101" s="6">
        <v>45000</v>
      </c>
      <c r="I101" s="3" t="s">
        <v>3785</v>
      </c>
      <c r="J101" s="3" t="s">
        <v>113</v>
      </c>
      <c r="K101" s="285"/>
      <c r="O101" s="3">
        <v>64</v>
      </c>
      <c r="Q101"/>
    </row>
    <row r="102" spans="2:17" x14ac:dyDescent="0.25">
      <c r="B102" s="298"/>
      <c r="C102" s="298" t="s">
        <v>2198</v>
      </c>
      <c r="D102" s="3" t="s">
        <v>50</v>
      </c>
      <c r="E102" s="3" t="s">
        <v>3814</v>
      </c>
      <c r="F102" s="3" t="s">
        <v>141</v>
      </c>
      <c r="G102" s="6">
        <f t="shared" si="1"/>
        <v>1525.4237288135591</v>
      </c>
      <c r="H102" s="6">
        <v>10000</v>
      </c>
      <c r="I102" s="3" t="s">
        <v>3785</v>
      </c>
      <c r="J102" s="3" t="s">
        <v>113</v>
      </c>
      <c r="K102" s="285"/>
      <c r="O102" s="3">
        <v>29</v>
      </c>
      <c r="P102" s="31"/>
    </row>
    <row r="103" spans="2:17" x14ac:dyDescent="0.25">
      <c r="B103" s="298"/>
      <c r="C103" s="298" t="s">
        <v>703</v>
      </c>
      <c r="D103" s="3" t="s">
        <v>3815</v>
      </c>
      <c r="E103" s="3" t="s">
        <v>1611</v>
      </c>
      <c r="F103" s="3" t="s">
        <v>701</v>
      </c>
      <c r="G103" s="6">
        <f t="shared" si="1"/>
        <v>36610.169491525419</v>
      </c>
      <c r="H103" s="6">
        <v>240000</v>
      </c>
      <c r="I103" s="3" t="s">
        <v>3785</v>
      </c>
      <c r="J103" s="3" t="s">
        <v>18</v>
      </c>
      <c r="K103" s="285"/>
      <c r="O103" s="3"/>
      <c r="P103" s="31"/>
    </row>
    <row r="104" spans="2:17" x14ac:dyDescent="0.25">
      <c r="B104" s="298"/>
      <c r="C104" s="298" t="s">
        <v>3816</v>
      </c>
      <c r="D104" s="3" t="s">
        <v>94</v>
      </c>
      <c r="E104" s="3" t="s">
        <v>3820</v>
      </c>
      <c r="F104" s="3" t="s">
        <v>3635</v>
      </c>
      <c r="G104" s="6">
        <f t="shared" si="1"/>
        <v>6513.5593220338997</v>
      </c>
      <c r="H104" s="6">
        <v>42700</v>
      </c>
      <c r="I104" s="3" t="s">
        <v>3822</v>
      </c>
      <c r="J104" s="3" t="s">
        <v>18</v>
      </c>
      <c r="K104" s="18"/>
      <c r="O104" s="3"/>
      <c r="P104" s="31"/>
    </row>
    <row r="105" spans="2:17" x14ac:dyDescent="0.25">
      <c r="B105" s="298"/>
      <c r="C105" s="298" t="s">
        <v>3817</v>
      </c>
      <c r="D105" s="3" t="s">
        <v>94</v>
      </c>
      <c r="E105" s="3" t="s">
        <v>3821</v>
      </c>
      <c r="F105" s="3" t="s">
        <v>3635</v>
      </c>
      <c r="G105" s="6">
        <f t="shared" si="1"/>
        <v>4118.6440677966093</v>
      </c>
      <c r="H105" s="6">
        <v>27000</v>
      </c>
      <c r="I105" s="3" t="s">
        <v>3822</v>
      </c>
      <c r="J105" s="3" t="s">
        <v>18</v>
      </c>
      <c r="O105" s="3"/>
      <c r="Q105"/>
    </row>
    <row r="106" spans="2:17" x14ac:dyDescent="0.25">
      <c r="B106" s="298"/>
      <c r="C106" s="298" t="s">
        <v>2182</v>
      </c>
      <c r="D106" s="3" t="s">
        <v>91</v>
      </c>
      <c r="E106" s="3" t="s">
        <v>3792</v>
      </c>
      <c r="F106" s="3" t="s">
        <v>105</v>
      </c>
      <c r="G106" s="6">
        <f t="shared" si="1"/>
        <v>202881.35593220335</v>
      </c>
      <c r="H106" s="6">
        <v>1330000</v>
      </c>
      <c r="I106" s="3" t="s">
        <v>3822</v>
      </c>
      <c r="J106" s="3" t="s">
        <v>18</v>
      </c>
      <c r="K106" s="285">
        <v>45693</v>
      </c>
      <c r="L106" s="88"/>
      <c r="M106" s="88"/>
      <c r="N106" s="88"/>
      <c r="O106" s="6"/>
      <c r="Q106"/>
    </row>
    <row r="107" spans="2:17" x14ac:dyDescent="0.25">
      <c r="B107" s="298"/>
      <c r="C107" s="298" t="s">
        <v>3482</v>
      </c>
      <c r="D107" s="3" t="s">
        <v>47</v>
      </c>
      <c r="E107" s="3" t="s">
        <v>3475</v>
      </c>
      <c r="F107" s="3" t="s">
        <v>105</v>
      </c>
      <c r="G107" s="6">
        <f t="shared" si="1"/>
        <v>176949.15254237282</v>
      </c>
      <c r="H107" s="6">
        <v>1160000</v>
      </c>
      <c r="I107" s="3" t="s">
        <v>3822</v>
      </c>
      <c r="J107" s="3" t="s">
        <v>113</v>
      </c>
      <c r="K107" s="285">
        <v>45694</v>
      </c>
      <c r="L107" s="88"/>
      <c r="M107" s="88"/>
      <c r="N107" s="88"/>
      <c r="O107" s="6"/>
      <c r="Q107"/>
    </row>
    <row r="108" spans="2:17" x14ac:dyDescent="0.25">
      <c r="B108" s="298"/>
      <c r="C108" s="298" t="s">
        <v>2741</v>
      </c>
      <c r="D108" s="3" t="s">
        <v>34</v>
      </c>
      <c r="E108" s="3" t="s">
        <v>2669</v>
      </c>
      <c r="F108" s="3" t="s">
        <v>71</v>
      </c>
      <c r="G108" s="6">
        <f t="shared" si="1"/>
        <v>6101.6949152542365</v>
      </c>
      <c r="H108" s="6">
        <v>40000</v>
      </c>
      <c r="I108" s="3" t="s">
        <v>3822</v>
      </c>
      <c r="J108" s="3" t="s">
        <v>113</v>
      </c>
      <c r="K108" s="285">
        <v>45694</v>
      </c>
      <c r="L108" s="88"/>
      <c r="M108" s="88"/>
      <c r="N108" s="88"/>
      <c r="O108" s="6"/>
      <c r="Q108"/>
    </row>
    <row r="109" spans="2:17" x14ac:dyDescent="0.25">
      <c r="B109" s="298"/>
      <c r="C109" s="298" t="s">
        <v>2719</v>
      </c>
      <c r="D109" s="3" t="s">
        <v>34</v>
      </c>
      <c r="E109" s="3" t="s">
        <v>2650</v>
      </c>
      <c r="F109" s="3" t="s">
        <v>71</v>
      </c>
      <c r="G109" s="6">
        <f t="shared" si="1"/>
        <v>4576.2711864406774</v>
      </c>
      <c r="H109" s="6">
        <v>30000</v>
      </c>
      <c r="I109" s="3" t="s">
        <v>3822</v>
      </c>
      <c r="J109" s="3" t="s">
        <v>113</v>
      </c>
      <c r="K109" s="285">
        <v>45694</v>
      </c>
      <c r="L109" s="88"/>
      <c r="M109" s="88"/>
      <c r="N109" s="88"/>
      <c r="O109" s="6"/>
      <c r="Q109"/>
    </row>
    <row r="110" spans="2:17" x14ac:dyDescent="0.25">
      <c r="B110" s="298"/>
      <c r="C110" s="298" t="s">
        <v>2753</v>
      </c>
      <c r="D110" s="3" t="s">
        <v>34</v>
      </c>
      <c r="E110" s="3" t="s">
        <v>2677</v>
      </c>
      <c r="F110" s="3" t="s">
        <v>71</v>
      </c>
      <c r="G110" s="6">
        <f t="shared" si="1"/>
        <v>4576.2711864406774</v>
      </c>
      <c r="H110" s="6">
        <v>30000</v>
      </c>
      <c r="I110" s="3" t="s">
        <v>3822</v>
      </c>
      <c r="J110" s="3" t="s">
        <v>113</v>
      </c>
      <c r="K110" s="285">
        <v>45694</v>
      </c>
      <c r="L110" s="88"/>
      <c r="M110" s="88"/>
      <c r="N110" s="88"/>
      <c r="O110" s="6"/>
      <c r="P110" s="31"/>
      <c r="Q110"/>
    </row>
    <row r="111" spans="2:17" x14ac:dyDescent="0.25">
      <c r="B111" s="298"/>
      <c r="C111" s="298" t="s">
        <v>2724</v>
      </c>
      <c r="D111" s="3" t="s">
        <v>34</v>
      </c>
      <c r="E111" s="3" t="s">
        <v>2654</v>
      </c>
      <c r="F111" s="3" t="s">
        <v>71</v>
      </c>
      <c r="G111" s="6">
        <f t="shared" si="1"/>
        <v>7627.118644067792</v>
      </c>
      <c r="H111" s="6">
        <v>50000</v>
      </c>
      <c r="I111" s="3" t="s">
        <v>3822</v>
      </c>
      <c r="J111" s="3" t="s">
        <v>113</v>
      </c>
      <c r="K111" s="285">
        <v>45694</v>
      </c>
      <c r="O111" s="3"/>
      <c r="P111" s="31"/>
    </row>
    <row r="112" spans="2:17" x14ac:dyDescent="0.25">
      <c r="B112" s="298"/>
      <c r="C112" s="298" t="s">
        <v>2725</v>
      </c>
      <c r="D112" s="3" t="s">
        <v>34</v>
      </c>
      <c r="E112" s="3" t="s">
        <v>2655</v>
      </c>
      <c r="F112" s="3" t="s">
        <v>71</v>
      </c>
      <c r="G112" s="6">
        <f t="shared" si="1"/>
        <v>4576.2711864406774</v>
      </c>
      <c r="H112" s="6">
        <v>30000</v>
      </c>
      <c r="I112" s="3" t="s">
        <v>3822</v>
      </c>
      <c r="J112" s="3" t="s">
        <v>113</v>
      </c>
      <c r="K112" s="285">
        <v>45694</v>
      </c>
      <c r="O112" s="3"/>
      <c r="Q112"/>
    </row>
    <row r="113" spans="2:17" x14ac:dyDescent="0.25">
      <c r="B113" s="298"/>
      <c r="C113" s="298" t="s">
        <v>2730</v>
      </c>
      <c r="D113" s="3" t="s">
        <v>34</v>
      </c>
      <c r="E113" s="3" t="s">
        <v>2660</v>
      </c>
      <c r="F113" s="3" t="s">
        <v>71</v>
      </c>
      <c r="G113" s="6">
        <f t="shared" si="1"/>
        <v>21355.932203389821</v>
      </c>
      <c r="H113" s="6">
        <v>140000</v>
      </c>
      <c r="I113" s="3" t="s">
        <v>3822</v>
      </c>
      <c r="J113" s="3" t="s">
        <v>113</v>
      </c>
      <c r="K113" s="285">
        <v>45694</v>
      </c>
      <c r="O113" s="3"/>
      <c r="Q113"/>
    </row>
    <row r="114" spans="2:17" x14ac:dyDescent="0.25">
      <c r="B114" s="298"/>
      <c r="C114" s="298" t="s">
        <v>2752</v>
      </c>
      <c r="D114" s="3" t="s">
        <v>34</v>
      </c>
      <c r="E114" s="3" t="s">
        <v>2676</v>
      </c>
      <c r="F114" s="3" t="s">
        <v>71</v>
      </c>
      <c r="G114" s="6">
        <f t="shared" si="1"/>
        <v>15254.237288135584</v>
      </c>
      <c r="H114" s="6">
        <v>100000</v>
      </c>
      <c r="I114" s="3" t="s">
        <v>3822</v>
      </c>
      <c r="J114" s="3" t="s">
        <v>113</v>
      </c>
      <c r="K114" s="285">
        <v>45694</v>
      </c>
      <c r="O114" s="3"/>
      <c r="Q114"/>
    </row>
    <row r="115" spans="2:17" x14ac:dyDescent="0.25">
      <c r="B115" s="298"/>
      <c r="C115" s="298" t="s">
        <v>2711</v>
      </c>
      <c r="D115" s="3" t="s">
        <v>34</v>
      </c>
      <c r="E115" s="3" t="s">
        <v>2644</v>
      </c>
      <c r="F115" s="3" t="s">
        <v>71</v>
      </c>
      <c r="G115" s="6">
        <f t="shared" si="1"/>
        <v>7627.118644067792</v>
      </c>
      <c r="H115" s="6">
        <v>50000</v>
      </c>
      <c r="I115" s="3" t="s">
        <v>3822</v>
      </c>
      <c r="J115" s="3" t="s">
        <v>113</v>
      </c>
      <c r="K115" s="285">
        <v>45694</v>
      </c>
      <c r="O115" s="3"/>
      <c r="Q115"/>
    </row>
    <row r="116" spans="2:17" x14ac:dyDescent="0.25">
      <c r="B116" s="298"/>
      <c r="C116" s="298" t="s">
        <v>2193</v>
      </c>
      <c r="D116" s="3" t="s">
        <v>40</v>
      </c>
      <c r="E116" s="3" t="s">
        <v>2188</v>
      </c>
      <c r="F116" s="3" t="s">
        <v>75</v>
      </c>
      <c r="G116" s="6">
        <f t="shared" si="1"/>
        <v>73220.338983050839</v>
      </c>
      <c r="H116" s="6">
        <v>480000</v>
      </c>
      <c r="I116" s="3" t="s">
        <v>3822</v>
      </c>
      <c r="J116" s="3" t="s">
        <v>113</v>
      </c>
      <c r="K116" s="285">
        <v>45694</v>
      </c>
      <c r="O116" s="3"/>
      <c r="Q116"/>
    </row>
    <row r="117" spans="2:17" x14ac:dyDescent="0.25">
      <c r="B117" s="298"/>
      <c r="C117" s="298" t="s">
        <v>1715</v>
      </c>
      <c r="D117" s="3" t="s">
        <v>20</v>
      </c>
      <c r="E117" s="3" t="s">
        <v>925</v>
      </c>
      <c r="F117" s="3" t="s">
        <v>115</v>
      </c>
      <c r="G117" s="6">
        <f t="shared" si="1"/>
        <v>61016.949152542336</v>
      </c>
      <c r="H117" s="6">
        <v>400000</v>
      </c>
      <c r="I117" s="3" t="s">
        <v>3822</v>
      </c>
      <c r="J117" s="3" t="s">
        <v>113</v>
      </c>
      <c r="K117" s="285">
        <v>45694</v>
      </c>
      <c r="O117" s="3"/>
      <c r="Q117"/>
    </row>
    <row r="118" spans="2:17" x14ac:dyDescent="0.25">
      <c r="B118" s="298"/>
      <c r="C118" s="298" t="s">
        <v>3559</v>
      </c>
      <c r="D118" s="3" t="s">
        <v>47</v>
      </c>
      <c r="E118" s="3" t="s">
        <v>3557</v>
      </c>
      <c r="F118" s="3" t="s">
        <v>115</v>
      </c>
      <c r="G118" s="6">
        <f t="shared" si="1"/>
        <v>13728.813559322036</v>
      </c>
      <c r="H118" s="6">
        <v>90000</v>
      </c>
      <c r="I118" s="3" t="s">
        <v>3822</v>
      </c>
      <c r="J118" s="3" t="s">
        <v>113</v>
      </c>
      <c r="K118" s="285">
        <v>45694</v>
      </c>
      <c r="O118" s="3"/>
      <c r="Q118"/>
    </row>
    <row r="119" spans="2:17" x14ac:dyDescent="0.25">
      <c r="B119" s="298"/>
      <c r="C119" s="298" t="s">
        <v>1694</v>
      </c>
      <c r="D119" s="3" t="s">
        <v>47</v>
      </c>
      <c r="E119" s="3" t="s">
        <v>1693</v>
      </c>
      <c r="F119" s="3" t="s">
        <v>115</v>
      </c>
      <c r="G119" s="6">
        <f t="shared" si="1"/>
        <v>83898.305084745749</v>
      </c>
      <c r="H119" s="6">
        <v>550000</v>
      </c>
      <c r="I119" s="3" t="s">
        <v>3822</v>
      </c>
      <c r="J119" s="3" t="s">
        <v>113</v>
      </c>
      <c r="K119" s="285">
        <v>45694</v>
      </c>
      <c r="O119" s="3"/>
      <c r="Q119"/>
    </row>
    <row r="120" spans="2:17" x14ac:dyDescent="0.25">
      <c r="B120" s="298"/>
      <c r="C120" s="298" t="s">
        <v>2234</v>
      </c>
      <c r="D120" s="3" t="s">
        <v>45</v>
      </c>
      <c r="E120" s="3" t="s">
        <v>2215</v>
      </c>
      <c r="F120" s="3" t="s">
        <v>115</v>
      </c>
      <c r="G120" s="6">
        <f t="shared" si="1"/>
        <v>7627.118644067792</v>
      </c>
      <c r="H120" s="6">
        <v>50000</v>
      </c>
      <c r="I120" s="3" t="s">
        <v>3822</v>
      </c>
      <c r="J120" s="3" t="s">
        <v>113</v>
      </c>
      <c r="K120" s="285">
        <v>45694</v>
      </c>
      <c r="O120" s="3"/>
      <c r="P120" s="31"/>
    </row>
    <row r="121" spans="2:17" x14ac:dyDescent="0.25">
      <c r="B121" s="298"/>
      <c r="C121" s="298" t="s">
        <v>2199</v>
      </c>
      <c r="D121" s="3" t="s">
        <v>40</v>
      </c>
      <c r="E121" s="3" t="s">
        <v>2217</v>
      </c>
      <c r="F121" s="3" t="s">
        <v>141</v>
      </c>
      <c r="G121" s="6">
        <f t="shared" si="1"/>
        <v>32796.610169491527</v>
      </c>
      <c r="H121" s="6">
        <v>215000</v>
      </c>
      <c r="I121" s="3" t="s">
        <v>3822</v>
      </c>
      <c r="J121" s="3" t="s">
        <v>113</v>
      </c>
      <c r="K121" s="285">
        <v>45694</v>
      </c>
      <c r="O121" s="3"/>
      <c r="P121" s="31"/>
    </row>
    <row r="122" spans="2:17" x14ac:dyDescent="0.25">
      <c r="B122" s="298"/>
      <c r="C122" s="298" t="s">
        <v>2256</v>
      </c>
      <c r="D122" s="3" t="s">
        <v>94</v>
      </c>
      <c r="E122" s="3" t="s">
        <v>2260</v>
      </c>
      <c r="F122" s="3" t="s">
        <v>114</v>
      </c>
      <c r="G122" s="6">
        <f t="shared" si="1"/>
        <v>11593.220338983047</v>
      </c>
      <c r="H122" s="6">
        <v>76000</v>
      </c>
      <c r="I122" s="3" t="s">
        <v>3822</v>
      </c>
      <c r="J122" s="3" t="s">
        <v>18</v>
      </c>
      <c r="K122" s="285">
        <v>45694</v>
      </c>
      <c r="O122" s="3"/>
      <c r="P122" s="31"/>
    </row>
    <row r="123" spans="2:17" x14ac:dyDescent="0.25">
      <c r="B123" s="298"/>
      <c r="C123" s="298" t="s">
        <v>2383</v>
      </c>
      <c r="D123" s="3" t="s">
        <v>56</v>
      </c>
      <c r="E123" s="3" t="s">
        <v>2337</v>
      </c>
      <c r="F123" s="3" t="s">
        <v>87</v>
      </c>
      <c r="G123" s="6">
        <f t="shared" si="1"/>
        <v>175423.72881355928</v>
      </c>
      <c r="H123" s="6">
        <v>1150000</v>
      </c>
      <c r="I123" s="3" t="s">
        <v>3822</v>
      </c>
      <c r="J123" s="3" t="s">
        <v>113</v>
      </c>
      <c r="K123" s="285">
        <v>45695</v>
      </c>
      <c r="O123" s="3"/>
      <c r="P123" s="31"/>
    </row>
    <row r="124" spans="2:17" x14ac:dyDescent="0.25">
      <c r="B124" s="298"/>
      <c r="C124" s="298" t="s">
        <v>3636</v>
      </c>
      <c r="D124" s="3" t="s">
        <v>104</v>
      </c>
      <c r="E124" s="3" t="s">
        <v>3826</v>
      </c>
      <c r="F124" s="3" t="s">
        <v>3635</v>
      </c>
      <c r="G124" s="6">
        <f t="shared" si="1"/>
        <v>4118.6440677966093</v>
      </c>
      <c r="H124" s="6">
        <v>27000</v>
      </c>
      <c r="I124" s="3" t="s">
        <v>3822</v>
      </c>
      <c r="J124" s="3" t="s">
        <v>18</v>
      </c>
      <c r="K124" s="285">
        <v>45691</v>
      </c>
      <c r="O124" s="3"/>
      <c r="P124" s="31"/>
    </row>
    <row r="125" spans="2:17" x14ac:dyDescent="0.25">
      <c r="B125" s="298"/>
      <c r="C125" s="298" t="s">
        <v>3641</v>
      </c>
      <c r="D125" s="3" t="s">
        <v>45</v>
      </c>
      <c r="E125" s="3" t="s">
        <v>3824</v>
      </c>
      <c r="F125" s="3" t="s">
        <v>3635</v>
      </c>
      <c r="G125" s="6">
        <f t="shared" si="1"/>
        <v>991.52542372881362</v>
      </c>
      <c r="H125" s="6">
        <v>6500</v>
      </c>
      <c r="I125" s="3" t="s">
        <v>3822</v>
      </c>
      <c r="J125" s="3" t="s">
        <v>113</v>
      </c>
      <c r="K125" s="285">
        <v>45691</v>
      </c>
      <c r="O125" s="3"/>
      <c r="P125" s="31"/>
    </row>
    <row r="126" spans="2:17" x14ac:dyDescent="0.25">
      <c r="B126" s="298"/>
      <c r="C126" s="298" t="s">
        <v>3641</v>
      </c>
      <c r="D126" s="3" t="s">
        <v>47</v>
      </c>
      <c r="E126" s="3" t="s">
        <v>3825</v>
      </c>
      <c r="F126" s="3" t="s">
        <v>3635</v>
      </c>
      <c r="G126" s="6">
        <f t="shared" si="1"/>
        <v>1296.6101694915251</v>
      </c>
      <c r="H126" s="6">
        <v>8500</v>
      </c>
      <c r="I126" s="3" t="s">
        <v>3822</v>
      </c>
      <c r="J126" s="3" t="s">
        <v>113</v>
      </c>
      <c r="K126" s="285">
        <v>45692</v>
      </c>
      <c r="O126" s="3"/>
      <c r="P126" s="31"/>
    </row>
    <row r="127" spans="2:17" x14ac:dyDescent="0.25">
      <c r="B127" s="298"/>
      <c r="C127" s="298" t="s">
        <v>3641</v>
      </c>
      <c r="D127" s="3" t="s">
        <v>45</v>
      </c>
      <c r="E127" s="3" t="s">
        <v>3827</v>
      </c>
      <c r="F127" s="3" t="s">
        <v>3635</v>
      </c>
      <c r="G127" s="6">
        <f t="shared" si="1"/>
        <v>1296.6101694915251</v>
      </c>
      <c r="H127" s="6">
        <v>8500</v>
      </c>
      <c r="I127" s="3" t="s">
        <v>3822</v>
      </c>
      <c r="J127" s="3" t="s">
        <v>113</v>
      </c>
      <c r="K127" s="285">
        <v>45691</v>
      </c>
      <c r="O127" s="3"/>
      <c r="P127" s="31"/>
    </row>
    <row r="128" spans="2:17" x14ac:dyDescent="0.25">
      <c r="B128" s="298"/>
      <c r="C128" s="298" t="s">
        <v>3641</v>
      </c>
      <c r="D128" s="3" t="s">
        <v>45</v>
      </c>
      <c r="E128" s="3" t="s">
        <v>3828</v>
      </c>
      <c r="F128" s="3" t="s">
        <v>3635</v>
      </c>
      <c r="G128" s="6">
        <f t="shared" si="1"/>
        <v>991.52542372881362</v>
      </c>
      <c r="H128" s="6">
        <v>6500</v>
      </c>
      <c r="I128" s="3" t="s">
        <v>3822</v>
      </c>
      <c r="J128" s="3" t="s">
        <v>113</v>
      </c>
      <c r="K128" s="285">
        <v>45691</v>
      </c>
      <c r="O128" s="3"/>
      <c r="P128" s="31"/>
    </row>
    <row r="129" spans="2:17" x14ac:dyDescent="0.25">
      <c r="B129" s="298"/>
      <c r="C129" s="298" t="s">
        <v>3641</v>
      </c>
      <c r="D129" s="3" t="s">
        <v>45</v>
      </c>
      <c r="E129" s="3" t="s">
        <v>3829</v>
      </c>
      <c r="F129" s="3" t="s">
        <v>3635</v>
      </c>
      <c r="G129" s="6">
        <f t="shared" si="1"/>
        <v>1296.6101694915251</v>
      </c>
      <c r="H129" s="6">
        <v>8500</v>
      </c>
      <c r="I129" s="3" t="s">
        <v>3822</v>
      </c>
      <c r="J129" s="3" t="s">
        <v>113</v>
      </c>
      <c r="K129" s="285">
        <v>45691</v>
      </c>
      <c r="O129" s="3"/>
      <c r="P129" s="31"/>
    </row>
    <row r="130" spans="2:17" x14ac:dyDescent="0.25">
      <c r="B130" s="298"/>
      <c r="C130" s="298" t="s">
        <v>3641</v>
      </c>
      <c r="D130" s="3" t="s">
        <v>45</v>
      </c>
      <c r="E130" s="3" t="s">
        <v>3830</v>
      </c>
      <c r="F130" s="3" t="s">
        <v>3635</v>
      </c>
      <c r="G130" s="6">
        <f t="shared" si="1"/>
        <v>4118.6440677966093</v>
      </c>
      <c r="H130" s="6">
        <v>27000</v>
      </c>
      <c r="I130" s="3" t="s">
        <v>3822</v>
      </c>
      <c r="J130" s="3" t="s">
        <v>113</v>
      </c>
      <c r="K130" s="285">
        <v>45691</v>
      </c>
      <c r="O130" s="3"/>
      <c r="P130" s="31"/>
    </row>
    <row r="131" spans="2:17" x14ac:dyDescent="0.25">
      <c r="B131" s="298"/>
      <c r="C131" s="298" t="s">
        <v>3641</v>
      </c>
      <c r="D131" s="3" t="s">
        <v>45</v>
      </c>
      <c r="E131" s="3" t="s">
        <v>3831</v>
      </c>
      <c r="F131" s="3" t="s">
        <v>3635</v>
      </c>
      <c r="G131" s="6">
        <f t="shared" si="1"/>
        <v>1296.6101694915251</v>
      </c>
      <c r="H131" s="6">
        <v>8500</v>
      </c>
      <c r="I131" s="3" t="s">
        <v>3822</v>
      </c>
      <c r="J131" s="3" t="s">
        <v>113</v>
      </c>
      <c r="K131" s="285">
        <v>45691</v>
      </c>
      <c r="O131" s="3"/>
      <c r="P131" s="31"/>
    </row>
    <row r="132" spans="2:17" x14ac:dyDescent="0.25">
      <c r="B132" s="298"/>
      <c r="C132" s="298" t="s">
        <v>3636</v>
      </c>
      <c r="D132" s="3" t="s">
        <v>104</v>
      </c>
      <c r="E132" s="3" t="s">
        <v>3833</v>
      </c>
      <c r="F132" s="3" t="s">
        <v>3635</v>
      </c>
      <c r="G132" s="6">
        <f t="shared" si="1"/>
        <v>1983.0508474576272</v>
      </c>
      <c r="H132" s="6">
        <v>13000</v>
      </c>
      <c r="I132" s="3" t="s">
        <v>3822</v>
      </c>
      <c r="J132" s="3" t="s">
        <v>18</v>
      </c>
      <c r="K132" s="285">
        <v>45693</v>
      </c>
      <c r="O132" s="3"/>
      <c r="P132" s="31"/>
    </row>
    <row r="133" spans="2:17" x14ac:dyDescent="0.25">
      <c r="B133" s="298"/>
      <c r="C133" s="298" t="s">
        <v>1236</v>
      </c>
      <c r="D133" s="3" t="s">
        <v>17</v>
      </c>
      <c r="E133" s="3" t="s">
        <v>1310</v>
      </c>
      <c r="F133" s="3" t="s">
        <v>71</v>
      </c>
      <c r="G133" s="6">
        <f t="shared" si="1"/>
        <v>459.90915254237279</v>
      </c>
      <c r="H133" s="6">
        <v>3014.96</v>
      </c>
      <c r="I133" s="3" t="s">
        <v>3822</v>
      </c>
      <c r="J133" s="3" t="s">
        <v>113</v>
      </c>
      <c r="K133" s="285">
        <v>45705</v>
      </c>
      <c r="O133" s="3"/>
      <c r="P133" s="31"/>
    </row>
    <row r="134" spans="2:17" x14ac:dyDescent="0.25">
      <c r="B134" s="298"/>
      <c r="C134" s="298" t="s">
        <v>1193</v>
      </c>
      <c r="D134" s="3" t="s">
        <v>17</v>
      </c>
      <c r="E134" s="3" t="s">
        <v>1163</v>
      </c>
      <c r="F134" s="3" t="s">
        <v>71</v>
      </c>
      <c r="G134" s="6">
        <f t="shared" si="1"/>
        <v>309.95694915254239</v>
      </c>
      <c r="H134" s="6">
        <v>2031.94</v>
      </c>
      <c r="I134" s="3" t="s">
        <v>3822</v>
      </c>
      <c r="J134" s="3" t="s">
        <v>113</v>
      </c>
      <c r="K134" s="285">
        <v>45705</v>
      </c>
      <c r="O134" s="3"/>
      <c r="Q134"/>
    </row>
    <row r="135" spans="2:17" x14ac:dyDescent="0.25">
      <c r="B135" s="298"/>
      <c r="C135" s="298" t="s">
        <v>3636</v>
      </c>
      <c r="D135" s="3" t="s">
        <v>96</v>
      </c>
      <c r="E135" s="3" t="s">
        <v>3840</v>
      </c>
      <c r="F135" s="3" t="s">
        <v>3635</v>
      </c>
      <c r="G135" s="6">
        <f t="shared" si="1"/>
        <v>1296.6101694915251</v>
      </c>
      <c r="H135" s="6">
        <v>8500</v>
      </c>
      <c r="I135" s="3" t="s">
        <v>3822</v>
      </c>
      <c r="J135" s="3" t="s">
        <v>18</v>
      </c>
      <c r="K135" s="285">
        <v>45706</v>
      </c>
      <c r="O135" s="3"/>
      <c r="Q135"/>
    </row>
    <row r="136" spans="2:17" x14ac:dyDescent="0.25">
      <c r="B136" s="298"/>
      <c r="C136" s="298" t="s">
        <v>3636</v>
      </c>
      <c r="D136" s="3" t="s">
        <v>96</v>
      </c>
      <c r="E136" s="3" t="s">
        <v>3841</v>
      </c>
      <c r="F136" s="3" t="s">
        <v>3635</v>
      </c>
      <c r="G136" s="6">
        <f t="shared" ref="G136:G198" si="2">H136-H136/1.18</f>
        <v>1296.6101694915251</v>
      </c>
      <c r="H136" s="6">
        <v>8500</v>
      </c>
      <c r="I136" s="3" t="s">
        <v>3822</v>
      </c>
      <c r="J136" s="3" t="s">
        <v>18</v>
      </c>
      <c r="K136" s="285">
        <v>45706</v>
      </c>
      <c r="O136" s="3"/>
      <c r="Q136"/>
    </row>
    <row r="137" spans="2:17" x14ac:dyDescent="0.25">
      <c r="B137" s="298"/>
      <c r="C137" s="298" t="s">
        <v>3119</v>
      </c>
      <c r="D137" s="3" t="s">
        <v>99</v>
      </c>
      <c r="E137" s="3" t="s">
        <v>3036</v>
      </c>
      <c r="F137" s="3" t="s">
        <v>90</v>
      </c>
      <c r="G137" s="6">
        <f t="shared" si="2"/>
        <v>2135.5932203389821</v>
      </c>
      <c r="H137" s="6">
        <v>14000</v>
      </c>
      <c r="I137" s="3" t="s">
        <v>3822</v>
      </c>
      <c r="J137" s="3" t="s">
        <v>18</v>
      </c>
      <c r="K137" s="285">
        <v>45713</v>
      </c>
      <c r="O137" s="3"/>
      <c r="Q137"/>
    </row>
    <row r="138" spans="2:17" x14ac:dyDescent="0.25">
      <c r="B138" s="298"/>
      <c r="C138" s="298" t="s">
        <v>3139</v>
      </c>
      <c r="D138" s="3" t="s">
        <v>99</v>
      </c>
      <c r="E138" s="3" t="s">
        <v>3055</v>
      </c>
      <c r="F138" s="3" t="s">
        <v>90</v>
      </c>
      <c r="G138" s="6">
        <f t="shared" si="2"/>
        <v>6406.7796610169462</v>
      </c>
      <c r="H138" s="6">
        <v>42000</v>
      </c>
      <c r="I138" s="3" t="s">
        <v>3822</v>
      </c>
      <c r="J138" s="3" t="s">
        <v>18</v>
      </c>
      <c r="K138" s="285">
        <v>45713</v>
      </c>
      <c r="O138" s="3"/>
      <c r="Q138"/>
    </row>
    <row r="139" spans="2:17" x14ac:dyDescent="0.25">
      <c r="B139" s="298"/>
      <c r="C139" s="298" t="s">
        <v>986</v>
      </c>
      <c r="D139" s="3" t="s">
        <v>95</v>
      </c>
      <c r="E139" s="3" t="s">
        <v>3843</v>
      </c>
      <c r="F139" s="3" t="s">
        <v>90</v>
      </c>
      <c r="G139" s="6">
        <f t="shared" si="2"/>
        <v>29135.593220338982</v>
      </c>
      <c r="H139" s="6">
        <v>191000</v>
      </c>
      <c r="I139" s="3" t="s">
        <v>3822</v>
      </c>
      <c r="J139" s="3" t="s">
        <v>18</v>
      </c>
      <c r="K139" s="285">
        <v>45713</v>
      </c>
      <c r="O139" s="3"/>
      <c r="Q139"/>
    </row>
    <row r="140" spans="2:17" x14ac:dyDescent="0.25">
      <c r="B140" s="298"/>
      <c r="C140" s="298" t="s">
        <v>972</v>
      </c>
      <c r="D140" s="3" t="s">
        <v>95</v>
      </c>
      <c r="E140" s="3" t="s">
        <v>971</v>
      </c>
      <c r="F140" s="3" t="s">
        <v>90</v>
      </c>
      <c r="G140" s="6">
        <f t="shared" si="2"/>
        <v>5796.6101694915233</v>
      </c>
      <c r="H140" s="6">
        <v>38000</v>
      </c>
      <c r="I140" s="3" t="s">
        <v>3822</v>
      </c>
      <c r="J140" s="3" t="s">
        <v>18</v>
      </c>
      <c r="K140" s="285">
        <v>45713</v>
      </c>
      <c r="O140" s="3"/>
      <c r="Q140"/>
    </row>
    <row r="141" spans="2:17" x14ac:dyDescent="0.25">
      <c r="B141" s="298"/>
      <c r="C141" s="298" t="s">
        <v>3125</v>
      </c>
      <c r="D141" s="3" t="s">
        <v>95</v>
      </c>
      <c r="E141" s="3" t="s">
        <v>3042</v>
      </c>
      <c r="F141" s="3" t="s">
        <v>90</v>
      </c>
      <c r="G141" s="6">
        <f t="shared" si="2"/>
        <v>23796.610169491527</v>
      </c>
      <c r="H141" s="6">
        <v>156000</v>
      </c>
      <c r="I141" s="3" t="s">
        <v>3822</v>
      </c>
      <c r="J141" s="3" t="s">
        <v>18</v>
      </c>
      <c r="K141" s="285">
        <v>45713</v>
      </c>
      <c r="O141" s="3"/>
      <c r="Q141"/>
    </row>
    <row r="142" spans="2:17" x14ac:dyDescent="0.25">
      <c r="B142" s="298"/>
      <c r="C142" s="298" t="s">
        <v>3161</v>
      </c>
      <c r="D142" s="3" t="s">
        <v>74</v>
      </c>
      <c r="E142" s="3" t="s">
        <v>3077</v>
      </c>
      <c r="F142" s="3" t="s">
        <v>90</v>
      </c>
      <c r="G142" s="6">
        <f t="shared" si="2"/>
        <v>3203.3898305084731</v>
      </c>
      <c r="H142" s="6">
        <v>21000</v>
      </c>
      <c r="I142" s="3" t="s">
        <v>3822</v>
      </c>
      <c r="J142" s="3" t="s">
        <v>18</v>
      </c>
      <c r="K142" s="285">
        <v>45713</v>
      </c>
      <c r="O142" s="3"/>
      <c r="Q142"/>
    </row>
    <row r="143" spans="2:17" x14ac:dyDescent="0.25">
      <c r="B143" s="298"/>
      <c r="C143" s="298" t="s">
        <v>3103</v>
      </c>
      <c r="D143" s="3" t="s">
        <v>74</v>
      </c>
      <c r="E143" s="3" t="s">
        <v>3020</v>
      </c>
      <c r="F143" s="3" t="s">
        <v>90</v>
      </c>
      <c r="G143" s="6">
        <f t="shared" si="2"/>
        <v>10830.508474576265</v>
      </c>
      <c r="H143" s="6">
        <v>71000</v>
      </c>
      <c r="I143" s="3" t="s">
        <v>3822</v>
      </c>
      <c r="J143" s="3" t="s">
        <v>18</v>
      </c>
      <c r="K143" s="285">
        <v>45713</v>
      </c>
      <c r="O143" s="3"/>
      <c r="Q143"/>
    </row>
    <row r="144" spans="2:17" x14ac:dyDescent="0.25">
      <c r="B144" s="298"/>
      <c r="C144" s="298" t="s">
        <v>3121</v>
      </c>
      <c r="D144" s="3" t="s">
        <v>74</v>
      </c>
      <c r="E144" s="3" t="s">
        <v>3038</v>
      </c>
      <c r="F144" s="3" t="s">
        <v>90</v>
      </c>
      <c r="G144" s="6">
        <f t="shared" si="2"/>
        <v>6254.2372881355914</v>
      </c>
      <c r="H144" s="6">
        <v>41000</v>
      </c>
      <c r="I144" s="3" t="s">
        <v>3822</v>
      </c>
      <c r="J144" s="3" t="s">
        <v>18</v>
      </c>
      <c r="K144" s="285">
        <v>45713</v>
      </c>
      <c r="O144" s="3"/>
      <c r="Q144"/>
    </row>
    <row r="145" spans="2:17" x14ac:dyDescent="0.25">
      <c r="B145" s="298"/>
      <c r="C145" s="298" t="s">
        <v>3107</v>
      </c>
      <c r="D145" s="3" t="s">
        <v>95</v>
      </c>
      <c r="E145" s="3" t="s">
        <v>3024</v>
      </c>
      <c r="F145" s="3" t="s">
        <v>90</v>
      </c>
      <c r="G145" s="6">
        <f t="shared" si="2"/>
        <v>27457.627118644072</v>
      </c>
      <c r="H145" s="6">
        <v>180000</v>
      </c>
      <c r="I145" s="3" t="s">
        <v>3822</v>
      </c>
      <c r="J145" s="3" t="s">
        <v>18</v>
      </c>
      <c r="K145" s="285">
        <v>45713</v>
      </c>
      <c r="O145" s="3"/>
      <c r="Q145"/>
    </row>
    <row r="146" spans="2:17" x14ac:dyDescent="0.25">
      <c r="B146" s="298"/>
      <c r="C146" s="298" t="s">
        <v>1081</v>
      </c>
      <c r="D146" s="3" t="s">
        <v>94</v>
      </c>
      <c r="E146" s="3" t="s">
        <v>1137</v>
      </c>
      <c r="F146" s="3" t="s">
        <v>90</v>
      </c>
      <c r="G146" s="6">
        <f t="shared" si="2"/>
        <v>15254.237288135584</v>
      </c>
      <c r="H146" s="6">
        <v>100000</v>
      </c>
      <c r="I146" s="3" t="s">
        <v>3822</v>
      </c>
      <c r="J146" s="3" t="s">
        <v>18</v>
      </c>
      <c r="K146" s="285">
        <v>45713</v>
      </c>
      <c r="O146" s="3"/>
      <c r="Q146"/>
    </row>
    <row r="147" spans="2:17" x14ac:dyDescent="0.25">
      <c r="B147" s="298"/>
      <c r="C147" s="298" t="s">
        <v>3093</v>
      </c>
      <c r="D147" s="3" t="s">
        <v>94</v>
      </c>
      <c r="E147" s="3" t="s">
        <v>3010</v>
      </c>
      <c r="F147" s="3" t="s">
        <v>90</v>
      </c>
      <c r="G147" s="6">
        <f t="shared" si="2"/>
        <v>27457.627118644072</v>
      </c>
      <c r="H147" s="6">
        <v>180000</v>
      </c>
      <c r="I147" s="3" t="s">
        <v>3822</v>
      </c>
      <c r="J147" s="3" t="s">
        <v>18</v>
      </c>
      <c r="K147" s="285">
        <v>45713</v>
      </c>
      <c r="O147" s="3"/>
      <c r="Q147"/>
    </row>
    <row r="148" spans="2:17" x14ac:dyDescent="0.25">
      <c r="B148" s="298"/>
      <c r="C148" s="298" t="s">
        <v>1526</v>
      </c>
      <c r="D148" s="3" t="s">
        <v>40</v>
      </c>
      <c r="E148" s="3" t="s">
        <v>292</v>
      </c>
      <c r="F148" s="3" t="s">
        <v>90</v>
      </c>
      <c r="G148" s="6">
        <f t="shared" si="2"/>
        <v>68644.067796610121</v>
      </c>
      <c r="H148" s="6">
        <v>450000</v>
      </c>
      <c r="I148" s="3" t="s">
        <v>3822</v>
      </c>
      <c r="J148" s="3" t="s">
        <v>18</v>
      </c>
      <c r="K148" s="285">
        <v>45713</v>
      </c>
      <c r="O148" s="3"/>
      <c r="Q148"/>
    </row>
    <row r="149" spans="2:17" x14ac:dyDescent="0.25">
      <c r="B149" s="298"/>
      <c r="C149" s="298" t="s">
        <v>2913</v>
      </c>
      <c r="D149" s="3" t="s">
        <v>43</v>
      </c>
      <c r="E149" s="3" t="s">
        <v>2845</v>
      </c>
      <c r="F149" s="3" t="s">
        <v>90</v>
      </c>
      <c r="G149" s="6">
        <f t="shared" si="2"/>
        <v>3813.559322033896</v>
      </c>
      <c r="H149" s="6">
        <v>25000</v>
      </c>
      <c r="I149" s="3" t="s">
        <v>3822</v>
      </c>
      <c r="J149" s="3" t="s">
        <v>113</v>
      </c>
      <c r="K149" s="285">
        <v>45713</v>
      </c>
      <c r="O149" s="3"/>
      <c r="Q149"/>
    </row>
    <row r="150" spans="2:17" x14ac:dyDescent="0.25">
      <c r="B150" s="298"/>
      <c r="C150" s="298" t="s">
        <v>2921</v>
      </c>
      <c r="D150" s="3" t="s">
        <v>94</v>
      </c>
      <c r="E150" s="3" t="s">
        <v>2853</v>
      </c>
      <c r="F150" s="3" t="s">
        <v>90</v>
      </c>
      <c r="G150" s="6">
        <f t="shared" si="2"/>
        <v>38135.593220338982</v>
      </c>
      <c r="H150" s="6">
        <v>250000</v>
      </c>
      <c r="I150" s="3" t="s">
        <v>3822</v>
      </c>
      <c r="J150" s="3" t="s">
        <v>113</v>
      </c>
      <c r="K150" s="285">
        <v>45713</v>
      </c>
      <c r="O150" s="3"/>
      <c r="Q150"/>
    </row>
    <row r="151" spans="2:17" x14ac:dyDescent="0.25">
      <c r="B151" s="298"/>
      <c r="C151" s="298" t="s">
        <v>2937</v>
      </c>
      <c r="D151" s="3" t="s">
        <v>40</v>
      </c>
      <c r="E151" s="3" t="s">
        <v>2867</v>
      </c>
      <c r="F151" s="3" t="s">
        <v>90</v>
      </c>
      <c r="G151" s="6">
        <f t="shared" si="2"/>
        <v>21355.932203389821</v>
      </c>
      <c r="H151" s="6">
        <v>140000</v>
      </c>
      <c r="I151" s="3" t="s">
        <v>3822</v>
      </c>
      <c r="J151" s="3" t="s">
        <v>113</v>
      </c>
      <c r="K151" s="285">
        <v>45713</v>
      </c>
      <c r="O151" s="3"/>
      <c r="Q151"/>
    </row>
    <row r="152" spans="2:17" x14ac:dyDescent="0.25">
      <c r="B152" s="298"/>
      <c r="C152" s="298" t="s">
        <v>2909</v>
      </c>
      <c r="D152" s="3" t="s">
        <v>40</v>
      </c>
      <c r="E152" s="3" t="s">
        <v>2841</v>
      </c>
      <c r="F152" s="3" t="s">
        <v>90</v>
      </c>
      <c r="G152" s="6">
        <f t="shared" si="2"/>
        <v>35084.745762711857</v>
      </c>
      <c r="H152" s="6">
        <v>230000</v>
      </c>
      <c r="I152" s="3" t="s">
        <v>3822</v>
      </c>
      <c r="J152" s="3" t="s">
        <v>113</v>
      </c>
      <c r="K152" s="285">
        <v>45713</v>
      </c>
      <c r="O152" s="3"/>
      <c r="Q152"/>
    </row>
    <row r="153" spans="2:17" x14ac:dyDescent="0.25">
      <c r="B153" s="298"/>
      <c r="C153" s="298" t="s">
        <v>1434</v>
      </c>
      <c r="D153" s="3" t="s">
        <v>40</v>
      </c>
      <c r="E153" s="3" t="s">
        <v>1324</v>
      </c>
      <c r="F153" s="3" t="s">
        <v>90</v>
      </c>
      <c r="G153" s="6">
        <f t="shared" si="2"/>
        <v>21355.932203389821</v>
      </c>
      <c r="H153" s="6">
        <v>140000</v>
      </c>
      <c r="I153" s="3" t="s">
        <v>3822</v>
      </c>
      <c r="J153" s="3" t="s">
        <v>113</v>
      </c>
      <c r="K153" s="285">
        <v>45713</v>
      </c>
      <c r="O153" s="3"/>
      <c r="Q153"/>
    </row>
    <row r="154" spans="2:17" x14ac:dyDescent="0.25">
      <c r="B154" s="298"/>
      <c r="C154" s="298" t="s">
        <v>1453</v>
      </c>
      <c r="D154" s="3" t="s">
        <v>40</v>
      </c>
      <c r="E154" s="3" t="s">
        <v>1343</v>
      </c>
      <c r="F154" s="3" t="s">
        <v>90</v>
      </c>
      <c r="G154" s="6">
        <f t="shared" si="2"/>
        <v>15254.237288135584</v>
      </c>
      <c r="H154" s="6">
        <v>100000</v>
      </c>
      <c r="I154" s="3" t="s">
        <v>3822</v>
      </c>
      <c r="J154" s="3" t="s">
        <v>113</v>
      </c>
      <c r="K154" s="285">
        <v>45713</v>
      </c>
      <c r="O154" s="3"/>
      <c r="P154" s="79"/>
      <c r="Q154"/>
    </row>
    <row r="155" spans="2:17" x14ac:dyDescent="0.25">
      <c r="B155" s="298"/>
      <c r="C155" s="298" t="s">
        <v>2927</v>
      </c>
      <c r="D155" s="3" t="s">
        <v>41</v>
      </c>
      <c r="E155" s="3" t="s">
        <v>2859</v>
      </c>
      <c r="F155" s="3" t="s">
        <v>90</v>
      </c>
      <c r="G155" s="6">
        <f t="shared" si="2"/>
        <v>33559.322033898294</v>
      </c>
      <c r="H155" s="6">
        <v>220000</v>
      </c>
      <c r="I155" s="3" t="s">
        <v>3822</v>
      </c>
      <c r="J155" s="3" t="s">
        <v>113</v>
      </c>
      <c r="K155" s="285">
        <v>45713</v>
      </c>
      <c r="O155" s="3"/>
      <c r="Q155"/>
    </row>
    <row r="156" spans="2:17" x14ac:dyDescent="0.25">
      <c r="B156" s="298"/>
      <c r="C156" s="298" t="s">
        <v>2899</v>
      </c>
      <c r="D156" s="3" t="s">
        <v>43</v>
      </c>
      <c r="E156" s="3" t="s">
        <v>2831</v>
      </c>
      <c r="F156" s="3" t="s">
        <v>90</v>
      </c>
      <c r="G156" s="6">
        <f t="shared" si="2"/>
        <v>45762.711864406767</v>
      </c>
      <c r="H156" s="6">
        <v>300000</v>
      </c>
      <c r="I156" s="3" t="s">
        <v>3822</v>
      </c>
      <c r="J156" s="3" t="s">
        <v>113</v>
      </c>
      <c r="K156" s="285">
        <v>45713</v>
      </c>
      <c r="O156" s="3"/>
      <c r="Q156"/>
    </row>
    <row r="157" spans="2:17" x14ac:dyDescent="0.25">
      <c r="B157" s="298"/>
      <c r="C157" s="298" t="s">
        <v>2923</v>
      </c>
      <c r="D157" s="3" t="s">
        <v>41</v>
      </c>
      <c r="E157" s="3" t="s">
        <v>2855</v>
      </c>
      <c r="F157" s="3" t="s">
        <v>90</v>
      </c>
      <c r="G157" s="6">
        <f t="shared" si="2"/>
        <v>15254.237288135584</v>
      </c>
      <c r="H157" s="6">
        <v>100000</v>
      </c>
      <c r="I157" s="3" t="s">
        <v>3822</v>
      </c>
      <c r="J157" s="3" t="s">
        <v>113</v>
      </c>
      <c r="K157" s="285">
        <v>45713</v>
      </c>
      <c r="O157" s="3"/>
      <c r="Q157"/>
    </row>
    <row r="158" spans="2:17" x14ac:dyDescent="0.25">
      <c r="B158" s="298"/>
      <c r="C158" s="298" t="s">
        <v>3844</v>
      </c>
      <c r="D158" s="3" t="s">
        <v>95</v>
      </c>
      <c r="E158" s="3" t="s">
        <v>3846</v>
      </c>
      <c r="F158" s="3" t="s">
        <v>90</v>
      </c>
      <c r="G158" s="6">
        <f t="shared" si="2"/>
        <v>15254.237288135584</v>
      </c>
      <c r="H158" s="6">
        <v>100000</v>
      </c>
      <c r="I158" s="3" t="s">
        <v>3822</v>
      </c>
      <c r="J158" s="3" t="s">
        <v>18</v>
      </c>
      <c r="K158" s="285">
        <v>45714</v>
      </c>
      <c r="O158" s="3"/>
      <c r="Q158"/>
    </row>
    <row r="159" spans="2:17" x14ac:dyDescent="0.25">
      <c r="B159" s="298"/>
      <c r="C159" s="298" t="s">
        <v>2193</v>
      </c>
      <c r="D159" s="3" t="s">
        <v>40</v>
      </c>
      <c r="E159" s="3" t="s">
        <v>2188</v>
      </c>
      <c r="F159" s="3" t="s">
        <v>75</v>
      </c>
      <c r="G159" s="6">
        <f t="shared" si="2"/>
        <v>134237.28813559317</v>
      </c>
      <c r="H159" s="6">
        <v>880000</v>
      </c>
      <c r="I159" s="3" t="s">
        <v>3822</v>
      </c>
      <c r="J159" s="3" t="s">
        <v>113</v>
      </c>
      <c r="K159" s="285">
        <v>45715</v>
      </c>
      <c r="O159" s="3"/>
      <c r="Q159"/>
    </row>
    <row r="160" spans="2:17" x14ac:dyDescent="0.25">
      <c r="B160" s="298"/>
      <c r="C160" s="298" t="s">
        <v>2198</v>
      </c>
      <c r="D160" s="3" t="s">
        <v>50</v>
      </c>
      <c r="E160" s="3" t="s">
        <v>3847</v>
      </c>
      <c r="F160" s="3" t="s">
        <v>141</v>
      </c>
      <c r="G160" s="6">
        <f t="shared" si="2"/>
        <v>6101.6949152542365</v>
      </c>
      <c r="H160" s="6">
        <v>40000</v>
      </c>
      <c r="I160" s="3" t="s">
        <v>3822</v>
      </c>
      <c r="J160" s="3" t="s">
        <v>113</v>
      </c>
      <c r="K160" s="285">
        <v>45715</v>
      </c>
      <c r="O160" s="3"/>
      <c r="Q160"/>
    </row>
    <row r="161" spans="2:17" x14ac:dyDescent="0.25">
      <c r="B161" s="298"/>
      <c r="C161" s="298" t="s">
        <v>2198</v>
      </c>
      <c r="D161" s="3" t="s">
        <v>50</v>
      </c>
      <c r="E161" s="3" t="s">
        <v>3848</v>
      </c>
      <c r="F161" s="3" t="s">
        <v>141</v>
      </c>
      <c r="G161" s="6">
        <f t="shared" si="2"/>
        <v>6101.6949152542365</v>
      </c>
      <c r="H161" s="6">
        <v>40000</v>
      </c>
      <c r="I161" s="3" t="s">
        <v>3822</v>
      </c>
      <c r="J161" s="3" t="s">
        <v>113</v>
      </c>
      <c r="K161" s="285">
        <v>45715</v>
      </c>
      <c r="O161" s="3"/>
      <c r="Q161"/>
    </row>
    <row r="162" spans="2:17" x14ac:dyDescent="0.25">
      <c r="B162" s="298"/>
      <c r="C162" s="298" t="s">
        <v>2198</v>
      </c>
      <c r="D162" s="3" t="s">
        <v>50</v>
      </c>
      <c r="E162" s="3" t="s">
        <v>3849</v>
      </c>
      <c r="F162" s="3" t="s">
        <v>141</v>
      </c>
      <c r="G162" s="6">
        <f t="shared" si="2"/>
        <v>9152.5423728813548</v>
      </c>
      <c r="H162" s="6">
        <v>60000</v>
      </c>
      <c r="I162" s="3" t="s">
        <v>3822</v>
      </c>
      <c r="J162" s="3" t="s">
        <v>113</v>
      </c>
      <c r="K162" s="285">
        <v>45715</v>
      </c>
      <c r="O162" s="3">
        <v>52</v>
      </c>
      <c r="P162" s="31"/>
    </row>
    <row r="163" spans="2:17" x14ac:dyDescent="0.25">
      <c r="B163" s="298"/>
      <c r="C163" s="298" t="s">
        <v>2198</v>
      </c>
      <c r="D163" s="3" t="s">
        <v>50</v>
      </c>
      <c r="E163" s="3" t="s">
        <v>3850</v>
      </c>
      <c r="F163" s="3" t="s">
        <v>141</v>
      </c>
      <c r="G163" s="6">
        <f t="shared" si="2"/>
        <v>7627.118644067792</v>
      </c>
      <c r="H163" s="6">
        <v>50000</v>
      </c>
      <c r="I163" s="3" t="s">
        <v>3822</v>
      </c>
      <c r="J163" s="3" t="s">
        <v>113</v>
      </c>
      <c r="K163" s="285">
        <v>45715</v>
      </c>
      <c r="O163" s="3"/>
      <c r="Q163"/>
    </row>
    <row r="164" spans="2:17" x14ac:dyDescent="0.25">
      <c r="B164" s="298"/>
      <c r="C164" s="298" t="s">
        <v>2198</v>
      </c>
      <c r="D164" s="3" t="s">
        <v>50</v>
      </c>
      <c r="E164" s="3" t="s">
        <v>3851</v>
      </c>
      <c r="F164" s="3" t="s">
        <v>141</v>
      </c>
      <c r="G164" s="6">
        <f t="shared" si="2"/>
        <v>6864.4067796610179</v>
      </c>
      <c r="H164" s="6">
        <v>45000</v>
      </c>
      <c r="I164" s="3" t="s">
        <v>3822</v>
      </c>
      <c r="J164" s="3" t="s">
        <v>113</v>
      </c>
      <c r="K164" s="285">
        <v>45715</v>
      </c>
      <c r="O164" s="3"/>
      <c r="P164" s="31"/>
    </row>
    <row r="165" spans="2:17" x14ac:dyDescent="0.25">
      <c r="B165" s="298"/>
      <c r="C165" s="298" t="s">
        <v>3358</v>
      </c>
      <c r="D165" s="3" t="s">
        <v>96</v>
      </c>
      <c r="E165" s="3" t="s">
        <v>3465</v>
      </c>
      <c r="F165" s="3" t="s">
        <v>71</v>
      </c>
      <c r="G165" s="6">
        <f t="shared" si="2"/>
        <v>2745.7627118644068</v>
      </c>
      <c r="H165" s="6">
        <v>18000</v>
      </c>
      <c r="I165" s="3" t="s">
        <v>3822</v>
      </c>
      <c r="J165" s="3" t="s">
        <v>18</v>
      </c>
      <c r="K165" s="285">
        <v>45712</v>
      </c>
      <c r="O165" s="3"/>
      <c r="P165" s="31"/>
    </row>
    <row r="166" spans="2:17" x14ac:dyDescent="0.25">
      <c r="B166" s="298"/>
      <c r="C166" s="298" t="s">
        <v>3358</v>
      </c>
      <c r="D166" s="3" t="s">
        <v>96</v>
      </c>
      <c r="E166" s="3" t="s">
        <v>3704</v>
      </c>
      <c r="F166" s="3" t="s">
        <v>71</v>
      </c>
      <c r="G166" s="6">
        <f t="shared" si="2"/>
        <v>4728.8135593220322</v>
      </c>
      <c r="H166" s="6">
        <v>31000</v>
      </c>
      <c r="I166" s="3" t="s">
        <v>3822</v>
      </c>
      <c r="J166" s="3" t="s">
        <v>18</v>
      </c>
      <c r="K166" s="285">
        <v>45712</v>
      </c>
      <c r="O166" s="3"/>
      <c r="Q166"/>
    </row>
    <row r="167" spans="2:17" x14ac:dyDescent="0.25">
      <c r="B167" s="298"/>
      <c r="C167" s="298" t="s">
        <v>3358</v>
      </c>
      <c r="D167" s="3" t="s">
        <v>96</v>
      </c>
      <c r="E167" s="3" t="s">
        <v>3340</v>
      </c>
      <c r="F167" s="3" t="s">
        <v>71</v>
      </c>
      <c r="G167" s="6">
        <f t="shared" si="2"/>
        <v>2745.7627118644068</v>
      </c>
      <c r="H167" s="6">
        <v>18000</v>
      </c>
      <c r="I167" s="3" t="s">
        <v>3822</v>
      </c>
      <c r="J167" s="3" t="s">
        <v>18</v>
      </c>
      <c r="K167" s="285">
        <v>45712</v>
      </c>
      <c r="O167" s="3"/>
      <c r="Q167"/>
    </row>
    <row r="168" spans="2:17" x14ac:dyDescent="0.25">
      <c r="B168" s="298"/>
      <c r="C168" s="298" t="s">
        <v>3359</v>
      </c>
      <c r="D168" s="3" t="s">
        <v>96</v>
      </c>
      <c r="E168" s="3" t="s">
        <v>3627</v>
      </c>
      <c r="F168" s="3" t="s">
        <v>71</v>
      </c>
      <c r="G168" s="6">
        <f t="shared" si="2"/>
        <v>2745.7627118644068</v>
      </c>
      <c r="H168" s="6">
        <v>18000</v>
      </c>
      <c r="I168" s="3" t="s">
        <v>3822</v>
      </c>
      <c r="J168" s="3" t="s">
        <v>18</v>
      </c>
      <c r="K168" s="285">
        <v>45712</v>
      </c>
      <c r="O168" s="3"/>
      <c r="Q168"/>
    </row>
    <row r="169" spans="2:17" x14ac:dyDescent="0.25">
      <c r="B169" s="298"/>
      <c r="C169" s="298" t="s">
        <v>3359</v>
      </c>
      <c r="D169" s="3" t="s">
        <v>96</v>
      </c>
      <c r="E169" s="3" t="s">
        <v>3445</v>
      </c>
      <c r="F169" s="3" t="s">
        <v>71</v>
      </c>
      <c r="G169" s="6">
        <f t="shared" si="2"/>
        <v>1220.3389830508468</v>
      </c>
      <c r="H169" s="6">
        <v>8000</v>
      </c>
      <c r="I169" s="3" t="s">
        <v>3822</v>
      </c>
      <c r="J169" s="3" t="s">
        <v>18</v>
      </c>
      <c r="K169" s="285">
        <v>45712</v>
      </c>
      <c r="O169" s="3"/>
      <c r="Q169"/>
    </row>
    <row r="170" spans="2:17" x14ac:dyDescent="0.25">
      <c r="B170" s="298"/>
      <c r="C170" s="298" t="s">
        <v>3359</v>
      </c>
      <c r="D170" s="3" t="s">
        <v>96</v>
      </c>
      <c r="E170" s="3" t="s">
        <v>3444</v>
      </c>
      <c r="F170" s="3" t="s">
        <v>71</v>
      </c>
      <c r="G170" s="6">
        <f t="shared" si="2"/>
        <v>1983.0508474576272</v>
      </c>
      <c r="H170" s="6">
        <v>13000</v>
      </c>
      <c r="I170" s="3" t="s">
        <v>3822</v>
      </c>
      <c r="J170" s="3" t="s">
        <v>18</v>
      </c>
      <c r="K170" s="285">
        <v>45712</v>
      </c>
      <c r="O170" s="3"/>
      <c r="Q170"/>
    </row>
    <row r="171" spans="2:17" x14ac:dyDescent="0.25">
      <c r="B171" s="298"/>
      <c r="C171" s="298" t="s">
        <v>3359</v>
      </c>
      <c r="D171" s="3" t="s">
        <v>96</v>
      </c>
      <c r="E171" s="3" t="s">
        <v>3528</v>
      </c>
      <c r="F171" s="3" t="s">
        <v>71</v>
      </c>
      <c r="G171" s="6">
        <f t="shared" si="2"/>
        <v>2745.7627118644068</v>
      </c>
      <c r="H171" s="6">
        <v>18000</v>
      </c>
      <c r="I171" s="3" t="s">
        <v>3822</v>
      </c>
      <c r="J171" s="3" t="s">
        <v>18</v>
      </c>
      <c r="K171" s="285">
        <v>45712</v>
      </c>
      <c r="O171" s="3"/>
      <c r="Q171"/>
    </row>
    <row r="172" spans="2:17" x14ac:dyDescent="0.25">
      <c r="B172" s="298"/>
      <c r="C172" s="298" t="s">
        <v>3359</v>
      </c>
      <c r="D172" s="3" t="s">
        <v>96</v>
      </c>
      <c r="E172" s="3" t="s">
        <v>3480</v>
      </c>
      <c r="F172" s="3" t="s">
        <v>71</v>
      </c>
      <c r="G172" s="6">
        <f t="shared" si="2"/>
        <v>2745.7627118644068</v>
      </c>
      <c r="H172" s="6">
        <v>18000</v>
      </c>
      <c r="I172" s="3" t="s">
        <v>3822</v>
      </c>
      <c r="J172" s="3" t="s">
        <v>18</v>
      </c>
      <c r="K172" s="285">
        <v>45712</v>
      </c>
      <c r="O172" s="3"/>
      <c r="Q172"/>
    </row>
    <row r="173" spans="2:17" x14ac:dyDescent="0.25">
      <c r="B173" s="298"/>
      <c r="C173" s="298" t="s">
        <v>3641</v>
      </c>
      <c r="D173" s="3" t="s">
        <v>45</v>
      </c>
      <c r="E173" s="3" t="s">
        <v>3852</v>
      </c>
      <c r="F173" s="3" t="s">
        <v>3635</v>
      </c>
      <c r="G173" s="6">
        <f t="shared" si="2"/>
        <v>1296.6101694915251</v>
      </c>
      <c r="H173" s="6">
        <v>8500</v>
      </c>
      <c r="I173" s="3" t="s">
        <v>3822</v>
      </c>
      <c r="J173" s="3" t="s">
        <v>113</v>
      </c>
      <c r="K173" s="285">
        <v>45716</v>
      </c>
      <c r="O173" s="3"/>
      <c r="Q173"/>
    </row>
    <row r="174" spans="2:17" x14ac:dyDescent="0.25">
      <c r="B174" s="298"/>
      <c r="C174" s="298" t="s">
        <v>3641</v>
      </c>
      <c r="D174" s="3" t="s">
        <v>45</v>
      </c>
      <c r="E174" s="3" t="s">
        <v>3853</v>
      </c>
      <c r="F174" s="3" t="s">
        <v>3635</v>
      </c>
      <c r="G174" s="6">
        <f t="shared" si="2"/>
        <v>991.52542372881362</v>
      </c>
      <c r="H174" s="6">
        <v>6500</v>
      </c>
      <c r="I174" s="3" t="s">
        <v>3822</v>
      </c>
      <c r="J174" s="3" t="s">
        <v>113</v>
      </c>
      <c r="K174" s="285">
        <v>45716</v>
      </c>
      <c r="O174" s="3"/>
      <c r="Q174"/>
    </row>
    <row r="175" spans="2:17" x14ac:dyDescent="0.25">
      <c r="B175" s="298"/>
      <c r="C175" s="298" t="s">
        <v>3641</v>
      </c>
      <c r="D175" s="3" t="s">
        <v>45</v>
      </c>
      <c r="E175" s="3" t="s">
        <v>3854</v>
      </c>
      <c r="F175" s="3" t="s">
        <v>3635</v>
      </c>
      <c r="G175" s="6">
        <f t="shared" si="2"/>
        <v>1296.6101694915251</v>
      </c>
      <c r="H175" s="6">
        <v>8500</v>
      </c>
      <c r="I175" s="3" t="s">
        <v>3822</v>
      </c>
      <c r="J175" s="3" t="s">
        <v>113</v>
      </c>
      <c r="K175" s="285">
        <v>45716</v>
      </c>
      <c r="O175" s="3"/>
      <c r="Q175"/>
    </row>
    <row r="176" spans="2:17" x14ac:dyDescent="0.25">
      <c r="B176" s="298"/>
      <c r="C176" s="298" t="s">
        <v>3359</v>
      </c>
      <c r="D176" s="3" t="s">
        <v>96</v>
      </c>
      <c r="E176" s="3" t="s">
        <v>3507</v>
      </c>
      <c r="F176" s="3" t="s">
        <v>71</v>
      </c>
      <c r="G176" s="6">
        <f t="shared" si="2"/>
        <v>1220.3389830508468</v>
      </c>
      <c r="H176" s="6">
        <v>8000</v>
      </c>
      <c r="I176" s="3" t="s">
        <v>3822</v>
      </c>
      <c r="J176" s="3" t="s">
        <v>18</v>
      </c>
      <c r="K176" s="285">
        <v>45712</v>
      </c>
      <c r="O176" s="3"/>
      <c r="Q176"/>
    </row>
    <row r="177" spans="2:17" x14ac:dyDescent="0.25">
      <c r="B177" s="298"/>
      <c r="C177" s="298" t="s">
        <v>3359</v>
      </c>
      <c r="D177" s="3" t="s">
        <v>96</v>
      </c>
      <c r="E177" s="3" t="s">
        <v>3327</v>
      </c>
      <c r="F177" s="3" t="s">
        <v>71</v>
      </c>
      <c r="G177" s="6">
        <f t="shared" si="2"/>
        <v>1525.4237288135591</v>
      </c>
      <c r="H177" s="6">
        <v>10000</v>
      </c>
      <c r="I177" s="3" t="s">
        <v>3822</v>
      </c>
      <c r="J177" s="3" t="s">
        <v>18</v>
      </c>
      <c r="K177" s="285">
        <v>45712</v>
      </c>
      <c r="O177" s="3"/>
      <c r="Q177"/>
    </row>
    <row r="178" spans="2:17" x14ac:dyDescent="0.25">
      <c r="B178" s="298"/>
      <c r="C178" s="298" t="s">
        <v>3359</v>
      </c>
      <c r="D178" s="3" t="s">
        <v>96</v>
      </c>
      <c r="E178" s="3" t="s">
        <v>3429</v>
      </c>
      <c r="F178" s="3" t="s">
        <v>71</v>
      </c>
      <c r="G178" s="6">
        <f t="shared" si="2"/>
        <v>3050.8474576271183</v>
      </c>
      <c r="H178" s="6">
        <v>20000</v>
      </c>
      <c r="I178" s="3" t="s">
        <v>3822</v>
      </c>
      <c r="J178" s="3" t="s">
        <v>18</v>
      </c>
      <c r="K178" s="285">
        <v>45712</v>
      </c>
      <c r="O178" s="3">
        <v>19</v>
      </c>
      <c r="P178" s="31"/>
    </row>
    <row r="179" spans="2:17" x14ac:dyDescent="0.25">
      <c r="B179" s="298"/>
      <c r="C179" s="298" t="s">
        <v>3359</v>
      </c>
      <c r="D179" s="3" t="s">
        <v>96</v>
      </c>
      <c r="E179" s="3" t="s">
        <v>3521</v>
      </c>
      <c r="F179" s="3" t="s">
        <v>71</v>
      </c>
      <c r="G179" s="6">
        <f t="shared" si="2"/>
        <v>4118.6440677966093</v>
      </c>
      <c r="H179" s="6">
        <v>27000</v>
      </c>
      <c r="I179" s="3" t="s">
        <v>3822</v>
      </c>
      <c r="J179" s="3" t="s">
        <v>18</v>
      </c>
      <c r="K179" s="285">
        <v>45712</v>
      </c>
      <c r="O179" s="3">
        <v>33</v>
      </c>
      <c r="P179" s="31"/>
    </row>
    <row r="180" spans="2:17" x14ac:dyDescent="0.25">
      <c r="B180" s="298"/>
      <c r="C180" s="298" t="s">
        <v>3359</v>
      </c>
      <c r="D180" s="3" t="s">
        <v>96</v>
      </c>
      <c r="E180" s="3" t="s">
        <v>3442</v>
      </c>
      <c r="F180" s="3" t="s">
        <v>71</v>
      </c>
      <c r="G180" s="6">
        <f t="shared" si="2"/>
        <v>3813.559322033896</v>
      </c>
      <c r="H180" s="6">
        <v>25000</v>
      </c>
      <c r="I180" s="3" t="s">
        <v>3822</v>
      </c>
      <c r="J180" s="3" t="s">
        <v>18</v>
      </c>
      <c r="K180" s="285">
        <v>45712</v>
      </c>
      <c r="O180" s="3">
        <v>36</v>
      </c>
      <c r="Q180"/>
    </row>
    <row r="181" spans="2:17" x14ac:dyDescent="0.25">
      <c r="B181" s="298"/>
      <c r="C181" s="298" t="s">
        <v>3358</v>
      </c>
      <c r="D181" s="3" t="s">
        <v>96</v>
      </c>
      <c r="E181" s="3" t="s">
        <v>3797</v>
      </c>
      <c r="F181" s="3" t="s">
        <v>71</v>
      </c>
      <c r="G181" s="6">
        <f t="shared" si="2"/>
        <v>457.62711864406765</v>
      </c>
      <c r="H181" s="6">
        <v>3000</v>
      </c>
      <c r="I181" s="3" t="s">
        <v>3822</v>
      </c>
      <c r="J181" s="3" t="s">
        <v>18</v>
      </c>
      <c r="K181" s="285">
        <v>45712</v>
      </c>
      <c r="O181" s="3">
        <v>52</v>
      </c>
      <c r="P181" s="31"/>
      <c r="Q181"/>
    </row>
    <row r="182" spans="2:17" x14ac:dyDescent="0.25">
      <c r="B182" s="298"/>
      <c r="C182" s="298" t="s">
        <v>3358</v>
      </c>
      <c r="D182" s="3" t="s">
        <v>96</v>
      </c>
      <c r="E182" s="3" t="s">
        <v>3530</v>
      </c>
      <c r="F182" s="3" t="s">
        <v>71</v>
      </c>
      <c r="G182" s="6">
        <f t="shared" si="2"/>
        <v>2135.5932203389821</v>
      </c>
      <c r="H182" s="6">
        <v>14000</v>
      </c>
      <c r="I182" s="3" t="s">
        <v>3822</v>
      </c>
      <c r="J182" s="3" t="s">
        <v>18</v>
      </c>
      <c r="K182" s="285">
        <v>45712</v>
      </c>
      <c r="O182" s="3">
        <v>29</v>
      </c>
      <c r="P182" s="31"/>
      <c r="Q182"/>
    </row>
    <row r="183" spans="2:17" x14ac:dyDescent="0.25">
      <c r="B183" s="298"/>
      <c r="C183" s="298" t="s">
        <v>3359</v>
      </c>
      <c r="D183" s="3" t="s">
        <v>96</v>
      </c>
      <c r="E183" s="3" t="s">
        <v>3443</v>
      </c>
      <c r="F183" s="3" t="s">
        <v>71</v>
      </c>
      <c r="G183" s="6">
        <f t="shared" si="2"/>
        <v>3813.559322033896</v>
      </c>
      <c r="H183" s="6">
        <v>25000</v>
      </c>
      <c r="I183" s="3" t="s">
        <v>3822</v>
      </c>
      <c r="J183" s="3" t="s">
        <v>18</v>
      </c>
      <c r="K183" s="285">
        <v>45712</v>
      </c>
      <c r="O183" s="3">
        <v>41</v>
      </c>
      <c r="P183" s="31"/>
      <c r="Q183"/>
    </row>
    <row r="184" spans="2:17" x14ac:dyDescent="0.25">
      <c r="B184" s="298"/>
      <c r="C184" s="298" t="s">
        <v>3358</v>
      </c>
      <c r="D184" s="3" t="s">
        <v>96</v>
      </c>
      <c r="E184" s="3" t="s">
        <v>3593</v>
      </c>
      <c r="F184" s="3" t="s">
        <v>71</v>
      </c>
      <c r="G184" s="6">
        <f t="shared" si="2"/>
        <v>1525.4237288135591</v>
      </c>
      <c r="H184" s="6">
        <v>10000</v>
      </c>
      <c r="I184" s="3" t="s">
        <v>3822</v>
      </c>
      <c r="J184" s="3" t="s">
        <v>18</v>
      </c>
      <c r="K184" s="285">
        <v>45712</v>
      </c>
      <c r="O184" s="3">
        <v>48</v>
      </c>
      <c r="Q184"/>
    </row>
    <row r="185" spans="2:17" x14ac:dyDescent="0.25">
      <c r="B185" s="298"/>
      <c r="C185" s="298" t="s">
        <v>3358</v>
      </c>
      <c r="D185" s="3" t="s">
        <v>96</v>
      </c>
      <c r="E185" s="3" t="s">
        <v>3462</v>
      </c>
      <c r="F185" s="3" t="s">
        <v>71</v>
      </c>
      <c r="G185" s="6">
        <f t="shared" si="2"/>
        <v>1983.0508474576272</v>
      </c>
      <c r="H185" s="6">
        <v>13000</v>
      </c>
      <c r="I185" s="3" t="s">
        <v>3822</v>
      </c>
      <c r="J185" s="3" t="s">
        <v>18</v>
      </c>
      <c r="K185" s="285">
        <v>45712</v>
      </c>
      <c r="O185" s="3">
        <v>29</v>
      </c>
      <c r="Q185"/>
    </row>
    <row r="186" spans="2:17" x14ac:dyDescent="0.25">
      <c r="B186" s="298"/>
      <c r="C186" s="298" t="s">
        <v>3855</v>
      </c>
      <c r="D186" s="3" t="s">
        <v>40</v>
      </c>
      <c r="E186" s="3" t="s">
        <v>3857</v>
      </c>
      <c r="F186" s="3" t="s">
        <v>3635</v>
      </c>
      <c r="G186" s="6">
        <f t="shared" si="2"/>
        <v>24406.779661016946</v>
      </c>
      <c r="H186" s="6">
        <v>160000</v>
      </c>
      <c r="I186" s="3" t="s">
        <v>3822</v>
      </c>
      <c r="J186" s="3" t="s">
        <v>113</v>
      </c>
      <c r="K186" s="285">
        <v>45716</v>
      </c>
      <c r="O186" s="3"/>
      <c r="Q186"/>
    </row>
    <row r="187" spans="2:17" x14ac:dyDescent="0.25">
      <c r="B187" s="298"/>
      <c r="C187" s="298" t="s">
        <v>2304</v>
      </c>
      <c r="D187" s="3" t="s">
        <v>36</v>
      </c>
      <c r="E187" s="3" t="s">
        <v>2284</v>
      </c>
      <c r="F187" s="3" t="s">
        <v>114</v>
      </c>
      <c r="G187" s="6">
        <f t="shared" si="2"/>
        <v>3813.559322033896</v>
      </c>
      <c r="H187" s="6">
        <v>25000</v>
      </c>
      <c r="I187" s="3" t="s">
        <v>3822</v>
      </c>
      <c r="J187" s="3" t="s">
        <v>113</v>
      </c>
      <c r="K187" s="285">
        <v>45714</v>
      </c>
      <c r="O187" s="3"/>
      <c r="P187" s="31"/>
      <c r="Q187"/>
    </row>
    <row r="188" spans="2:17" x14ac:dyDescent="0.25">
      <c r="B188" s="298"/>
      <c r="C188" s="298" t="s">
        <v>2312</v>
      </c>
      <c r="D188" s="3" t="s">
        <v>4</v>
      </c>
      <c r="E188" s="3" t="s">
        <v>2291</v>
      </c>
      <c r="F188" s="3" t="s">
        <v>114</v>
      </c>
      <c r="G188" s="6">
        <f t="shared" si="2"/>
        <v>7627.118644067792</v>
      </c>
      <c r="H188" s="6">
        <v>50000</v>
      </c>
      <c r="I188" s="3" t="s">
        <v>3822</v>
      </c>
      <c r="J188" s="3" t="s">
        <v>113</v>
      </c>
      <c r="K188" s="285">
        <v>45714</v>
      </c>
      <c r="O188" s="3"/>
      <c r="P188" s="31"/>
      <c r="Q188"/>
    </row>
    <row r="189" spans="2:17" x14ac:dyDescent="0.25">
      <c r="B189" s="298"/>
      <c r="C189" s="298" t="s">
        <v>2297</v>
      </c>
      <c r="D189" s="3" t="s">
        <v>37</v>
      </c>
      <c r="E189" s="3" t="s">
        <v>2279</v>
      </c>
      <c r="F189" s="3" t="s">
        <v>114</v>
      </c>
      <c r="G189" s="6">
        <f t="shared" si="2"/>
        <v>45762.711864406767</v>
      </c>
      <c r="H189" s="6">
        <v>300000</v>
      </c>
      <c r="I189" s="3" t="s">
        <v>3822</v>
      </c>
      <c r="J189" s="3" t="s">
        <v>113</v>
      </c>
      <c r="K189" s="285">
        <v>45714</v>
      </c>
      <c r="O189" s="3"/>
      <c r="Q189"/>
    </row>
    <row r="190" spans="2:17" x14ac:dyDescent="0.25">
      <c r="B190" s="298"/>
      <c r="C190" s="298" t="s">
        <v>2296</v>
      </c>
      <c r="D190" s="3" t="s">
        <v>40</v>
      </c>
      <c r="E190" s="3" t="s">
        <v>2278</v>
      </c>
      <c r="F190" s="3" t="s">
        <v>114</v>
      </c>
      <c r="G190" s="6">
        <f t="shared" si="2"/>
        <v>34322.033898305061</v>
      </c>
      <c r="H190" s="6">
        <v>225000</v>
      </c>
      <c r="I190" s="3" t="s">
        <v>3822</v>
      </c>
      <c r="J190" s="3" t="s">
        <v>113</v>
      </c>
      <c r="K190" s="285">
        <v>45714</v>
      </c>
      <c r="O190" s="3"/>
      <c r="Q190"/>
    </row>
    <row r="191" spans="2:17" x14ac:dyDescent="0.25">
      <c r="B191" s="298"/>
      <c r="C191" s="298" t="s">
        <v>2400</v>
      </c>
      <c r="D191" s="3" t="s">
        <v>56</v>
      </c>
      <c r="E191" s="3" t="s">
        <v>2345</v>
      </c>
      <c r="F191" s="3" t="s">
        <v>87</v>
      </c>
      <c r="G191" s="6">
        <f t="shared" si="2"/>
        <v>4795.2930508474565</v>
      </c>
      <c r="H191" s="6">
        <v>31435.81</v>
      </c>
      <c r="I191" s="3" t="s">
        <v>3822</v>
      </c>
      <c r="J191" s="3" t="s">
        <v>113</v>
      </c>
      <c r="K191" s="285">
        <v>45713</v>
      </c>
      <c r="O191" s="3"/>
      <c r="Q191"/>
    </row>
    <row r="192" spans="2:17" x14ac:dyDescent="0.25">
      <c r="B192" s="298"/>
      <c r="C192" s="298" t="s">
        <v>2385</v>
      </c>
      <c r="D192" s="3" t="s">
        <v>56</v>
      </c>
      <c r="E192" s="3" t="s">
        <v>2359</v>
      </c>
      <c r="F192" s="3" t="s">
        <v>87</v>
      </c>
      <c r="G192" s="6">
        <f t="shared" si="2"/>
        <v>1514.7594915254231</v>
      </c>
      <c r="H192" s="6">
        <v>9930.09</v>
      </c>
      <c r="I192" s="3" t="s">
        <v>3822</v>
      </c>
      <c r="J192" s="3" t="s">
        <v>113</v>
      </c>
      <c r="K192" s="285">
        <v>45712</v>
      </c>
      <c r="O192" s="3"/>
      <c r="Q192"/>
    </row>
    <row r="193" spans="2:17" x14ac:dyDescent="0.25">
      <c r="B193" s="298"/>
      <c r="C193" s="298" t="s">
        <v>2409</v>
      </c>
      <c r="D193" s="3" t="s">
        <v>29</v>
      </c>
      <c r="E193" s="3" t="s">
        <v>2350</v>
      </c>
      <c r="F193" s="3" t="s">
        <v>87</v>
      </c>
      <c r="G193" s="6">
        <f t="shared" si="2"/>
        <v>4716.6849152542345</v>
      </c>
      <c r="H193" s="6">
        <v>30920.49</v>
      </c>
      <c r="I193" s="3" t="s">
        <v>3822</v>
      </c>
      <c r="J193" s="3" t="s">
        <v>113</v>
      </c>
      <c r="K193" s="285">
        <v>45706</v>
      </c>
      <c r="O193" s="3"/>
      <c r="Q193"/>
    </row>
    <row r="194" spans="2:17" x14ac:dyDescent="0.25">
      <c r="B194" s="298"/>
      <c r="C194" s="298" t="s">
        <v>2394</v>
      </c>
      <c r="D194" s="3" t="s">
        <v>29</v>
      </c>
      <c r="E194" s="3" t="s">
        <v>2341</v>
      </c>
      <c r="F194" s="3" t="s">
        <v>87</v>
      </c>
      <c r="G194" s="6">
        <f t="shared" si="2"/>
        <v>765.21050847457627</v>
      </c>
      <c r="H194" s="6">
        <v>5016.38</v>
      </c>
      <c r="I194" s="3" t="s">
        <v>3822</v>
      </c>
      <c r="J194" s="3" t="s">
        <v>113</v>
      </c>
      <c r="K194" s="285">
        <v>45713</v>
      </c>
      <c r="O194" s="3"/>
      <c r="Q194"/>
    </row>
    <row r="195" spans="2:17" x14ac:dyDescent="0.25">
      <c r="B195" s="298"/>
      <c r="C195" s="298" t="s">
        <v>760</v>
      </c>
      <c r="D195" s="3" t="s">
        <v>91</v>
      </c>
      <c r="E195" s="3" t="s">
        <v>759</v>
      </c>
      <c r="F195" s="3" t="s">
        <v>87</v>
      </c>
      <c r="G195" s="6">
        <f t="shared" si="2"/>
        <v>733.04084745762702</v>
      </c>
      <c r="H195" s="6">
        <v>4805.49</v>
      </c>
      <c r="I195" s="3" t="s">
        <v>3822</v>
      </c>
      <c r="J195" s="3" t="s">
        <v>18</v>
      </c>
      <c r="K195" s="285">
        <v>45706</v>
      </c>
      <c r="O195" s="3"/>
      <c r="Q195"/>
    </row>
    <row r="196" spans="2:17" x14ac:dyDescent="0.25">
      <c r="B196" s="298"/>
      <c r="C196" s="298" t="s">
        <v>766</v>
      </c>
      <c r="D196" s="3" t="s">
        <v>91</v>
      </c>
      <c r="E196" s="3" t="s">
        <v>762</v>
      </c>
      <c r="F196" s="3" t="s">
        <v>87</v>
      </c>
      <c r="G196" s="6">
        <f t="shared" si="2"/>
        <v>580.32305084745758</v>
      </c>
      <c r="H196" s="6">
        <v>3804.34</v>
      </c>
      <c r="I196" s="3" t="s">
        <v>3822</v>
      </c>
      <c r="J196" s="3" t="s">
        <v>18</v>
      </c>
      <c r="K196" s="285">
        <v>45706</v>
      </c>
      <c r="O196" s="3"/>
      <c r="Q196"/>
    </row>
    <row r="197" spans="2:17" x14ac:dyDescent="0.25">
      <c r="B197" s="298"/>
      <c r="C197" s="298" t="s">
        <v>2550</v>
      </c>
      <c r="D197" s="3" t="s">
        <v>93</v>
      </c>
      <c r="E197" s="3" t="s">
        <v>2491</v>
      </c>
      <c r="F197" s="3" t="s">
        <v>87</v>
      </c>
      <c r="G197" s="6">
        <f t="shared" si="2"/>
        <v>322.02915254237269</v>
      </c>
      <c r="H197" s="6">
        <v>2111.08</v>
      </c>
      <c r="I197" s="3" t="s">
        <v>3822</v>
      </c>
      <c r="J197" s="3" t="s">
        <v>18</v>
      </c>
      <c r="K197" s="285">
        <v>45709</v>
      </c>
      <c r="O197" s="3"/>
      <c r="Q197"/>
    </row>
    <row r="198" spans="2:17" x14ac:dyDescent="0.25">
      <c r="B198" s="298"/>
      <c r="C198" s="298" t="s">
        <v>2515</v>
      </c>
      <c r="D198" s="3" t="s">
        <v>88</v>
      </c>
      <c r="E198" s="3" t="s">
        <v>3806</v>
      </c>
      <c r="F198" s="3" t="s">
        <v>87</v>
      </c>
      <c r="G198" s="6">
        <f t="shared" si="2"/>
        <v>291.40322033898292</v>
      </c>
      <c r="H198" s="6">
        <v>1910.31</v>
      </c>
      <c r="I198" s="3" t="s">
        <v>3822</v>
      </c>
      <c r="J198" s="3" t="s">
        <v>18</v>
      </c>
      <c r="K198" s="285">
        <v>45708</v>
      </c>
      <c r="O198" s="3"/>
      <c r="P198" s="79"/>
      <c r="Q198"/>
    </row>
    <row r="199" spans="2:17" x14ac:dyDescent="0.25">
      <c r="B199" s="298"/>
      <c r="C199" s="298" t="s">
        <v>2515</v>
      </c>
      <c r="D199" s="3" t="s">
        <v>88</v>
      </c>
      <c r="E199" s="3" t="s">
        <v>3804</v>
      </c>
      <c r="F199" s="3" t="s">
        <v>87</v>
      </c>
      <c r="G199" s="6">
        <f t="shared" ref="G199:G210" si="3">H199-H199/1.18</f>
        <v>333.12355932203377</v>
      </c>
      <c r="H199" s="6">
        <v>2183.81</v>
      </c>
      <c r="I199" s="3" t="s">
        <v>3822</v>
      </c>
      <c r="J199" s="3" t="s">
        <v>18</v>
      </c>
      <c r="K199" s="285">
        <v>45709</v>
      </c>
      <c r="O199" s="3"/>
      <c r="P199" s="79"/>
      <c r="Q199"/>
    </row>
    <row r="200" spans="2:17" x14ac:dyDescent="0.25">
      <c r="B200" s="298"/>
      <c r="C200" s="298" t="s">
        <v>2515</v>
      </c>
      <c r="D200" s="3" t="s">
        <v>88</v>
      </c>
      <c r="E200" s="3" t="s">
        <v>3803</v>
      </c>
      <c r="F200" s="3" t="s">
        <v>87</v>
      </c>
      <c r="G200" s="6">
        <f t="shared" si="3"/>
        <v>311.08881355932203</v>
      </c>
      <c r="H200" s="6">
        <v>2039.36</v>
      </c>
      <c r="I200" s="3" t="s">
        <v>3822</v>
      </c>
      <c r="J200" s="3" t="s">
        <v>18</v>
      </c>
      <c r="K200" s="285">
        <v>45709</v>
      </c>
      <c r="O200" s="3"/>
      <c r="Q200"/>
    </row>
    <row r="201" spans="2:17" x14ac:dyDescent="0.25">
      <c r="B201" s="298"/>
      <c r="C201" s="298" t="s">
        <v>2515</v>
      </c>
      <c r="D201" s="3" t="s">
        <v>88</v>
      </c>
      <c r="E201" s="3" t="s">
        <v>3805</v>
      </c>
      <c r="F201" s="3" t="s">
        <v>87</v>
      </c>
      <c r="G201" s="6">
        <f t="shared" si="3"/>
        <v>275.09033898305074</v>
      </c>
      <c r="H201" s="6">
        <v>1803.37</v>
      </c>
      <c r="I201" s="3" t="s">
        <v>3822</v>
      </c>
      <c r="J201" s="3" t="s">
        <v>18</v>
      </c>
      <c r="K201" s="285">
        <v>45708</v>
      </c>
      <c r="O201" s="3"/>
      <c r="Q201"/>
    </row>
    <row r="202" spans="2:17" x14ac:dyDescent="0.25">
      <c r="B202" s="298"/>
      <c r="C202" s="298" t="s">
        <v>2515</v>
      </c>
      <c r="D202" s="3" t="s">
        <v>88</v>
      </c>
      <c r="E202" s="3" t="s">
        <v>3802</v>
      </c>
      <c r="F202" s="3" t="s">
        <v>87</v>
      </c>
      <c r="G202" s="6">
        <f t="shared" si="3"/>
        <v>280.9067796610168</v>
      </c>
      <c r="H202" s="6">
        <v>1841.5</v>
      </c>
      <c r="I202" s="3" t="s">
        <v>3822</v>
      </c>
      <c r="J202" s="3" t="s">
        <v>18</v>
      </c>
      <c r="K202" s="285">
        <v>45707</v>
      </c>
      <c r="O202" s="3"/>
      <c r="Q202"/>
    </row>
    <row r="203" spans="2:17" x14ac:dyDescent="0.25">
      <c r="B203" s="298"/>
      <c r="C203" s="298" t="s">
        <v>2515</v>
      </c>
      <c r="D203" s="3" t="s">
        <v>88</v>
      </c>
      <c r="E203" s="3" t="s">
        <v>3799</v>
      </c>
      <c r="F203" s="3" t="s">
        <v>87</v>
      </c>
      <c r="G203" s="6">
        <f t="shared" si="3"/>
        <v>504.1906779661017</v>
      </c>
      <c r="H203" s="6">
        <v>3305.25</v>
      </c>
      <c r="I203" s="3" t="s">
        <v>3822</v>
      </c>
      <c r="J203" s="3" t="s">
        <v>18</v>
      </c>
      <c r="K203" s="285">
        <v>45707</v>
      </c>
      <c r="O203" s="3"/>
      <c r="P203" s="79"/>
      <c r="Q203"/>
    </row>
    <row r="204" spans="2:17" x14ac:dyDescent="0.25">
      <c r="B204" s="298"/>
      <c r="C204" s="298" t="s">
        <v>2519</v>
      </c>
      <c r="D204" s="3" t="s">
        <v>88</v>
      </c>
      <c r="E204" s="3" t="s">
        <v>2461</v>
      </c>
      <c r="F204" s="3" t="s">
        <v>87</v>
      </c>
      <c r="G204" s="6">
        <f t="shared" si="3"/>
        <v>115932.20338983042</v>
      </c>
      <c r="H204" s="6">
        <v>760000</v>
      </c>
      <c r="I204" s="3" t="s">
        <v>3822</v>
      </c>
      <c r="J204" s="3" t="s">
        <v>18</v>
      </c>
      <c r="K204" s="285">
        <v>45705</v>
      </c>
      <c r="O204" s="3"/>
      <c r="P204" s="79"/>
      <c r="Q204"/>
    </row>
    <row r="205" spans="2:17" x14ac:dyDescent="0.25">
      <c r="B205" s="298"/>
      <c r="C205" s="298" t="s">
        <v>3872</v>
      </c>
      <c r="D205" s="3" t="s">
        <v>96</v>
      </c>
      <c r="E205" s="3" t="s">
        <v>3874</v>
      </c>
      <c r="F205" s="3" t="s">
        <v>3635</v>
      </c>
      <c r="G205" s="6">
        <f t="shared" si="3"/>
        <v>6513.5593220338997</v>
      </c>
      <c r="H205" s="6">
        <v>42700</v>
      </c>
      <c r="I205" s="3" t="s">
        <v>3822</v>
      </c>
      <c r="J205" s="3" t="s">
        <v>18</v>
      </c>
      <c r="K205" s="285">
        <v>45716</v>
      </c>
      <c r="O205" s="3"/>
      <c r="Q205"/>
    </row>
    <row r="206" spans="2:17" x14ac:dyDescent="0.25">
      <c r="B206" s="298"/>
      <c r="C206" s="298" t="s">
        <v>3877</v>
      </c>
      <c r="D206" s="3" t="s">
        <v>96</v>
      </c>
      <c r="E206" s="3" t="s">
        <v>3875</v>
      </c>
      <c r="F206" s="3" t="s">
        <v>3635</v>
      </c>
      <c r="G206" s="6">
        <f t="shared" si="3"/>
        <v>6513.5593220338997</v>
      </c>
      <c r="H206" s="6">
        <v>42700</v>
      </c>
      <c r="I206" s="3" t="s">
        <v>3822</v>
      </c>
      <c r="J206" s="3" t="s">
        <v>18</v>
      </c>
      <c r="K206" s="285">
        <v>45716</v>
      </c>
      <c r="O206" s="3"/>
      <c r="P206" s="79"/>
      <c r="Q206"/>
    </row>
    <row r="207" spans="2:17" x14ac:dyDescent="0.25">
      <c r="B207" s="298"/>
      <c r="C207" s="298" t="s">
        <v>3878</v>
      </c>
      <c r="D207" s="3" t="s">
        <v>96</v>
      </c>
      <c r="E207" s="3" t="s">
        <v>3880</v>
      </c>
      <c r="F207" s="3" t="s">
        <v>3635</v>
      </c>
      <c r="G207" s="6">
        <f t="shared" si="3"/>
        <v>6513.5593220338997</v>
      </c>
      <c r="H207" s="6">
        <v>42700</v>
      </c>
      <c r="I207" s="3" t="s">
        <v>3822</v>
      </c>
      <c r="J207" s="3" t="s">
        <v>18</v>
      </c>
      <c r="K207" s="285">
        <v>45716</v>
      </c>
      <c r="O207" s="3"/>
      <c r="P207" s="79"/>
      <c r="Q207"/>
    </row>
    <row r="208" spans="2:17" x14ac:dyDescent="0.25">
      <c r="B208" s="298"/>
      <c r="C208" s="298" t="s">
        <v>1199</v>
      </c>
      <c r="D208" s="3" t="s">
        <v>32</v>
      </c>
      <c r="E208" s="3" t="s">
        <v>1165</v>
      </c>
      <c r="F208" s="3" t="s">
        <v>71</v>
      </c>
      <c r="G208" s="6">
        <f t="shared" si="3"/>
        <v>211.64949152542363</v>
      </c>
      <c r="H208" s="6">
        <v>1387.48</v>
      </c>
      <c r="I208" s="3" t="s">
        <v>3822</v>
      </c>
      <c r="J208" s="3" t="s">
        <v>113</v>
      </c>
      <c r="K208" s="285">
        <v>45705</v>
      </c>
      <c r="O208" s="3"/>
      <c r="P208" s="79"/>
      <c r="Q208"/>
    </row>
    <row r="209" spans="2:17" x14ac:dyDescent="0.25">
      <c r="B209" s="298"/>
      <c r="C209" s="298" t="s">
        <v>1213</v>
      </c>
      <c r="D209" s="3" t="s">
        <v>33</v>
      </c>
      <c r="E209" s="3" t="s">
        <v>1287</v>
      </c>
      <c r="F209" s="3" t="s">
        <v>71</v>
      </c>
      <c r="G209" s="6">
        <f t="shared" si="3"/>
        <v>140.11779661016942</v>
      </c>
      <c r="H209" s="6">
        <v>918.55</v>
      </c>
      <c r="I209" s="3" t="s">
        <v>3822</v>
      </c>
      <c r="J209" s="3" t="s">
        <v>113</v>
      </c>
      <c r="K209" s="285">
        <v>45705</v>
      </c>
      <c r="O209" s="3"/>
      <c r="P209" s="79"/>
      <c r="Q209"/>
    </row>
    <row r="210" spans="2:17" x14ac:dyDescent="0.25">
      <c r="B210" s="298"/>
      <c r="C210" s="298" t="s">
        <v>1214</v>
      </c>
      <c r="D210" s="3" t="s">
        <v>37</v>
      </c>
      <c r="E210" s="3" t="s">
        <v>3832</v>
      </c>
      <c r="F210" s="3" t="s">
        <v>71</v>
      </c>
      <c r="G210" s="6">
        <f t="shared" si="3"/>
        <v>639.94271186440665</v>
      </c>
      <c r="H210" s="6">
        <v>4195.18</v>
      </c>
      <c r="I210" s="3" t="s">
        <v>3822</v>
      </c>
      <c r="J210" s="3" t="s">
        <v>113</v>
      </c>
      <c r="K210" s="285">
        <v>45709</v>
      </c>
      <c r="O210" s="3"/>
      <c r="P210" s="79"/>
      <c r="Q210"/>
    </row>
    <row r="211" spans="2:17" x14ac:dyDescent="0.25">
      <c r="B211" s="298">
        <v>1815</v>
      </c>
      <c r="C211" s="298" t="s">
        <v>1073</v>
      </c>
      <c r="D211" s="298" t="s">
        <v>94</v>
      </c>
      <c r="E211" s="298" t="s">
        <v>1129</v>
      </c>
      <c r="F211" s="298" t="s">
        <v>90</v>
      </c>
      <c r="G211" s="6">
        <f>H211-H211/1.18</f>
        <v>10220.338983050846</v>
      </c>
      <c r="H211" s="307">
        <v>67000</v>
      </c>
      <c r="I211" s="3" t="s">
        <v>3881</v>
      </c>
      <c r="J211" s="298" t="s">
        <v>18</v>
      </c>
      <c r="K211" s="285">
        <v>45740</v>
      </c>
      <c r="O211" s="3"/>
      <c r="P211" s="79"/>
      <c r="Q211"/>
    </row>
    <row r="212" spans="2:17" x14ac:dyDescent="0.25">
      <c r="B212" s="298">
        <v>1823</v>
      </c>
      <c r="C212" s="298" t="s">
        <v>1081</v>
      </c>
      <c r="D212" s="298" t="s">
        <v>94</v>
      </c>
      <c r="E212" s="298" t="s">
        <v>1137</v>
      </c>
      <c r="F212" s="298" t="s">
        <v>90</v>
      </c>
      <c r="G212" s="6">
        <f>H212-H212/1.18</f>
        <v>6101.6949152542365</v>
      </c>
      <c r="H212" s="307">
        <v>40000</v>
      </c>
      <c r="I212" s="3" t="s">
        <v>3881</v>
      </c>
      <c r="J212" s="298" t="s">
        <v>18</v>
      </c>
      <c r="K212" s="285">
        <v>45740</v>
      </c>
      <c r="O212" s="3"/>
      <c r="Q212"/>
    </row>
    <row r="213" spans="2:17" x14ac:dyDescent="0.25">
      <c r="B213" s="298">
        <v>2434</v>
      </c>
      <c r="C213" s="298" t="s">
        <v>3171</v>
      </c>
      <c r="D213" s="298" t="s">
        <v>95</v>
      </c>
      <c r="E213" s="298" t="s">
        <v>3087</v>
      </c>
      <c r="F213" s="298" t="s">
        <v>90</v>
      </c>
      <c r="G213" s="6">
        <f>H213-H213/1.18</f>
        <v>4576.2711864406774</v>
      </c>
      <c r="H213" s="307">
        <v>30000</v>
      </c>
      <c r="I213" s="3" t="s">
        <v>3881</v>
      </c>
      <c r="J213" s="298" t="s">
        <v>18</v>
      </c>
      <c r="K213" s="285">
        <v>45740</v>
      </c>
      <c r="O213" s="3"/>
      <c r="Q213"/>
    </row>
    <row r="214" spans="2:17" x14ac:dyDescent="0.25">
      <c r="B214" s="298">
        <v>1770</v>
      </c>
      <c r="C214" s="298" t="s">
        <v>986</v>
      </c>
      <c r="D214" s="298" t="s">
        <v>95</v>
      </c>
      <c r="E214" s="298" t="s">
        <v>3843</v>
      </c>
      <c r="F214" s="298" t="s">
        <v>90</v>
      </c>
      <c r="G214" s="6">
        <f>H214-H214/1.18</f>
        <v>10677.96610169491</v>
      </c>
      <c r="H214" s="307">
        <v>70000</v>
      </c>
      <c r="I214" s="3" t="s">
        <v>3881</v>
      </c>
      <c r="J214" s="298" t="s">
        <v>18</v>
      </c>
      <c r="K214" s="285">
        <v>45740</v>
      </c>
      <c r="O214" s="3"/>
      <c r="Q214"/>
    </row>
    <row r="215" spans="2:17" x14ac:dyDescent="0.25">
      <c r="B215" s="298">
        <v>2380</v>
      </c>
      <c r="C215" s="298" t="s">
        <v>3117</v>
      </c>
      <c r="D215" s="298" t="s">
        <v>74</v>
      </c>
      <c r="E215" s="298" t="s">
        <v>3034</v>
      </c>
      <c r="F215" s="298" t="s">
        <v>90</v>
      </c>
      <c r="G215" s="6">
        <f t="shared" ref="G215:G242" si="4">H215-H215/1.18</f>
        <v>7627.118644067792</v>
      </c>
      <c r="H215" s="307">
        <v>50000</v>
      </c>
      <c r="I215" s="3" t="s">
        <v>3881</v>
      </c>
      <c r="J215" s="298" t="s">
        <v>18</v>
      </c>
      <c r="K215" s="285">
        <v>45740</v>
      </c>
      <c r="O215" s="3"/>
      <c r="Q215"/>
    </row>
    <row r="216" spans="2:17" x14ac:dyDescent="0.25">
      <c r="B216" s="298">
        <v>1966</v>
      </c>
      <c r="C216" s="298" t="s">
        <v>1495</v>
      </c>
      <c r="D216" s="298" t="s">
        <v>42</v>
      </c>
      <c r="E216" s="298" t="s">
        <v>1383</v>
      </c>
      <c r="F216" s="298" t="s">
        <v>90</v>
      </c>
      <c r="G216" s="6">
        <f t="shared" si="4"/>
        <v>2135.5932203389821</v>
      </c>
      <c r="H216" s="307">
        <v>14000</v>
      </c>
      <c r="I216" s="3" t="s">
        <v>3881</v>
      </c>
      <c r="J216" s="298" t="s">
        <v>113</v>
      </c>
      <c r="K216" s="285">
        <v>45740</v>
      </c>
      <c r="O216" s="3"/>
      <c r="Q216"/>
    </row>
    <row r="217" spans="2:17" x14ac:dyDescent="0.25">
      <c r="B217" s="298">
        <v>1940</v>
      </c>
      <c r="C217" s="298" t="s">
        <v>1469</v>
      </c>
      <c r="D217" s="298" t="s">
        <v>40</v>
      </c>
      <c r="E217" s="298" t="s">
        <v>1357</v>
      </c>
      <c r="F217" s="298" t="s">
        <v>90</v>
      </c>
      <c r="G217" s="6">
        <f t="shared" si="4"/>
        <v>7016.9491525423728</v>
      </c>
      <c r="H217" s="307">
        <v>46000</v>
      </c>
      <c r="I217" s="3" t="s">
        <v>3881</v>
      </c>
      <c r="J217" s="298" t="s">
        <v>113</v>
      </c>
      <c r="K217" s="285">
        <v>45740</v>
      </c>
      <c r="O217" s="3"/>
      <c r="P217" s="31"/>
    </row>
    <row r="218" spans="2:17" x14ac:dyDescent="0.25">
      <c r="B218" s="298">
        <v>2322</v>
      </c>
      <c r="C218" s="298" t="s">
        <v>2939</v>
      </c>
      <c r="D218" s="298" t="s">
        <v>43</v>
      </c>
      <c r="E218" s="298" t="s">
        <v>2869</v>
      </c>
      <c r="F218" s="298" t="s">
        <v>90</v>
      </c>
      <c r="G218" s="6">
        <f t="shared" si="4"/>
        <v>4423.728813559319</v>
      </c>
      <c r="H218" s="307">
        <v>29000</v>
      </c>
      <c r="I218" s="3" t="s">
        <v>3881</v>
      </c>
      <c r="J218" s="298" t="s">
        <v>113</v>
      </c>
      <c r="K218" s="285">
        <v>45740</v>
      </c>
      <c r="O218" s="3"/>
      <c r="P218" s="31"/>
    </row>
    <row r="219" spans="2:17" x14ac:dyDescent="0.25">
      <c r="B219" s="298">
        <v>2346</v>
      </c>
      <c r="C219" s="298" t="s">
        <v>2963</v>
      </c>
      <c r="D219" s="298" t="s">
        <v>73</v>
      </c>
      <c r="E219" s="298" t="s">
        <v>2893</v>
      </c>
      <c r="F219" s="298" t="s">
        <v>90</v>
      </c>
      <c r="G219" s="6">
        <f t="shared" si="4"/>
        <v>4576.2711864406774</v>
      </c>
      <c r="H219" s="307">
        <v>30000</v>
      </c>
      <c r="I219" s="3" t="s">
        <v>3881</v>
      </c>
      <c r="J219" s="298" t="s">
        <v>113</v>
      </c>
      <c r="K219" s="285">
        <v>45740</v>
      </c>
      <c r="O219" s="3"/>
      <c r="P219" s="31"/>
    </row>
    <row r="220" spans="2:17" x14ac:dyDescent="0.25">
      <c r="B220" s="298">
        <v>2324</v>
      </c>
      <c r="C220" s="298" t="s">
        <v>2941</v>
      </c>
      <c r="D220" s="298" t="s">
        <v>41</v>
      </c>
      <c r="E220" s="298" t="s">
        <v>2871</v>
      </c>
      <c r="F220" s="298" t="s">
        <v>90</v>
      </c>
      <c r="G220" s="6">
        <f t="shared" si="4"/>
        <v>4576.2711864406774</v>
      </c>
      <c r="H220" s="307">
        <v>30000</v>
      </c>
      <c r="I220" s="3" t="s">
        <v>3881</v>
      </c>
      <c r="J220" s="298" t="s">
        <v>113</v>
      </c>
      <c r="K220" s="285">
        <v>45740</v>
      </c>
      <c r="O220" s="3"/>
      <c r="P220" s="31"/>
    </row>
    <row r="221" spans="2:17" x14ac:dyDescent="0.25">
      <c r="B221" s="298">
        <v>2318</v>
      </c>
      <c r="C221" s="298" t="s">
        <v>2935</v>
      </c>
      <c r="D221" s="298" t="s">
        <v>40</v>
      </c>
      <c r="E221" s="298" t="s">
        <v>2969</v>
      </c>
      <c r="F221" s="298" t="s">
        <v>90</v>
      </c>
      <c r="G221" s="6">
        <f t="shared" si="4"/>
        <v>25779.661016949132</v>
      </c>
      <c r="H221" s="307">
        <v>169000</v>
      </c>
      <c r="I221" s="3" t="s">
        <v>3881</v>
      </c>
      <c r="J221" s="298" t="s">
        <v>113</v>
      </c>
      <c r="K221" s="285">
        <v>45740</v>
      </c>
      <c r="O221" s="3"/>
      <c r="P221" s="31"/>
      <c r="Q221"/>
    </row>
    <row r="222" spans="2:17" x14ac:dyDescent="0.25">
      <c r="B222" s="298">
        <v>2294</v>
      </c>
      <c r="C222" s="298" t="s">
        <v>2911</v>
      </c>
      <c r="D222" s="298" t="s">
        <v>40</v>
      </c>
      <c r="E222" s="298" t="s">
        <v>2843</v>
      </c>
      <c r="F222" s="298" t="s">
        <v>90</v>
      </c>
      <c r="G222" s="6">
        <f t="shared" si="4"/>
        <v>15559.322033898294</v>
      </c>
      <c r="H222" s="307">
        <v>102000</v>
      </c>
      <c r="I222" s="3" t="s">
        <v>3881</v>
      </c>
      <c r="J222" s="298" t="s">
        <v>113</v>
      </c>
      <c r="K222" s="285">
        <v>45740</v>
      </c>
      <c r="O222" s="3"/>
      <c r="P222" s="31"/>
      <c r="Q222"/>
    </row>
    <row r="223" spans="2:17" x14ac:dyDescent="0.25">
      <c r="B223" s="298">
        <v>2298</v>
      </c>
      <c r="C223" s="298" t="s">
        <v>2915</v>
      </c>
      <c r="D223" s="298" t="s">
        <v>40</v>
      </c>
      <c r="E223" s="298" t="s">
        <v>2847</v>
      </c>
      <c r="F223" s="298" t="s">
        <v>90</v>
      </c>
      <c r="G223" s="6">
        <f t="shared" si="4"/>
        <v>6864.4067796610179</v>
      </c>
      <c r="H223" s="307">
        <v>45000</v>
      </c>
      <c r="I223" s="3" t="s">
        <v>3881</v>
      </c>
      <c r="J223" s="298" t="s">
        <v>113</v>
      </c>
      <c r="K223" s="285">
        <v>45740</v>
      </c>
      <c r="O223" s="3"/>
      <c r="P223" s="31"/>
    </row>
    <row r="224" spans="2:17" x14ac:dyDescent="0.25">
      <c r="B224" s="298">
        <v>1897</v>
      </c>
      <c r="C224" s="298" t="s">
        <v>1426</v>
      </c>
      <c r="D224" s="298" t="s">
        <v>41</v>
      </c>
      <c r="E224" s="298" t="s">
        <v>1316</v>
      </c>
      <c r="F224" s="298" t="s">
        <v>90</v>
      </c>
      <c r="G224" s="6">
        <f t="shared" si="4"/>
        <v>4423.728813559319</v>
      </c>
      <c r="H224" s="307">
        <v>29000</v>
      </c>
      <c r="I224" s="3" t="s">
        <v>3881</v>
      </c>
      <c r="J224" s="298" t="s">
        <v>113</v>
      </c>
      <c r="K224" s="285">
        <v>45740</v>
      </c>
      <c r="O224" s="3"/>
      <c r="Q224"/>
    </row>
    <row r="225" spans="2:17" x14ac:dyDescent="0.25">
      <c r="B225" s="298">
        <v>1838</v>
      </c>
      <c r="C225" s="298" t="s">
        <v>1181</v>
      </c>
      <c r="D225" s="298" t="s">
        <v>4</v>
      </c>
      <c r="E225" s="298" t="s">
        <v>1152</v>
      </c>
      <c r="F225" s="298" t="s">
        <v>71</v>
      </c>
      <c r="G225" s="6">
        <f t="shared" si="4"/>
        <v>38135.593220338982</v>
      </c>
      <c r="H225" s="307">
        <v>250000</v>
      </c>
      <c r="I225" s="3" t="s">
        <v>3881</v>
      </c>
      <c r="J225" s="298" t="s">
        <v>113</v>
      </c>
      <c r="K225" s="285">
        <v>45734</v>
      </c>
      <c r="O225" s="3"/>
      <c r="P225" s="31"/>
      <c r="Q225"/>
    </row>
    <row r="226" spans="2:17" x14ac:dyDescent="0.25">
      <c r="B226" s="298">
        <v>2226</v>
      </c>
      <c r="C226" s="298" t="s">
        <v>2722</v>
      </c>
      <c r="D226" s="298" t="s">
        <v>36</v>
      </c>
      <c r="E226" s="298" t="s">
        <v>2653</v>
      </c>
      <c r="F226" s="298" t="s">
        <v>71</v>
      </c>
      <c r="G226" s="6">
        <f t="shared" si="4"/>
        <v>7627.118644067792</v>
      </c>
      <c r="H226" s="307">
        <v>50000</v>
      </c>
      <c r="I226" s="3" t="s">
        <v>3881</v>
      </c>
      <c r="J226" s="298" t="s">
        <v>113</v>
      </c>
      <c r="K226" s="285">
        <v>45734</v>
      </c>
      <c r="O226" s="3"/>
      <c r="P226" s="31"/>
      <c r="Q226"/>
    </row>
    <row r="227" spans="2:17" x14ac:dyDescent="0.25">
      <c r="B227" s="298">
        <v>2232</v>
      </c>
      <c r="C227" s="298" t="s">
        <v>2728</v>
      </c>
      <c r="D227" s="298" t="s">
        <v>36</v>
      </c>
      <c r="E227" s="298" t="s">
        <v>2658</v>
      </c>
      <c r="F227" s="298" t="s">
        <v>71</v>
      </c>
      <c r="G227" s="6">
        <f t="shared" si="4"/>
        <v>4576.2711864406774</v>
      </c>
      <c r="H227" s="307">
        <v>30000</v>
      </c>
      <c r="I227" s="3" t="s">
        <v>3881</v>
      </c>
      <c r="J227" s="298" t="s">
        <v>113</v>
      </c>
      <c r="K227" s="285">
        <v>45734</v>
      </c>
      <c r="O227" s="3"/>
      <c r="P227" s="31"/>
      <c r="Q227"/>
    </row>
    <row r="228" spans="2:17" x14ac:dyDescent="0.25">
      <c r="B228" s="298">
        <v>2214</v>
      </c>
      <c r="C228" s="298" t="s">
        <v>2710</v>
      </c>
      <c r="D228" s="298" t="s">
        <v>36</v>
      </c>
      <c r="E228" s="298" t="s">
        <v>2680</v>
      </c>
      <c r="F228" s="298" t="s">
        <v>71</v>
      </c>
      <c r="G228" s="6">
        <f t="shared" si="4"/>
        <v>7627.118644067792</v>
      </c>
      <c r="H228" s="307">
        <v>50000</v>
      </c>
      <c r="I228" s="3" t="s">
        <v>3881</v>
      </c>
      <c r="J228" s="298" t="s">
        <v>113</v>
      </c>
      <c r="K228" s="285">
        <v>45734</v>
      </c>
      <c r="O228" s="3"/>
      <c r="P228" s="31"/>
      <c r="Q228"/>
    </row>
    <row r="229" spans="2:17" x14ac:dyDescent="0.25">
      <c r="B229" s="298">
        <v>2217</v>
      </c>
      <c r="C229" s="298" t="s">
        <v>2713</v>
      </c>
      <c r="D229" s="298" t="s">
        <v>38</v>
      </c>
      <c r="E229" s="298" t="s">
        <v>2682</v>
      </c>
      <c r="F229" s="298" t="s">
        <v>71</v>
      </c>
      <c r="G229" s="6">
        <f t="shared" si="4"/>
        <v>10677.96610169491</v>
      </c>
      <c r="H229" s="307">
        <v>70000</v>
      </c>
      <c r="I229" s="3" t="s">
        <v>3881</v>
      </c>
      <c r="J229" s="298" t="s">
        <v>113</v>
      </c>
      <c r="K229" s="285">
        <v>45734</v>
      </c>
      <c r="O229" s="3"/>
      <c r="P229" s="31"/>
      <c r="Q229"/>
    </row>
    <row r="230" spans="2:17" x14ac:dyDescent="0.25">
      <c r="B230" s="298">
        <v>2219</v>
      </c>
      <c r="C230" s="298" t="s">
        <v>2715</v>
      </c>
      <c r="D230" s="298" t="s">
        <v>35</v>
      </c>
      <c r="E230" s="298" t="s">
        <v>2646</v>
      </c>
      <c r="F230" s="298" t="s">
        <v>71</v>
      </c>
      <c r="G230" s="6">
        <f t="shared" si="4"/>
        <v>10677.96610169491</v>
      </c>
      <c r="H230" s="307">
        <v>70000</v>
      </c>
      <c r="I230" s="3" t="s">
        <v>3881</v>
      </c>
      <c r="J230" s="298" t="s">
        <v>113</v>
      </c>
      <c r="K230" s="285">
        <v>45734</v>
      </c>
      <c r="O230" s="3"/>
      <c r="P230" s="31"/>
    </row>
    <row r="231" spans="2:17" x14ac:dyDescent="0.25">
      <c r="B231" s="298">
        <v>2216</v>
      </c>
      <c r="C231" s="298" t="s">
        <v>2712</v>
      </c>
      <c r="D231" s="298" t="s">
        <v>36</v>
      </c>
      <c r="E231" s="298" t="s">
        <v>2681</v>
      </c>
      <c r="F231" s="298" t="s">
        <v>71</v>
      </c>
      <c r="G231" s="6">
        <f t="shared" si="4"/>
        <v>9549.1525423728817</v>
      </c>
      <c r="H231" s="307">
        <v>62600</v>
      </c>
      <c r="I231" s="3" t="s">
        <v>3881</v>
      </c>
      <c r="J231" s="298" t="s">
        <v>113</v>
      </c>
      <c r="K231" s="285">
        <v>45734</v>
      </c>
      <c r="O231" s="3"/>
      <c r="Q231"/>
    </row>
    <row r="232" spans="2:17" x14ac:dyDescent="0.25">
      <c r="B232" s="298">
        <v>2056</v>
      </c>
      <c r="C232" s="298" t="s">
        <v>2193</v>
      </c>
      <c r="D232" s="298" t="s">
        <v>40</v>
      </c>
      <c r="E232" s="298" t="s">
        <v>3883</v>
      </c>
      <c r="F232" s="298" t="s">
        <v>75</v>
      </c>
      <c r="G232" s="6">
        <f t="shared" si="4"/>
        <v>146440.67796610168</v>
      </c>
      <c r="H232" s="307">
        <v>960000</v>
      </c>
      <c r="I232" s="3" t="s">
        <v>3881</v>
      </c>
      <c r="J232" s="298" t="s">
        <v>113</v>
      </c>
      <c r="K232" s="285">
        <v>45740</v>
      </c>
      <c r="O232" s="3"/>
      <c r="P232" s="31"/>
    </row>
    <row r="233" spans="2:17" x14ac:dyDescent="0.25">
      <c r="B233" s="298">
        <v>2152</v>
      </c>
      <c r="C233" s="298" t="s">
        <v>2519</v>
      </c>
      <c r="D233" s="298" t="s">
        <v>88</v>
      </c>
      <c r="E233" s="298" t="s">
        <v>2461</v>
      </c>
      <c r="F233" s="298" t="s">
        <v>87</v>
      </c>
      <c r="G233" s="6">
        <f t="shared" si="4"/>
        <v>152542.37288135593</v>
      </c>
      <c r="H233" s="307">
        <v>1000000</v>
      </c>
      <c r="I233" s="3" t="s">
        <v>3881</v>
      </c>
      <c r="J233" s="298" t="s">
        <v>18</v>
      </c>
      <c r="K233" s="285">
        <v>45741</v>
      </c>
      <c r="O233" s="3"/>
      <c r="P233" s="31"/>
    </row>
    <row r="234" spans="2:17" x14ac:dyDescent="0.25">
      <c r="B234" s="298">
        <v>2549</v>
      </c>
      <c r="C234" s="298" t="s">
        <v>3359</v>
      </c>
      <c r="D234" s="298" t="s">
        <v>96</v>
      </c>
      <c r="E234" s="298" t="s">
        <v>3427</v>
      </c>
      <c r="F234" s="298" t="s">
        <v>71</v>
      </c>
      <c r="G234" s="6">
        <f t="shared" si="4"/>
        <v>457.62711864406765</v>
      </c>
      <c r="H234" s="307">
        <v>3000</v>
      </c>
      <c r="I234" s="3" t="s">
        <v>3881</v>
      </c>
      <c r="J234" s="298" t="s">
        <v>18</v>
      </c>
      <c r="K234" s="285">
        <v>45741</v>
      </c>
      <c r="O234" s="3">
        <v>12</v>
      </c>
      <c r="P234" s="31"/>
    </row>
    <row r="235" spans="2:17" x14ac:dyDescent="0.25">
      <c r="B235" s="298">
        <v>2550</v>
      </c>
      <c r="C235" s="298" t="s">
        <v>3359</v>
      </c>
      <c r="D235" s="298" t="s">
        <v>96</v>
      </c>
      <c r="E235" s="298" t="s">
        <v>3429</v>
      </c>
      <c r="F235" s="298" t="s">
        <v>71</v>
      </c>
      <c r="G235" s="6">
        <f t="shared" si="4"/>
        <v>457.62711864406765</v>
      </c>
      <c r="H235" s="307">
        <v>3000</v>
      </c>
      <c r="I235" s="3" t="s">
        <v>3881</v>
      </c>
      <c r="J235" s="298" t="s">
        <v>18</v>
      </c>
      <c r="K235" s="285">
        <v>45741</v>
      </c>
      <c r="O235" s="3">
        <v>22</v>
      </c>
      <c r="Q235"/>
    </row>
    <row r="236" spans="2:17" x14ac:dyDescent="0.25">
      <c r="B236" s="298">
        <v>2545</v>
      </c>
      <c r="C236" s="298" t="s">
        <v>3359</v>
      </c>
      <c r="D236" s="298" t="s">
        <v>96</v>
      </c>
      <c r="E236" s="298" t="s">
        <v>3616</v>
      </c>
      <c r="F236" s="298" t="s">
        <v>71</v>
      </c>
      <c r="G236" s="6">
        <f t="shared" si="4"/>
        <v>1220.3389830508468</v>
      </c>
      <c r="H236" s="307">
        <v>8000</v>
      </c>
      <c r="I236" s="3" t="s">
        <v>3881</v>
      </c>
      <c r="J236" s="298" t="s">
        <v>18</v>
      </c>
      <c r="K236" s="285">
        <v>45741</v>
      </c>
      <c r="O236" s="3">
        <v>25</v>
      </c>
      <c r="Q236"/>
    </row>
    <row r="237" spans="2:17" x14ac:dyDescent="0.25">
      <c r="B237" s="298">
        <v>2563</v>
      </c>
      <c r="C237" s="298" t="s">
        <v>3359</v>
      </c>
      <c r="D237" s="298" t="s">
        <v>96</v>
      </c>
      <c r="E237" s="298" t="s">
        <v>3692</v>
      </c>
      <c r="F237" s="298" t="s">
        <v>71</v>
      </c>
      <c r="G237" s="6">
        <f t="shared" si="4"/>
        <v>1525.4237288135591</v>
      </c>
      <c r="H237" s="307">
        <v>10000</v>
      </c>
      <c r="I237" s="3" t="s">
        <v>3881</v>
      </c>
      <c r="J237" s="298" t="s">
        <v>18</v>
      </c>
      <c r="K237" s="285">
        <v>45741</v>
      </c>
      <c r="O237" s="3">
        <v>12</v>
      </c>
      <c r="Q237"/>
    </row>
    <row r="238" spans="2:17" x14ac:dyDescent="0.25">
      <c r="B238" s="298">
        <v>2562</v>
      </c>
      <c r="C238" s="298" t="s">
        <v>3358</v>
      </c>
      <c r="D238" s="298" t="s">
        <v>96</v>
      </c>
      <c r="E238" s="298" t="s">
        <v>3797</v>
      </c>
      <c r="F238" s="298" t="s">
        <v>71</v>
      </c>
      <c r="G238" s="6">
        <f t="shared" si="4"/>
        <v>1525.4237288135591</v>
      </c>
      <c r="H238" s="307">
        <v>10000</v>
      </c>
      <c r="I238" s="3" t="s">
        <v>3881</v>
      </c>
      <c r="J238" s="298" t="s">
        <v>18</v>
      </c>
      <c r="K238" s="285">
        <v>45741</v>
      </c>
      <c r="O238" s="3">
        <v>14</v>
      </c>
      <c r="Q238"/>
    </row>
    <row r="239" spans="2:17" x14ac:dyDescent="0.25">
      <c r="B239" s="298">
        <v>2533</v>
      </c>
      <c r="C239" s="298" t="s">
        <v>3358</v>
      </c>
      <c r="D239" s="298" t="s">
        <v>96</v>
      </c>
      <c r="E239" s="298" t="s">
        <v>3338</v>
      </c>
      <c r="F239" s="298" t="s">
        <v>71</v>
      </c>
      <c r="G239" s="6">
        <f t="shared" si="4"/>
        <v>1525.4237288135591</v>
      </c>
      <c r="H239" s="307">
        <v>10000</v>
      </c>
      <c r="I239" s="3" t="s">
        <v>3881</v>
      </c>
      <c r="J239" s="298" t="s">
        <v>18</v>
      </c>
      <c r="K239" s="285">
        <v>45741</v>
      </c>
      <c r="O239" s="3">
        <v>78</v>
      </c>
      <c r="Q239"/>
    </row>
    <row r="240" spans="2:17" x14ac:dyDescent="0.25">
      <c r="B240" s="298">
        <v>2605</v>
      </c>
      <c r="C240" s="298" t="s">
        <v>3358</v>
      </c>
      <c r="D240" s="298" t="s">
        <v>96</v>
      </c>
      <c r="E240" s="298" t="s">
        <v>3533</v>
      </c>
      <c r="F240" s="298" t="s">
        <v>71</v>
      </c>
      <c r="G240" s="6">
        <f t="shared" si="4"/>
        <v>3508.4745762711864</v>
      </c>
      <c r="H240" s="307">
        <v>23000</v>
      </c>
      <c r="I240" s="3" t="s">
        <v>3881</v>
      </c>
      <c r="J240" s="298" t="s">
        <v>18</v>
      </c>
      <c r="K240" s="285">
        <v>45741</v>
      </c>
      <c r="O240" s="3">
        <v>34</v>
      </c>
      <c r="P240" s="19"/>
      <c r="Q240"/>
    </row>
    <row r="241" spans="2:17" x14ac:dyDescent="0.25">
      <c r="B241" s="298">
        <v>2098</v>
      </c>
      <c r="C241" s="298" t="s">
        <v>2311</v>
      </c>
      <c r="D241" s="298" t="s">
        <v>38</v>
      </c>
      <c r="E241" s="298" t="s">
        <v>2290</v>
      </c>
      <c r="F241" s="298" t="s">
        <v>114</v>
      </c>
      <c r="G241" s="6">
        <f t="shared" si="4"/>
        <v>6864.4067796610179</v>
      </c>
      <c r="H241" s="307">
        <v>45000</v>
      </c>
      <c r="I241" s="3" t="s">
        <v>3881</v>
      </c>
      <c r="J241" s="298" t="s">
        <v>113</v>
      </c>
      <c r="K241" s="285">
        <v>45743</v>
      </c>
      <c r="O241" s="3"/>
      <c r="Q241"/>
    </row>
    <row r="242" spans="2:17" x14ac:dyDescent="0.25">
      <c r="B242" s="298">
        <v>2099</v>
      </c>
      <c r="C242" s="298" t="s">
        <v>2312</v>
      </c>
      <c r="D242" s="298" t="s">
        <v>4</v>
      </c>
      <c r="E242" s="298" t="s">
        <v>2291</v>
      </c>
      <c r="F242" s="298" t="s">
        <v>114</v>
      </c>
      <c r="G242" s="6">
        <f t="shared" si="4"/>
        <v>762.71186440677957</v>
      </c>
      <c r="H242" s="307">
        <v>5000</v>
      </c>
      <c r="I242" s="3" t="s">
        <v>3881</v>
      </c>
      <c r="J242" s="298" t="s">
        <v>113</v>
      </c>
      <c r="K242" s="285">
        <v>45743</v>
      </c>
      <c r="O242" s="3"/>
      <c r="Q242"/>
    </row>
    <row r="243" spans="2:17" x14ac:dyDescent="0.25">
      <c r="B243" s="298">
        <v>2091</v>
      </c>
      <c r="C243" s="298" t="s">
        <v>2304</v>
      </c>
      <c r="D243" s="298" t="s">
        <v>36</v>
      </c>
      <c r="E243" s="298" t="s">
        <v>2284</v>
      </c>
      <c r="F243" s="298" t="s">
        <v>114</v>
      </c>
      <c r="G243" s="6">
        <f t="shared" ref="G243:G250" si="5">H243-H243/1.18</f>
        <v>1525.4237288135591</v>
      </c>
      <c r="H243" s="307">
        <v>10000</v>
      </c>
      <c r="I243" s="3" t="s">
        <v>3881</v>
      </c>
      <c r="J243" s="298" t="s">
        <v>113</v>
      </c>
      <c r="K243" s="285">
        <v>45743</v>
      </c>
      <c r="O243" s="3"/>
      <c r="Q243"/>
    </row>
    <row r="244" spans="2:17" x14ac:dyDescent="0.25">
      <c r="B244" s="298">
        <v>2095</v>
      </c>
      <c r="C244" s="298" t="s">
        <v>2308</v>
      </c>
      <c r="D244" s="298" t="s">
        <v>4</v>
      </c>
      <c r="E244" s="298" t="s">
        <v>2287</v>
      </c>
      <c r="F244" s="298" t="s">
        <v>114</v>
      </c>
      <c r="G244" s="6">
        <f t="shared" si="5"/>
        <v>11440.677966101692</v>
      </c>
      <c r="H244" s="307">
        <v>75000</v>
      </c>
      <c r="I244" s="3" t="s">
        <v>3881</v>
      </c>
      <c r="J244" s="298" t="s">
        <v>113</v>
      </c>
      <c r="K244" s="285">
        <v>45743</v>
      </c>
      <c r="O244" s="3"/>
      <c r="Q244"/>
    </row>
    <row r="245" spans="2:17" x14ac:dyDescent="0.25">
      <c r="B245" s="298">
        <v>2084</v>
      </c>
      <c r="C245" s="298" t="s">
        <v>2297</v>
      </c>
      <c r="D245" s="298" t="s">
        <v>37</v>
      </c>
      <c r="E245" s="298" t="s">
        <v>2279</v>
      </c>
      <c r="F245" s="298" t="s">
        <v>114</v>
      </c>
      <c r="G245" s="6">
        <f t="shared" si="5"/>
        <v>45762.711864406767</v>
      </c>
      <c r="H245" s="307">
        <v>300000</v>
      </c>
      <c r="I245" s="3" t="s">
        <v>3881</v>
      </c>
      <c r="J245" s="298" t="s">
        <v>113</v>
      </c>
      <c r="K245" s="285">
        <v>45743</v>
      </c>
      <c r="O245" s="3"/>
      <c r="Q245"/>
    </row>
    <row r="246" spans="2:17" x14ac:dyDescent="0.25">
      <c r="B246" s="298">
        <v>2083</v>
      </c>
      <c r="C246" s="298" t="s">
        <v>2296</v>
      </c>
      <c r="D246" s="298" t="s">
        <v>40</v>
      </c>
      <c r="E246" s="298" t="s">
        <v>2278</v>
      </c>
      <c r="F246" s="298" t="s">
        <v>114</v>
      </c>
      <c r="G246" s="6">
        <f t="shared" si="5"/>
        <v>5338.9830508474552</v>
      </c>
      <c r="H246" s="307">
        <v>35000</v>
      </c>
      <c r="I246" s="3" t="s">
        <v>3881</v>
      </c>
      <c r="J246" s="298" t="s">
        <v>113</v>
      </c>
      <c r="K246" s="285">
        <v>45743</v>
      </c>
      <c r="O246" s="3"/>
      <c r="Q246"/>
    </row>
    <row r="247" spans="2:17" x14ac:dyDescent="0.25">
      <c r="B247" s="298">
        <v>1742</v>
      </c>
      <c r="C247" s="298" t="s">
        <v>1715</v>
      </c>
      <c r="D247" s="298" t="s">
        <v>20</v>
      </c>
      <c r="E247" s="298" t="s">
        <v>925</v>
      </c>
      <c r="F247" s="298" t="s">
        <v>115</v>
      </c>
      <c r="G247" s="6">
        <f t="shared" si="5"/>
        <v>30508.474576271168</v>
      </c>
      <c r="H247" s="307">
        <v>200000</v>
      </c>
      <c r="I247" s="3" t="s">
        <v>3881</v>
      </c>
      <c r="J247" s="298" t="s">
        <v>113</v>
      </c>
      <c r="K247" s="285">
        <v>45742</v>
      </c>
      <c r="O247" s="3"/>
      <c r="Q247"/>
    </row>
    <row r="248" spans="2:17" x14ac:dyDescent="0.25">
      <c r="B248" s="298">
        <v>1982</v>
      </c>
      <c r="C248" s="298" t="s">
        <v>1694</v>
      </c>
      <c r="D248" s="298" t="s">
        <v>47</v>
      </c>
      <c r="E248" s="298" t="s">
        <v>1693</v>
      </c>
      <c r="F248" s="298" t="s">
        <v>115</v>
      </c>
      <c r="G248" s="6">
        <f t="shared" si="5"/>
        <v>22881.355932203383</v>
      </c>
      <c r="H248" s="307">
        <v>150000</v>
      </c>
      <c r="I248" s="3" t="s">
        <v>3881</v>
      </c>
      <c r="J248" s="298" t="s">
        <v>113</v>
      </c>
      <c r="K248" s="285">
        <v>45742</v>
      </c>
      <c r="O248" s="310"/>
      <c r="Q248"/>
    </row>
    <row r="249" spans="2:17" x14ac:dyDescent="0.25">
      <c r="B249" s="298">
        <v>2063</v>
      </c>
      <c r="C249" s="298" t="s">
        <v>2234</v>
      </c>
      <c r="D249" s="298" t="s">
        <v>45</v>
      </c>
      <c r="E249" s="298" t="s">
        <v>2215</v>
      </c>
      <c r="F249" s="298" t="s">
        <v>115</v>
      </c>
      <c r="G249" s="6">
        <f t="shared" si="5"/>
        <v>15254.237288135584</v>
      </c>
      <c r="H249" s="307">
        <v>100000</v>
      </c>
      <c r="I249" s="3" t="s">
        <v>3881</v>
      </c>
      <c r="J249" s="298" t="s">
        <v>113</v>
      </c>
      <c r="K249" s="285">
        <v>45742</v>
      </c>
      <c r="O249" s="3"/>
      <c r="Q249"/>
    </row>
    <row r="250" spans="2:17" x14ac:dyDescent="0.25">
      <c r="B250" s="298">
        <v>980</v>
      </c>
      <c r="C250" s="298" t="s">
        <v>3559</v>
      </c>
      <c r="D250" s="298" t="s">
        <v>47</v>
      </c>
      <c r="E250" s="298" t="s">
        <v>3557</v>
      </c>
      <c r="F250" s="298" t="s">
        <v>115</v>
      </c>
      <c r="G250" s="6">
        <f t="shared" si="5"/>
        <v>30508.474576271168</v>
      </c>
      <c r="H250" s="307">
        <v>200000</v>
      </c>
      <c r="I250" s="3" t="s">
        <v>3881</v>
      </c>
      <c r="J250" s="298" t="s">
        <v>113</v>
      </c>
      <c r="K250" s="285">
        <v>45742</v>
      </c>
      <c r="O250" s="3"/>
      <c r="Q250"/>
    </row>
    <row r="251" spans="2:17" x14ac:dyDescent="0.25">
      <c r="B251" s="298">
        <v>2080</v>
      </c>
      <c r="C251" s="298" t="s">
        <v>2255</v>
      </c>
      <c r="D251" s="298" t="s">
        <v>94</v>
      </c>
      <c r="E251" s="298" t="s">
        <v>2259</v>
      </c>
      <c r="F251" s="298" t="s">
        <v>114</v>
      </c>
      <c r="G251" s="6">
        <f t="shared" ref="G251" si="6">H251-H251/1.18</f>
        <v>6711.8644067796558</v>
      </c>
      <c r="H251" s="307">
        <v>44000</v>
      </c>
      <c r="I251" s="3" t="s">
        <v>3881</v>
      </c>
      <c r="J251" s="298" t="s">
        <v>18</v>
      </c>
      <c r="K251" s="285">
        <v>45743</v>
      </c>
      <c r="O251" s="3"/>
      <c r="Q251"/>
    </row>
    <row r="252" spans="2:17" x14ac:dyDescent="0.25">
      <c r="B252" s="298">
        <v>2509</v>
      </c>
      <c r="C252" s="298" t="s">
        <v>3482</v>
      </c>
      <c r="D252" s="298" t="s">
        <v>47</v>
      </c>
      <c r="E252" s="298" t="s">
        <v>3886</v>
      </c>
      <c r="F252" s="298" t="s">
        <v>105</v>
      </c>
      <c r="G252" s="6">
        <f t="shared" ref="G252:G258" si="7">H252-H252/1.18</f>
        <v>152542.37288135593</v>
      </c>
      <c r="H252" s="307">
        <v>1000000</v>
      </c>
      <c r="I252" s="3" t="s">
        <v>3881</v>
      </c>
      <c r="J252" s="298" t="s">
        <v>113</v>
      </c>
      <c r="K252" s="285">
        <v>45743</v>
      </c>
      <c r="O252" s="3"/>
      <c r="Q252"/>
    </row>
    <row r="253" spans="2:17" x14ac:dyDescent="0.25">
      <c r="B253" s="298">
        <v>2050</v>
      </c>
      <c r="C253" s="298" t="s">
        <v>2180</v>
      </c>
      <c r="D253" s="298" t="s">
        <v>56</v>
      </c>
      <c r="E253" s="298" t="s">
        <v>2178</v>
      </c>
      <c r="F253" s="298" t="s">
        <v>105</v>
      </c>
      <c r="G253" s="6">
        <f t="shared" si="7"/>
        <v>76271.186440677964</v>
      </c>
      <c r="H253" s="307">
        <v>500000</v>
      </c>
      <c r="I253" s="3" t="s">
        <v>3881</v>
      </c>
      <c r="J253" s="298" t="s">
        <v>113</v>
      </c>
      <c r="K253" s="285">
        <v>45743</v>
      </c>
      <c r="O253" s="3"/>
      <c r="Q253"/>
    </row>
    <row r="254" spans="2:17" x14ac:dyDescent="0.25">
      <c r="B254" s="298">
        <v>2058</v>
      </c>
      <c r="C254" s="298" t="s">
        <v>2197</v>
      </c>
      <c r="D254" s="298" t="s">
        <v>29</v>
      </c>
      <c r="E254" s="298" t="s">
        <v>2200</v>
      </c>
      <c r="F254" s="298" t="s">
        <v>141</v>
      </c>
      <c r="G254" s="6">
        <f t="shared" si="7"/>
        <v>61016.949152542336</v>
      </c>
      <c r="H254" s="307">
        <v>400000</v>
      </c>
      <c r="I254" s="3" t="s">
        <v>3881</v>
      </c>
      <c r="J254" s="298" t="s">
        <v>113</v>
      </c>
      <c r="K254" s="285">
        <v>45744</v>
      </c>
      <c r="O254" s="3"/>
      <c r="Q254"/>
    </row>
    <row r="255" spans="2:17" x14ac:dyDescent="0.25">
      <c r="B255" s="298">
        <v>2606</v>
      </c>
      <c r="C255" s="298" t="s">
        <v>2198</v>
      </c>
      <c r="D255" s="298" t="s">
        <v>50</v>
      </c>
      <c r="E255" s="298" t="s">
        <v>3887</v>
      </c>
      <c r="F255" s="298" t="s">
        <v>141</v>
      </c>
      <c r="G255" s="6">
        <f t="shared" si="7"/>
        <v>7627.118644067792</v>
      </c>
      <c r="H255" s="307">
        <v>50000</v>
      </c>
      <c r="I255" s="3" t="s">
        <v>3881</v>
      </c>
      <c r="J255" s="298" t="s">
        <v>113</v>
      </c>
      <c r="K255" s="285">
        <v>45744</v>
      </c>
      <c r="O255" s="3"/>
      <c r="Q255"/>
    </row>
    <row r="256" spans="2:17" x14ac:dyDescent="0.25">
      <c r="B256" s="298">
        <v>2031</v>
      </c>
      <c r="C256" s="298" t="s">
        <v>1970</v>
      </c>
      <c r="D256" s="298" t="s">
        <v>91</v>
      </c>
      <c r="E256" s="298" t="s">
        <v>1969</v>
      </c>
      <c r="F256" s="298" t="s">
        <v>105</v>
      </c>
      <c r="G256" s="6">
        <f t="shared" si="7"/>
        <v>91525.423728813534</v>
      </c>
      <c r="H256" s="307">
        <v>600000</v>
      </c>
      <c r="I256" s="3" t="s">
        <v>3881</v>
      </c>
      <c r="J256" s="298" t="s">
        <v>18</v>
      </c>
      <c r="K256" s="285">
        <v>45743</v>
      </c>
      <c r="O256" s="3"/>
      <c r="Q256"/>
    </row>
    <row r="257" spans="2:17" x14ac:dyDescent="0.25">
      <c r="B257" s="298">
        <v>2607</v>
      </c>
      <c r="C257" s="298" t="s">
        <v>3889</v>
      </c>
      <c r="D257" s="298" t="s">
        <v>40</v>
      </c>
      <c r="E257" s="298" t="s">
        <v>3890</v>
      </c>
      <c r="F257" s="298" t="s">
        <v>3635</v>
      </c>
      <c r="G257" s="6">
        <f t="shared" si="7"/>
        <v>991.52542372881362</v>
      </c>
      <c r="H257" s="312">
        <v>6500</v>
      </c>
      <c r="I257" s="3" t="s">
        <v>3881</v>
      </c>
      <c r="J257" s="298" t="s">
        <v>113</v>
      </c>
      <c r="K257" s="285">
        <v>45726</v>
      </c>
      <c r="O257" s="3"/>
      <c r="Q257"/>
    </row>
    <row r="258" spans="2:17" x14ac:dyDescent="0.25">
      <c r="B258" s="298">
        <v>2608</v>
      </c>
      <c r="C258" s="298" t="s">
        <v>3889</v>
      </c>
      <c r="D258" s="298" t="s">
        <v>40</v>
      </c>
      <c r="E258" s="298" t="s">
        <v>3891</v>
      </c>
      <c r="F258" s="298" t="s">
        <v>3635</v>
      </c>
      <c r="G258" s="6">
        <f t="shared" si="7"/>
        <v>1296.6101694915251</v>
      </c>
      <c r="H258" s="312">
        <v>8500</v>
      </c>
      <c r="I258" s="3" t="s">
        <v>3881</v>
      </c>
      <c r="J258" s="298" t="s">
        <v>113</v>
      </c>
      <c r="K258" s="285">
        <v>45726</v>
      </c>
      <c r="O258" s="3"/>
      <c r="Q258"/>
    </row>
    <row r="259" spans="2:17" x14ac:dyDescent="0.25">
      <c r="B259" s="298">
        <v>2370</v>
      </c>
      <c r="C259" s="298" t="s">
        <v>3107</v>
      </c>
      <c r="D259" s="298" t="s">
        <v>95</v>
      </c>
      <c r="E259" s="298" t="s">
        <v>3024</v>
      </c>
      <c r="F259" s="298" t="s">
        <v>90</v>
      </c>
      <c r="G259" s="6">
        <f t="shared" ref="G259:G268" si="8">H259-H259/1.18</f>
        <v>2086.0344915254227</v>
      </c>
      <c r="H259" s="312">
        <v>13675.115</v>
      </c>
      <c r="I259" s="3" t="s">
        <v>3881</v>
      </c>
      <c r="J259" s="298" t="s">
        <v>18</v>
      </c>
      <c r="K259" s="285">
        <v>45728</v>
      </c>
      <c r="O259" s="3"/>
      <c r="Q259"/>
    </row>
    <row r="260" spans="2:17" x14ac:dyDescent="0.25">
      <c r="B260" s="298">
        <v>2382</v>
      </c>
      <c r="C260" s="298" t="s">
        <v>3119</v>
      </c>
      <c r="D260" s="298" t="s">
        <v>99</v>
      </c>
      <c r="E260" s="298" t="s">
        <v>3036</v>
      </c>
      <c r="F260" s="298" t="s">
        <v>90</v>
      </c>
      <c r="G260" s="6">
        <f t="shared" si="8"/>
        <v>141.42508474576266</v>
      </c>
      <c r="H260" s="312">
        <v>927.12</v>
      </c>
      <c r="I260" s="3" t="s">
        <v>3881</v>
      </c>
      <c r="J260" s="298" t="s">
        <v>18</v>
      </c>
      <c r="K260" s="285">
        <v>45728</v>
      </c>
      <c r="O260" s="3"/>
      <c r="Q260"/>
    </row>
    <row r="261" spans="2:17" x14ac:dyDescent="0.25">
      <c r="B261" s="298">
        <v>2402</v>
      </c>
      <c r="C261" s="298" t="s">
        <v>3139</v>
      </c>
      <c r="D261" s="298" t="s">
        <v>99</v>
      </c>
      <c r="E261" s="298" t="s">
        <v>3842</v>
      </c>
      <c r="F261" s="298" t="s">
        <v>90</v>
      </c>
      <c r="G261" s="6">
        <f t="shared" si="8"/>
        <v>581.40915254237279</v>
      </c>
      <c r="H261" s="312">
        <v>3811.46</v>
      </c>
      <c r="I261" s="3" t="s">
        <v>3881</v>
      </c>
      <c r="J261" s="298" t="s">
        <v>18</v>
      </c>
      <c r="K261" s="285">
        <v>45728</v>
      </c>
      <c r="O261" s="3"/>
      <c r="Q261"/>
    </row>
    <row r="262" spans="2:17" x14ac:dyDescent="0.25">
      <c r="B262" s="298">
        <v>1792</v>
      </c>
      <c r="C262" s="298" t="s">
        <v>1050</v>
      </c>
      <c r="D262" s="298" t="s">
        <v>94</v>
      </c>
      <c r="E262" s="298" t="s">
        <v>1107</v>
      </c>
      <c r="F262" s="298" t="s">
        <v>90</v>
      </c>
      <c r="G262" s="6">
        <f t="shared" si="8"/>
        <v>158.4823728813559</v>
      </c>
      <c r="H262" s="312">
        <v>1038.94</v>
      </c>
      <c r="I262" s="3" t="s">
        <v>3881</v>
      </c>
      <c r="J262" s="298" t="s">
        <v>18</v>
      </c>
      <c r="K262" s="285">
        <v>45728</v>
      </c>
      <c r="O262" s="3"/>
      <c r="Q262"/>
    </row>
    <row r="263" spans="2:17" x14ac:dyDescent="0.25">
      <c r="B263" s="298">
        <v>1805</v>
      </c>
      <c r="C263" s="298" t="s">
        <v>1063</v>
      </c>
      <c r="D263" s="298" t="s">
        <v>94</v>
      </c>
      <c r="E263" s="298" t="s">
        <v>1120</v>
      </c>
      <c r="F263" s="298" t="s">
        <v>90</v>
      </c>
      <c r="G263" s="6">
        <f t="shared" si="8"/>
        <v>365.60745762711849</v>
      </c>
      <c r="H263" s="312">
        <v>2396.7600000000002</v>
      </c>
      <c r="I263" s="3" t="s">
        <v>3881</v>
      </c>
      <c r="J263" s="298" t="s">
        <v>18</v>
      </c>
      <c r="K263" s="285">
        <v>45728</v>
      </c>
      <c r="O263" s="310"/>
      <c r="Q263"/>
    </row>
    <row r="264" spans="2:17" x14ac:dyDescent="0.25">
      <c r="B264" s="298">
        <v>2368</v>
      </c>
      <c r="C264" s="298" t="s">
        <v>3105</v>
      </c>
      <c r="D264" s="298" t="s">
        <v>74</v>
      </c>
      <c r="E264" s="298" t="s">
        <v>3022</v>
      </c>
      <c r="F264" s="298" t="s">
        <v>90</v>
      </c>
      <c r="G264" s="6">
        <f t="shared" si="8"/>
        <v>222.56542372881358</v>
      </c>
      <c r="H264" s="312">
        <v>1459.04</v>
      </c>
      <c r="I264" s="3" t="s">
        <v>3881</v>
      </c>
      <c r="J264" s="298" t="s">
        <v>18</v>
      </c>
      <c r="K264" s="285">
        <v>45728</v>
      </c>
      <c r="O264" s="3"/>
      <c r="P264" s="31"/>
    </row>
    <row r="265" spans="2:17" x14ac:dyDescent="0.25">
      <c r="B265" s="298">
        <v>2390</v>
      </c>
      <c r="C265" s="298" t="s">
        <v>3127</v>
      </c>
      <c r="D265" s="298" t="s">
        <v>74</v>
      </c>
      <c r="E265" s="298" t="s">
        <v>3044</v>
      </c>
      <c r="F265" s="298" t="s">
        <v>90</v>
      </c>
      <c r="G265" s="6">
        <f t="shared" si="8"/>
        <v>220.23762711864401</v>
      </c>
      <c r="H265" s="312">
        <v>1443.78</v>
      </c>
      <c r="I265" s="3" t="s">
        <v>3881</v>
      </c>
      <c r="J265" s="298" t="s">
        <v>18</v>
      </c>
      <c r="K265" s="285">
        <v>45728</v>
      </c>
      <c r="O265" s="3"/>
      <c r="P265" s="31"/>
    </row>
    <row r="266" spans="2:17" x14ac:dyDescent="0.25">
      <c r="B266" s="298">
        <v>2609</v>
      </c>
      <c r="C266" s="298" t="s">
        <v>3889</v>
      </c>
      <c r="D266" s="298" t="s">
        <v>40</v>
      </c>
      <c r="E266" s="298" t="s">
        <v>3892</v>
      </c>
      <c r="F266" s="298" t="s">
        <v>3635</v>
      </c>
      <c r="G266" s="6">
        <f t="shared" si="8"/>
        <v>1296.6101694915251</v>
      </c>
      <c r="H266" s="312">
        <v>8500</v>
      </c>
      <c r="I266" s="3" t="s">
        <v>3881</v>
      </c>
      <c r="J266" s="298" t="s">
        <v>113</v>
      </c>
      <c r="K266" s="285">
        <v>45726</v>
      </c>
      <c r="O266" s="3"/>
      <c r="P266" s="31"/>
    </row>
    <row r="267" spans="2:17" x14ac:dyDescent="0.25">
      <c r="B267" s="298">
        <v>2610</v>
      </c>
      <c r="C267" s="298" t="s">
        <v>3641</v>
      </c>
      <c r="D267" s="298" t="s">
        <v>45</v>
      </c>
      <c r="E267" s="298" t="s">
        <v>3895</v>
      </c>
      <c r="F267" s="298" t="s">
        <v>3635</v>
      </c>
      <c r="G267" s="6">
        <f t="shared" si="8"/>
        <v>1296.6101694915251</v>
      </c>
      <c r="H267" s="312">
        <v>8500</v>
      </c>
      <c r="I267" s="3" t="s">
        <v>3881</v>
      </c>
      <c r="J267" s="298" t="s">
        <v>113</v>
      </c>
      <c r="K267" s="285">
        <v>45744</v>
      </c>
      <c r="O267" s="3"/>
      <c r="Q267"/>
    </row>
    <row r="268" spans="2:17" x14ac:dyDescent="0.25">
      <c r="B268" s="298">
        <v>2611</v>
      </c>
      <c r="C268" s="298" t="s">
        <v>3641</v>
      </c>
      <c r="D268" s="298" t="s">
        <v>45</v>
      </c>
      <c r="E268" s="298" t="s">
        <v>3894</v>
      </c>
      <c r="F268" s="298" t="s">
        <v>3635</v>
      </c>
      <c r="G268" s="6">
        <f t="shared" si="8"/>
        <v>3432.203389830509</v>
      </c>
      <c r="H268" s="312">
        <v>22500</v>
      </c>
      <c r="I268" s="3" t="s">
        <v>3881</v>
      </c>
      <c r="J268" s="298" t="s">
        <v>113</v>
      </c>
      <c r="K268" s="285">
        <v>45744</v>
      </c>
      <c r="O268" s="3"/>
      <c r="Q268"/>
    </row>
    <row r="269" spans="2:17" x14ac:dyDescent="0.25">
      <c r="B269" s="298">
        <v>2612</v>
      </c>
      <c r="C269" s="298" t="s">
        <v>3641</v>
      </c>
      <c r="D269" s="298" t="s">
        <v>45</v>
      </c>
      <c r="E269" s="298" t="s">
        <v>3896</v>
      </c>
      <c r="F269" s="298" t="s">
        <v>3635</v>
      </c>
      <c r="G269" s="6">
        <f t="shared" ref="G269:G280" si="9">H269-H269/1.18</f>
        <v>3432.203389830509</v>
      </c>
      <c r="H269" s="312">
        <v>22500</v>
      </c>
      <c r="I269" s="3" t="s">
        <v>3881</v>
      </c>
      <c r="J269" s="298" t="s">
        <v>113</v>
      </c>
      <c r="K269" s="285">
        <v>45744</v>
      </c>
      <c r="O269" s="3"/>
      <c r="Q269"/>
    </row>
    <row r="270" spans="2:17" x14ac:dyDescent="0.25">
      <c r="B270" s="298">
        <v>2613</v>
      </c>
      <c r="C270" s="298" t="s">
        <v>3641</v>
      </c>
      <c r="D270" s="298" t="s">
        <v>45</v>
      </c>
      <c r="E270" s="298" t="s">
        <v>3897</v>
      </c>
      <c r="F270" s="298" t="s">
        <v>3635</v>
      </c>
      <c r="G270" s="6">
        <f t="shared" si="9"/>
        <v>1296.6101694915251</v>
      </c>
      <c r="H270" s="312">
        <v>8500</v>
      </c>
      <c r="I270" s="3" t="s">
        <v>3881</v>
      </c>
      <c r="J270" s="298" t="s">
        <v>113</v>
      </c>
      <c r="K270" s="285">
        <v>45744</v>
      </c>
      <c r="O270" s="3"/>
      <c r="Q270"/>
    </row>
    <row r="271" spans="2:17" x14ac:dyDescent="0.25">
      <c r="B271" s="298">
        <v>2614</v>
      </c>
      <c r="C271" s="298" t="s">
        <v>3898</v>
      </c>
      <c r="D271" s="298" t="s">
        <v>21</v>
      </c>
      <c r="E271" s="298" t="s">
        <v>3900</v>
      </c>
      <c r="F271" s="298" t="s">
        <v>3635</v>
      </c>
      <c r="G271" s="6">
        <f t="shared" si="9"/>
        <v>24406.779661016946</v>
      </c>
      <c r="H271" s="312">
        <v>160000</v>
      </c>
      <c r="I271" s="3" t="s">
        <v>3881</v>
      </c>
      <c r="J271" s="298" t="s">
        <v>113</v>
      </c>
      <c r="K271" s="285">
        <v>45742</v>
      </c>
      <c r="O271" s="3"/>
      <c r="P271" s="19"/>
      <c r="Q271" s="19"/>
    </row>
    <row r="272" spans="2:17" x14ac:dyDescent="0.25">
      <c r="B272" s="298">
        <v>2615</v>
      </c>
      <c r="C272" s="298" t="s">
        <v>3902</v>
      </c>
      <c r="D272" s="298" t="s">
        <v>104</v>
      </c>
      <c r="E272" s="298" t="s">
        <v>3903</v>
      </c>
      <c r="F272" s="298" t="s">
        <v>3635</v>
      </c>
      <c r="G272" s="6">
        <f t="shared" si="9"/>
        <v>3432.203389830509</v>
      </c>
      <c r="H272" s="312">
        <v>22500</v>
      </c>
      <c r="I272" s="3" t="s">
        <v>3881</v>
      </c>
      <c r="J272" s="298" t="s">
        <v>18</v>
      </c>
      <c r="K272" s="285">
        <v>45734</v>
      </c>
      <c r="O272" s="3"/>
      <c r="Q272"/>
    </row>
    <row r="273" spans="2:17" x14ac:dyDescent="0.25">
      <c r="B273" s="298">
        <v>2616</v>
      </c>
      <c r="C273" s="298" t="s">
        <v>3904</v>
      </c>
      <c r="D273" s="298">
        <v>0</v>
      </c>
      <c r="E273" s="298" t="s">
        <v>3905</v>
      </c>
      <c r="F273" s="298" t="s">
        <v>3635</v>
      </c>
      <c r="G273" s="6">
        <f t="shared" si="9"/>
        <v>9000</v>
      </c>
      <c r="H273" s="312">
        <v>59000</v>
      </c>
      <c r="I273" s="3" t="s">
        <v>3881</v>
      </c>
      <c r="J273" s="298" t="s">
        <v>18</v>
      </c>
      <c r="K273" s="285">
        <v>45744</v>
      </c>
      <c r="O273" s="3"/>
      <c r="Q273"/>
    </row>
    <row r="274" spans="2:17" x14ac:dyDescent="0.25">
      <c r="B274" s="298">
        <v>2617</v>
      </c>
      <c r="C274" s="298" t="s">
        <v>3904</v>
      </c>
      <c r="D274" s="298">
        <v>0</v>
      </c>
      <c r="E274" s="298" t="s">
        <v>3906</v>
      </c>
      <c r="F274" s="298" t="s">
        <v>3635</v>
      </c>
      <c r="G274" s="6">
        <f t="shared" si="9"/>
        <v>16016.949152542365</v>
      </c>
      <c r="H274" s="312">
        <v>105000</v>
      </c>
      <c r="I274" s="3" t="s">
        <v>3881</v>
      </c>
      <c r="J274" s="298" t="s">
        <v>18</v>
      </c>
      <c r="K274" s="285">
        <v>45744</v>
      </c>
      <c r="O274" s="3"/>
      <c r="Q274"/>
    </row>
    <row r="275" spans="2:17" x14ac:dyDescent="0.25">
      <c r="B275" s="298">
        <v>2618</v>
      </c>
      <c r="C275" s="298" t="s">
        <v>3909</v>
      </c>
      <c r="D275" s="298">
        <v>0</v>
      </c>
      <c r="E275" s="298" t="s">
        <v>3908</v>
      </c>
      <c r="F275" s="298" t="s">
        <v>3635</v>
      </c>
      <c r="G275" s="6">
        <f t="shared" si="9"/>
        <v>4118.6440677966093</v>
      </c>
      <c r="H275" s="312">
        <v>27000</v>
      </c>
      <c r="I275" s="3" t="s">
        <v>3881</v>
      </c>
      <c r="J275" s="298" t="s">
        <v>18</v>
      </c>
      <c r="K275" s="285">
        <v>45744</v>
      </c>
      <c r="O275" s="3"/>
      <c r="Q275"/>
    </row>
    <row r="276" spans="2:17" x14ac:dyDescent="0.25">
      <c r="B276" s="298">
        <v>2619</v>
      </c>
      <c r="C276" s="298" t="s">
        <v>3909</v>
      </c>
      <c r="D276" s="298">
        <v>0</v>
      </c>
      <c r="E276" s="298" t="s">
        <v>3907</v>
      </c>
      <c r="F276" s="298" t="s">
        <v>3635</v>
      </c>
      <c r="G276" s="6">
        <f t="shared" si="9"/>
        <v>6513.5593220338997</v>
      </c>
      <c r="H276" s="312">
        <v>42700</v>
      </c>
      <c r="I276" s="3" t="s">
        <v>3881</v>
      </c>
      <c r="J276" s="298" t="s">
        <v>18</v>
      </c>
      <c r="K276" s="285">
        <v>45744</v>
      </c>
      <c r="O276" s="3"/>
      <c r="Q276"/>
    </row>
    <row r="277" spans="2:17" x14ac:dyDescent="0.25">
      <c r="B277" s="298">
        <v>2556</v>
      </c>
      <c r="C277" s="298" t="s">
        <v>1534</v>
      </c>
      <c r="D277" s="298" t="s">
        <v>95</v>
      </c>
      <c r="E277" s="298" t="s">
        <v>3652</v>
      </c>
      <c r="F277" s="298" t="s">
        <v>90</v>
      </c>
      <c r="G277" s="6">
        <f t="shared" si="9"/>
        <v>798.52728813559315</v>
      </c>
      <c r="H277" s="312">
        <v>5234.79</v>
      </c>
      <c r="I277" s="3" t="s">
        <v>3881</v>
      </c>
      <c r="J277" s="298" t="s">
        <v>18</v>
      </c>
      <c r="K277" s="285">
        <v>45747</v>
      </c>
      <c r="O277" s="3"/>
      <c r="Q277"/>
    </row>
    <row r="278" spans="2:17" x14ac:dyDescent="0.25">
      <c r="B278" s="298">
        <v>1971</v>
      </c>
      <c r="C278" s="298" t="s">
        <v>1973</v>
      </c>
      <c r="D278" s="298" t="s">
        <v>91</v>
      </c>
      <c r="E278" s="298" t="s">
        <v>1615</v>
      </c>
      <c r="F278" s="298" t="s">
        <v>701</v>
      </c>
      <c r="G278" s="6">
        <f t="shared" si="9"/>
        <v>1831.1262711864401</v>
      </c>
      <c r="H278" s="312">
        <v>12004.05</v>
      </c>
      <c r="I278" s="3" t="s">
        <v>3881</v>
      </c>
      <c r="J278" s="298" t="s">
        <v>18</v>
      </c>
      <c r="K278" s="285">
        <v>45747</v>
      </c>
      <c r="O278" s="3"/>
      <c r="Q278"/>
    </row>
    <row r="279" spans="2:17" x14ac:dyDescent="0.25">
      <c r="B279" s="298">
        <v>2531</v>
      </c>
      <c r="C279" s="298" t="s">
        <v>3358</v>
      </c>
      <c r="D279" s="298" t="s">
        <v>96</v>
      </c>
      <c r="E279" s="298" t="s">
        <v>3340</v>
      </c>
      <c r="F279" s="298" t="s">
        <v>71</v>
      </c>
      <c r="G279" s="6">
        <f t="shared" si="9"/>
        <v>91.330169491525396</v>
      </c>
      <c r="H279" s="312">
        <v>598.72</v>
      </c>
      <c r="I279" s="3" t="s">
        <v>3881</v>
      </c>
      <c r="J279" s="298" t="s">
        <v>18</v>
      </c>
      <c r="K279" s="285">
        <v>45734</v>
      </c>
      <c r="O279" s="3">
        <v>70</v>
      </c>
      <c r="Q279" t="s">
        <v>718</v>
      </c>
    </row>
    <row r="280" spans="2:17" x14ac:dyDescent="0.25">
      <c r="B280" s="298">
        <v>2570</v>
      </c>
      <c r="C280" s="298" t="s">
        <v>3359</v>
      </c>
      <c r="D280" s="298" t="s">
        <v>96</v>
      </c>
      <c r="E280" s="298" t="s">
        <v>3528</v>
      </c>
      <c r="F280" s="298" t="s">
        <v>71</v>
      </c>
      <c r="G280" s="6">
        <f t="shared" si="9"/>
        <v>165.7311864406779</v>
      </c>
      <c r="H280" s="312">
        <v>1086.46</v>
      </c>
      <c r="I280" s="3" t="s">
        <v>3881</v>
      </c>
      <c r="J280" s="298" t="s">
        <v>18</v>
      </c>
      <c r="K280" s="285">
        <v>45734</v>
      </c>
      <c r="O280" s="3">
        <v>28</v>
      </c>
      <c r="Q280" t="s">
        <v>718</v>
      </c>
    </row>
    <row r="281" spans="2:17" x14ac:dyDescent="0.25">
      <c r="B281" s="298">
        <v>2535</v>
      </c>
      <c r="C281" s="298" t="s">
        <v>3359</v>
      </c>
      <c r="D281" s="298" t="s">
        <v>96</v>
      </c>
      <c r="E281" s="298" t="s">
        <v>3627</v>
      </c>
      <c r="F281" s="298" t="s">
        <v>71</v>
      </c>
      <c r="G281" s="6">
        <f t="shared" ref="G281:G284" si="10">H281-H281/1.18</f>
        <v>160.12220338983047</v>
      </c>
      <c r="H281" s="312">
        <v>1049.69</v>
      </c>
      <c r="I281" s="3" t="s">
        <v>3881</v>
      </c>
      <c r="J281" s="298" t="s">
        <v>18</v>
      </c>
      <c r="K281" s="285">
        <v>45734</v>
      </c>
      <c r="O281" s="3">
        <v>72</v>
      </c>
      <c r="Q281" t="s">
        <v>718</v>
      </c>
    </row>
    <row r="282" spans="2:17" x14ac:dyDescent="0.25">
      <c r="B282" s="298">
        <v>2544</v>
      </c>
      <c r="C282" s="298" t="s">
        <v>3359</v>
      </c>
      <c r="D282" s="298" t="s">
        <v>96</v>
      </c>
      <c r="E282" s="298" t="s">
        <v>3507</v>
      </c>
      <c r="F282" s="298" t="s">
        <v>71</v>
      </c>
      <c r="G282" s="6">
        <f t="shared" si="10"/>
        <v>90.483559322033841</v>
      </c>
      <c r="H282" s="312">
        <v>593.16999999999996</v>
      </c>
      <c r="I282" s="3" t="s">
        <v>3881</v>
      </c>
      <c r="J282" s="298" t="s">
        <v>18</v>
      </c>
      <c r="K282" s="285">
        <v>45734</v>
      </c>
      <c r="O282" s="3">
        <v>65</v>
      </c>
      <c r="Q282" t="s">
        <v>718</v>
      </c>
    </row>
    <row r="283" spans="2:17" x14ac:dyDescent="0.25">
      <c r="B283" s="298">
        <v>2536</v>
      </c>
      <c r="C283" s="298" t="s">
        <v>3359</v>
      </c>
      <c r="D283" s="298" t="s">
        <v>96</v>
      </c>
      <c r="E283" s="298" t="s">
        <v>3480</v>
      </c>
      <c r="F283" s="298" t="s">
        <v>71</v>
      </c>
      <c r="G283" s="6">
        <f t="shared" si="10"/>
        <v>36.449999999999989</v>
      </c>
      <c r="H283" s="312">
        <v>238.95</v>
      </c>
      <c r="I283" s="3" t="s">
        <v>3881</v>
      </c>
      <c r="J283" s="298" t="s">
        <v>18</v>
      </c>
      <c r="K283" s="285">
        <v>45734</v>
      </c>
      <c r="O283" s="3">
        <v>99</v>
      </c>
      <c r="Q283" t="s">
        <v>718</v>
      </c>
    </row>
    <row r="284" spans="2:17" x14ac:dyDescent="0.25">
      <c r="B284" s="298">
        <v>2532</v>
      </c>
      <c r="C284" s="298" t="s">
        <v>3359</v>
      </c>
      <c r="D284" s="298" t="s">
        <v>96</v>
      </c>
      <c r="E284" s="298" t="s">
        <v>3327</v>
      </c>
      <c r="F284" s="298" t="s">
        <v>71</v>
      </c>
      <c r="G284" s="6">
        <f t="shared" si="10"/>
        <v>98.791016949152549</v>
      </c>
      <c r="H284" s="312">
        <v>647.63</v>
      </c>
      <c r="I284" s="3" t="s">
        <v>3881</v>
      </c>
      <c r="J284" s="298" t="s">
        <v>18</v>
      </c>
      <c r="K284" s="285">
        <v>45734</v>
      </c>
      <c r="O284" s="3">
        <v>3</v>
      </c>
      <c r="Q284" t="s">
        <v>718</v>
      </c>
    </row>
    <row r="285" spans="2:17" x14ac:dyDescent="0.25">
      <c r="B285" s="298">
        <v>2569</v>
      </c>
      <c r="C285" s="298" t="s">
        <v>3359</v>
      </c>
      <c r="D285" s="298" t="s">
        <v>96</v>
      </c>
      <c r="E285" s="298" t="s">
        <v>3444</v>
      </c>
      <c r="F285" s="298" t="s">
        <v>71</v>
      </c>
      <c r="G285" s="6">
        <f t="shared" ref="G285:G298" si="11">H285-H285/1.18</f>
        <v>58.721186440677968</v>
      </c>
      <c r="H285" s="312">
        <v>384.95</v>
      </c>
      <c r="I285" s="3" t="s">
        <v>3881</v>
      </c>
      <c r="J285" s="298" t="s">
        <v>18</v>
      </c>
      <c r="K285" s="285">
        <v>45734</v>
      </c>
      <c r="O285" s="3">
        <v>37</v>
      </c>
      <c r="Q285" t="s">
        <v>718</v>
      </c>
    </row>
    <row r="286" spans="2:17" x14ac:dyDescent="0.25">
      <c r="B286" s="298">
        <v>2554</v>
      </c>
      <c r="C286" s="298" t="s">
        <v>3359</v>
      </c>
      <c r="D286" s="298" t="s">
        <v>96</v>
      </c>
      <c r="E286" s="298" t="s">
        <v>3445</v>
      </c>
      <c r="F286" s="298" t="s">
        <v>71</v>
      </c>
      <c r="G286" s="22">
        <f t="shared" si="11"/>
        <v>3.1515254237288133</v>
      </c>
      <c r="H286" s="312">
        <v>20.66</v>
      </c>
      <c r="I286" s="3" t="s">
        <v>3881</v>
      </c>
      <c r="J286" s="298" t="s">
        <v>18</v>
      </c>
      <c r="K286" s="285">
        <v>45734</v>
      </c>
      <c r="O286" s="3">
        <v>36</v>
      </c>
      <c r="Q286" t="s">
        <v>718</v>
      </c>
    </row>
    <row r="287" spans="2:17" x14ac:dyDescent="0.25">
      <c r="B287" s="298">
        <v>2552</v>
      </c>
      <c r="C287" s="298" t="s">
        <v>3359</v>
      </c>
      <c r="D287" s="298" t="s">
        <v>96</v>
      </c>
      <c r="E287" s="298" t="s">
        <v>3442</v>
      </c>
      <c r="F287" s="298" t="s">
        <v>71</v>
      </c>
      <c r="G287" s="6">
        <f t="shared" si="11"/>
        <v>605.50169491525412</v>
      </c>
      <c r="H287" s="312">
        <v>3969.4</v>
      </c>
      <c r="I287" s="3" t="s">
        <v>3881</v>
      </c>
      <c r="J287" s="298" t="s">
        <v>18</v>
      </c>
      <c r="K287" s="285">
        <v>45734</v>
      </c>
      <c r="O287" s="3">
        <v>36</v>
      </c>
      <c r="Q287" t="s">
        <v>718</v>
      </c>
    </row>
    <row r="288" spans="2:17" x14ac:dyDescent="0.25">
      <c r="B288" s="298">
        <v>2553</v>
      </c>
      <c r="C288" s="298" t="s">
        <v>3359</v>
      </c>
      <c r="D288" s="298" t="s">
        <v>96</v>
      </c>
      <c r="E288" s="298" t="s">
        <v>3443</v>
      </c>
      <c r="F288" s="298" t="s">
        <v>71</v>
      </c>
      <c r="G288" s="6">
        <f t="shared" si="11"/>
        <v>717.95440677966099</v>
      </c>
      <c r="H288" s="312">
        <v>4706.59</v>
      </c>
      <c r="I288" s="3" t="s">
        <v>3881</v>
      </c>
      <c r="J288" s="298" t="s">
        <v>18</v>
      </c>
      <c r="K288" s="285">
        <v>45734</v>
      </c>
      <c r="O288" s="3">
        <v>41</v>
      </c>
      <c r="Q288" t="s">
        <v>718</v>
      </c>
    </row>
    <row r="289" spans="2:17" x14ac:dyDescent="0.25">
      <c r="B289" s="298">
        <v>2534</v>
      </c>
      <c r="C289" s="298" t="s">
        <v>3358</v>
      </c>
      <c r="D289" s="298" t="s">
        <v>96</v>
      </c>
      <c r="E289" s="298" t="s">
        <v>3462</v>
      </c>
      <c r="F289" s="298" t="s">
        <v>71</v>
      </c>
      <c r="G289" s="6">
        <f t="shared" si="11"/>
        <v>128.6679661016949</v>
      </c>
      <c r="H289" s="312">
        <v>843.49</v>
      </c>
      <c r="I289" s="3" t="s">
        <v>3881</v>
      </c>
      <c r="J289" s="298" t="s">
        <v>18</v>
      </c>
      <c r="K289" s="285">
        <v>45734</v>
      </c>
      <c r="O289" s="3">
        <v>29</v>
      </c>
      <c r="Q289" t="s">
        <v>718</v>
      </c>
    </row>
    <row r="290" spans="2:17" x14ac:dyDescent="0.25">
      <c r="B290" s="298">
        <v>2546</v>
      </c>
      <c r="C290" s="298" t="s">
        <v>3358</v>
      </c>
      <c r="D290" s="298" t="s">
        <v>96</v>
      </c>
      <c r="E290" s="298" t="s">
        <v>3530</v>
      </c>
      <c r="F290" s="298" t="s">
        <v>71</v>
      </c>
      <c r="G290" s="6">
        <f t="shared" si="11"/>
        <v>115.2198305084745</v>
      </c>
      <c r="H290" s="312">
        <v>755.33</v>
      </c>
      <c r="I290" s="3" t="s">
        <v>3881</v>
      </c>
      <c r="J290" s="298" t="s">
        <v>18</v>
      </c>
      <c r="K290" s="285">
        <v>45734</v>
      </c>
      <c r="O290" s="3">
        <v>29</v>
      </c>
      <c r="Q290" t="s">
        <v>718</v>
      </c>
    </row>
    <row r="291" spans="2:17" x14ac:dyDescent="0.25">
      <c r="B291" s="298">
        <v>2543</v>
      </c>
      <c r="C291" s="298" t="s">
        <v>3358</v>
      </c>
      <c r="D291" s="298" t="s">
        <v>96</v>
      </c>
      <c r="E291" s="298" t="s">
        <v>3465</v>
      </c>
      <c r="F291" s="298" t="s">
        <v>71</v>
      </c>
      <c r="G291" s="6">
        <f t="shared" si="11"/>
        <v>168.34118644067792</v>
      </c>
      <c r="H291" s="312">
        <v>1103.57</v>
      </c>
      <c r="I291" s="3" t="s">
        <v>3881</v>
      </c>
      <c r="J291" s="298" t="s">
        <v>18</v>
      </c>
      <c r="K291" s="285">
        <v>45734</v>
      </c>
      <c r="O291" s="3">
        <v>104</v>
      </c>
      <c r="Q291" t="s">
        <v>718</v>
      </c>
    </row>
    <row r="292" spans="2:17" x14ac:dyDescent="0.25">
      <c r="B292" s="298">
        <v>2551</v>
      </c>
      <c r="C292" s="298" t="s">
        <v>3358</v>
      </c>
      <c r="D292" s="298" t="s">
        <v>96</v>
      </c>
      <c r="E292" s="298" t="s">
        <v>3704</v>
      </c>
      <c r="F292" s="298" t="s">
        <v>71</v>
      </c>
      <c r="G292" s="6">
        <f t="shared" si="11"/>
        <v>116.77576271186433</v>
      </c>
      <c r="H292" s="312">
        <v>765.53</v>
      </c>
      <c r="I292" s="3" t="s">
        <v>3881</v>
      </c>
      <c r="J292" s="298" t="s">
        <v>18</v>
      </c>
      <c r="K292" s="285">
        <v>45734</v>
      </c>
      <c r="O292" s="3">
        <v>35</v>
      </c>
      <c r="Q292" t="s">
        <v>718</v>
      </c>
    </row>
    <row r="293" spans="2:17" x14ac:dyDescent="0.25">
      <c r="B293" s="298">
        <v>2518</v>
      </c>
      <c r="C293" s="298" t="s">
        <v>3579</v>
      </c>
      <c r="D293" s="298" t="s">
        <v>29</v>
      </c>
      <c r="E293" s="298" t="s">
        <v>3578</v>
      </c>
      <c r="F293" s="298" t="s">
        <v>87</v>
      </c>
      <c r="G293" s="6">
        <f t="shared" si="11"/>
        <v>24433.058135593223</v>
      </c>
      <c r="H293" s="312">
        <v>160172.26999999999</v>
      </c>
      <c r="I293" s="3" t="s">
        <v>3881</v>
      </c>
      <c r="J293" s="298" t="s">
        <v>113</v>
      </c>
      <c r="K293" s="285">
        <v>45747</v>
      </c>
      <c r="O293" s="3"/>
      <c r="Q293"/>
    </row>
    <row r="294" spans="2:17" x14ac:dyDescent="0.25">
      <c r="B294" s="298">
        <v>2577</v>
      </c>
      <c r="C294" s="298" t="s">
        <v>2198</v>
      </c>
      <c r="D294" s="298" t="s">
        <v>50</v>
      </c>
      <c r="E294" s="298" t="s">
        <v>3812</v>
      </c>
      <c r="F294" s="298" t="s">
        <v>141</v>
      </c>
      <c r="G294" s="22">
        <f t="shared" si="11"/>
        <v>3.8135593220338961</v>
      </c>
      <c r="H294" s="312">
        <v>25</v>
      </c>
      <c r="I294" s="3" t="s">
        <v>3881</v>
      </c>
      <c r="J294" s="298" t="s">
        <v>113</v>
      </c>
      <c r="K294" s="285">
        <v>45747</v>
      </c>
      <c r="O294" s="3">
        <v>1</v>
      </c>
      <c r="Q294"/>
    </row>
    <row r="295" spans="2:17" x14ac:dyDescent="0.25">
      <c r="B295" s="298">
        <v>2578</v>
      </c>
      <c r="C295" s="298" t="s">
        <v>2198</v>
      </c>
      <c r="D295" s="298" t="s">
        <v>50</v>
      </c>
      <c r="E295" s="298" t="s">
        <v>3813</v>
      </c>
      <c r="F295" s="298" t="s">
        <v>141</v>
      </c>
      <c r="G295" s="22">
        <f t="shared" si="11"/>
        <v>3.8135593220338961</v>
      </c>
      <c r="H295" s="312">
        <v>25</v>
      </c>
      <c r="I295" s="3" t="s">
        <v>3881</v>
      </c>
      <c r="J295" s="298" t="s">
        <v>113</v>
      </c>
      <c r="K295" s="285">
        <v>45747</v>
      </c>
      <c r="O295" s="3">
        <v>1</v>
      </c>
      <c r="Q295"/>
    </row>
    <row r="296" spans="2:17" x14ac:dyDescent="0.25">
      <c r="B296" s="298">
        <v>2594</v>
      </c>
      <c r="C296" s="298" t="s">
        <v>2198</v>
      </c>
      <c r="D296" s="298" t="s">
        <v>50</v>
      </c>
      <c r="E296" s="298" t="s">
        <v>3848</v>
      </c>
      <c r="F296" s="298" t="s">
        <v>141</v>
      </c>
      <c r="G296" s="22">
        <f t="shared" si="11"/>
        <v>3.8135593220338961</v>
      </c>
      <c r="H296" s="312">
        <v>25</v>
      </c>
      <c r="I296" s="3" t="s">
        <v>3881</v>
      </c>
      <c r="J296" s="298" t="s">
        <v>113</v>
      </c>
      <c r="K296" s="285">
        <v>45747</v>
      </c>
      <c r="O296" s="3">
        <v>1</v>
      </c>
      <c r="Q296"/>
    </row>
    <row r="297" spans="2:17" x14ac:dyDescent="0.25">
      <c r="B297" s="298">
        <v>2596</v>
      </c>
      <c r="C297" s="298" t="s">
        <v>2198</v>
      </c>
      <c r="D297" s="298" t="s">
        <v>50</v>
      </c>
      <c r="E297" s="298" t="s">
        <v>3850</v>
      </c>
      <c r="F297" s="298" t="s">
        <v>141</v>
      </c>
      <c r="G297" s="6">
        <f t="shared" si="11"/>
        <v>251.69491525423723</v>
      </c>
      <c r="H297" s="312">
        <v>1650</v>
      </c>
      <c r="I297" s="3" t="s">
        <v>3881</v>
      </c>
      <c r="J297" s="298" t="s">
        <v>113</v>
      </c>
      <c r="K297" s="285">
        <v>45747</v>
      </c>
      <c r="O297" s="3">
        <v>66</v>
      </c>
      <c r="Q297"/>
    </row>
    <row r="298" spans="2:17" x14ac:dyDescent="0.25">
      <c r="B298" s="298">
        <v>2537</v>
      </c>
      <c r="C298" s="298" t="s">
        <v>2198</v>
      </c>
      <c r="D298" s="298" t="s">
        <v>50</v>
      </c>
      <c r="E298" s="298" t="s">
        <v>3545</v>
      </c>
      <c r="F298" s="298" t="s">
        <v>141</v>
      </c>
      <c r="G298" s="22">
        <f t="shared" si="11"/>
        <v>3.8135593220338961</v>
      </c>
      <c r="H298" s="312">
        <v>25</v>
      </c>
      <c r="I298" s="3" t="s">
        <v>3881</v>
      </c>
      <c r="J298" s="298" t="s">
        <v>113</v>
      </c>
      <c r="K298" s="285">
        <v>45747</v>
      </c>
      <c r="O298" s="3">
        <v>1</v>
      </c>
      <c r="Q298"/>
    </row>
    <row r="299" spans="2:17" x14ac:dyDescent="0.25">
      <c r="B299" s="298">
        <v>2620</v>
      </c>
      <c r="C299" s="298" t="s">
        <v>2198</v>
      </c>
      <c r="D299" s="298" t="s">
        <v>50</v>
      </c>
      <c r="E299" s="298" t="s">
        <v>3910</v>
      </c>
      <c r="F299" s="298" t="s">
        <v>141</v>
      </c>
      <c r="G299" s="6">
        <f t="shared" ref="G299:G305" si="12">H299-H299/1.18</f>
        <v>255.50847457627106</v>
      </c>
      <c r="H299" s="312">
        <v>1675</v>
      </c>
      <c r="I299" s="3" t="s">
        <v>3881</v>
      </c>
      <c r="J299" s="298" t="s">
        <v>113</v>
      </c>
      <c r="K299" s="285">
        <v>45747</v>
      </c>
      <c r="O299" s="3">
        <v>67</v>
      </c>
      <c r="Q299"/>
    </row>
    <row r="300" spans="2:17" x14ac:dyDescent="0.25">
      <c r="B300" s="298">
        <v>1766</v>
      </c>
      <c r="C300" s="298" t="s">
        <v>972</v>
      </c>
      <c r="D300" s="298" t="s">
        <v>95</v>
      </c>
      <c r="E300" s="298" t="s">
        <v>971</v>
      </c>
      <c r="F300" s="298" t="s">
        <v>90</v>
      </c>
      <c r="G300" s="6">
        <f t="shared" si="12"/>
        <v>6543.8786440677941</v>
      </c>
      <c r="H300" s="312">
        <v>42898.76</v>
      </c>
      <c r="I300" s="3" t="s">
        <v>3881</v>
      </c>
      <c r="J300" s="298" t="s">
        <v>18</v>
      </c>
      <c r="K300" s="285">
        <v>45747</v>
      </c>
      <c r="O300" s="3"/>
      <c r="Q300"/>
    </row>
    <row r="301" spans="2:17" x14ac:dyDescent="0.25">
      <c r="B301" s="298">
        <v>1899</v>
      </c>
      <c r="C301" s="298" t="s">
        <v>1428</v>
      </c>
      <c r="D301" s="298" t="s">
        <v>43</v>
      </c>
      <c r="E301" s="298" t="s">
        <v>1318</v>
      </c>
      <c r="F301" s="298" t="s">
        <v>90</v>
      </c>
      <c r="G301" s="6">
        <f t="shared" si="12"/>
        <v>374.56779661016935</v>
      </c>
      <c r="H301" s="312">
        <v>2455.5</v>
      </c>
      <c r="I301" s="3" t="s">
        <v>3881</v>
      </c>
      <c r="J301" s="298" t="s">
        <v>113</v>
      </c>
      <c r="K301" s="285">
        <v>45728</v>
      </c>
      <c r="O301" s="3"/>
      <c r="Q301"/>
    </row>
    <row r="302" spans="2:17" x14ac:dyDescent="0.25">
      <c r="B302" s="298">
        <v>1909</v>
      </c>
      <c r="C302" s="298" t="s">
        <v>1438</v>
      </c>
      <c r="D302" s="298" t="s">
        <v>41</v>
      </c>
      <c r="E302" s="298" t="s">
        <v>1328</v>
      </c>
      <c r="F302" s="298" t="s">
        <v>90</v>
      </c>
      <c r="G302" s="6">
        <f t="shared" si="12"/>
        <v>240.76983050847457</v>
      </c>
      <c r="H302" s="312">
        <v>1578.38</v>
      </c>
      <c r="I302" s="3" t="s">
        <v>3881</v>
      </c>
      <c r="J302" s="298" t="s">
        <v>113</v>
      </c>
      <c r="K302" s="285">
        <v>45728</v>
      </c>
      <c r="O302" s="3"/>
      <c r="Q302"/>
    </row>
    <row r="303" spans="2:17" x14ac:dyDescent="0.25">
      <c r="B303" s="298">
        <v>1916</v>
      </c>
      <c r="C303" s="298" t="s">
        <v>1445</v>
      </c>
      <c r="D303" s="298" t="s">
        <v>41</v>
      </c>
      <c r="E303" s="298" t="s">
        <v>1335</v>
      </c>
      <c r="F303" s="298" t="s">
        <v>90</v>
      </c>
      <c r="G303" s="6">
        <f t="shared" si="12"/>
        <v>266.19101694915253</v>
      </c>
      <c r="H303" s="312">
        <v>1745.03</v>
      </c>
      <c r="I303" s="3" t="s">
        <v>3881</v>
      </c>
      <c r="J303" s="298" t="s">
        <v>113</v>
      </c>
      <c r="K303" s="285">
        <v>45728</v>
      </c>
      <c r="O303" s="3"/>
      <c r="Q303"/>
    </row>
    <row r="304" spans="2:17" x14ac:dyDescent="0.25">
      <c r="B304" s="298">
        <v>1934</v>
      </c>
      <c r="C304" s="298" t="s">
        <v>1463</v>
      </c>
      <c r="D304" s="298" t="s">
        <v>40</v>
      </c>
      <c r="E304" s="298" t="s">
        <v>1351</v>
      </c>
      <c r="F304" s="298" t="s">
        <v>90</v>
      </c>
      <c r="G304" s="6">
        <f t="shared" si="12"/>
        <v>74.472711864406733</v>
      </c>
      <c r="H304" s="312">
        <v>488.21</v>
      </c>
      <c r="I304" s="3" t="s">
        <v>3881</v>
      </c>
      <c r="J304" s="298" t="s">
        <v>113</v>
      </c>
      <c r="K304" s="285">
        <v>45728</v>
      </c>
      <c r="O304" s="3"/>
      <c r="Q304"/>
    </row>
    <row r="305" spans="2:17" x14ac:dyDescent="0.25">
      <c r="B305" s="298">
        <v>1960</v>
      </c>
      <c r="C305" s="298" t="s">
        <v>1489</v>
      </c>
      <c r="D305" s="298" t="s">
        <v>40</v>
      </c>
      <c r="E305" s="298" t="s">
        <v>1377</v>
      </c>
      <c r="F305" s="298" t="s">
        <v>90</v>
      </c>
      <c r="G305" s="6">
        <f t="shared" si="12"/>
        <v>1700.9588135593222</v>
      </c>
      <c r="H305" s="312">
        <v>11150.73</v>
      </c>
      <c r="I305" s="3" t="s">
        <v>3881</v>
      </c>
      <c r="J305" s="298" t="s">
        <v>113</v>
      </c>
      <c r="K305" s="285">
        <v>45728</v>
      </c>
      <c r="O305" s="3"/>
      <c r="Q305"/>
    </row>
    <row r="306" spans="2:17" x14ac:dyDescent="0.25">
      <c r="B306" s="298">
        <v>1956</v>
      </c>
      <c r="C306" s="298" t="s">
        <v>1485</v>
      </c>
      <c r="D306" s="298" t="s">
        <v>40</v>
      </c>
      <c r="E306" s="298" t="s">
        <v>1373</v>
      </c>
      <c r="F306" s="298" t="s">
        <v>90</v>
      </c>
      <c r="G306" s="6">
        <f t="shared" ref="G306:G308" si="13">H306-H306/1.18</f>
        <v>328.04389830508467</v>
      </c>
      <c r="H306" s="312">
        <v>2150.5100000000002</v>
      </c>
      <c r="I306" s="3" t="s">
        <v>3881</v>
      </c>
      <c r="J306" s="298" t="s">
        <v>113</v>
      </c>
      <c r="K306" s="285">
        <v>45728</v>
      </c>
      <c r="O306" s="3"/>
      <c r="Q306"/>
    </row>
    <row r="307" spans="2:17" x14ac:dyDescent="0.25">
      <c r="B307" s="298">
        <v>1930</v>
      </c>
      <c r="C307" s="298" t="s">
        <v>1459</v>
      </c>
      <c r="D307" s="298" t="s">
        <v>40</v>
      </c>
      <c r="E307" s="298" t="s">
        <v>1347</v>
      </c>
      <c r="F307" s="298" t="s">
        <v>90</v>
      </c>
      <c r="G307" s="6">
        <f t="shared" si="13"/>
        <v>2383.2122033898304</v>
      </c>
      <c r="H307" s="312">
        <v>15623.28</v>
      </c>
      <c r="I307" s="3" t="s">
        <v>3881</v>
      </c>
      <c r="J307" s="298" t="s">
        <v>113</v>
      </c>
      <c r="K307" s="285">
        <v>45728</v>
      </c>
      <c r="O307" s="3"/>
      <c r="Q307"/>
    </row>
    <row r="308" spans="2:17" x14ac:dyDescent="0.25">
      <c r="B308" s="298">
        <v>2051</v>
      </c>
      <c r="C308" s="298" t="s">
        <v>2182</v>
      </c>
      <c r="D308" s="298" t="s">
        <v>91</v>
      </c>
      <c r="E308" s="298" t="s">
        <v>3792</v>
      </c>
      <c r="F308" s="298" t="s">
        <v>105</v>
      </c>
      <c r="G308" s="6">
        <f t="shared" si="13"/>
        <v>76271.186440677964</v>
      </c>
      <c r="H308" s="312">
        <v>500000</v>
      </c>
      <c r="I308" s="3" t="s">
        <v>3881</v>
      </c>
      <c r="J308" s="298" t="s">
        <v>18</v>
      </c>
      <c r="K308" s="285">
        <v>45743</v>
      </c>
      <c r="O308" s="3"/>
      <c r="Q308"/>
    </row>
    <row r="309" spans="2:17" x14ac:dyDescent="0.25">
      <c r="B309" s="298">
        <v>2249</v>
      </c>
      <c r="C309" s="298" t="s">
        <v>2745</v>
      </c>
      <c r="D309" s="298" t="s">
        <v>33</v>
      </c>
      <c r="E309" s="298" t="s">
        <v>2673</v>
      </c>
      <c r="F309" s="298" t="s">
        <v>71</v>
      </c>
      <c r="G309" s="6">
        <v>4097.7640677966083</v>
      </c>
      <c r="H309" s="312">
        <v>26863.119999999999</v>
      </c>
      <c r="I309" s="3" t="s">
        <v>3977</v>
      </c>
      <c r="J309" s="298" t="s">
        <v>113</v>
      </c>
      <c r="K309" s="285">
        <v>45762</v>
      </c>
      <c r="O309" s="3"/>
      <c r="Q309"/>
    </row>
    <row r="310" spans="2:17" x14ac:dyDescent="0.25">
      <c r="B310" s="298">
        <v>2223</v>
      </c>
      <c r="C310" s="298" t="s">
        <v>2719</v>
      </c>
      <c r="D310" s="298" t="s">
        <v>34</v>
      </c>
      <c r="E310" s="298" t="s">
        <v>2650</v>
      </c>
      <c r="F310" s="298" t="s">
        <v>71</v>
      </c>
      <c r="G310" s="6">
        <v>6960.5679661016911</v>
      </c>
      <c r="H310" s="312">
        <v>45630.39</v>
      </c>
      <c r="I310" s="3" t="s">
        <v>3977</v>
      </c>
      <c r="J310" s="298" t="s">
        <v>113</v>
      </c>
      <c r="K310" s="285">
        <v>45762</v>
      </c>
      <c r="O310" s="3"/>
      <c r="Q310"/>
    </row>
    <row r="311" spans="2:17" x14ac:dyDescent="0.25">
      <c r="B311" s="298">
        <v>2256</v>
      </c>
      <c r="C311" s="298" t="s">
        <v>2752</v>
      </c>
      <c r="D311" s="298" t="s">
        <v>34</v>
      </c>
      <c r="E311" s="298" t="s">
        <v>2676</v>
      </c>
      <c r="F311" s="298" t="s">
        <v>71</v>
      </c>
      <c r="G311" s="6">
        <v>3547.8854237288142</v>
      </c>
      <c r="H311" s="312">
        <v>23258.36</v>
      </c>
      <c r="I311" s="3" t="s">
        <v>3977</v>
      </c>
      <c r="J311" s="298" t="s">
        <v>113</v>
      </c>
      <c r="K311" s="285">
        <v>45762</v>
      </c>
      <c r="O311" s="3"/>
      <c r="Q311"/>
    </row>
    <row r="312" spans="2:17" x14ac:dyDescent="0.25">
      <c r="B312" s="298">
        <v>2229</v>
      </c>
      <c r="C312" s="298" t="s">
        <v>2725</v>
      </c>
      <c r="D312" s="298" t="s">
        <v>34</v>
      </c>
      <c r="E312" s="298" t="s">
        <v>2655</v>
      </c>
      <c r="F312" s="298" t="s">
        <v>71</v>
      </c>
      <c r="G312" s="6">
        <v>2291.4549152542368</v>
      </c>
      <c r="H312" s="312">
        <v>15021.76</v>
      </c>
      <c r="I312" s="3" t="s">
        <v>3977</v>
      </c>
      <c r="J312" s="298" t="s">
        <v>113</v>
      </c>
      <c r="K312" s="285">
        <v>0</v>
      </c>
      <c r="O312" s="3"/>
      <c r="Q312"/>
    </row>
    <row r="313" spans="2:17" x14ac:dyDescent="0.25">
      <c r="B313" s="298">
        <v>2215</v>
      </c>
      <c r="C313" s="298" t="s">
        <v>2711</v>
      </c>
      <c r="D313" s="298" t="s">
        <v>34</v>
      </c>
      <c r="E313" s="298" t="s">
        <v>2644</v>
      </c>
      <c r="F313" s="298" t="s">
        <v>71</v>
      </c>
      <c r="G313" s="6">
        <v>2446.5294915254235</v>
      </c>
      <c r="H313" s="312">
        <v>16038.36</v>
      </c>
      <c r="I313" s="3" t="s">
        <v>3977</v>
      </c>
      <c r="J313" s="298" t="s">
        <v>113</v>
      </c>
      <c r="K313" s="285">
        <v>45762</v>
      </c>
      <c r="O313" s="3"/>
      <c r="Q313"/>
    </row>
    <row r="314" spans="2:17" x14ac:dyDescent="0.25">
      <c r="B314" s="298">
        <v>2228</v>
      </c>
      <c r="C314" s="298" t="s">
        <v>2724</v>
      </c>
      <c r="D314" s="298" t="s">
        <v>34</v>
      </c>
      <c r="E314" s="298" t="s">
        <v>2654</v>
      </c>
      <c r="F314" s="298" t="s">
        <v>71</v>
      </c>
      <c r="G314" s="6">
        <v>2537.8672881355924</v>
      </c>
      <c r="H314" s="312">
        <v>16637.13</v>
      </c>
      <c r="I314" s="3" t="s">
        <v>3977</v>
      </c>
      <c r="J314" s="298" t="s">
        <v>113</v>
      </c>
      <c r="K314" s="285">
        <v>45762</v>
      </c>
      <c r="O314" s="3"/>
      <c r="Q314"/>
    </row>
    <row r="315" spans="2:17" x14ac:dyDescent="0.25">
      <c r="B315" s="298">
        <v>2245</v>
      </c>
      <c r="C315" s="298" t="s">
        <v>2741</v>
      </c>
      <c r="D315" s="298" t="s">
        <v>34</v>
      </c>
      <c r="E315" s="298" t="s">
        <v>2669</v>
      </c>
      <c r="F315" s="298" t="s">
        <v>71</v>
      </c>
      <c r="G315" s="6">
        <v>2851.5889830508459</v>
      </c>
      <c r="H315" s="312">
        <v>18693.75</v>
      </c>
      <c r="I315" s="3" t="s">
        <v>3977</v>
      </c>
      <c r="J315" s="298" t="s">
        <v>113</v>
      </c>
      <c r="K315" s="285">
        <v>45762</v>
      </c>
      <c r="O315" s="3"/>
      <c r="Q315"/>
    </row>
    <row r="316" spans="2:17" x14ac:dyDescent="0.25">
      <c r="B316" s="298">
        <v>2257</v>
      </c>
      <c r="C316" s="298" t="s">
        <v>2753</v>
      </c>
      <c r="D316" s="298" t="s">
        <v>34</v>
      </c>
      <c r="E316" s="298" t="s">
        <v>2677</v>
      </c>
      <c r="F316" s="298" t="s">
        <v>71</v>
      </c>
      <c r="G316" s="6">
        <v>5170.5808474576261</v>
      </c>
      <c r="H316" s="312">
        <v>33896.03</v>
      </c>
      <c r="I316" s="3" t="s">
        <v>3977</v>
      </c>
      <c r="J316" s="298" t="s">
        <v>113</v>
      </c>
      <c r="K316" s="285">
        <v>45762</v>
      </c>
      <c r="O316" s="3"/>
      <c r="Q316"/>
    </row>
    <row r="317" spans="2:17" x14ac:dyDescent="0.25">
      <c r="B317" s="298">
        <v>2563</v>
      </c>
      <c r="C317" s="298" t="s">
        <v>3359</v>
      </c>
      <c r="D317" s="298" t="s">
        <v>96</v>
      </c>
      <c r="E317" s="298" t="s">
        <v>3692</v>
      </c>
      <c r="F317" s="298" t="s">
        <v>71</v>
      </c>
      <c r="G317" s="6">
        <v>527.11627118644037</v>
      </c>
      <c r="H317" s="312">
        <v>3455.54</v>
      </c>
      <c r="I317" s="3" t="s">
        <v>3977</v>
      </c>
      <c r="J317" s="298" t="s">
        <v>18</v>
      </c>
      <c r="K317" s="285">
        <v>45770</v>
      </c>
      <c r="O317" s="3"/>
      <c r="Q317"/>
    </row>
    <row r="318" spans="2:17" x14ac:dyDescent="0.25">
      <c r="B318" s="298">
        <v>2545</v>
      </c>
      <c r="C318" s="298" t="s">
        <v>3359</v>
      </c>
      <c r="D318" s="298" t="s">
        <v>96</v>
      </c>
      <c r="E318" s="298" t="s">
        <v>3616</v>
      </c>
      <c r="F318" s="298" t="s">
        <v>71</v>
      </c>
      <c r="G318" s="6">
        <v>756.52779661016939</v>
      </c>
      <c r="H318" s="312">
        <v>4959.46</v>
      </c>
      <c r="I318" s="3" t="s">
        <v>3977</v>
      </c>
      <c r="J318" s="298" t="s">
        <v>18</v>
      </c>
      <c r="K318" s="285">
        <v>45770</v>
      </c>
      <c r="O318" s="3"/>
      <c r="Q318"/>
    </row>
    <row r="319" spans="2:17" x14ac:dyDescent="0.25">
      <c r="B319" s="298">
        <v>2605</v>
      </c>
      <c r="C319" s="298" t="s">
        <v>3358</v>
      </c>
      <c r="D319" s="298" t="s">
        <v>96</v>
      </c>
      <c r="E319" s="298" t="s">
        <v>3533</v>
      </c>
      <c r="F319" s="298" t="s">
        <v>71</v>
      </c>
      <c r="G319" s="6">
        <v>1857.1255932203385</v>
      </c>
      <c r="H319" s="312">
        <v>12174.49</v>
      </c>
      <c r="I319" s="3" t="s">
        <v>3977</v>
      </c>
      <c r="J319" s="298" t="s">
        <v>18</v>
      </c>
      <c r="K319" s="285">
        <v>45770</v>
      </c>
      <c r="O319" s="3"/>
      <c r="Q319"/>
    </row>
    <row r="320" spans="2:17" x14ac:dyDescent="0.25">
      <c r="B320" s="298">
        <v>2562</v>
      </c>
      <c r="C320" s="298" t="s">
        <v>3358</v>
      </c>
      <c r="D320" s="298" t="s">
        <v>96</v>
      </c>
      <c r="E320" s="298" t="s">
        <v>3797</v>
      </c>
      <c r="F320" s="298" t="s">
        <v>71</v>
      </c>
      <c r="G320" s="6">
        <v>387.26237288135599</v>
      </c>
      <c r="H320" s="312">
        <v>2538.7199999999998</v>
      </c>
      <c r="I320" s="3" t="s">
        <v>3977</v>
      </c>
      <c r="J320" s="298" t="s">
        <v>18</v>
      </c>
      <c r="K320" s="285">
        <v>45770</v>
      </c>
      <c r="O320" s="3"/>
      <c r="Q320"/>
    </row>
    <row r="321" spans="2:17" x14ac:dyDescent="0.25">
      <c r="B321" s="298">
        <v>2560</v>
      </c>
      <c r="C321" s="298" t="s">
        <v>3358</v>
      </c>
      <c r="D321" s="298" t="s">
        <v>96</v>
      </c>
      <c r="E321" s="298" t="s">
        <v>3593</v>
      </c>
      <c r="F321" s="298" t="s">
        <v>71</v>
      </c>
      <c r="G321" s="6">
        <v>1996.779661016948</v>
      </c>
      <c r="H321" s="312">
        <v>13090</v>
      </c>
      <c r="I321" s="3" t="s">
        <v>3977</v>
      </c>
      <c r="J321" s="298" t="s">
        <v>18</v>
      </c>
      <c r="K321" s="285">
        <v>45770</v>
      </c>
      <c r="O321" s="3"/>
      <c r="Q321"/>
    </row>
    <row r="322" spans="2:17" x14ac:dyDescent="0.25">
      <c r="B322" s="298">
        <v>2346</v>
      </c>
      <c r="C322" s="298" t="s">
        <v>2963</v>
      </c>
      <c r="D322" s="298" t="s">
        <v>73</v>
      </c>
      <c r="E322" s="298" t="s">
        <v>2893</v>
      </c>
      <c r="F322" s="298" t="s">
        <v>90</v>
      </c>
      <c r="G322" s="6">
        <v>1179.0533898305084</v>
      </c>
      <c r="H322" s="312">
        <v>7729.35</v>
      </c>
      <c r="I322" s="3" t="s">
        <v>3977</v>
      </c>
      <c r="J322" s="298" t="s">
        <v>113</v>
      </c>
      <c r="K322" s="285">
        <v>45777</v>
      </c>
      <c r="O322" s="3"/>
      <c r="Q322"/>
    </row>
    <row r="323" spans="2:17" x14ac:dyDescent="0.25">
      <c r="B323" s="298">
        <v>1966</v>
      </c>
      <c r="C323" s="298" t="s">
        <v>1495</v>
      </c>
      <c r="D323" s="298" t="s">
        <v>42</v>
      </c>
      <c r="E323" s="298" t="s">
        <v>1383</v>
      </c>
      <c r="F323" s="298" t="s">
        <v>90</v>
      </c>
      <c r="G323" s="6">
        <v>99.808474576271124</v>
      </c>
      <c r="H323" s="312">
        <v>654.29999999999995</v>
      </c>
      <c r="I323" s="3" t="s">
        <v>3977</v>
      </c>
      <c r="J323" s="298" t="s">
        <v>113</v>
      </c>
      <c r="K323" s="285">
        <v>45777</v>
      </c>
      <c r="O323" s="3"/>
      <c r="Q323"/>
    </row>
    <row r="324" spans="2:17" x14ac:dyDescent="0.25">
      <c r="B324" s="298">
        <v>1838</v>
      </c>
      <c r="C324" s="298" t="s">
        <v>1181</v>
      </c>
      <c r="D324" s="298" t="s">
        <v>4</v>
      </c>
      <c r="E324" s="298" t="s">
        <v>1152</v>
      </c>
      <c r="F324" s="298" t="s">
        <v>71</v>
      </c>
      <c r="G324" s="6">
        <v>6101.6949152542365</v>
      </c>
      <c r="H324" s="312">
        <v>40000</v>
      </c>
      <c r="I324" s="3" t="s">
        <v>3977</v>
      </c>
      <c r="J324" s="298" t="s">
        <v>113</v>
      </c>
      <c r="K324" s="285">
        <v>0</v>
      </c>
      <c r="O324" s="3"/>
      <c r="Q324"/>
    </row>
    <row r="325" spans="2:17" x14ac:dyDescent="0.25">
      <c r="B325" s="298">
        <v>2214</v>
      </c>
      <c r="C325" s="298" t="s">
        <v>2710</v>
      </c>
      <c r="D325" s="298" t="s">
        <v>36</v>
      </c>
      <c r="E325" s="298" t="s">
        <v>2680</v>
      </c>
      <c r="F325" s="298" t="s">
        <v>71</v>
      </c>
      <c r="G325" s="6">
        <v>1525.4237288135591</v>
      </c>
      <c r="H325" s="312">
        <v>10000</v>
      </c>
      <c r="I325" s="3" t="s">
        <v>3977</v>
      </c>
      <c r="J325" s="298" t="s">
        <v>113</v>
      </c>
      <c r="K325" s="285">
        <v>0</v>
      </c>
      <c r="O325" s="3"/>
      <c r="Q325"/>
    </row>
    <row r="326" spans="2:17" x14ac:dyDescent="0.25">
      <c r="B326" s="298">
        <v>2216</v>
      </c>
      <c r="C326" s="298" t="s">
        <v>2712</v>
      </c>
      <c r="D326" s="298" t="s">
        <v>36</v>
      </c>
      <c r="E326" s="298" t="s">
        <v>2681</v>
      </c>
      <c r="F326" s="298" t="s">
        <v>71</v>
      </c>
      <c r="G326" s="6">
        <v>1525.4237288135591</v>
      </c>
      <c r="H326" s="312">
        <v>10000</v>
      </c>
      <c r="I326" s="3" t="s">
        <v>3977</v>
      </c>
      <c r="J326" s="298" t="s">
        <v>113</v>
      </c>
      <c r="K326" s="285">
        <v>0</v>
      </c>
      <c r="O326" s="3"/>
      <c r="Q326"/>
    </row>
    <row r="327" spans="2:17" x14ac:dyDescent="0.25">
      <c r="B327" s="298">
        <v>2217</v>
      </c>
      <c r="C327" s="298" t="s">
        <v>2713</v>
      </c>
      <c r="D327" s="298" t="s">
        <v>38</v>
      </c>
      <c r="E327" s="298" t="s">
        <v>2682</v>
      </c>
      <c r="F327" s="298" t="s">
        <v>71</v>
      </c>
      <c r="G327" s="6">
        <v>4576.2711864406774</v>
      </c>
      <c r="H327" s="312">
        <v>30000</v>
      </c>
      <c r="I327" s="3" t="s">
        <v>3977</v>
      </c>
      <c r="J327" s="298" t="s">
        <v>113</v>
      </c>
      <c r="K327" s="285">
        <v>0</v>
      </c>
      <c r="O327" s="3"/>
      <c r="Q327"/>
    </row>
    <row r="328" spans="2:17" x14ac:dyDescent="0.25">
      <c r="B328" s="298">
        <v>2232</v>
      </c>
      <c r="C328" s="298" t="s">
        <v>2728</v>
      </c>
      <c r="D328" s="298" t="s">
        <v>36</v>
      </c>
      <c r="E328" s="298" t="s">
        <v>2658</v>
      </c>
      <c r="F328" s="298" t="s">
        <v>71</v>
      </c>
      <c r="G328" s="6">
        <v>1525.4237288135591</v>
      </c>
      <c r="H328" s="312">
        <v>10000</v>
      </c>
      <c r="I328" s="3" t="s">
        <v>3977</v>
      </c>
      <c r="J328" s="298" t="s">
        <v>113</v>
      </c>
      <c r="K328" s="285">
        <v>0</v>
      </c>
      <c r="O328" s="3"/>
      <c r="Q328"/>
    </row>
    <row r="329" spans="2:17" x14ac:dyDescent="0.25">
      <c r="B329" s="298">
        <v>2226</v>
      </c>
      <c r="C329" s="298" t="s">
        <v>2722</v>
      </c>
      <c r="D329" s="298" t="s">
        <v>36</v>
      </c>
      <c r="E329" s="298" t="s">
        <v>2653</v>
      </c>
      <c r="F329" s="298" t="s">
        <v>71</v>
      </c>
      <c r="G329" s="6">
        <v>457.62711864406765</v>
      </c>
      <c r="H329" s="312">
        <v>3000</v>
      </c>
      <c r="I329" s="3" t="s">
        <v>3977</v>
      </c>
      <c r="J329" s="298" t="s">
        <v>113</v>
      </c>
      <c r="K329" s="285">
        <v>0</v>
      </c>
      <c r="O329" s="3"/>
      <c r="Q329"/>
    </row>
    <row r="330" spans="2:17" x14ac:dyDescent="0.25">
      <c r="B330" s="298">
        <v>2219</v>
      </c>
      <c r="C330" s="298" t="s">
        <v>2715</v>
      </c>
      <c r="D330" s="298" t="s">
        <v>35</v>
      </c>
      <c r="E330" s="298" t="s">
        <v>2646</v>
      </c>
      <c r="F330" s="298" t="s">
        <v>71</v>
      </c>
      <c r="G330" s="6">
        <v>4576.2711864406774</v>
      </c>
      <c r="H330" s="312">
        <v>30000</v>
      </c>
      <c r="I330" s="3" t="s">
        <v>3977</v>
      </c>
      <c r="J330" s="298" t="s">
        <v>113</v>
      </c>
      <c r="K330" s="285">
        <v>0</v>
      </c>
      <c r="O330" s="3"/>
      <c r="Q330"/>
    </row>
    <row r="331" spans="2:17" x14ac:dyDescent="0.25">
      <c r="B331" s="298">
        <v>2095</v>
      </c>
      <c r="C331" s="298" t="s">
        <v>2308</v>
      </c>
      <c r="D331" s="298" t="s">
        <v>4</v>
      </c>
      <c r="E331" s="298" t="s">
        <v>2287</v>
      </c>
      <c r="F331" s="298" t="s">
        <v>114</v>
      </c>
      <c r="G331" s="6">
        <v>12203.389830508473</v>
      </c>
      <c r="H331" s="312">
        <v>80000</v>
      </c>
      <c r="I331" s="3" t="s">
        <v>3977</v>
      </c>
      <c r="J331" s="298" t="s">
        <v>113</v>
      </c>
      <c r="K331" s="285">
        <v>0</v>
      </c>
      <c r="O331" s="3"/>
      <c r="Q331"/>
    </row>
    <row r="332" spans="2:17" x14ac:dyDescent="0.25">
      <c r="B332" s="298">
        <v>2084</v>
      </c>
      <c r="C332" s="298" t="s">
        <v>2297</v>
      </c>
      <c r="D332" s="298" t="s">
        <v>37</v>
      </c>
      <c r="E332" s="298" t="s">
        <v>2279</v>
      </c>
      <c r="F332" s="298" t="s">
        <v>114</v>
      </c>
      <c r="G332" s="6">
        <v>30508.474576271168</v>
      </c>
      <c r="H332" s="312">
        <v>200000</v>
      </c>
      <c r="I332" s="3" t="s">
        <v>3977</v>
      </c>
      <c r="J332" s="298" t="s">
        <v>113</v>
      </c>
      <c r="K332" s="285">
        <v>0</v>
      </c>
      <c r="O332" s="3"/>
      <c r="Q332"/>
    </row>
    <row r="333" spans="2:17" x14ac:dyDescent="0.25">
      <c r="B333" s="298">
        <v>2086</v>
      </c>
      <c r="C333" s="298" t="s">
        <v>2299</v>
      </c>
      <c r="D333" s="298" t="s">
        <v>40</v>
      </c>
      <c r="E333" s="298" t="s">
        <v>2281</v>
      </c>
      <c r="F333" s="298" t="s">
        <v>114</v>
      </c>
      <c r="G333" s="6">
        <v>18305.08474576271</v>
      </c>
      <c r="H333" s="312">
        <v>120000</v>
      </c>
      <c r="I333" s="3" t="s">
        <v>3977</v>
      </c>
      <c r="J333" s="298" t="s">
        <v>113</v>
      </c>
      <c r="K333" s="285">
        <v>0</v>
      </c>
      <c r="O333" s="3"/>
      <c r="Q333"/>
    </row>
    <row r="334" spans="2:17" x14ac:dyDescent="0.25">
      <c r="B334" s="298">
        <v>1815</v>
      </c>
      <c r="C334" s="298" t="s">
        <v>1073</v>
      </c>
      <c r="D334" s="298" t="s">
        <v>94</v>
      </c>
      <c r="E334" s="298" t="s">
        <v>1129</v>
      </c>
      <c r="F334" s="298" t="s">
        <v>90</v>
      </c>
      <c r="G334" s="6">
        <v>2406.2537288135591</v>
      </c>
      <c r="H334" s="312">
        <v>15774.33</v>
      </c>
      <c r="I334" s="3" t="s">
        <v>3977</v>
      </c>
      <c r="J334" s="298" t="s">
        <v>18</v>
      </c>
      <c r="K334" s="285">
        <v>45777</v>
      </c>
      <c r="O334" s="3"/>
      <c r="Q334"/>
    </row>
    <row r="335" spans="2:17" x14ac:dyDescent="0.25">
      <c r="B335" s="298">
        <v>2408</v>
      </c>
      <c r="C335" s="298" t="s">
        <v>3145</v>
      </c>
      <c r="D335" s="298" t="s">
        <v>74</v>
      </c>
      <c r="E335" s="298" t="s">
        <v>3061</v>
      </c>
      <c r="F335" s="298" t="s">
        <v>90</v>
      </c>
      <c r="G335" s="6">
        <v>2391.6264406779646</v>
      </c>
      <c r="H335" s="312">
        <v>15678.44</v>
      </c>
      <c r="I335" s="3" t="s">
        <v>3977</v>
      </c>
      <c r="J335" s="298" t="s">
        <v>18</v>
      </c>
      <c r="K335" s="285">
        <v>45777</v>
      </c>
      <c r="O335" s="3"/>
      <c r="Q335"/>
    </row>
    <row r="336" spans="2:17" x14ac:dyDescent="0.25">
      <c r="B336" s="298">
        <v>1770</v>
      </c>
      <c r="C336" s="298" t="s">
        <v>986</v>
      </c>
      <c r="D336" s="298" t="s">
        <v>95</v>
      </c>
      <c r="E336" s="298" t="s">
        <v>3843</v>
      </c>
      <c r="F336" s="298" t="s">
        <v>90</v>
      </c>
      <c r="G336" s="6">
        <v>2246.7752542372873</v>
      </c>
      <c r="H336" s="312">
        <v>14728.86</v>
      </c>
      <c r="I336" s="3" t="s">
        <v>3977</v>
      </c>
      <c r="J336" s="298" t="s">
        <v>18</v>
      </c>
      <c r="K336" s="285">
        <v>45777</v>
      </c>
      <c r="O336" s="3"/>
      <c r="Q336"/>
    </row>
    <row r="337" spans="2:17" x14ac:dyDescent="0.25">
      <c r="B337" s="315">
        <v>2513</v>
      </c>
      <c r="C337" s="315" t="s">
        <v>3563</v>
      </c>
      <c r="D337" s="315" t="s">
        <v>47</v>
      </c>
      <c r="E337" s="315" t="s">
        <v>4061</v>
      </c>
      <c r="F337" s="315" t="s">
        <v>115</v>
      </c>
      <c r="G337" s="73">
        <v>8778.9661016949103</v>
      </c>
      <c r="H337" s="316">
        <v>57551</v>
      </c>
      <c r="I337" s="256" t="s">
        <v>3977</v>
      </c>
      <c r="J337" s="315" t="s">
        <v>113</v>
      </c>
      <c r="K337" s="285">
        <v>45769</v>
      </c>
      <c r="L337" s="314"/>
      <c r="O337" s="3"/>
      <c r="Q337"/>
    </row>
    <row r="338" spans="2:17" x14ac:dyDescent="0.25">
      <c r="B338" s="298">
        <v>1982</v>
      </c>
      <c r="C338" s="298" t="s">
        <v>1694</v>
      </c>
      <c r="D338" s="298" t="s">
        <v>47</v>
      </c>
      <c r="E338" s="298" t="s">
        <v>1693</v>
      </c>
      <c r="F338" s="298" t="s">
        <v>115</v>
      </c>
      <c r="G338" s="6">
        <v>53389.830508474552</v>
      </c>
      <c r="H338" s="312">
        <v>350000</v>
      </c>
      <c r="I338" s="3" t="s">
        <v>3977</v>
      </c>
      <c r="J338" s="298" t="s">
        <v>113</v>
      </c>
      <c r="K338" s="285">
        <v>0</v>
      </c>
      <c r="O338" s="3"/>
      <c r="Q338"/>
    </row>
    <row r="339" spans="2:17" x14ac:dyDescent="0.25">
      <c r="B339" s="298">
        <v>2063</v>
      </c>
      <c r="C339" s="298" t="s">
        <v>2234</v>
      </c>
      <c r="D339" s="298" t="s">
        <v>45</v>
      </c>
      <c r="E339" s="298" t="s">
        <v>2215</v>
      </c>
      <c r="F339" s="298" t="s">
        <v>115</v>
      </c>
      <c r="G339" s="6">
        <v>15254.237288135584</v>
      </c>
      <c r="H339" s="312">
        <v>100000</v>
      </c>
      <c r="I339" s="3" t="s">
        <v>3977</v>
      </c>
      <c r="J339" s="298" t="s">
        <v>113</v>
      </c>
      <c r="K339" s="285">
        <v>0</v>
      </c>
      <c r="O339" s="3"/>
      <c r="Q339"/>
    </row>
    <row r="340" spans="2:17" x14ac:dyDescent="0.25">
      <c r="B340" s="298">
        <v>980</v>
      </c>
      <c r="C340" s="298" t="s">
        <v>3559</v>
      </c>
      <c r="D340" s="298" t="s">
        <v>47</v>
      </c>
      <c r="E340" s="298" t="s">
        <v>3912</v>
      </c>
      <c r="F340" s="298" t="s">
        <v>115</v>
      </c>
      <c r="G340" s="6">
        <v>30508.474576271168</v>
      </c>
      <c r="H340" s="312">
        <v>200000</v>
      </c>
      <c r="I340" s="3" t="s">
        <v>3977</v>
      </c>
      <c r="J340" s="298" t="s">
        <v>113</v>
      </c>
      <c r="K340" s="285">
        <v>0</v>
      </c>
      <c r="O340" s="3"/>
      <c r="P340" s="31"/>
    </row>
    <row r="341" spans="2:17" x14ac:dyDescent="0.25">
      <c r="B341" s="298">
        <v>2515</v>
      </c>
      <c r="C341" s="298" t="s">
        <v>3569</v>
      </c>
      <c r="D341" s="298" t="s">
        <v>3566</v>
      </c>
      <c r="E341" s="298" t="s">
        <v>4062</v>
      </c>
      <c r="F341" s="298" t="s">
        <v>115</v>
      </c>
      <c r="G341" s="6">
        <v>3650.3389830508459</v>
      </c>
      <c r="H341" s="312">
        <v>23930</v>
      </c>
      <c r="I341" s="3" t="s">
        <v>3977</v>
      </c>
      <c r="J341" s="298" t="s">
        <v>113</v>
      </c>
      <c r="K341" s="285">
        <v>45769</v>
      </c>
      <c r="L341" s="79"/>
      <c r="O341" s="3"/>
      <c r="Q341"/>
    </row>
    <row r="342" spans="2:17" x14ac:dyDescent="0.25">
      <c r="B342" s="298">
        <v>1954</v>
      </c>
      <c r="C342" s="298" t="s">
        <v>1483</v>
      </c>
      <c r="D342" s="298" t="s">
        <v>40</v>
      </c>
      <c r="E342" s="298" t="s">
        <v>1371</v>
      </c>
      <c r="F342" s="298" t="s">
        <v>90</v>
      </c>
      <c r="G342" s="6">
        <v>6254.2372881355914</v>
      </c>
      <c r="H342" s="312">
        <v>41000</v>
      </c>
      <c r="I342" s="3" t="s">
        <v>3977</v>
      </c>
      <c r="J342" s="298" t="s">
        <v>113</v>
      </c>
      <c r="K342" s="285">
        <v>0</v>
      </c>
      <c r="O342" s="3"/>
      <c r="Q342"/>
    </row>
    <row r="343" spans="2:17" x14ac:dyDescent="0.25">
      <c r="B343" s="298">
        <v>2282</v>
      </c>
      <c r="C343" s="298" t="s">
        <v>2899</v>
      </c>
      <c r="D343" s="298" t="s">
        <v>43</v>
      </c>
      <c r="E343" s="298" t="s">
        <v>2831</v>
      </c>
      <c r="F343" s="298" t="s">
        <v>90</v>
      </c>
      <c r="G343" s="6">
        <v>27457.627118644072</v>
      </c>
      <c r="H343" s="312">
        <v>180000</v>
      </c>
      <c r="I343" s="3" t="s">
        <v>3977</v>
      </c>
      <c r="J343" s="298" t="s">
        <v>113</v>
      </c>
      <c r="K343" s="285">
        <v>0</v>
      </c>
      <c r="O343" s="3"/>
      <c r="Q343"/>
    </row>
    <row r="344" spans="2:17" x14ac:dyDescent="0.25">
      <c r="B344" s="298">
        <v>1901</v>
      </c>
      <c r="C344" s="298" t="s">
        <v>1430</v>
      </c>
      <c r="D344" s="298" t="s">
        <v>73</v>
      </c>
      <c r="E344" s="298" t="s">
        <v>1320</v>
      </c>
      <c r="F344" s="298" t="s">
        <v>90</v>
      </c>
      <c r="G344" s="6">
        <v>15254.237288135584</v>
      </c>
      <c r="H344" s="312">
        <v>100000</v>
      </c>
      <c r="I344" s="3" t="s">
        <v>3977</v>
      </c>
      <c r="J344" s="298" t="s">
        <v>113</v>
      </c>
      <c r="K344" s="285">
        <v>0</v>
      </c>
      <c r="O344" s="3"/>
      <c r="Q344"/>
    </row>
    <row r="345" spans="2:17" x14ac:dyDescent="0.25">
      <c r="B345" s="298">
        <v>1922</v>
      </c>
      <c r="C345" s="298" t="s">
        <v>1451</v>
      </c>
      <c r="D345" s="298" t="s">
        <v>42</v>
      </c>
      <c r="E345" s="298" t="s">
        <v>1341</v>
      </c>
      <c r="F345" s="298" t="s">
        <v>90</v>
      </c>
      <c r="G345" s="6">
        <v>7627.118644067792</v>
      </c>
      <c r="H345" s="312">
        <v>50000</v>
      </c>
      <c r="I345" s="3" t="s">
        <v>3977</v>
      </c>
      <c r="J345" s="298" t="s">
        <v>113</v>
      </c>
      <c r="K345" s="285">
        <v>0</v>
      </c>
      <c r="O345" s="3"/>
      <c r="Q345"/>
    </row>
    <row r="346" spans="2:17" x14ac:dyDescent="0.25">
      <c r="B346" s="298">
        <v>2290</v>
      </c>
      <c r="C346" s="298" t="s">
        <v>2907</v>
      </c>
      <c r="D346" s="298" t="s">
        <v>43</v>
      </c>
      <c r="E346" s="298" t="s">
        <v>2839</v>
      </c>
      <c r="F346" s="298" t="s">
        <v>90</v>
      </c>
      <c r="G346" s="6">
        <v>38135.593220338982</v>
      </c>
      <c r="H346" s="312">
        <v>250000</v>
      </c>
      <c r="I346" s="3" t="s">
        <v>3977</v>
      </c>
      <c r="J346" s="298" t="s">
        <v>113</v>
      </c>
      <c r="K346" s="285">
        <v>0</v>
      </c>
      <c r="O346" s="3"/>
      <c r="Q346"/>
    </row>
    <row r="347" spans="2:17" x14ac:dyDescent="0.25">
      <c r="B347" s="298">
        <v>1632</v>
      </c>
      <c r="C347" s="298" t="s">
        <v>484</v>
      </c>
      <c r="D347" s="298" t="s">
        <v>40</v>
      </c>
      <c r="E347" s="298" t="s">
        <v>486</v>
      </c>
      <c r="F347" s="298" t="s">
        <v>90</v>
      </c>
      <c r="G347" s="6">
        <v>106779.6610169491</v>
      </c>
      <c r="H347" s="312">
        <v>700000</v>
      </c>
      <c r="I347" s="3" t="s">
        <v>3977</v>
      </c>
      <c r="J347" s="298" t="s">
        <v>113</v>
      </c>
      <c r="K347" s="285">
        <v>0</v>
      </c>
      <c r="O347" s="3"/>
      <c r="Q347"/>
    </row>
    <row r="348" spans="2:17" x14ac:dyDescent="0.25">
      <c r="B348" s="298">
        <v>2520</v>
      </c>
      <c r="C348" s="298" t="s">
        <v>3672</v>
      </c>
      <c r="D348" s="298" t="s">
        <v>88</v>
      </c>
      <c r="E348" s="298" t="s">
        <v>3665</v>
      </c>
      <c r="F348" s="298" t="s">
        <v>87</v>
      </c>
      <c r="G348" s="6">
        <v>58357.133389830473</v>
      </c>
      <c r="H348" s="312">
        <v>382563.43</v>
      </c>
      <c r="I348" s="3" t="s">
        <v>3977</v>
      </c>
      <c r="J348" s="298" t="s">
        <v>18</v>
      </c>
      <c r="K348" s="285">
        <v>45777</v>
      </c>
      <c r="O348" s="3"/>
      <c r="Q348"/>
    </row>
    <row r="349" spans="2:17" x14ac:dyDescent="0.25">
      <c r="B349" s="298">
        <v>2519</v>
      </c>
      <c r="C349" s="298" t="s">
        <v>3671</v>
      </c>
      <c r="D349" s="298" t="s">
        <v>68</v>
      </c>
      <c r="E349" s="298" t="s">
        <v>3648</v>
      </c>
      <c r="F349" s="298" t="s">
        <v>115</v>
      </c>
      <c r="G349" s="6">
        <v>6.7118644067796609</v>
      </c>
      <c r="H349" s="312">
        <v>44</v>
      </c>
      <c r="I349" s="3" t="s">
        <v>3977</v>
      </c>
      <c r="J349" s="298" t="s">
        <v>113</v>
      </c>
      <c r="K349" s="285">
        <v>45776</v>
      </c>
      <c r="O349" s="3"/>
      <c r="Q349"/>
    </row>
    <row r="350" spans="2:17" x14ac:dyDescent="0.25">
      <c r="B350" s="298">
        <v>2177</v>
      </c>
      <c r="C350" s="298" t="s">
        <v>2544</v>
      </c>
      <c r="D350" s="298" t="s">
        <v>92</v>
      </c>
      <c r="E350" s="298" t="s">
        <v>2573</v>
      </c>
      <c r="F350" s="298" t="s">
        <v>87</v>
      </c>
      <c r="G350" s="6">
        <v>6317.2540677966099</v>
      </c>
      <c r="H350" s="312">
        <v>41413.11</v>
      </c>
      <c r="I350" s="3" t="s">
        <v>3977</v>
      </c>
      <c r="J350" s="298" t="s">
        <v>18</v>
      </c>
      <c r="K350" s="285">
        <v>45777</v>
      </c>
      <c r="O350" s="3"/>
      <c r="Q350"/>
    </row>
    <row r="351" spans="2:17" x14ac:dyDescent="0.25">
      <c r="B351" s="298">
        <v>2621</v>
      </c>
      <c r="C351" s="298" t="s">
        <v>3913</v>
      </c>
      <c r="D351" s="298" t="s">
        <v>40</v>
      </c>
      <c r="E351" s="298" t="s">
        <v>3915</v>
      </c>
      <c r="F351" s="298" t="s">
        <v>3635</v>
      </c>
      <c r="G351" s="6">
        <v>18000</v>
      </c>
      <c r="H351" s="312">
        <v>118000</v>
      </c>
      <c r="I351" s="3" t="s">
        <v>3977</v>
      </c>
      <c r="J351" s="298" t="s">
        <v>113</v>
      </c>
      <c r="K351" s="285">
        <v>45790</v>
      </c>
      <c r="O351" s="3"/>
      <c r="Q351"/>
    </row>
    <row r="352" spans="2:17" x14ac:dyDescent="0.25">
      <c r="B352" s="298">
        <v>2622</v>
      </c>
      <c r="C352" s="298" t="s">
        <v>3916</v>
      </c>
      <c r="D352" s="298" t="s">
        <v>43</v>
      </c>
      <c r="E352" s="298" t="s">
        <v>3918</v>
      </c>
      <c r="F352" s="298" t="s">
        <v>3635</v>
      </c>
      <c r="G352" s="6">
        <v>18000</v>
      </c>
      <c r="H352" s="312">
        <v>118000</v>
      </c>
      <c r="I352" s="3" t="s">
        <v>3977</v>
      </c>
      <c r="J352" s="298" t="s">
        <v>113</v>
      </c>
      <c r="K352" s="285">
        <v>45790</v>
      </c>
      <c r="O352" s="3"/>
      <c r="Q352"/>
    </row>
    <row r="353" spans="2:17" x14ac:dyDescent="0.25">
      <c r="B353" s="298">
        <v>2623</v>
      </c>
      <c r="C353" s="298" t="s">
        <v>3641</v>
      </c>
      <c r="D353" s="298" t="s">
        <v>45</v>
      </c>
      <c r="E353" s="298" t="s">
        <v>3919</v>
      </c>
      <c r="F353" s="298" t="s">
        <v>3635</v>
      </c>
      <c r="G353" s="6">
        <v>3432.203389830509</v>
      </c>
      <c r="H353" s="312">
        <v>22500</v>
      </c>
      <c r="I353" s="3" t="s">
        <v>3977</v>
      </c>
      <c r="J353" s="298" t="s">
        <v>113</v>
      </c>
      <c r="K353" s="285">
        <v>45757</v>
      </c>
      <c r="O353" s="3"/>
      <c r="Q353"/>
    </row>
    <row r="354" spans="2:17" x14ac:dyDescent="0.25">
      <c r="B354" s="298">
        <v>2624</v>
      </c>
      <c r="C354" s="298" t="s">
        <v>3636</v>
      </c>
      <c r="D354" s="298" t="s">
        <v>96</v>
      </c>
      <c r="E354" s="298" t="s">
        <v>3920</v>
      </c>
      <c r="F354" s="298" t="s">
        <v>3635</v>
      </c>
      <c r="G354" s="6">
        <v>3432.203389830509</v>
      </c>
      <c r="H354" s="312">
        <v>22500</v>
      </c>
      <c r="I354" s="3" t="s">
        <v>3977</v>
      </c>
      <c r="J354" s="298" t="s">
        <v>18</v>
      </c>
      <c r="K354" s="285">
        <v>45757</v>
      </c>
      <c r="O354" s="3"/>
      <c r="Q354"/>
    </row>
    <row r="355" spans="2:17" x14ac:dyDescent="0.25">
      <c r="B355" s="298">
        <v>2625</v>
      </c>
      <c r="C355" s="298" t="s">
        <v>3922</v>
      </c>
      <c r="D355" s="298" t="s">
        <v>88</v>
      </c>
      <c r="E355" s="298" t="s">
        <v>3923</v>
      </c>
      <c r="F355" s="298" t="s">
        <v>3635</v>
      </c>
      <c r="G355" s="6">
        <v>3966.1016949152545</v>
      </c>
      <c r="H355" s="312">
        <v>26000</v>
      </c>
      <c r="I355" s="3" t="s">
        <v>3977</v>
      </c>
      <c r="J355" s="298" t="s">
        <v>18</v>
      </c>
      <c r="K355" s="285">
        <v>45790</v>
      </c>
      <c r="O355" s="3"/>
      <c r="Q355"/>
    </row>
    <row r="356" spans="2:17" x14ac:dyDescent="0.25">
      <c r="B356" s="298">
        <v>2626</v>
      </c>
      <c r="C356" s="298" t="s">
        <v>3925</v>
      </c>
      <c r="D356" s="298" t="s">
        <v>88</v>
      </c>
      <c r="E356" s="298" t="s">
        <v>3926</v>
      </c>
      <c r="F356" s="298" t="s">
        <v>3635</v>
      </c>
      <c r="G356" s="6">
        <v>3966.1016949152545</v>
      </c>
      <c r="H356" s="312">
        <v>26000</v>
      </c>
      <c r="I356" s="3" t="s">
        <v>3977</v>
      </c>
      <c r="J356" s="298" t="s">
        <v>18</v>
      </c>
      <c r="K356" s="285">
        <v>45790</v>
      </c>
      <c r="O356" s="3"/>
      <c r="Q356"/>
    </row>
    <row r="357" spans="2:17" x14ac:dyDescent="0.25">
      <c r="B357" s="298">
        <v>2627</v>
      </c>
      <c r="C357" s="298" t="s">
        <v>3927</v>
      </c>
      <c r="D357" s="298" t="s">
        <v>88</v>
      </c>
      <c r="E357" s="298" t="s">
        <v>3929</v>
      </c>
      <c r="F357" s="298" t="s">
        <v>3635</v>
      </c>
      <c r="G357" s="6">
        <v>3966.1016949152545</v>
      </c>
      <c r="H357" s="312">
        <v>26000</v>
      </c>
      <c r="I357" s="3" t="s">
        <v>3977</v>
      </c>
      <c r="J357" s="298" t="s">
        <v>18</v>
      </c>
      <c r="K357" s="285">
        <v>45790</v>
      </c>
      <c r="O357" s="3"/>
      <c r="Q357"/>
    </row>
    <row r="358" spans="2:17" x14ac:dyDescent="0.25">
      <c r="B358" s="298">
        <v>2628</v>
      </c>
      <c r="C358" s="298" t="s">
        <v>3931</v>
      </c>
      <c r="D358" s="298" t="s">
        <v>88</v>
      </c>
      <c r="E358" s="298" t="s">
        <v>3932</v>
      </c>
      <c r="F358" s="298" t="s">
        <v>3635</v>
      </c>
      <c r="G358" s="6">
        <v>3966.1016949152545</v>
      </c>
      <c r="H358" s="312">
        <v>26000</v>
      </c>
      <c r="I358" s="3" t="s">
        <v>3977</v>
      </c>
      <c r="J358" s="298" t="s">
        <v>18</v>
      </c>
      <c r="K358" s="285">
        <v>45790</v>
      </c>
      <c r="O358" s="3"/>
      <c r="Q358"/>
    </row>
    <row r="359" spans="2:17" x14ac:dyDescent="0.25">
      <c r="B359" s="298">
        <v>2629</v>
      </c>
      <c r="C359" s="298" t="s">
        <v>3935</v>
      </c>
      <c r="D359" s="298" t="s">
        <v>88</v>
      </c>
      <c r="E359" s="298" t="s">
        <v>3933</v>
      </c>
      <c r="F359" s="298" t="s">
        <v>3635</v>
      </c>
      <c r="G359" s="6">
        <v>3966.1016949152545</v>
      </c>
      <c r="H359" s="312">
        <v>26000</v>
      </c>
      <c r="I359" s="3" t="s">
        <v>3977</v>
      </c>
      <c r="J359" s="298" t="s">
        <v>18</v>
      </c>
      <c r="K359" s="285">
        <v>45790</v>
      </c>
      <c r="O359" s="3"/>
      <c r="Q359"/>
    </row>
    <row r="360" spans="2:17" x14ac:dyDescent="0.25">
      <c r="B360" s="298">
        <v>2630</v>
      </c>
      <c r="C360" s="298" t="s">
        <v>3938</v>
      </c>
      <c r="D360" s="298" t="s">
        <v>88</v>
      </c>
      <c r="E360" s="298" t="s">
        <v>3936</v>
      </c>
      <c r="F360" s="298" t="s">
        <v>3635</v>
      </c>
      <c r="G360" s="6">
        <v>3966.1016949152545</v>
      </c>
      <c r="H360" s="312">
        <v>26000</v>
      </c>
      <c r="I360" s="3" t="s">
        <v>3977</v>
      </c>
      <c r="J360" s="298" t="s">
        <v>18</v>
      </c>
      <c r="K360" s="285">
        <v>45790</v>
      </c>
      <c r="O360" s="3"/>
      <c r="Q360"/>
    </row>
    <row r="361" spans="2:17" x14ac:dyDescent="0.25">
      <c r="B361" s="298">
        <v>2631</v>
      </c>
      <c r="C361" s="298" t="s">
        <v>3944</v>
      </c>
      <c r="D361" s="298" t="s">
        <v>93</v>
      </c>
      <c r="E361" s="298" t="s">
        <v>3942</v>
      </c>
      <c r="F361" s="298" t="s">
        <v>3635</v>
      </c>
      <c r="G361" s="6">
        <v>3966.1016949152545</v>
      </c>
      <c r="H361" s="312">
        <v>26000</v>
      </c>
      <c r="I361" s="3" t="s">
        <v>3977</v>
      </c>
      <c r="J361" s="298" t="s">
        <v>18</v>
      </c>
      <c r="K361" s="285">
        <v>45790</v>
      </c>
      <c r="O361" s="3"/>
      <c r="Q361"/>
    </row>
    <row r="362" spans="2:17" x14ac:dyDescent="0.25">
      <c r="B362" s="298">
        <v>2632</v>
      </c>
      <c r="C362" s="298" t="s">
        <v>3947</v>
      </c>
      <c r="D362" s="298" t="s">
        <v>93</v>
      </c>
      <c r="E362" s="298" t="s">
        <v>3945</v>
      </c>
      <c r="F362" s="298" t="s">
        <v>3635</v>
      </c>
      <c r="G362" s="6">
        <v>3966.1016949152545</v>
      </c>
      <c r="H362" s="312">
        <v>26000</v>
      </c>
      <c r="I362" s="3" t="s">
        <v>3977</v>
      </c>
      <c r="J362" s="298" t="s">
        <v>18</v>
      </c>
      <c r="K362" s="285">
        <v>45790</v>
      </c>
      <c r="O362" s="3"/>
      <c r="Q362"/>
    </row>
    <row r="363" spans="2:17" x14ac:dyDescent="0.25">
      <c r="B363" s="298">
        <v>2633</v>
      </c>
      <c r="C363" s="298" t="s">
        <v>3941</v>
      </c>
      <c r="D363" s="298" t="s">
        <v>93</v>
      </c>
      <c r="E363" s="298" t="s">
        <v>3939</v>
      </c>
      <c r="F363" s="298" t="s">
        <v>3635</v>
      </c>
      <c r="G363" s="6">
        <v>3966.1016949152545</v>
      </c>
      <c r="H363" s="312">
        <v>26000</v>
      </c>
      <c r="I363" s="3" t="s">
        <v>3977</v>
      </c>
      <c r="J363" s="298" t="s">
        <v>18</v>
      </c>
      <c r="K363" s="285">
        <v>45790</v>
      </c>
      <c r="O363" s="3"/>
      <c r="Q363"/>
    </row>
    <row r="364" spans="2:17" x14ac:dyDescent="0.25">
      <c r="B364" s="298">
        <v>2634</v>
      </c>
      <c r="C364" s="298" t="s">
        <v>2198</v>
      </c>
      <c r="D364" s="298" t="s">
        <v>50</v>
      </c>
      <c r="E364" s="298" t="s">
        <v>3948</v>
      </c>
      <c r="F364" s="298" t="s">
        <v>141</v>
      </c>
      <c r="G364" s="6">
        <v>7627.118644067792</v>
      </c>
      <c r="H364" s="312">
        <v>50000</v>
      </c>
      <c r="I364" s="3" t="s">
        <v>3977</v>
      </c>
      <c r="J364" s="298" t="s">
        <v>113</v>
      </c>
      <c r="K364" s="285">
        <v>0</v>
      </c>
      <c r="O364" s="3">
        <v>35</v>
      </c>
      <c r="Q364"/>
    </row>
    <row r="365" spans="2:17" x14ac:dyDescent="0.25">
      <c r="B365" s="298">
        <v>2635</v>
      </c>
      <c r="C365" s="298" t="s">
        <v>2198</v>
      </c>
      <c r="D365" s="298" t="s">
        <v>50</v>
      </c>
      <c r="E365" s="298" t="s">
        <v>3949</v>
      </c>
      <c r="F365" s="298" t="s">
        <v>141</v>
      </c>
      <c r="G365" s="6">
        <v>7627.118644067792</v>
      </c>
      <c r="H365" s="312">
        <v>50000</v>
      </c>
      <c r="I365" s="3" t="s">
        <v>3977</v>
      </c>
      <c r="J365" s="298" t="s">
        <v>113</v>
      </c>
      <c r="K365" s="285">
        <v>0</v>
      </c>
      <c r="O365" s="3">
        <v>37</v>
      </c>
      <c r="Q365"/>
    </row>
    <row r="366" spans="2:17" x14ac:dyDescent="0.25">
      <c r="B366" s="298">
        <v>2636</v>
      </c>
      <c r="C366" s="298" t="s">
        <v>2198</v>
      </c>
      <c r="D366" s="298" t="s">
        <v>50</v>
      </c>
      <c r="E366" s="298" t="s">
        <v>3950</v>
      </c>
      <c r="F366" s="298" t="s">
        <v>141</v>
      </c>
      <c r="G366" s="6">
        <v>7627.118644067792</v>
      </c>
      <c r="H366" s="312">
        <v>50000</v>
      </c>
      <c r="I366" s="3" t="s">
        <v>3977</v>
      </c>
      <c r="J366" s="298" t="s">
        <v>113</v>
      </c>
      <c r="K366" s="285">
        <v>0</v>
      </c>
      <c r="O366" s="3">
        <v>28</v>
      </c>
      <c r="Q366"/>
    </row>
    <row r="367" spans="2:17" x14ac:dyDescent="0.25">
      <c r="B367" s="298">
        <v>2606</v>
      </c>
      <c r="C367" s="298" t="s">
        <v>2198</v>
      </c>
      <c r="D367" s="298" t="s">
        <v>50</v>
      </c>
      <c r="E367" s="298" t="s">
        <v>3887</v>
      </c>
      <c r="F367" s="298" t="s">
        <v>141</v>
      </c>
      <c r="G367" s="6">
        <v>457.62711864406765</v>
      </c>
      <c r="H367" s="312">
        <v>3000</v>
      </c>
      <c r="I367" s="3" t="s">
        <v>3977</v>
      </c>
      <c r="J367" s="298" t="s">
        <v>113</v>
      </c>
      <c r="K367" s="285">
        <v>0</v>
      </c>
      <c r="O367" s="3">
        <v>30</v>
      </c>
      <c r="Q367"/>
    </row>
    <row r="368" spans="2:17" x14ac:dyDescent="0.25">
      <c r="B368" s="298">
        <v>2637</v>
      </c>
      <c r="C368" s="298" t="s">
        <v>2198</v>
      </c>
      <c r="D368" s="298" t="s">
        <v>50</v>
      </c>
      <c r="E368" s="298" t="s">
        <v>3951</v>
      </c>
      <c r="F368" s="298" t="s">
        <v>141</v>
      </c>
      <c r="G368" s="6">
        <v>7627.118644067792</v>
      </c>
      <c r="H368" s="312">
        <v>50000</v>
      </c>
      <c r="I368" s="3" t="s">
        <v>3977</v>
      </c>
      <c r="J368" s="298" t="s">
        <v>113</v>
      </c>
      <c r="K368" s="285">
        <v>0</v>
      </c>
      <c r="O368" s="3">
        <v>0</v>
      </c>
      <c r="Q368"/>
    </row>
    <row r="369" spans="2:17" x14ac:dyDescent="0.25">
      <c r="B369" s="298">
        <v>2638</v>
      </c>
      <c r="C369" s="298" t="s">
        <v>2198</v>
      </c>
      <c r="D369" s="298" t="s">
        <v>50</v>
      </c>
      <c r="E369" s="298" t="s">
        <v>3952</v>
      </c>
      <c r="F369" s="298" t="s">
        <v>141</v>
      </c>
      <c r="G369" s="6">
        <v>7627.118644067792</v>
      </c>
      <c r="H369" s="312">
        <v>50000</v>
      </c>
      <c r="I369" s="3" t="s">
        <v>3977</v>
      </c>
      <c r="J369" s="298" t="s">
        <v>113</v>
      </c>
      <c r="K369" s="285">
        <v>0</v>
      </c>
      <c r="O369" s="3">
        <v>0</v>
      </c>
      <c r="Q369"/>
    </row>
    <row r="370" spans="2:17" x14ac:dyDescent="0.25">
      <c r="B370" s="298">
        <v>2056</v>
      </c>
      <c r="C370" s="298" t="s">
        <v>2193</v>
      </c>
      <c r="D370" s="298" t="s">
        <v>40</v>
      </c>
      <c r="E370" s="298" t="s">
        <v>3883</v>
      </c>
      <c r="F370" s="298" t="s">
        <v>75</v>
      </c>
      <c r="G370" s="6">
        <v>23095.764915254229</v>
      </c>
      <c r="H370" s="312">
        <v>151405.57</v>
      </c>
      <c r="I370" s="3" t="s">
        <v>3977</v>
      </c>
      <c r="J370" s="298" t="s">
        <v>113</v>
      </c>
      <c r="K370" s="285">
        <v>45775</v>
      </c>
      <c r="O370" s="3"/>
      <c r="Q370"/>
    </row>
    <row r="371" spans="2:17" x14ac:dyDescent="0.25">
      <c r="B371" s="298">
        <v>2243</v>
      </c>
      <c r="C371" s="298" t="s">
        <v>2739</v>
      </c>
      <c r="D371" s="298" t="s">
        <v>33</v>
      </c>
      <c r="E371" s="298" t="s">
        <v>2667</v>
      </c>
      <c r="F371" s="298" t="s">
        <v>71</v>
      </c>
      <c r="G371" s="6">
        <v>2149.7567796610165</v>
      </c>
      <c r="H371" s="312">
        <v>14092.85</v>
      </c>
      <c r="I371" s="3" t="s">
        <v>3977</v>
      </c>
      <c r="J371" s="298" t="s">
        <v>113</v>
      </c>
      <c r="K371" s="285">
        <v>45776</v>
      </c>
      <c r="O371" s="3"/>
      <c r="Q371"/>
    </row>
    <row r="372" spans="2:17" x14ac:dyDescent="0.25">
      <c r="B372" s="298">
        <v>2234</v>
      </c>
      <c r="C372" s="298" t="s">
        <v>2730</v>
      </c>
      <c r="D372" s="298" t="s">
        <v>34</v>
      </c>
      <c r="E372" s="298" t="s">
        <v>2660</v>
      </c>
      <c r="F372" s="298" t="s">
        <v>71</v>
      </c>
      <c r="G372" s="6">
        <v>902.57338983050795</v>
      </c>
      <c r="H372" s="312">
        <v>5916.87</v>
      </c>
      <c r="I372" s="3" t="s">
        <v>3977</v>
      </c>
      <c r="J372" s="298" t="s">
        <v>113</v>
      </c>
      <c r="K372" s="285">
        <v>45771</v>
      </c>
      <c r="O372" s="3"/>
      <c r="Q372"/>
    </row>
    <row r="373" spans="2:17" x14ac:dyDescent="0.25">
      <c r="B373" s="298">
        <v>2533</v>
      </c>
      <c r="C373" s="298" t="s">
        <v>3358</v>
      </c>
      <c r="D373" s="298" t="s">
        <v>96</v>
      </c>
      <c r="E373" s="298" t="s">
        <v>3338</v>
      </c>
      <c r="F373" s="298" t="s">
        <v>71</v>
      </c>
      <c r="G373" s="6">
        <v>2046.7281355932191</v>
      </c>
      <c r="H373" s="312">
        <v>13417.44</v>
      </c>
      <c r="I373" s="3" t="s">
        <v>3977</v>
      </c>
      <c r="J373" s="298" t="s">
        <v>18</v>
      </c>
      <c r="K373" s="285">
        <v>45770</v>
      </c>
      <c r="O373" s="3"/>
      <c r="Q373"/>
    </row>
    <row r="374" spans="2:17" x14ac:dyDescent="0.25">
      <c r="B374" s="298">
        <v>1657</v>
      </c>
      <c r="C374" s="298" t="s">
        <v>703</v>
      </c>
      <c r="D374" s="298">
        <v>0</v>
      </c>
      <c r="E374" s="298" t="s">
        <v>1611</v>
      </c>
      <c r="F374" s="298" t="s">
        <v>701</v>
      </c>
      <c r="G374" s="6">
        <v>3301.4745762711864</v>
      </c>
      <c r="H374" s="312">
        <v>21643</v>
      </c>
      <c r="I374" s="3" t="s">
        <v>3977</v>
      </c>
      <c r="J374" s="298" t="s">
        <v>18</v>
      </c>
      <c r="K374" s="285">
        <v>45777</v>
      </c>
      <c r="O374" s="3"/>
      <c r="Q374"/>
    </row>
    <row r="375" spans="2:17" x14ac:dyDescent="0.25">
      <c r="B375" s="298">
        <v>2098</v>
      </c>
      <c r="C375" s="298" t="s">
        <v>2311</v>
      </c>
      <c r="D375" s="298" t="s">
        <v>38</v>
      </c>
      <c r="E375" s="298" t="s">
        <v>2290</v>
      </c>
      <c r="F375" s="298" t="s">
        <v>114</v>
      </c>
      <c r="G375" s="6">
        <v>902.88915254237236</v>
      </c>
      <c r="H375" s="312">
        <v>5918.94</v>
      </c>
      <c r="I375" s="3" t="s">
        <v>3977</v>
      </c>
      <c r="J375" s="298" t="s">
        <v>113</v>
      </c>
      <c r="K375" s="285">
        <v>45769</v>
      </c>
      <c r="O375" s="3"/>
      <c r="Q375"/>
    </row>
    <row r="376" spans="2:17" x14ac:dyDescent="0.25">
      <c r="B376" s="298">
        <v>2578</v>
      </c>
      <c r="C376" s="298" t="s">
        <v>2198</v>
      </c>
      <c r="D376" s="298" t="s">
        <v>50</v>
      </c>
      <c r="E376" s="298" t="s">
        <v>3813</v>
      </c>
      <c r="F376" s="298" t="s">
        <v>141</v>
      </c>
      <c r="G376" s="6">
        <v>6101.6949152542365</v>
      </c>
      <c r="H376" s="312">
        <v>40000</v>
      </c>
      <c r="I376" s="3" t="s">
        <v>3977</v>
      </c>
      <c r="J376" s="298" t="s">
        <v>113</v>
      </c>
      <c r="K376" s="285">
        <v>0</v>
      </c>
      <c r="O376" s="3"/>
      <c r="Q376"/>
    </row>
    <row r="377" spans="2:17" x14ac:dyDescent="0.25">
      <c r="B377" s="298">
        <v>2620</v>
      </c>
      <c r="C377" s="298" t="s">
        <v>2198</v>
      </c>
      <c r="D377" s="298" t="s">
        <v>50</v>
      </c>
      <c r="E377" s="298" t="s">
        <v>3910</v>
      </c>
      <c r="F377" s="298" t="s">
        <v>141</v>
      </c>
      <c r="G377" s="6">
        <v>10677.96610169491</v>
      </c>
      <c r="H377" s="312">
        <v>70000</v>
      </c>
      <c r="I377" s="3" t="s">
        <v>3977</v>
      </c>
      <c r="J377" s="298" t="s">
        <v>113</v>
      </c>
      <c r="K377" s="285">
        <v>0</v>
      </c>
      <c r="O377" s="3"/>
      <c r="Q377"/>
    </row>
    <row r="378" spans="2:17" x14ac:dyDescent="0.25">
      <c r="B378" s="298">
        <v>2596</v>
      </c>
      <c r="C378" s="298" t="s">
        <v>2198</v>
      </c>
      <c r="D378" s="298" t="s">
        <v>50</v>
      </c>
      <c r="E378" s="298" t="s">
        <v>3850</v>
      </c>
      <c r="F378" s="298" t="s">
        <v>141</v>
      </c>
      <c r="G378" s="6">
        <v>6101.6949152542365</v>
      </c>
      <c r="H378" s="312">
        <v>40000</v>
      </c>
      <c r="I378" s="3" t="s">
        <v>3977</v>
      </c>
      <c r="J378" s="298" t="s">
        <v>113</v>
      </c>
      <c r="K378" s="285">
        <v>0</v>
      </c>
      <c r="O378" s="3"/>
      <c r="Q378"/>
    </row>
    <row r="379" spans="2:17" x14ac:dyDescent="0.25">
      <c r="B379" s="298">
        <v>2597</v>
      </c>
      <c r="C379" s="298" t="s">
        <v>2198</v>
      </c>
      <c r="D379" s="298" t="s">
        <v>50</v>
      </c>
      <c r="E379" s="298" t="s">
        <v>3851</v>
      </c>
      <c r="F379" s="298" t="s">
        <v>141</v>
      </c>
      <c r="G379" s="6">
        <v>6101.6949152542365</v>
      </c>
      <c r="H379" s="312">
        <v>40000</v>
      </c>
      <c r="I379" s="3" t="s">
        <v>3977</v>
      </c>
      <c r="J379" s="298" t="s">
        <v>113</v>
      </c>
      <c r="K379" s="285">
        <v>0</v>
      </c>
      <c r="O379" s="3"/>
      <c r="Q379"/>
    </row>
    <row r="380" spans="2:17" x14ac:dyDescent="0.25">
      <c r="B380" s="298">
        <v>2058</v>
      </c>
      <c r="C380" s="298" t="s">
        <v>2197</v>
      </c>
      <c r="D380" s="298" t="s">
        <v>29</v>
      </c>
      <c r="E380" s="298" t="s">
        <v>2200</v>
      </c>
      <c r="F380" s="298" t="s">
        <v>141</v>
      </c>
      <c r="G380" s="6">
        <v>16687.186779661017</v>
      </c>
      <c r="H380" s="312">
        <v>109393.78</v>
      </c>
      <c r="I380" s="3" t="s">
        <v>3977</v>
      </c>
      <c r="J380" s="298" t="s">
        <v>113</v>
      </c>
      <c r="K380" s="285">
        <v>45775</v>
      </c>
      <c r="O380" s="3"/>
      <c r="Q380"/>
    </row>
    <row r="381" spans="2:17" x14ac:dyDescent="0.25">
      <c r="B381" s="298">
        <v>2091</v>
      </c>
      <c r="C381" s="298" t="s">
        <v>2304</v>
      </c>
      <c r="D381" s="298" t="s">
        <v>4</v>
      </c>
      <c r="E381" s="298" t="s">
        <v>2284</v>
      </c>
      <c r="F381" s="298" t="s">
        <v>114</v>
      </c>
      <c r="G381" s="6">
        <v>1785.7769491525414</v>
      </c>
      <c r="H381" s="312">
        <v>11706.76</v>
      </c>
      <c r="I381" s="3" t="s">
        <v>3977</v>
      </c>
      <c r="J381" s="298" t="s">
        <v>113</v>
      </c>
      <c r="K381" s="285">
        <v>45769</v>
      </c>
      <c r="O381" s="3"/>
      <c r="Q381"/>
    </row>
    <row r="382" spans="2:17" x14ac:dyDescent="0.25">
      <c r="B382" s="298">
        <v>2099</v>
      </c>
      <c r="C382" s="298" t="s">
        <v>2312</v>
      </c>
      <c r="D382" s="298" t="s">
        <v>4</v>
      </c>
      <c r="E382" s="298" t="s">
        <v>2291</v>
      </c>
      <c r="F382" s="298" t="s">
        <v>114</v>
      </c>
      <c r="G382" s="6">
        <v>816.47084745762731</v>
      </c>
      <c r="H382" s="312">
        <v>5352.42</v>
      </c>
      <c r="I382" s="3" t="s">
        <v>3977</v>
      </c>
      <c r="J382" s="298" t="s">
        <v>113</v>
      </c>
      <c r="K382" s="285">
        <v>45771</v>
      </c>
      <c r="O382" s="3"/>
      <c r="Q382"/>
    </row>
    <row r="383" spans="2:17" x14ac:dyDescent="0.25">
      <c r="B383" s="298">
        <v>2622</v>
      </c>
      <c r="C383" s="298" t="s">
        <v>3916</v>
      </c>
      <c r="D383" s="298" t="s">
        <v>43</v>
      </c>
      <c r="E383" s="298" t="s">
        <v>3918</v>
      </c>
      <c r="F383" s="298" t="s">
        <v>3635</v>
      </c>
      <c r="G383" s="6">
        <v>2819.9059322033881</v>
      </c>
      <c r="H383" s="312">
        <v>18486.05</v>
      </c>
      <c r="I383" s="3" t="s">
        <v>4013</v>
      </c>
      <c r="J383" s="298" t="s">
        <v>113</v>
      </c>
      <c r="K383" s="285">
        <v>45790</v>
      </c>
      <c r="O383" s="3"/>
      <c r="Q383"/>
    </row>
    <row r="384" spans="2:17" x14ac:dyDescent="0.25">
      <c r="B384" s="298">
        <v>2621</v>
      </c>
      <c r="C384" s="298" t="s">
        <v>3913</v>
      </c>
      <c r="D384" s="298" t="s">
        <v>40</v>
      </c>
      <c r="E384" s="298" t="s">
        <v>3915</v>
      </c>
      <c r="F384" s="298" t="s">
        <v>3635</v>
      </c>
      <c r="G384" s="6">
        <v>2819.9059322033881</v>
      </c>
      <c r="H384" s="312">
        <v>18486.05</v>
      </c>
      <c r="I384" s="3" t="s">
        <v>4013</v>
      </c>
      <c r="J384" s="298" t="s">
        <v>113</v>
      </c>
      <c r="K384" s="285">
        <v>45790</v>
      </c>
      <c r="O384" s="3"/>
      <c r="Q384"/>
    </row>
    <row r="385" spans="2:17" x14ac:dyDescent="0.25">
      <c r="B385" s="298">
        <v>2631</v>
      </c>
      <c r="C385" s="298" t="s">
        <v>3944</v>
      </c>
      <c r="D385" s="298" t="s">
        <v>93</v>
      </c>
      <c r="E385" s="298" t="s">
        <v>3942</v>
      </c>
      <c r="F385" s="298" t="s">
        <v>3635</v>
      </c>
      <c r="G385" s="6">
        <v>706.65559322033869</v>
      </c>
      <c r="H385" s="312">
        <v>4632.5200000000004</v>
      </c>
      <c r="I385" s="3" t="s">
        <v>4013</v>
      </c>
      <c r="J385" s="298" t="s">
        <v>18</v>
      </c>
      <c r="K385" s="285">
        <v>45790</v>
      </c>
      <c r="O385" s="3"/>
      <c r="Q385"/>
    </row>
    <row r="386" spans="2:17" x14ac:dyDescent="0.25">
      <c r="B386" s="298">
        <v>2633</v>
      </c>
      <c r="C386" s="298" t="s">
        <v>3941</v>
      </c>
      <c r="D386" s="298" t="s">
        <v>93</v>
      </c>
      <c r="E386" s="298" t="s">
        <v>3939</v>
      </c>
      <c r="F386" s="298" t="s">
        <v>3635</v>
      </c>
      <c r="G386" s="6">
        <v>706.65559322033869</v>
      </c>
      <c r="H386" s="312">
        <v>4632.5200000000004</v>
      </c>
      <c r="I386" s="3" t="s">
        <v>4013</v>
      </c>
      <c r="J386" s="298" t="s">
        <v>18</v>
      </c>
      <c r="K386" s="285">
        <v>45790</v>
      </c>
      <c r="O386" s="3"/>
      <c r="Q386"/>
    </row>
    <row r="387" spans="2:17" x14ac:dyDescent="0.25">
      <c r="B387" s="298">
        <v>2632</v>
      </c>
      <c r="C387" s="298" t="s">
        <v>3947</v>
      </c>
      <c r="D387" s="298" t="s">
        <v>93</v>
      </c>
      <c r="E387" s="298" t="s">
        <v>3945</v>
      </c>
      <c r="F387" s="298" t="s">
        <v>3635</v>
      </c>
      <c r="G387" s="6">
        <v>706.65559322033869</v>
      </c>
      <c r="H387" s="312">
        <v>4632.5200000000004</v>
      </c>
      <c r="I387" s="3" t="s">
        <v>4013</v>
      </c>
      <c r="J387" s="298" t="s">
        <v>18</v>
      </c>
      <c r="K387" s="285">
        <v>45790</v>
      </c>
      <c r="O387" s="3"/>
      <c r="Q387"/>
    </row>
    <row r="388" spans="2:17" x14ac:dyDescent="0.25">
      <c r="B388" s="298">
        <v>2625</v>
      </c>
      <c r="C388" s="298" t="s">
        <v>3922</v>
      </c>
      <c r="D388" s="298" t="s">
        <v>88</v>
      </c>
      <c r="E388" s="298" t="s">
        <v>3923</v>
      </c>
      <c r="F388" s="298" t="s">
        <v>3635</v>
      </c>
      <c r="G388" s="6">
        <v>706.65559322033869</v>
      </c>
      <c r="H388" s="312">
        <v>4632.5200000000004</v>
      </c>
      <c r="I388" s="3" t="s">
        <v>4013</v>
      </c>
      <c r="J388" s="298" t="s">
        <v>18</v>
      </c>
      <c r="K388" s="285">
        <v>45790</v>
      </c>
      <c r="O388" s="3"/>
      <c r="Q388"/>
    </row>
    <row r="389" spans="2:17" x14ac:dyDescent="0.25">
      <c r="B389" s="298">
        <v>2626</v>
      </c>
      <c r="C389" s="298" t="s">
        <v>3925</v>
      </c>
      <c r="D389" s="298" t="s">
        <v>88</v>
      </c>
      <c r="E389" s="298" t="s">
        <v>3926</v>
      </c>
      <c r="F389" s="298" t="s">
        <v>3635</v>
      </c>
      <c r="G389" s="6">
        <v>706.65559322033869</v>
      </c>
      <c r="H389" s="312">
        <v>4632.5200000000004</v>
      </c>
      <c r="I389" s="3" t="s">
        <v>4013</v>
      </c>
      <c r="J389" s="298" t="s">
        <v>18</v>
      </c>
      <c r="K389" s="285">
        <v>45790</v>
      </c>
      <c r="O389" s="3"/>
      <c r="Q389"/>
    </row>
    <row r="390" spans="2:17" x14ac:dyDescent="0.25">
      <c r="B390" s="298">
        <v>2630</v>
      </c>
      <c r="C390" s="298" t="s">
        <v>3938</v>
      </c>
      <c r="D390" s="298" t="s">
        <v>88</v>
      </c>
      <c r="E390" s="298" t="s">
        <v>3936</v>
      </c>
      <c r="F390" s="298" t="s">
        <v>3635</v>
      </c>
      <c r="G390" s="6">
        <v>706.65559322033869</v>
      </c>
      <c r="H390" s="312">
        <v>4632.5200000000004</v>
      </c>
      <c r="I390" s="3" t="s">
        <v>4013</v>
      </c>
      <c r="J390" s="298" t="s">
        <v>18</v>
      </c>
      <c r="K390" s="285">
        <v>45790</v>
      </c>
      <c r="O390" s="3"/>
      <c r="Q390"/>
    </row>
    <row r="391" spans="2:17" x14ac:dyDescent="0.25">
      <c r="B391" s="298">
        <v>2628</v>
      </c>
      <c r="C391" s="298" t="s">
        <v>3931</v>
      </c>
      <c r="D391" s="298" t="s">
        <v>88</v>
      </c>
      <c r="E391" s="298" t="s">
        <v>3932</v>
      </c>
      <c r="F391" s="298" t="s">
        <v>3635</v>
      </c>
      <c r="G391" s="6">
        <v>706.65559322033869</v>
      </c>
      <c r="H391" s="312">
        <v>4632.5200000000004</v>
      </c>
      <c r="I391" s="3" t="s">
        <v>4013</v>
      </c>
      <c r="J391" s="298" t="s">
        <v>18</v>
      </c>
      <c r="K391" s="285">
        <v>45790</v>
      </c>
      <c r="O391" s="3"/>
      <c r="Q391"/>
    </row>
    <row r="392" spans="2:17" x14ac:dyDescent="0.25">
      <c r="B392" s="298">
        <v>2629</v>
      </c>
      <c r="C392" s="298" t="s">
        <v>3935</v>
      </c>
      <c r="D392" s="298" t="s">
        <v>88</v>
      </c>
      <c r="E392" s="298" t="s">
        <v>3933</v>
      </c>
      <c r="F392" s="298" t="s">
        <v>3635</v>
      </c>
      <c r="G392" s="6">
        <v>706.65559322033869</v>
      </c>
      <c r="H392" s="312">
        <v>4632.5200000000004</v>
      </c>
      <c r="I392" s="3" t="s">
        <v>4013</v>
      </c>
      <c r="J392" s="298" t="s">
        <v>18</v>
      </c>
      <c r="K392" s="285">
        <v>45790</v>
      </c>
      <c r="O392" s="3"/>
      <c r="Q392"/>
    </row>
    <row r="393" spans="2:17" x14ac:dyDescent="0.25">
      <c r="B393" s="298">
        <v>2627</v>
      </c>
      <c r="C393" s="298" t="s">
        <v>3927</v>
      </c>
      <c r="D393" s="298" t="s">
        <v>88</v>
      </c>
      <c r="E393" s="298" t="s">
        <v>3929</v>
      </c>
      <c r="F393" s="298" t="s">
        <v>3635</v>
      </c>
      <c r="G393" s="6">
        <v>706.65559322033869</v>
      </c>
      <c r="H393" s="312">
        <v>4632.5200000000004</v>
      </c>
      <c r="I393" s="3" t="s">
        <v>4013</v>
      </c>
      <c r="J393" s="298" t="s">
        <v>18</v>
      </c>
      <c r="K393" s="285">
        <v>45790</v>
      </c>
      <c r="O393" s="3"/>
      <c r="Q393"/>
    </row>
    <row r="394" spans="2:17" x14ac:dyDescent="0.25">
      <c r="B394" s="298">
        <v>2639</v>
      </c>
      <c r="C394" s="298" t="s">
        <v>3641</v>
      </c>
      <c r="D394" s="298" t="s">
        <v>45</v>
      </c>
      <c r="E394" s="298" t="s">
        <v>3954</v>
      </c>
      <c r="F394" s="298" t="s">
        <v>3635</v>
      </c>
      <c r="G394" s="6">
        <v>3432.203389830509</v>
      </c>
      <c r="H394" s="312">
        <v>22500</v>
      </c>
      <c r="I394" s="3" t="s">
        <v>4013</v>
      </c>
      <c r="J394" s="298" t="s">
        <v>113</v>
      </c>
      <c r="K394" s="285">
        <v>45787</v>
      </c>
      <c r="O394" s="3"/>
      <c r="Q394"/>
    </row>
    <row r="395" spans="2:17" x14ac:dyDescent="0.25">
      <c r="B395" s="298">
        <v>2640</v>
      </c>
      <c r="C395" s="298" t="s">
        <v>3636</v>
      </c>
      <c r="D395" s="298" t="s">
        <v>96</v>
      </c>
      <c r="E395" s="298" t="s">
        <v>3955</v>
      </c>
      <c r="F395" s="298" t="s">
        <v>3635</v>
      </c>
      <c r="G395" s="6">
        <v>3432.203389830509</v>
      </c>
      <c r="H395" s="312">
        <v>22500</v>
      </c>
      <c r="I395" s="3" t="s">
        <v>4013</v>
      </c>
      <c r="J395" s="298" t="s">
        <v>18</v>
      </c>
      <c r="K395" s="285">
        <v>45785</v>
      </c>
      <c r="O395" s="3"/>
      <c r="Q395"/>
    </row>
    <row r="396" spans="2:17" x14ac:dyDescent="0.25">
      <c r="B396" s="298">
        <v>2641</v>
      </c>
      <c r="C396" s="298" t="s">
        <v>3956</v>
      </c>
      <c r="D396" s="298" t="s">
        <v>42</v>
      </c>
      <c r="E396" s="298" t="s">
        <v>3961</v>
      </c>
      <c r="F396" s="298" t="s">
        <v>3635</v>
      </c>
      <c r="G396" s="6">
        <v>3966.1016949152545</v>
      </c>
      <c r="H396" s="312">
        <v>26000</v>
      </c>
      <c r="I396" s="3" t="s">
        <v>4013</v>
      </c>
      <c r="J396" s="298" t="s">
        <v>113</v>
      </c>
      <c r="K396" s="285">
        <v>45810</v>
      </c>
      <c r="O396" s="3"/>
      <c r="Q396"/>
    </row>
    <row r="397" spans="2:17" x14ac:dyDescent="0.25">
      <c r="B397" s="298">
        <v>2642</v>
      </c>
      <c r="C397" s="298" t="s">
        <v>3965</v>
      </c>
      <c r="D397" s="298" t="s">
        <v>42</v>
      </c>
      <c r="E397" s="298" t="s">
        <v>3962</v>
      </c>
      <c r="F397" s="298" t="s">
        <v>3635</v>
      </c>
      <c r="G397" s="6">
        <v>3966.1016949152545</v>
      </c>
      <c r="H397" s="312">
        <v>26000</v>
      </c>
      <c r="I397" s="3" t="s">
        <v>4013</v>
      </c>
      <c r="J397" s="298" t="s">
        <v>113</v>
      </c>
      <c r="K397" s="285">
        <v>45810</v>
      </c>
      <c r="O397" s="3"/>
      <c r="Q397"/>
    </row>
    <row r="398" spans="2:17" x14ac:dyDescent="0.25">
      <c r="B398" s="298">
        <v>2643</v>
      </c>
      <c r="C398" s="298" t="s">
        <v>3966</v>
      </c>
      <c r="D398" s="298" t="s">
        <v>36</v>
      </c>
      <c r="E398" s="298" t="s">
        <v>3963</v>
      </c>
      <c r="F398" s="298" t="s">
        <v>3635</v>
      </c>
      <c r="G398" s="6">
        <v>6101.6949152542365</v>
      </c>
      <c r="H398" s="312">
        <v>40000</v>
      </c>
      <c r="I398" s="3" t="s">
        <v>4013</v>
      </c>
      <c r="J398" s="298" t="s">
        <v>113</v>
      </c>
      <c r="K398" s="285">
        <v>45810</v>
      </c>
      <c r="O398" s="3"/>
      <c r="Q398"/>
    </row>
    <row r="399" spans="2:17" x14ac:dyDescent="0.25">
      <c r="B399" s="298">
        <v>2644</v>
      </c>
      <c r="C399" s="298" t="s">
        <v>3967</v>
      </c>
      <c r="D399" s="298" t="s">
        <v>36</v>
      </c>
      <c r="E399" s="298" t="s">
        <v>3964</v>
      </c>
      <c r="F399" s="298" t="s">
        <v>3635</v>
      </c>
      <c r="G399" s="6">
        <v>6101.6949152542365</v>
      </c>
      <c r="H399" s="312">
        <v>40000</v>
      </c>
      <c r="I399" s="3" t="s">
        <v>4013</v>
      </c>
      <c r="J399" s="298" t="s">
        <v>113</v>
      </c>
      <c r="K399" s="285">
        <v>45810</v>
      </c>
      <c r="O399" s="3"/>
      <c r="Q399"/>
    </row>
    <row r="400" spans="2:17" x14ac:dyDescent="0.25">
      <c r="B400" s="298">
        <v>2645</v>
      </c>
      <c r="C400" s="298" t="s">
        <v>3641</v>
      </c>
      <c r="D400" s="298" t="s">
        <v>37</v>
      </c>
      <c r="E400" s="298" t="s">
        <v>3968</v>
      </c>
      <c r="F400" s="298" t="s">
        <v>3635</v>
      </c>
      <c r="G400" s="6">
        <v>4118.6440677966093</v>
      </c>
      <c r="H400" s="312">
        <v>27000</v>
      </c>
      <c r="I400" s="3" t="s">
        <v>4013</v>
      </c>
      <c r="J400" s="298" t="s">
        <v>113</v>
      </c>
      <c r="K400" s="285">
        <v>45798</v>
      </c>
      <c r="O400" s="3"/>
      <c r="Q400"/>
    </row>
    <row r="401" spans="2:17" x14ac:dyDescent="0.25">
      <c r="B401" s="298">
        <v>2646</v>
      </c>
      <c r="C401" s="298" t="s">
        <v>3641</v>
      </c>
      <c r="D401" s="298" t="s">
        <v>45</v>
      </c>
      <c r="E401" s="298" t="s">
        <v>3971</v>
      </c>
      <c r="F401" s="298" t="s">
        <v>3635</v>
      </c>
      <c r="G401" s="6">
        <v>991.52542372881362</v>
      </c>
      <c r="H401" s="312">
        <v>6500</v>
      </c>
      <c r="I401" s="3" t="s">
        <v>4013</v>
      </c>
      <c r="J401" s="298" t="s">
        <v>113</v>
      </c>
      <c r="K401" s="285">
        <v>45799</v>
      </c>
      <c r="O401" s="3"/>
      <c r="Q401"/>
    </row>
    <row r="402" spans="2:17" x14ac:dyDescent="0.25">
      <c r="B402" s="298">
        <v>2647</v>
      </c>
      <c r="C402" s="298" t="s">
        <v>3641</v>
      </c>
      <c r="D402" s="298" t="s">
        <v>45</v>
      </c>
      <c r="E402" s="298" t="s">
        <v>3972</v>
      </c>
      <c r="F402" s="298" t="s">
        <v>3635</v>
      </c>
      <c r="G402" s="6">
        <v>3432.203389830509</v>
      </c>
      <c r="H402" s="312">
        <v>22500</v>
      </c>
      <c r="I402" s="3" t="s">
        <v>4013</v>
      </c>
      <c r="J402" s="298" t="s">
        <v>113</v>
      </c>
      <c r="K402" s="285">
        <v>45799</v>
      </c>
      <c r="O402" s="3"/>
      <c r="Q402"/>
    </row>
    <row r="403" spans="2:17" x14ac:dyDescent="0.25">
      <c r="B403" s="298">
        <v>2648</v>
      </c>
      <c r="C403" s="298" t="s">
        <v>3641</v>
      </c>
      <c r="D403" s="298" t="s">
        <v>45</v>
      </c>
      <c r="E403" s="298" t="s">
        <v>3973</v>
      </c>
      <c r="F403" s="298" t="s">
        <v>3635</v>
      </c>
      <c r="G403" s="6">
        <v>3432.203389830509</v>
      </c>
      <c r="H403" s="312">
        <v>22500</v>
      </c>
      <c r="I403" s="3" t="s">
        <v>4013</v>
      </c>
      <c r="J403" s="298" t="s">
        <v>113</v>
      </c>
      <c r="K403" s="285">
        <v>45799</v>
      </c>
      <c r="O403" s="3"/>
      <c r="Q403"/>
    </row>
    <row r="404" spans="2:17" x14ac:dyDescent="0.25">
      <c r="B404" s="298">
        <v>2086</v>
      </c>
      <c r="C404" s="298" t="s">
        <v>2299</v>
      </c>
      <c r="D404" s="298" t="s">
        <v>40</v>
      </c>
      <c r="E404" s="298" t="s">
        <v>2281</v>
      </c>
      <c r="F404" s="298" t="s">
        <v>114</v>
      </c>
      <c r="G404" s="6">
        <v>27457.627118644072</v>
      </c>
      <c r="H404" s="312">
        <v>180000</v>
      </c>
      <c r="I404" s="3" t="s">
        <v>4013</v>
      </c>
      <c r="J404" s="298" t="s">
        <v>113</v>
      </c>
      <c r="K404" s="285">
        <v>0</v>
      </c>
      <c r="O404" s="3"/>
      <c r="Q404"/>
    </row>
    <row r="405" spans="2:17" x14ac:dyDescent="0.25">
      <c r="B405" s="298">
        <v>2094</v>
      </c>
      <c r="C405" s="298" t="s">
        <v>2307</v>
      </c>
      <c r="D405" s="298" t="s">
        <v>35</v>
      </c>
      <c r="E405" s="298" t="s">
        <v>2294</v>
      </c>
      <c r="F405" s="298" t="s">
        <v>114</v>
      </c>
      <c r="G405" s="6">
        <v>18305.08474576271</v>
      </c>
      <c r="H405" s="312">
        <v>120000</v>
      </c>
      <c r="I405" s="3" t="s">
        <v>4013</v>
      </c>
      <c r="J405" s="298" t="s">
        <v>113</v>
      </c>
      <c r="K405" s="285">
        <v>0</v>
      </c>
      <c r="O405" s="3"/>
      <c r="Q405"/>
    </row>
    <row r="406" spans="2:17" x14ac:dyDescent="0.25">
      <c r="B406" s="298">
        <v>2084</v>
      </c>
      <c r="C406" s="298" t="s">
        <v>2297</v>
      </c>
      <c r="D406" s="298" t="s">
        <v>37</v>
      </c>
      <c r="E406" s="298" t="s">
        <v>2279</v>
      </c>
      <c r="F406" s="298" t="s">
        <v>114</v>
      </c>
      <c r="G406" s="6">
        <v>30508.474576271168</v>
      </c>
      <c r="H406" s="312">
        <v>200000</v>
      </c>
      <c r="I406" s="3" t="s">
        <v>4013</v>
      </c>
      <c r="J406" s="298" t="s">
        <v>113</v>
      </c>
      <c r="K406" s="285">
        <v>0</v>
      </c>
      <c r="O406" s="3"/>
      <c r="Q406"/>
    </row>
    <row r="407" spans="2:17" x14ac:dyDescent="0.25">
      <c r="B407" s="298">
        <v>2051</v>
      </c>
      <c r="C407" s="298" t="s">
        <v>2182</v>
      </c>
      <c r="D407" s="298" t="s">
        <v>91</v>
      </c>
      <c r="E407" s="298" t="s">
        <v>3792</v>
      </c>
      <c r="F407" s="298" t="s">
        <v>105</v>
      </c>
      <c r="G407" s="6">
        <v>228813.55932203378</v>
      </c>
      <c r="H407" s="312">
        <v>1500000</v>
      </c>
      <c r="I407" s="3" t="s">
        <v>4013</v>
      </c>
      <c r="J407" s="298" t="s">
        <v>18</v>
      </c>
      <c r="K407" s="285">
        <v>0</v>
      </c>
      <c r="O407" s="3"/>
      <c r="Q407"/>
    </row>
    <row r="408" spans="2:17" x14ac:dyDescent="0.25">
      <c r="B408" s="298">
        <v>2050</v>
      </c>
      <c r="C408" s="298" t="s">
        <v>2180</v>
      </c>
      <c r="D408" s="298" t="s">
        <v>56</v>
      </c>
      <c r="E408" s="298" t="s">
        <v>2178</v>
      </c>
      <c r="F408" s="298" t="s">
        <v>105</v>
      </c>
      <c r="G408" s="6">
        <v>45762.711864406767</v>
      </c>
      <c r="H408" s="312">
        <v>300000</v>
      </c>
      <c r="I408" s="3" t="s">
        <v>4013</v>
      </c>
      <c r="J408" s="298" t="s">
        <v>113</v>
      </c>
      <c r="K408" s="285">
        <v>0</v>
      </c>
      <c r="O408" s="3"/>
      <c r="Q408"/>
    </row>
    <row r="409" spans="2:17" x14ac:dyDescent="0.25">
      <c r="B409" s="298">
        <v>2649</v>
      </c>
      <c r="C409" s="298" t="s">
        <v>3974</v>
      </c>
      <c r="D409" s="298" t="s">
        <v>94</v>
      </c>
      <c r="E409" s="298" t="s">
        <v>3976</v>
      </c>
      <c r="F409" s="298" t="s">
        <v>3635</v>
      </c>
      <c r="G409" s="6">
        <v>28220.338983050839</v>
      </c>
      <c r="H409" s="312">
        <v>185000</v>
      </c>
      <c r="I409" s="3" t="s">
        <v>4013</v>
      </c>
      <c r="J409" s="298" t="s">
        <v>18</v>
      </c>
      <c r="K409" s="285">
        <v>45812</v>
      </c>
      <c r="O409" s="3"/>
      <c r="Q409"/>
    </row>
    <row r="410" spans="2:17" x14ac:dyDescent="0.25">
      <c r="B410" s="298">
        <v>1982</v>
      </c>
      <c r="C410" s="298" t="s">
        <v>1694</v>
      </c>
      <c r="D410" s="298" t="s">
        <v>47</v>
      </c>
      <c r="E410" s="298" t="s">
        <v>1693</v>
      </c>
      <c r="F410" s="298" t="s">
        <v>115</v>
      </c>
      <c r="G410" s="6">
        <v>30508.474576271168</v>
      </c>
      <c r="H410" s="312">
        <v>200000</v>
      </c>
      <c r="I410" s="3" t="s">
        <v>4013</v>
      </c>
      <c r="J410" s="298" t="s">
        <v>113</v>
      </c>
      <c r="K410" s="285">
        <v>0</v>
      </c>
      <c r="O410" s="3"/>
      <c r="Q410"/>
    </row>
    <row r="411" spans="2:17" x14ac:dyDescent="0.25">
      <c r="B411" s="298">
        <v>980</v>
      </c>
      <c r="C411" s="298" t="s">
        <v>3559</v>
      </c>
      <c r="D411" s="298" t="s">
        <v>47</v>
      </c>
      <c r="E411" s="298" t="s">
        <v>3912</v>
      </c>
      <c r="F411" s="298" t="s">
        <v>115</v>
      </c>
      <c r="G411" s="6">
        <v>30508.474576271168</v>
      </c>
      <c r="H411" s="312">
        <v>200000</v>
      </c>
      <c r="I411" s="3" t="s">
        <v>4013</v>
      </c>
      <c r="J411" s="298" t="s">
        <v>113</v>
      </c>
      <c r="K411" s="285">
        <v>0</v>
      </c>
      <c r="O411" s="3"/>
      <c r="Q411"/>
    </row>
    <row r="412" spans="2:17" x14ac:dyDescent="0.25">
      <c r="B412" s="298">
        <v>905</v>
      </c>
      <c r="C412" s="298" t="s">
        <v>3558</v>
      </c>
      <c r="D412" s="298" t="s">
        <v>47</v>
      </c>
      <c r="E412" s="298" t="s">
        <v>3911</v>
      </c>
      <c r="F412" s="298" t="s">
        <v>123</v>
      </c>
      <c r="G412" s="6">
        <v>1693.5254237288136</v>
      </c>
      <c r="H412" s="312">
        <v>11102</v>
      </c>
      <c r="I412" s="3" t="s">
        <v>4013</v>
      </c>
      <c r="J412" s="298" t="s">
        <v>113</v>
      </c>
      <c r="K412" s="285">
        <v>45805</v>
      </c>
      <c r="O412" s="3"/>
      <c r="Q412"/>
    </row>
    <row r="413" spans="2:17" x14ac:dyDescent="0.25">
      <c r="B413" s="298">
        <v>2217</v>
      </c>
      <c r="C413" s="298" t="s">
        <v>2713</v>
      </c>
      <c r="D413" s="298" t="s">
        <v>38</v>
      </c>
      <c r="E413" s="298" t="s">
        <v>2682</v>
      </c>
      <c r="F413" s="298" t="s">
        <v>71</v>
      </c>
      <c r="G413" s="6">
        <v>4576.2711864406774</v>
      </c>
      <c r="H413" s="312">
        <v>30000</v>
      </c>
      <c r="I413" s="3" t="s">
        <v>4013</v>
      </c>
      <c r="J413" s="298" t="s">
        <v>113</v>
      </c>
      <c r="K413" s="285">
        <v>0</v>
      </c>
      <c r="O413" s="3"/>
      <c r="Q413"/>
    </row>
    <row r="414" spans="2:17" x14ac:dyDescent="0.25">
      <c r="B414" s="298">
        <v>2214</v>
      </c>
      <c r="C414" s="298" t="s">
        <v>2710</v>
      </c>
      <c r="D414" s="298" t="s">
        <v>36</v>
      </c>
      <c r="E414" s="298" t="s">
        <v>2680</v>
      </c>
      <c r="F414" s="298" t="s">
        <v>71</v>
      </c>
      <c r="G414" s="6">
        <v>7627.118644067792</v>
      </c>
      <c r="H414" s="312">
        <v>50000</v>
      </c>
      <c r="I414" s="3" t="s">
        <v>4013</v>
      </c>
      <c r="J414" s="298" t="s">
        <v>113</v>
      </c>
      <c r="K414" s="285">
        <v>0</v>
      </c>
      <c r="O414" s="3"/>
      <c r="Q414"/>
    </row>
    <row r="415" spans="2:17" x14ac:dyDescent="0.25">
      <c r="B415" s="298">
        <v>2226</v>
      </c>
      <c r="C415" s="298" t="s">
        <v>2722</v>
      </c>
      <c r="D415" s="298" t="s">
        <v>36</v>
      </c>
      <c r="E415" s="298" t="s">
        <v>2653</v>
      </c>
      <c r="F415" s="298" t="s">
        <v>71</v>
      </c>
      <c r="G415" s="6">
        <v>4881.3559322033871</v>
      </c>
      <c r="H415" s="312">
        <v>32000</v>
      </c>
      <c r="I415" s="3" t="s">
        <v>4013</v>
      </c>
      <c r="J415" s="298" t="s">
        <v>113</v>
      </c>
      <c r="K415" s="285">
        <v>0</v>
      </c>
      <c r="O415" s="3"/>
      <c r="Q415"/>
    </row>
    <row r="416" spans="2:17" x14ac:dyDescent="0.25">
      <c r="B416" s="298">
        <v>2232</v>
      </c>
      <c r="C416" s="298" t="s">
        <v>2728</v>
      </c>
      <c r="D416" s="298" t="s">
        <v>36</v>
      </c>
      <c r="E416" s="298" t="s">
        <v>2658</v>
      </c>
      <c r="F416" s="298" t="s">
        <v>71</v>
      </c>
      <c r="G416" s="6">
        <v>3050.8474576271183</v>
      </c>
      <c r="H416" s="312">
        <v>20000</v>
      </c>
      <c r="I416" s="3" t="s">
        <v>4013</v>
      </c>
      <c r="J416" s="298" t="s">
        <v>113</v>
      </c>
      <c r="K416" s="285">
        <v>0</v>
      </c>
      <c r="O416" s="3"/>
      <c r="Q416"/>
    </row>
    <row r="417" spans="2:20" x14ac:dyDescent="0.25">
      <c r="B417" s="298">
        <v>2216</v>
      </c>
      <c r="C417" s="298" t="s">
        <v>2712</v>
      </c>
      <c r="D417" s="298" t="s">
        <v>36</v>
      </c>
      <c r="E417" s="298" t="s">
        <v>2681</v>
      </c>
      <c r="F417" s="298" t="s">
        <v>71</v>
      </c>
      <c r="G417" s="6">
        <v>12203.389830508473</v>
      </c>
      <c r="H417" s="312">
        <v>80000</v>
      </c>
      <c r="I417" s="3" t="s">
        <v>4013</v>
      </c>
      <c r="J417" s="298" t="s">
        <v>113</v>
      </c>
      <c r="K417" s="285">
        <v>0</v>
      </c>
      <c r="O417" s="3"/>
      <c r="Q417"/>
    </row>
    <row r="418" spans="2:20" x14ac:dyDescent="0.25">
      <c r="B418" s="298">
        <v>2220</v>
      </c>
      <c r="C418" s="298" t="s">
        <v>2716</v>
      </c>
      <c r="D418" s="298" t="s">
        <v>33</v>
      </c>
      <c r="E418" s="298" t="s">
        <v>2647</v>
      </c>
      <c r="F418" s="298" t="s">
        <v>71</v>
      </c>
      <c r="G418" s="6">
        <v>8542.3728813559283</v>
      </c>
      <c r="H418" s="312">
        <v>56000</v>
      </c>
      <c r="I418" s="3" t="s">
        <v>4013</v>
      </c>
      <c r="J418" s="298" t="s">
        <v>113</v>
      </c>
      <c r="K418" s="285">
        <v>0</v>
      </c>
      <c r="O418" s="3"/>
      <c r="Q418"/>
      <c r="T418" s="15"/>
    </row>
    <row r="419" spans="2:20" x14ac:dyDescent="0.25">
      <c r="B419" s="298">
        <v>2219</v>
      </c>
      <c r="C419" s="298" t="s">
        <v>2715</v>
      </c>
      <c r="D419" s="298" t="s">
        <v>35</v>
      </c>
      <c r="E419" s="298" t="s">
        <v>2646</v>
      </c>
      <c r="F419" s="298" t="s">
        <v>71</v>
      </c>
      <c r="G419" s="6">
        <v>1830.5084745762706</v>
      </c>
      <c r="H419" s="312">
        <v>12000</v>
      </c>
      <c r="I419" s="3" t="s">
        <v>4013</v>
      </c>
      <c r="J419" s="298" t="s">
        <v>113</v>
      </c>
      <c r="K419" s="285">
        <v>0</v>
      </c>
      <c r="O419" s="3"/>
      <c r="Q419"/>
      <c r="T419" s="15"/>
    </row>
    <row r="420" spans="2:20" x14ac:dyDescent="0.25">
      <c r="B420" s="298">
        <v>1838</v>
      </c>
      <c r="C420" s="298" t="s">
        <v>1181</v>
      </c>
      <c r="D420" s="298" t="s">
        <v>4</v>
      </c>
      <c r="E420" s="298" t="s">
        <v>1152</v>
      </c>
      <c r="F420" s="298" t="s">
        <v>71</v>
      </c>
      <c r="G420" s="6">
        <v>4576.2711864406774</v>
      </c>
      <c r="H420" s="312">
        <v>30000</v>
      </c>
      <c r="I420" s="3" t="s">
        <v>4013</v>
      </c>
      <c r="J420" s="298" t="s">
        <v>113</v>
      </c>
      <c r="K420" s="285">
        <v>0</v>
      </c>
      <c r="O420" s="3"/>
      <c r="Q420"/>
      <c r="T420" s="15"/>
    </row>
    <row r="421" spans="2:20" x14ac:dyDescent="0.25">
      <c r="B421" s="298">
        <v>2597</v>
      </c>
      <c r="C421" s="298" t="s">
        <v>2198</v>
      </c>
      <c r="D421" s="298" t="s">
        <v>50</v>
      </c>
      <c r="E421" s="298" t="s">
        <v>3851</v>
      </c>
      <c r="F421" s="298" t="s">
        <v>141</v>
      </c>
      <c r="G421" s="6">
        <v>457.62711864406765</v>
      </c>
      <c r="H421" s="312">
        <v>3000</v>
      </c>
      <c r="I421" s="3" t="s">
        <v>4013</v>
      </c>
      <c r="J421" s="298" t="s">
        <v>113</v>
      </c>
      <c r="K421" s="285">
        <v>0</v>
      </c>
      <c r="O421" s="3"/>
      <c r="Q421"/>
      <c r="T421" s="15"/>
    </row>
    <row r="422" spans="2:20" x14ac:dyDescent="0.25">
      <c r="B422" s="298">
        <v>2288</v>
      </c>
      <c r="C422" s="298" t="s">
        <v>2905</v>
      </c>
      <c r="D422" s="298" t="s">
        <v>41</v>
      </c>
      <c r="E422" s="298" t="s">
        <v>2837</v>
      </c>
      <c r="F422" s="298" t="s">
        <v>90</v>
      </c>
      <c r="G422" s="6">
        <v>30508.474576271168</v>
      </c>
      <c r="H422" s="312">
        <v>200000</v>
      </c>
      <c r="I422" s="3" t="s">
        <v>4013</v>
      </c>
      <c r="J422" s="298" t="s">
        <v>113</v>
      </c>
      <c r="K422" s="285">
        <v>0</v>
      </c>
      <c r="O422" s="3"/>
      <c r="Q422"/>
      <c r="T422" s="15"/>
    </row>
    <row r="423" spans="2:20" x14ac:dyDescent="0.25">
      <c r="B423" s="298">
        <v>2290</v>
      </c>
      <c r="C423" s="298" t="s">
        <v>2907</v>
      </c>
      <c r="D423" s="298" t="s">
        <v>43</v>
      </c>
      <c r="E423" s="298" t="s">
        <v>2839</v>
      </c>
      <c r="F423" s="298" t="s">
        <v>90</v>
      </c>
      <c r="G423" s="6">
        <v>106779.6610169491</v>
      </c>
      <c r="H423" s="312">
        <v>700000</v>
      </c>
      <c r="I423" s="3" t="s">
        <v>4013</v>
      </c>
      <c r="J423" s="298" t="s">
        <v>113</v>
      </c>
      <c r="K423" s="285">
        <v>0</v>
      </c>
      <c r="O423" s="3"/>
      <c r="Q423"/>
      <c r="T423" s="15"/>
    </row>
    <row r="424" spans="2:20" x14ac:dyDescent="0.25">
      <c r="B424" s="298">
        <v>2298</v>
      </c>
      <c r="C424" s="298" t="s">
        <v>2915</v>
      </c>
      <c r="D424" s="298" t="s">
        <v>40</v>
      </c>
      <c r="E424" s="298" t="s">
        <v>2847</v>
      </c>
      <c r="F424" s="298" t="s">
        <v>90</v>
      </c>
      <c r="G424" s="6">
        <v>15254.237288135584</v>
      </c>
      <c r="H424" s="312">
        <v>100000</v>
      </c>
      <c r="I424" s="3" t="s">
        <v>4013</v>
      </c>
      <c r="J424" s="298" t="s">
        <v>113</v>
      </c>
      <c r="K424" s="285">
        <v>0</v>
      </c>
      <c r="O424" s="3"/>
      <c r="Q424"/>
      <c r="T424" s="15"/>
    </row>
    <row r="425" spans="2:20" x14ac:dyDescent="0.25">
      <c r="B425" s="298">
        <v>1564</v>
      </c>
      <c r="C425" s="298" t="s">
        <v>1526</v>
      </c>
      <c r="D425" s="298" t="s">
        <v>40</v>
      </c>
      <c r="E425" s="298" t="s">
        <v>292</v>
      </c>
      <c r="F425" s="298" t="s">
        <v>90</v>
      </c>
      <c r="G425" s="6">
        <v>45762.711864406767</v>
      </c>
      <c r="H425" s="312">
        <v>300000</v>
      </c>
      <c r="I425" s="3" t="s">
        <v>4013</v>
      </c>
      <c r="J425" s="298" t="s">
        <v>18</v>
      </c>
      <c r="K425" s="285">
        <v>0</v>
      </c>
      <c r="O425" s="3"/>
      <c r="Q425"/>
      <c r="T425" s="15"/>
    </row>
    <row r="426" spans="2:20" x14ac:dyDescent="0.25">
      <c r="B426" s="298">
        <v>1953</v>
      </c>
      <c r="C426" s="298" t="s">
        <v>1482</v>
      </c>
      <c r="D426" s="298" t="s">
        <v>40</v>
      </c>
      <c r="E426" s="298" t="s">
        <v>1370</v>
      </c>
      <c r="F426" s="298" t="s">
        <v>106</v>
      </c>
      <c r="G426" s="6">
        <v>47.783898305084733</v>
      </c>
      <c r="H426" s="312">
        <v>313.25</v>
      </c>
      <c r="I426" s="3" t="s">
        <v>4013</v>
      </c>
      <c r="J426" s="298" t="s">
        <v>113</v>
      </c>
      <c r="K426" s="285">
        <v>45778</v>
      </c>
      <c r="O426" s="3"/>
      <c r="Q426"/>
      <c r="T426" s="15"/>
    </row>
    <row r="427" spans="2:20" x14ac:dyDescent="0.25">
      <c r="B427" s="298">
        <v>2433</v>
      </c>
      <c r="C427" s="298" t="s">
        <v>3170</v>
      </c>
      <c r="D427" s="298" t="s">
        <v>95</v>
      </c>
      <c r="E427" s="298" t="s">
        <v>3086</v>
      </c>
      <c r="F427" s="298" t="s">
        <v>106</v>
      </c>
      <c r="G427" s="6">
        <v>257.60593220338978</v>
      </c>
      <c r="H427" s="312">
        <v>1688.75</v>
      </c>
      <c r="I427" s="3" t="s">
        <v>4013</v>
      </c>
      <c r="J427" s="298" t="s">
        <v>18</v>
      </c>
      <c r="K427" s="285">
        <v>45778</v>
      </c>
      <c r="O427" s="3"/>
      <c r="Q427"/>
    </row>
    <row r="428" spans="2:20" x14ac:dyDescent="0.25">
      <c r="B428" s="298">
        <v>2434</v>
      </c>
      <c r="C428" s="298" t="s">
        <v>3171</v>
      </c>
      <c r="D428" s="298" t="s">
        <v>95</v>
      </c>
      <c r="E428" s="298" t="s">
        <v>3087</v>
      </c>
      <c r="F428" s="298" t="s">
        <v>90</v>
      </c>
      <c r="G428" s="6">
        <v>7627.118644067792</v>
      </c>
      <c r="H428" s="312">
        <v>50000</v>
      </c>
      <c r="I428" s="3" t="s">
        <v>4013</v>
      </c>
      <c r="J428" s="298" t="s">
        <v>18</v>
      </c>
      <c r="K428" s="285">
        <v>45831</v>
      </c>
      <c r="O428" s="3"/>
      <c r="Q428"/>
    </row>
    <row r="429" spans="2:20" x14ac:dyDescent="0.25">
      <c r="B429" s="298">
        <v>2181</v>
      </c>
      <c r="C429" s="298" t="s">
        <v>2548</v>
      </c>
      <c r="D429" s="298" t="s">
        <v>88</v>
      </c>
      <c r="E429" s="298" t="s">
        <v>2489</v>
      </c>
      <c r="F429" s="298" t="s">
        <v>87</v>
      </c>
      <c r="G429" s="6">
        <v>18338.023220338975</v>
      </c>
      <c r="H429" s="312">
        <v>120215.93</v>
      </c>
      <c r="I429" s="3" t="s">
        <v>4013</v>
      </c>
      <c r="J429" s="298" t="s">
        <v>18</v>
      </c>
      <c r="K429" s="285">
        <v>45800</v>
      </c>
      <c r="O429" s="3"/>
      <c r="Q429"/>
    </row>
    <row r="430" spans="2:20" x14ac:dyDescent="0.25">
      <c r="B430" s="298">
        <v>2152</v>
      </c>
      <c r="C430" s="298" t="s">
        <v>2519</v>
      </c>
      <c r="D430" s="298" t="s">
        <v>88</v>
      </c>
      <c r="E430" s="298" t="s">
        <v>2461</v>
      </c>
      <c r="F430" s="298" t="s">
        <v>87</v>
      </c>
      <c r="G430" s="6">
        <v>62334.915254237247</v>
      </c>
      <c r="H430" s="312">
        <v>408640</v>
      </c>
      <c r="I430" s="3" t="s">
        <v>4013</v>
      </c>
      <c r="J430" s="298" t="s">
        <v>18</v>
      </c>
      <c r="K430" s="285">
        <v>45800</v>
      </c>
      <c r="O430" s="3"/>
      <c r="Q430"/>
    </row>
    <row r="431" spans="2:20" x14ac:dyDescent="0.25">
      <c r="B431" s="298">
        <v>2650</v>
      </c>
      <c r="C431" s="298" t="s">
        <v>3641</v>
      </c>
      <c r="D431" s="298" t="s">
        <v>45</v>
      </c>
      <c r="E431" s="298" t="s">
        <v>3979</v>
      </c>
      <c r="F431" s="298" t="s">
        <v>3635</v>
      </c>
      <c r="G431" s="6">
        <v>3432.203389830509</v>
      </c>
      <c r="H431" s="312">
        <v>22500</v>
      </c>
      <c r="I431" s="3" t="s">
        <v>4014</v>
      </c>
      <c r="J431" s="298" t="s">
        <v>113</v>
      </c>
      <c r="K431" s="285">
        <v>45810</v>
      </c>
      <c r="O431" s="3"/>
      <c r="Q431"/>
    </row>
    <row r="432" spans="2:20" x14ac:dyDescent="0.25">
      <c r="B432" s="298">
        <v>2651</v>
      </c>
      <c r="C432" s="298" t="s">
        <v>3641</v>
      </c>
      <c r="D432" s="298" t="s">
        <v>45</v>
      </c>
      <c r="E432" s="298" t="s">
        <v>3978</v>
      </c>
      <c r="F432" s="298" t="s">
        <v>3635</v>
      </c>
      <c r="G432" s="6">
        <v>3432.203389830509</v>
      </c>
      <c r="H432" s="312">
        <v>22500</v>
      </c>
      <c r="I432" s="3" t="s">
        <v>4014</v>
      </c>
      <c r="J432" s="298" t="s">
        <v>113</v>
      </c>
      <c r="K432" s="285">
        <v>45810</v>
      </c>
      <c r="O432" s="3"/>
      <c r="Q432"/>
    </row>
    <row r="433" spans="2:17" x14ac:dyDescent="0.25">
      <c r="B433" s="298">
        <v>2642</v>
      </c>
      <c r="C433" s="298" t="s">
        <v>3965</v>
      </c>
      <c r="D433" s="298" t="s">
        <v>42</v>
      </c>
      <c r="E433" s="298" t="s">
        <v>3962</v>
      </c>
      <c r="F433" s="298" t="s">
        <v>3635</v>
      </c>
      <c r="G433" s="6">
        <v>662.8652542372879</v>
      </c>
      <c r="H433" s="312">
        <v>4345.45</v>
      </c>
      <c r="I433" s="3" t="s">
        <v>4014</v>
      </c>
      <c r="J433" s="298" t="s">
        <v>113</v>
      </c>
      <c r="K433" s="285">
        <v>45810</v>
      </c>
      <c r="O433" s="3"/>
      <c r="Q433"/>
    </row>
    <row r="434" spans="2:17" x14ac:dyDescent="0.25">
      <c r="B434" s="298">
        <v>2641</v>
      </c>
      <c r="C434" s="298" t="s">
        <v>3956</v>
      </c>
      <c r="D434" s="298" t="s">
        <v>42</v>
      </c>
      <c r="E434" s="298" t="s">
        <v>3961</v>
      </c>
      <c r="F434" s="298" t="s">
        <v>3635</v>
      </c>
      <c r="G434" s="6">
        <v>662.8652542372879</v>
      </c>
      <c r="H434" s="312">
        <v>4345.45</v>
      </c>
      <c r="I434" s="3" t="s">
        <v>4014</v>
      </c>
      <c r="J434" s="298" t="s">
        <v>113</v>
      </c>
      <c r="K434" s="285">
        <v>45810</v>
      </c>
      <c r="O434" s="3"/>
      <c r="Q434"/>
    </row>
    <row r="435" spans="2:17" x14ac:dyDescent="0.25">
      <c r="B435" s="298">
        <v>2643</v>
      </c>
      <c r="C435" s="298" t="s">
        <v>3966</v>
      </c>
      <c r="D435" s="298" t="s">
        <v>36</v>
      </c>
      <c r="E435" s="298" t="s">
        <v>3963</v>
      </c>
      <c r="F435" s="298" t="s">
        <v>3635</v>
      </c>
      <c r="G435" s="6">
        <v>1196.9771186440676</v>
      </c>
      <c r="H435" s="312">
        <v>7846.85</v>
      </c>
      <c r="I435" s="3" t="s">
        <v>4014</v>
      </c>
      <c r="J435" s="298" t="s">
        <v>113</v>
      </c>
      <c r="K435" s="285">
        <v>45810</v>
      </c>
      <c r="O435" s="3"/>
      <c r="Q435"/>
    </row>
    <row r="436" spans="2:17" x14ac:dyDescent="0.25">
      <c r="B436" s="298">
        <v>2644</v>
      </c>
      <c r="C436" s="298" t="s">
        <v>3967</v>
      </c>
      <c r="D436" s="298" t="s">
        <v>36</v>
      </c>
      <c r="E436" s="298" t="s">
        <v>3964</v>
      </c>
      <c r="F436" s="298" t="s">
        <v>3635</v>
      </c>
      <c r="G436" s="6">
        <v>1196.9771186440676</v>
      </c>
      <c r="H436" s="312">
        <v>7846.85</v>
      </c>
      <c r="I436" s="3" t="s">
        <v>4014</v>
      </c>
      <c r="J436" s="298" t="s">
        <v>113</v>
      </c>
      <c r="K436" s="285">
        <v>45810</v>
      </c>
      <c r="O436" s="3"/>
      <c r="Q436"/>
    </row>
    <row r="437" spans="2:17" x14ac:dyDescent="0.25">
      <c r="B437" s="298">
        <v>2649</v>
      </c>
      <c r="C437" s="298" t="s">
        <v>3974</v>
      </c>
      <c r="D437" s="298" t="s">
        <v>94</v>
      </c>
      <c r="E437" s="298" t="s">
        <v>3976</v>
      </c>
      <c r="F437" s="298" t="s">
        <v>3635</v>
      </c>
      <c r="G437" s="6">
        <v>4393.856440677966</v>
      </c>
      <c r="H437" s="312">
        <v>28804.17</v>
      </c>
      <c r="I437" s="3" t="s">
        <v>4014</v>
      </c>
      <c r="J437" s="298" t="s">
        <v>18</v>
      </c>
      <c r="K437" s="285">
        <v>45812</v>
      </c>
      <c r="O437" s="3"/>
      <c r="Q437"/>
    </row>
    <row r="438" spans="2:17" x14ac:dyDescent="0.25">
      <c r="B438" s="298">
        <v>2652</v>
      </c>
      <c r="C438" s="298" t="s">
        <v>3980</v>
      </c>
      <c r="D438" s="298" t="s">
        <v>96</v>
      </c>
      <c r="E438" s="298" t="s">
        <v>3981</v>
      </c>
      <c r="F438" s="298" t="s">
        <v>3635</v>
      </c>
      <c r="G438" s="6">
        <v>6101.6949152542365</v>
      </c>
      <c r="H438" s="312">
        <v>40000</v>
      </c>
      <c r="I438" s="3" t="s">
        <v>4014</v>
      </c>
      <c r="J438" s="298" t="s">
        <v>18</v>
      </c>
      <c r="K438" s="285">
        <v>45838</v>
      </c>
      <c r="O438" s="3"/>
      <c r="Q438"/>
    </row>
    <row r="439" spans="2:17" x14ac:dyDescent="0.25">
      <c r="B439" s="298">
        <v>2653</v>
      </c>
      <c r="C439" s="298" t="s">
        <v>3983</v>
      </c>
      <c r="D439" s="298" t="s">
        <v>96</v>
      </c>
      <c r="E439" s="298" t="s">
        <v>3984</v>
      </c>
      <c r="F439" s="298" t="s">
        <v>3635</v>
      </c>
      <c r="G439" s="6">
        <v>6101.6949152542365</v>
      </c>
      <c r="H439" s="312">
        <v>40000</v>
      </c>
      <c r="I439" s="3" t="s">
        <v>4014</v>
      </c>
      <c r="J439" s="298" t="s">
        <v>18</v>
      </c>
      <c r="K439" s="285">
        <v>45838</v>
      </c>
      <c r="O439" s="3"/>
      <c r="Q439"/>
    </row>
    <row r="440" spans="2:17" x14ac:dyDescent="0.25">
      <c r="B440" s="3">
        <v>2050</v>
      </c>
      <c r="C440" s="298" t="s">
        <v>2180</v>
      </c>
      <c r="D440" s="298" t="s">
        <v>56</v>
      </c>
      <c r="E440" s="298" t="s">
        <v>2178</v>
      </c>
      <c r="F440" s="298" t="s">
        <v>105</v>
      </c>
      <c r="G440" s="6">
        <v>83898.305084745749</v>
      </c>
      <c r="H440" s="312">
        <v>550000</v>
      </c>
      <c r="I440" s="3" t="s">
        <v>4014</v>
      </c>
      <c r="J440" s="298" t="s">
        <v>113</v>
      </c>
      <c r="K440" s="285">
        <v>0</v>
      </c>
      <c r="L440" s="79"/>
      <c r="O440" s="3"/>
      <c r="Q440"/>
    </row>
    <row r="441" spans="2:17" x14ac:dyDescent="0.25">
      <c r="B441" s="298">
        <v>2063</v>
      </c>
      <c r="C441" s="298" t="s">
        <v>2234</v>
      </c>
      <c r="D441" s="298" t="s">
        <v>45</v>
      </c>
      <c r="E441" s="298" t="s">
        <v>2215</v>
      </c>
      <c r="F441" s="298" t="s">
        <v>115</v>
      </c>
      <c r="G441" s="6">
        <v>0</v>
      </c>
      <c r="H441" s="312">
        <v>0</v>
      </c>
      <c r="I441" s="3" t="s">
        <v>4014</v>
      </c>
      <c r="J441" s="298" t="s">
        <v>113</v>
      </c>
      <c r="K441" s="285">
        <v>0</v>
      </c>
      <c r="O441" s="3"/>
      <c r="Q441"/>
    </row>
    <row r="442" spans="2:17" x14ac:dyDescent="0.25">
      <c r="B442" s="298">
        <v>1954</v>
      </c>
      <c r="C442" s="298" t="s">
        <v>1483</v>
      </c>
      <c r="D442" s="298" t="s">
        <v>40</v>
      </c>
      <c r="E442" s="298" t="s">
        <v>1371</v>
      </c>
      <c r="F442" s="298" t="s">
        <v>90</v>
      </c>
      <c r="G442" s="6">
        <v>965.21491525423698</v>
      </c>
      <c r="H442" s="312">
        <v>6327.52</v>
      </c>
      <c r="I442" s="3" t="s">
        <v>4014</v>
      </c>
      <c r="J442" s="298" t="s">
        <v>113</v>
      </c>
      <c r="K442" s="285">
        <v>45831</v>
      </c>
      <c r="O442" s="3"/>
      <c r="Q442"/>
    </row>
    <row r="443" spans="2:17" x14ac:dyDescent="0.25">
      <c r="B443" s="298">
        <v>2434</v>
      </c>
      <c r="C443" s="298" t="s">
        <v>3171</v>
      </c>
      <c r="D443" s="298" t="s">
        <v>95</v>
      </c>
      <c r="E443" s="298" t="s">
        <v>3087</v>
      </c>
      <c r="F443" s="298" t="s">
        <v>90</v>
      </c>
      <c r="G443" s="6">
        <v>1757.8876271186436</v>
      </c>
      <c r="H443" s="312">
        <v>11523.93</v>
      </c>
      <c r="I443" s="3" t="s">
        <v>4014</v>
      </c>
      <c r="J443" s="298" t="s">
        <v>18</v>
      </c>
      <c r="K443" s="285">
        <v>45831</v>
      </c>
      <c r="O443" s="3"/>
      <c r="Q443"/>
    </row>
    <row r="444" spans="2:17" x14ac:dyDescent="0.25">
      <c r="B444" s="298">
        <v>2380</v>
      </c>
      <c r="C444" s="298" t="s">
        <v>3117</v>
      </c>
      <c r="D444" s="298" t="s">
        <v>74</v>
      </c>
      <c r="E444" s="298" t="s">
        <v>3034</v>
      </c>
      <c r="F444" s="298" t="s">
        <v>90</v>
      </c>
      <c r="G444" s="6">
        <v>1049.8179661016948</v>
      </c>
      <c r="H444" s="312">
        <v>6882.14</v>
      </c>
      <c r="I444" s="3" t="s">
        <v>4014</v>
      </c>
      <c r="J444" s="298" t="s">
        <v>18</v>
      </c>
      <c r="K444" s="285">
        <v>45831</v>
      </c>
      <c r="O444" s="3"/>
      <c r="Q444"/>
    </row>
    <row r="445" spans="2:17" x14ac:dyDescent="0.25">
      <c r="B445" s="298">
        <v>1924</v>
      </c>
      <c r="C445" s="298" t="s">
        <v>1453</v>
      </c>
      <c r="D445" s="298" t="s">
        <v>40</v>
      </c>
      <c r="E445" s="298" t="s">
        <v>1343</v>
      </c>
      <c r="F445" s="298" t="s">
        <v>90</v>
      </c>
      <c r="G445" s="6">
        <v>30508.474576271168</v>
      </c>
      <c r="H445" s="312">
        <v>200000</v>
      </c>
      <c r="I445" s="3" t="s">
        <v>4014</v>
      </c>
      <c r="J445" s="298" t="s">
        <v>113</v>
      </c>
      <c r="K445" s="285">
        <v>0</v>
      </c>
      <c r="O445" s="3"/>
      <c r="Q445"/>
    </row>
    <row r="446" spans="2:17" x14ac:dyDescent="0.25">
      <c r="B446" s="298">
        <v>1982</v>
      </c>
      <c r="C446" s="298" t="s">
        <v>1694</v>
      </c>
      <c r="D446" s="298" t="s">
        <v>47</v>
      </c>
      <c r="E446" s="298" t="s">
        <v>1693</v>
      </c>
      <c r="F446" s="298" t="s">
        <v>115</v>
      </c>
      <c r="G446" s="6">
        <v>45762.711864406767</v>
      </c>
      <c r="H446" s="312">
        <v>300000</v>
      </c>
      <c r="I446" s="3" t="s">
        <v>4014</v>
      </c>
      <c r="J446" s="298" t="s">
        <v>113</v>
      </c>
      <c r="K446" s="285">
        <v>0</v>
      </c>
      <c r="O446" s="3"/>
      <c r="Q446"/>
    </row>
    <row r="447" spans="2:17" x14ac:dyDescent="0.25">
      <c r="B447" s="298">
        <v>1838</v>
      </c>
      <c r="C447" s="298" t="s">
        <v>1181</v>
      </c>
      <c r="D447" s="298" t="s">
        <v>4</v>
      </c>
      <c r="E447" s="298" t="s">
        <v>1152</v>
      </c>
      <c r="F447" s="298" t="s">
        <v>71</v>
      </c>
      <c r="G447" s="6">
        <v>762.71186440677957</v>
      </c>
      <c r="H447" s="312">
        <v>5000</v>
      </c>
      <c r="I447" s="3" t="s">
        <v>4014</v>
      </c>
      <c r="J447" s="298" t="s">
        <v>113</v>
      </c>
      <c r="K447" s="285">
        <v>0</v>
      </c>
      <c r="O447" s="3"/>
      <c r="Q447"/>
    </row>
    <row r="448" spans="2:17" x14ac:dyDescent="0.25">
      <c r="B448" s="298">
        <v>2216</v>
      </c>
      <c r="C448" s="298" t="s">
        <v>2712</v>
      </c>
      <c r="D448" s="298" t="s">
        <v>36</v>
      </c>
      <c r="E448" s="298" t="s">
        <v>2681</v>
      </c>
      <c r="F448" s="298" t="s">
        <v>71</v>
      </c>
      <c r="G448" s="6">
        <v>1525.4237288135591</v>
      </c>
      <c r="H448" s="312">
        <v>10000</v>
      </c>
      <c r="I448" s="3" t="s">
        <v>4014</v>
      </c>
      <c r="J448" s="298" t="s">
        <v>113</v>
      </c>
      <c r="K448" s="285">
        <v>0</v>
      </c>
      <c r="O448" s="3"/>
      <c r="Q448"/>
    </row>
    <row r="449" spans="2:17" x14ac:dyDescent="0.25">
      <c r="B449" s="298">
        <v>2251</v>
      </c>
      <c r="C449" s="298" t="s">
        <v>2747</v>
      </c>
      <c r="D449" s="298" t="s">
        <v>36</v>
      </c>
      <c r="E449" s="298" t="s">
        <v>2686</v>
      </c>
      <c r="F449" s="298" t="s">
        <v>71</v>
      </c>
      <c r="G449" s="6">
        <v>3050.8474576271183</v>
      </c>
      <c r="H449" s="312">
        <v>20000</v>
      </c>
      <c r="I449" s="3" t="s">
        <v>4014</v>
      </c>
      <c r="J449" s="298" t="s">
        <v>113</v>
      </c>
      <c r="K449" s="285">
        <v>0</v>
      </c>
      <c r="O449" s="3"/>
      <c r="Q449"/>
    </row>
    <row r="450" spans="2:17" x14ac:dyDescent="0.25">
      <c r="B450" s="298">
        <v>2217</v>
      </c>
      <c r="C450" s="298" t="s">
        <v>2713</v>
      </c>
      <c r="D450" s="298" t="s">
        <v>38</v>
      </c>
      <c r="E450" s="298" t="s">
        <v>2682</v>
      </c>
      <c r="F450" s="298" t="s">
        <v>71</v>
      </c>
      <c r="G450" s="6">
        <v>3050.8474576271183</v>
      </c>
      <c r="H450" s="312">
        <v>20000</v>
      </c>
      <c r="I450" s="3" t="s">
        <v>4014</v>
      </c>
      <c r="J450" s="298" t="s">
        <v>113</v>
      </c>
      <c r="K450" s="285">
        <v>0</v>
      </c>
      <c r="O450" s="3"/>
      <c r="Q450"/>
    </row>
    <row r="451" spans="2:17" x14ac:dyDescent="0.25">
      <c r="B451" s="298">
        <v>2220</v>
      </c>
      <c r="C451" s="298" t="s">
        <v>2716</v>
      </c>
      <c r="D451" s="298" t="s">
        <v>33</v>
      </c>
      <c r="E451" s="298" t="s">
        <v>2647</v>
      </c>
      <c r="F451" s="298" t="s">
        <v>71</v>
      </c>
      <c r="G451" s="6">
        <v>7627.118644067792</v>
      </c>
      <c r="H451" s="312">
        <v>50000</v>
      </c>
      <c r="I451" s="3" t="s">
        <v>4014</v>
      </c>
      <c r="J451" s="298" t="s">
        <v>113</v>
      </c>
      <c r="K451" s="285">
        <v>0</v>
      </c>
      <c r="O451" s="3"/>
      <c r="Q451"/>
    </row>
    <row r="452" spans="2:17" x14ac:dyDescent="0.25">
      <c r="B452" s="298">
        <v>2094</v>
      </c>
      <c r="C452" s="298" t="s">
        <v>2307</v>
      </c>
      <c r="D452" s="298" t="s">
        <v>35</v>
      </c>
      <c r="E452" s="298" t="s">
        <v>2294</v>
      </c>
      <c r="F452" s="298" t="s">
        <v>114</v>
      </c>
      <c r="G452" s="6">
        <v>4576.2711864406774</v>
      </c>
      <c r="H452" s="312">
        <v>30000</v>
      </c>
      <c r="I452" s="3" t="s">
        <v>4014</v>
      </c>
      <c r="J452" s="298" t="s">
        <v>113</v>
      </c>
      <c r="K452" s="285">
        <v>0</v>
      </c>
      <c r="O452" s="3"/>
      <c r="Q452"/>
    </row>
    <row r="453" spans="2:17" x14ac:dyDescent="0.25">
      <c r="B453" s="298">
        <v>2089</v>
      </c>
      <c r="C453" s="298" t="s">
        <v>2302</v>
      </c>
      <c r="D453" s="298" t="s">
        <v>35</v>
      </c>
      <c r="E453" s="298" t="s">
        <v>2293</v>
      </c>
      <c r="F453" s="298" t="s">
        <v>114</v>
      </c>
      <c r="G453" s="6">
        <v>22881.355932203383</v>
      </c>
      <c r="H453" s="312">
        <v>150000</v>
      </c>
      <c r="I453" s="3" t="s">
        <v>4014</v>
      </c>
      <c r="J453" s="298" t="s">
        <v>113</v>
      </c>
      <c r="K453" s="285">
        <v>0</v>
      </c>
      <c r="O453" s="3"/>
      <c r="Q453"/>
    </row>
    <row r="454" spans="2:17" x14ac:dyDescent="0.25">
      <c r="B454" s="298">
        <v>2088</v>
      </c>
      <c r="C454" s="298" t="s">
        <v>2301</v>
      </c>
      <c r="D454" s="298" t="s">
        <v>42</v>
      </c>
      <c r="E454" s="298" t="s">
        <v>2282</v>
      </c>
      <c r="F454" s="298" t="s">
        <v>114</v>
      </c>
      <c r="G454" s="6">
        <v>18305.08474576271</v>
      </c>
      <c r="H454" s="312">
        <v>120000</v>
      </c>
      <c r="I454" s="3" t="s">
        <v>4014</v>
      </c>
      <c r="J454" s="298" t="s">
        <v>113</v>
      </c>
      <c r="K454" s="285">
        <v>0</v>
      </c>
      <c r="O454" s="3"/>
      <c r="Q454"/>
    </row>
    <row r="455" spans="2:17" x14ac:dyDescent="0.25">
      <c r="B455" s="298">
        <v>2086</v>
      </c>
      <c r="C455" s="298" t="s">
        <v>2299</v>
      </c>
      <c r="D455" s="298" t="s">
        <v>40</v>
      </c>
      <c r="E455" s="298" t="s">
        <v>2281</v>
      </c>
      <c r="F455" s="298" t="s">
        <v>114</v>
      </c>
      <c r="G455" s="6">
        <v>15254.237288135584</v>
      </c>
      <c r="H455" s="312">
        <v>100000</v>
      </c>
      <c r="I455" s="3" t="s">
        <v>4014</v>
      </c>
      <c r="J455" s="298" t="s">
        <v>113</v>
      </c>
      <c r="K455" s="285">
        <v>0</v>
      </c>
      <c r="O455" s="3"/>
      <c r="Q455"/>
    </row>
    <row r="456" spans="2:17" x14ac:dyDescent="0.25">
      <c r="B456" s="298">
        <v>2426</v>
      </c>
      <c r="C456" s="298" t="s">
        <v>3163</v>
      </c>
      <c r="D456" s="298" t="s">
        <v>74</v>
      </c>
      <c r="E456" s="298" t="s">
        <v>3079</v>
      </c>
      <c r="F456" s="298" t="s">
        <v>90</v>
      </c>
      <c r="G456" s="6">
        <v>762.71186440677957</v>
      </c>
      <c r="H456" s="312">
        <v>5000</v>
      </c>
      <c r="I456" s="3" t="s">
        <v>4014</v>
      </c>
      <c r="J456" s="298" t="s">
        <v>18</v>
      </c>
      <c r="K456" s="285">
        <v>0</v>
      </c>
      <c r="O456" s="3"/>
      <c r="Q456"/>
    </row>
    <row r="457" spans="2:17" x14ac:dyDescent="0.25">
      <c r="B457" s="298">
        <v>2654</v>
      </c>
      <c r="C457" s="298" t="s">
        <v>3993</v>
      </c>
      <c r="D457" s="298" t="s">
        <v>94</v>
      </c>
      <c r="E457" s="298" t="s">
        <v>3992</v>
      </c>
      <c r="F457" s="298" t="s">
        <v>3635</v>
      </c>
      <c r="G457" s="6">
        <v>28220.338983050839</v>
      </c>
      <c r="H457" s="312">
        <v>185000</v>
      </c>
      <c r="I457" s="3" t="s">
        <v>4014</v>
      </c>
      <c r="J457" s="298" t="s">
        <v>18</v>
      </c>
      <c r="K457" s="285">
        <v>45860</v>
      </c>
      <c r="O457" s="3"/>
      <c r="Q457"/>
    </row>
    <row r="458" spans="2:17" x14ac:dyDescent="0.25">
      <c r="B458" s="298">
        <v>2655</v>
      </c>
      <c r="C458" s="298" t="s">
        <v>3641</v>
      </c>
      <c r="D458" s="298" t="s">
        <v>45</v>
      </c>
      <c r="E458" s="298" t="s">
        <v>3994</v>
      </c>
      <c r="F458" s="298" t="s">
        <v>3635</v>
      </c>
      <c r="G458" s="6">
        <v>3432.203389830509</v>
      </c>
      <c r="H458" s="312">
        <v>22500</v>
      </c>
      <c r="I458" s="3" t="s">
        <v>4014</v>
      </c>
      <c r="J458" s="298" t="s">
        <v>113</v>
      </c>
      <c r="K458" s="285">
        <v>45833</v>
      </c>
      <c r="O458" s="3"/>
      <c r="Q458"/>
    </row>
    <row r="459" spans="2:17" x14ac:dyDescent="0.25">
      <c r="B459" s="298">
        <v>2656</v>
      </c>
      <c r="C459" s="298" t="s">
        <v>3641</v>
      </c>
      <c r="D459" s="298" t="s">
        <v>45</v>
      </c>
      <c r="E459" s="298" t="s">
        <v>3995</v>
      </c>
      <c r="F459" s="298" t="s">
        <v>3635</v>
      </c>
      <c r="G459" s="6">
        <v>6513.5593220338997</v>
      </c>
      <c r="H459" s="312">
        <v>42700</v>
      </c>
      <c r="I459" s="3" t="s">
        <v>4014</v>
      </c>
      <c r="J459" s="298" t="s">
        <v>113</v>
      </c>
      <c r="K459" s="285">
        <v>45834</v>
      </c>
      <c r="O459" s="3"/>
      <c r="Q459"/>
    </row>
    <row r="460" spans="2:17" x14ac:dyDescent="0.25">
      <c r="B460" s="298">
        <v>2657</v>
      </c>
      <c r="C460" s="298" t="s">
        <v>3641</v>
      </c>
      <c r="D460" s="298" t="s">
        <v>45</v>
      </c>
      <c r="E460" s="298" t="s">
        <v>3997</v>
      </c>
      <c r="F460" s="298" t="s">
        <v>3635</v>
      </c>
      <c r="G460" s="6">
        <v>991.52542372881362</v>
      </c>
      <c r="H460" s="312">
        <v>6500</v>
      </c>
      <c r="I460" s="3" t="s">
        <v>4014</v>
      </c>
      <c r="J460" s="298" t="s">
        <v>113</v>
      </c>
      <c r="K460" s="285">
        <v>45832</v>
      </c>
      <c r="O460" s="3"/>
      <c r="Q460"/>
    </row>
    <row r="461" spans="2:17" x14ac:dyDescent="0.25">
      <c r="B461" s="298">
        <v>2658</v>
      </c>
      <c r="C461" s="298" t="s">
        <v>3641</v>
      </c>
      <c r="D461" s="298" t="s">
        <v>45</v>
      </c>
      <c r="E461" s="298" t="s">
        <v>3998</v>
      </c>
      <c r="F461" s="298" t="s">
        <v>3635</v>
      </c>
      <c r="G461" s="6">
        <v>1296.6101694915251</v>
      </c>
      <c r="H461" s="312">
        <v>8500</v>
      </c>
      <c r="I461" s="3" t="s">
        <v>4014</v>
      </c>
      <c r="J461" s="298" t="s">
        <v>113</v>
      </c>
      <c r="K461" s="285">
        <v>45832</v>
      </c>
      <c r="O461" s="3"/>
      <c r="Q461"/>
    </row>
    <row r="462" spans="2:17" x14ac:dyDescent="0.25">
      <c r="B462" s="298">
        <v>2659</v>
      </c>
      <c r="C462" s="298" t="s">
        <v>3641</v>
      </c>
      <c r="D462" s="298" t="s">
        <v>45</v>
      </c>
      <c r="E462" s="298" t="s">
        <v>3999</v>
      </c>
      <c r="F462" s="298" t="s">
        <v>3635</v>
      </c>
      <c r="G462" s="6">
        <v>3432.203389830509</v>
      </c>
      <c r="H462" s="312">
        <v>22500</v>
      </c>
      <c r="I462" s="3" t="s">
        <v>4014</v>
      </c>
      <c r="J462" s="298" t="s">
        <v>113</v>
      </c>
      <c r="K462" s="285">
        <v>45832</v>
      </c>
      <c r="O462" s="3"/>
      <c r="Q462"/>
    </row>
    <row r="463" spans="2:17" x14ac:dyDescent="0.25">
      <c r="B463" s="298">
        <v>2660</v>
      </c>
      <c r="C463" s="298" t="s">
        <v>3641</v>
      </c>
      <c r="D463" s="298" t="s">
        <v>45</v>
      </c>
      <c r="E463" s="298" t="s">
        <v>4005</v>
      </c>
      <c r="F463" s="298" t="s">
        <v>3635</v>
      </c>
      <c r="G463" s="6">
        <v>1296.6101694915251</v>
      </c>
      <c r="H463" s="312">
        <v>8500</v>
      </c>
      <c r="I463" s="3" t="s">
        <v>4014</v>
      </c>
      <c r="J463" s="298" t="s">
        <v>113</v>
      </c>
      <c r="K463" s="285">
        <v>45833</v>
      </c>
      <c r="O463" s="3"/>
      <c r="Q463"/>
    </row>
    <row r="464" spans="2:17" x14ac:dyDescent="0.25">
      <c r="B464" s="298">
        <v>2661</v>
      </c>
      <c r="C464" s="298" t="s">
        <v>3641</v>
      </c>
      <c r="D464" s="298" t="s">
        <v>45</v>
      </c>
      <c r="E464" s="298" t="s">
        <v>4000</v>
      </c>
      <c r="F464" s="298" t="s">
        <v>3635</v>
      </c>
      <c r="G464" s="6">
        <v>3432.203389830509</v>
      </c>
      <c r="H464" s="312">
        <v>22500</v>
      </c>
      <c r="I464" s="3" t="s">
        <v>4014</v>
      </c>
      <c r="J464" s="298" t="s">
        <v>113</v>
      </c>
      <c r="K464" s="285">
        <v>45832</v>
      </c>
      <c r="O464" s="3"/>
      <c r="Q464"/>
    </row>
    <row r="465" spans="2:17" x14ac:dyDescent="0.25">
      <c r="B465" s="298">
        <v>2662</v>
      </c>
      <c r="C465" s="298" t="s">
        <v>3641</v>
      </c>
      <c r="D465" s="298" t="s">
        <v>45</v>
      </c>
      <c r="E465" s="298" t="s">
        <v>4001</v>
      </c>
      <c r="F465" s="298" t="s">
        <v>3635</v>
      </c>
      <c r="G465" s="6">
        <v>1296.6101694915251</v>
      </c>
      <c r="H465" s="312">
        <v>8500</v>
      </c>
      <c r="I465" s="3" t="s">
        <v>4014</v>
      </c>
      <c r="J465" s="298" t="s">
        <v>113</v>
      </c>
      <c r="K465" s="285">
        <v>45832</v>
      </c>
      <c r="O465" s="3"/>
      <c r="Q465"/>
    </row>
    <row r="466" spans="2:17" x14ac:dyDescent="0.25">
      <c r="B466" s="298">
        <v>2663</v>
      </c>
      <c r="C466" s="298" t="s">
        <v>3641</v>
      </c>
      <c r="D466" s="298" t="s">
        <v>45</v>
      </c>
      <c r="E466" s="298" t="s">
        <v>4002</v>
      </c>
      <c r="F466" s="298" t="s">
        <v>3635</v>
      </c>
      <c r="G466" s="6">
        <v>991.52542372881362</v>
      </c>
      <c r="H466" s="312">
        <v>6500</v>
      </c>
      <c r="I466" s="3" t="s">
        <v>4014</v>
      </c>
      <c r="J466" s="298" t="s">
        <v>113</v>
      </c>
      <c r="K466" s="285">
        <v>45824</v>
      </c>
      <c r="O466" s="3"/>
      <c r="Q466"/>
    </row>
    <row r="467" spans="2:17" x14ac:dyDescent="0.25">
      <c r="B467" s="298">
        <v>2664</v>
      </c>
      <c r="C467" s="298" t="s">
        <v>3641</v>
      </c>
      <c r="D467" s="298" t="s">
        <v>45</v>
      </c>
      <c r="E467" s="298" t="s">
        <v>4003</v>
      </c>
      <c r="F467" s="298" t="s">
        <v>3635</v>
      </c>
      <c r="G467" s="6">
        <v>991.52542372881362</v>
      </c>
      <c r="H467" s="312">
        <v>6500</v>
      </c>
      <c r="I467" s="3" t="s">
        <v>4014</v>
      </c>
      <c r="J467" s="298" t="s">
        <v>113</v>
      </c>
      <c r="K467" s="285">
        <v>45824</v>
      </c>
      <c r="O467" s="3"/>
      <c r="Q467"/>
    </row>
    <row r="468" spans="2:17" x14ac:dyDescent="0.25">
      <c r="B468" s="298">
        <v>2665</v>
      </c>
      <c r="C468" s="298" t="s">
        <v>3641</v>
      </c>
      <c r="D468" s="298" t="s">
        <v>45</v>
      </c>
      <c r="E468" s="298" t="s">
        <v>4004</v>
      </c>
      <c r="F468" s="298" t="s">
        <v>3635</v>
      </c>
      <c r="G468" s="6">
        <v>991.52542372881362</v>
      </c>
      <c r="H468" s="312">
        <v>6500</v>
      </c>
      <c r="I468" s="3" t="s">
        <v>4014</v>
      </c>
      <c r="J468" s="298" t="s">
        <v>113</v>
      </c>
      <c r="K468" s="285">
        <v>45824</v>
      </c>
      <c r="O468" s="3"/>
      <c r="Q468"/>
    </row>
    <row r="469" spans="2:17" x14ac:dyDescent="0.25">
      <c r="B469" s="298">
        <v>2666</v>
      </c>
      <c r="C469" s="298" t="s">
        <v>3641</v>
      </c>
      <c r="D469" s="298" t="s">
        <v>45</v>
      </c>
      <c r="E469" s="298" t="s">
        <v>4006</v>
      </c>
      <c r="F469" s="298" t="s">
        <v>3635</v>
      </c>
      <c r="G469" s="6">
        <v>991.52542372881362</v>
      </c>
      <c r="H469" s="312">
        <v>6500</v>
      </c>
      <c r="I469" s="3" t="s">
        <v>4014</v>
      </c>
      <c r="J469" s="298" t="s">
        <v>113</v>
      </c>
      <c r="K469" s="285">
        <v>45824</v>
      </c>
      <c r="O469" s="3"/>
      <c r="Q469"/>
    </row>
    <row r="470" spans="2:17" x14ac:dyDescent="0.25">
      <c r="B470" s="298">
        <v>2667</v>
      </c>
      <c r="C470" s="298" t="s">
        <v>3641</v>
      </c>
      <c r="D470" s="298" t="s">
        <v>45</v>
      </c>
      <c r="E470" s="298" t="s">
        <v>4007</v>
      </c>
      <c r="F470" s="298" t="s">
        <v>3635</v>
      </c>
      <c r="G470" s="6">
        <v>991.52542372881362</v>
      </c>
      <c r="H470" s="312">
        <v>6500</v>
      </c>
      <c r="I470" s="3" t="s">
        <v>4014</v>
      </c>
      <c r="J470" s="298" t="s">
        <v>113</v>
      </c>
      <c r="K470" s="285">
        <v>45824</v>
      </c>
      <c r="O470" s="3"/>
      <c r="Q470"/>
    </row>
    <row r="471" spans="2:17" x14ac:dyDescent="0.25">
      <c r="B471" s="298">
        <v>2668</v>
      </c>
      <c r="C471" s="298" t="s">
        <v>3641</v>
      </c>
      <c r="D471" s="298" t="s">
        <v>45</v>
      </c>
      <c r="E471" s="298" t="s">
        <v>4008</v>
      </c>
      <c r="F471" s="298" t="s">
        <v>3635</v>
      </c>
      <c r="G471" s="6">
        <v>991.52542372881362</v>
      </c>
      <c r="H471" s="312">
        <v>6500</v>
      </c>
      <c r="I471" s="3" t="s">
        <v>4014</v>
      </c>
      <c r="J471" s="298" t="s">
        <v>113</v>
      </c>
      <c r="K471" s="285">
        <v>45824</v>
      </c>
      <c r="O471" s="3"/>
      <c r="Q471"/>
    </row>
    <row r="472" spans="2:17" x14ac:dyDescent="0.25">
      <c r="B472" s="298">
        <v>1580</v>
      </c>
      <c r="C472" s="298" t="s">
        <v>1567</v>
      </c>
      <c r="D472" s="298" t="s">
        <v>50</v>
      </c>
      <c r="E472" s="298" t="s">
        <v>340</v>
      </c>
      <c r="F472" s="298" t="s">
        <v>71</v>
      </c>
      <c r="G472" s="6">
        <v>94.204067796610161</v>
      </c>
      <c r="H472" s="312">
        <v>617.55999999999995</v>
      </c>
      <c r="I472" s="3" t="s">
        <v>4014</v>
      </c>
      <c r="J472" s="298" t="s">
        <v>18</v>
      </c>
      <c r="K472" s="285">
        <v>45827</v>
      </c>
      <c r="O472" s="3"/>
      <c r="Q472"/>
    </row>
    <row r="473" spans="2:17" x14ac:dyDescent="0.25">
      <c r="B473" s="298">
        <v>2669</v>
      </c>
      <c r="C473" s="298" t="s">
        <v>3641</v>
      </c>
      <c r="D473" s="298" t="s">
        <v>45</v>
      </c>
      <c r="E473" s="298" t="s">
        <v>4009</v>
      </c>
      <c r="F473" s="298" t="s">
        <v>3635</v>
      </c>
      <c r="G473" s="6">
        <v>991.52542372881362</v>
      </c>
      <c r="H473" s="312">
        <v>6500</v>
      </c>
      <c r="I473" s="3" t="s">
        <v>4014</v>
      </c>
      <c r="J473" s="298" t="s">
        <v>113</v>
      </c>
      <c r="K473" s="285">
        <v>45825</v>
      </c>
      <c r="O473" s="3"/>
      <c r="Q473"/>
    </row>
    <row r="474" spans="2:17" x14ac:dyDescent="0.25">
      <c r="B474" s="298">
        <v>2652</v>
      </c>
      <c r="C474" s="298" t="s">
        <v>3980</v>
      </c>
      <c r="D474" s="298" t="s">
        <v>96</v>
      </c>
      <c r="E474" s="298" t="s">
        <v>3981</v>
      </c>
      <c r="F474" s="298" t="s">
        <v>3635</v>
      </c>
      <c r="G474" s="6">
        <v>1124.424915254237</v>
      </c>
      <c r="H474" s="312">
        <v>7371.23</v>
      </c>
      <c r="I474" s="3" t="s">
        <v>4014</v>
      </c>
      <c r="J474" s="298" t="s">
        <v>18</v>
      </c>
      <c r="K474" s="285">
        <v>45838</v>
      </c>
      <c r="O474" s="3"/>
      <c r="Q474"/>
    </row>
    <row r="475" spans="2:17" x14ac:dyDescent="0.25">
      <c r="B475" s="298">
        <v>2653</v>
      </c>
      <c r="C475" s="298" t="s">
        <v>3983</v>
      </c>
      <c r="D475" s="298" t="s">
        <v>96</v>
      </c>
      <c r="E475" s="298" t="s">
        <v>3984</v>
      </c>
      <c r="F475" s="298" t="s">
        <v>3635</v>
      </c>
      <c r="G475" s="6">
        <v>1124.424915254237</v>
      </c>
      <c r="H475" s="312">
        <v>7371.23</v>
      </c>
      <c r="I475" s="3" t="s">
        <v>4014</v>
      </c>
      <c r="J475" s="298" t="s">
        <v>18</v>
      </c>
      <c r="K475" s="285">
        <v>45838</v>
      </c>
      <c r="O475" s="3"/>
      <c r="Q475"/>
    </row>
    <row r="476" spans="2:17" x14ac:dyDescent="0.25">
      <c r="B476" s="298">
        <v>2637</v>
      </c>
      <c r="C476" s="298" t="s">
        <v>2198</v>
      </c>
      <c r="D476" s="298" t="s">
        <v>50</v>
      </c>
      <c r="E476" s="298" t="s">
        <v>3951</v>
      </c>
      <c r="F476" s="298" t="s">
        <v>141</v>
      </c>
      <c r="G476" s="6">
        <v>152.54237288135585</v>
      </c>
      <c r="H476" s="312">
        <v>1000</v>
      </c>
      <c r="I476" s="3" t="s">
        <v>4014</v>
      </c>
      <c r="J476" s="298" t="s">
        <v>113</v>
      </c>
      <c r="K476" s="285">
        <v>0</v>
      </c>
      <c r="O476" s="3">
        <v>16</v>
      </c>
      <c r="Q476"/>
    </row>
    <row r="477" spans="2:17" x14ac:dyDescent="0.25">
      <c r="B477" s="298">
        <v>2670</v>
      </c>
      <c r="C477" s="298" t="s">
        <v>2198</v>
      </c>
      <c r="D477" s="298" t="s">
        <v>50</v>
      </c>
      <c r="E477" s="298" t="s">
        <v>4010</v>
      </c>
      <c r="F477" s="298" t="s">
        <v>141</v>
      </c>
      <c r="G477" s="6">
        <v>167.79661016949149</v>
      </c>
      <c r="H477" s="312">
        <v>1100</v>
      </c>
      <c r="I477" s="3" t="s">
        <v>4014</v>
      </c>
      <c r="J477" s="298" t="s">
        <v>113</v>
      </c>
      <c r="K477" s="285">
        <v>0</v>
      </c>
      <c r="O477" s="3">
        <v>18</v>
      </c>
      <c r="Q477"/>
    </row>
    <row r="478" spans="2:17" x14ac:dyDescent="0.25">
      <c r="B478" s="298">
        <v>2671</v>
      </c>
      <c r="C478" s="298" t="s">
        <v>2198</v>
      </c>
      <c r="D478" s="298" t="s">
        <v>50</v>
      </c>
      <c r="E478" s="298" t="s">
        <v>4011</v>
      </c>
      <c r="F478" s="298" t="s">
        <v>141</v>
      </c>
      <c r="G478" s="6">
        <v>762.71186440677957</v>
      </c>
      <c r="H478" s="312">
        <v>5000</v>
      </c>
      <c r="I478" s="3" t="s">
        <v>4014</v>
      </c>
      <c r="J478" s="298" t="s">
        <v>113</v>
      </c>
      <c r="K478" s="285">
        <v>0</v>
      </c>
      <c r="O478" s="3">
        <v>74</v>
      </c>
      <c r="Q478"/>
    </row>
    <row r="479" spans="2:17" x14ac:dyDescent="0.25">
      <c r="B479" s="298">
        <v>2672</v>
      </c>
      <c r="C479" s="298" t="s">
        <v>2198</v>
      </c>
      <c r="D479" s="298" t="s">
        <v>50</v>
      </c>
      <c r="E479" s="298" t="s">
        <v>4012</v>
      </c>
      <c r="F479" s="298" t="s">
        <v>141</v>
      </c>
      <c r="G479" s="6">
        <v>610.16949152542338</v>
      </c>
      <c r="H479" s="312">
        <v>4000</v>
      </c>
      <c r="I479" s="3" t="s">
        <v>4014</v>
      </c>
      <c r="J479" s="298" t="s">
        <v>113</v>
      </c>
      <c r="K479" s="285">
        <v>0</v>
      </c>
      <c r="O479" s="3">
        <v>61</v>
      </c>
      <c r="Q479"/>
    </row>
    <row r="480" spans="2:17" x14ac:dyDescent="0.25">
      <c r="B480" s="298">
        <v>2654</v>
      </c>
      <c r="C480" s="298" t="s">
        <v>3993</v>
      </c>
      <c r="D480" s="298" t="s">
        <v>94</v>
      </c>
      <c r="E480" s="298" t="s">
        <v>3992</v>
      </c>
      <c r="F480" s="298" t="s">
        <v>3635</v>
      </c>
      <c r="G480" s="6">
        <v>3950.4508474576251</v>
      </c>
      <c r="H480" s="312">
        <v>25897.4</v>
      </c>
      <c r="I480" s="3" t="s">
        <v>4021</v>
      </c>
      <c r="J480" s="298" t="s">
        <v>18</v>
      </c>
      <c r="K480" s="285">
        <v>45860</v>
      </c>
      <c r="O480" s="3"/>
      <c r="Q480"/>
    </row>
    <row r="481" spans="2:17" x14ac:dyDescent="0.25">
      <c r="B481" s="298">
        <v>2095</v>
      </c>
      <c r="C481" s="298" t="s">
        <v>2308</v>
      </c>
      <c r="D481" s="298" t="s">
        <v>4</v>
      </c>
      <c r="E481" s="298" t="s">
        <v>2287</v>
      </c>
      <c r="F481" s="298" t="s">
        <v>114</v>
      </c>
      <c r="G481" s="6">
        <v>11440.677966101692</v>
      </c>
      <c r="H481" s="312">
        <v>75000</v>
      </c>
      <c r="I481" s="3" t="s">
        <v>4021</v>
      </c>
      <c r="J481" s="298" t="s">
        <v>113</v>
      </c>
      <c r="K481" s="285">
        <v>45874</v>
      </c>
      <c r="O481" s="3"/>
      <c r="Q481"/>
    </row>
    <row r="482" spans="2:17" x14ac:dyDescent="0.25">
      <c r="B482" s="298">
        <v>2103</v>
      </c>
      <c r="C482" s="298" t="s">
        <v>2383</v>
      </c>
      <c r="D482" s="298" t="s">
        <v>56</v>
      </c>
      <c r="E482" s="298" t="s">
        <v>2337</v>
      </c>
      <c r="F482" s="298" t="s">
        <v>87</v>
      </c>
      <c r="G482" s="6">
        <v>15254.237288135584</v>
      </c>
      <c r="H482" s="312">
        <v>100000</v>
      </c>
      <c r="I482" s="3" t="s">
        <v>4021</v>
      </c>
      <c r="J482" s="298" t="s">
        <v>113</v>
      </c>
      <c r="K482" s="285">
        <v>45863</v>
      </c>
      <c r="O482" s="3"/>
      <c r="Q482"/>
    </row>
    <row r="483" spans="2:17" x14ac:dyDescent="0.25">
      <c r="B483" s="298">
        <v>2673</v>
      </c>
      <c r="C483" s="298" t="s">
        <v>4015</v>
      </c>
      <c r="D483" s="298" t="s">
        <v>88</v>
      </c>
      <c r="E483" s="298" t="s">
        <v>4017</v>
      </c>
      <c r="F483" s="298" t="s">
        <v>3635</v>
      </c>
      <c r="G483" s="6">
        <v>54915.254237288143</v>
      </c>
      <c r="H483" s="312">
        <v>360000</v>
      </c>
      <c r="I483" s="3" t="s">
        <v>4021</v>
      </c>
      <c r="J483" s="298" t="s">
        <v>18</v>
      </c>
      <c r="K483" s="285">
        <v>45875</v>
      </c>
      <c r="O483" s="3"/>
      <c r="Q483"/>
    </row>
    <row r="484" spans="2:17" x14ac:dyDescent="0.25">
      <c r="B484" s="298">
        <v>2674</v>
      </c>
      <c r="C484" s="298" t="s">
        <v>4020</v>
      </c>
      <c r="D484" s="298" t="s">
        <v>47</v>
      </c>
      <c r="E484" s="298" t="s">
        <v>4019</v>
      </c>
      <c r="F484" s="298" t="s">
        <v>3635</v>
      </c>
      <c r="G484" s="6">
        <v>28220.338983050839</v>
      </c>
      <c r="H484" s="312">
        <v>185000</v>
      </c>
      <c r="I484" s="3" t="s">
        <v>4021</v>
      </c>
      <c r="J484" s="298" t="s">
        <v>113</v>
      </c>
      <c r="K484" s="285">
        <v>45875</v>
      </c>
      <c r="O484" s="3"/>
      <c r="Q484"/>
    </row>
    <row r="485" spans="2:17" x14ac:dyDescent="0.25">
      <c r="B485" s="298">
        <v>2080</v>
      </c>
      <c r="C485" s="298" t="s">
        <v>2255</v>
      </c>
      <c r="D485" s="298" t="s">
        <v>94</v>
      </c>
      <c r="E485" s="298" t="s">
        <v>2259</v>
      </c>
      <c r="F485" s="298" t="s">
        <v>114</v>
      </c>
      <c r="G485" s="6">
        <v>10677.96610169491</v>
      </c>
      <c r="H485" s="312">
        <v>70000</v>
      </c>
      <c r="I485" s="3" t="s">
        <v>4021</v>
      </c>
      <c r="J485" s="298" t="s">
        <v>18</v>
      </c>
      <c r="K485" s="285">
        <v>0</v>
      </c>
      <c r="O485" s="3"/>
      <c r="Q485"/>
    </row>
    <row r="486" spans="2:17" x14ac:dyDescent="0.25">
      <c r="B486" s="298">
        <v>2086</v>
      </c>
      <c r="C486" s="298" t="s">
        <v>2299</v>
      </c>
      <c r="D486" s="298" t="s">
        <v>40</v>
      </c>
      <c r="E486" s="298" t="s">
        <v>2281</v>
      </c>
      <c r="F486" s="298" t="s">
        <v>114</v>
      </c>
      <c r="G486" s="6">
        <v>9152.5423728813548</v>
      </c>
      <c r="H486" s="312">
        <v>60000</v>
      </c>
      <c r="I486" s="3" t="s">
        <v>4021</v>
      </c>
      <c r="J486" s="298" t="s">
        <v>113</v>
      </c>
      <c r="K486" s="285">
        <v>0</v>
      </c>
      <c r="O486" s="3"/>
      <c r="Q486"/>
    </row>
    <row r="487" spans="2:17" x14ac:dyDescent="0.25">
      <c r="B487" s="298">
        <v>2084</v>
      </c>
      <c r="C487" s="298" t="s">
        <v>2297</v>
      </c>
      <c r="D487" s="298" t="s">
        <v>37</v>
      </c>
      <c r="E487" s="298" t="s">
        <v>2279</v>
      </c>
      <c r="F487" s="298" t="s">
        <v>114</v>
      </c>
      <c r="G487" s="6">
        <v>12203.389830508473</v>
      </c>
      <c r="H487" s="312">
        <v>80000</v>
      </c>
      <c r="I487" s="3" t="s">
        <v>4021</v>
      </c>
      <c r="J487" s="298" t="s">
        <v>113</v>
      </c>
      <c r="K487" s="285">
        <v>0</v>
      </c>
      <c r="O487" s="3"/>
      <c r="Q487"/>
    </row>
    <row r="488" spans="2:17" x14ac:dyDescent="0.25">
      <c r="B488" s="298">
        <v>2089</v>
      </c>
      <c r="C488" s="298" t="s">
        <v>2302</v>
      </c>
      <c r="D488" s="298" t="s">
        <v>35</v>
      </c>
      <c r="E488" s="298" t="s">
        <v>2293</v>
      </c>
      <c r="F488" s="298" t="s">
        <v>114</v>
      </c>
      <c r="G488" s="6">
        <v>12203.389830508473</v>
      </c>
      <c r="H488" s="312">
        <v>80000</v>
      </c>
      <c r="I488" s="3" t="s">
        <v>4021</v>
      </c>
      <c r="J488" s="298" t="s">
        <v>113</v>
      </c>
      <c r="K488" s="285">
        <v>0</v>
      </c>
      <c r="O488" s="3"/>
      <c r="Q488"/>
    </row>
    <row r="489" spans="2:17" x14ac:dyDescent="0.25">
      <c r="B489" s="298">
        <v>2103</v>
      </c>
      <c r="C489" s="298" t="s">
        <v>2383</v>
      </c>
      <c r="D489" s="298" t="s">
        <v>56</v>
      </c>
      <c r="E489" s="298" t="s">
        <v>2337</v>
      </c>
      <c r="F489" s="298" t="s">
        <v>87</v>
      </c>
      <c r="G489" s="6">
        <v>15471.027457627119</v>
      </c>
      <c r="H489" s="312">
        <v>101421.18</v>
      </c>
      <c r="I489" s="3" t="s">
        <v>4021</v>
      </c>
      <c r="J489" s="298" t="s">
        <v>113</v>
      </c>
      <c r="K489" s="285">
        <v>45863</v>
      </c>
      <c r="O489" s="3"/>
      <c r="Q489"/>
    </row>
    <row r="490" spans="2:17" x14ac:dyDescent="0.25">
      <c r="B490" s="298">
        <v>2675</v>
      </c>
      <c r="C490" s="298" t="s">
        <v>2198</v>
      </c>
      <c r="D490" s="298" t="s">
        <v>50</v>
      </c>
      <c r="E490" s="298" t="s">
        <v>4022</v>
      </c>
      <c r="F490" s="298" t="s">
        <v>141</v>
      </c>
      <c r="G490" s="6">
        <v>305.08474576271169</v>
      </c>
      <c r="H490" s="312">
        <v>2000</v>
      </c>
      <c r="I490" s="3" t="s">
        <v>4021</v>
      </c>
      <c r="J490" s="298" t="s">
        <v>113</v>
      </c>
      <c r="K490" s="285">
        <v>0</v>
      </c>
      <c r="O490" s="3">
        <v>31</v>
      </c>
      <c r="Q490"/>
    </row>
    <row r="491" spans="2:17" x14ac:dyDescent="0.25">
      <c r="B491" s="298">
        <v>2638</v>
      </c>
      <c r="C491" s="298" t="s">
        <v>2198</v>
      </c>
      <c r="D491" s="298" t="s">
        <v>50</v>
      </c>
      <c r="E491" s="298" t="s">
        <v>3952</v>
      </c>
      <c r="F491" s="298" t="s">
        <v>141</v>
      </c>
      <c r="G491" s="6">
        <v>259.32203389830511</v>
      </c>
      <c r="H491" s="312">
        <v>1700</v>
      </c>
      <c r="I491" s="3" t="s">
        <v>4021</v>
      </c>
      <c r="J491" s="298" t="s">
        <v>113</v>
      </c>
      <c r="K491" s="285">
        <v>0</v>
      </c>
      <c r="O491" s="3">
        <v>25</v>
      </c>
      <c r="Q491"/>
    </row>
    <row r="492" spans="2:17" x14ac:dyDescent="0.25">
      <c r="B492" s="298">
        <v>2578</v>
      </c>
      <c r="C492" s="298" t="s">
        <v>2198</v>
      </c>
      <c r="D492" s="298" t="s">
        <v>50</v>
      </c>
      <c r="E492" s="298" t="s">
        <v>3813</v>
      </c>
      <c r="F492" s="298" t="s">
        <v>141</v>
      </c>
      <c r="G492" s="6">
        <v>2613.3559322033889</v>
      </c>
      <c r="H492" s="312">
        <v>17132</v>
      </c>
      <c r="I492" s="3" t="s">
        <v>4021</v>
      </c>
      <c r="J492" s="298" t="s">
        <v>113</v>
      </c>
      <c r="K492" s="285">
        <v>45866</v>
      </c>
      <c r="O492" s="3"/>
      <c r="Q492"/>
    </row>
    <row r="493" spans="2:17" x14ac:dyDescent="0.25">
      <c r="B493" s="298">
        <v>2539</v>
      </c>
      <c r="C493" s="298" t="s">
        <v>2198</v>
      </c>
      <c r="D493" s="298" t="s">
        <v>50</v>
      </c>
      <c r="E493" s="298" t="s">
        <v>3548</v>
      </c>
      <c r="F493" s="298" t="s">
        <v>141</v>
      </c>
      <c r="G493" s="6">
        <v>99.610169491525426</v>
      </c>
      <c r="H493" s="312">
        <v>653</v>
      </c>
      <c r="I493" s="3" t="s">
        <v>4021</v>
      </c>
      <c r="J493" s="298" t="s">
        <v>113</v>
      </c>
      <c r="K493" s="285">
        <v>45866</v>
      </c>
      <c r="O493" s="3"/>
      <c r="Q493"/>
    </row>
    <row r="494" spans="2:17" x14ac:dyDescent="0.25">
      <c r="B494" s="298">
        <v>2537</v>
      </c>
      <c r="C494" s="298" t="s">
        <v>2198</v>
      </c>
      <c r="D494" s="298" t="s">
        <v>50</v>
      </c>
      <c r="E494" s="298" t="s">
        <v>3545</v>
      </c>
      <c r="F494" s="298" t="s">
        <v>141</v>
      </c>
      <c r="G494" s="6">
        <v>16.169491525423723</v>
      </c>
      <c r="H494" s="312">
        <v>106</v>
      </c>
      <c r="I494" s="3" t="s">
        <v>4021</v>
      </c>
      <c r="J494" s="298" t="s">
        <v>113</v>
      </c>
      <c r="K494" s="285">
        <v>45866</v>
      </c>
      <c r="O494" s="3"/>
      <c r="Q494"/>
    </row>
    <row r="495" spans="2:17" x14ac:dyDescent="0.25">
      <c r="B495" s="298">
        <v>2541</v>
      </c>
      <c r="C495" s="298" t="s">
        <v>2198</v>
      </c>
      <c r="D495" s="298" t="s">
        <v>50</v>
      </c>
      <c r="E495" s="298" t="s">
        <v>3549</v>
      </c>
      <c r="F495" s="298" t="s">
        <v>141</v>
      </c>
      <c r="G495" s="6">
        <v>16.474576271186436</v>
      </c>
      <c r="H495" s="312">
        <v>108</v>
      </c>
      <c r="I495" s="3" t="s">
        <v>4021</v>
      </c>
      <c r="J495" s="298" t="s">
        <v>113</v>
      </c>
      <c r="K495" s="285">
        <v>45866</v>
      </c>
      <c r="O495" s="3"/>
      <c r="Q495"/>
    </row>
    <row r="496" spans="2:17" x14ac:dyDescent="0.25">
      <c r="B496" s="298">
        <v>2538</v>
      </c>
      <c r="C496" s="298" t="s">
        <v>2198</v>
      </c>
      <c r="D496" s="298" t="s">
        <v>50</v>
      </c>
      <c r="E496" s="298" t="s">
        <v>3546</v>
      </c>
      <c r="F496" s="298" t="s">
        <v>141</v>
      </c>
      <c r="G496" s="6">
        <v>109.83050847457628</v>
      </c>
      <c r="H496" s="312">
        <v>720</v>
      </c>
      <c r="I496" s="3" t="s">
        <v>4021</v>
      </c>
      <c r="J496" s="298" t="s">
        <v>113</v>
      </c>
      <c r="K496" s="285">
        <v>45866</v>
      </c>
      <c r="O496" s="3"/>
      <c r="Q496"/>
    </row>
    <row r="497" spans="2:17" x14ac:dyDescent="0.25">
      <c r="B497" s="298">
        <v>2542</v>
      </c>
      <c r="C497" s="298" t="s">
        <v>2198</v>
      </c>
      <c r="D497" s="298" t="s">
        <v>50</v>
      </c>
      <c r="E497" s="298" t="s">
        <v>3550</v>
      </c>
      <c r="F497" s="298" t="s">
        <v>141</v>
      </c>
      <c r="G497" s="6">
        <v>31.423728813559308</v>
      </c>
      <c r="H497" s="312">
        <v>206</v>
      </c>
      <c r="I497" s="3" t="s">
        <v>4021</v>
      </c>
      <c r="J497" s="298" t="s">
        <v>113</v>
      </c>
      <c r="K497" s="285">
        <v>45866</v>
      </c>
      <c r="O497" s="3"/>
      <c r="Q497"/>
    </row>
    <row r="498" spans="2:17" x14ac:dyDescent="0.25">
      <c r="B498" s="298">
        <v>2577</v>
      </c>
      <c r="C498" s="298" t="s">
        <v>2198</v>
      </c>
      <c r="D498" s="298" t="s">
        <v>50</v>
      </c>
      <c r="E498" s="298" t="s">
        <v>3812</v>
      </c>
      <c r="F498" s="298" t="s">
        <v>141</v>
      </c>
      <c r="G498" s="6">
        <v>270.30508474576254</v>
      </c>
      <c r="H498" s="312">
        <v>1772</v>
      </c>
      <c r="I498" s="3" t="s">
        <v>4021</v>
      </c>
      <c r="J498" s="298" t="s">
        <v>113</v>
      </c>
      <c r="K498" s="285">
        <v>45866</v>
      </c>
      <c r="O498" s="3"/>
      <c r="Q498"/>
    </row>
    <row r="499" spans="2:17" x14ac:dyDescent="0.25">
      <c r="B499" s="298">
        <v>2548</v>
      </c>
      <c r="C499" s="298" t="s">
        <v>2198</v>
      </c>
      <c r="D499" s="298" t="s">
        <v>50</v>
      </c>
      <c r="E499" s="298" t="s">
        <v>3634</v>
      </c>
      <c r="F499" s="298" t="s">
        <v>141</v>
      </c>
      <c r="G499" s="6">
        <v>155.59322033898297</v>
      </c>
      <c r="H499" s="312">
        <v>1020</v>
      </c>
      <c r="I499" s="3" t="s">
        <v>4021</v>
      </c>
      <c r="J499" s="298" t="s">
        <v>113</v>
      </c>
      <c r="K499" s="285">
        <v>45866</v>
      </c>
      <c r="O499" s="3"/>
      <c r="Q499"/>
    </row>
    <row r="500" spans="2:17" x14ac:dyDescent="0.25">
      <c r="B500" s="2">
        <v>2547</v>
      </c>
      <c r="C500" s="298" t="s">
        <v>2198</v>
      </c>
      <c r="D500" s="298" t="s">
        <v>50</v>
      </c>
      <c r="E500" s="298" t="s">
        <v>3633</v>
      </c>
      <c r="F500" s="298" t="s">
        <v>141</v>
      </c>
      <c r="G500" s="6">
        <v>267.86440677966084</v>
      </c>
      <c r="H500" s="312">
        <v>1756</v>
      </c>
      <c r="I500" s="3" t="s">
        <v>4021</v>
      </c>
      <c r="J500" s="298" t="s">
        <v>113</v>
      </c>
      <c r="K500" s="285">
        <v>45866</v>
      </c>
      <c r="O500" s="3"/>
      <c r="Q500"/>
    </row>
    <row r="501" spans="2:17" x14ac:dyDescent="0.25">
      <c r="B501" s="2">
        <v>2540</v>
      </c>
      <c r="C501" s="298" t="s">
        <v>2198</v>
      </c>
      <c r="D501" s="298" t="s">
        <v>50</v>
      </c>
      <c r="E501" s="298" t="s">
        <v>3547</v>
      </c>
      <c r="F501" s="298" t="s">
        <v>141</v>
      </c>
      <c r="G501" s="6">
        <v>63.152542372881328</v>
      </c>
      <c r="H501" s="312">
        <v>414</v>
      </c>
      <c r="I501" s="3" t="s">
        <v>4021</v>
      </c>
      <c r="J501" s="298" t="s">
        <v>113</v>
      </c>
      <c r="K501" s="285">
        <v>45866</v>
      </c>
      <c r="O501" s="3"/>
      <c r="Q501"/>
    </row>
    <row r="502" spans="2:17" x14ac:dyDescent="0.25">
      <c r="B502" s="298">
        <v>2555</v>
      </c>
      <c r="C502" s="298" t="s">
        <v>2198</v>
      </c>
      <c r="D502" s="298" t="s">
        <v>50</v>
      </c>
      <c r="E502" s="298" t="s">
        <v>3731</v>
      </c>
      <c r="F502" s="298" t="s">
        <v>141</v>
      </c>
      <c r="G502" s="6">
        <v>483.10169491525403</v>
      </c>
      <c r="H502" s="312">
        <v>3167</v>
      </c>
      <c r="I502" s="3" t="s">
        <v>4021</v>
      </c>
      <c r="J502" s="298" t="s">
        <v>113</v>
      </c>
      <c r="K502" s="285">
        <v>45866</v>
      </c>
      <c r="O502" s="3"/>
      <c r="Q502"/>
    </row>
    <row r="503" spans="2:17" x14ac:dyDescent="0.25">
      <c r="B503" s="298">
        <v>1901</v>
      </c>
      <c r="C503" s="298" t="s">
        <v>1430</v>
      </c>
      <c r="D503" s="298" t="s">
        <v>73</v>
      </c>
      <c r="E503" s="298" t="s">
        <v>1320</v>
      </c>
      <c r="F503" s="298" t="s">
        <v>90</v>
      </c>
      <c r="G503" s="6">
        <v>91525.423728813534</v>
      </c>
      <c r="H503" s="312">
        <v>600000</v>
      </c>
      <c r="I503" s="3" t="s">
        <v>4021</v>
      </c>
      <c r="J503" s="298" t="s">
        <v>113</v>
      </c>
      <c r="K503" s="285">
        <v>0</v>
      </c>
      <c r="O503" s="3"/>
      <c r="Q503"/>
    </row>
    <row r="504" spans="2:17" x14ac:dyDescent="0.25">
      <c r="B504" s="298">
        <v>2347</v>
      </c>
      <c r="C504" s="298" t="s">
        <v>2964</v>
      </c>
      <c r="D504" s="298" t="s">
        <v>43</v>
      </c>
      <c r="E504" s="298" t="s">
        <v>2894</v>
      </c>
      <c r="F504" s="298" t="s">
        <v>106</v>
      </c>
      <c r="G504" s="6">
        <v>199.62457627118647</v>
      </c>
      <c r="H504" s="312">
        <v>1308.6499999999999</v>
      </c>
      <c r="I504" s="3" t="s">
        <v>4021</v>
      </c>
      <c r="J504" s="298" t="s">
        <v>113</v>
      </c>
      <c r="K504" s="285">
        <v>45845</v>
      </c>
      <c r="O504" s="3"/>
      <c r="Q504"/>
    </row>
    <row r="505" spans="2:17" x14ac:dyDescent="0.25">
      <c r="B505" s="298">
        <v>2676</v>
      </c>
      <c r="C505" s="298" t="s">
        <v>4023</v>
      </c>
      <c r="D505" s="298" t="s">
        <v>93</v>
      </c>
      <c r="E505" s="298" t="s">
        <v>4025</v>
      </c>
      <c r="F505" s="298" t="s">
        <v>3635</v>
      </c>
      <c r="G505" s="6">
        <v>42711.864406779641</v>
      </c>
      <c r="H505" s="312">
        <v>280000</v>
      </c>
      <c r="I505" s="3" t="s">
        <v>4146</v>
      </c>
      <c r="J505" s="298" t="s">
        <v>18</v>
      </c>
      <c r="K505" s="285">
        <v>45898</v>
      </c>
      <c r="O505" s="3"/>
      <c r="Q505"/>
    </row>
    <row r="506" spans="2:17" x14ac:dyDescent="0.25">
      <c r="B506" s="298">
        <v>2677</v>
      </c>
      <c r="C506" s="298" t="s">
        <v>4026</v>
      </c>
      <c r="D506" s="298" t="s">
        <v>41</v>
      </c>
      <c r="E506" s="298" t="s">
        <v>4027</v>
      </c>
      <c r="F506" s="298" t="s">
        <v>3635</v>
      </c>
      <c r="G506" s="6">
        <v>1220.3389830508468</v>
      </c>
      <c r="H506" s="312">
        <v>8000</v>
      </c>
      <c r="I506" s="3" t="s">
        <v>4146</v>
      </c>
      <c r="J506" s="298" t="s">
        <v>113</v>
      </c>
      <c r="K506" s="285">
        <v>45908</v>
      </c>
      <c r="O506" s="3"/>
      <c r="Q506"/>
    </row>
    <row r="507" spans="2:17" x14ac:dyDescent="0.25">
      <c r="B507" s="298">
        <v>2678</v>
      </c>
      <c r="C507" s="298" t="s">
        <v>4026</v>
      </c>
      <c r="D507" s="298" t="s">
        <v>41</v>
      </c>
      <c r="E507" s="298" t="s">
        <v>4028</v>
      </c>
      <c r="F507" s="298" t="s">
        <v>3635</v>
      </c>
      <c r="G507" s="6">
        <v>1220.3389830508468</v>
      </c>
      <c r="H507" s="312">
        <v>8000</v>
      </c>
      <c r="I507" s="3" t="s">
        <v>4146</v>
      </c>
      <c r="J507" s="298" t="s">
        <v>113</v>
      </c>
      <c r="K507" s="285">
        <v>45908</v>
      </c>
      <c r="O507" s="3"/>
      <c r="Q507"/>
    </row>
    <row r="508" spans="2:17" x14ac:dyDescent="0.25">
      <c r="B508" s="298">
        <v>2679</v>
      </c>
      <c r="C508" s="298" t="s">
        <v>4026</v>
      </c>
      <c r="D508" s="298" t="s">
        <v>41</v>
      </c>
      <c r="E508" s="298" t="s">
        <v>4029</v>
      </c>
      <c r="F508" s="298" t="s">
        <v>3635</v>
      </c>
      <c r="G508" s="6">
        <v>915.2542372881353</v>
      </c>
      <c r="H508" s="312">
        <v>6000</v>
      </c>
      <c r="I508" s="3" t="s">
        <v>4146</v>
      </c>
      <c r="J508" s="298" t="s">
        <v>113</v>
      </c>
      <c r="K508" s="285">
        <v>45908</v>
      </c>
      <c r="O508" s="3"/>
      <c r="Q508"/>
    </row>
    <row r="509" spans="2:17" x14ac:dyDescent="0.25">
      <c r="B509" s="298">
        <v>2680</v>
      </c>
      <c r="C509" s="298" t="s">
        <v>4031</v>
      </c>
      <c r="D509" s="298" t="s">
        <v>41</v>
      </c>
      <c r="E509" s="298" t="s">
        <v>4030</v>
      </c>
      <c r="F509" s="298" t="s">
        <v>3635</v>
      </c>
      <c r="G509" s="6">
        <v>1220.3389830508468</v>
      </c>
      <c r="H509" s="312">
        <v>8000</v>
      </c>
      <c r="I509" s="3" t="s">
        <v>4146</v>
      </c>
      <c r="J509" s="298" t="s">
        <v>113</v>
      </c>
      <c r="K509" s="285">
        <v>45908</v>
      </c>
      <c r="O509" s="3"/>
      <c r="Q509"/>
    </row>
    <row r="510" spans="2:17" x14ac:dyDescent="0.25">
      <c r="B510" s="298">
        <v>2318</v>
      </c>
      <c r="C510" s="298" t="s">
        <v>2935</v>
      </c>
      <c r="D510" s="298" t="s">
        <v>40</v>
      </c>
      <c r="E510" s="298" t="s">
        <v>2969</v>
      </c>
      <c r="F510" s="298" t="s">
        <v>90</v>
      </c>
      <c r="G510" s="6">
        <v>28983.050847457605</v>
      </c>
      <c r="H510" s="312">
        <v>190000</v>
      </c>
      <c r="I510" s="3" t="s">
        <v>4021</v>
      </c>
      <c r="J510" s="298" t="s">
        <v>113</v>
      </c>
      <c r="K510" s="285">
        <v>45945</v>
      </c>
      <c r="O510" s="3"/>
      <c r="Q510"/>
    </row>
    <row r="511" spans="2:17" x14ac:dyDescent="0.25">
      <c r="B511" s="298">
        <v>1564</v>
      </c>
      <c r="C511" s="298" t="s">
        <v>1526</v>
      </c>
      <c r="D511" s="298" t="s">
        <v>40</v>
      </c>
      <c r="E511" s="298" t="s">
        <v>4034</v>
      </c>
      <c r="F511" s="298" t="s">
        <v>90</v>
      </c>
      <c r="G511" s="6">
        <v>1690.5889830508477</v>
      </c>
      <c r="H511" s="312">
        <v>11082.75</v>
      </c>
      <c r="I511" s="3" t="s">
        <v>4021</v>
      </c>
      <c r="J511" s="298" t="s">
        <v>18</v>
      </c>
      <c r="K511" s="285">
        <v>45894</v>
      </c>
      <c r="O511" s="3"/>
      <c r="Q511"/>
    </row>
    <row r="512" spans="2:17" x14ac:dyDescent="0.25">
      <c r="B512" s="298">
        <v>2681</v>
      </c>
      <c r="C512" s="298" t="s">
        <v>1526</v>
      </c>
      <c r="D512" s="298" t="s">
        <v>40</v>
      </c>
      <c r="E512" s="298" t="s">
        <v>4032</v>
      </c>
      <c r="F512" s="298" t="s">
        <v>90</v>
      </c>
      <c r="G512" s="22">
        <v>2323.5254237288136</v>
      </c>
      <c r="H512" s="312">
        <v>15232</v>
      </c>
      <c r="I512" s="3" t="s">
        <v>4021</v>
      </c>
      <c r="J512" s="298" t="s">
        <v>18</v>
      </c>
      <c r="K512" s="285">
        <v>45895</v>
      </c>
      <c r="O512" s="3"/>
      <c r="Q512"/>
    </row>
    <row r="513" spans="2:17" x14ac:dyDescent="0.25">
      <c r="B513" s="298">
        <v>2682</v>
      </c>
      <c r="C513" s="298" t="s">
        <v>1526</v>
      </c>
      <c r="D513" s="298" t="s">
        <v>40</v>
      </c>
      <c r="E513" s="298" t="s">
        <v>4033</v>
      </c>
      <c r="F513" s="298" t="s">
        <v>90</v>
      </c>
      <c r="G513" s="22">
        <v>12453.978813559312</v>
      </c>
      <c r="H513" s="312">
        <v>81642.75</v>
      </c>
      <c r="I513" s="3" t="s">
        <v>4021</v>
      </c>
      <c r="J513" s="298" t="s">
        <v>18</v>
      </c>
      <c r="K513" s="285">
        <v>45909</v>
      </c>
      <c r="O513" s="3"/>
      <c r="Q513"/>
    </row>
    <row r="514" spans="2:17" x14ac:dyDescent="0.25">
      <c r="B514" s="298">
        <v>2509</v>
      </c>
      <c r="C514" s="298" t="s">
        <v>3482</v>
      </c>
      <c r="D514" s="298" t="s">
        <v>47</v>
      </c>
      <c r="E514" s="298" t="s">
        <v>3886</v>
      </c>
      <c r="F514" s="298" t="s">
        <v>105</v>
      </c>
      <c r="G514" s="6">
        <v>61309.918983050855</v>
      </c>
      <c r="H514" s="312">
        <v>401920.58</v>
      </c>
      <c r="I514" s="3" t="s">
        <v>4146</v>
      </c>
      <c r="J514" s="298" t="s">
        <v>113</v>
      </c>
      <c r="K514" s="285">
        <v>45876</v>
      </c>
      <c r="O514" s="3"/>
      <c r="Q514"/>
    </row>
    <row r="515" spans="2:17" x14ac:dyDescent="0.25">
      <c r="B515" s="298">
        <v>2348</v>
      </c>
      <c r="C515" s="298" t="s">
        <v>2965</v>
      </c>
      <c r="D515" s="298" t="s">
        <v>43</v>
      </c>
      <c r="E515" s="298" t="s">
        <v>2895</v>
      </c>
      <c r="F515" s="298" t="s">
        <v>90</v>
      </c>
      <c r="G515" s="6">
        <v>3355.9322033898279</v>
      </c>
      <c r="H515" s="312">
        <v>22000</v>
      </c>
      <c r="I515" s="3" t="s">
        <v>4021</v>
      </c>
      <c r="J515" s="298" t="s">
        <v>113</v>
      </c>
      <c r="K515" s="285">
        <v>45896</v>
      </c>
      <c r="O515" s="3"/>
      <c r="Q515"/>
    </row>
    <row r="516" spans="2:17" x14ac:dyDescent="0.25">
      <c r="B516" s="298">
        <v>2432</v>
      </c>
      <c r="C516" s="298" t="s">
        <v>3169</v>
      </c>
      <c r="D516" s="298" t="s">
        <v>74</v>
      </c>
      <c r="E516" s="298" t="s">
        <v>3085</v>
      </c>
      <c r="F516" s="298" t="s">
        <v>90</v>
      </c>
      <c r="G516" s="6">
        <v>692.24508559141441</v>
      </c>
      <c r="H516" s="312">
        <v>4538.0511166548285</v>
      </c>
      <c r="I516" s="3" t="s">
        <v>4021</v>
      </c>
      <c r="J516" s="298" t="s">
        <v>18</v>
      </c>
      <c r="K516" s="285">
        <v>45869</v>
      </c>
      <c r="O516" s="3"/>
      <c r="Q516"/>
    </row>
    <row r="517" spans="2:17" x14ac:dyDescent="0.25">
      <c r="B517" s="298">
        <v>2400</v>
      </c>
      <c r="C517" s="298" t="s">
        <v>3137</v>
      </c>
      <c r="D517" s="298" t="s">
        <v>74</v>
      </c>
      <c r="E517" s="298" t="s">
        <v>3054</v>
      </c>
      <c r="F517" s="298" t="s">
        <v>90</v>
      </c>
      <c r="G517" s="6">
        <v>2235.2411770860981</v>
      </c>
      <c r="H517" s="312">
        <v>14653.247716453316</v>
      </c>
      <c r="I517" s="3" t="s">
        <v>4021</v>
      </c>
      <c r="J517" s="298" t="s">
        <v>18</v>
      </c>
      <c r="K517" s="285">
        <v>45869</v>
      </c>
      <c r="O517" s="3"/>
      <c r="Q517"/>
    </row>
    <row r="518" spans="2:17" x14ac:dyDescent="0.25">
      <c r="B518" s="298">
        <v>1924</v>
      </c>
      <c r="C518" s="298" t="s">
        <v>1453</v>
      </c>
      <c r="D518" s="298" t="s">
        <v>40</v>
      </c>
      <c r="E518" s="298" t="s">
        <v>1343</v>
      </c>
      <c r="F518" s="298" t="s">
        <v>90</v>
      </c>
      <c r="G518" s="6">
        <v>3665.1020338983035</v>
      </c>
      <c r="H518" s="312">
        <v>24026.78</v>
      </c>
      <c r="I518" s="3" t="s">
        <v>4021</v>
      </c>
      <c r="J518" s="298" t="s">
        <v>113</v>
      </c>
      <c r="K518" s="285">
        <v>45869</v>
      </c>
      <c r="O518" s="3"/>
      <c r="Q518"/>
    </row>
    <row r="519" spans="2:17" x14ac:dyDescent="0.25">
      <c r="B519" s="298">
        <v>2051</v>
      </c>
      <c r="C519" s="298" t="s">
        <v>2182</v>
      </c>
      <c r="D519" s="298" t="s">
        <v>91</v>
      </c>
      <c r="E519" s="298" t="s">
        <v>3792</v>
      </c>
      <c r="F519" s="298" t="s">
        <v>105</v>
      </c>
      <c r="G519" s="6">
        <v>106779.6610169491</v>
      </c>
      <c r="H519" s="312">
        <v>700000</v>
      </c>
      <c r="I519" s="3" t="s">
        <v>4146</v>
      </c>
      <c r="J519" s="298" t="s">
        <v>18</v>
      </c>
      <c r="K519" s="285">
        <v>0</v>
      </c>
      <c r="O519" s="3"/>
      <c r="Q519"/>
    </row>
    <row r="520" spans="2:17" x14ac:dyDescent="0.25">
      <c r="B520" s="298">
        <v>2095</v>
      </c>
      <c r="C520" s="298" t="s">
        <v>2308</v>
      </c>
      <c r="D520" s="298" t="s">
        <v>4</v>
      </c>
      <c r="E520" s="298" t="s">
        <v>2287</v>
      </c>
      <c r="F520" s="298" t="s">
        <v>114</v>
      </c>
      <c r="G520" s="6">
        <v>5054.3832203389829</v>
      </c>
      <c r="H520" s="312">
        <v>33134.29</v>
      </c>
      <c r="I520" s="3" t="s">
        <v>4146</v>
      </c>
      <c r="J520" s="298" t="s">
        <v>113</v>
      </c>
      <c r="K520" s="285">
        <v>45874</v>
      </c>
      <c r="O520" s="3"/>
      <c r="Q520"/>
    </row>
    <row r="521" spans="2:17" x14ac:dyDescent="0.25">
      <c r="B521" s="298">
        <v>2683</v>
      </c>
      <c r="C521" s="298" t="s">
        <v>3641</v>
      </c>
      <c r="D521" s="298" t="s">
        <v>47</v>
      </c>
      <c r="E521" s="298" t="s">
        <v>4035</v>
      </c>
      <c r="F521" s="298" t="s">
        <v>3635</v>
      </c>
      <c r="G521" s="6">
        <v>991.52542372881362</v>
      </c>
      <c r="H521" s="312">
        <v>6500</v>
      </c>
      <c r="I521" s="3" t="s">
        <v>4146</v>
      </c>
      <c r="J521" s="298" t="s">
        <v>113</v>
      </c>
      <c r="K521" s="285">
        <v>45873</v>
      </c>
      <c r="O521" s="3"/>
      <c r="Q521"/>
    </row>
    <row r="522" spans="2:17" x14ac:dyDescent="0.25">
      <c r="B522" s="298">
        <v>2684</v>
      </c>
      <c r="C522" s="298" t="s">
        <v>3636</v>
      </c>
      <c r="D522" s="298" t="s">
        <v>96</v>
      </c>
      <c r="E522" s="298" t="s">
        <v>4036</v>
      </c>
      <c r="F522" s="298" t="s">
        <v>3635</v>
      </c>
      <c r="G522" s="6">
        <v>3432.203389830509</v>
      </c>
      <c r="H522" s="312">
        <v>22500</v>
      </c>
      <c r="I522" s="3" t="s">
        <v>4146</v>
      </c>
      <c r="J522" s="298" t="s">
        <v>18</v>
      </c>
      <c r="K522" s="285">
        <v>45873</v>
      </c>
      <c r="O522" s="3"/>
      <c r="Q522"/>
    </row>
    <row r="523" spans="2:17" x14ac:dyDescent="0.25">
      <c r="B523" s="298">
        <v>2685</v>
      </c>
      <c r="C523" s="298" t="s">
        <v>3641</v>
      </c>
      <c r="D523" s="298" t="s">
        <v>45</v>
      </c>
      <c r="E523" s="298" t="s">
        <v>4037</v>
      </c>
      <c r="F523" s="298" t="s">
        <v>3635</v>
      </c>
      <c r="G523" s="6">
        <v>3432.203389830509</v>
      </c>
      <c r="H523" s="312">
        <v>22500</v>
      </c>
      <c r="I523" s="3" t="s">
        <v>4146</v>
      </c>
      <c r="J523" s="298" t="s">
        <v>113</v>
      </c>
      <c r="K523" s="285">
        <v>45874</v>
      </c>
      <c r="O523" s="3"/>
      <c r="Q523"/>
    </row>
    <row r="524" spans="2:17" x14ac:dyDescent="0.25">
      <c r="B524" s="298">
        <v>2686</v>
      </c>
      <c r="C524" s="298" t="s">
        <v>3641</v>
      </c>
      <c r="D524" s="298" t="s">
        <v>45</v>
      </c>
      <c r="E524" s="298" t="s">
        <v>4064</v>
      </c>
      <c r="F524" s="298" t="s">
        <v>3635</v>
      </c>
      <c r="G524" s="6">
        <v>1296.6101694915251</v>
      </c>
      <c r="H524" s="312">
        <v>8500</v>
      </c>
      <c r="I524" s="3" t="s">
        <v>4146</v>
      </c>
      <c r="J524" s="298" t="s">
        <v>113</v>
      </c>
      <c r="K524" s="285">
        <v>45874</v>
      </c>
      <c r="O524" s="3"/>
      <c r="Q524"/>
    </row>
    <row r="525" spans="2:17" x14ac:dyDescent="0.25">
      <c r="B525" s="298">
        <v>2687</v>
      </c>
      <c r="C525" s="298" t="s">
        <v>3641</v>
      </c>
      <c r="D525" s="298" t="s">
        <v>45</v>
      </c>
      <c r="E525" s="298" t="s">
        <v>4038</v>
      </c>
      <c r="F525" s="298" t="s">
        <v>3635</v>
      </c>
      <c r="G525" s="6">
        <v>991.52542372881362</v>
      </c>
      <c r="H525" s="312">
        <v>6500</v>
      </c>
      <c r="I525" s="3" t="s">
        <v>4146</v>
      </c>
      <c r="J525" s="298" t="s">
        <v>113</v>
      </c>
      <c r="K525" s="285">
        <v>45874</v>
      </c>
      <c r="O525" s="3"/>
      <c r="Q525"/>
    </row>
    <row r="526" spans="2:17" x14ac:dyDescent="0.25">
      <c r="B526" s="298">
        <v>2688</v>
      </c>
      <c r="C526" s="298" t="s">
        <v>3641</v>
      </c>
      <c r="D526" s="298" t="s">
        <v>45</v>
      </c>
      <c r="E526" s="298" t="s">
        <v>4039</v>
      </c>
      <c r="F526" s="298" t="s">
        <v>3635</v>
      </c>
      <c r="G526" s="6">
        <v>3432.203389830509</v>
      </c>
      <c r="H526" s="312">
        <v>22500</v>
      </c>
      <c r="I526" s="3" t="s">
        <v>4146</v>
      </c>
      <c r="J526" s="298" t="s">
        <v>113</v>
      </c>
      <c r="K526" s="285">
        <v>45874</v>
      </c>
      <c r="O526" s="3"/>
      <c r="Q526"/>
    </row>
    <row r="527" spans="2:17" x14ac:dyDescent="0.25">
      <c r="B527" s="298">
        <v>2674</v>
      </c>
      <c r="C527" s="298" t="s">
        <v>4020</v>
      </c>
      <c r="D527" s="298" t="s">
        <v>47</v>
      </c>
      <c r="E527" s="298" t="s">
        <v>4019</v>
      </c>
      <c r="F527" s="298" t="s">
        <v>3635</v>
      </c>
      <c r="G527" s="6">
        <v>3626.8825423728813</v>
      </c>
      <c r="H527" s="312">
        <v>23776.23</v>
      </c>
      <c r="I527" s="3" t="s">
        <v>4146</v>
      </c>
      <c r="J527" s="298" t="s">
        <v>113</v>
      </c>
      <c r="K527" s="285">
        <v>45875</v>
      </c>
      <c r="O527" s="3"/>
      <c r="Q527"/>
    </row>
    <row r="528" spans="2:17" x14ac:dyDescent="0.25">
      <c r="B528" s="298">
        <v>2673</v>
      </c>
      <c r="C528" s="298" t="s">
        <v>4015</v>
      </c>
      <c r="D528" s="298" t="s">
        <v>88</v>
      </c>
      <c r="E528" s="298" t="s">
        <v>4017</v>
      </c>
      <c r="F528" s="298" t="s">
        <v>3635</v>
      </c>
      <c r="G528" s="6">
        <v>7215.5471186440627</v>
      </c>
      <c r="H528" s="312">
        <v>47301.919999999998</v>
      </c>
      <c r="I528" s="3" t="s">
        <v>4146</v>
      </c>
      <c r="J528" s="298" t="s">
        <v>18</v>
      </c>
      <c r="K528" s="285">
        <v>45875</v>
      </c>
      <c r="O528" s="3"/>
      <c r="Q528"/>
    </row>
    <row r="529" spans="2:17" x14ac:dyDescent="0.25">
      <c r="B529" s="298">
        <v>1564</v>
      </c>
      <c r="C529" s="298" t="s">
        <v>1526</v>
      </c>
      <c r="D529" s="298" t="s">
        <v>40</v>
      </c>
      <c r="E529" s="298" t="s">
        <v>4034</v>
      </c>
      <c r="F529" s="298" t="s">
        <v>90</v>
      </c>
      <c r="G529" s="6">
        <v>8002.3301694915208</v>
      </c>
      <c r="H529" s="312">
        <v>52459.72</v>
      </c>
      <c r="I529" s="3" t="s">
        <v>4146</v>
      </c>
      <c r="J529" s="298" t="s">
        <v>18</v>
      </c>
      <c r="K529" s="285">
        <v>45894</v>
      </c>
      <c r="O529" s="3"/>
      <c r="Q529"/>
    </row>
    <row r="530" spans="2:17" x14ac:dyDescent="0.25">
      <c r="B530" s="298">
        <v>2689</v>
      </c>
      <c r="C530" s="298" t="s">
        <v>2198</v>
      </c>
      <c r="D530" s="298" t="s">
        <v>50</v>
      </c>
      <c r="E530" s="298" t="s">
        <v>4041</v>
      </c>
      <c r="F530" s="298" t="s">
        <v>141</v>
      </c>
      <c r="G530" s="6">
        <v>6101.6949152542365</v>
      </c>
      <c r="H530" s="312">
        <v>40000</v>
      </c>
      <c r="I530" s="3" t="s">
        <v>4146</v>
      </c>
      <c r="J530" s="298" t="s">
        <v>113</v>
      </c>
      <c r="K530" s="285">
        <v>0</v>
      </c>
      <c r="O530" s="3">
        <v>4</v>
      </c>
      <c r="Q530"/>
    </row>
    <row r="531" spans="2:17" x14ac:dyDescent="0.25">
      <c r="B531" s="298">
        <v>2690</v>
      </c>
      <c r="C531" s="298" t="s">
        <v>2198</v>
      </c>
      <c r="D531" s="298" t="s">
        <v>50</v>
      </c>
      <c r="E531" s="298" t="s">
        <v>4042</v>
      </c>
      <c r="F531" s="298" t="s">
        <v>141</v>
      </c>
      <c r="G531" s="6">
        <v>9152.5423728813548</v>
      </c>
      <c r="H531" s="312">
        <v>60000</v>
      </c>
      <c r="I531" s="3" t="s">
        <v>4146</v>
      </c>
      <c r="J531" s="298" t="s">
        <v>113</v>
      </c>
      <c r="K531" s="285">
        <v>0</v>
      </c>
      <c r="O531" s="3">
        <v>8</v>
      </c>
      <c r="Q531"/>
    </row>
    <row r="532" spans="2:17" x14ac:dyDescent="0.25">
      <c r="B532" s="298">
        <v>2691</v>
      </c>
      <c r="C532" s="298" t="s">
        <v>2198</v>
      </c>
      <c r="D532" s="298" t="s">
        <v>50</v>
      </c>
      <c r="E532" s="298" t="s">
        <v>4043</v>
      </c>
      <c r="F532" s="298" t="s">
        <v>141</v>
      </c>
      <c r="G532" s="6">
        <v>9152.5423728813548</v>
      </c>
      <c r="H532" s="312">
        <v>60000</v>
      </c>
      <c r="I532" s="3" t="s">
        <v>4146</v>
      </c>
      <c r="J532" s="298" t="s">
        <v>113</v>
      </c>
      <c r="K532" s="285">
        <v>0</v>
      </c>
      <c r="O532" s="3">
        <v>5</v>
      </c>
      <c r="Q532"/>
    </row>
    <row r="533" spans="2:17" x14ac:dyDescent="0.25">
      <c r="B533" s="298">
        <v>2692</v>
      </c>
      <c r="C533" s="298" t="s">
        <v>2198</v>
      </c>
      <c r="D533" s="298" t="s">
        <v>50</v>
      </c>
      <c r="E533" s="298" t="s">
        <v>4044</v>
      </c>
      <c r="F533" s="298" t="s">
        <v>141</v>
      </c>
      <c r="G533" s="6">
        <v>9152.5423728813548</v>
      </c>
      <c r="H533" s="312">
        <v>60000</v>
      </c>
      <c r="I533" s="3" t="s">
        <v>4146</v>
      </c>
      <c r="J533" s="298" t="s">
        <v>113</v>
      </c>
      <c r="K533" s="285">
        <v>0</v>
      </c>
      <c r="O533" s="3">
        <v>8</v>
      </c>
      <c r="Q533"/>
    </row>
    <row r="534" spans="2:17" x14ac:dyDescent="0.25">
      <c r="B534" s="298">
        <v>2693</v>
      </c>
      <c r="C534" s="298" t="s">
        <v>2198</v>
      </c>
      <c r="D534" s="298" t="s">
        <v>50</v>
      </c>
      <c r="E534" s="298" t="s">
        <v>4045</v>
      </c>
      <c r="F534" s="298" t="s">
        <v>141</v>
      </c>
      <c r="G534" s="6">
        <v>9152.5423728813548</v>
      </c>
      <c r="H534" s="312">
        <v>60000</v>
      </c>
      <c r="I534" s="3" t="s">
        <v>4146</v>
      </c>
      <c r="J534" s="298" t="s">
        <v>113</v>
      </c>
      <c r="K534" s="285">
        <v>0</v>
      </c>
      <c r="O534" s="3">
        <v>2</v>
      </c>
      <c r="Q534"/>
    </row>
    <row r="535" spans="2:17" x14ac:dyDescent="0.25">
      <c r="B535" s="298">
        <v>2681</v>
      </c>
      <c r="C535" s="298" t="s">
        <v>1526</v>
      </c>
      <c r="D535" s="298" t="s">
        <v>40</v>
      </c>
      <c r="E535" s="298" t="s">
        <v>4032</v>
      </c>
      <c r="F535" s="298" t="s">
        <v>90</v>
      </c>
      <c r="G535" s="6">
        <v>1222.4974576271179</v>
      </c>
      <c r="H535" s="312">
        <v>8014.15</v>
      </c>
      <c r="I535" s="3" t="s">
        <v>4146</v>
      </c>
      <c r="J535" s="298" t="s">
        <v>18</v>
      </c>
      <c r="K535" s="285">
        <v>45895</v>
      </c>
      <c r="O535" s="3"/>
      <c r="Q535"/>
    </row>
    <row r="536" spans="2:17" x14ac:dyDescent="0.25">
      <c r="B536" s="298">
        <v>2092</v>
      </c>
      <c r="C536" s="298" t="s">
        <v>2305</v>
      </c>
      <c r="D536" s="298" t="s">
        <v>4</v>
      </c>
      <c r="E536" s="298" t="s">
        <v>2285</v>
      </c>
      <c r="F536" s="298" t="s">
        <v>114</v>
      </c>
      <c r="G536" s="6">
        <v>38135.593220338982</v>
      </c>
      <c r="H536" s="312">
        <v>250000</v>
      </c>
      <c r="I536" s="3" t="s">
        <v>4146</v>
      </c>
      <c r="J536" s="298" t="s">
        <v>113</v>
      </c>
      <c r="K536" s="285">
        <v>0</v>
      </c>
      <c r="O536" s="3"/>
      <c r="Q536"/>
    </row>
    <row r="537" spans="2:17" x14ac:dyDescent="0.25">
      <c r="B537" s="298">
        <v>2348</v>
      </c>
      <c r="C537" s="298" t="s">
        <v>2965</v>
      </c>
      <c r="D537" s="298" t="s">
        <v>43</v>
      </c>
      <c r="E537" s="298" t="s">
        <v>2895</v>
      </c>
      <c r="F537" s="298" t="s">
        <v>90</v>
      </c>
      <c r="G537" s="6">
        <v>755.06644067796606</v>
      </c>
      <c r="H537" s="312">
        <v>4949.88</v>
      </c>
      <c r="I537" s="3" t="s">
        <v>4146</v>
      </c>
      <c r="J537" s="298" t="s">
        <v>113</v>
      </c>
      <c r="K537" s="285">
        <v>45896</v>
      </c>
      <c r="O537" s="3"/>
      <c r="Q537"/>
    </row>
    <row r="538" spans="2:17" x14ac:dyDescent="0.25">
      <c r="B538" s="298">
        <v>2426</v>
      </c>
      <c r="C538" s="298" t="s">
        <v>3163</v>
      </c>
      <c r="D538" s="298" t="s">
        <v>74</v>
      </c>
      <c r="E538" s="298" t="s">
        <v>3079</v>
      </c>
      <c r="F538" s="298" t="s">
        <v>90</v>
      </c>
      <c r="G538" s="6">
        <v>123.02389830508469</v>
      </c>
      <c r="H538" s="312">
        <v>806.49</v>
      </c>
      <c r="I538" s="3" t="s">
        <v>4146</v>
      </c>
      <c r="J538" s="298" t="s">
        <v>18</v>
      </c>
      <c r="K538" s="285">
        <v>45896</v>
      </c>
      <c r="O538" s="3"/>
      <c r="Q538"/>
    </row>
    <row r="539" spans="2:17" x14ac:dyDescent="0.25">
      <c r="B539" s="298">
        <v>2676</v>
      </c>
      <c r="C539" s="298" t="s">
        <v>4023</v>
      </c>
      <c r="D539" s="298" t="s">
        <v>93</v>
      </c>
      <c r="E539" s="298" t="s">
        <v>4025</v>
      </c>
      <c r="F539" s="298" t="s">
        <v>3635</v>
      </c>
      <c r="G539" s="6">
        <v>5461.3494915254232</v>
      </c>
      <c r="H539" s="312">
        <v>35802.18</v>
      </c>
      <c r="I539" s="3" t="s">
        <v>4146</v>
      </c>
      <c r="J539" s="298" t="s">
        <v>18</v>
      </c>
      <c r="K539" s="285">
        <v>45898</v>
      </c>
      <c r="O539" s="3"/>
      <c r="Q539"/>
    </row>
    <row r="540" spans="2:17" x14ac:dyDescent="0.25">
      <c r="B540" s="298">
        <v>2694</v>
      </c>
      <c r="C540" s="298" t="s">
        <v>4046</v>
      </c>
      <c r="D540" s="298" t="s">
        <v>30</v>
      </c>
      <c r="E540" s="298" t="s">
        <v>4048</v>
      </c>
      <c r="F540" s="298" t="s">
        <v>3635</v>
      </c>
      <c r="G540" s="6">
        <v>28220.338983050839</v>
      </c>
      <c r="H540" s="312">
        <v>185000</v>
      </c>
      <c r="I540" s="3" t="s">
        <v>4147</v>
      </c>
      <c r="J540" s="298" t="s">
        <v>113</v>
      </c>
      <c r="K540" s="285">
        <v>0</v>
      </c>
      <c r="O540" s="3"/>
      <c r="Q540"/>
    </row>
    <row r="541" spans="2:17" x14ac:dyDescent="0.25">
      <c r="B541" s="298">
        <v>2695</v>
      </c>
      <c r="C541" s="298" t="s">
        <v>4051</v>
      </c>
      <c r="D541" s="298" t="s">
        <v>42</v>
      </c>
      <c r="E541" s="298" t="s">
        <v>4050</v>
      </c>
      <c r="F541" s="298" t="s">
        <v>3635</v>
      </c>
      <c r="G541" s="6">
        <v>4042.3728813559319</v>
      </c>
      <c r="H541" s="312">
        <v>26500</v>
      </c>
      <c r="I541" s="3" t="s">
        <v>4147</v>
      </c>
      <c r="J541" s="298" t="s">
        <v>113</v>
      </c>
      <c r="K541" s="285">
        <v>0</v>
      </c>
      <c r="O541" s="3"/>
      <c r="Q541"/>
    </row>
    <row r="542" spans="2:17" x14ac:dyDescent="0.25">
      <c r="B542" s="298">
        <v>2696</v>
      </c>
      <c r="C542" s="298" t="s">
        <v>4053</v>
      </c>
      <c r="D542" s="298" t="s">
        <v>42</v>
      </c>
      <c r="E542" s="298" t="s">
        <v>4054</v>
      </c>
      <c r="F542" s="298" t="s">
        <v>3635</v>
      </c>
      <c r="G542" s="6">
        <v>4042.3728813559319</v>
      </c>
      <c r="H542" s="312">
        <v>26500</v>
      </c>
      <c r="I542" s="3" t="s">
        <v>4147</v>
      </c>
      <c r="J542" s="298" t="s">
        <v>113</v>
      </c>
      <c r="K542" s="285">
        <v>0</v>
      </c>
      <c r="O542" s="3"/>
      <c r="Q542"/>
    </row>
    <row r="543" spans="2:17" x14ac:dyDescent="0.25">
      <c r="B543" s="298">
        <v>2697</v>
      </c>
      <c r="C543" s="298" t="s">
        <v>4056</v>
      </c>
      <c r="D543" s="298" t="s">
        <v>42</v>
      </c>
      <c r="E543" s="298" t="s">
        <v>4057</v>
      </c>
      <c r="F543" s="298" t="s">
        <v>3635</v>
      </c>
      <c r="G543" s="6">
        <v>6406.7796610169462</v>
      </c>
      <c r="H543" s="312">
        <v>42000</v>
      </c>
      <c r="I543" s="3" t="s">
        <v>4147</v>
      </c>
      <c r="J543" s="298" t="s">
        <v>113</v>
      </c>
      <c r="K543" s="285">
        <v>0</v>
      </c>
      <c r="O543" s="3"/>
      <c r="Q543"/>
    </row>
    <row r="544" spans="2:17" x14ac:dyDescent="0.25">
      <c r="B544" s="298">
        <v>2698</v>
      </c>
      <c r="C544" s="298" t="s">
        <v>4060</v>
      </c>
      <c r="D544" s="298" t="s">
        <v>42</v>
      </c>
      <c r="E544" s="298" t="s">
        <v>4058</v>
      </c>
      <c r="F544" s="298" t="s">
        <v>3635</v>
      </c>
      <c r="G544" s="6">
        <v>6406.7796610169462</v>
      </c>
      <c r="H544" s="312">
        <v>42000</v>
      </c>
      <c r="I544" s="3" t="s">
        <v>4147</v>
      </c>
      <c r="J544" s="298" t="s">
        <v>113</v>
      </c>
      <c r="K544" s="285">
        <v>0</v>
      </c>
      <c r="O544" s="3"/>
      <c r="Q544"/>
    </row>
    <row r="545" spans="2:17" x14ac:dyDescent="0.25">
      <c r="B545" s="298">
        <v>2677</v>
      </c>
      <c r="C545" s="298" t="s">
        <v>4026</v>
      </c>
      <c r="D545" s="298" t="s">
        <v>41</v>
      </c>
      <c r="E545" s="298" t="s">
        <v>4027</v>
      </c>
      <c r="F545" s="298" t="s">
        <v>3635</v>
      </c>
      <c r="G545" s="6">
        <v>185.09949152542367</v>
      </c>
      <c r="H545" s="312">
        <v>1213.43</v>
      </c>
      <c r="I545" s="3" t="s">
        <v>4147</v>
      </c>
      <c r="J545" s="298" t="s">
        <v>113</v>
      </c>
      <c r="K545" s="285">
        <v>45908</v>
      </c>
      <c r="O545" s="3"/>
      <c r="Q545"/>
    </row>
    <row r="546" spans="2:17" x14ac:dyDescent="0.25">
      <c r="B546" s="298">
        <v>2678</v>
      </c>
      <c r="C546" s="298" t="s">
        <v>4026</v>
      </c>
      <c r="D546" s="298" t="s">
        <v>41</v>
      </c>
      <c r="E546" s="298" t="s">
        <v>4028</v>
      </c>
      <c r="F546" s="298" t="s">
        <v>3635</v>
      </c>
      <c r="G546" s="6">
        <v>185.09949152542367</v>
      </c>
      <c r="H546" s="312">
        <v>1213.43</v>
      </c>
      <c r="I546" s="3" t="s">
        <v>4147</v>
      </c>
      <c r="J546" s="298" t="s">
        <v>113</v>
      </c>
      <c r="K546" s="285">
        <v>45908</v>
      </c>
      <c r="O546" s="3"/>
      <c r="Q546"/>
    </row>
    <row r="547" spans="2:17" x14ac:dyDescent="0.25">
      <c r="B547" s="298">
        <v>2679</v>
      </c>
      <c r="C547" s="298" t="s">
        <v>4026</v>
      </c>
      <c r="D547" s="298" t="s">
        <v>41</v>
      </c>
      <c r="E547" s="298" t="s">
        <v>4029</v>
      </c>
      <c r="F547" s="298" t="s">
        <v>3635</v>
      </c>
      <c r="G547" s="6">
        <v>157.89203389830504</v>
      </c>
      <c r="H547" s="312">
        <v>1035.07</v>
      </c>
      <c r="I547" s="3" t="s">
        <v>4147</v>
      </c>
      <c r="J547" s="298" t="s">
        <v>113</v>
      </c>
      <c r="K547" s="285">
        <v>45908</v>
      </c>
      <c r="O547" s="3"/>
      <c r="Q547"/>
    </row>
    <row r="548" spans="2:17" x14ac:dyDescent="0.25">
      <c r="B548" s="298">
        <v>2680</v>
      </c>
      <c r="C548" s="298" t="s">
        <v>4031</v>
      </c>
      <c r="D548" s="298" t="s">
        <v>41</v>
      </c>
      <c r="E548" s="298" t="s">
        <v>4030</v>
      </c>
      <c r="F548" s="298" t="s">
        <v>3635</v>
      </c>
      <c r="G548" s="6">
        <v>185.09949152542367</v>
      </c>
      <c r="H548" s="312">
        <v>1213.43</v>
      </c>
      <c r="I548" s="3" t="s">
        <v>4147</v>
      </c>
      <c r="J548" s="298" t="s">
        <v>113</v>
      </c>
      <c r="K548" s="285">
        <v>45908</v>
      </c>
      <c r="O548" s="3"/>
      <c r="Q548"/>
    </row>
    <row r="549" spans="2:17" x14ac:dyDescent="0.25">
      <c r="B549" s="298">
        <v>2318</v>
      </c>
      <c r="C549" s="298" t="s">
        <v>2935</v>
      </c>
      <c r="D549" s="298" t="s">
        <v>40</v>
      </c>
      <c r="E549" s="298" t="s">
        <v>2969</v>
      </c>
      <c r="F549" s="298" t="s">
        <v>90</v>
      </c>
      <c r="G549" s="6">
        <v>3050.8474576271183</v>
      </c>
      <c r="H549" s="312">
        <v>20000</v>
      </c>
      <c r="I549" s="3" t="s">
        <v>4146</v>
      </c>
      <c r="J549" s="298" t="s">
        <v>113</v>
      </c>
      <c r="K549" s="285">
        <v>45945</v>
      </c>
      <c r="O549" s="3"/>
      <c r="Q549"/>
    </row>
    <row r="550" spans="2:17" x14ac:dyDescent="0.25">
      <c r="B550" s="298">
        <v>1838</v>
      </c>
      <c r="C550" s="298" t="s">
        <v>1181</v>
      </c>
      <c r="D550" s="298" t="s">
        <v>4</v>
      </c>
      <c r="E550" s="298" t="s">
        <v>1152</v>
      </c>
      <c r="F550" s="298" t="s">
        <v>71</v>
      </c>
      <c r="G550" s="6">
        <v>305.08474576271169</v>
      </c>
      <c r="H550" s="312">
        <v>2000</v>
      </c>
      <c r="I550" s="3" t="s">
        <v>4146</v>
      </c>
      <c r="J550" s="298" t="s">
        <v>113</v>
      </c>
      <c r="K550" s="285">
        <v>0</v>
      </c>
      <c r="O550" s="3">
        <v>87</v>
      </c>
      <c r="Q550"/>
    </row>
    <row r="551" spans="2:17" x14ac:dyDescent="0.25">
      <c r="B551" s="298">
        <v>2303</v>
      </c>
      <c r="C551" s="298" t="s">
        <v>2920</v>
      </c>
      <c r="D551" s="298" t="s">
        <v>94</v>
      </c>
      <c r="E551" s="298" t="s">
        <v>2852</v>
      </c>
      <c r="F551" s="298" t="s">
        <v>106</v>
      </c>
      <c r="G551" s="6">
        <v>635.33898305084722</v>
      </c>
      <c r="H551" s="312">
        <v>4165</v>
      </c>
      <c r="I551" s="3" t="s">
        <v>4146</v>
      </c>
      <c r="J551" s="298" t="s">
        <v>113</v>
      </c>
      <c r="K551" s="285">
        <v>45896</v>
      </c>
      <c r="O551" s="3"/>
      <c r="Q551"/>
    </row>
    <row r="552" spans="2:17" x14ac:dyDescent="0.25">
      <c r="B552" s="298">
        <v>2365</v>
      </c>
      <c r="C552" s="298" t="s">
        <v>3102</v>
      </c>
      <c r="D552" s="298" t="s">
        <v>74</v>
      </c>
      <c r="E552" s="298" t="s">
        <v>3019</v>
      </c>
      <c r="F552" s="298" t="s">
        <v>106</v>
      </c>
      <c r="G552" s="6">
        <v>357.71186440677957</v>
      </c>
      <c r="H552" s="312">
        <v>2345</v>
      </c>
      <c r="I552" s="3" t="s">
        <v>4146</v>
      </c>
      <c r="J552" s="298" t="s">
        <v>18</v>
      </c>
      <c r="K552" s="285">
        <v>45896</v>
      </c>
      <c r="O552" s="3"/>
      <c r="Q552"/>
    </row>
    <row r="553" spans="2:17" x14ac:dyDescent="0.25">
      <c r="B553" s="298">
        <v>2682</v>
      </c>
      <c r="C553" s="298" t="s">
        <v>1526</v>
      </c>
      <c r="D553" s="298" t="s">
        <v>40</v>
      </c>
      <c r="E553" s="298" t="s">
        <v>4033</v>
      </c>
      <c r="F553" s="298" t="s">
        <v>90</v>
      </c>
      <c r="G553" s="6">
        <v>2801.7030508474563</v>
      </c>
      <c r="H553" s="312">
        <v>18366.72</v>
      </c>
      <c r="I553" s="3" t="s">
        <v>4147</v>
      </c>
      <c r="J553" s="298" t="s">
        <v>18</v>
      </c>
      <c r="K553" s="285">
        <v>45909</v>
      </c>
      <c r="O553" s="3"/>
      <c r="Q553"/>
    </row>
    <row r="554" spans="2:17" x14ac:dyDescent="0.25">
      <c r="B554" s="298">
        <v>2606</v>
      </c>
      <c r="C554" s="298" t="s">
        <v>2198</v>
      </c>
      <c r="D554" s="298" t="s">
        <v>50</v>
      </c>
      <c r="E554" s="298" t="s">
        <v>4040</v>
      </c>
      <c r="F554" s="298" t="s">
        <v>141</v>
      </c>
      <c r="G554" s="6">
        <v>3441.3559322033871</v>
      </c>
      <c r="H554" s="312">
        <v>22560</v>
      </c>
      <c r="I554" s="3" t="s">
        <v>4147</v>
      </c>
      <c r="J554" s="298" t="s">
        <v>113</v>
      </c>
      <c r="K554" s="285">
        <v>45926</v>
      </c>
      <c r="O554" s="3"/>
      <c r="Q554"/>
    </row>
    <row r="555" spans="2:17" x14ac:dyDescent="0.25">
      <c r="B555" s="298">
        <v>2636</v>
      </c>
      <c r="C555" s="298" t="s">
        <v>2198</v>
      </c>
      <c r="D555" s="298" t="s">
        <v>50</v>
      </c>
      <c r="E555" s="298" t="s">
        <v>3950</v>
      </c>
      <c r="F555" s="298" t="s">
        <v>141</v>
      </c>
      <c r="G555" s="6">
        <v>4479.1016949152545</v>
      </c>
      <c r="H555" s="312">
        <v>29363</v>
      </c>
      <c r="I555" s="3" t="s">
        <v>4147</v>
      </c>
      <c r="J555" s="298" t="s">
        <v>113</v>
      </c>
      <c r="K555" s="285">
        <v>45926</v>
      </c>
      <c r="O555" s="3"/>
      <c r="Q555"/>
    </row>
    <row r="556" spans="2:17" x14ac:dyDescent="0.25">
      <c r="B556" s="298">
        <v>2635</v>
      </c>
      <c r="C556" s="298" t="s">
        <v>2198</v>
      </c>
      <c r="D556" s="298" t="s">
        <v>50</v>
      </c>
      <c r="E556" s="298" t="s">
        <v>3949</v>
      </c>
      <c r="F556" s="298" t="s">
        <v>141</v>
      </c>
      <c r="G556" s="6">
        <v>3328.6271186440681</v>
      </c>
      <c r="H556" s="312">
        <v>21821</v>
      </c>
      <c r="I556" s="3" t="s">
        <v>4147</v>
      </c>
      <c r="J556" s="298" t="s">
        <v>113</v>
      </c>
      <c r="K556" s="285">
        <v>45926</v>
      </c>
      <c r="O556" s="3"/>
      <c r="Q556"/>
    </row>
    <row r="557" spans="2:17" x14ac:dyDescent="0.25">
      <c r="B557" s="298">
        <v>2638</v>
      </c>
      <c r="C557" s="298" t="s">
        <v>2198</v>
      </c>
      <c r="D557" s="298" t="s">
        <v>50</v>
      </c>
      <c r="E557" s="298" t="s">
        <v>3952</v>
      </c>
      <c r="F557" s="298" t="s">
        <v>141</v>
      </c>
      <c r="G557" s="6">
        <v>3327.7118644067777</v>
      </c>
      <c r="H557" s="312">
        <v>21815</v>
      </c>
      <c r="I557" s="3" t="s">
        <v>4147</v>
      </c>
      <c r="J557" s="298" t="s">
        <v>113</v>
      </c>
      <c r="K557" s="285">
        <v>45926</v>
      </c>
      <c r="O557" s="3"/>
      <c r="Q557"/>
    </row>
    <row r="558" spans="2:17" x14ac:dyDescent="0.25">
      <c r="B558" s="298">
        <v>2634</v>
      </c>
      <c r="C558" s="298" t="s">
        <v>2198</v>
      </c>
      <c r="D558" s="298" t="s">
        <v>50</v>
      </c>
      <c r="E558" s="298" t="s">
        <v>3948</v>
      </c>
      <c r="F558" s="298" t="s">
        <v>141</v>
      </c>
      <c r="G558" s="6">
        <v>3089.1355932203369</v>
      </c>
      <c r="H558" s="312">
        <v>20251</v>
      </c>
      <c r="I558" s="3" t="s">
        <v>4147</v>
      </c>
      <c r="J558" s="298" t="s">
        <v>113</v>
      </c>
      <c r="K558" s="285">
        <v>45926</v>
      </c>
      <c r="O558" s="3"/>
      <c r="Q558"/>
    </row>
    <row r="559" spans="2:17" x14ac:dyDescent="0.25">
      <c r="B559" s="298">
        <v>2620</v>
      </c>
      <c r="C559" s="298" t="s">
        <v>2198</v>
      </c>
      <c r="D559" s="298" t="s">
        <v>50</v>
      </c>
      <c r="E559" s="298" t="s">
        <v>3910</v>
      </c>
      <c r="F559" s="298" t="s">
        <v>141</v>
      </c>
      <c r="G559" s="6">
        <v>5442.7118644067777</v>
      </c>
      <c r="H559" s="312">
        <v>35680</v>
      </c>
      <c r="I559" s="3" t="s">
        <v>4147</v>
      </c>
      <c r="J559" s="298" t="s">
        <v>113</v>
      </c>
      <c r="K559" s="285">
        <v>45926</v>
      </c>
      <c r="O559" s="3"/>
      <c r="Q559"/>
    </row>
    <row r="560" spans="2:17" x14ac:dyDescent="0.25">
      <c r="B560" s="298">
        <v>2700</v>
      </c>
      <c r="C560" s="298" t="s">
        <v>3641</v>
      </c>
      <c r="D560" s="298" t="s">
        <v>45</v>
      </c>
      <c r="E560" s="298" t="s">
        <v>4065</v>
      </c>
      <c r="F560" s="298" t="s">
        <v>3635</v>
      </c>
      <c r="G560" s="6">
        <v>3432.203389830509</v>
      </c>
      <c r="H560" s="312">
        <v>22500</v>
      </c>
      <c r="I560" s="3" t="s">
        <v>4147</v>
      </c>
      <c r="J560" s="298" t="s">
        <v>113</v>
      </c>
      <c r="K560" s="285">
        <v>45910</v>
      </c>
      <c r="O560" s="3"/>
      <c r="Q560"/>
    </row>
    <row r="561" spans="2:17" x14ac:dyDescent="0.25">
      <c r="B561" s="298">
        <v>2701</v>
      </c>
      <c r="C561" s="298" t="s">
        <v>3641</v>
      </c>
      <c r="D561" s="298" t="s">
        <v>45</v>
      </c>
      <c r="E561" s="298" t="s">
        <v>4066</v>
      </c>
      <c r="F561" s="298" t="s">
        <v>3635</v>
      </c>
      <c r="G561" s="6">
        <v>991.52542372881362</v>
      </c>
      <c r="H561" s="312">
        <v>6500</v>
      </c>
      <c r="I561" s="3" t="s">
        <v>4147</v>
      </c>
      <c r="J561" s="298" t="s">
        <v>113</v>
      </c>
      <c r="K561" s="285">
        <v>45910</v>
      </c>
      <c r="O561" s="3"/>
      <c r="Q561"/>
    </row>
    <row r="562" spans="2:17" x14ac:dyDescent="0.25">
      <c r="B562" s="298">
        <v>2702</v>
      </c>
      <c r="C562" s="298" t="s">
        <v>3641</v>
      </c>
      <c r="D562" s="298" t="s">
        <v>45</v>
      </c>
      <c r="E562" s="298" t="s">
        <v>4067</v>
      </c>
      <c r="F562" s="298" t="s">
        <v>3635</v>
      </c>
      <c r="G562" s="6">
        <v>3432.203389830509</v>
      </c>
      <c r="H562" s="312">
        <v>22500</v>
      </c>
      <c r="I562" s="3" t="s">
        <v>4147</v>
      </c>
      <c r="J562" s="298" t="s">
        <v>113</v>
      </c>
      <c r="K562" s="285">
        <v>45910</v>
      </c>
      <c r="O562" s="3"/>
      <c r="Q562"/>
    </row>
    <row r="563" spans="2:17" x14ac:dyDescent="0.25">
      <c r="B563" s="298">
        <v>2671</v>
      </c>
      <c r="C563" s="298" t="s">
        <v>2198</v>
      </c>
      <c r="D563" s="298" t="s">
        <v>50</v>
      </c>
      <c r="E563" s="298" t="s">
        <v>4011</v>
      </c>
      <c r="F563" s="298" t="s">
        <v>141</v>
      </c>
      <c r="G563" s="6">
        <v>9152.5423728813548</v>
      </c>
      <c r="H563" s="312">
        <v>60000</v>
      </c>
      <c r="I563" s="3" t="s">
        <v>4147</v>
      </c>
      <c r="J563" s="298" t="s">
        <v>113</v>
      </c>
      <c r="K563" s="285">
        <v>0</v>
      </c>
      <c r="O563" s="3"/>
      <c r="Q563"/>
    </row>
    <row r="564" spans="2:17" x14ac:dyDescent="0.25">
      <c r="B564" s="298">
        <v>2670</v>
      </c>
      <c r="C564" s="298" t="s">
        <v>2198</v>
      </c>
      <c r="D564" s="298" t="s">
        <v>50</v>
      </c>
      <c r="E564" s="298" t="s">
        <v>4010</v>
      </c>
      <c r="F564" s="298" t="s">
        <v>141</v>
      </c>
      <c r="G564" s="6">
        <v>7169.4915254237276</v>
      </c>
      <c r="H564" s="312">
        <v>47000</v>
      </c>
      <c r="I564" s="3" t="s">
        <v>4147</v>
      </c>
      <c r="J564" s="298" t="s">
        <v>113</v>
      </c>
      <c r="K564" s="285">
        <v>0</v>
      </c>
      <c r="O564" s="3"/>
      <c r="Q564"/>
    </row>
    <row r="565" spans="2:17" x14ac:dyDescent="0.25">
      <c r="B565" s="298">
        <v>2675</v>
      </c>
      <c r="C565" s="298" t="s">
        <v>2198</v>
      </c>
      <c r="D565" s="298" t="s">
        <v>50</v>
      </c>
      <c r="E565" s="298" t="s">
        <v>4022</v>
      </c>
      <c r="F565" s="298" t="s">
        <v>141</v>
      </c>
      <c r="G565" s="6">
        <v>7932.203389830509</v>
      </c>
      <c r="H565" s="312">
        <v>52000</v>
      </c>
      <c r="I565" s="3" t="s">
        <v>4147</v>
      </c>
      <c r="J565" s="298" t="s">
        <v>113</v>
      </c>
      <c r="K565" s="285">
        <v>0</v>
      </c>
      <c r="O565" s="3"/>
      <c r="Q565"/>
    </row>
    <row r="566" spans="2:17" x14ac:dyDescent="0.25">
      <c r="B566" s="298">
        <v>980</v>
      </c>
      <c r="C566" s="298" t="s">
        <v>3559</v>
      </c>
      <c r="D566" s="298" t="s">
        <v>47</v>
      </c>
      <c r="E566" s="298" t="s">
        <v>3912</v>
      </c>
      <c r="F566" s="298" t="s">
        <v>115</v>
      </c>
      <c r="G566" s="6">
        <v>7381.3728813559283</v>
      </c>
      <c r="H566" s="312">
        <v>48389</v>
      </c>
      <c r="I566" s="3" t="s">
        <v>4147</v>
      </c>
      <c r="J566" s="298" t="s">
        <v>113</v>
      </c>
      <c r="K566" s="285">
        <v>45910</v>
      </c>
      <c r="O566" s="3"/>
      <c r="Q566"/>
    </row>
    <row r="567" spans="2:17" x14ac:dyDescent="0.25">
      <c r="B567" s="298">
        <v>2031</v>
      </c>
      <c r="C567" s="298" t="s">
        <v>1970</v>
      </c>
      <c r="D567" s="298" t="s">
        <v>91</v>
      </c>
      <c r="E567" s="298" t="s">
        <v>1969</v>
      </c>
      <c r="F567" s="298" t="s">
        <v>105</v>
      </c>
      <c r="G567" s="6">
        <v>76271.186440677964</v>
      </c>
      <c r="H567" s="312">
        <v>500000</v>
      </c>
      <c r="I567" s="3" t="s">
        <v>4147</v>
      </c>
      <c r="J567" s="298" t="s">
        <v>18</v>
      </c>
      <c r="K567" s="285">
        <v>0</v>
      </c>
      <c r="O567" s="3"/>
      <c r="Q567"/>
    </row>
    <row r="568" spans="2:17" x14ac:dyDescent="0.25">
      <c r="B568" s="298">
        <v>2703</v>
      </c>
      <c r="C568" s="298" t="s">
        <v>3636</v>
      </c>
      <c r="D568" s="298" t="s">
        <v>95</v>
      </c>
      <c r="E568" s="298" t="s">
        <v>4068</v>
      </c>
      <c r="F568" s="298" t="s">
        <v>3635</v>
      </c>
      <c r="G568" s="6">
        <v>3432.203389830509</v>
      </c>
      <c r="H568" s="312">
        <v>22500</v>
      </c>
      <c r="I568" s="3" t="s">
        <v>4147</v>
      </c>
      <c r="J568" s="298" t="s">
        <v>18</v>
      </c>
      <c r="K568" s="285">
        <v>45930</v>
      </c>
      <c r="O568" s="3"/>
      <c r="Q568"/>
    </row>
    <row r="569" spans="2:17" x14ac:dyDescent="0.25">
      <c r="B569" s="298">
        <v>2694</v>
      </c>
      <c r="C569" s="298" t="s">
        <v>4046</v>
      </c>
      <c r="D569" s="298" t="s">
        <v>30</v>
      </c>
      <c r="E569" s="298" t="s">
        <v>4048</v>
      </c>
      <c r="F569" s="298" t="s">
        <v>3635</v>
      </c>
      <c r="G569" s="6">
        <v>3183.4754237288143</v>
      </c>
      <c r="H569" s="312">
        <v>20869.450000000012</v>
      </c>
      <c r="I569" s="3" t="s">
        <v>4147</v>
      </c>
      <c r="J569" s="298" t="s">
        <v>113</v>
      </c>
      <c r="K569" s="285">
        <v>45912</v>
      </c>
      <c r="O569" s="3"/>
      <c r="Q569"/>
    </row>
    <row r="570" spans="2:17" x14ac:dyDescent="0.25">
      <c r="B570" s="298">
        <v>2697</v>
      </c>
      <c r="C570" s="298" t="s">
        <v>4056</v>
      </c>
      <c r="D570" s="298" t="s">
        <v>42</v>
      </c>
      <c r="E570" s="298" t="s">
        <v>4057</v>
      </c>
      <c r="F570" s="298" t="s">
        <v>3635</v>
      </c>
      <c r="G570" s="6">
        <v>656.35932203389848</v>
      </c>
      <c r="H570" s="312">
        <v>4302.8000000000029</v>
      </c>
      <c r="I570" s="3" t="s">
        <v>4147</v>
      </c>
      <c r="J570" s="298" t="s">
        <v>113</v>
      </c>
      <c r="K570" s="285">
        <v>45912</v>
      </c>
      <c r="O570" s="3"/>
      <c r="Q570"/>
    </row>
    <row r="571" spans="2:17" x14ac:dyDescent="0.25">
      <c r="B571" s="298">
        <v>2698</v>
      </c>
      <c r="C571" s="298" t="s">
        <v>4060</v>
      </c>
      <c r="D571" s="298" t="s">
        <v>42</v>
      </c>
      <c r="E571" s="298" t="s">
        <v>4058</v>
      </c>
      <c r="F571" s="298" t="s">
        <v>3635</v>
      </c>
      <c r="G571" s="6">
        <v>656.35932203389848</v>
      </c>
      <c r="H571" s="312">
        <v>4302.8000000000029</v>
      </c>
      <c r="I571" s="3" t="s">
        <v>4147</v>
      </c>
      <c r="J571" s="298" t="s">
        <v>113</v>
      </c>
      <c r="K571" s="285">
        <v>45912</v>
      </c>
      <c r="O571" s="3"/>
      <c r="Q571"/>
    </row>
    <row r="572" spans="2:17" x14ac:dyDescent="0.25">
      <c r="B572" s="298">
        <v>2695</v>
      </c>
      <c r="C572" s="298" t="s">
        <v>4051</v>
      </c>
      <c r="D572" s="298" t="s">
        <v>42</v>
      </c>
      <c r="E572" s="298" t="s">
        <v>4050</v>
      </c>
      <c r="F572" s="298" t="s">
        <v>3635</v>
      </c>
      <c r="G572" s="6">
        <v>423.03050847457644</v>
      </c>
      <c r="H572" s="312">
        <v>2773.2000000000007</v>
      </c>
      <c r="I572" s="3" t="s">
        <v>4147</v>
      </c>
      <c r="J572" s="298" t="s">
        <v>113</v>
      </c>
      <c r="K572" s="285">
        <v>45912</v>
      </c>
      <c r="O572" s="3"/>
      <c r="Q572"/>
    </row>
    <row r="573" spans="2:17" x14ac:dyDescent="0.25">
      <c r="B573" s="298">
        <v>2696</v>
      </c>
      <c r="C573" s="298" t="s">
        <v>4053</v>
      </c>
      <c r="D573" s="298" t="s">
        <v>42</v>
      </c>
      <c r="E573" s="298" t="s">
        <v>4054</v>
      </c>
      <c r="F573" s="298" t="s">
        <v>3635</v>
      </c>
      <c r="G573" s="6">
        <v>423.03050847457644</v>
      </c>
      <c r="H573" s="312">
        <v>2773.2000000000007</v>
      </c>
      <c r="I573" s="3" t="s">
        <v>4147</v>
      </c>
      <c r="J573" s="298" t="s">
        <v>113</v>
      </c>
      <c r="K573" s="285">
        <v>45912</v>
      </c>
      <c r="O573" s="3"/>
      <c r="Q573"/>
    </row>
    <row r="574" spans="2:17" x14ac:dyDescent="0.25">
      <c r="B574" s="298">
        <v>2031</v>
      </c>
      <c r="C574" s="298" t="s">
        <v>1970</v>
      </c>
      <c r="D574" s="298" t="s">
        <v>91</v>
      </c>
      <c r="E574" s="298" t="s">
        <v>1969</v>
      </c>
      <c r="F574" s="298" t="s">
        <v>105</v>
      </c>
      <c r="G574" s="6">
        <v>23839.509661016928</v>
      </c>
      <c r="H574" s="312">
        <v>156281.22999999998</v>
      </c>
      <c r="I574" s="3" t="s">
        <v>4147</v>
      </c>
      <c r="J574" s="298" t="s">
        <v>18</v>
      </c>
      <c r="K574" s="285">
        <v>45930</v>
      </c>
      <c r="O574" s="311"/>
      <c r="Q574"/>
    </row>
    <row r="575" spans="2:17" x14ac:dyDescent="0.25">
      <c r="B575" s="298">
        <v>2052</v>
      </c>
      <c r="C575" s="298" t="s">
        <v>3544</v>
      </c>
      <c r="D575" s="298" t="s">
        <v>91</v>
      </c>
      <c r="E575" s="298" t="s">
        <v>3793</v>
      </c>
      <c r="F575" s="298" t="s">
        <v>105</v>
      </c>
      <c r="G575" s="6">
        <v>577.83661016949145</v>
      </c>
      <c r="H575" s="312">
        <v>3788.04</v>
      </c>
      <c r="I575" s="3" t="s">
        <v>4147</v>
      </c>
      <c r="J575" s="298" t="s">
        <v>18</v>
      </c>
      <c r="K575" s="285">
        <v>45929</v>
      </c>
      <c r="O575" s="3"/>
      <c r="Q575"/>
    </row>
    <row r="576" spans="2:17" x14ac:dyDescent="0.25">
      <c r="B576" s="298">
        <v>2092</v>
      </c>
      <c r="C576" s="298" t="s">
        <v>2305</v>
      </c>
      <c r="D576" s="298" t="s">
        <v>4</v>
      </c>
      <c r="E576" s="298" t="s">
        <v>2285</v>
      </c>
      <c r="F576" s="298" t="s">
        <v>114</v>
      </c>
      <c r="G576" s="6">
        <v>15254.237288135584</v>
      </c>
      <c r="H576" s="312">
        <v>100000</v>
      </c>
      <c r="I576" s="3" t="s">
        <v>4147</v>
      </c>
      <c r="J576" s="298" t="s">
        <v>113</v>
      </c>
      <c r="K576" s="285">
        <v>0</v>
      </c>
      <c r="O576" s="3"/>
      <c r="Q576"/>
    </row>
    <row r="577" spans="2:17" x14ac:dyDescent="0.25">
      <c r="B577" s="298">
        <v>2080</v>
      </c>
      <c r="C577" s="298" t="s">
        <v>2255</v>
      </c>
      <c r="D577" s="298" t="s">
        <v>94</v>
      </c>
      <c r="E577" s="298" t="s">
        <v>2259</v>
      </c>
      <c r="F577" s="298" t="s">
        <v>114</v>
      </c>
      <c r="G577" s="6">
        <v>8389.8305084745734</v>
      </c>
      <c r="H577" s="312">
        <v>55000</v>
      </c>
      <c r="I577" s="3" t="s">
        <v>4147</v>
      </c>
      <c r="J577" s="298" t="s">
        <v>18</v>
      </c>
      <c r="K577" s="285">
        <v>45978</v>
      </c>
      <c r="O577" s="3"/>
      <c r="Q577"/>
    </row>
    <row r="578" spans="2:17" x14ac:dyDescent="0.25">
      <c r="B578" s="298">
        <v>2704</v>
      </c>
      <c r="C578" s="298" t="s">
        <v>3636</v>
      </c>
      <c r="D578" s="298" t="s">
        <v>96</v>
      </c>
      <c r="E578" s="298" t="s">
        <v>4069</v>
      </c>
      <c r="F578" s="298" t="s">
        <v>3635</v>
      </c>
      <c r="G578" s="6">
        <v>3432.203389830509</v>
      </c>
      <c r="H578" s="312">
        <v>22500</v>
      </c>
      <c r="I578" s="3" t="s">
        <v>4147</v>
      </c>
      <c r="J578" s="298" t="s">
        <v>18</v>
      </c>
      <c r="K578" s="285">
        <v>45930</v>
      </c>
      <c r="O578" s="3"/>
      <c r="Q578"/>
    </row>
    <row r="579" spans="2:17" x14ac:dyDescent="0.25">
      <c r="B579" s="298">
        <v>2705</v>
      </c>
      <c r="C579" s="298" t="str">
        <f>INDEX(ДВД!$BN$11:$BN$3497,MATCH($B579,ДВД!$A$11:$A$3497,0))</f>
        <v>SOG-GRP-241101-1/0 (1)</v>
      </c>
      <c r="D579" s="298" t="str">
        <f>INDEX(ДВД!$C$11:$C$3497,MATCH($B579,ДВД!$A$11:$A$3497,0))</f>
        <v>Кутаиси</v>
      </c>
      <c r="E579" s="298" t="str">
        <f>INDEX(ДВД!$D$11:$D$3497,MATCH($B579,ДВД!$A$11:$A$3497,0))</f>
        <v>ქ.ქუთაისი ჰერმან გმაირეის ქ. №4 რედუცირების კვანძი. (სარბევის კვანძი) (T-8) (P.6.1069)</v>
      </c>
      <c r="F579" s="298" t="str">
        <f>INDEX(ДВД!$E$11:$E$3497,MATCH($B579,ДВД!$A$11:$A$3497,0))</f>
        <v>Энерджи сервис</v>
      </c>
      <c r="G579" s="6">
        <f t="shared" ref="G579:G591" si="14">H579-H579/1.18</f>
        <v>43474.576271186437</v>
      </c>
      <c r="H579" s="312">
        <f>INDEX(ДВД!$AL$11:$AL$3497,MATCH($B579,ДВД!$A$11:$A$3497,0))</f>
        <v>285000</v>
      </c>
      <c r="I579" s="3" t="str">
        <f>IF(B579="","#N/A","ოქტომბერი")</f>
        <v>ოქტომბერი</v>
      </c>
      <c r="J579" s="298" t="str">
        <f>INDEX(ДВД!$BL$11:$BL$3497,MATCH($B579,ДВД!$A$11:$A$3497,0))</f>
        <v>Сакорггаз</v>
      </c>
      <c r="K579" s="285">
        <f>INDEX(ДВД!$BJ$11:$BJ$3497,MATCH($B579,ДВД!$A$11:$A$3497,0))</f>
        <v>0</v>
      </c>
      <c r="O579" s="3"/>
      <c r="Q579"/>
    </row>
    <row r="580" spans="2:17" x14ac:dyDescent="0.25">
      <c r="B580" s="298">
        <v>2094</v>
      </c>
      <c r="C580" s="298" t="str">
        <f>INDEX(ДВД!$BN$11:$BN$3497,MATCH($B580,ДВД!$A$11:$A$3497,0))</f>
        <v>BSG-240122-1/0(13)</v>
      </c>
      <c r="D580" s="298" t="str">
        <f>INDEX(ДВД!$C$11:$C$3497,MATCH($B580,ДВД!$A$11:$A$3497,0))</f>
        <v>Дедоплисцкаро</v>
      </c>
      <c r="E580" s="298" t="str">
        <f>INDEX(ДВД!$D$11:$D$3497,MATCH($B580,ДВД!$A$11:$A$3497,0))</f>
        <v>(13) სოფ. არბოშიკი-#20 საუბნო მრიცხველიდან კოტაანი და მაჩხაანის მიმართულება გაზსადენის რეაბილიტაცია P.2.542</v>
      </c>
      <c r="F580" s="298" t="str">
        <f>INDEX(ДВД!$E$11:$E$3497,MATCH($B580,ДВД!$A$11:$A$3497,0))</f>
        <v>Джорджия Газ Проджект</v>
      </c>
      <c r="G580" s="6">
        <f t="shared" si="14"/>
        <v>8690.6776271186391</v>
      </c>
      <c r="H580" s="312">
        <f>INDEX(ДВД!$AL$11:$AL$3497,MATCH($B580,ДВД!$A$11:$A$3497,0))</f>
        <v>56972.22</v>
      </c>
      <c r="I580" s="3" t="str">
        <f t="shared" ref="I580:I591" si="15">IF(B580="","#N/A","ოქტომბერი")</f>
        <v>ოქტომბერი</v>
      </c>
      <c r="J580" s="298" t="str">
        <f>INDEX(ДВД!$BL$11:$BL$3497,MATCH($B580,ДВД!$A$11:$A$3497,0))</f>
        <v>SGG</v>
      </c>
      <c r="K580" s="285">
        <f>INDEX(ДВД!$BJ$11:$BJ$3497,MATCH($B580,ДВД!$A$11:$A$3497,0))</f>
        <v>45946</v>
      </c>
      <c r="O580" s="3"/>
      <c r="Q580"/>
    </row>
    <row r="581" spans="2:17" x14ac:dyDescent="0.25">
      <c r="B581" s="298">
        <v>2304</v>
      </c>
      <c r="C581" s="298" t="str">
        <f>INDEX(ДВД!$BN$11:$BN$3497,MATCH($B581,ДВД!$A$11:$A$3497,0))</f>
        <v>BSG-240109-1/0(24)</v>
      </c>
      <c r="D581" s="298" t="str">
        <f>INDEX(ДВД!$C$11:$C$3497,MATCH($B581,ДВД!$A$11:$A$3497,0))</f>
        <v>Гори</v>
      </c>
      <c r="E581" s="298" t="str">
        <f>INDEX(ДВД!$D$11:$D$3497,MATCH($B581,ДВД!$A$11:$A$3497,0))</f>
        <v>(24) ვარიანის გრს ზე არსებული სოფელ ფხვენისის გაზსადენის რეაბილიტაცია (P.3.707)</v>
      </c>
      <c r="F581" s="298" t="str">
        <f>INDEX(ДВД!$E$11:$E$3497,MATCH($B581,ДВД!$A$11:$A$3497,0))</f>
        <v>Газ Констракт</v>
      </c>
      <c r="G581" s="6">
        <f t="shared" si="14"/>
        <v>9610.1694915254193</v>
      </c>
      <c r="H581" s="312">
        <f>INDEX(ДВД!$AL$11:$AL$3497,MATCH($B581,ДВД!$A$11:$A$3497,0))-5079.54</f>
        <v>62999.999999999993</v>
      </c>
      <c r="I581" s="3" t="str">
        <f t="shared" si="15"/>
        <v>ოქტომბერი</v>
      </c>
      <c r="J581" s="298" t="str">
        <f>INDEX(ДВД!$BL$11:$BL$3497,MATCH($B581,ДВД!$A$11:$A$3497,0))</f>
        <v>SGG</v>
      </c>
      <c r="K581" s="285">
        <f>INDEX(ДВД!$BJ$11:$BJ$3497,MATCH($B581,ДВД!$A$11:$A$3497,0))</f>
        <v>45945</v>
      </c>
      <c r="O581" s="3"/>
      <c r="Q581"/>
    </row>
    <row r="582" spans="2:17" x14ac:dyDescent="0.25">
      <c r="B582" s="298">
        <v>2330</v>
      </c>
      <c r="C582" s="298" t="str">
        <f>INDEX(ДВД!$BN$11:$BN$3497,MATCH($B582,ДВД!$A$11:$A$3497,0))</f>
        <v>BSG-240109-1/0(50)</v>
      </c>
      <c r="D582" s="298" t="str">
        <f>INDEX(ДВД!$C$11:$C$3497,MATCH($B582,ДВД!$A$11:$A$3497,0))</f>
        <v>Мцхета</v>
      </c>
      <c r="E582" s="298" t="str">
        <f>INDEX(ДВД!$D$11:$D$3497,MATCH($B582,ДВД!$A$11:$A$3497,0))</f>
        <v>(50) ქ. მცხეთა საშუალო წნევის ამორტიზირებული გაზსადენის რეაბილიტაცია რუსთაველის ქუჩა (P.3.111)</v>
      </c>
      <c r="F582" s="298" t="str">
        <f>INDEX(ДВД!$E$11:$E$3497,MATCH($B582,ДВД!$A$11:$A$3497,0))</f>
        <v>Газ Констракт</v>
      </c>
      <c r="G582" s="6">
        <f t="shared" si="14"/>
        <v>3508.4745762711864</v>
      </c>
      <c r="H582" s="312">
        <f>INDEX(ДВД!$AL$11:$AL$3497,MATCH($B582,ДВД!$A$11:$A$3497,0))-2546.33</f>
        <v>23000</v>
      </c>
      <c r="I582" s="3" t="str">
        <f t="shared" si="15"/>
        <v>ოქტომბერი</v>
      </c>
      <c r="J582" s="298" t="str">
        <f>INDEX(ДВД!$BL$11:$BL$3497,MATCH($B582,ДВД!$A$11:$A$3497,0))</f>
        <v>SGG</v>
      </c>
      <c r="K582" s="285">
        <f>INDEX(ДВД!$BJ$11:$BJ$3497,MATCH($B582,ДВД!$A$11:$A$3497,0))</f>
        <v>45945</v>
      </c>
      <c r="O582" s="3"/>
      <c r="Q582"/>
    </row>
    <row r="583" spans="2:17" x14ac:dyDescent="0.25">
      <c r="B583" s="298">
        <v>2366</v>
      </c>
      <c r="C583" s="298" t="str">
        <f>INDEX(ДВД!$BN$11:$BN$3497,MATCH($B583,ДВД!$A$11:$A$3497,0))</f>
        <v>BCG-240109-1/0(16)</v>
      </c>
      <c r="D583" s="298" t="str">
        <f>INDEX(ДВД!$C$11:$C$3497,MATCH($B583,ДВД!$A$11:$A$3497,0))</f>
        <v>Каспи</v>
      </c>
      <c r="E583" s="298" t="str">
        <f>INDEX(ДВД!$D$11:$D$3497,MATCH($B583,ДВД!$A$11:$A$3497,0))</f>
        <v>(16) ცხრა ძმის ქუჩაზე გაზსადენის რეაბილიტაცია (P.3.849)</v>
      </c>
      <c r="F583" s="298" t="str">
        <f>INDEX(ДВД!$E$11:$E$3497,MATCH($B583,ДВД!$A$11:$A$3497,0))</f>
        <v>Газ Констракт</v>
      </c>
      <c r="G583" s="6">
        <f t="shared" si="14"/>
        <v>2593.2203389830502</v>
      </c>
      <c r="H583" s="312">
        <f>INDEX(ДВД!$AL$11:$AL$3497,MATCH($B583,ДВД!$A$11:$A$3497,0))</f>
        <v>17000</v>
      </c>
      <c r="I583" s="3" t="str">
        <f t="shared" si="15"/>
        <v>ოქტომბერი</v>
      </c>
      <c r="J583" s="298" t="str">
        <f>INDEX(ДВД!$BL$11:$BL$3497,MATCH($B583,ДВД!$A$11:$A$3497,0))</f>
        <v>Сакорггаз</v>
      </c>
      <c r="K583" s="285">
        <f>INDEX(ДВД!$BJ$11:$BJ$3497,MATCH($B583,ДВД!$A$11:$A$3497,0))</f>
        <v>0</v>
      </c>
      <c r="O583" s="3"/>
      <c r="Q583"/>
    </row>
    <row r="584" spans="2:17" x14ac:dyDescent="0.25">
      <c r="B584" s="298">
        <v>1838</v>
      </c>
      <c r="C584" s="298" t="str">
        <f>INDEX(ДВД!$BN$11:$BN$3497,MATCH($B584,ДВД!$A$11:$A$3497,0))</f>
        <v>BSG-230109-1/0(12)</v>
      </c>
      <c r="D584" s="298" t="str">
        <f>INDEX(ДВД!$C$11:$C$3497,MATCH($B584,ДВД!$A$11:$A$3497,0))</f>
        <v>Гардабани</v>
      </c>
      <c r="E584" s="298" t="str">
        <f>INDEX(ДВД!$D$11:$D$3497,MATCH($B584,ДВД!$A$11:$A$3497,0))</f>
        <v>(12) გარდაბანი, სოფ. ნორიოში მიწისქვეშა გადასვლების რეაბილიტაცია და მრიცხველების გამოტანა,შეცვლა. P.2.845</v>
      </c>
      <c r="F584" s="298" t="str">
        <f>INDEX(ДВД!$E$11:$E$3497,MATCH($B584,ДВД!$A$11:$A$3497,0))</f>
        <v>Интерсервис 2011</v>
      </c>
      <c r="G584" s="6">
        <f t="shared" si="14"/>
        <v>762.71186440677957</v>
      </c>
      <c r="H584" s="312">
        <f>INDEX(ДВД!$AJ$11:$AJ$3497,MATCH($B584,ДВД!$A$11:$A$3497,0))</f>
        <v>5000</v>
      </c>
      <c r="I584" s="3" t="str">
        <f t="shared" ref="I584" si="16">IF(B584="","#N/A","სექტემბერი")</f>
        <v>სექტემბერი</v>
      </c>
      <c r="J584" s="298" t="str">
        <f>INDEX(ДВД!$BL$11:$BL$3497,MATCH($B584,ДВД!$A$11:$A$3497,0))</f>
        <v>SGG</v>
      </c>
      <c r="K584" s="285">
        <f>INDEX(ДВД!$BJ$11:$BJ$3497,MATCH($B584,ДВД!$A$11:$A$3497,0))</f>
        <v>0</v>
      </c>
      <c r="O584" s="3"/>
      <c r="Q584"/>
    </row>
    <row r="585" spans="2:17" x14ac:dyDescent="0.25">
      <c r="B585" s="298">
        <v>2304</v>
      </c>
      <c r="C585" s="298" t="str">
        <f>INDEX(ДВД!$BN$11:$BN$3497,MATCH($B585,ДВД!$A$11:$A$3497,0))</f>
        <v>BSG-240109-1/0(24)</v>
      </c>
      <c r="D585" s="298" t="str">
        <f>INDEX(ДВД!$C$11:$C$3497,MATCH($B585,ДВД!$A$11:$A$3497,0))</f>
        <v>Гори</v>
      </c>
      <c r="E585" s="298" t="str">
        <f>INDEX(ДВД!$D$11:$D$3497,MATCH($B585,ДВД!$A$11:$A$3497,0))</f>
        <v>(24) ვარიანის გრს ზე არსებული სოფელ ფხვენისის გაზსადენის რეაბილიტაცია (P.3.707)</v>
      </c>
      <c r="F585" s="298" t="str">
        <f>INDEX(ДВД!$E$11:$E$3497,MATCH($B585,ДВД!$A$11:$A$3497,0))</f>
        <v>Газ Констракт</v>
      </c>
      <c r="G585" s="6">
        <f t="shared" si="14"/>
        <v>774.8450847457616</v>
      </c>
      <c r="H585" s="312">
        <f>INDEX(ДВД!$AL$11:$AL$3497,MATCH($B585,ДВД!$A$11:$A$3497,0))-63000</f>
        <v>5079.5399999999936</v>
      </c>
      <c r="I585" s="3" t="str">
        <f t="shared" si="15"/>
        <v>ოქტომბერი</v>
      </c>
      <c r="J585" s="298" t="str">
        <f>INDEX(ДВД!$BL$11:$BL$3497,MATCH($B585,ДВД!$A$11:$A$3497,0))</f>
        <v>SGG</v>
      </c>
      <c r="K585" s="285">
        <f>INDEX(ДВД!$BJ$11:$BJ$3497,MATCH($B585,ДВД!$A$11:$A$3497,0))</f>
        <v>45945</v>
      </c>
      <c r="O585" s="3"/>
      <c r="Q585"/>
    </row>
    <row r="586" spans="2:17" x14ac:dyDescent="0.25">
      <c r="B586" s="298">
        <v>2318</v>
      </c>
      <c r="C586" s="298" t="str">
        <f>INDEX(ДВД!$BN$11:$BN$3497,MATCH($B586,ДВД!$A$11:$A$3497,0))</f>
        <v>BSG-240109-1/0(38)</v>
      </c>
      <c r="D586" s="298" t="str">
        <f>INDEX(ДВД!$C$11:$C$3497,MATCH($B586,ДВД!$A$11:$A$3497,0))</f>
        <v>Мцхета</v>
      </c>
      <c r="E586" s="298" t="str">
        <f>INDEX(ДВД!$D$11:$D$3497,MATCH($B586,ДВД!$A$11:$A$3497,0))</f>
        <v>(38) სოფელ ქსოვრისში ქსელის რეაბილიტაცია (P.3.949)</v>
      </c>
      <c r="F586" s="298" t="str">
        <f>INDEX(ДВД!$E$11:$E$3497,MATCH($B586,ДВД!$A$11:$A$3497,0))</f>
        <v>Газ Констракт</v>
      </c>
      <c r="G586" s="6">
        <f t="shared" si="14"/>
        <v>702.12966101694883</v>
      </c>
      <c r="H586" s="312">
        <f>INDEX(ДВД!$AL$11:$AL$3497,MATCH($B586,ДВД!$A$11:$A$3497,0))</f>
        <v>4602.8500000000004</v>
      </c>
      <c r="I586" s="3" t="str">
        <f t="shared" si="15"/>
        <v>ოქტომბერი</v>
      </c>
      <c r="J586" s="298" t="str">
        <f>INDEX(ДВД!$BL$11:$BL$3497,MATCH($B586,ДВД!$A$11:$A$3497,0))</f>
        <v>SGG</v>
      </c>
      <c r="K586" s="285">
        <f>INDEX(ДВД!$BJ$11:$BJ$3497,MATCH($B586,ДВД!$A$11:$A$3497,0))</f>
        <v>45945</v>
      </c>
      <c r="O586" s="3"/>
      <c r="Q586"/>
    </row>
    <row r="587" spans="2:17" x14ac:dyDescent="0.25">
      <c r="B587" s="298">
        <v>2330</v>
      </c>
      <c r="C587" s="298" t="str">
        <f>INDEX(ДВД!$BN$11:$BN$3497,MATCH($B587,ДВД!$A$11:$A$3497,0))</f>
        <v>BSG-240109-1/0(50)</v>
      </c>
      <c r="D587" s="298" t="str">
        <f>INDEX(ДВД!$C$11:$C$3497,MATCH($B587,ДВД!$A$11:$A$3497,0))</f>
        <v>Мцхета</v>
      </c>
      <c r="E587" s="298" t="str">
        <f>INDEX(ДВД!$D$11:$D$3497,MATCH($B587,ДВД!$A$11:$A$3497,0))</f>
        <v>(50) ქ. მცხეთა საშუალო წნევის ამორტიზირებული გაზსადენის რეაბილიტაცია რუსთაველის ქუჩა (P.3.111)</v>
      </c>
      <c r="F587" s="298" t="str">
        <f>INDEX(ДВД!$E$11:$E$3497,MATCH($B587,ДВД!$A$11:$A$3497,0))</f>
        <v>Газ Констракт</v>
      </c>
      <c r="G587" s="6">
        <f t="shared" si="14"/>
        <v>388.42322033898336</v>
      </c>
      <c r="H587" s="312">
        <f>INDEX(ДВД!$AL$11:$AL$3497,MATCH($B587,ДВД!$A$11:$A$3497,0))-23000</f>
        <v>2546.3300000000017</v>
      </c>
      <c r="I587" s="3" t="str">
        <f t="shared" si="15"/>
        <v>ოქტომბერი</v>
      </c>
      <c r="J587" s="298" t="str">
        <f>INDEX(ДВД!$BL$11:$BL$3497,MATCH($B587,ДВД!$A$11:$A$3497,0))</f>
        <v>SGG</v>
      </c>
      <c r="K587" s="285">
        <f>INDEX(ДВД!$BJ$11:$BJ$3497,MATCH($B587,ДВД!$A$11:$A$3497,0))</f>
        <v>45945</v>
      </c>
      <c r="O587" s="3"/>
      <c r="Q587"/>
    </row>
    <row r="588" spans="2:17" x14ac:dyDescent="0.25">
      <c r="B588" s="298">
        <v>2530</v>
      </c>
      <c r="C588" s="298" t="str">
        <f>INDEX(ДВД!$BN$11:$BN$3497,MATCH($B588,ДВД!$A$11:$A$3497,0))</f>
        <v>SOG-2022/10/30</v>
      </c>
      <c r="D588" s="298" t="str">
        <f>INDEX(ДВД!$C$11:$C$3497,MATCH($B588,ДВД!$A$11:$A$3497,0))</f>
        <v>Борджоми</v>
      </c>
      <c r="E588" s="298" t="str">
        <f>INDEX(ДВД!$D$11:$D$3497,MATCH($B588,ДВД!$A$11:$A$3497,0))</f>
        <v>ბორჯომის სერვის-ცენტრის ოფისის რემონტი</v>
      </c>
      <c r="F588" s="298" t="str">
        <f>INDEX(ДВД!$E$11:$E$3497,MATCH($B588,ДВД!$A$11:$A$3497,0))</f>
        <v>Газ Констракт</v>
      </c>
      <c r="G588" s="6">
        <f t="shared" si="14"/>
        <v>184.26050847457623</v>
      </c>
      <c r="H588" s="312">
        <f>INDEX(ДВД!$AL$11:$AL$3497,MATCH($B588,ДВД!$A$11:$A$3497,0))</f>
        <v>1207.93</v>
      </c>
      <c r="I588" s="3" t="str">
        <f t="shared" si="15"/>
        <v>ოქტომბერი</v>
      </c>
      <c r="J588" s="298" t="str">
        <f>INDEX(ДВД!$BL$11:$BL$3497,MATCH($B588,ДВД!$A$11:$A$3497,0))</f>
        <v>Сакорггаз</v>
      </c>
      <c r="K588" s="285">
        <f>INDEX(ДВД!$BJ$11:$BJ$3497,MATCH($B588,ДВД!$A$11:$A$3497,0))</f>
        <v>45937</v>
      </c>
      <c r="O588" s="3"/>
      <c r="Q588"/>
    </row>
    <row r="589" spans="2:17" x14ac:dyDescent="0.25">
      <c r="B589" s="298">
        <v>2298</v>
      </c>
      <c r="C589" s="298" t="str">
        <f>INDEX(ДВД!$BN$11:$BN$3497,MATCH($B589,ДВД!$A$11:$A$3497,0))</f>
        <v>BSG-240109-1/0(18)</v>
      </c>
      <c r="D589" s="298" t="str">
        <f>INDEX(ДВД!$C$11:$C$3497,MATCH($B589,ДВД!$A$11:$A$3497,0))</f>
        <v>Мцхета</v>
      </c>
      <c r="E589" s="298" t="str">
        <f>INDEX(ДВД!$D$11:$D$3497,MATCH($B589,ДВД!$A$11:$A$3497,0))</f>
        <v>(18) სოფელ ჯიღაურაში არსებული შიდა ქსელის რეაბილიტაცია და გამსხვილება (P.3.699)</v>
      </c>
      <c r="F589" s="298" t="str">
        <f>INDEX(ДВД!$E$11:$E$3497,MATCH($B589,ДВД!$A$11:$A$3497,0))</f>
        <v>Газ Констракт</v>
      </c>
      <c r="G589" s="6">
        <f t="shared" si="14"/>
        <v>15254.237288135584</v>
      </c>
      <c r="H589" s="312">
        <f>INDEX(ДВД!$AL$11:$AL$3497,MATCH($B589,ДВД!$A$11:$A$3497,0))</f>
        <v>100000</v>
      </c>
      <c r="I589" s="3" t="str">
        <f t="shared" si="15"/>
        <v>ოქტომბერი</v>
      </c>
      <c r="J589" s="298" t="str">
        <f>INDEX(ДВД!$BL$11:$BL$3497,MATCH($B589,ДВД!$A$11:$A$3497,0))</f>
        <v>SGG</v>
      </c>
      <c r="K589" s="285">
        <f>INDEX(ДВД!$BJ$11:$BJ$3497,MATCH($B589,ДВД!$A$11:$A$3497,0))</f>
        <v>0</v>
      </c>
      <c r="O589" s="3"/>
      <c r="Q589"/>
    </row>
    <row r="590" spans="2:17" x14ac:dyDescent="0.25">
      <c r="B590" s="298">
        <v>2324</v>
      </c>
      <c r="C590" s="298" t="str">
        <f>INDEX(ДВД!$BN$11:$BN$3497,MATCH($B590,ДВД!$A$11:$A$3497,0))</f>
        <v>BSG-240109-1/0(44)</v>
      </c>
      <c r="D590" s="298" t="str">
        <f>INDEX(ДВД!$C$11:$C$3497,MATCH($B590,ДВД!$A$11:$A$3497,0))</f>
        <v>Карели</v>
      </c>
      <c r="E590" s="298" t="str">
        <f>INDEX(ДВД!$D$11:$D$3497,MATCH($B590,ДВД!$A$11:$A$3497,0))</f>
        <v>(44) დაბა აგარაში ჩოლოყაშვილის და მესხის ქუჩებზე და ქარელში ცაბაძის და რუხაძის ქუჩებზე არსებულ კორპუსებში მრიცხველების ჩამოწევა (P.3.145)</v>
      </c>
      <c r="F590" s="298" t="str">
        <f>INDEX(ДВД!$E$11:$E$3497,MATCH($B590,ДВД!$A$11:$A$3497,0))</f>
        <v>Газ Констракт</v>
      </c>
      <c r="G590" s="6">
        <f t="shared" si="14"/>
        <v>15254.237288135584</v>
      </c>
      <c r="H590" s="312">
        <f>INDEX(ДВД!$AL$11:$AL$3497,MATCH($B590,ДВД!$A$11:$A$3497,0))</f>
        <v>100000</v>
      </c>
      <c r="I590" s="3" t="str">
        <f t="shared" si="15"/>
        <v>ოქტომბერი</v>
      </c>
      <c r="J590" s="298" t="str">
        <f>INDEX(ДВД!$BL$11:$BL$3497,MATCH($B590,ДВД!$A$11:$A$3497,0))</f>
        <v>SGG</v>
      </c>
      <c r="K590" s="285">
        <f>INDEX(ДВД!$BJ$11:$BJ$3497,MATCH($B590,ДВД!$A$11:$A$3497,0))</f>
        <v>0</v>
      </c>
      <c r="O590" s="3"/>
      <c r="Q590"/>
    </row>
    <row r="591" spans="2:17" x14ac:dyDescent="0.25">
      <c r="B591" s="298">
        <v>1948</v>
      </c>
      <c r="C591" s="298" t="str">
        <f>INDEX(ДВД!$BN$11:$BN$3497,MATCH($B591,ДВД!$A$11:$A$3497,0))</f>
        <v>BSG-230105-1/0(53)</v>
      </c>
      <c r="D591" s="298" t="str">
        <f>INDEX(ДВД!$C$11:$C$3497,MATCH($B591,ДВД!$A$11:$A$3497,0))</f>
        <v>Мцхета</v>
      </c>
      <c r="E591" s="298" t="str">
        <f>INDEX(ДВД!$D$11:$D$3497,MATCH($B591,ДВД!$A$11:$A$3497,0))</f>
        <v>(53) ქ. მცხეთაში - საგურამოს, საგურამოს ილიას უბანის,ბიწმენდის, გალავანის, წინამძღვრიანთკარის, ჯიღაურასა და წეროვნის ინსტიტუტის დასახლებაში მრიცხველების შეცვლა-გამოტანა. (II ეტაპი) P.3.78</v>
      </c>
      <c r="F591" s="298" t="str">
        <f>INDEX(ДВД!$E$11:$E$3497,MATCH($B591,ДВД!$A$11:$A$3497,0))</f>
        <v>Газ Констракт</v>
      </c>
      <c r="G591" s="6">
        <f t="shared" si="14"/>
        <v>22881.355932203383</v>
      </c>
      <c r="H591" s="312">
        <f>INDEX(ДВД!$AL$11:$AL$3497,MATCH($B591,ДВД!$A$11:$A$3497,0))</f>
        <v>150000</v>
      </c>
      <c r="I591" s="3" t="str">
        <f t="shared" si="15"/>
        <v>ოქტომბერი</v>
      </c>
      <c r="J591" s="298" t="str">
        <f>INDEX(ДВД!$BL$11:$BL$3497,MATCH($B591,ДВД!$A$11:$A$3497,0))</f>
        <v>SGG</v>
      </c>
      <c r="K591" s="285">
        <f>INDEX(ДВД!$BJ$11:$BJ$3497,MATCH($B591,ДВД!$A$11:$A$3497,0))</f>
        <v>0</v>
      </c>
      <c r="O591" s="3"/>
      <c r="Q591"/>
    </row>
    <row r="592" spans="2:17" x14ac:dyDescent="0.25">
      <c r="B592" s="298">
        <v>2164</v>
      </c>
      <c r="C592" s="298" t="str">
        <f>INDEX(ДВД!$BN$11:$BN$3497,MATCH($B592,ДВД!$A$11:$A$3497,0))</f>
        <v>BCG-240110-1/0(18)</v>
      </c>
      <c r="D592" s="298" t="str">
        <f>INDEX(ДВД!$C$11:$C$3497,MATCH($B592,ДВД!$A$11:$A$3497,0))</f>
        <v>Кутаиси</v>
      </c>
      <c r="E592" s="298" t="str">
        <f>INDEX(ДВД!$D$11:$D$3497,MATCH($B592,ДВД!$A$11:$A$3497,0))</f>
        <v>(18) ფარნავას მეფის, გიორგი ბრწყინვალეს, პავლე ინგოროყვას, მესხიშვილის, ნუცუბიძის და ჯანელიძის ქუჩების დაბალი წნევის გაზსადენის რეაბილიტაცია P.6.85</v>
      </c>
      <c r="F592" s="298" t="str">
        <f>INDEX(ДВД!$E$11:$E$3497,MATCH($B592,ДВД!$A$11:$A$3497,0))</f>
        <v>Газсервис</v>
      </c>
      <c r="G592" s="6">
        <f t="shared" ref="G592:G601" si="17">H592-H592/1.18</f>
        <v>1830.5084745762706</v>
      </c>
      <c r="H592" s="312">
        <f>INDEX(ДВД!$AL$11:$AL$3497,MATCH($B592,ДВД!$A$11:$A$3497,0))</f>
        <v>12000</v>
      </c>
      <c r="I592" s="3" t="str">
        <f t="shared" ref="I592:I601" si="18">IF(B592="","#N/A","ოქტომბერი")</f>
        <v>ოქტომბერი</v>
      </c>
      <c r="J592" s="298" t="str">
        <f>INDEX(ДВД!$BL$11:$BL$3497,MATCH($B592,ДВД!$A$11:$A$3497,0))</f>
        <v>Сакорггаз</v>
      </c>
      <c r="K592" s="285">
        <f>INDEX(ДВД!$BJ$11:$BJ$3497,MATCH($B592,ДВД!$A$11:$A$3497,0))</f>
        <v>0</v>
      </c>
      <c r="O592" s="3"/>
      <c r="Q592"/>
    </row>
    <row r="593" spans="2:17" x14ac:dyDescent="0.25">
      <c r="B593" s="298">
        <v>2706</v>
      </c>
      <c r="C593" s="298" t="str">
        <f>INDEX(ДВД!$BN$11:$BN$3497,MATCH($B593,ДВД!$A$11:$A$3497,0))</f>
        <v>BCG-250902-1/0 (1)</v>
      </c>
      <c r="D593" s="298" t="str">
        <f>INDEX(ДВД!$C$11:$C$3497,MATCH($B593,ДВД!$A$11:$A$3497,0))</f>
        <v>Кутаиси</v>
      </c>
      <c r="E593" s="298" t="str">
        <f>INDEX(ДВД!$D$11:$D$3497,MATCH($B593,ДВД!$A$11:$A$3497,0))</f>
        <v>ქუთაისში №43 და №77 საუბნოებზე ყაუხჩიშვილის, სარაჯიშვილის, ჩეჩელაშვილის, გალაევი-ნიჟარაძის, ხანძთელის, ჭიათურის და ავალიანის ქუჩებზე გაზსადენის ჩანაცვლების პროექტირება.</v>
      </c>
      <c r="F593" s="298" t="str">
        <f>INDEX(ДВД!$E$11:$E$3497,MATCH($B593,ДВД!$A$11:$A$3497,0))</f>
        <v>(Пр)-Газсервис</v>
      </c>
      <c r="G593" s="6">
        <f t="shared" si="17"/>
        <v>830.21186440677957</v>
      </c>
      <c r="H593" s="312">
        <f>INDEX(ДВД!$AL$11:$AL$3497,MATCH($B593,ДВД!$A$11:$A$3497,0))</f>
        <v>5442.5</v>
      </c>
      <c r="I593" s="3" t="str">
        <f t="shared" si="18"/>
        <v>ოქტომბერი</v>
      </c>
      <c r="J593" s="298" t="str">
        <f>INDEX(ДВД!$BL$11:$BL$3497,MATCH($B593,ДВД!$A$11:$A$3497,0))</f>
        <v>Сакорггаз</v>
      </c>
      <c r="K593" s="285">
        <f>INDEX(ДВД!$BJ$11:$BJ$3497,MATCH($B593,ДВД!$A$11:$A$3497,0))</f>
        <v>45931</v>
      </c>
      <c r="O593" s="3"/>
      <c r="Q593"/>
    </row>
    <row r="594" spans="2:17" x14ac:dyDescent="0.25">
      <c r="B594" s="298">
        <v>2707</v>
      </c>
      <c r="C594" s="298" t="str">
        <f>INDEX(ДВД!$BN$11:$BN$3497,MATCH($B594,ДВД!$A$11:$A$3497,0))</f>
        <v>BCG-250902-1/0 (2)</v>
      </c>
      <c r="D594" s="298" t="str">
        <f>INDEX(ДВД!$C$11:$C$3497,MATCH($B594,ДВД!$A$11:$A$3497,0))</f>
        <v>Кутаиси</v>
      </c>
      <c r="E594" s="298" t="str">
        <f>INDEX(ДВД!$D$11:$D$3497,MATCH($B594,ДВД!$A$11:$A$3497,0))</f>
        <v>ქუთაისში №43 და №77 საუბნოებზე ყაუხჩიშვილის, სარაჯიშვილის, ჩეჩელაშვილის, გალაევი-ნიჟარაძის, ხანძთელის, ჭიათურის და ავალიანის ქუჩებზე გაზსადენის ჩანაცვლების მშენებლობა.</v>
      </c>
      <c r="F594" s="298" t="str">
        <f>INDEX(ДВД!$E$11:$E$3497,MATCH($B594,ДВД!$A$11:$A$3497,0))</f>
        <v>Газсервис</v>
      </c>
      <c r="G594" s="6">
        <f t="shared" si="17"/>
        <v>640.67796610169489</v>
      </c>
      <c r="H594" s="312">
        <f>INDEX(ДВД!$AL$11:$AL$3497,MATCH($B594,ДВД!$A$11:$A$3497,0))</f>
        <v>4200</v>
      </c>
      <c r="I594" s="3" t="str">
        <f t="shared" si="18"/>
        <v>ოქტომბერი</v>
      </c>
      <c r="J594" s="298" t="str">
        <f>INDEX(ДВД!$BL$11:$BL$3497,MATCH($B594,ДВД!$A$11:$A$3497,0))</f>
        <v>Сакорггаз</v>
      </c>
      <c r="K594" s="285">
        <f>INDEX(ДВД!$BJ$11:$BJ$3497,MATCH($B594,ДВД!$A$11:$A$3497,0))</f>
        <v>0</v>
      </c>
      <c r="O594" s="3"/>
      <c r="Q594"/>
    </row>
    <row r="595" spans="2:17" x14ac:dyDescent="0.25">
      <c r="B595" s="298">
        <v>2708</v>
      </c>
      <c r="C595" s="298" t="str">
        <f>INDEX(ДВД!$BN$11:$BN$3497,MATCH($B595,ДВД!$A$11:$A$3497,0))</f>
        <v>BSG-240117-1/0(3)</v>
      </c>
      <c r="D595" s="298" t="str">
        <f>INDEX(ДВД!$C$11:$C$3497,MATCH($B595,ДВД!$A$11:$A$3497,0))</f>
        <v>Болниси</v>
      </c>
      <c r="E595" s="298" t="str">
        <f>INDEX(ДВД!$D$11:$D$3497,MATCH($B595,ДВД!$A$11:$A$3497,0))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№12/1)</v>
      </c>
      <c r="F595" s="298" t="str">
        <f>INDEX(ДВД!$E$11:$E$3497,MATCH($B595,ДВД!$A$11:$A$3497,0))</f>
        <v>Бриджи</v>
      </c>
      <c r="G595" s="6">
        <f t="shared" si="17"/>
        <v>76.271186440677923</v>
      </c>
      <c r="H595" s="312">
        <f>INDEX(ДВД!$AL$11:$AL$3497,MATCH($B595,ДВД!$A$11:$A$3497,0))</f>
        <v>500</v>
      </c>
      <c r="I595" s="3" t="str">
        <f t="shared" si="18"/>
        <v>ოქტომბერი</v>
      </c>
      <c r="J595" s="298" t="str">
        <f>INDEX(ДВД!$BL$11:$BL$3497,MATCH($B595,ДВД!$A$11:$A$3497,0))</f>
        <v>SGG</v>
      </c>
      <c r="K595" s="285">
        <f>INDEX(ДВД!$BJ$11:$BJ$3497,MATCH($B595,ДВД!$A$11:$A$3497,0))</f>
        <v>0</v>
      </c>
      <c r="O595" s="3"/>
      <c r="Q595"/>
    </row>
    <row r="596" spans="2:17" x14ac:dyDescent="0.25">
      <c r="B596" s="298">
        <v>2709</v>
      </c>
      <c r="C596" s="298" t="str">
        <f>INDEX(ДВД!$BN$11:$BN$3497,MATCH($B596,ДВД!$A$11:$A$3497,0))</f>
        <v>BSG-240117-1/0(3)</v>
      </c>
      <c r="D596" s="298" t="str">
        <f>INDEX(ДВД!$C$11:$C$3497,MATCH($B596,ДВД!$A$11:$A$3497,0))</f>
        <v>Болниси</v>
      </c>
      <c r="E596" s="298" t="str">
        <f>INDEX(ДВД!$D$11:$D$3497,MATCH($B596,ДВД!$A$11:$A$3497,0))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№12/2)</v>
      </c>
      <c r="F596" s="298" t="str">
        <f>INDEX(ДВД!$E$11:$E$3497,MATCH($B596,ДВД!$A$11:$A$3497,0))</f>
        <v>Бриджи</v>
      </c>
      <c r="G596" s="6">
        <f t="shared" si="17"/>
        <v>76.271186440677923</v>
      </c>
      <c r="H596" s="312">
        <f>INDEX(ДВД!$AL$11:$AL$3497,MATCH($B596,ДВД!$A$11:$A$3497,0))</f>
        <v>500</v>
      </c>
      <c r="I596" s="3" t="str">
        <f t="shared" si="18"/>
        <v>ოქტომბერი</v>
      </c>
      <c r="J596" s="298" t="str">
        <f>INDEX(ДВД!$BL$11:$BL$3497,MATCH($B596,ДВД!$A$11:$A$3497,0))</f>
        <v>SGG</v>
      </c>
      <c r="K596" s="285">
        <f>INDEX(ДВД!$BJ$11:$BJ$3497,MATCH($B596,ДВД!$A$11:$A$3497,0))</f>
        <v>0</v>
      </c>
      <c r="O596" s="3"/>
      <c r="Q596"/>
    </row>
    <row r="597" spans="2:17" x14ac:dyDescent="0.25">
      <c r="B597" s="298">
        <v>2710</v>
      </c>
      <c r="C597" s="298" t="str">
        <f>INDEX(ДВД!$BN$11:$BN$3497,MATCH($B597,ДВД!$A$11:$A$3497,0))</f>
        <v>BSG-240117-1/0(3)</v>
      </c>
      <c r="D597" s="298" t="str">
        <f>INDEX(ДВД!$C$11:$C$3497,MATCH($B597,ДВД!$A$11:$A$3497,0))</f>
        <v>Болниси</v>
      </c>
      <c r="E597" s="298" t="str">
        <f>INDEX(ДВД!$D$11:$D$3497,MATCH($B597,ДВД!$A$11:$A$3497,0))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№12/3)</v>
      </c>
      <c r="F597" s="298" t="str">
        <f>INDEX(ДВД!$E$11:$E$3497,MATCH($B597,ДВД!$A$11:$A$3497,0))</f>
        <v>Бриджи</v>
      </c>
      <c r="G597" s="6">
        <f t="shared" si="17"/>
        <v>228.81355932203383</v>
      </c>
      <c r="H597" s="312">
        <f>INDEX(ДВД!$AL$11:$AL$3497,MATCH($B597,ДВД!$A$11:$A$3497,0))</f>
        <v>1500</v>
      </c>
      <c r="I597" s="3" t="str">
        <f t="shared" si="18"/>
        <v>ოქტომბერი</v>
      </c>
      <c r="J597" s="298" t="str">
        <f>INDEX(ДВД!$BL$11:$BL$3497,MATCH($B597,ДВД!$A$11:$A$3497,0))</f>
        <v>SGG</v>
      </c>
      <c r="K597" s="285">
        <f>INDEX(ДВД!$BJ$11:$BJ$3497,MATCH($B597,ДВД!$A$11:$A$3497,0))</f>
        <v>0</v>
      </c>
      <c r="O597" s="3"/>
      <c r="Q597"/>
    </row>
    <row r="598" spans="2:17" x14ac:dyDescent="0.25">
      <c r="B598" s="298">
        <v>2711</v>
      </c>
      <c r="C598" s="298" t="str">
        <f>INDEX(ДВД!$BN$11:$BN$3497,MATCH($B598,ДВД!$A$11:$A$3497,0))</f>
        <v>BSG-240117-1/0(3)</v>
      </c>
      <c r="D598" s="298" t="str">
        <f>INDEX(ДВД!$C$11:$C$3497,MATCH($B598,ДВД!$A$11:$A$3497,0))</f>
        <v>Болниси</v>
      </c>
      <c r="E598" s="298" t="str">
        <f>INDEX(ДВД!$D$11:$D$3497,MATCH($B598,ДВД!$A$11:$A$3497,0))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№12/4)</v>
      </c>
      <c r="F598" s="298" t="str">
        <f>INDEX(ДВД!$E$11:$E$3497,MATCH($B598,ДВД!$A$11:$A$3497,0))</f>
        <v>Бриджи</v>
      </c>
      <c r="G598" s="6">
        <f t="shared" si="17"/>
        <v>305.08474576271169</v>
      </c>
      <c r="H598" s="312">
        <f>INDEX(ДВД!$AL$11:$AL$3497,MATCH($B598,ДВД!$A$11:$A$3497,0))</f>
        <v>2000</v>
      </c>
      <c r="I598" s="3" t="str">
        <f t="shared" si="18"/>
        <v>ოქტომბერი</v>
      </c>
      <c r="J598" s="298" t="str">
        <f>INDEX(ДВД!$BL$11:$BL$3497,MATCH($B598,ДВД!$A$11:$A$3497,0))</f>
        <v>SGG</v>
      </c>
      <c r="K598" s="285">
        <f>INDEX(ДВД!$BJ$11:$BJ$3497,MATCH($B598,ДВД!$A$11:$A$3497,0))</f>
        <v>0</v>
      </c>
      <c r="O598" s="3"/>
      <c r="Q598"/>
    </row>
    <row r="599" spans="2:17" x14ac:dyDescent="0.25">
      <c r="B599" s="298">
        <v>2712</v>
      </c>
      <c r="C599" s="298" t="str">
        <f>INDEX(ДВД!$BN$11:$BN$3497,MATCH($B599,ДВД!$A$11:$A$3497,0))</f>
        <v>BSG-240117-1/0(3)</v>
      </c>
      <c r="D599" s="298" t="str">
        <f>INDEX(ДВД!$C$11:$C$3497,MATCH($B599,ДВД!$A$11:$A$3497,0))</f>
        <v>Болниси</v>
      </c>
      <c r="E599" s="298" t="str">
        <f>INDEX(ДВД!$D$11:$D$3497,MATCH($B599,ДВД!$A$11:$A$3497,0))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№12/5)</v>
      </c>
      <c r="F599" s="298" t="str">
        <f>INDEX(ДВД!$E$11:$E$3497,MATCH($B599,ДВД!$A$11:$A$3497,0))</f>
        <v>Бриджи</v>
      </c>
      <c r="G599" s="6">
        <f t="shared" si="17"/>
        <v>152.54237288135585</v>
      </c>
      <c r="H599" s="312">
        <f>INDEX(ДВД!$AL$11:$AL$3497,MATCH($B599,ДВД!$A$11:$A$3497,0))</f>
        <v>1000</v>
      </c>
      <c r="I599" s="3" t="str">
        <f t="shared" si="18"/>
        <v>ოქტომბერი</v>
      </c>
      <c r="J599" s="298" t="str">
        <f>INDEX(ДВД!$BL$11:$BL$3497,MATCH($B599,ДВД!$A$11:$A$3497,0))</f>
        <v>SGG</v>
      </c>
      <c r="K599" s="285">
        <f>INDEX(ДВД!$BJ$11:$BJ$3497,MATCH($B599,ДВД!$A$11:$A$3497,0))</f>
        <v>0</v>
      </c>
      <c r="O599" s="3"/>
      <c r="Q599"/>
    </row>
    <row r="600" spans="2:17" x14ac:dyDescent="0.25">
      <c r="B600" s="298">
        <v>2713</v>
      </c>
      <c r="C600" s="298" t="str">
        <f>INDEX(ДВД!$BN$11:$BN$3497,MATCH($B600,ДВД!$A$11:$A$3497,0))</f>
        <v>BSG-240117-1/0(3)</v>
      </c>
      <c r="D600" s="298" t="str">
        <f>INDEX(ДВД!$C$11:$C$3497,MATCH($B600,ДВД!$A$11:$A$3497,0))</f>
        <v>Болниси</v>
      </c>
      <c r="E600" s="298" t="str">
        <f>INDEX(ДВД!$D$11:$D$3497,MATCH($B600,ДВД!$A$11:$A$3497,0))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№12/6)</v>
      </c>
      <c r="F600" s="298" t="str">
        <f>INDEX(ДВД!$E$11:$E$3497,MATCH($B600,ДВД!$A$11:$A$3497,0))</f>
        <v>Бриджи</v>
      </c>
      <c r="G600" s="6">
        <f t="shared" si="17"/>
        <v>76.271186440677923</v>
      </c>
      <c r="H600" s="312">
        <f>INDEX(ДВД!$AL$11:$AL$3497,MATCH($B600,ДВД!$A$11:$A$3497,0))</f>
        <v>500</v>
      </c>
      <c r="I600" s="3" t="str">
        <f t="shared" si="18"/>
        <v>ოქტომბერი</v>
      </c>
      <c r="J600" s="298" t="str">
        <f>INDEX(ДВД!$BL$11:$BL$3497,MATCH($B600,ДВД!$A$11:$A$3497,0))</f>
        <v>SGG</v>
      </c>
      <c r="K600" s="285">
        <f>INDEX(ДВД!$BJ$11:$BJ$3497,MATCH($B600,ДВД!$A$11:$A$3497,0))</f>
        <v>0</v>
      </c>
      <c r="O600" s="3"/>
      <c r="Q600"/>
    </row>
    <row r="601" spans="2:17" x14ac:dyDescent="0.25">
      <c r="B601" s="298">
        <v>2714</v>
      </c>
      <c r="C601" s="298" t="str">
        <f>INDEX(ДВД!$BN$11:$BN$3497,MATCH($B601,ДВД!$A$11:$A$3497,0))</f>
        <v>BSG-240117-1/0(3)</v>
      </c>
      <c r="D601" s="298" t="str">
        <f>INDEX(ДВД!$C$11:$C$3497,MATCH($B601,ДВД!$A$11:$A$3497,0))</f>
        <v>Болниси</v>
      </c>
      <c r="E601" s="298" t="str">
        <f>INDEX(ДВД!$D$11:$D$3497,MATCH($B601,ДВД!$A$11:$A$3497,0))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№12/7)</v>
      </c>
      <c r="F601" s="298" t="str">
        <f>INDEX(ДВД!$E$11:$E$3497,MATCH($B601,ДВД!$A$11:$A$3497,0))</f>
        <v>Бриджи</v>
      </c>
      <c r="G601" s="6">
        <f t="shared" si="17"/>
        <v>0</v>
      </c>
      <c r="H601" s="312">
        <f>INDEX(ДВД!$AL$11:$AL$3497,MATCH($B601,ДВД!$A$11:$A$3497,0))</f>
        <v>0</v>
      </c>
      <c r="I601" s="3" t="str">
        <f t="shared" si="18"/>
        <v>ოქტომბერი</v>
      </c>
      <c r="J601" s="298" t="str">
        <f>INDEX(ДВД!$BL$11:$BL$3497,MATCH($B601,ДВД!$A$11:$A$3497,0))</f>
        <v>SGG</v>
      </c>
      <c r="K601" s="285">
        <f>INDEX(ДВД!$BJ$11:$BJ$3497,MATCH($B601,ДВД!$A$11:$A$3497,0))</f>
        <v>0</v>
      </c>
      <c r="O601" s="3"/>
      <c r="Q601"/>
    </row>
    <row r="602" spans="2:17" x14ac:dyDescent="0.25">
      <c r="B602" s="298">
        <v>2715</v>
      </c>
      <c r="C602" s="298" t="str">
        <f>INDEX(ДВД!$BN$11:$BN$3497,MATCH($B602,ДВД!$A$11:$A$3497,0))</f>
        <v>BSG-240117-1/0(3)</v>
      </c>
      <c r="D602" s="298" t="str">
        <f>INDEX(ДВД!$C$11:$C$3497,MATCH($B602,ДВД!$A$11:$A$3497,0))</f>
        <v>Болниси</v>
      </c>
      <c r="E602" s="298" t="str">
        <f>INDEX(ДВД!$D$11:$D$3497,MATCH($B602,ДВД!$A$11:$A$3497,0))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№12/8)</v>
      </c>
      <c r="F602" s="298" t="str">
        <f>INDEX(ДВД!$E$11:$E$3497,MATCH($B602,ДВД!$A$11:$A$3497,0))</f>
        <v>Бриджи</v>
      </c>
      <c r="G602" s="6">
        <f t="shared" ref="G602:G625" si="19">H602-H602/1.18</f>
        <v>152.54237288135585</v>
      </c>
      <c r="H602" s="312">
        <f>INDEX(ДВД!$AL$11:$AL$3497,MATCH($B602,ДВД!$A$11:$A$3497,0))</f>
        <v>1000</v>
      </c>
      <c r="I602" s="3" t="str">
        <f t="shared" ref="I602:I619" si="20">IF(B602="","#N/A","ოქტომბერი")</f>
        <v>ოქტომბერი</v>
      </c>
      <c r="J602" s="298" t="str">
        <f>INDEX(ДВД!$BL$11:$BL$3497,MATCH($B602,ДВД!$A$11:$A$3497,0))</f>
        <v>SGG</v>
      </c>
      <c r="K602" s="285">
        <f>INDEX(ДВД!$BJ$11:$BJ$3497,MATCH($B602,ДВД!$A$11:$A$3497,0))</f>
        <v>0</v>
      </c>
      <c r="O602" s="3"/>
      <c r="Q602"/>
    </row>
    <row r="603" spans="2:17" x14ac:dyDescent="0.25">
      <c r="B603" s="298">
        <v>2716</v>
      </c>
      <c r="C603" s="298" t="str">
        <f>INDEX(ДВД!$BN$11:$BN$3497,MATCH($B603,ДВД!$A$11:$A$3497,0))</f>
        <v>BSG-240117-1/0(3)</v>
      </c>
      <c r="D603" s="298" t="str">
        <f>INDEX(ДВД!$C$11:$C$3497,MATCH($B603,ДВД!$A$11:$A$3497,0))</f>
        <v>Болниси</v>
      </c>
      <c r="E603" s="298" t="str">
        <f>INDEX(ДВД!$D$11:$D$3497,MATCH($B603,ДВД!$A$11:$A$3497,0))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№12/9)</v>
      </c>
      <c r="F603" s="298" t="str">
        <f>INDEX(ДВД!$E$11:$E$3497,MATCH($B603,ДВД!$A$11:$A$3497,0))</f>
        <v>Бриджи</v>
      </c>
      <c r="G603" s="6">
        <f t="shared" si="19"/>
        <v>152.54237288135585</v>
      </c>
      <c r="H603" s="312">
        <f>INDEX(ДВД!$AL$11:$AL$3497,MATCH($B603,ДВД!$A$11:$A$3497,0))</f>
        <v>1000</v>
      </c>
      <c r="I603" s="3" t="str">
        <f t="shared" si="20"/>
        <v>ოქტომბერი</v>
      </c>
      <c r="J603" s="298" t="str">
        <f>INDEX(ДВД!$BL$11:$BL$3497,MATCH($B603,ДВД!$A$11:$A$3497,0))</f>
        <v>SGG</v>
      </c>
      <c r="K603" s="285">
        <f>INDEX(ДВД!$BJ$11:$BJ$3497,MATCH($B603,ДВД!$A$11:$A$3497,0))</f>
        <v>0</v>
      </c>
      <c r="O603" s="3"/>
      <c r="Q603"/>
    </row>
    <row r="604" spans="2:17" x14ac:dyDescent="0.25">
      <c r="B604" s="298">
        <v>2717</v>
      </c>
      <c r="C604" s="298" t="str">
        <f>INDEX(ДВД!$BN$11:$BN$3497,MATCH($B604,ДВД!$A$11:$A$3497,0))</f>
        <v>BSG-240117-1/0(3)</v>
      </c>
      <c r="D604" s="298" t="str">
        <f>INDEX(ДВД!$C$11:$C$3497,MATCH($B604,ДВД!$A$11:$A$3497,0))</f>
        <v>Болниси</v>
      </c>
      <c r="E604" s="298" t="str">
        <f>INDEX(ДВД!$D$11:$D$3497,MATCH($B604,ДВД!$A$11:$A$3497,0))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№12/10)</v>
      </c>
      <c r="F604" s="298" t="str">
        <f>INDEX(ДВД!$E$11:$E$3497,MATCH($B604,ДВД!$A$11:$A$3497,0))</f>
        <v>Бриджи</v>
      </c>
      <c r="G604" s="6">
        <f t="shared" si="19"/>
        <v>305.08474576271169</v>
      </c>
      <c r="H604" s="312">
        <f>INDEX(ДВД!$AL$11:$AL$3497,MATCH($B604,ДВД!$A$11:$A$3497,0))</f>
        <v>2000</v>
      </c>
      <c r="I604" s="3" t="str">
        <f t="shared" si="20"/>
        <v>ოქტომბერი</v>
      </c>
      <c r="J604" s="298" t="str">
        <f>INDEX(ДВД!$BL$11:$BL$3497,MATCH($B604,ДВД!$A$11:$A$3497,0))</f>
        <v>SGG</v>
      </c>
      <c r="K604" s="285">
        <f>INDEX(ДВД!$BJ$11:$BJ$3497,MATCH($B604,ДВД!$A$11:$A$3497,0))</f>
        <v>0</v>
      </c>
      <c r="O604" s="3"/>
      <c r="Q604"/>
    </row>
    <row r="605" spans="2:17" x14ac:dyDescent="0.25">
      <c r="B605" s="298">
        <v>2718</v>
      </c>
      <c r="C605" s="298" t="str">
        <f>INDEX(ДВД!$BN$11:$BN$3497,MATCH($B605,ДВД!$A$11:$A$3497,0))</f>
        <v>BSG-240117-1/0(3)</v>
      </c>
      <c r="D605" s="298" t="str">
        <f>INDEX(ДВД!$C$11:$C$3497,MATCH($B605,ДВД!$A$11:$A$3497,0))</f>
        <v>Болниси</v>
      </c>
      <c r="E605" s="298" t="str">
        <f>INDEX(ДВД!$D$11:$D$3497,MATCH($B605,ДВД!$A$11:$A$3497,0))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№12/11)</v>
      </c>
      <c r="F605" s="298" t="str">
        <f>INDEX(ДВД!$E$11:$E$3497,MATCH($B605,ДВД!$A$11:$A$3497,0))</f>
        <v>Бриджи</v>
      </c>
      <c r="G605" s="6">
        <f t="shared" si="19"/>
        <v>76.271186440677923</v>
      </c>
      <c r="H605" s="312">
        <f>INDEX(ДВД!$AL$11:$AL$3497,MATCH($B605,ДВД!$A$11:$A$3497,0))</f>
        <v>500</v>
      </c>
      <c r="I605" s="3" t="str">
        <f t="shared" si="20"/>
        <v>ოქტომბერი</v>
      </c>
      <c r="J605" s="298" t="str">
        <f>INDEX(ДВД!$BL$11:$BL$3497,MATCH($B605,ДВД!$A$11:$A$3497,0))</f>
        <v>SGG</v>
      </c>
      <c r="K605" s="285">
        <f>INDEX(ДВД!$BJ$11:$BJ$3497,MATCH($B605,ДВД!$A$11:$A$3497,0))</f>
        <v>0</v>
      </c>
      <c r="O605" s="3"/>
      <c r="Q605"/>
    </row>
    <row r="606" spans="2:17" x14ac:dyDescent="0.25">
      <c r="B606" s="298">
        <v>2719</v>
      </c>
      <c r="C606" s="298" t="str">
        <f>INDEX(ДВД!$BN$11:$BN$3497,MATCH($B606,ДВД!$A$11:$A$3497,0))</f>
        <v>BSG-240117-1/0(3)</v>
      </c>
      <c r="D606" s="298" t="str">
        <f>INDEX(ДВД!$C$11:$C$3497,MATCH($B606,ДВД!$A$11:$A$3497,0))</f>
        <v>Болниси</v>
      </c>
      <c r="E606" s="298" t="str">
        <f>INDEX(ДВД!$D$11:$D$3497,MATCH($B606,ДВД!$A$11:$A$3497,0))</f>
        <v>(3) ქ.ბოლნისი დაბა კაზრეთის მაღალსართულიანი კორპუსებიდან (სამზარეულო) მრიცხველების გამოტანა (P.2.401) (კორპუსი №12/12)</v>
      </c>
      <c r="F606" s="298" t="str">
        <f>INDEX(ДВД!$E$11:$E$3497,MATCH($B606,ДВД!$A$11:$A$3497,0))</f>
        <v>Бриджи</v>
      </c>
      <c r="G606" s="6">
        <f t="shared" si="19"/>
        <v>152.54237288135585</v>
      </c>
      <c r="H606" s="312">
        <f>INDEX(ДВД!$AL$11:$AL$3497,MATCH($B606,ДВД!$A$11:$A$3497,0))</f>
        <v>1000</v>
      </c>
      <c r="I606" s="3" t="str">
        <f t="shared" si="20"/>
        <v>ოქტომბერი</v>
      </c>
      <c r="J606" s="298" t="str">
        <f>INDEX(ДВД!$BL$11:$BL$3497,MATCH($B606,ДВД!$A$11:$A$3497,0))</f>
        <v>SGG</v>
      </c>
      <c r="K606" s="285">
        <f>INDEX(ДВД!$BJ$11:$BJ$3497,MATCH($B606,ДВД!$A$11:$A$3497,0))</f>
        <v>0</v>
      </c>
      <c r="O606" s="3"/>
      <c r="Q606"/>
    </row>
    <row r="607" spans="2:17" x14ac:dyDescent="0.25">
      <c r="B607" s="298">
        <v>2720</v>
      </c>
      <c r="C607" s="298" t="str">
        <f>INDEX(ДВД!$BN$11:$BN$3497,MATCH($B607,ДВД!$A$11:$A$3497,0))</f>
        <v>SGG-GRP-241101-1/0 (30)</v>
      </c>
      <c r="D607" s="298" t="str">
        <f>INDEX(ДВД!$C$11:$C$3497,MATCH($B607,ДВД!$A$11:$A$3497,0))</f>
        <v>Мцхета</v>
      </c>
      <c r="E607" s="298" t="str">
        <f>INDEX(ДВД!$D$11:$D$3497,MATCH($B607,ДВД!$A$11:$A$3497,0))</f>
        <v>(30) მუხრანში საკონტროლო აღრიცხვა-რედუცირების კვანძის (T-6) შეცვლა (P.3.1127)</v>
      </c>
      <c r="F607" s="298" t="str">
        <f>INDEX(ДВД!$E$11:$E$3497,MATCH($B607,ДВД!$A$11:$A$3497,0))</f>
        <v>Энерджи сервис</v>
      </c>
      <c r="G607" s="6">
        <f t="shared" si="19"/>
        <v>23644.06779661015</v>
      </c>
      <c r="H607" s="312">
        <f>INDEX(ДВД!$AL$11:$AL$3497,MATCH($B607,ДВД!$A$11:$A$3497,0))</f>
        <v>155000</v>
      </c>
      <c r="I607" s="3" t="str">
        <f t="shared" si="20"/>
        <v>ოქტომბერი</v>
      </c>
      <c r="J607" s="298" t="str">
        <f>INDEX(ДВД!$BL$11:$BL$3497,MATCH($B607,ДВД!$A$11:$A$3497,0))</f>
        <v>SGG</v>
      </c>
      <c r="K607" s="285">
        <f>INDEX(ДВД!$BJ$11:$BJ$3497,MATCH($B607,ДВД!$A$11:$A$3497,0))</f>
        <v>0</v>
      </c>
      <c r="O607" s="3"/>
      <c r="Q607"/>
    </row>
    <row r="608" spans="2:17" x14ac:dyDescent="0.25">
      <c r="B608" s="298">
        <v>2721</v>
      </c>
      <c r="C608" s="298" t="str">
        <f>INDEX(ДВД!$BN$11:$BN$3497,MATCH($B608,ДВД!$A$11:$A$3497,0))</f>
        <v>SGG-GRP-241101-1/0 (27)</v>
      </c>
      <c r="D608" s="298" t="str">
        <f>INDEX(ДВД!$C$11:$C$3497,MATCH($B608,ДВД!$A$11:$A$3497,0))</f>
        <v>Хашури</v>
      </c>
      <c r="E608" s="298" t="str">
        <f>INDEX(ДВД!$D$11:$D$3497,MATCH($B608,ДВД!$A$11:$A$3497,0))</f>
        <v>(27) საშუალოდან დაბალზე გადამყვანი კვანძის (T-1) შეცვლა, დაბა სურამი, აღმაშენებლის ქ. (ჩუმათელეთის მიმართ) P.3.1116</v>
      </c>
      <c r="F608" s="298" t="str">
        <f>INDEX(ДВД!$E$11:$E$3497,MATCH($B608,ДВД!$A$11:$A$3497,0))</f>
        <v>Энерджи сервис</v>
      </c>
      <c r="G608" s="6">
        <f t="shared" si="19"/>
        <v>4374.3050847457598</v>
      </c>
      <c r="H608" s="312">
        <f>INDEX(ДВД!$AL$11:$AL$3497,MATCH($B608,ДВД!$A$11:$A$3497,0))+2176</f>
        <v>28676</v>
      </c>
      <c r="I608" s="3" t="str">
        <f t="shared" si="20"/>
        <v>ოქტომბერი</v>
      </c>
      <c r="J608" s="298" t="str">
        <f>INDEX(ДВД!$BL$11:$BL$3497,MATCH($B608,ДВД!$A$11:$A$3497,0))</f>
        <v>SGG</v>
      </c>
      <c r="K608" s="285">
        <f>INDEX(ДВД!$BJ$11:$BJ$3497,MATCH($B608,ДВД!$A$11:$A$3497,0))</f>
        <v>45975</v>
      </c>
      <c r="O608" s="3"/>
      <c r="Q608"/>
    </row>
    <row r="609" spans="2:17" x14ac:dyDescent="0.25">
      <c r="B609" s="298">
        <v>2722</v>
      </c>
      <c r="C609" s="298" t="str">
        <f>INDEX(ДВД!$BN$11:$BN$3497,MATCH($B609,ДВД!$A$11:$A$3497,0))</f>
        <v>SGG-GRP-241101-1/0 (14)</v>
      </c>
      <c r="D609" s="298" t="str">
        <f>INDEX(ДВД!$C$11:$C$3497,MATCH($B609,ДВД!$A$11:$A$3497,0))</f>
        <v>Хашури</v>
      </c>
      <c r="E609" s="298" t="str">
        <f>INDEX(ДВД!$D$11:$D$3497,MATCH($B609,ДВД!$A$11:$A$3497,0))</f>
        <v>(14) საშუალოდან დაბალზე გადამყვანი კვანძის (T-1) შეცვლა, ხაშური ჭალისუბნის ბინები (P.3.1093)</v>
      </c>
      <c r="F609" s="298" t="str">
        <f>INDEX(ДВД!$E$11:$E$3497,MATCH($B609,ДВД!$A$11:$A$3497,0))</f>
        <v>Энерджи сервис</v>
      </c>
      <c r="G609" s="6">
        <f t="shared" si="19"/>
        <v>4374.3050847457598</v>
      </c>
      <c r="H609" s="312">
        <f>INDEX(ДВД!$AL$11:$AL$3497,MATCH($B609,ДВД!$A$11:$A$3497,0))+2176</f>
        <v>28676</v>
      </c>
      <c r="I609" s="3" t="str">
        <f t="shared" si="20"/>
        <v>ოქტომბერი</v>
      </c>
      <c r="J609" s="298" t="str">
        <f>INDEX(ДВД!$BL$11:$BL$3497,MATCH($B609,ДВД!$A$11:$A$3497,0))</f>
        <v>SGG</v>
      </c>
      <c r="K609" s="285">
        <f>INDEX(ДВД!$BJ$11:$BJ$3497,MATCH($B609,ДВД!$A$11:$A$3497,0))</f>
        <v>45975</v>
      </c>
      <c r="O609" s="3"/>
      <c r="Q609"/>
    </row>
    <row r="610" spans="2:17" x14ac:dyDescent="0.25">
      <c r="B610" s="3">
        <v>2723</v>
      </c>
      <c r="C610" s="298" t="str">
        <f>INDEX(ДВД!$BN$11:$BN$3497,MATCH($B610,ДВД!$A$11:$A$3497,0))</f>
        <v>SGG-GRP-241101-1/0 (245)</v>
      </c>
      <c r="D610" s="298" t="str">
        <f>INDEX(ДВД!$C$11:$C$3497,MATCH($B610,ДВД!$A$11:$A$3497,0))</f>
        <v>Хашури</v>
      </c>
      <c r="E610" s="298" t="str">
        <f>INDEX(ДВД!$D$11:$D$3497,MATCH($B610,ДВД!$A$11:$A$3497,0))</f>
        <v>(245) საშუალოდან დაბალზე გადამყვანი კვანძის (T-11) შეცვლა, ქ. ხაშური, ფარნავაზის და ბექაურის ქუჩის კვეთაზე (P.3.1049)</v>
      </c>
      <c r="F610" s="298" t="str">
        <f>INDEX(ДВД!$E$11:$E$3497,MATCH($B610,ДВД!$A$11:$A$3497,0))</f>
        <v>Энерджи сервис</v>
      </c>
      <c r="G610" s="6">
        <f t="shared" si="19"/>
        <v>1373.796610169491</v>
      </c>
      <c r="H610" s="312">
        <f>INDEX(ДВД!$AL$11:$AL$3497,MATCH($B610,ДВД!$A$11:$A$3497,0))+1006</f>
        <v>9006</v>
      </c>
      <c r="I610" s="3" t="str">
        <f t="shared" si="20"/>
        <v>ოქტომბერი</v>
      </c>
      <c r="J610" s="298" t="str">
        <f>INDEX(ДВД!$BL$11:$BL$3497,MATCH($B610,ДВД!$A$11:$A$3497,0))</f>
        <v>SGG</v>
      </c>
      <c r="K610" s="285">
        <f>INDEX(ДВД!$BJ$11:$BJ$3497,MATCH($B610,ДВД!$A$11:$A$3497,0))</f>
        <v>45975</v>
      </c>
      <c r="O610" s="3"/>
      <c r="Q610"/>
    </row>
    <row r="611" spans="2:17" x14ac:dyDescent="0.25">
      <c r="B611" s="298">
        <v>1982</v>
      </c>
      <c r="C611" s="298" t="str">
        <f>INDEX(ДВД!$BN$11:$BN$3497,MATCH($B611,ДВД!$A$11:$A$3497,0))</f>
        <v>BSG-230306-1/0</v>
      </c>
      <c r="D611" s="298" t="str">
        <f>INDEX(ДВД!$C$11:$C$3497,MATCH($B611,ДВД!$A$11:$A$3497,0))</f>
        <v>Кобулети</v>
      </c>
      <c r="E611" s="298" t="str">
        <f>INDEX(ДВД!$D$11:$D$3497,MATCH($B611,ДВД!$A$11:$A$3497,0))</f>
        <v>ქ. ქობულეთში კერძო ტერიტორიებიდან ქსელის გამოტანის სამშენებლო-სარეაბილიტაციო სამუშაოები (I ეტაპი) P.5.16</v>
      </c>
      <c r="F611" s="298" t="str">
        <f>INDEX(ДВД!$E$11:$E$3497,MATCH($B611,ДВД!$A$11:$A$3497,0))</f>
        <v>Унимшени</v>
      </c>
      <c r="G611" s="6">
        <f t="shared" si="19"/>
        <v>15254.237288135584</v>
      </c>
      <c r="H611" s="312">
        <f>INDEX(ДВД!$AL$11:$AL$3497,MATCH($B611,ДВД!$A$11:$A$3497,0))</f>
        <v>100000</v>
      </c>
      <c r="I611" s="3" t="str">
        <f t="shared" si="20"/>
        <v>ოქტომბერი</v>
      </c>
      <c r="J611" s="298" t="str">
        <f>INDEX(ДВД!$BL$11:$BL$3497,MATCH($B611,ДВД!$A$11:$A$3497,0))</f>
        <v>SGG</v>
      </c>
      <c r="K611" s="285">
        <f>INDEX(ДВД!$BJ$11:$BJ$3497,MATCH($B611,ДВД!$A$11:$A$3497,0))</f>
        <v>0</v>
      </c>
      <c r="O611" s="3"/>
      <c r="Q611"/>
    </row>
    <row r="612" spans="2:17" x14ac:dyDescent="0.25">
      <c r="B612" s="298">
        <v>2063</v>
      </c>
      <c r="C612" s="298" t="str">
        <f>INDEX(ДВД!$BN$11:$BN$3497,MATCH($B612,ДВД!$A$11:$A$3497,0))</f>
        <v>BSG-240111-1/0(3)</v>
      </c>
      <c r="D612" s="298" t="str">
        <f>INDEX(ДВД!$C$11:$C$3497,MATCH($B612,ДВД!$A$11:$A$3497,0))</f>
        <v>Батуми</v>
      </c>
      <c r="E612" s="298" t="str">
        <f>INDEX(ДВД!$D$11:$D$3497,MATCH($B612,ДВД!$A$11:$A$3497,0))</f>
        <v>(3) ბათუმი, 099-საუბნოზე მრიცხველების გამოტანა 250-აბონენტიდან (P.5.52)</v>
      </c>
      <c r="F612" s="298" t="str">
        <f>INDEX(ДВД!$E$11:$E$3497,MATCH($B612,ДВД!$A$11:$A$3497,0))</f>
        <v>Унимшени</v>
      </c>
      <c r="G612" s="6">
        <f t="shared" si="19"/>
        <v>7627.118644067792</v>
      </c>
      <c r="H612" s="312">
        <f>INDEX(ДВД!$AL$11:$AL$3497,MATCH($B612,ДВД!$A$11:$A$3497,0))</f>
        <v>50000</v>
      </c>
      <c r="I612" s="3" t="str">
        <f t="shared" si="20"/>
        <v>ოქტომბერი</v>
      </c>
      <c r="J612" s="298" t="str">
        <f>INDEX(ДВД!$BL$11:$BL$3497,MATCH($B612,ДВД!$A$11:$A$3497,0))</f>
        <v>SGG</v>
      </c>
      <c r="K612" s="285">
        <f>INDEX(ДВД!$BJ$11:$BJ$3497,MATCH($B612,ДВД!$A$11:$A$3497,0))</f>
        <v>0</v>
      </c>
      <c r="O612" s="3"/>
      <c r="Q612"/>
    </row>
    <row r="613" spans="2:17" x14ac:dyDescent="0.25">
      <c r="B613" s="298">
        <v>2168</v>
      </c>
      <c r="C613" s="298" t="str">
        <f>INDEX(ДВД!$BN$11:$BN$3497,MATCH($B613,ДВД!$A$11:$A$3497,0))</f>
        <v>BCG-240110-1/0(22)</v>
      </c>
      <c r="D613" s="298" t="str">
        <f>INDEX(ДВД!$C$11:$C$3497,MATCH($B613,ДВД!$A$11:$A$3497,0))</f>
        <v>Кутаиси</v>
      </c>
      <c r="E613" s="298" t="str">
        <f>INDEX(ДВД!$D$11:$D$3497,MATCH($B613,ДВД!$A$11:$A$3497,0))</f>
        <v>(22) კ. გამსახურდიას და ოცხელის ქ. საშუალო წნევის გაზსადენის რეაბილიტაცია P.6.69</v>
      </c>
      <c r="F613" s="298" t="str">
        <f>INDEX(ДВД!$E$11:$E$3497,MATCH($B613,ДВД!$A$11:$A$3497,0))</f>
        <v>Газсервис</v>
      </c>
      <c r="G613" s="6">
        <f t="shared" si="19"/>
        <v>4576.2711864406774</v>
      </c>
      <c r="H613" s="312">
        <f>INDEX(ДВД!$AL$11:$AL$3497,MATCH($B613,ДВД!$A$11:$A$3497,0))</f>
        <v>30000</v>
      </c>
      <c r="I613" s="3" t="str">
        <f t="shared" si="20"/>
        <v>ოქტომბერი</v>
      </c>
      <c r="J613" s="298" t="str">
        <f>INDEX(ДВД!$BL$11:$BL$3497,MATCH($B613,ДВД!$A$11:$A$3497,0))</f>
        <v>Сакорггаз</v>
      </c>
      <c r="K613" s="285">
        <f>INDEX(ДВД!$BJ$11:$BJ$3497,MATCH($B613,ДВД!$A$11:$A$3497,0))</f>
        <v>0</v>
      </c>
      <c r="O613" s="3"/>
      <c r="Q613"/>
    </row>
    <row r="614" spans="2:17" x14ac:dyDescent="0.25">
      <c r="B614" s="298">
        <v>1838</v>
      </c>
      <c r="C614" s="298" t="str">
        <f>INDEX(ДВД!$BN$11:$BN$3497,MATCH($B614,ДВД!$A$11:$A$3497,0))</f>
        <v>BSG-230109-1/0(12)</v>
      </c>
      <c r="D614" s="298" t="str">
        <f>INDEX(ДВД!$C$11:$C$3497,MATCH($B614,ДВД!$A$11:$A$3497,0))</f>
        <v>Гардабани</v>
      </c>
      <c r="E614" s="298" t="str">
        <f>INDEX(ДВД!$D$11:$D$3497,MATCH($B614,ДВД!$A$11:$A$3497,0))</f>
        <v>(12) გარდაბანი, სოფ. ნორიოში მიწისქვეშა გადასვლების რეაბილიტაცია და მრიცხველების გამოტანა,შეცვლა. P.2.845</v>
      </c>
      <c r="F614" s="298" t="str">
        <f>INDEX(ДВД!$E$11:$E$3497,MATCH($B614,ДВД!$A$11:$A$3497,0))</f>
        <v>Интерсервис 2011</v>
      </c>
      <c r="G614" s="6">
        <f t="shared" si="19"/>
        <v>762.71186440677957</v>
      </c>
      <c r="H614" s="312">
        <f>INDEX(ДВД!$AL$11:$AL$3497,MATCH($B614,ДВД!$A$11:$A$3497,0))</f>
        <v>5000</v>
      </c>
      <c r="I614" s="3" t="str">
        <f t="shared" si="20"/>
        <v>ოქტომბერი</v>
      </c>
      <c r="J614" s="298" t="str">
        <f>INDEX(ДВД!$BL$11:$BL$3497,MATCH($B614,ДВД!$A$11:$A$3497,0))</f>
        <v>SGG</v>
      </c>
      <c r="K614" s="285">
        <f>INDEX(ДВД!$BJ$11:$BJ$3497,MATCH($B614,ДВД!$A$11:$A$3497,0))</f>
        <v>0</v>
      </c>
      <c r="O614" s="3"/>
      <c r="Q614"/>
    </row>
    <row r="615" spans="2:17" x14ac:dyDescent="0.25">
      <c r="B615" s="298">
        <v>2092</v>
      </c>
      <c r="C615" s="298" t="str">
        <f>INDEX(ДВД!$BN$11:$BN$3497,MATCH($B615,ДВД!$A$11:$A$3497,0))</f>
        <v>BSG-240122-1/0(11)</v>
      </c>
      <c r="D615" s="298" t="str">
        <f>INDEX(ДВД!$C$11:$C$3497,MATCH($B615,ДВД!$A$11:$A$3497,0))</f>
        <v>Гардабани</v>
      </c>
      <c r="E615" s="298" t="str">
        <f>INDEX(ДВД!$D$11:$D$3497,MATCH($B615,ДВД!$A$11:$A$3497,0))</f>
        <v>(11) გარდაბანი, სოფ. ნაზარლოში ცენტრალური გაზსადენის აწევა და მიწისქვეშა გადასვლების რეაბილიტაცია P.2.829</v>
      </c>
      <c r="F615" s="298" t="str">
        <f>INDEX(ДВД!$E$11:$E$3497,MATCH($B615,ДВД!$A$11:$A$3497,0))</f>
        <v>Джорджия Газ Проджект</v>
      </c>
      <c r="G615" s="6">
        <f t="shared" si="19"/>
        <v>15254.237288135584</v>
      </c>
      <c r="H615" s="312">
        <f>INDEX(ДВД!$AL$11:$AL$3497,MATCH($B615,ДВД!$A$11:$A$3497,0))</f>
        <v>100000</v>
      </c>
      <c r="I615" s="3" t="str">
        <f t="shared" si="20"/>
        <v>ოქტომბერი</v>
      </c>
      <c r="J615" s="298" t="str">
        <f>INDEX(ДВД!$BL$11:$BL$3497,MATCH($B615,ДВД!$A$11:$A$3497,0))</f>
        <v>SGG</v>
      </c>
      <c r="K615" s="285">
        <f>INDEX(ДВД!$BJ$11:$BJ$3497,MATCH($B615,ДВД!$A$11:$A$3497,0))</f>
        <v>0</v>
      </c>
      <c r="O615" s="3"/>
      <c r="Q615"/>
    </row>
    <row r="616" spans="2:17" x14ac:dyDescent="0.25">
      <c r="B616" s="298">
        <v>2084</v>
      </c>
      <c r="C616" s="298" t="str">
        <f>INDEX(ДВД!$BN$11:$BN$3497,MATCH($B616,ДВД!$A$11:$A$3497,0))</f>
        <v>BSG-240122-1/0(3)</v>
      </c>
      <c r="D616" s="298" t="str">
        <f>INDEX(ДВД!$C$11:$C$3497,MATCH($B616,ДВД!$A$11:$A$3497,0))</f>
        <v>Лагодехи</v>
      </c>
      <c r="E616" s="298" t="str">
        <f>INDEX(ДВД!$D$11:$D$3497,MATCH($B616,ДВД!$A$11:$A$3497,0))</f>
        <v>(3) სოფელ შრომისა და სოფელ კავშირის გაზსადენების რეაბილიტაცია. P.2.894</v>
      </c>
      <c r="F616" s="298" t="str">
        <f>INDEX(ДВД!$E$11:$E$3497,MATCH($B616,ДВД!$A$11:$A$3497,0))</f>
        <v>Джорджия Газ Проджект</v>
      </c>
      <c r="G616" s="6">
        <f t="shared" si="19"/>
        <v>15254.237288135584</v>
      </c>
      <c r="H616" s="312">
        <f>INDEX(ДВД!$AL$11:$AL$3497,MATCH($B616,ДВД!$A$11:$A$3497,0))</f>
        <v>100000</v>
      </c>
      <c r="I616" s="3" t="str">
        <f t="shared" si="20"/>
        <v>ოქტომბერი</v>
      </c>
      <c r="J616" s="298" t="str">
        <f>INDEX(ДВД!$BL$11:$BL$3497,MATCH($B616,ДВД!$A$11:$A$3497,0))</f>
        <v>SGG</v>
      </c>
      <c r="K616" s="285">
        <f>INDEX(ДВД!$BJ$11:$BJ$3497,MATCH($B616,ДВД!$A$11:$A$3497,0))</f>
        <v>0</v>
      </c>
      <c r="O616" s="3"/>
      <c r="Q616"/>
    </row>
    <row r="617" spans="2:17" x14ac:dyDescent="0.25">
      <c r="B617" s="298">
        <v>2088</v>
      </c>
      <c r="C617" s="298" t="str">
        <f>INDEX(ДВД!$BN$11:$BN$3497,MATCH($B617,ДВД!$A$11:$A$3497,0))</f>
        <v>BSG-240122-1/0(7)</v>
      </c>
      <c r="D617" s="298" t="str">
        <f>INDEX(ДВД!$C$11:$C$3497,MATCH($B617,ДВД!$A$11:$A$3497,0))</f>
        <v>Хашури</v>
      </c>
      <c r="E617" s="298" t="str">
        <f>INDEX(ДВД!$D$11:$D$3497,MATCH($B617,ДВД!$A$11:$A$3497,0))</f>
        <v>(7) დაბა სურამში აღმაშენებლისა და თამარ მეფის ქუჩებზე D=100 მმ ფოლადის საჰაიერო გაზსადენის შეცვლა პოლიეთილენის D=160 მმ მიწისქვეშა გაზსადენით P.3.879</v>
      </c>
      <c r="F617" s="298" t="str">
        <f>INDEX(ДВД!$E$11:$E$3497,MATCH($B617,ДВД!$A$11:$A$3497,0))</f>
        <v>Джорджия Газ Проджект</v>
      </c>
      <c r="G617" s="6">
        <f t="shared" si="19"/>
        <v>15254.237288135584</v>
      </c>
      <c r="H617" s="312">
        <f>INDEX(ДВД!$AL$11:$AL$3497,MATCH($B617,ДВД!$A$11:$A$3497,0))</f>
        <v>100000</v>
      </c>
      <c r="I617" s="3" t="str">
        <f t="shared" si="20"/>
        <v>ოქტომბერი</v>
      </c>
      <c r="J617" s="298" t="str">
        <f>INDEX(ДВД!$BL$11:$BL$3497,MATCH($B617,ДВД!$A$11:$A$3497,0))</f>
        <v>SGG</v>
      </c>
      <c r="K617" s="285">
        <f>INDEX(ДВД!$BJ$11:$BJ$3497,MATCH($B617,ДВД!$A$11:$A$3497,0))</f>
        <v>0</v>
      </c>
      <c r="O617" s="3"/>
      <c r="Q617"/>
    </row>
    <row r="618" spans="2:17" x14ac:dyDescent="0.25">
      <c r="B618" s="298">
        <v>2561</v>
      </c>
      <c r="C618" s="298" t="str">
        <f>INDEX(ДВД!$BN$11:$BN$3497,MATCH($B618,ДВД!$A$11:$A$3497,0))</f>
        <v>CC-241203-1/0</v>
      </c>
      <c r="D618" s="298" t="str">
        <f>INDEX(ДВД!$C$11:$C$3497,MATCH($B618,ДВД!$A$11:$A$3497,0))</f>
        <v>Мартвили</v>
      </c>
      <c r="E618" s="298" t="str">
        <f>INDEX(ДВД!$D$11:$D$3497,MATCH($B618,ДВД!$A$11:$A$3497,0))</f>
        <v>მარტვილის მუნიც. დიდი ჭყონის თემის სოფ. ლედგებეს გაზმომარაგების პროექტის შედგენა. (P.6.1182)</v>
      </c>
      <c r="F618" s="298" t="str">
        <f>INDEX(ДВД!$E$11:$E$3497,MATCH($B618,ДВД!$A$11:$A$3497,0))</f>
        <v>(Пр)-Газсервис</v>
      </c>
      <c r="G618" s="6">
        <f t="shared" si="19"/>
        <v>7259.9491525423728</v>
      </c>
      <c r="H618" s="312">
        <f>INDEX(ДВД!$AL$11:$AL$3497,MATCH($B618,ДВД!$A$11:$A$3497,0))</f>
        <v>47593</v>
      </c>
      <c r="I618" s="3" t="str">
        <f t="shared" si="20"/>
        <v>ოქტომბერი</v>
      </c>
      <c r="J618" s="298" t="str">
        <f>INDEX(ДВД!$BL$11:$BL$3497,MATCH($B618,ДВД!$A$11:$A$3497,0))</f>
        <v>Сакорггаз</v>
      </c>
      <c r="K618" s="285">
        <f>INDEX(ДВД!$BJ$11:$BJ$3497,MATCH($B618,ДВД!$A$11:$A$3497,0))</f>
        <v>45931</v>
      </c>
      <c r="O618" s="3"/>
      <c r="Q618"/>
    </row>
    <row r="619" spans="2:17" x14ac:dyDescent="0.25">
      <c r="B619" s="298">
        <v>2699</v>
      </c>
      <c r="C619" s="298" t="str">
        <f>INDEX(ДВД!$BN$11:$BN$3497,MATCH($B619,ДВД!$A$11:$A$3497,0))</f>
        <v>CC-241203-1/0</v>
      </c>
      <c r="D619" s="298" t="str">
        <f>INDEX(ДВД!$C$11:$C$3497,MATCH($B619,ДВД!$A$11:$A$3497,0))</f>
        <v>Мартвили</v>
      </c>
      <c r="E619" s="298" t="str">
        <f>INDEX(ДВД!$D$11:$D$3497,MATCH($B619,ДВД!$A$11:$A$3497,0))</f>
        <v>მარტვილის მუნიც. დიდი ჭყონის თემის სოფ. მეორე ნამიკოლაოს გაზმომარაგების პროექტის შედგენა.</v>
      </c>
      <c r="F619" s="298" t="str">
        <f>INDEX(ДВД!$E$11:$E$3497,MATCH($B619,ДВД!$A$11:$A$3497,0))</f>
        <v>(Пр)-Газсервис</v>
      </c>
      <c r="G619" s="6">
        <f t="shared" si="19"/>
        <v>8787.1652542372831</v>
      </c>
      <c r="H619" s="312">
        <f>INDEX(ДВД!$AL$11:$AL$3497,MATCH($B619,ДВД!$A$11:$A$3497,0))</f>
        <v>57604.75</v>
      </c>
      <c r="I619" s="3" t="str">
        <f t="shared" si="20"/>
        <v>ოქტომბერი</v>
      </c>
      <c r="J619" s="298" t="str">
        <f>INDEX(ДВД!$BL$11:$BL$3497,MATCH($B619,ДВД!$A$11:$A$3497,0))</f>
        <v>Сакорггаз</v>
      </c>
      <c r="K619" s="285">
        <f>INDEX(ДВД!$BJ$11:$BJ$3497,MATCH($B619,ДВД!$A$11:$A$3497,0))</f>
        <v>45931</v>
      </c>
      <c r="O619" s="3"/>
      <c r="Q619"/>
    </row>
    <row r="620" spans="2:17" x14ac:dyDescent="0.25">
      <c r="B620" s="298">
        <v>2724</v>
      </c>
      <c r="C620" s="298" t="str">
        <f>INDEX(ДВД!$BN$11:$BN$3497,MATCH($B620,ДВД!$A$11:$A$3497,0))</f>
        <v>SGG-GRP-241101-1/0 (15)</v>
      </c>
      <c r="D620" s="298" t="str">
        <f>INDEX(ДВД!$C$11:$C$3497,MATCH($B620,ДВД!$A$11:$A$3497,0))</f>
        <v>Мцхета</v>
      </c>
      <c r="E620" s="298" t="str">
        <f>INDEX(ДВД!$D$11:$D$3497,MATCH($B620,ДВД!$A$11:$A$3497,0))</f>
        <v>(15) მცხეთის გმს-თან საკონტროლო რედუცირების კვანძი (T-6) P.3.1320</v>
      </c>
      <c r="F620" s="298" t="str">
        <f>INDEX(ДВД!$E$11:$E$3497,MATCH($B620,ДВД!$A$11:$A$3497,0))</f>
        <v>Энерджи сервис</v>
      </c>
      <c r="G620" s="6">
        <f t="shared" si="19"/>
        <v>23644.06779661015</v>
      </c>
      <c r="H620" s="312">
        <f>INDEX(ДВД!$AN$11:$AN$3497,MATCH($B620,ДВД!$A$11:$A$3497,0))</f>
        <v>155000</v>
      </c>
      <c r="I620" s="3" t="str">
        <f>IF(B620="","#N/A","ნოემბერი")</f>
        <v>ნოემბერი</v>
      </c>
      <c r="J620" s="298" t="str">
        <f>INDEX(ДВД!$BL$11:$BL$3497,MATCH($B620,ДВД!$A$11:$A$3497,0))</f>
        <v>SGG</v>
      </c>
      <c r="K620" s="285">
        <f>INDEX(ДВД!$BJ$11:$BJ$3497,MATCH($B620,ДВД!$A$11:$A$3497,0))</f>
        <v>0</v>
      </c>
      <c r="O620" s="3"/>
      <c r="Q620"/>
    </row>
    <row r="621" spans="2:17" x14ac:dyDescent="0.25">
      <c r="B621" s="298">
        <v>2725</v>
      </c>
      <c r="C621" s="298" t="str">
        <f>INDEX(ДВД!$BN$11:$BN$3497,MATCH($B621,ДВД!$A$11:$A$3497,0))</f>
        <v>SGG-C-24-70</v>
      </c>
      <c r="D621" s="298" t="str">
        <f>INDEX(ДВД!$C$11:$C$3497,MATCH($B621,ДВД!$A$11:$A$3497,0))</f>
        <v>Батуми</v>
      </c>
      <c r="E621" s="298" t="str">
        <f>INDEX(ДВД!$D$11:$D$3497,MATCH($B621,ДВД!$A$11:$A$3497,0))</f>
        <v>ქ. ბათუმში, ფრიდონ ხალვაშის ქ. VIII შესახვევი №10 შპს „ქინგ კონსტრაქშენი 2024“ (T-10) ტიპის კვანძი.</v>
      </c>
      <c r="F621" s="298" t="str">
        <f>INDEX(ДВД!$E$11:$E$3497,MATCH($B621,ДВД!$A$11:$A$3497,0))</f>
        <v>Энерджи сервис</v>
      </c>
      <c r="G621" s="6">
        <f t="shared" si="19"/>
        <v>991.52542372881362</v>
      </c>
      <c r="H621" s="312">
        <f>INDEX(ДВД!$AN$11:$AN$3497,MATCH($B621,ДВД!$A$11:$A$3497,0))</f>
        <v>6500</v>
      </c>
      <c r="I621" s="3" t="str">
        <f t="shared" ref="I621:I625" si="21">IF(B621="","#N/A","ნოემბერი")</f>
        <v>ნოემბერი</v>
      </c>
      <c r="J621" s="298" t="str">
        <f>INDEX(ДВД!$BL$11:$BL$3497,MATCH($B621,ДВД!$A$11:$A$3497,0))</f>
        <v>SGG</v>
      </c>
      <c r="K621" s="285">
        <f>INDEX(ДВД!$BJ$11:$BJ$3497,MATCH($B621,ДВД!$A$11:$A$3497,0))</f>
        <v>45964</v>
      </c>
      <c r="O621" s="3"/>
      <c r="Q621"/>
    </row>
    <row r="622" spans="2:17" x14ac:dyDescent="0.25">
      <c r="B622" s="298">
        <v>2726</v>
      </c>
      <c r="C622" s="298" t="str">
        <f>INDEX(ДВД!$BN$11:$BN$3497,MATCH($B622,ДВД!$A$11:$A$3497,0))</f>
        <v>SGG-C-24-70</v>
      </c>
      <c r="D622" s="298" t="str">
        <f>INDEX(ДВД!$C$11:$C$3497,MATCH($B622,ДВД!$A$11:$A$3497,0))</f>
        <v>Батуми</v>
      </c>
      <c r="E622" s="298" t="str">
        <f>INDEX(ДВД!$D$11:$D$3497,MATCH($B622,ДВД!$A$11:$A$3497,0))</f>
        <v>ქ. ბათუმში, ზღვისპირეთის ქ. №1 ბ ბლოკი შპს „ბათთაუერსი“ (T-12) ტიპის კვანძი.</v>
      </c>
      <c r="F622" s="298" t="str">
        <f>INDEX(ДВД!$E$11:$E$3497,MATCH($B622,ДВД!$A$11:$A$3497,0))</f>
        <v>Энерджи сервис</v>
      </c>
      <c r="G622" s="6">
        <f t="shared" si="19"/>
        <v>3432.203389830509</v>
      </c>
      <c r="H622" s="312">
        <f>INDEX(ДВД!$AN$11:$AN$3497,MATCH($B622,ДВД!$A$11:$A$3497,0))</f>
        <v>22500</v>
      </c>
      <c r="I622" s="3" t="str">
        <f t="shared" si="21"/>
        <v>ნოემბერი</v>
      </c>
      <c r="J622" s="298" t="str">
        <f>INDEX(ДВД!$BL$11:$BL$3497,MATCH($B622,ДВД!$A$11:$A$3497,0))</f>
        <v>SGG</v>
      </c>
      <c r="K622" s="285">
        <f>INDEX(ДВД!$BJ$11:$BJ$3497,MATCH($B622,ДВД!$A$11:$A$3497,0))</f>
        <v>45964</v>
      </c>
      <c r="O622" s="3"/>
      <c r="Q622"/>
    </row>
    <row r="623" spans="2:17" x14ac:dyDescent="0.25">
      <c r="B623" s="298">
        <v>2727</v>
      </c>
      <c r="C623" s="298" t="str">
        <f>INDEX(ДВД!$BN$11:$BN$3497,MATCH($B623,ДВД!$A$11:$A$3497,0))</f>
        <v>SGG-C-24-70</v>
      </c>
      <c r="D623" s="298" t="str">
        <f>INDEX(ДВД!$C$11:$C$3497,MATCH($B623,ДВД!$A$11:$A$3497,0))</f>
        <v>Батуми</v>
      </c>
      <c r="E623" s="298" t="str">
        <f>INDEX(ДВД!$D$11:$D$3497,MATCH($B623,ДВД!$A$11:$A$3497,0))</f>
        <v>ქ. ბათუმში, ლეხ და მარია კაჩინსკების ქ. №17 ბ ბლოკი შპს „ელთ ბილდინგი“ (T-11) ტიპის კვანძი.</v>
      </c>
      <c r="F623" s="298" t="str">
        <f>INDEX(ДВД!$E$11:$E$3497,MATCH($B623,ДВД!$A$11:$A$3497,0))</f>
        <v>Энерджи сервис</v>
      </c>
      <c r="G623" s="6">
        <f t="shared" si="19"/>
        <v>1296.6101694915251</v>
      </c>
      <c r="H623" s="312">
        <f>INDEX(ДВД!$AN$11:$AN$3497,MATCH($B623,ДВД!$A$11:$A$3497,0))</f>
        <v>8500</v>
      </c>
      <c r="I623" s="3" t="str">
        <f t="shared" si="21"/>
        <v>ნოემბერი</v>
      </c>
      <c r="J623" s="298" t="str">
        <f>INDEX(ДВД!$BL$11:$BL$3497,MATCH($B623,ДВД!$A$11:$A$3497,0))</f>
        <v>SGG</v>
      </c>
      <c r="K623" s="285">
        <f>INDEX(ДВД!$BJ$11:$BJ$3497,MATCH($B623,ДВД!$A$11:$A$3497,0))</f>
        <v>45964</v>
      </c>
      <c r="O623" s="3"/>
      <c r="Q623"/>
    </row>
    <row r="624" spans="2:17" x14ac:dyDescent="0.25">
      <c r="B624" s="298">
        <v>2728</v>
      </c>
      <c r="C624" s="298" t="str">
        <f>INDEX(ДВД!$BN$11:$BN$3497,MATCH($B624,ДВД!$A$11:$A$3497,0))</f>
        <v>CA-2024-3836</v>
      </c>
      <c r="D624" s="298" t="str">
        <f>INDEX(ДВД!$C$11:$C$3497,MATCH($B624,ДВД!$A$11:$A$3497,0))</f>
        <v>Бакуриани</v>
      </c>
      <c r="E624" s="298" t="str">
        <f>INDEX(ДВД!$D$11:$D$3497,MATCH($B624,ДВД!$A$11:$A$3497,0))</f>
        <v>ბაკურიანში, კობა წაქაძის ქუჩა №30 ამხანაგობა „ბაკურიანი 2025“ (T-12) ტიპის კვანძი</v>
      </c>
      <c r="F624" s="298" t="str">
        <f>INDEX(ДВД!$E$11:$E$3497,MATCH($B624,ДВД!$A$11:$A$3497,0))</f>
        <v>Энерджи сервис</v>
      </c>
      <c r="G624" s="6">
        <f t="shared" si="19"/>
        <v>3432.203389830509</v>
      </c>
      <c r="H624" s="312">
        <f>INDEX(ДВД!$AN$11:$AN$3497,MATCH($B624,ДВД!$A$11:$A$3497,0))</f>
        <v>22500</v>
      </c>
      <c r="I624" s="3" t="str">
        <f t="shared" si="21"/>
        <v>ნოემბერი</v>
      </c>
      <c r="J624" s="298" t="str">
        <f>INDEX(ДВД!$BL$11:$BL$3497,MATCH($B624,ДВД!$A$11:$A$3497,0))</f>
        <v>Сакорггаз</v>
      </c>
      <c r="K624" s="285">
        <f>INDEX(ДВД!$BJ$11:$BJ$3497,MATCH($B624,ДВД!$A$11:$A$3497,0))</f>
        <v>45964</v>
      </c>
      <c r="O624" s="3"/>
      <c r="Q624"/>
    </row>
    <row r="625" spans="2:17" x14ac:dyDescent="0.25">
      <c r="B625" s="298">
        <v>2729</v>
      </c>
      <c r="C625" s="298" t="str">
        <f>INDEX(ДВД!$BN$11:$BN$3497,MATCH($B625,ДВД!$A$11:$A$3497,0))</f>
        <v>SOG-GRP-241101-1/0 (24)</v>
      </c>
      <c r="D625" s="298" t="str">
        <f>INDEX(ДВД!$C$11:$C$3497,MATCH($B625,ДВД!$A$11:$A$3497,0))</f>
        <v>Рустави</v>
      </c>
      <c r="E625" s="298" t="str">
        <f>INDEX(ДВД!$D$11:$D$3497,MATCH($B625,ДВД!$A$11:$A$3497,0))</f>
        <v>ქ. რუსთავში, ვახუშტის ქუჩაზე (21-ე საუბნო) მე-4 გმპ-ის რედუცირების კვანძით შეცვლა P.2.571 (T-2)</v>
      </c>
      <c r="F625" s="298" t="str">
        <f>INDEX(ДВД!$E$11:$E$3497,MATCH($B625,ДВД!$A$11:$A$3497,0))</f>
        <v>Энерджи сервис</v>
      </c>
      <c r="G625" s="6">
        <f t="shared" si="19"/>
        <v>6894.4576271186452</v>
      </c>
      <c r="H625" s="312">
        <f>INDEX(ДВД!$AN$11:$AN$3497,MATCH($B625,ДВД!$A$11:$A$3497,0))</f>
        <v>45197</v>
      </c>
      <c r="I625" s="3" t="str">
        <f t="shared" si="21"/>
        <v>ნოემბერი</v>
      </c>
      <c r="J625" s="298" t="str">
        <f>INDEX(ДВД!$BL$11:$BL$3497,MATCH($B625,ДВД!$A$11:$A$3497,0))</f>
        <v>Сакорггаз</v>
      </c>
      <c r="K625" s="285">
        <f>INDEX(ДВД!$BJ$11:$BJ$3497,MATCH($B625,ДВД!$A$11:$A$3497,0))</f>
        <v>45975</v>
      </c>
      <c r="O625" s="3"/>
      <c r="Q625"/>
    </row>
    <row r="626" spans="2:17" x14ac:dyDescent="0.25">
      <c r="B626" s="298">
        <v>2733</v>
      </c>
      <c r="C626" s="298" t="str">
        <f>INDEX(ДВД!$BN$11:$BN$3497,MATCH($B626,ДВД!$A$11:$A$3497,0))</f>
        <v>BCG-250925-1/0 (1)</v>
      </c>
      <c r="D626" s="298" t="str">
        <f>INDEX(ДВД!$C$11:$C$3497,MATCH($B626,ДВД!$A$11:$A$3497,0))</f>
        <v>Мартвили</v>
      </c>
      <c r="E626" s="298" t="str">
        <f>INDEX(ДВД!$D$11:$D$3497,MATCH($B626,ДВД!$A$11:$A$3497,0))</f>
        <v>(1) ქ. მარტვილში მშვიდობის ქუჩაზე მდებარე გაზსადენის ჩანაცვლება-გამსხვილება (პროექტირება) (P.6.1184)</v>
      </c>
      <c r="F626" s="298" t="str">
        <f>INDEX(ДВД!$E$11:$E$3497,MATCH($B626,ДВД!$A$11:$A$3497,0))</f>
        <v>(Пр)-Газсервис</v>
      </c>
      <c r="G626" s="6">
        <f t="shared" ref="G626:G631" si="22">H626-H626/1.18</f>
        <v>817.13135593220341</v>
      </c>
      <c r="H626" s="312">
        <f>INDEX(ДВД!$AL$11:$AL$3497,MATCH($B626,ДВД!$A$11:$A$3497,0))</f>
        <v>5356.75</v>
      </c>
      <c r="I626" s="3" t="str">
        <f t="shared" ref="I626" si="23">IF(B626="","#N/A","ოქტომბერი")</f>
        <v>ოქტომბერი</v>
      </c>
      <c r="J626" s="298" t="str">
        <f>INDEX(ДВД!$BL$11:$BL$3497,MATCH($B626,ДВД!$A$11:$A$3497,0))</f>
        <v>Сакорггаз</v>
      </c>
      <c r="K626" s="285">
        <f>INDEX(ДВД!$BJ$11:$BJ$3497,MATCH($B626,ДВД!$A$11:$A$3497,0))</f>
        <v>45940</v>
      </c>
      <c r="O626" s="3"/>
      <c r="Q626"/>
    </row>
    <row r="627" spans="2:17" x14ac:dyDescent="0.25">
      <c r="B627" s="3">
        <v>2356</v>
      </c>
      <c r="C627" s="298" t="str">
        <f>INDEX(ДВД!$BN$11:$BN$3497,MATCH($B627,ДВД!$A$11:$A$3497,0))</f>
        <v>BCG-240109-1/0(6)</v>
      </c>
      <c r="D627" s="298" t="str">
        <f>INDEX(ДВД!$C$11:$C$3497,MATCH($B627,ДВД!$A$11:$A$3497,0))</f>
        <v>Гори</v>
      </c>
      <c r="E627" s="298" t="str">
        <f>INDEX(ДВД!$D$11:$D$3497,MATCH($B627,ДВД!$A$11:$A$3497,0))</f>
        <v>(6) სოფ. ძევერა გაზსადენის რეაბილიტაცია (P.3.963)</v>
      </c>
      <c r="F627" s="298" t="str">
        <f>INDEX(ДВД!$E$11:$E$3497,MATCH($B627,ДВД!$A$11:$A$3497,0))</f>
        <v>Газ Констракт</v>
      </c>
      <c r="G627" s="6">
        <f t="shared" si="22"/>
        <v>759.91423728813515</v>
      </c>
      <c r="H627" s="312">
        <f>INDEX(ДВД!$AN$11:$AN$3497,MATCH($B627,ДВД!$A$11:$A$3497,0))</f>
        <v>4981.66</v>
      </c>
      <c r="I627" s="3" t="str">
        <f t="shared" ref="I627:I631" si="24">IF(B627="","#N/A","ნოემბერი")</f>
        <v>ნოემბერი</v>
      </c>
      <c r="J627" s="298" t="str">
        <f>INDEX(ДВД!$BL$11:$BL$3497,MATCH($B627,ДВД!$A$11:$A$3497,0))</f>
        <v>Сакорггаз</v>
      </c>
      <c r="K627" s="285">
        <f>INDEX(ДВД!$BJ$11:$BJ$3497,MATCH($B627,ДВД!$A$11:$A$3497,0))</f>
        <v>0</v>
      </c>
      <c r="O627" s="3"/>
      <c r="Q627"/>
    </row>
    <row r="628" spans="2:17" x14ac:dyDescent="0.25">
      <c r="B628" s="298">
        <v>2358</v>
      </c>
      <c r="C628" s="298" t="str">
        <f>INDEX(ДВД!$BN$11:$BN$3497,MATCH($B628,ДВД!$A$11:$A$3497,0))</f>
        <v>BCG-240109-1/0(8)</v>
      </c>
      <c r="D628" s="298" t="str">
        <f>INDEX(ДВД!$C$11:$C$3497,MATCH($B628,ДВД!$A$11:$A$3497,0))</f>
        <v>Гори</v>
      </c>
      <c r="E628" s="298" t="str">
        <f>INDEX(ДВД!$D$11:$D$3497,MATCH($B628,ДВД!$A$11:$A$3497,0))</f>
        <v>(8) სოფ. ტყვიავი გაზსადენის რეაბილიტაცია (P.3.964)</v>
      </c>
      <c r="F628" s="298" t="str">
        <f>INDEX(ДВД!$E$11:$E$3497,MATCH($B628,ДВД!$A$11:$A$3497,0))</f>
        <v>Газ Констракт</v>
      </c>
      <c r="G628" s="6">
        <f t="shared" si="22"/>
        <v>36866.526101694908</v>
      </c>
      <c r="H628" s="312">
        <f>INDEX(ДВД!$AN$11:$AN$3497,MATCH($B628,ДВД!$A$11:$A$3497,0))</f>
        <v>241680.56</v>
      </c>
      <c r="I628" s="3" t="str">
        <f t="shared" si="24"/>
        <v>ნოემბერი</v>
      </c>
      <c r="J628" s="298" t="str">
        <f>INDEX(ДВД!$BL$11:$BL$3497,MATCH($B628,ДВД!$A$11:$A$3497,0))</f>
        <v>Сакорггаз</v>
      </c>
      <c r="K628" s="285">
        <f>INDEX(ДВД!$BJ$11:$BJ$3497,MATCH($B628,ДВД!$A$11:$A$3497,0))</f>
        <v>0</v>
      </c>
      <c r="O628" s="3"/>
      <c r="Q628"/>
    </row>
    <row r="629" spans="2:17" x14ac:dyDescent="0.25">
      <c r="B629" s="298">
        <v>2406</v>
      </c>
      <c r="C629" s="298" t="str">
        <f>INDEX(ДВД!$BN$11:$BN$3497,MATCH($B629,ДВД!$A$11:$A$3497,0))</f>
        <v>BCG-240109-1/0(56)</v>
      </c>
      <c r="D629" s="298" t="str">
        <f>INDEX(ДВД!$C$11:$C$3497,MATCH($B629,ДВД!$A$11:$A$3497,0))</f>
        <v>Борджоми</v>
      </c>
      <c r="E629" s="298" t="str">
        <f>INDEX(ДВД!$D$11:$D$3497,MATCH($B629,ДВД!$A$11:$A$3497,0))</f>
        <v>(56) დაბა ბაკურიანში, 9 აპრილის ქუჩაზე  გაზსადენის რეაბილიტაცია. (P.3.806; (P.3.807))</v>
      </c>
      <c r="F629" s="298" t="str">
        <f>INDEX(ДВД!$E$11:$E$3497,MATCH($B629,ДВД!$A$11:$A$3497,0))</f>
        <v>Газ Констракт</v>
      </c>
      <c r="G629" s="6">
        <f t="shared" si="22"/>
        <v>265.51220338983035</v>
      </c>
      <c r="H629" s="312">
        <f>INDEX(ДВД!$AN$11:$AN$3497,MATCH($B629,ДВД!$A$11:$A$3497,0))</f>
        <v>1740.58</v>
      </c>
      <c r="I629" s="3" t="str">
        <f t="shared" si="24"/>
        <v>ნოემბერი</v>
      </c>
      <c r="J629" s="298" t="str">
        <f>INDEX(ДВД!$BL$11:$BL$3497,MATCH($B629,ДВД!$A$11:$A$3497,0))</f>
        <v>Сакорггаз</v>
      </c>
      <c r="K629" s="285">
        <f>INDEX(ДВД!$BJ$11:$BJ$3497,MATCH($B629,ДВД!$A$11:$A$3497,0))</f>
        <v>0</v>
      </c>
      <c r="O629" s="3"/>
      <c r="Q629"/>
    </row>
    <row r="630" spans="2:17" x14ac:dyDescent="0.25">
      <c r="B630" s="298">
        <v>2392</v>
      </c>
      <c r="C630" s="298" t="str">
        <f>INDEX(ДВД!$BN$11:$BN$3497,MATCH($B630,ДВД!$A$11:$A$3497,0))</f>
        <v>BCG-240109-1/0(42)</v>
      </c>
      <c r="D630" s="298" t="str">
        <f>INDEX(ДВД!$C$11:$C$3497,MATCH($B630,ДВД!$A$11:$A$3497,0))</f>
        <v>Борджоми</v>
      </c>
      <c r="E630" s="298" t="str">
        <f>INDEX(ДВД!$D$11:$D$3497,MATCH($B630,ДВД!$A$11:$A$3497,0))</f>
        <v>(42) დაბა ბაკურიანში №50-51-52-54 საუბნოზე და წაქაძის ქ. ,,მზიური ველის და ,,ვილა ნაძვის კორპუსებში მრიცხველების გამოტანა (P.3.41; (P.3.119))</v>
      </c>
      <c r="F630" s="298" t="str">
        <f>INDEX(ДВД!$E$11:$E$3497,MATCH($B630,ДВД!$A$11:$A$3497,0))</f>
        <v>Газ Констракт</v>
      </c>
      <c r="G630" s="6">
        <f t="shared" si="22"/>
        <v>201.42305084745749</v>
      </c>
      <c r="H630" s="312">
        <f>INDEX(ДВД!$AN$11:$AN$3497,MATCH($B630,ДВД!$A$11:$A$3497,0))</f>
        <v>1320.44</v>
      </c>
      <c r="I630" s="3" t="str">
        <f t="shared" si="24"/>
        <v>ნოემბერი</v>
      </c>
      <c r="J630" s="298" t="str">
        <f>INDEX(ДВД!$BL$11:$BL$3497,MATCH($B630,ДВД!$A$11:$A$3497,0))</f>
        <v>Сакорггаз</v>
      </c>
      <c r="K630" s="285">
        <f>INDEX(ДВД!$BJ$11:$BJ$3497,MATCH($B630,ДВД!$A$11:$A$3497,0))</f>
        <v>0</v>
      </c>
      <c r="O630" s="3"/>
      <c r="Q630"/>
    </row>
    <row r="631" spans="2:17" x14ac:dyDescent="0.25">
      <c r="B631" s="298">
        <v>2310</v>
      </c>
      <c r="C631" s="298" t="str">
        <f>INDEX(ДВД!$BN$11:$BN$3497,MATCH($B631,ДВД!$A$11:$A$3497,0))</f>
        <v>BSG-240109-1/0(30)</v>
      </c>
      <c r="D631" s="298" t="str">
        <f>INDEX(ДВД!$C$11:$C$3497,MATCH($B631,ДВД!$A$11:$A$3497,0))</f>
        <v>Карели</v>
      </c>
      <c r="E631" s="298" t="str">
        <f>INDEX(ДВД!$D$11:$D$3497,MATCH($B631,ДВД!$A$11:$A$3497,0))</f>
        <v>(30) სოფ. ბებნისის გაზსადენის რეაბილიტაცია (P.3.5)</v>
      </c>
      <c r="F631" s="298" t="str">
        <f>INDEX(ДВД!$E$11:$E$3497,MATCH($B631,ДВД!$A$11:$A$3497,0))</f>
        <v>Газ Констракт</v>
      </c>
      <c r="G631" s="6">
        <f t="shared" si="22"/>
        <v>1406.3552542372881</v>
      </c>
      <c r="H631" s="312">
        <f>INDEX(ДВД!$AN$11:$AN$3497,MATCH($B631,ДВД!$A$11:$A$3497,0))</f>
        <v>9219.44</v>
      </c>
      <c r="I631" s="3" t="str">
        <f t="shared" si="24"/>
        <v>ნოემბერი</v>
      </c>
      <c r="J631" s="298" t="str">
        <f>INDEX(ДВД!$BL$11:$BL$3497,MATCH($B631,ДВД!$A$11:$A$3497,0))</f>
        <v>SGG</v>
      </c>
      <c r="K631" s="285">
        <f>INDEX(ДВД!$BJ$11:$BJ$3497,MATCH($B631,ДВД!$A$11:$A$3497,0))</f>
        <v>0</v>
      </c>
      <c r="O631" s="3"/>
      <c r="Q631"/>
    </row>
    <row r="632" spans="2:17" x14ac:dyDescent="0.25">
      <c r="B632" s="298">
        <v>1948</v>
      </c>
      <c r="C632" s="298" t="str">
        <f>INDEX(ДВД!$BN$11:$BN$3497,MATCH($B632,ДВД!$A$11:$A$3497,0))</f>
        <v>BSG-230105-1/0(53)</v>
      </c>
      <c r="D632" s="298" t="str">
        <f>INDEX(ДВД!$C$11:$C$3497,MATCH($B632,ДВД!$A$11:$A$3497,0))</f>
        <v>Мцхета</v>
      </c>
      <c r="E632" s="298" t="str">
        <f>INDEX(ДВД!$D$11:$D$3497,MATCH($B632,ДВД!$A$11:$A$3497,0))</f>
        <v>(53) ქ. მცხეთაში - საგურამოს, საგურამოს ილიას უბანის,ბიწმენდის, გალავანის, წინამძღვრიანთკარის, ჯიღაურასა და წეროვნის ინსტიტუტის დასახლებაში მრიცხველების შეცვლა-გამოტანა. (II ეტაპი) P.3.78</v>
      </c>
      <c r="F632" s="298" t="str">
        <f>INDEX(ДВД!$E$11:$E$3497,MATCH($B632,ДВД!$A$11:$A$3497,0))</f>
        <v>Газ Констракт</v>
      </c>
      <c r="G632" s="6">
        <f t="shared" ref="G632:G657" si="25">H632-H632/1.18</f>
        <v>320.44576271186429</v>
      </c>
      <c r="H632" s="312">
        <f>INDEX(ДВД!$AN$11:$AN$3497,MATCH($B632,ДВД!$A$11:$A$3497,0))</f>
        <v>2100.6999999999998</v>
      </c>
      <c r="I632" s="3" t="str">
        <f t="shared" ref="I632:I657" si="26">IF(B632="","#N/A","ნოემბერი")</f>
        <v>ნოემბერი</v>
      </c>
      <c r="J632" s="298" t="str">
        <f>INDEX(ДВД!$BL$11:$BL$3497,MATCH($B632,ДВД!$A$11:$A$3497,0))</f>
        <v>SGG</v>
      </c>
      <c r="K632" s="285">
        <f>INDEX(ДВД!$BJ$11:$BJ$3497,MATCH($B632,ДВД!$A$11:$A$3497,0))</f>
        <v>0</v>
      </c>
      <c r="O632" s="3"/>
      <c r="Q632"/>
    </row>
    <row r="633" spans="2:17" x14ac:dyDescent="0.25">
      <c r="B633" s="298">
        <v>2296</v>
      </c>
      <c r="C633" s="298" t="str">
        <f>INDEX(ДВД!$BN$11:$BN$3497,MATCH($B633,ДВД!$A$11:$A$3497,0))</f>
        <v>BSG-240109-1/0(16)</v>
      </c>
      <c r="D633" s="298" t="str">
        <f>INDEX(ДВД!$C$11:$C$3497,MATCH($B633,ДВД!$A$11:$A$3497,0))</f>
        <v>Душети</v>
      </c>
      <c r="E633" s="298" t="str">
        <f>INDEX(ДВД!$D$11:$D$3497,MATCH($B633,ДВД!$A$11:$A$3497,0))</f>
        <v>(16) სოფ. წითელსოფელის გაზსადენის რეაბილიტაცია (P.3.74; (P.3.585))</v>
      </c>
      <c r="F633" s="298" t="str">
        <f>INDEX(ДВД!$E$11:$E$3497,MATCH($B633,ДВД!$A$11:$A$3497,0))</f>
        <v>Газ Констракт</v>
      </c>
      <c r="G633" s="6">
        <f t="shared" si="25"/>
        <v>686.66949152542338</v>
      </c>
      <c r="H633" s="312">
        <f>INDEX(ДВД!$AN$11:$AN$3497,MATCH($B633,ДВД!$A$11:$A$3497,0))</f>
        <v>4501.5</v>
      </c>
      <c r="I633" s="3" t="str">
        <f t="shared" si="26"/>
        <v>ნოემბერი</v>
      </c>
      <c r="J633" s="298" t="str">
        <f>INDEX(ДВД!$BL$11:$BL$3497,MATCH($B633,ДВД!$A$11:$A$3497,0))</f>
        <v>SGG</v>
      </c>
      <c r="K633" s="285">
        <f>INDEX(ДВД!$BJ$11:$BJ$3497,MATCH($B633,ДВД!$A$11:$A$3497,0))</f>
        <v>0</v>
      </c>
      <c r="O633" s="3"/>
      <c r="Q633"/>
    </row>
    <row r="634" spans="2:17" x14ac:dyDescent="0.25">
      <c r="B634" s="298">
        <v>1965</v>
      </c>
      <c r="C634" s="298" t="str">
        <f>INDEX(ДВД!$BN$11:$BN$3497,MATCH($B634,ДВД!$A$11:$A$3497,0))</f>
        <v>BSG-230105-1/0(70)</v>
      </c>
      <c r="D634" s="298" t="str">
        <f>INDEX(ДВД!$C$11:$C$3497,MATCH($B634,ДВД!$A$11:$A$3497,0))</f>
        <v>Мцхета</v>
      </c>
      <c r="E634" s="298" t="str">
        <f>INDEX(ДВД!$D$11:$D$3497,MATCH($B634,ДВД!$A$11:$A$3497,0))</f>
        <v>(70) სოფელ ლისი-მუხათწყარო-წოდორეთში არსებული შიდა დაქსელვის გაზსადენის რეაბილიტაცია. P.3.696</v>
      </c>
      <c r="F634" s="298" t="str">
        <f>INDEX(ДВД!$E$11:$E$3497,MATCH($B634,ДВД!$A$11:$A$3497,0))</f>
        <v>Газ Констракт</v>
      </c>
      <c r="G634" s="6">
        <f t="shared" si="25"/>
        <v>384.53491525423715</v>
      </c>
      <c r="H634" s="312">
        <f>INDEX(ДВД!$AN$11:$AN$3497,MATCH($B634,ДВД!$A$11:$A$3497,0))</f>
        <v>2520.84</v>
      </c>
      <c r="I634" s="3" t="str">
        <f t="shared" si="26"/>
        <v>ნოემბერი</v>
      </c>
      <c r="J634" s="298" t="str">
        <f>INDEX(ДВД!$BL$11:$BL$3497,MATCH($B634,ДВД!$A$11:$A$3497,0))</f>
        <v>SGG</v>
      </c>
      <c r="K634" s="285">
        <f>INDEX(ДВД!$BJ$11:$BJ$3497,MATCH($B634,ДВД!$A$11:$A$3497,0))</f>
        <v>0</v>
      </c>
      <c r="O634" s="3"/>
      <c r="Q634"/>
    </row>
    <row r="635" spans="2:17" x14ac:dyDescent="0.25">
      <c r="B635" s="298">
        <v>1940</v>
      </c>
      <c r="C635" s="298" t="str">
        <f>INDEX(ДВД!$BN$11:$BN$3497,MATCH($B635,ДВД!$A$11:$A$3497,0))</f>
        <v>BSG-230105-1/0(45)</v>
      </c>
      <c r="D635" s="298" t="str">
        <f>INDEX(ДВД!$C$11:$C$3497,MATCH($B635,ДВД!$A$11:$A$3497,0))</f>
        <v>Мцхета</v>
      </c>
      <c r="E635" s="298" t="str">
        <f>INDEX(ДВД!$D$11:$D$3497,MATCH($B635,ДВД!$A$11:$A$3497,0))</f>
        <v>(45) მისაქციელი ლამის უბანის აბონენტების გადაყვანა საშუალო წნევაზე P.3.668</v>
      </c>
      <c r="F635" s="298" t="str">
        <f>INDEX(ДВД!$E$11:$E$3497,MATCH($B635,ДВД!$A$11:$A$3497,0))</f>
        <v>Газ Констракт</v>
      </c>
      <c r="G635" s="6">
        <f t="shared" si="25"/>
        <v>613.42474576271161</v>
      </c>
      <c r="H635" s="312">
        <f>INDEX(ДВД!$AN$11:$AN$3497,MATCH($B635,ДВД!$A$11:$A$3497,0))</f>
        <v>4021.34</v>
      </c>
      <c r="I635" s="3" t="str">
        <f t="shared" si="26"/>
        <v>ნოემბერი</v>
      </c>
      <c r="J635" s="298" t="str">
        <f>INDEX(ДВД!$BL$11:$BL$3497,MATCH($B635,ДВД!$A$11:$A$3497,0))</f>
        <v>SGG</v>
      </c>
      <c r="K635" s="285">
        <f>INDEX(ДВД!$BJ$11:$BJ$3497,MATCH($B635,ДВД!$A$11:$A$3497,0))</f>
        <v>0</v>
      </c>
      <c r="O635" s="3"/>
      <c r="Q635"/>
    </row>
    <row r="636" spans="2:17" x14ac:dyDescent="0.25">
      <c r="B636" s="298">
        <v>2080</v>
      </c>
      <c r="C636" s="298" t="str">
        <f>INDEX(ДВД!$BN$11:$BN$3497,MATCH($B636,ДВД!$A$11:$A$3497,0))</f>
        <v>BCG-240122-1/0(3)</v>
      </c>
      <c r="D636" s="298" t="str">
        <f>INDEX(ДВД!$C$11:$C$3497,MATCH($B636,ДВД!$A$11:$A$3497,0))</f>
        <v>Гори</v>
      </c>
      <c r="E636" s="298" t="str">
        <f>INDEX(ДВД!$D$11:$D$3497,MATCH($B636,ДВД!$A$11:$A$3497,0))</f>
        <v>(3) სოფელ ნაწრეტში მკვებავი გაზსადენის გამოტანა-რეაბილიტაცია (P.3.735)</v>
      </c>
      <c r="F636" s="298" t="str">
        <f>INDEX(ДВД!$E$11:$E$3497,MATCH($B636,ДВД!$A$11:$A$3497,0))</f>
        <v>Джорджия Газ Проджект</v>
      </c>
      <c r="G636" s="6">
        <f t="shared" si="25"/>
        <v>19134.762711864401</v>
      </c>
      <c r="H636" s="312">
        <f>INDEX(ДВД!$AN$11:$AN$3497,MATCH($B636,ДВД!$A$11:$A$3497,0))</f>
        <v>125439</v>
      </c>
      <c r="I636" s="3" t="str">
        <f t="shared" si="26"/>
        <v>ნოემბერი</v>
      </c>
      <c r="J636" s="298" t="str">
        <f>INDEX(ДВД!$BL$11:$BL$3497,MATCH($B636,ДВД!$A$11:$A$3497,0))</f>
        <v>Сакорггаз</v>
      </c>
      <c r="K636" s="285">
        <f>INDEX(ДВД!$BJ$11:$BJ$3497,MATCH($B636,ДВД!$A$11:$A$3497,0))</f>
        <v>45978</v>
      </c>
      <c r="O636" s="3"/>
      <c r="Q636"/>
    </row>
    <row r="637" spans="2:17" x14ac:dyDescent="0.25">
      <c r="B637" s="298">
        <v>2735</v>
      </c>
      <c r="C637" s="298" t="str">
        <f>INDEX(ДВД!$BN$11:$BN$3497,MATCH($B637,ДВД!$A$11:$A$3497,0))</f>
        <v>SGG-C-24-70</v>
      </c>
      <c r="D637" s="298" t="str">
        <f>INDEX(ДВД!$C$11:$C$3497,MATCH($B637,ДВД!$A$11:$A$3497,0))</f>
        <v>Батуми</v>
      </c>
      <c r="E637" s="298" t="str">
        <f>INDEX(ДВД!$D$11:$D$3497,MATCH($B637,ДВД!$A$11:$A$3497,0))</f>
        <v>ქ. ბათუმი, სულაბერიძის ქუჩა №88-86  შპს „ურბან ქონსტრაქშენ დეველოპმენტი“ (T-10)</v>
      </c>
      <c r="F637" s="298" t="str">
        <f>INDEX(ДВД!$E$11:$E$3497,MATCH($B637,ДВД!$A$11:$A$3497,0))</f>
        <v>Энерджи сервис</v>
      </c>
      <c r="G637" s="6">
        <f t="shared" si="25"/>
        <v>991.52542372881362</v>
      </c>
      <c r="H637" s="312">
        <f>INDEX(ДВД!$AN$11:$AN$3497,MATCH($B637,ДВД!$A$11:$A$3497,0))</f>
        <v>6500</v>
      </c>
      <c r="I637" s="3" t="str">
        <f t="shared" si="26"/>
        <v>ნოემბერი</v>
      </c>
      <c r="J637" s="298" t="str">
        <f>INDEX(ДВД!$BL$11:$BL$3497,MATCH($B637,ДВД!$A$11:$A$3497,0))</f>
        <v>SGG</v>
      </c>
      <c r="K637" s="285">
        <f>INDEX(ДВД!$BJ$11:$BJ$3497,MATCH($B637,ДВД!$A$11:$A$3497,0))</f>
        <v>45971</v>
      </c>
      <c r="O637" s="3"/>
      <c r="Q637"/>
    </row>
    <row r="638" spans="2:17" x14ac:dyDescent="0.25">
      <c r="B638" s="298">
        <v>2736</v>
      </c>
      <c r="C638" s="298" t="str">
        <f>INDEX(ДВД!$BN$11:$BN$3497,MATCH($B638,ДВД!$A$11:$A$3497,0))</f>
        <v>SGG-C-24-70</v>
      </c>
      <c r="D638" s="298" t="str">
        <f>INDEX(ДВД!$C$11:$C$3497,MATCH($B638,ДВД!$A$11:$A$3497,0))</f>
        <v>Батуми</v>
      </c>
      <c r="E638" s="298" t="str">
        <f>INDEX(ДВД!$D$11:$D$3497,MATCH($B638,ДВД!$A$11:$A$3497,0))</f>
        <v>ქ. ბათუმი, ფიროსმანის ქუჩა №17  შპს „ბათმშენი“ (T-12)</v>
      </c>
      <c r="F638" s="298" t="str">
        <f>INDEX(ДВД!$E$11:$E$3497,MATCH($B638,ДВД!$A$11:$A$3497,0))</f>
        <v>Энерджи сервис</v>
      </c>
      <c r="G638" s="6">
        <f t="shared" si="25"/>
        <v>3432.203389830509</v>
      </c>
      <c r="H638" s="312">
        <f>INDEX(ДВД!$AN$11:$AN$3497,MATCH($B638,ДВД!$A$11:$A$3497,0))</f>
        <v>22500</v>
      </c>
      <c r="I638" s="3" t="str">
        <f t="shared" si="26"/>
        <v>ნოემბერი</v>
      </c>
      <c r="J638" s="298" t="str">
        <f>INDEX(ДВД!$BL$11:$BL$3497,MATCH($B638,ДВД!$A$11:$A$3497,0))</f>
        <v>SGG</v>
      </c>
      <c r="K638" s="285">
        <f>INDEX(ДВД!$BJ$11:$BJ$3497,MATCH($B638,ДВД!$A$11:$A$3497,0))</f>
        <v>45971</v>
      </c>
      <c r="O638" s="3"/>
      <c r="Q638"/>
    </row>
    <row r="639" spans="2:17" x14ac:dyDescent="0.25">
      <c r="B639" s="298">
        <v>2737</v>
      </c>
      <c r="C639" s="298" t="str">
        <f>INDEX(ДВД!$BN$11:$BN$3497,MATCH($B639,ДВД!$A$11:$A$3497,0))</f>
        <v>SGG-GRP-241101-1/0 (287)</v>
      </c>
      <c r="D639" s="298" t="str">
        <f>INDEX(ДВД!$C$11:$C$3497,MATCH($B639,ДВД!$A$11:$A$3497,0))</f>
        <v>Мцхета</v>
      </c>
      <c r="E639" s="298" t="str">
        <f>INDEX(ДВД!$D$11:$D$3497,MATCH($B639,ДВД!$A$11:$A$3497,0))</f>
        <v>(287) მცხეთა, ქსოვრისი, თორნიკე ერისთავის ქ. T-12 ტიპის კვანძი (P.3.949)</v>
      </c>
      <c r="F639" s="298" t="str">
        <f>INDEX(ДВД!$E$11:$E$3497,MATCH($B639,ДВД!$A$11:$A$3497,0))</f>
        <v>Энерджи сервис</v>
      </c>
      <c r="G639" s="6">
        <f t="shared" si="25"/>
        <v>3355.9322033898279</v>
      </c>
      <c r="H639" s="312">
        <f>INDEX(ДВД!$AN$11:$AN$3497,MATCH($B639,ДВД!$A$11:$A$3497,0))</f>
        <v>22000</v>
      </c>
      <c r="I639" s="3" t="str">
        <f t="shared" si="26"/>
        <v>ნოემბერი</v>
      </c>
      <c r="J639" s="298" t="str">
        <f>INDEX(ДВД!$BL$11:$BL$3497,MATCH($B639,ДВД!$A$11:$A$3497,0))</f>
        <v>SGG</v>
      </c>
      <c r="K639" s="285">
        <f>INDEX(ДВД!$BJ$11:$BJ$3497,MATCH($B639,ДВД!$A$11:$A$3497,0))</f>
        <v>0</v>
      </c>
      <c r="O639" s="3"/>
      <c r="Q639"/>
    </row>
    <row r="640" spans="2:17" x14ac:dyDescent="0.25">
      <c r="B640" s="298">
        <v>2738</v>
      </c>
      <c r="C640" s="298" t="str">
        <f>INDEX(ДВД!$BN$11:$BN$3497,MATCH($B640,ДВД!$A$11:$A$3497,0))</f>
        <v>SGG-GRP-241101-1/0 (287)</v>
      </c>
      <c r="D640" s="298" t="str">
        <f>INDEX(ДВД!$C$11:$C$3497,MATCH($B640,ДВД!$A$11:$A$3497,0))</f>
        <v>Мцхета</v>
      </c>
      <c r="E640" s="298" t="str">
        <f>INDEX(ДВД!$D$11:$D$3497,MATCH($B640,ДВД!$A$11:$A$3497,0))</f>
        <v>(287) მცხეთა, ქსოვრისი, ვაჟა ფშაველას ქ. T-11 ტიპის კვანძი (P.3.949)</v>
      </c>
      <c r="F640" s="298" t="str">
        <f>INDEX(ДВД!$E$11:$E$3497,MATCH($B640,ДВД!$A$11:$A$3497,0))</f>
        <v>Энерджи сервис</v>
      </c>
      <c r="G640" s="6">
        <f t="shared" si="25"/>
        <v>1220.3389830508468</v>
      </c>
      <c r="H640" s="312">
        <f>INDEX(ДВД!$AN$11:$AN$3497,MATCH($B640,ДВД!$A$11:$A$3497,0))</f>
        <v>8000</v>
      </c>
      <c r="I640" s="3" t="str">
        <f t="shared" si="26"/>
        <v>ნოემბერი</v>
      </c>
      <c r="J640" s="298" t="str">
        <f>INDEX(ДВД!$BL$11:$BL$3497,MATCH($B640,ДВД!$A$11:$A$3497,0))</f>
        <v>SGG</v>
      </c>
      <c r="K640" s="285">
        <f>INDEX(ДВД!$BJ$11:$BJ$3497,MATCH($B640,ДВД!$A$11:$A$3497,0))</f>
        <v>0</v>
      </c>
      <c r="O640" s="3"/>
      <c r="Q640"/>
    </row>
    <row r="641" spans="2:17" x14ac:dyDescent="0.25">
      <c r="B641" s="298">
        <v>2739</v>
      </c>
      <c r="C641" s="298" t="str">
        <f>INDEX(ДВД!$BN$11:$BN$3497,MATCH($B641,ДВД!$A$11:$A$3497,0))</f>
        <v>SGG-GRP-241101-1/0 (287)</v>
      </c>
      <c r="D641" s="298" t="str">
        <f>INDEX(ДВД!$C$11:$C$3497,MATCH($B641,ДВД!$A$11:$A$3497,0))</f>
        <v>Мцхета</v>
      </c>
      <c r="E641" s="298" t="str">
        <f>INDEX(ДВД!$D$11:$D$3497,MATCH($B641,ДВД!$A$11:$A$3497,0))</f>
        <v>(287) მცხეთა, ქსოვრისი საბავშვო ბაღის მიმდებარედ T-10 ტიპის კვანძი (P.3.949)</v>
      </c>
      <c r="F641" s="298" t="str">
        <f>INDEX(ДВД!$E$11:$E$3497,MATCH($B641,ДВД!$A$11:$A$3497,0))</f>
        <v>Энерджи сервис</v>
      </c>
      <c r="G641" s="6">
        <f t="shared" si="25"/>
        <v>915.2542372881353</v>
      </c>
      <c r="H641" s="312">
        <f>INDEX(ДВД!$AN$11:$AN$3497,MATCH($B641,ДВД!$A$11:$A$3497,0))</f>
        <v>6000</v>
      </c>
      <c r="I641" s="3" t="str">
        <f t="shared" si="26"/>
        <v>ნოემბერი</v>
      </c>
      <c r="J641" s="298" t="str">
        <f>INDEX(ДВД!$BL$11:$BL$3497,MATCH($B641,ДВД!$A$11:$A$3497,0))</f>
        <v>SGG</v>
      </c>
      <c r="K641" s="285">
        <f>INDEX(ДВД!$BJ$11:$BJ$3497,MATCH($B641,ДВД!$A$11:$A$3497,0))</f>
        <v>0</v>
      </c>
      <c r="O641" s="3"/>
      <c r="Q641"/>
    </row>
    <row r="642" spans="2:17" x14ac:dyDescent="0.25">
      <c r="B642" s="298">
        <v>2740</v>
      </c>
      <c r="C642" s="298" t="str">
        <f>INDEX(ДВД!$BN$11:$BN$3497,MATCH($B642,ДВД!$A$11:$A$3497,0))</f>
        <v>SGG-GRP-241101-1/0 (287)</v>
      </c>
      <c r="D642" s="298" t="str">
        <f>INDEX(ДВД!$C$11:$C$3497,MATCH($B642,ДВД!$A$11:$A$3497,0))</f>
        <v>Мцхета</v>
      </c>
      <c r="E642" s="298" t="str">
        <f>INDEX(ДВД!$D$11:$D$3497,MATCH($B642,ДВД!$A$11:$A$3497,0))</f>
        <v>(287) მცხეთა, ქსოვრისი მერაბ კოსტავას ქ. T-10 ტიპის კვანძი (P.3.949)</v>
      </c>
      <c r="F642" s="298" t="str">
        <f>INDEX(ДВД!$E$11:$E$3497,MATCH($B642,ДВД!$A$11:$A$3497,0))</f>
        <v>Энерджи сервис</v>
      </c>
      <c r="G642" s="6">
        <f t="shared" si="25"/>
        <v>915.2542372881353</v>
      </c>
      <c r="H642" s="312">
        <f>INDEX(ДВД!$AN$11:$AN$3497,MATCH($B642,ДВД!$A$11:$A$3497,0))</f>
        <v>6000</v>
      </c>
      <c r="I642" s="3" t="str">
        <f t="shared" si="26"/>
        <v>ნოემბერი</v>
      </c>
      <c r="J642" s="298" t="str">
        <f>INDEX(ДВД!$BL$11:$BL$3497,MATCH($B642,ДВД!$A$11:$A$3497,0))</f>
        <v>SGG</v>
      </c>
      <c r="K642" s="285">
        <f>INDEX(ДВД!$BJ$11:$BJ$3497,MATCH($B642,ДВД!$A$11:$A$3497,0))</f>
        <v>0</v>
      </c>
      <c r="O642" s="3"/>
      <c r="Q642"/>
    </row>
    <row r="643" spans="2:17" x14ac:dyDescent="0.25">
      <c r="B643" s="298">
        <v>2741</v>
      </c>
      <c r="C643" s="298" t="str">
        <f>INDEX(ДВД!$BN$11:$BN$3497,MATCH($B643,ДВД!$A$11:$A$3497,0))</f>
        <v>SGG-GRP-241101-1/0 (287)</v>
      </c>
      <c r="D643" s="298" t="str">
        <f>INDEX(ДВД!$C$11:$C$3497,MATCH($B643,ДВД!$A$11:$A$3497,0))</f>
        <v>Мцхета</v>
      </c>
      <c r="E643" s="298" t="str">
        <f>INDEX(ДВД!$D$11:$D$3497,MATCH($B643,ДВД!$A$11:$A$3497,0))</f>
        <v>(287) მცხეთა, ქსოვრისი ირაკლი მორბედაძის ჩიხი 1, T-10 ტიპის კვანძი (P.3.949)</v>
      </c>
      <c r="F643" s="298" t="str">
        <f>INDEX(ДВД!$E$11:$E$3497,MATCH($B643,ДВД!$A$11:$A$3497,0))</f>
        <v>Энерджи сервис</v>
      </c>
      <c r="G643" s="6">
        <f t="shared" si="25"/>
        <v>915.2542372881353</v>
      </c>
      <c r="H643" s="312">
        <f>INDEX(ДВД!$AN$11:$AN$3497,MATCH($B643,ДВД!$A$11:$A$3497,0))</f>
        <v>6000</v>
      </c>
      <c r="I643" s="3" t="str">
        <f t="shared" si="26"/>
        <v>ნოემბერი</v>
      </c>
      <c r="J643" s="298" t="str">
        <f>INDEX(ДВД!$BL$11:$BL$3497,MATCH($B643,ДВД!$A$11:$A$3497,0))</f>
        <v>SGG</v>
      </c>
      <c r="K643" s="285">
        <f>INDEX(ДВД!$BJ$11:$BJ$3497,MATCH($B643,ДВД!$A$11:$A$3497,0))</f>
        <v>0</v>
      </c>
      <c r="O643" s="3"/>
      <c r="Q643"/>
    </row>
    <row r="644" spans="2:17" x14ac:dyDescent="0.25">
      <c r="B644" s="298">
        <v>2742</v>
      </c>
      <c r="C644" s="298" t="str">
        <f>INDEX(ДВД!$BN$11:$BN$3497,MATCH($B644,ДВД!$A$11:$A$3497,0))</f>
        <v>SGG-GRP-241101-1/0 (287)</v>
      </c>
      <c r="D644" s="298" t="str">
        <f>INDEX(ДВД!$C$11:$C$3497,MATCH($B644,ДВД!$A$11:$A$3497,0))</f>
        <v>Мцхета</v>
      </c>
      <c r="E644" s="298" t="str">
        <f>INDEX(ДВД!$D$11:$D$3497,MATCH($B644,ДВД!$A$11:$A$3497,0))</f>
        <v>(287) მცხეთა, ქსოვრისი წმინდა მარინეს ქ. T-10 ტიპის კვანძი (P.3.949)</v>
      </c>
      <c r="F644" s="298" t="str">
        <f>INDEX(ДВД!$E$11:$E$3497,MATCH($B644,ДВД!$A$11:$A$3497,0))</f>
        <v>Энерджи сервис</v>
      </c>
      <c r="G644" s="6">
        <f t="shared" si="25"/>
        <v>915.2542372881353</v>
      </c>
      <c r="H644" s="312">
        <f>INDEX(ДВД!$AN$11:$AN$3497,MATCH($B644,ДВД!$A$11:$A$3497,0))</f>
        <v>6000</v>
      </c>
      <c r="I644" s="3" t="str">
        <f t="shared" si="26"/>
        <v>ნოემბერი</v>
      </c>
      <c r="J644" s="298" t="str">
        <f>INDEX(ДВД!$BL$11:$BL$3497,MATCH($B644,ДВД!$A$11:$A$3497,0))</f>
        <v>SGG</v>
      </c>
      <c r="K644" s="285">
        <f>INDEX(ДВД!$BJ$11:$BJ$3497,MATCH($B644,ДВД!$A$11:$A$3497,0))</f>
        <v>0</v>
      </c>
      <c r="O644" s="3"/>
      <c r="Q644"/>
    </row>
    <row r="645" spans="2:17" x14ac:dyDescent="0.25">
      <c r="B645" s="298">
        <v>2089</v>
      </c>
      <c r="C645" s="298" t="str">
        <f>INDEX(ДВД!$BN$11:$BN$3497,MATCH($B645,ДВД!$A$11:$A$3497,0))</f>
        <v>BSG-240122-1/0(8)</v>
      </c>
      <c r="D645" s="298" t="str">
        <f>INDEX(ДВД!$C$11:$C$3497,MATCH($B645,ДВД!$A$11:$A$3497,0))</f>
        <v>Дедоплисцкаро</v>
      </c>
      <c r="E645" s="298" t="str">
        <f>INDEX(ДВД!$D$11:$D$3497,MATCH($B645,ДВД!$A$11:$A$3497,0))</f>
        <v>(8) სოფ. ზემო მაჩხაანი-აკაკის და ჯამასპიანთ უბანი გაზსადენის რეაბილიტაცია P.2.45</v>
      </c>
      <c r="F645" s="298" t="str">
        <f>INDEX(ДВД!$E$11:$E$3497,MATCH($B645,ДВД!$A$11:$A$3497,0))</f>
        <v>Джорджия Газ Проджект</v>
      </c>
      <c r="G645" s="6">
        <f t="shared" si="25"/>
        <v>19830.508474576272</v>
      </c>
      <c r="H645" s="312">
        <f>INDEX(ДВД!$AN$11:$AN$3497,MATCH($B645,ДВД!$A$11:$A$3497,0))</f>
        <v>130000</v>
      </c>
      <c r="I645" s="3" t="str">
        <f t="shared" si="26"/>
        <v>ნოემბერი</v>
      </c>
      <c r="J645" s="298" t="str">
        <f>INDEX(ДВД!$BL$11:$BL$3497,MATCH($B645,ДВД!$A$11:$A$3497,0))</f>
        <v>SGG</v>
      </c>
      <c r="K645" s="285">
        <f>INDEX(ДВД!$BJ$11:$BJ$3497,MATCH($B645,ДВД!$A$11:$A$3497,0))</f>
        <v>0</v>
      </c>
      <c r="O645" s="3"/>
      <c r="Q645"/>
    </row>
    <row r="646" spans="2:17" x14ac:dyDescent="0.25">
      <c r="B646" s="298">
        <v>2743</v>
      </c>
      <c r="C646" s="298" t="str">
        <f>INDEX(ДВД!$BN$11:$BN$3497,MATCH($B646,ДВД!$A$11:$A$3497,0))</f>
        <v>SGG-GRP-241101-1/0 (42)</v>
      </c>
      <c r="D646" s="298" t="str">
        <f>INDEX(ДВД!$C$11:$C$3497,MATCH($B646,ДВД!$A$11:$A$3497,0))</f>
        <v>Душети</v>
      </c>
      <c r="E646" s="298" t="str">
        <f>INDEX(ДВД!$D$11:$D$3497,MATCH($B646,ДВД!$A$11:$A$3497,0))</f>
        <v>(42) დუშეთში, სოფ. ციხისძირი გგს-თან T-5 ტიპის კვანძი (P.3.612)</v>
      </c>
      <c r="F646" s="298" t="str">
        <f>INDEX(ДВД!$E$11:$E$3497,MATCH($B646,ДВД!$A$11:$A$3497,0))</f>
        <v>Энерджи сервис</v>
      </c>
      <c r="G646" s="6">
        <f t="shared" si="25"/>
        <v>17542.372881355928</v>
      </c>
      <c r="H646" s="312">
        <f>INDEX(ДВД!$AN$11:$AN$3497,MATCH($B646,ДВД!$A$11:$A$3497,0))</f>
        <v>115000</v>
      </c>
      <c r="I646" s="3" t="str">
        <f t="shared" si="26"/>
        <v>ნოემბერი</v>
      </c>
      <c r="J646" s="298" t="str">
        <f>INDEX(ДВД!$BL$11:$BL$3497,MATCH($B646,ДВД!$A$11:$A$3497,0))</f>
        <v>SGG</v>
      </c>
      <c r="K646" s="285">
        <f>INDEX(ДВД!$BJ$11:$BJ$3497,MATCH($B646,ДВД!$A$11:$A$3497,0))</f>
        <v>0</v>
      </c>
      <c r="O646" s="3"/>
      <c r="Q646"/>
    </row>
    <row r="647" spans="2:17" x14ac:dyDescent="0.25">
      <c r="B647" s="298">
        <v>1838</v>
      </c>
      <c r="C647" s="298" t="str">
        <f>INDEX(ДВД!$BN$11:$BN$3497,MATCH($B647,ДВД!$A$11:$A$3497,0))</f>
        <v>BSG-230109-1/0(12)</v>
      </c>
      <c r="D647" s="298" t="str">
        <f>INDEX(ДВД!$C$11:$C$3497,MATCH($B647,ДВД!$A$11:$A$3497,0))</f>
        <v>Гардабани</v>
      </c>
      <c r="E647" s="298" t="str">
        <f>INDEX(ДВД!$D$11:$D$3497,MATCH($B647,ДВД!$A$11:$A$3497,0))</f>
        <v>(12) გარდაბანი, სოფ. ნორიოში მიწისქვეშა გადასვლების რეაბილიტაცია და მრიცხველების გამოტანა,შეცვლა. P.2.845</v>
      </c>
      <c r="F647" s="298" t="str">
        <f>INDEX(ДВД!$E$11:$E$3497,MATCH($B647,ДВД!$A$11:$A$3497,0))</f>
        <v>Интерсервис 2011</v>
      </c>
      <c r="G647" s="6">
        <f t="shared" si="25"/>
        <v>762.71186440677957</v>
      </c>
      <c r="H647" s="312">
        <f>INDEX(ДВД!$AN$11:$AN$3497,MATCH($B647,ДВД!$A$11:$A$3497,0))</f>
        <v>5000</v>
      </c>
      <c r="I647" s="3" t="str">
        <f t="shared" si="26"/>
        <v>ნოემბერი</v>
      </c>
      <c r="J647" s="298" t="str">
        <f>INDEX(ДВД!$BL$11:$BL$3497,MATCH($B647,ДВД!$A$11:$A$3497,0))</f>
        <v>SGG</v>
      </c>
      <c r="K647" s="285">
        <f>INDEX(ДВД!$BJ$11:$BJ$3497,MATCH($B647,ДВД!$A$11:$A$3497,0))</f>
        <v>0</v>
      </c>
      <c r="O647" s="3"/>
      <c r="Q647"/>
    </row>
    <row r="648" spans="2:17" x14ac:dyDescent="0.25">
      <c r="B648" s="298">
        <v>1632</v>
      </c>
      <c r="C648" s="298" t="str">
        <f>INDEX(ДВД!$BN$11:$BN$3497,MATCH($B648,ДВД!$A$11:$A$3497,0))</f>
        <v>BSP-220608-1/0</v>
      </c>
      <c r="D648" s="298" t="str">
        <f>INDEX(ДВД!$C$11:$C$3497,MATCH($B648,ДВД!$A$11:$A$3497,0))</f>
        <v>Мцхета</v>
      </c>
      <c r="E648" s="298" t="str">
        <f>INDEX(ДВД!$D$11:$D$3497,MATCH($B648,ДВД!$A$11:$A$3497,0))</f>
        <v>Реаб. Газопр. D=150мм вдоль трассы Армази-Дзегви (I этап P.3.155) в Мцхета</v>
      </c>
      <c r="F648" s="298" t="str">
        <f>INDEX(ДВД!$E$11:$E$3497,MATCH($B648,ДВД!$A$11:$A$3497,0))</f>
        <v>Газ Констракт</v>
      </c>
      <c r="G648" s="6">
        <f t="shared" si="25"/>
        <v>45762.711864406767</v>
      </c>
      <c r="H648" s="312">
        <f>INDEX(ДВД!$AN$11:$AN$3497,MATCH($B648,ДВД!$A$11:$A$3497,0))</f>
        <v>300000</v>
      </c>
      <c r="I648" s="3" t="str">
        <f t="shared" si="26"/>
        <v>ნოემბერი</v>
      </c>
      <c r="J648" s="298" t="str">
        <f>INDEX(ДВД!$BL$11:$BL$3497,MATCH($B648,ДВД!$A$11:$A$3497,0))</f>
        <v>SGG</v>
      </c>
      <c r="K648" s="285">
        <f>INDEX(ДВД!$BJ$11:$BJ$3497,MATCH($B648,ДВД!$A$11:$A$3497,0))</f>
        <v>0</v>
      </c>
      <c r="O648" s="3"/>
      <c r="Q648"/>
    </row>
    <row r="649" spans="2:17" x14ac:dyDescent="0.25">
      <c r="B649" s="298">
        <v>2744</v>
      </c>
      <c r="C649" s="298" t="str">
        <f>INDEX(ДВД!$BN$11:$BN$3497,MATCH($B649,ДВД!$A$11:$A$3497,0))</f>
        <v>SGG-GRP-241101-1/0 (37)</v>
      </c>
      <c r="D649" s="298" t="str">
        <f>INDEX(ДВД!$C$11:$C$3497,MATCH($B649,ДВД!$A$11:$A$3497,0))</f>
        <v>Душети</v>
      </c>
      <c r="E649" s="298" t="str">
        <f>INDEX(ДВД!$D$11:$D$3497,MATCH($B649,ДВД!$A$11:$A$3497,0))</f>
        <v>(37) დუშეთში, ქუბრიაანთკარი გგს-თან T-7 ტიპის კვანძი (P.3.1130)</v>
      </c>
      <c r="F649" s="298" t="str">
        <f>INDEX(ДВД!$E$11:$E$3497,MATCH($B649,ДВД!$A$11:$A$3497,0))</f>
        <v>Энерджи сервис</v>
      </c>
      <c r="G649" s="6">
        <f t="shared" si="25"/>
        <v>28220.338983050839</v>
      </c>
      <c r="H649" s="312">
        <f>INDEX(ДВД!$AN$11:$AN$3497,MATCH($B649,ДВД!$A$11:$A$3497,0))</f>
        <v>185000</v>
      </c>
      <c r="I649" s="3" t="str">
        <f t="shared" si="26"/>
        <v>ნოემბერი</v>
      </c>
      <c r="J649" s="298" t="str">
        <f>INDEX(ДВД!$BL$11:$BL$3497,MATCH($B649,ДВД!$A$11:$A$3497,0))</f>
        <v>SGG</v>
      </c>
      <c r="K649" s="285">
        <f>INDEX(ДВД!$BJ$11:$BJ$3497,MATCH($B649,ДВД!$A$11:$A$3497,0))</f>
        <v>0</v>
      </c>
      <c r="O649" s="3"/>
      <c r="Q649"/>
    </row>
    <row r="650" spans="2:17" x14ac:dyDescent="0.25">
      <c r="B650" s="298">
        <v>2083</v>
      </c>
      <c r="C650" s="298" t="str">
        <f>INDEX(ДВД!$BN$11:$BN$3497,MATCH($B650,ДВД!$A$11:$A$3497,0))</f>
        <v>BSG-240122-1/0(2)</v>
      </c>
      <c r="D650" s="298" t="str">
        <f>INDEX(ДВД!$C$11:$C$3497,MATCH($B650,ДВД!$A$11:$A$3497,0))</f>
        <v>Мцхета</v>
      </c>
      <c r="E650" s="298" t="str">
        <f>INDEX(ДВД!$D$11:$D$3497,MATCH($B650,ДВД!$A$11:$A$3497,0))</f>
        <v>(2) სოფელ ბიწმენდში არსებული შიდა ქსელის რეაბილიტაცია და გამსხვილება P.3.698</v>
      </c>
      <c r="F650" s="298" t="str">
        <f>INDEX(ДВД!$E$11:$E$3497,MATCH($B650,ДВД!$A$11:$A$3497,0))</f>
        <v>Джорджия Газ Проджект</v>
      </c>
      <c r="G650" s="6">
        <f t="shared" si="25"/>
        <v>22881.355932203383</v>
      </c>
      <c r="H650" s="312">
        <f>INDEX(ДВД!$AN$11:$AN$3497,MATCH($B650,ДВД!$A$11:$A$3497,0))</f>
        <v>150000</v>
      </c>
      <c r="I650" s="3" t="str">
        <f t="shared" si="26"/>
        <v>ნოემბერი</v>
      </c>
      <c r="J650" s="298" t="str">
        <f>INDEX(ДВД!$BL$11:$BL$3497,MATCH($B650,ДВД!$A$11:$A$3497,0))</f>
        <v>SGG</v>
      </c>
      <c r="K650" s="285">
        <f>INDEX(ДВД!$BJ$11:$BJ$3497,MATCH($B650,ДВД!$A$11:$A$3497,0))</f>
        <v>0</v>
      </c>
      <c r="O650" s="3"/>
      <c r="Q650"/>
    </row>
    <row r="651" spans="2:17" x14ac:dyDescent="0.25">
      <c r="B651" s="298">
        <v>2084</v>
      </c>
      <c r="C651" s="298" t="str">
        <f>INDEX(ДВД!$BN$11:$BN$3497,MATCH($B651,ДВД!$A$11:$A$3497,0))</f>
        <v>BSG-240122-1/0(3)</v>
      </c>
      <c r="D651" s="298" t="str">
        <f>INDEX(ДВД!$C$11:$C$3497,MATCH($B651,ДВД!$A$11:$A$3497,0))</f>
        <v>Лагодехи</v>
      </c>
      <c r="E651" s="298" t="str">
        <f>INDEX(ДВД!$D$11:$D$3497,MATCH($B651,ДВД!$A$11:$A$3497,0))</f>
        <v>(3) სოფელ შრომისა და სოფელ კავშირის გაზსადენების რეაბილიტაცია. P.2.894</v>
      </c>
      <c r="F651" s="298" t="str">
        <f>INDEX(ДВД!$E$11:$E$3497,MATCH($B651,ДВД!$A$11:$A$3497,0))</f>
        <v>Джорджия Газ Проджект</v>
      </c>
      <c r="G651" s="6">
        <f t="shared" si="25"/>
        <v>25932.203389830509</v>
      </c>
      <c r="H651" s="312">
        <f>INDEX(ДВД!$AN$11:$AN$3497,MATCH($B651,ДВД!$A$11:$A$3497,0))</f>
        <v>170000</v>
      </c>
      <c r="I651" s="3" t="str">
        <f t="shared" si="26"/>
        <v>ნოემბერი</v>
      </c>
      <c r="J651" s="298" t="str">
        <f>INDEX(ДВД!$BL$11:$BL$3497,MATCH($B651,ДВД!$A$11:$A$3497,0))</f>
        <v>SGG</v>
      </c>
      <c r="K651" s="285">
        <f>INDEX(ДВД!$BJ$11:$BJ$3497,MATCH($B651,ДВД!$A$11:$A$3497,0))</f>
        <v>0</v>
      </c>
      <c r="O651" s="3"/>
      <c r="Q651"/>
    </row>
    <row r="652" spans="2:17" x14ac:dyDescent="0.25">
      <c r="B652" s="298">
        <v>2220</v>
      </c>
      <c r="C652" s="298" t="str">
        <f>INDEX(ДВД!$BN$11:$BN$3497,MATCH($B652,ДВД!$A$11:$A$3497,0))</f>
        <v>BSG-240112-1/0(15)</v>
      </c>
      <c r="D652" s="298" t="str">
        <f>INDEX(ДВД!$C$11:$C$3497,MATCH($B652,ДВД!$A$11:$A$3497,0))</f>
        <v>Сигнаги</v>
      </c>
      <c r="E652" s="298" t="str">
        <f>INDEX(ДВД!$D$11:$D$3497,MATCH($B652,ДВД!$A$11:$A$3497,0))</f>
        <v>(15) გაზსადენების შეღებვა სხვადასხვა მისამართებზე (P.2.799)</v>
      </c>
      <c r="F652" s="298" t="str">
        <f>INDEX(ДВД!$E$11:$E$3497,MATCH($B652,ДВД!$A$11:$A$3497,0))</f>
        <v>Интерсервис 2011</v>
      </c>
      <c r="G652" s="6">
        <f t="shared" si="25"/>
        <v>8700.653898305085</v>
      </c>
      <c r="H652" s="312">
        <f>INDEX(ДВД!$AN$11:$AN$3497,MATCH($B652,ДВД!$A$11:$A$3497,0))</f>
        <v>57037.62</v>
      </c>
      <c r="I652" s="3" t="str">
        <f t="shared" si="26"/>
        <v>ნოემბერი</v>
      </c>
      <c r="J652" s="298" t="str">
        <f>INDEX(ДВД!$BL$11:$BL$3497,MATCH($B652,ДВД!$A$11:$A$3497,0))</f>
        <v>SGG</v>
      </c>
      <c r="K652" s="285">
        <f>INDEX(ДВД!$BJ$11:$BJ$3497,MATCH($B652,ДВД!$A$11:$A$3497,0))</f>
        <v>45979</v>
      </c>
      <c r="O652" s="3"/>
      <c r="Q652"/>
    </row>
    <row r="653" spans="2:17" x14ac:dyDescent="0.25">
      <c r="B653" s="298">
        <v>2219</v>
      </c>
      <c r="C653" s="298" t="str">
        <f>INDEX(ДВД!$BN$11:$BN$3497,MATCH($B653,ДВД!$A$11:$A$3497,0))</f>
        <v>BSG-240112-1/0(14)</v>
      </c>
      <c r="D653" s="298" t="str">
        <f>INDEX(ДВД!$C$11:$C$3497,MATCH($B653,ДВД!$A$11:$A$3497,0))</f>
        <v>Дедоплисцкаро</v>
      </c>
      <c r="E653" s="298" t="str">
        <f>INDEX(ДВД!$D$11:$D$3497,MATCH($B653,ДВД!$A$11:$A$3497,0))</f>
        <v>(14) საშუალო წნევა ზემო მაჩხაანი, აროშიკი ქ. დედოფლისწყარო საჰაერო გაზსადენის შეღებვა (P.2.551)</v>
      </c>
      <c r="F653" s="298" t="str">
        <f>INDEX(ДВД!$E$11:$E$3497,MATCH($B653,ДВД!$A$11:$A$3497,0))</f>
        <v>Интерсервис 2011</v>
      </c>
      <c r="G653" s="6">
        <f t="shared" si="25"/>
        <v>8056.1730508474575</v>
      </c>
      <c r="H653" s="312">
        <f>INDEX(ДВД!$AN$11:$AN$3497,MATCH($B653,ДВД!$A$11:$A$3497,0))</f>
        <v>52812.69</v>
      </c>
      <c r="I653" s="3" t="str">
        <f t="shared" si="26"/>
        <v>ნოემბერი</v>
      </c>
      <c r="J653" s="298" t="str">
        <f>INDEX(ДВД!$BL$11:$BL$3497,MATCH($B653,ДВД!$A$11:$A$3497,0))</f>
        <v>SGG</v>
      </c>
      <c r="K653" s="285">
        <f>INDEX(ДВД!$BJ$11:$BJ$3497,MATCH($B653,ДВД!$A$11:$A$3497,0))</f>
        <v>45987</v>
      </c>
      <c r="O653" s="3"/>
      <c r="Q653"/>
    </row>
    <row r="654" spans="2:17" x14ac:dyDescent="0.25">
      <c r="B654" s="298">
        <v>2217</v>
      </c>
      <c r="C654" s="298" t="str">
        <f>INDEX(ДВД!$BN$11:$BN$3497,MATCH($B654,ДВД!$A$11:$A$3497,0))</f>
        <v>BSG-240112-1/0(12)</v>
      </c>
      <c r="D654" s="298" t="str">
        <f>INDEX(ДВД!$C$11:$C$3497,MATCH($B654,ДВД!$A$11:$A$3497,0))</f>
        <v>Ахмета</v>
      </c>
      <c r="E654" s="298" t="str">
        <f>INDEX(ДВД!$D$11:$D$3497,MATCH($B654,ДВД!$A$11:$A$3497,0))</f>
        <v>(12) გაზსადენების შეღებვა სხვადასხვა მისამართებზე (P.2.502)</v>
      </c>
      <c r="F654" s="298" t="str">
        <f>INDEX(ДВД!$E$11:$E$3497,MATCH($B654,ДВД!$A$11:$A$3497,0))</f>
        <v>Интерсервис 2011</v>
      </c>
      <c r="G654" s="6">
        <f t="shared" si="25"/>
        <v>9709.1862711864378</v>
      </c>
      <c r="H654" s="312">
        <f>INDEX(ДВД!$AN$11:$AN$3497,MATCH($B654,ДВД!$A$11:$A$3497,0))</f>
        <v>63649.11</v>
      </c>
      <c r="I654" s="3" t="str">
        <f t="shared" si="26"/>
        <v>ნოემბერი</v>
      </c>
      <c r="J654" s="298" t="str">
        <f>INDEX(ДВД!$BL$11:$BL$3497,MATCH($B654,ДВД!$A$11:$A$3497,0))</f>
        <v>SGG</v>
      </c>
      <c r="K654" s="285">
        <f>INDEX(ДВД!$BJ$11:$BJ$3497,MATCH($B654,ДВД!$A$11:$A$3497,0))</f>
        <v>45987</v>
      </c>
      <c r="O654" s="3"/>
      <c r="Q654"/>
    </row>
    <row r="655" spans="2:17" x14ac:dyDescent="0.25">
      <c r="B655" s="298"/>
      <c r="C655" s="298" t="e">
        <f>INDEX(ДВД!$BN$11:$BN$3497,MATCH($B655,ДВД!$A$11:$A$3497,0))</f>
        <v>#N/A</v>
      </c>
      <c r="D655" s="298" t="e">
        <f>INDEX(ДВД!$C$11:$C$3497,MATCH($B655,ДВД!$A$11:$A$3497,0))</f>
        <v>#N/A</v>
      </c>
      <c r="E655" s="298" t="e">
        <f>INDEX(ДВД!$D$11:$D$3497,MATCH($B655,ДВД!$A$11:$A$3497,0))</f>
        <v>#N/A</v>
      </c>
      <c r="F655" s="298" t="e">
        <f>INDEX(ДВД!$E$11:$E$3497,MATCH($B655,ДВД!$A$11:$A$3497,0))</f>
        <v>#N/A</v>
      </c>
      <c r="G655" s="6">
        <f t="shared" si="25"/>
        <v>0</v>
      </c>
      <c r="H655" s="312"/>
      <c r="I655" s="3" t="str">
        <f t="shared" si="26"/>
        <v>#N/A</v>
      </c>
      <c r="J655" s="298" t="e">
        <f>INDEX(ДВД!$BL$11:$BL$3497,MATCH($B655,ДВД!$A$11:$A$3497,0))</f>
        <v>#N/A</v>
      </c>
      <c r="K655" s="285" t="e">
        <f>INDEX(ДВД!$BJ$11:$BJ$3497,MATCH($B655,ДВД!$A$11:$A$3497,0))</f>
        <v>#N/A</v>
      </c>
      <c r="O655" s="3"/>
      <c r="Q655"/>
    </row>
    <row r="656" spans="2:17" x14ac:dyDescent="0.25">
      <c r="B656" s="298"/>
      <c r="C656" s="298" t="e">
        <f>INDEX(ДВД!$BN$11:$BN$3497,MATCH($B656,ДВД!$A$11:$A$3497,0))</f>
        <v>#N/A</v>
      </c>
      <c r="D656" s="298" t="e">
        <f>INDEX(ДВД!$C$11:$C$3497,MATCH($B656,ДВД!$A$11:$A$3497,0))</f>
        <v>#N/A</v>
      </c>
      <c r="E656" s="298" t="e">
        <f>INDEX(ДВД!$D$11:$D$3497,MATCH($B656,ДВД!$A$11:$A$3497,0))</f>
        <v>#N/A</v>
      </c>
      <c r="F656" s="298" t="e">
        <f>INDEX(ДВД!$E$11:$E$3497,MATCH($B656,ДВД!$A$11:$A$3497,0))</f>
        <v>#N/A</v>
      </c>
      <c r="G656" s="6">
        <f t="shared" si="25"/>
        <v>0</v>
      </c>
      <c r="H656" s="312"/>
      <c r="I656" s="3" t="str">
        <f t="shared" si="26"/>
        <v>#N/A</v>
      </c>
      <c r="J656" s="298" t="e">
        <f>INDEX(ДВД!$BL$11:$BL$3497,MATCH($B656,ДВД!$A$11:$A$3497,0))</f>
        <v>#N/A</v>
      </c>
      <c r="K656" s="285" t="e">
        <f>INDEX(ДВД!$BJ$11:$BJ$3497,MATCH($B656,ДВД!$A$11:$A$3497,0))</f>
        <v>#N/A</v>
      </c>
      <c r="O656" s="3"/>
      <c r="Q656"/>
    </row>
    <row r="657" spans="2:17" x14ac:dyDescent="0.25">
      <c r="B657" s="298"/>
      <c r="C657" s="298" t="e">
        <f>INDEX(ДВД!$BN$11:$BN$3497,MATCH($B657,ДВД!$A$11:$A$3497,0))</f>
        <v>#N/A</v>
      </c>
      <c r="D657" s="298" t="e">
        <f>INDEX(ДВД!$C$11:$C$3497,MATCH($B657,ДВД!$A$11:$A$3497,0))</f>
        <v>#N/A</v>
      </c>
      <c r="E657" s="298" t="e">
        <f>INDEX(ДВД!$D$11:$D$3497,MATCH($B657,ДВД!$A$11:$A$3497,0))</f>
        <v>#N/A</v>
      </c>
      <c r="F657" s="298" t="e">
        <f>INDEX(ДВД!$E$11:$E$3497,MATCH($B657,ДВД!$A$11:$A$3497,0))</f>
        <v>#N/A</v>
      </c>
      <c r="G657" s="6">
        <f t="shared" si="25"/>
        <v>0</v>
      </c>
      <c r="H657" s="312"/>
      <c r="I657" s="3" t="str">
        <f t="shared" si="26"/>
        <v>#N/A</v>
      </c>
      <c r="J657" s="298" t="e">
        <f>INDEX(ДВД!$BL$11:$BL$3497,MATCH($B657,ДВД!$A$11:$A$3497,0))</f>
        <v>#N/A</v>
      </c>
      <c r="K657" s="285" t="e">
        <f>INDEX(ДВД!$BJ$11:$BJ$3497,MATCH($B657,ДВД!$A$11:$A$3497,0))</f>
        <v>#N/A</v>
      </c>
      <c r="O657" s="3"/>
      <c r="Q657"/>
    </row>
    <row r="658" spans="2:17" x14ac:dyDescent="0.25">
      <c r="B658" s="298"/>
      <c r="C658" s="298" t="e">
        <f>INDEX(ДВД!$BN$11:$BN$3497,MATCH($B658,ДВД!$A$11:$A$3497,0))</f>
        <v>#N/A</v>
      </c>
      <c r="D658" s="298" t="e">
        <f>INDEX(ДВД!$C$11:$C$3497,MATCH($B658,ДВД!$A$11:$A$3497,0))</f>
        <v>#N/A</v>
      </c>
      <c r="E658" s="298" t="e">
        <f>INDEX(ДВД!$D$11:$D$3497,MATCH($B658,ДВД!$A$11:$A$3497,0))</f>
        <v>#N/A</v>
      </c>
      <c r="F658" s="298" t="e">
        <f>INDEX(ДВД!$E$11:$E$3497,MATCH($B658,ДВД!$A$11:$A$3497,0))</f>
        <v>#N/A</v>
      </c>
      <c r="G658" s="6">
        <f t="shared" ref="G658:G671" si="27">H658-H658/1.18</f>
        <v>0</v>
      </c>
      <c r="H658" s="312"/>
      <c r="I658" s="3" t="str">
        <f t="shared" ref="I658:I671" si="28">IF(B658="","#N/A","ნოემბერი")</f>
        <v>#N/A</v>
      </c>
      <c r="J658" s="298" t="e">
        <f>INDEX(ДВД!$BL$11:$BL$3497,MATCH($B658,ДВД!$A$11:$A$3497,0))</f>
        <v>#N/A</v>
      </c>
      <c r="K658" s="285" t="e">
        <f>INDEX(ДВД!$BJ$11:$BJ$3497,MATCH($B658,ДВД!$A$11:$A$3497,0))</f>
        <v>#N/A</v>
      </c>
      <c r="O658" s="3"/>
      <c r="Q658"/>
    </row>
    <row r="659" spans="2:17" x14ac:dyDescent="0.25">
      <c r="B659" s="298"/>
      <c r="C659" s="298" t="e">
        <f>INDEX(ДВД!$BN$11:$BN$3497,MATCH($B659,ДВД!$A$11:$A$3497,0))</f>
        <v>#N/A</v>
      </c>
      <c r="D659" s="298" t="e">
        <f>INDEX(ДВД!$C$11:$C$3497,MATCH($B659,ДВД!$A$11:$A$3497,0))</f>
        <v>#N/A</v>
      </c>
      <c r="E659" s="298" t="e">
        <f>INDEX(ДВД!$D$11:$D$3497,MATCH($B659,ДВД!$A$11:$A$3497,0))</f>
        <v>#N/A</v>
      </c>
      <c r="F659" s="298" t="e">
        <f>INDEX(ДВД!$E$11:$E$3497,MATCH($B659,ДВД!$A$11:$A$3497,0))</f>
        <v>#N/A</v>
      </c>
      <c r="G659" s="6">
        <f t="shared" si="27"/>
        <v>0</v>
      </c>
      <c r="H659" s="312"/>
      <c r="I659" s="3" t="str">
        <f t="shared" si="28"/>
        <v>#N/A</v>
      </c>
      <c r="J659" s="298" t="e">
        <f>INDEX(ДВД!$BL$11:$BL$3497,MATCH($B659,ДВД!$A$11:$A$3497,0))</f>
        <v>#N/A</v>
      </c>
      <c r="K659" s="285" t="e">
        <f>INDEX(ДВД!$BJ$11:$BJ$3497,MATCH($B659,ДВД!$A$11:$A$3497,0))</f>
        <v>#N/A</v>
      </c>
      <c r="O659" s="3"/>
      <c r="Q659"/>
    </row>
    <row r="660" spans="2:17" x14ac:dyDescent="0.25">
      <c r="B660" s="298"/>
      <c r="C660" s="298" t="e">
        <f>INDEX(ДВД!$BN$11:$BN$3497,MATCH($B660,ДВД!$A$11:$A$3497,0))</f>
        <v>#N/A</v>
      </c>
      <c r="D660" s="298" t="e">
        <f>INDEX(ДВД!$C$11:$C$3497,MATCH($B660,ДВД!$A$11:$A$3497,0))</f>
        <v>#N/A</v>
      </c>
      <c r="E660" s="298" t="e">
        <f>INDEX(ДВД!$D$11:$D$3497,MATCH($B660,ДВД!$A$11:$A$3497,0))</f>
        <v>#N/A</v>
      </c>
      <c r="F660" s="298" t="e">
        <f>INDEX(ДВД!$E$11:$E$3497,MATCH($B660,ДВД!$A$11:$A$3497,0))</f>
        <v>#N/A</v>
      </c>
      <c r="G660" s="6">
        <f t="shared" si="27"/>
        <v>0</v>
      </c>
      <c r="H660" s="312"/>
      <c r="I660" s="3" t="str">
        <f t="shared" si="28"/>
        <v>#N/A</v>
      </c>
      <c r="J660" s="298" t="e">
        <f>INDEX(ДВД!$BL$11:$BL$3497,MATCH($B660,ДВД!$A$11:$A$3497,0))</f>
        <v>#N/A</v>
      </c>
      <c r="K660" s="285" t="e">
        <f>INDEX(ДВД!$BJ$11:$BJ$3497,MATCH($B660,ДВД!$A$11:$A$3497,0))</f>
        <v>#N/A</v>
      </c>
      <c r="O660" s="3"/>
      <c r="Q660"/>
    </row>
    <row r="661" spans="2:17" x14ac:dyDescent="0.25">
      <c r="B661" s="298"/>
      <c r="C661" s="298" t="e">
        <f>INDEX(ДВД!$BN$11:$BN$3497,MATCH($B661,ДВД!$A$11:$A$3497,0))</f>
        <v>#N/A</v>
      </c>
      <c r="D661" s="298" t="e">
        <f>INDEX(ДВД!$C$11:$C$3497,MATCH($B661,ДВД!$A$11:$A$3497,0))</f>
        <v>#N/A</v>
      </c>
      <c r="E661" s="298" t="e">
        <f>INDEX(ДВД!$D$11:$D$3497,MATCH($B661,ДВД!$A$11:$A$3497,0))</f>
        <v>#N/A</v>
      </c>
      <c r="F661" s="298" t="e">
        <f>INDEX(ДВД!$E$11:$E$3497,MATCH($B661,ДВД!$A$11:$A$3497,0))</f>
        <v>#N/A</v>
      </c>
      <c r="G661" s="6">
        <f t="shared" si="27"/>
        <v>0</v>
      </c>
      <c r="H661" s="312"/>
      <c r="I661" s="3" t="str">
        <f t="shared" si="28"/>
        <v>#N/A</v>
      </c>
      <c r="J661" s="298" t="e">
        <f>INDEX(ДВД!$BL$11:$BL$3497,MATCH($B661,ДВД!$A$11:$A$3497,0))</f>
        <v>#N/A</v>
      </c>
      <c r="K661" s="285" t="e">
        <f>INDEX(ДВД!$BJ$11:$BJ$3497,MATCH($B661,ДВД!$A$11:$A$3497,0))</f>
        <v>#N/A</v>
      </c>
      <c r="O661" s="3"/>
      <c r="Q661"/>
    </row>
    <row r="662" spans="2:17" x14ac:dyDescent="0.25">
      <c r="B662" s="298"/>
      <c r="C662" s="298" t="e">
        <f>INDEX(ДВД!$BN$11:$BN$3497,MATCH($B662,ДВД!$A$11:$A$3497,0))</f>
        <v>#N/A</v>
      </c>
      <c r="D662" s="298" t="e">
        <f>INDEX(ДВД!$C$11:$C$3497,MATCH($B662,ДВД!$A$11:$A$3497,0))</f>
        <v>#N/A</v>
      </c>
      <c r="E662" s="298" t="e">
        <f>INDEX(ДВД!$D$11:$D$3497,MATCH($B662,ДВД!$A$11:$A$3497,0))</f>
        <v>#N/A</v>
      </c>
      <c r="F662" s="298" t="e">
        <f>INDEX(ДВД!$E$11:$E$3497,MATCH($B662,ДВД!$A$11:$A$3497,0))</f>
        <v>#N/A</v>
      </c>
      <c r="G662" s="6">
        <f t="shared" si="27"/>
        <v>0</v>
      </c>
      <c r="H662" s="312"/>
      <c r="I662" s="3" t="str">
        <f t="shared" si="28"/>
        <v>#N/A</v>
      </c>
      <c r="J662" s="298" t="e">
        <f>INDEX(ДВД!$BL$11:$BL$3497,MATCH($B662,ДВД!$A$11:$A$3497,0))</f>
        <v>#N/A</v>
      </c>
      <c r="K662" s="285" t="e">
        <f>INDEX(ДВД!$BJ$11:$BJ$3497,MATCH($B662,ДВД!$A$11:$A$3497,0))</f>
        <v>#N/A</v>
      </c>
      <c r="O662" s="3"/>
      <c r="Q662"/>
    </row>
    <row r="663" spans="2:17" x14ac:dyDescent="0.25">
      <c r="B663" s="298"/>
      <c r="C663" s="298" t="e">
        <f>INDEX(ДВД!$BN$11:$BN$3497,MATCH($B663,ДВД!$A$11:$A$3497,0))</f>
        <v>#N/A</v>
      </c>
      <c r="D663" s="298" t="e">
        <f>INDEX(ДВД!$C$11:$C$3497,MATCH($B663,ДВД!$A$11:$A$3497,0))</f>
        <v>#N/A</v>
      </c>
      <c r="E663" s="298" t="e">
        <f>INDEX(ДВД!$D$11:$D$3497,MATCH($B663,ДВД!$A$11:$A$3497,0))</f>
        <v>#N/A</v>
      </c>
      <c r="F663" s="298" t="e">
        <f>INDEX(ДВД!$E$11:$E$3497,MATCH($B663,ДВД!$A$11:$A$3497,0))</f>
        <v>#N/A</v>
      </c>
      <c r="G663" s="6">
        <f t="shared" si="27"/>
        <v>0</v>
      </c>
      <c r="H663" s="312"/>
      <c r="I663" s="3" t="str">
        <f t="shared" si="28"/>
        <v>#N/A</v>
      </c>
      <c r="J663" s="298" t="e">
        <f>INDEX(ДВД!$BL$11:$BL$3497,MATCH($B663,ДВД!$A$11:$A$3497,0))</f>
        <v>#N/A</v>
      </c>
      <c r="K663" s="285" t="e">
        <f>INDEX(ДВД!$BJ$11:$BJ$3497,MATCH($B663,ДВД!$A$11:$A$3497,0))</f>
        <v>#N/A</v>
      </c>
      <c r="O663" s="3"/>
      <c r="Q663"/>
    </row>
    <row r="664" spans="2:17" x14ac:dyDescent="0.25">
      <c r="B664" s="298"/>
      <c r="C664" s="298" t="e">
        <f>INDEX(ДВД!$BN$11:$BN$3497,MATCH($B664,ДВД!$A$11:$A$3497,0))</f>
        <v>#N/A</v>
      </c>
      <c r="D664" s="298" t="e">
        <f>INDEX(ДВД!$C$11:$C$3497,MATCH($B664,ДВД!$A$11:$A$3497,0))</f>
        <v>#N/A</v>
      </c>
      <c r="E664" s="298" t="e">
        <f>INDEX(ДВД!$D$11:$D$3497,MATCH($B664,ДВД!$A$11:$A$3497,0))</f>
        <v>#N/A</v>
      </c>
      <c r="F664" s="298" t="e">
        <f>INDEX(ДВД!$E$11:$E$3497,MATCH($B664,ДВД!$A$11:$A$3497,0))</f>
        <v>#N/A</v>
      </c>
      <c r="G664" s="6">
        <f t="shared" si="27"/>
        <v>0</v>
      </c>
      <c r="H664" s="312"/>
      <c r="I664" s="3" t="str">
        <f t="shared" si="28"/>
        <v>#N/A</v>
      </c>
      <c r="J664" s="298" t="e">
        <f>INDEX(ДВД!$BL$11:$BL$3497,MATCH($B664,ДВД!$A$11:$A$3497,0))</f>
        <v>#N/A</v>
      </c>
      <c r="K664" s="285" t="e">
        <f>INDEX(ДВД!$BJ$11:$BJ$3497,MATCH($B664,ДВД!$A$11:$A$3497,0))</f>
        <v>#N/A</v>
      </c>
      <c r="O664" s="3"/>
      <c r="Q664"/>
    </row>
    <row r="665" spans="2:17" x14ac:dyDescent="0.25">
      <c r="B665" s="298"/>
      <c r="C665" s="298" t="e">
        <f>INDEX(ДВД!$BN$11:$BN$3497,MATCH($B665,ДВД!$A$11:$A$3497,0))</f>
        <v>#N/A</v>
      </c>
      <c r="D665" s="298" t="e">
        <f>INDEX(ДВД!$C$11:$C$3497,MATCH($B665,ДВД!$A$11:$A$3497,0))</f>
        <v>#N/A</v>
      </c>
      <c r="E665" s="298" t="e">
        <f>INDEX(ДВД!$D$11:$D$3497,MATCH($B665,ДВД!$A$11:$A$3497,0))</f>
        <v>#N/A</v>
      </c>
      <c r="F665" s="298" t="e">
        <f>INDEX(ДВД!$E$11:$E$3497,MATCH($B665,ДВД!$A$11:$A$3497,0))</f>
        <v>#N/A</v>
      </c>
      <c r="G665" s="6">
        <f t="shared" si="27"/>
        <v>0</v>
      </c>
      <c r="H665" s="312"/>
      <c r="I665" s="3" t="str">
        <f t="shared" si="28"/>
        <v>#N/A</v>
      </c>
      <c r="J665" s="298" t="e">
        <f>INDEX(ДВД!$BL$11:$BL$3497,MATCH($B665,ДВД!$A$11:$A$3497,0))</f>
        <v>#N/A</v>
      </c>
      <c r="K665" s="285" t="e">
        <f>INDEX(ДВД!$BJ$11:$BJ$3497,MATCH($B665,ДВД!$A$11:$A$3497,0))</f>
        <v>#N/A</v>
      </c>
      <c r="O665" s="3"/>
      <c r="Q665"/>
    </row>
    <row r="666" spans="2:17" x14ac:dyDescent="0.25">
      <c r="B666" s="298"/>
      <c r="C666" s="298" t="e">
        <f>INDEX(ДВД!$BN$11:$BN$3497,MATCH($B666,ДВД!$A$11:$A$3497,0))</f>
        <v>#N/A</v>
      </c>
      <c r="D666" s="298" t="e">
        <f>INDEX(ДВД!$C$11:$C$3497,MATCH($B666,ДВД!$A$11:$A$3497,0))</f>
        <v>#N/A</v>
      </c>
      <c r="E666" s="298" t="e">
        <f>INDEX(ДВД!$D$11:$D$3497,MATCH($B666,ДВД!$A$11:$A$3497,0))</f>
        <v>#N/A</v>
      </c>
      <c r="F666" s="298" t="e">
        <f>INDEX(ДВД!$E$11:$E$3497,MATCH($B666,ДВД!$A$11:$A$3497,0))</f>
        <v>#N/A</v>
      </c>
      <c r="G666" s="6">
        <f t="shared" si="27"/>
        <v>0</v>
      </c>
      <c r="H666" s="312"/>
      <c r="I666" s="3" t="str">
        <f t="shared" si="28"/>
        <v>#N/A</v>
      </c>
      <c r="J666" s="298" t="e">
        <f>INDEX(ДВД!$BL$11:$BL$3497,MATCH($B666,ДВД!$A$11:$A$3497,0))</f>
        <v>#N/A</v>
      </c>
      <c r="K666" s="285" t="e">
        <f>INDEX(ДВД!$BJ$11:$BJ$3497,MATCH($B666,ДВД!$A$11:$A$3497,0))</f>
        <v>#N/A</v>
      </c>
      <c r="O666" s="3"/>
      <c r="Q666"/>
    </row>
    <row r="667" spans="2:17" x14ac:dyDescent="0.25">
      <c r="B667" s="298"/>
      <c r="C667" s="298" t="e">
        <f>INDEX(ДВД!$BN$11:$BN$3497,MATCH($B667,ДВД!$A$11:$A$3497,0))</f>
        <v>#N/A</v>
      </c>
      <c r="D667" s="298" t="e">
        <f>INDEX(ДВД!$C$11:$C$3497,MATCH($B667,ДВД!$A$11:$A$3497,0))</f>
        <v>#N/A</v>
      </c>
      <c r="E667" s="298" t="e">
        <f>INDEX(ДВД!$D$11:$D$3497,MATCH($B667,ДВД!$A$11:$A$3497,0))</f>
        <v>#N/A</v>
      </c>
      <c r="F667" s="298" t="e">
        <f>INDEX(ДВД!$E$11:$E$3497,MATCH($B667,ДВД!$A$11:$A$3497,0))</f>
        <v>#N/A</v>
      </c>
      <c r="G667" s="6">
        <f t="shared" si="27"/>
        <v>0</v>
      </c>
      <c r="H667" s="312"/>
      <c r="I667" s="3" t="str">
        <f t="shared" si="28"/>
        <v>#N/A</v>
      </c>
      <c r="J667" s="298" t="e">
        <f>INDEX(ДВД!$BL$11:$BL$3497,MATCH($B667,ДВД!$A$11:$A$3497,0))</f>
        <v>#N/A</v>
      </c>
      <c r="K667" s="285" t="e">
        <f>INDEX(ДВД!$BJ$11:$BJ$3497,MATCH($B667,ДВД!$A$11:$A$3497,0))</f>
        <v>#N/A</v>
      </c>
      <c r="O667" s="3"/>
      <c r="Q667"/>
    </row>
    <row r="668" spans="2:17" x14ac:dyDescent="0.25">
      <c r="B668" s="298"/>
      <c r="C668" s="298" t="e">
        <f>INDEX(ДВД!$BN$11:$BN$3497,MATCH($B668,ДВД!$A$11:$A$3497,0))</f>
        <v>#N/A</v>
      </c>
      <c r="D668" s="298" t="e">
        <f>INDEX(ДВД!$C$11:$C$3497,MATCH($B668,ДВД!$A$11:$A$3497,0))</f>
        <v>#N/A</v>
      </c>
      <c r="E668" s="298" t="e">
        <f>INDEX(ДВД!$D$11:$D$3497,MATCH($B668,ДВД!$A$11:$A$3497,0))</f>
        <v>#N/A</v>
      </c>
      <c r="F668" s="298" t="e">
        <f>INDEX(ДВД!$E$11:$E$3497,MATCH($B668,ДВД!$A$11:$A$3497,0))</f>
        <v>#N/A</v>
      </c>
      <c r="G668" s="6">
        <f t="shared" si="27"/>
        <v>0</v>
      </c>
      <c r="H668" s="312"/>
      <c r="I668" s="3" t="str">
        <f t="shared" si="28"/>
        <v>#N/A</v>
      </c>
      <c r="J668" s="298" t="e">
        <f>INDEX(ДВД!$BL$11:$BL$3497,MATCH($B668,ДВД!$A$11:$A$3497,0))</f>
        <v>#N/A</v>
      </c>
      <c r="K668" s="285" t="e">
        <f>INDEX(ДВД!$BJ$11:$BJ$3497,MATCH($B668,ДВД!$A$11:$A$3497,0))</f>
        <v>#N/A</v>
      </c>
      <c r="O668" s="3"/>
      <c r="Q668"/>
    </row>
    <row r="669" spans="2:17" x14ac:dyDescent="0.25">
      <c r="B669" s="298"/>
      <c r="C669" s="298" t="e">
        <f>INDEX(ДВД!$BN$11:$BN$3497,MATCH($B669,ДВД!$A$11:$A$3497,0))</f>
        <v>#N/A</v>
      </c>
      <c r="D669" s="298" t="e">
        <f>INDEX(ДВД!$C$11:$C$3497,MATCH($B669,ДВД!$A$11:$A$3497,0))</f>
        <v>#N/A</v>
      </c>
      <c r="E669" s="298" t="e">
        <f>INDEX(ДВД!$D$11:$D$3497,MATCH($B669,ДВД!$A$11:$A$3497,0))</f>
        <v>#N/A</v>
      </c>
      <c r="F669" s="298" t="e">
        <f>INDEX(ДВД!$E$11:$E$3497,MATCH($B669,ДВД!$A$11:$A$3497,0))</f>
        <v>#N/A</v>
      </c>
      <c r="G669" s="6">
        <f t="shared" si="27"/>
        <v>0</v>
      </c>
      <c r="H669" s="312"/>
      <c r="I669" s="3" t="str">
        <f t="shared" si="28"/>
        <v>#N/A</v>
      </c>
      <c r="J669" s="298" t="e">
        <f>INDEX(ДВД!$BL$11:$BL$3497,MATCH($B669,ДВД!$A$11:$A$3497,0))</f>
        <v>#N/A</v>
      </c>
      <c r="K669" s="285" t="e">
        <f>INDEX(ДВД!$BJ$11:$BJ$3497,MATCH($B669,ДВД!$A$11:$A$3497,0))</f>
        <v>#N/A</v>
      </c>
      <c r="O669" s="3"/>
      <c r="Q669"/>
    </row>
    <row r="670" spans="2:17" x14ac:dyDescent="0.25">
      <c r="B670" s="298"/>
      <c r="C670" s="298" t="e">
        <f>INDEX(ДВД!$BN$11:$BN$3497,MATCH($B670,ДВД!$A$11:$A$3497,0))</f>
        <v>#N/A</v>
      </c>
      <c r="D670" s="298" t="e">
        <f>INDEX(ДВД!$C$11:$C$3497,MATCH($B670,ДВД!$A$11:$A$3497,0))</f>
        <v>#N/A</v>
      </c>
      <c r="E670" s="298" t="e">
        <f>INDEX(ДВД!$D$11:$D$3497,MATCH($B670,ДВД!$A$11:$A$3497,0))</f>
        <v>#N/A</v>
      </c>
      <c r="F670" s="298" t="e">
        <f>INDEX(ДВД!$E$11:$E$3497,MATCH($B670,ДВД!$A$11:$A$3497,0))</f>
        <v>#N/A</v>
      </c>
      <c r="G670" s="6">
        <f t="shared" si="27"/>
        <v>0</v>
      </c>
      <c r="H670" s="312"/>
      <c r="I670" s="3" t="str">
        <f t="shared" si="28"/>
        <v>#N/A</v>
      </c>
      <c r="J670" s="298" t="e">
        <f>INDEX(ДВД!$BL$11:$BL$3497,MATCH($B670,ДВД!$A$11:$A$3497,0))</f>
        <v>#N/A</v>
      </c>
      <c r="K670" s="285" t="e">
        <f>INDEX(ДВД!$BJ$11:$BJ$3497,MATCH($B670,ДВД!$A$11:$A$3497,0))</f>
        <v>#N/A</v>
      </c>
      <c r="O670" s="3"/>
      <c r="Q670"/>
    </row>
    <row r="671" spans="2:17" x14ac:dyDescent="0.25">
      <c r="B671" s="298"/>
      <c r="C671" s="298" t="e">
        <f>INDEX(ДВД!$BN$11:$BN$3497,MATCH($B671,ДВД!$A$11:$A$3497,0))</f>
        <v>#N/A</v>
      </c>
      <c r="D671" s="298" t="e">
        <f>INDEX(ДВД!$C$11:$C$3497,MATCH($B671,ДВД!$A$11:$A$3497,0))</f>
        <v>#N/A</v>
      </c>
      <c r="E671" s="298" t="e">
        <f>INDEX(ДВД!$D$11:$D$3497,MATCH($B671,ДВД!$A$11:$A$3497,0))</f>
        <v>#N/A</v>
      </c>
      <c r="F671" s="298" t="e">
        <f>INDEX(ДВД!$E$11:$E$3497,MATCH($B671,ДВД!$A$11:$A$3497,0))</f>
        <v>#N/A</v>
      </c>
      <c r="G671" s="6">
        <f t="shared" si="27"/>
        <v>0</v>
      </c>
      <c r="H671" s="312"/>
      <c r="I671" s="3" t="str">
        <f t="shared" si="28"/>
        <v>#N/A</v>
      </c>
      <c r="J671" s="298" t="e">
        <f>INDEX(ДВД!$BL$11:$BL$3497,MATCH($B671,ДВД!$A$11:$A$3497,0))</f>
        <v>#N/A</v>
      </c>
      <c r="K671" s="285" t="e">
        <f>INDEX(ДВД!$BJ$11:$BJ$3497,MATCH($B671,ДВД!$A$11:$A$3497,0))</f>
        <v>#N/A</v>
      </c>
      <c r="O671" s="3"/>
      <c r="Q671"/>
    </row>
    <row r="672" spans="2:17" x14ac:dyDescent="0.25">
      <c r="B672" s="298"/>
      <c r="C672" s="298"/>
      <c r="D672" s="3"/>
      <c r="E672" s="3"/>
      <c r="F672" s="3"/>
      <c r="G672" s="6">
        <f t="shared" ref="G658:G708" si="29">H672-H672/1.18</f>
        <v>0</v>
      </c>
      <c r="H672" s="6"/>
      <c r="I672" s="3"/>
      <c r="J672" s="3"/>
      <c r="K672" s="285"/>
      <c r="O672" s="3"/>
      <c r="Q672"/>
    </row>
    <row r="673" spans="2:17" x14ac:dyDescent="0.25">
      <c r="B673" s="298"/>
      <c r="C673" s="298"/>
      <c r="D673" s="3"/>
      <c r="E673" s="3"/>
      <c r="F673" s="3"/>
      <c r="G673" s="6">
        <f t="shared" si="29"/>
        <v>0</v>
      </c>
      <c r="H673" s="6"/>
      <c r="I673" s="3"/>
      <c r="J673" s="3"/>
      <c r="K673" s="285"/>
      <c r="O673" s="3"/>
      <c r="Q673"/>
    </row>
    <row r="674" spans="2:17" x14ac:dyDescent="0.25">
      <c r="B674" s="298"/>
      <c r="C674" s="298"/>
      <c r="D674" s="3"/>
      <c r="E674" s="3"/>
      <c r="F674" s="3"/>
      <c r="G674" s="6">
        <f t="shared" si="29"/>
        <v>0</v>
      </c>
      <c r="H674" s="6"/>
      <c r="I674" s="3"/>
      <c r="J674" s="3"/>
      <c r="K674" s="285"/>
      <c r="O674" s="3"/>
      <c r="Q674"/>
    </row>
    <row r="675" spans="2:17" x14ac:dyDescent="0.25">
      <c r="B675" s="298"/>
      <c r="C675" s="298"/>
      <c r="D675" s="3"/>
      <c r="E675" s="3"/>
      <c r="F675" s="3"/>
      <c r="G675" s="6">
        <f t="shared" si="29"/>
        <v>0</v>
      </c>
      <c r="H675" s="6"/>
      <c r="I675" s="3"/>
      <c r="J675" s="3"/>
      <c r="K675" s="285"/>
      <c r="O675" s="3"/>
      <c r="Q675"/>
    </row>
    <row r="676" spans="2:17" x14ac:dyDescent="0.25">
      <c r="B676" s="298"/>
      <c r="C676" s="298"/>
      <c r="D676" s="3"/>
      <c r="E676" s="3"/>
      <c r="F676" s="3"/>
      <c r="G676" s="6">
        <f t="shared" si="29"/>
        <v>0</v>
      </c>
      <c r="H676" s="6"/>
      <c r="I676" s="3"/>
      <c r="J676" s="3"/>
      <c r="K676" s="285"/>
      <c r="O676" s="3"/>
      <c r="Q676"/>
    </row>
    <row r="677" spans="2:17" x14ac:dyDescent="0.25">
      <c r="B677" s="298"/>
      <c r="C677" s="298"/>
      <c r="D677" s="3"/>
      <c r="E677" s="3"/>
      <c r="F677" s="3"/>
      <c r="G677" s="6">
        <f t="shared" si="29"/>
        <v>0</v>
      </c>
      <c r="H677" s="6"/>
      <c r="I677" s="3"/>
      <c r="J677" s="3"/>
      <c r="K677" s="285"/>
      <c r="O677" s="3"/>
      <c r="Q677"/>
    </row>
    <row r="678" spans="2:17" x14ac:dyDescent="0.25">
      <c r="B678" s="298"/>
      <c r="C678" s="298"/>
      <c r="D678" s="3"/>
      <c r="E678" s="3"/>
      <c r="F678" s="3"/>
      <c r="G678" s="6">
        <f t="shared" si="29"/>
        <v>0</v>
      </c>
      <c r="H678" s="6"/>
      <c r="I678" s="3"/>
      <c r="J678" s="3"/>
      <c r="K678" s="285"/>
      <c r="O678" s="3"/>
      <c r="Q678"/>
    </row>
    <row r="679" spans="2:17" x14ac:dyDescent="0.25">
      <c r="B679" s="298"/>
      <c r="C679" s="298"/>
      <c r="D679" s="3"/>
      <c r="E679" s="3"/>
      <c r="F679" s="3"/>
      <c r="G679" s="6">
        <f t="shared" si="29"/>
        <v>0</v>
      </c>
      <c r="H679" s="6"/>
      <c r="I679" s="3"/>
      <c r="J679" s="3"/>
      <c r="K679" s="285"/>
      <c r="O679" s="3"/>
      <c r="Q679"/>
    </row>
    <row r="680" spans="2:17" x14ac:dyDescent="0.25">
      <c r="B680" s="298"/>
      <c r="C680" s="298"/>
      <c r="D680" s="3"/>
      <c r="E680" s="3"/>
      <c r="F680" s="3"/>
      <c r="G680" s="6">
        <f t="shared" si="29"/>
        <v>0</v>
      </c>
      <c r="H680" s="6"/>
      <c r="I680" s="3"/>
      <c r="J680" s="3"/>
      <c r="K680" s="285"/>
      <c r="O680" s="3"/>
      <c r="Q680"/>
    </row>
    <row r="681" spans="2:17" x14ac:dyDescent="0.25">
      <c r="B681" s="298"/>
      <c r="C681" s="298"/>
      <c r="D681" s="3"/>
      <c r="E681" s="3"/>
      <c r="F681" s="3"/>
      <c r="G681" s="6">
        <f t="shared" si="29"/>
        <v>0</v>
      </c>
      <c r="H681" s="6"/>
      <c r="I681" s="3"/>
      <c r="J681" s="3"/>
      <c r="K681" s="285"/>
      <c r="O681" s="3"/>
      <c r="Q681"/>
    </row>
    <row r="682" spans="2:17" x14ac:dyDescent="0.25">
      <c r="B682" s="298"/>
      <c r="C682" s="298"/>
      <c r="D682" s="3"/>
      <c r="E682" s="3"/>
      <c r="F682" s="3"/>
      <c r="G682" s="6">
        <f t="shared" si="29"/>
        <v>0</v>
      </c>
      <c r="H682" s="6"/>
      <c r="I682" s="3"/>
      <c r="J682" s="3"/>
      <c r="K682" s="285"/>
      <c r="O682" s="3"/>
      <c r="Q682"/>
    </row>
    <row r="683" spans="2:17" x14ac:dyDescent="0.25">
      <c r="B683" s="298"/>
      <c r="C683" s="298"/>
      <c r="D683" s="3"/>
      <c r="E683" s="3"/>
      <c r="F683" s="3"/>
      <c r="G683" s="6">
        <f t="shared" si="29"/>
        <v>0</v>
      </c>
      <c r="H683" s="6"/>
      <c r="I683" s="3"/>
      <c r="J683" s="3"/>
      <c r="K683" s="285"/>
      <c r="O683" s="3"/>
      <c r="Q683"/>
    </row>
    <row r="684" spans="2:17" x14ac:dyDescent="0.25">
      <c r="B684" s="298"/>
      <c r="C684" s="298"/>
      <c r="D684" s="3"/>
      <c r="E684" s="3"/>
      <c r="F684" s="3"/>
      <c r="G684" s="6">
        <f t="shared" si="29"/>
        <v>0</v>
      </c>
      <c r="H684" s="6"/>
      <c r="I684" s="3"/>
      <c r="J684" s="3"/>
      <c r="K684" s="285"/>
      <c r="O684" s="3"/>
      <c r="Q684"/>
    </row>
    <row r="685" spans="2:17" x14ac:dyDescent="0.25">
      <c r="B685" s="298"/>
      <c r="C685" s="298"/>
      <c r="D685" s="3"/>
      <c r="E685" s="3"/>
      <c r="F685" s="3"/>
      <c r="G685" s="6">
        <f t="shared" si="29"/>
        <v>0</v>
      </c>
      <c r="H685" s="6"/>
      <c r="I685" s="3"/>
      <c r="J685" s="3"/>
      <c r="K685" s="285"/>
      <c r="O685" s="3"/>
      <c r="Q685"/>
    </row>
    <row r="686" spans="2:17" x14ac:dyDescent="0.25">
      <c r="B686" s="298"/>
      <c r="C686" s="298"/>
      <c r="D686" s="3"/>
      <c r="E686" s="3"/>
      <c r="F686" s="3"/>
      <c r="G686" s="6">
        <f t="shared" si="29"/>
        <v>0</v>
      </c>
      <c r="H686" s="6"/>
      <c r="I686" s="3"/>
      <c r="J686" s="3"/>
      <c r="K686" s="285"/>
      <c r="O686" s="3"/>
      <c r="Q686"/>
    </row>
    <row r="687" spans="2:17" x14ac:dyDescent="0.25">
      <c r="B687" s="298"/>
      <c r="C687" s="298"/>
      <c r="D687" s="3"/>
      <c r="E687" s="3"/>
      <c r="F687" s="3"/>
      <c r="G687" s="6">
        <f t="shared" si="29"/>
        <v>0</v>
      </c>
      <c r="H687" s="6"/>
      <c r="I687" s="3"/>
      <c r="J687" s="3"/>
      <c r="K687" s="285"/>
      <c r="O687" s="3"/>
      <c r="Q687"/>
    </row>
    <row r="688" spans="2:17" x14ac:dyDescent="0.25">
      <c r="B688" s="298"/>
      <c r="C688" s="298"/>
      <c r="D688" s="3"/>
      <c r="E688" s="3"/>
      <c r="F688" s="3"/>
      <c r="G688" s="6">
        <f t="shared" si="29"/>
        <v>0</v>
      </c>
      <c r="H688" s="6"/>
      <c r="I688" s="3"/>
      <c r="J688" s="3"/>
      <c r="K688" s="285"/>
      <c r="O688" s="3"/>
      <c r="Q688"/>
    </row>
    <row r="689" spans="2:17" x14ac:dyDescent="0.25">
      <c r="B689" s="298"/>
      <c r="C689" s="298"/>
      <c r="D689" s="3"/>
      <c r="E689" s="3"/>
      <c r="F689" s="3"/>
      <c r="G689" s="6">
        <f t="shared" si="29"/>
        <v>0</v>
      </c>
      <c r="H689" s="6"/>
      <c r="I689" s="3"/>
      <c r="J689" s="3"/>
      <c r="K689" s="285"/>
      <c r="O689" s="3"/>
      <c r="Q689"/>
    </row>
    <row r="690" spans="2:17" x14ac:dyDescent="0.25">
      <c r="B690" s="298"/>
      <c r="C690" s="298"/>
      <c r="D690" s="3"/>
      <c r="E690" s="3"/>
      <c r="F690" s="3"/>
      <c r="G690" s="6">
        <f t="shared" si="29"/>
        <v>0</v>
      </c>
      <c r="H690" s="6"/>
      <c r="I690" s="3"/>
      <c r="J690" s="3"/>
      <c r="K690" s="285"/>
      <c r="O690" s="3"/>
      <c r="Q690"/>
    </row>
    <row r="691" spans="2:17" x14ac:dyDescent="0.25">
      <c r="B691" s="298"/>
      <c r="C691" s="298"/>
      <c r="D691" s="3"/>
      <c r="E691" s="3"/>
      <c r="F691" s="3"/>
      <c r="G691" s="6">
        <f t="shared" si="29"/>
        <v>0</v>
      </c>
      <c r="H691" s="6"/>
      <c r="I691" s="3"/>
      <c r="J691" s="3"/>
      <c r="K691" s="285"/>
      <c r="O691" s="3"/>
      <c r="Q691"/>
    </row>
    <row r="692" spans="2:17" x14ac:dyDescent="0.25">
      <c r="B692" s="298"/>
      <c r="C692" s="298"/>
      <c r="D692" s="3"/>
      <c r="E692" s="3"/>
      <c r="F692" s="3"/>
      <c r="G692" s="6">
        <f t="shared" si="29"/>
        <v>0</v>
      </c>
      <c r="H692" s="6"/>
      <c r="I692" s="3"/>
      <c r="J692" s="3"/>
      <c r="K692" s="285"/>
      <c r="O692" s="3"/>
      <c r="Q692"/>
    </row>
    <row r="693" spans="2:17" x14ac:dyDescent="0.25">
      <c r="B693" s="298"/>
      <c r="C693" s="298"/>
      <c r="D693" s="3"/>
      <c r="E693" s="3"/>
      <c r="F693" s="3"/>
      <c r="G693" s="6">
        <f t="shared" si="29"/>
        <v>0</v>
      </c>
      <c r="H693" s="6"/>
      <c r="I693" s="3"/>
      <c r="J693" s="3"/>
      <c r="K693" s="285"/>
      <c r="O693" s="3"/>
      <c r="Q693"/>
    </row>
    <row r="694" spans="2:17" x14ac:dyDescent="0.25">
      <c r="B694" s="298"/>
      <c r="C694" s="298"/>
      <c r="D694" s="3"/>
      <c r="E694" s="3"/>
      <c r="F694" s="3"/>
      <c r="G694" s="6">
        <f t="shared" si="29"/>
        <v>0</v>
      </c>
      <c r="H694" s="6"/>
      <c r="I694" s="3"/>
      <c r="J694" s="3"/>
      <c r="K694" s="285"/>
      <c r="L694" s="79"/>
      <c r="O694" s="3"/>
      <c r="Q694"/>
    </row>
    <row r="695" spans="2:17" x14ac:dyDescent="0.25">
      <c r="B695" s="298"/>
      <c r="C695" s="298"/>
      <c r="D695" s="3"/>
      <c r="E695" s="3"/>
      <c r="F695" s="3"/>
      <c r="G695" s="6">
        <f t="shared" si="29"/>
        <v>0</v>
      </c>
      <c r="H695" s="6"/>
      <c r="I695" s="3"/>
      <c r="J695" s="3"/>
      <c r="K695" s="285"/>
      <c r="O695" s="3"/>
      <c r="Q695"/>
    </row>
    <row r="696" spans="2:17" x14ac:dyDescent="0.25">
      <c r="B696" s="298"/>
      <c r="C696" s="298"/>
      <c r="D696" s="3"/>
      <c r="E696" s="3"/>
      <c r="F696" s="3"/>
      <c r="G696" s="6">
        <f t="shared" si="29"/>
        <v>0</v>
      </c>
      <c r="H696" s="6"/>
      <c r="I696" s="3"/>
      <c r="J696" s="3"/>
      <c r="K696" s="285"/>
      <c r="O696" s="3"/>
      <c r="Q696"/>
    </row>
    <row r="697" spans="2:17" s="258" customFormat="1" x14ac:dyDescent="0.25">
      <c r="B697" s="298"/>
      <c r="C697" s="298"/>
      <c r="D697" s="3"/>
      <c r="E697" s="3"/>
      <c r="F697" s="3"/>
      <c r="G697" s="6">
        <f t="shared" si="29"/>
        <v>0</v>
      </c>
      <c r="H697" s="6"/>
      <c r="I697" s="3"/>
      <c r="J697" s="3"/>
      <c r="K697" s="285"/>
      <c r="O697" s="256"/>
    </row>
    <row r="698" spans="2:17" x14ac:dyDescent="0.25">
      <c r="B698" s="298"/>
      <c r="C698" s="298"/>
      <c r="D698" s="3"/>
      <c r="E698" s="3"/>
      <c r="F698" s="3"/>
      <c r="G698" s="6">
        <f t="shared" si="29"/>
        <v>0</v>
      </c>
      <c r="H698" s="6"/>
      <c r="I698" s="3"/>
      <c r="J698" s="3"/>
      <c r="K698" s="285"/>
      <c r="O698" s="3"/>
      <c r="Q698"/>
    </row>
    <row r="699" spans="2:17" x14ac:dyDescent="0.25">
      <c r="B699" s="298"/>
      <c r="C699" s="298"/>
      <c r="D699" s="3"/>
      <c r="E699" s="3"/>
      <c r="F699" s="3"/>
      <c r="G699" s="6">
        <f t="shared" si="29"/>
        <v>0</v>
      </c>
      <c r="H699" s="6"/>
      <c r="I699" s="3"/>
      <c r="J699" s="3"/>
      <c r="K699" s="285"/>
      <c r="O699" s="3"/>
      <c r="Q699"/>
    </row>
    <row r="700" spans="2:17" x14ac:dyDescent="0.25">
      <c r="B700" s="298"/>
      <c r="C700" s="298"/>
      <c r="D700" s="3"/>
      <c r="E700" s="3"/>
      <c r="F700" s="3"/>
      <c r="G700" s="6">
        <f t="shared" si="29"/>
        <v>0</v>
      </c>
      <c r="H700" s="6"/>
      <c r="I700" s="3"/>
      <c r="J700" s="3"/>
      <c r="K700" s="285"/>
      <c r="O700" s="3"/>
      <c r="Q700"/>
    </row>
    <row r="701" spans="2:17" x14ac:dyDescent="0.25">
      <c r="B701" s="298"/>
      <c r="C701" s="298"/>
      <c r="D701" s="3"/>
      <c r="E701" s="3"/>
      <c r="F701" s="3"/>
      <c r="G701" s="6">
        <f t="shared" si="29"/>
        <v>0</v>
      </c>
      <c r="H701" s="6"/>
      <c r="I701" s="3"/>
      <c r="J701" s="3"/>
      <c r="K701" s="285"/>
      <c r="O701" s="3"/>
      <c r="Q701"/>
    </row>
    <row r="702" spans="2:17" x14ac:dyDescent="0.25">
      <c r="B702" s="298"/>
      <c r="C702" s="298"/>
      <c r="D702" s="3"/>
      <c r="E702" s="3"/>
      <c r="F702" s="3"/>
      <c r="G702" s="6">
        <f t="shared" si="29"/>
        <v>0</v>
      </c>
      <c r="H702" s="6"/>
      <c r="I702" s="3"/>
      <c r="J702" s="3"/>
      <c r="K702" s="285"/>
      <c r="O702" s="3"/>
      <c r="Q702"/>
    </row>
    <row r="703" spans="2:17" x14ac:dyDescent="0.25">
      <c r="B703" s="298"/>
      <c r="C703" s="298"/>
      <c r="D703" s="3"/>
      <c r="E703" s="3"/>
      <c r="F703" s="3"/>
      <c r="G703" s="6">
        <f t="shared" si="29"/>
        <v>0</v>
      </c>
      <c r="H703" s="6"/>
      <c r="I703" s="3"/>
      <c r="J703" s="3"/>
      <c r="K703" s="285"/>
      <c r="O703" s="3"/>
      <c r="Q703"/>
    </row>
    <row r="704" spans="2:17" x14ac:dyDescent="0.25">
      <c r="B704" s="298"/>
      <c r="C704" s="298"/>
      <c r="D704" s="3"/>
      <c r="E704" s="3"/>
      <c r="F704" s="3"/>
      <c r="G704" s="6">
        <f t="shared" si="29"/>
        <v>0</v>
      </c>
      <c r="H704" s="6"/>
      <c r="I704" s="3"/>
      <c r="J704" s="3"/>
      <c r="K704" s="285"/>
      <c r="O704" s="3"/>
      <c r="Q704"/>
    </row>
    <row r="705" spans="2:17" x14ac:dyDescent="0.25">
      <c r="B705" s="298"/>
      <c r="C705" s="298"/>
      <c r="D705" s="3"/>
      <c r="E705" s="3"/>
      <c r="F705" s="3"/>
      <c r="G705" s="6">
        <f t="shared" si="29"/>
        <v>0</v>
      </c>
      <c r="H705" s="6"/>
      <c r="I705" s="3"/>
      <c r="J705" s="3"/>
      <c r="K705" s="285"/>
      <c r="O705" s="3"/>
      <c r="Q705"/>
    </row>
    <row r="706" spans="2:17" x14ac:dyDescent="0.25">
      <c r="B706" s="298"/>
      <c r="C706" s="298"/>
      <c r="D706" s="3"/>
      <c r="E706" s="3"/>
      <c r="F706" s="3"/>
      <c r="G706" s="6">
        <f t="shared" si="29"/>
        <v>0</v>
      </c>
      <c r="H706" s="6"/>
      <c r="I706" s="3"/>
      <c r="J706" s="3"/>
      <c r="K706" s="285"/>
      <c r="O706" s="3"/>
      <c r="Q706"/>
    </row>
    <row r="707" spans="2:17" x14ac:dyDescent="0.25">
      <c r="B707" s="298"/>
      <c r="C707" s="298"/>
      <c r="D707" s="3"/>
      <c r="E707" s="3"/>
      <c r="F707" s="3"/>
      <c r="G707" s="6">
        <f t="shared" si="29"/>
        <v>0</v>
      </c>
      <c r="H707" s="6"/>
      <c r="I707" s="3"/>
      <c r="J707" s="3"/>
      <c r="K707" s="285"/>
      <c r="O707" s="3"/>
      <c r="Q707"/>
    </row>
    <row r="708" spans="2:17" x14ac:dyDescent="0.25">
      <c r="B708" s="298"/>
      <c r="C708" s="298"/>
      <c r="D708" s="3"/>
      <c r="E708" s="3"/>
      <c r="F708" s="3"/>
      <c r="G708" s="6">
        <f t="shared" si="29"/>
        <v>0</v>
      </c>
      <c r="H708" s="6"/>
      <c r="I708" s="3"/>
      <c r="J708" s="3"/>
      <c r="K708" s="285"/>
      <c r="O708" s="3"/>
      <c r="Q708"/>
    </row>
    <row r="709" spans="2:17" x14ac:dyDescent="0.25">
      <c r="B709" s="298"/>
      <c r="C709" s="298"/>
      <c r="D709" s="3"/>
      <c r="E709" s="3"/>
      <c r="F709" s="3"/>
      <c r="G709" s="6">
        <f t="shared" ref="G709:G772" si="30">H709-H709/1.18</f>
        <v>0</v>
      </c>
      <c r="H709" s="6"/>
      <c r="I709" s="3"/>
      <c r="J709" s="3"/>
      <c r="K709" s="285"/>
      <c r="O709" s="3"/>
      <c r="Q709"/>
    </row>
    <row r="710" spans="2:17" x14ac:dyDescent="0.25">
      <c r="B710" s="298"/>
      <c r="C710" s="298"/>
      <c r="D710" s="3"/>
      <c r="E710" s="3"/>
      <c r="F710" s="3"/>
      <c r="G710" s="6">
        <f t="shared" si="30"/>
        <v>0</v>
      </c>
      <c r="H710" s="6"/>
      <c r="I710" s="3"/>
      <c r="J710" s="3"/>
      <c r="K710" s="285"/>
      <c r="O710" s="3"/>
      <c r="Q710"/>
    </row>
    <row r="711" spans="2:17" x14ac:dyDescent="0.25">
      <c r="B711" s="298"/>
      <c r="C711" s="298"/>
      <c r="D711" s="3"/>
      <c r="E711" s="3"/>
      <c r="F711" s="3"/>
      <c r="G711" s="6">
        <f t="shared" si="30"/>
        <v>0</v>
      </c>
      <c r="H711" s="6"/>
      <c r="I711" s="3"/>
      <c r="J711" s="3"/>
      <c r="K711" s="285"/>
      <c r="O711" s="3"/>
      <c r="Q711"/>
    </row>
    <row r="712" spans="2:17" x14ac:dyDescent="0.25">
      <c r="B712" s="298"/>
      <c r="C712" s="298"/>
      <c r="D712" s="3"/>
      <c r="E712" s="3"/>
      <c r="F712" s="3"/>
      <c r="G712" s="6">
        <f t="shared" si="30"/>
        <v>0</v>
      </c>
      <c r="H712" s="6"/>
      <c r="I712" s="3"/>
      <c r="J712" s="3"/>
      <c r="K712" s="285"/>
      <c r="O712" s="3"/>
      <c r="Q712"/>
    </row>
    <row r="713" spans="2:17" x14ac:dyDescent="0.25">
      <c r="B713" s="298"/>
      <c r="C713" s="298"/>
      <c r="D713" s="3"/>
      <c r="E713" s="3"/>
      <c r="F713" s="3"/>
      <c r="G713" s="6">
        <f t="shared" si="30"/>
        <v>0</v>
      </c>
      <c r="H713" s="6"/>
      <c r="I713" s="3"/>
      <c r="J713" s="3"/>
      <c r="K713" s="285"/>
      <c r="O713" s="3"/>
      <c r="Q713"/>
    </row>
    <row r="714" spans="2:17" x14ac:dyDescent="0.25">
      <c r="B714" s="298"/>
      <c r="C714" s="298"/>
      <c r="D714" s="3"/>
      <c r="E714" s="3"/>
      <c r="F714" s="3"/>
      <c r="G714" s="6">
        <f t="shared" si="30"/>
        <v>0</v>
      </c>
      <c r="H714" s="6"/>
      <c r="I714" s="3"/>
      <c r="J714" s="3"/>
      <c r="K714" s="285"/>
      <c r="O714" s="3"/>
      <c r="Q714"/>
    </row>
    <row r="715" spans="2:17" x14ac:dyDescent="0.25">
      <c r="B715" s="298"/>
      <c r="C715" s="298"/>
      <c r="D715" s="3"/>
      <c r="E715" s="3"/>
      <c r="F715" s="3"/>
      <c r="G715" s="6">
        <f t="shared" si="30"/>
        <v>0</v>
      </c>
      <c r="H715" s="6"/>
      <c r="I715" s="3"/>
      <c r="J715" s="3"/>
      <c r="K715" s="285"/>
      <c r="O715" s="3"/>
      <c r="Q715"/>
    </row>
    <row r="716" spans="2:17" x14ac:dyDescent="0.25">
      <c r="B716" s="298"/>
      <c r="C716" s="298"/>
      <c r="D716" s="3"/>
      <c r="E716" s="3"/>
      <c r="F716" s="3"/>
      <c r="G716" s="6">
        <f t="shared" si="30"/>
        <v>0</v>
      </c>
      <c r="H716" s="6"/>
      <c r="I716" s="3"/>
      <c r="J716" s="3"/>
      <c r="K716" s="285"/>
      <c r="O716" s="3"/>
      <c r="Q716"/>
    </row>
    <row r="717" spans="2:17" x14ac:dyDescent="0.25">
      <c r="B717" s="298"/>
      <c r="C717" s="298"/>
      <c r="D717" s="3"/>
      <c r="E717" s="3"/>
      <c r="F717" s="3"/>
      <c r="G717" s="6">
        <f t="shared" si="30"/>
        <v>0</v>
      </c>
      <c r="H717" s="6"/>
      <c r="I717" s="3"/>
      <c r="J717" s="3"/>
      <c r="K717" s="285"/>
      <c r="O717" s="3"/>
      <c r="Q717"/>
    </row>
    <row r="718" spans="2:17" x14ac:dyDescent="0.25">
      <c r="B718" s="298"/>
      <c r="C718" s="298"/>
      <c r="D718" s="3"/>
      <c r="E718" s="3"/>
      <c r="F718" s="3"/>
      <c r="G718" s="6">
        <f t="shared" si="30"/>
        <v>0</v>
      </c>
      <c r="H718" s="6"/>
      <c r="I718" s="3"/>
      <c r="J718" s="3"/>
      <c r="K718" s="285"/>
      <c r="O718" s="3"/>
      <c r="Q718"/>
    </row>
    <row r="719" spans="2:17" x14ac:dyDescent="0.25">
      <c r="B719" s="298"/>
      <c r="C719" s="298"/>
      <c r="D719" s="3"/>
      <c r="E719" s="3"/>
      <c r="F719" s="3"/>
      <c r="G719" s="6">
        <f t="shared" si="30"/>
        <v>0</v>
      </c>
      <c r="H719" s="6"/>
      <c r="I719" s="3"/>
      <c r="J719" s="3"/>
      <c r="K719" s="285"/>
      <c r="O719" s="3"/>
      <c r="Q719"/>
    </row>
    <row r="720" spans="2:17" x14ac:dyDescent="0.25">
      <c r="B720" s="298"/>
      <c r="C720" s="298"/>
      <c r="D720" s="3"/>
      <c r="E720" s="3"/>
      <c r="F720" s="3"/>
      <c r="G720" s="6">
        <f t="shared" si="30"/>
        <v>0</v>
      </c>
      <c r="H720" s="6"/>
      <c r="I720" s="3"/>
      <c r="J720" s="3"/>
      <c r="K720" s="285"/>
      <c r="O720" s="3"/>
      <c r="Q720"/>
    </row>
    <row r="721" spans="2:20" x14ac:dyDescent="0.25">
      <c r="B721" s="298"/>
      <c r="C721" s="298"/>
      <c r="D721" s="3"/>
      <c r="E721" s="3"/>
      <c r="F721" s="3"/>
      <c r="G721" s="6">
        <f t="shared" si="30"/>
        <v>0</v>
      </c>
      <c r="H721" s="6"/>
      <c r="I721" s="3"/>
      <c r="J721" s="3"/>
      <c r="K721" s="285"/>
      <c r="O721" s="3"/>
      <c r="Q721"/>
    </row>
    <row r="722" spans="2:20" x14ac:dyDescent="0.25">
      <c r="B722" s="298"/>
      <c r="C722" s="298"/>
      <c r="D722" s="3"/>
      <c r="E722" s="3"/>
      <c r="F722" s="3"/>
      <c r="G722" s="6">
        <f t="shared" si="30"/>
        <v>0</v>
      </c>
      <c r="H722" s="6"/>
      <c r="I722" s="3"/>
      <c r="J722" s="3"/>
      <c r="K722" s="285"/>
      <c r="O722" s="3"/>
      <c r="Q722"/>
    </row>
    <row r="723" spans="2:20" x14ac:dyDescent="0.25">
      <c r="B723" s="298"/>
      <c r="C723" s="298"/>
      <c r="D723" s="3"/>
      <c r="E723" s="3"/>
      <c r="F723" s="3"/>
      <c r="G723" s="6">
        <f t="shared" si="30"/>
        <v>0</v>
      </c>
      <c r="H723" s="6"/>
      <c r="I723" s="3"/>
      <c r="J723" s="3"/>
      <c r="K723" s="285"/>
      <c r="O723" s="3"/>
      <c r="Q723"/>
    </row>
    <row r="724" spans="2:20" x14ac:dyDescent="0.25">
      <c r="B724" s="298"/>
      <c r="C724" s="298"/>
      <c r="D724" s="3"/>
      <c r="E724" s="3"/>
      <c r="F724" s="3"/>
      <c r="G724" s="6">
        <f t="shared" si="30"/>
        <v>0</v>
      </c>
      <c r="H724" s="6"/>
      <c r="I724" s="3"/>
      <c r="J724" s="3"/>
      <c r="K724" s="285"/>
      <c r="O724" s="3"/>
      <c r="Q724"/>
    </row>
    <row r="725" spans="2:20" x14ac:dyDescent="0.25">
      <c r="B725" s="298"/>
      <c r="C725" s="298"/>
      <c r="D725" s="3"/>
      <c r="E725" s="3"/>
      <c r="F725" s="3"/>
      <c r="G725" s="6">
        <f t="shared" si="30"/>
        <v>0</v>
      </c>
      <c r="H725" s="6"/>
      <c r="I725" s="3"/>
      <c r="J725" s="3"/>
      <c r="K725" s="285"/>
      <c r="O725" s="3"/>
      <c r="Q725"/>
    </row>
    <row r="726" spans="2:20" x14ac:dyDescent="0.25">
      <c r="B726" s="298"/>
      <c r="C726" s="298"/>
      <c r="D726" s="3"/>
      <c r="E726" s="3"/>
      <c r="F726" s="3"/>
      <c r="G726" s="6">
        <f t="shared" si="30"/>
        <v>0</v>
      </c>
      <c r="H726" s="6"/>
      <c r="I726" s="3"/>
      <c r="J726" s="3"/>
      <c r="K726" s="285"/>
      <c r="O726" s="3"/>
      <c r="Q726"/>
    </row>
    <row r="727" spans="2:20" x14ac:dyDescent="0.25">
      <c r="B727" s="298"/>
      <c r="C727" s="298"/>
      <c r="D727" s="3"/>
      <c r="E727" s="3"/>
      <c r="F727" s="3"/>
      <c r="G727" s="6">
        <f t="shared" si="30"/>
        <v>0</v>
      </c>
      <c r="H727" s="6"/>
      <c r="I727" s="3"/>
      <c r="J727" s="3"/>
      <c r="K727" s="285"/>
      <c r="O727" s="3"/>
      <c r="Q727"/>
    </row>
    <row r="728" spans="2:20" x14ac:dyDescent="0.25">
      <c r="B728" s="298"/>
      <c r="C728" s="298"/>
      <c r="D728" s="3"/>
      <c r="E728" s="3"/>
      <c r="F728" s="3"/>
      <c r="G728" s="6">
        <f t="shared" si="30"/>
        <v>0</v>
      </c>
      <c r="H728" s="6"/>
      <c r="I728" s="3"/>
      <c r="J728" s="3"/>
      <c r="K728" s="285"/>
      <c r="O728" s="3"/>
      <c r="Q728"/>
    </row>
    <row r="729" spans="2:20" x14ac:dyDescent="0.25">
      <c r="B729" s="298"/>
      <c r="C729" s="298"/>
      <c r="D729" s="3"/>
      <c r="E729" s="3"/>
      <c r="F729" s="3"/>
      <c r="G729" s="6">
        <f t="shared" si="30"/>
        <v>0</v>
      </c>
      <c r="H729" s="6"/>
      <c r="I729" s="3"/>
      <c r="J729" s="3"/>
      <c r="K729" s="285"/>
      <c r="O729" s="3"/>
      <c r="Q729"/>
    </row>
    <row r="730" spans="2:20" x14ac:dyDescent="0.25">
      <c r="B730" s="298"/>
      <c r="C730" s="298"/>
      <c r="D730" s="3"/>
      <c r="E730" s="3"/>
      <c r="F730" s="3"/>
      <c r="G730" s="6">
        <f t="shared" si="30"/>
        <v>0</v>
      </c>
      <c r="H730" s="6"/>
      <c r="I730" s="3"/>
      <c r="J730" s="3"/>
      <c r="K730" s="285"/>
      <c r="O730" s="3"/>
      <c r="Q730"/>
    </row>
    <row r="731" spans="2:20" x14ac:dyDescent="0.25">
      <c r="B731" s="298"/>
      <c r="C731" s="298"/>
      <c r="D731" s="3"/>
      <c r="E731" s="3"/>
      <c r="F731" s="3"/>
      <c r="G731" s="6">
        <f t="shared" si="30"/>
        <v>0</v>
      </c>
      <c r="H731" s="6"/>
      <c r="I731" s="3"/>
      <c r="J731" s="3"/>
      <c r="K731" s="285"/>
      <c r="O731" s="3"/>
      <c r="Q731"/>
    </row>
    <row r="732" spans="2:20" x14ac:dyDescent="0.25">
      <c r="B732" s="298"/>
      <c r="C732" s="298"/>
      <c r="D732" s="3"/>
      <c r="E732" s="3"/>
      <c r="F732" s="3"/>
      <c r="G732" s="6">
        <f t="shared" si="30"/>
        <v>0</v>
      </c>
      <c r="H732" s="6"/>
      <c r="I732" s="3"/>
      <c r="J732" s="3"/>
      <c r="K732" s="285"/>
      <c r="O732" s="3"/>
      <c r="Q732"/>
    </row>
    <row r="733" spans="2:20" x14ac:dyDescent="0.25">
      <c r="B733" s="298"/>
      <c r="C733" s="298"/>
      <c r="D733" s="3"/>
      <c r="E733" s="3"/>
      <c r="F733" s="3"/>
      <c r="G733" s="6">
        <f t="shared" si="30"/>
        <v>0</v>
      </c>
      <c r="H733" s="6"/>
      <c r="I733" s="3"/>
      <c r="J733" s="3"/>
      <c r="K733" s="285"/>
      <c r="O733" s="3"/>
      <c r="Q733"/>
    </row>
    <row r="734" spans="2:20" x14ac:dyDescent="0.25">
      <c r="B734" s="298"/>
      <c r="C734" s="298"/>
      <c r="D734" s="3"/>
      <c r="E734" s="3"/>
      <c r="F734" s="3"/>
      <c r="G734" s="6">
        <f t="shared" si="30"/>
        <v>0</v>
      </c>
      <c r="H734" s="6"/>
      <c r="I734" s="3"/>
      <c r="J734" s="3"/>
      <c r="K734" s="285"/>
      <c r="O734" s="3"/>
      <c r="Q734"/>
    </row>
    <row r="735" spans="2:20" x14ac:dyDescent="0.25">
      <c r="B735" s="298"/>
      <c r="C735" s="298"/>
      <c r="D735" s="3"/>
      <c r="E735" s="3"/>
      <c r="F735" s="3"/>
      <c r="G735" s="6">
        <f t="shared" si="30"/>
        <v>0</v>
      </c>
      <c r="H735" s="6"/>
      <c r="I735" s="3"/>
      <c r="J735" s="3"/>
      <c r="K735" s="285"/>
      <c r="O735" s="3"/>
      <c r="Q735"/>
      <c r="T735" s="79"/>
    </row>
    <row r="736" spans="2:20" x14ac:dyDescent="0.25">
      <c r="B736" s="298"/>
      <c r="C736" s="298"/>
      <c r="D736" s="3"/>
      <c r="E736" s="3"/>
      <c r="F736" s="3"/>
      <c r="G736" s="6">
        <f t="shared" si="30"/>
        <v>0</v>
      </c>
      <c r="H736" s="6"/>
      <c r="I736" s="3"/>
      <c r="J736" s="3"/>
      <c r="K736" s="285"/>
      <c r="O736" s="3"/>
      <c r="Q736"/>
    </row>
    <row r="737" spans="2:17" x14ac:dyDescent="0.25">
      <c r="B737" s="298"/>
      <c r="C737" s="298"/>
      <c r="D737" s="3"/>
      <c r="E737" s="3"/>
      <c r="F737" s="3"/>
      <c r="G737" s="6">
        <f t="shared" si="30"/>
        <v>0</v>
      </c>
      <c r="H737" s="6"/>
      <c r="I737" s="3"/>
      <c r="J737" s="3"/>
      <c r="K737" s="285"/>
      <c r="O737" s="3"/>
      <c r="Q737"/>
    </row>
    <row r="738" spans="2:17" x14ac:dyDescent="0.25">
      <c r="B738" s="298"/>
      <c r="C738" s="298"/>
      <c r="D738" s="3"/>
      <c r="E738" s="3"/>
      <c r="F738" s="3"/>
      <c r="G738" s="6">
        <f t="shared" si="30"/>
        <v>0</v>
      </c>
      <c r="H738" s="6"/>
      <c r="I738" s="3"/>
      <c r="J738" s="3"/>
      <c r="K738" s="285"/>
      <c r="O738" s="3"/>
      <c r="Q738"/>
    </row>
    <row r="739" spans="2:17" x14ac:dyDescent="0.25">
      <c r="B739" s="298"/>
      <c r="C739" s="298"/>
      <c r="D739" s="3"/>
      <c r="E739" s="3"/>
      <c r="F739" s="3"/>
      <c r="G739" s="6">
        <f t="shared" si="30"/>
        <v>0</v>
      </c>
      <c r="H739" s="6"/>
      <c r="I739" s="3"/>
      <c r="J739" s="3"/>
      <c r="K739" s="285"/>
      <c r="O739" s="3"/>
      <c r="Q739"/>
    </row>
    <row r="740" spans="2:17" x14ac:dyDescent="0.25">
      <c r="B740" s="298"/>
      <c r="C740" s="298"/>
      <c r="D740" s="3"/>
      <c r="E740" s="3"/>
      <c r="F740" s="3"/>
      <c r="G740" s="6">
        <f t="shared" si="30"/>
        <v>0</v>
      </c>
      <c r="H740" s="6"/>
      <c r="I740" s="3"/>
      <c r="J740" s="3"/>
      <c r="K740" s="285"/>
      <c r="O740" s="3"/>
      <c r="Q740"/>
    </row>
    <row r="741" spans="2:17" x14ac:dyDescent="0.25">
      <c r="B741" s="298"/>
      <c r="C741" s="298"/>
      <c r="D741" s="3"/>
      <c r="E741" s="3"/>
      <c r="F741" s="3"/>
      <c r="G741" s="6">
        <f t="shared" si="30"/>
        <v>0</v>
      </c>
      <c r="H741" s="6"/>
      <c r="I741" s="3"/>
      <c r="J741" s="3"/>
      <c r="K741" s="285"/>
      <c r="O741" s="3"/>
      <c r="Q741"/>
    </row>
    <row r="742" spans="2:17" x14ac:dyDescent="0.25">
      <c r="B742" s="298"/>
      <c r="C742" s="298"/>
      <c r="D742" s="3"/>
      <c r="E742" s="3"/>
      <c r="F742" s="3"/>
      <c r="G742" s="6">
        <f t="shared" si="30"/>
        <v>0</v>
      </c>
      <c r="H742" s="6"/>
      <c r="I742" s="3"/>
      <c r="J742" s="3"/>
      <c r="K742" s="285"/>
      <c r="O742" s="3"/>
      <c r="Q742"/>
    </row>
    <row r="743" spans="2:17" x14ac:dyDescent="0.25">
      <c r="B743" s="298"/>
      <c r="C743" s="298"/>
      <c r="D743" s="3"/>
      <c r="E743" s="3"/>
      <c r="F743" s="3"/>
      <c r="G743" s="6">
        <f t="shared" si="30"/>
        <v>0</v>
      </c>
      <c r="H743" s="6"/>
      <c r="I743" s="3"/>
      <c r="J743" s="3"/>
      <c r="K743" s="285"/>
      <c r="O743" s="3"/>
      <c r="Q743"/>
    </row>
    <row r="744" spans="2:17" x14ac:dyDescent="0.25">
      <c r="B744" s="298"/>
      <c r="C744" s="298"/>
      <c r="D744" s="3"/>
      <c r="E744" s="3"/>
      <c r="F744" s="3"/>
      <c r="G744" s="6">
        <f t="shared" si="30"/>
        <v>0</v>
      </c>
      <c r="H744" s="6"/>
      <c r="I744" s="3"/>
      <c r="J744" s="3"/>
      <c r="K744" s="285"/>
      <c r="O744" s="3"/>
      <c r="Q744"/>
    </row>
    <row r="745" spans="2:17" x14ac:dyDescent="0.25">
      <c r="B745" s="298"/>
      <c r="C745" s="298"/>
      <c r="D745" s="3"/>
      <c r="E745" s="3"/>
      <c r="F745" s="3"/>
      <c r="G745" s="6">
        <f t="shared" si="30"/>
        <v>0</v>
      </c>
      <c r="H745" s="6"/>
      <c r="I745" s="3"/>
      <c r="J745" s="3"/>
      <c r="K745" s="285"/>
      <c r="O745" s="3"/>
      <c r="Q745"/>
    </row>
    <row r="746" spans="2:17" x14ac:dyDescent="0.25">
      <c r="B746" s="298"/>
      <c r="C746" s="298"/>
      <c r="D746" s="3"/>
      <c r="E746" s="3"/>
      <c r="F746" s="3"/>
      <c r="G746" s="6">
        <f t="shared" si="30"/>
        <v>0</v>
      </c>
      <c r="H746" s="6"/>
      <c r="I746" s="3"/>
      <c r="J746" s="3"/>
      <c r="K746" s="285"/>
      <c r="O746" s="3"/>
      <c r="Q746"/>
    </row>
    <row r="747" spans="2:17" x14ac:dyDescent="0.25">
      <c r="B747" s="298"/>
      <c r="C747" s="298"/>
      <c r="D747" s="3"/>
      <c r="E747" s="3"/>
      <c r="F747" s="3"/>
      <c r="G747" s="6">
        <f t="shared" si="30"/>
        <v>0</v>
      </c>
      <c r="H747" s="6"/>
      <c r="I747" s="3"/>
      <c r="J747" s="3"/>
      <c r="K747" s="285"/>
      <c r="O747" s="3"/>
      <c r="Q747"/>
    </row>
    <row r="748" spans="2:17" x14ac:dyDescent="0.25">
      <c r="B748" s="298"/>
      <c r="C748" s="298"/>
      <c r="D748" s="3"/>
      <c r="E748" s="3"/>
      <c r="F748" s="3"/>
      <c r="G748" s="6">
        <f t="shared" si="30"/>
        <v>0</v>
      </c>
      <c r="H748" s="6"/>
      <c r="I748" s="3"/>
      <c r="J748" s="3"/>
      <c r="K748" s="285"/>
      <c r="O748" s="3"/>
      <c r="Q748"/>
    </row>
    <row r="749" spans="2:17" x14ac:dyDescent="0.25">
      <c r="B749" s="298"/>
      <c r="C749" s="298"/>
      <c r="D749" s="3"/>
      <c r="E749" s="3"/>
      <c r="F749" s="3"/>
      <c r="G749" s="6">
        <f t="shared" si="30"/>
        <v>0</v>
      </c>
      <c r="H749" s="6"/>
      <c r="I749" s="3"/>
      <c r="J749" s="3"/>
      <c r="K749" s="285"/>
      <c r="O749" s="3"/>
      <c r="Q749"/>
    </row>
    <row r="750" spans="2:17" x14ac:dyDescent="0.25">
      <c r="B750" s="298"/>
      <c r="C750" s="298"/>
      <c r="D750" s="3"/>
      <c r="E750" s="3"/>
      <c r="F750" s="3"/>
      <c r="G750" s="6">
        <f t="shared" si="30"/>
        <v>0</v>
      </c>
      <c r="H750" s="6"/>
      <c r="I750" s="3"/>
      <c r="J750" s="3"/>
      <c r="K750" s="285"/>
      <c r="O750" s="3"/>
      <c r="Q750"/>
    </row>
    <row r="751" spans="2:17" x14ac:dyDescent="0.25">
      <c r="B751" s="298"/>
      <c r="C751" s="298"/>
      <c r="D751" s="3"/>
      <c r="E751" s="3"/>
      <c r="F751" s="3"/>
      <c r="G751" s="6">
        <f t="shared" si="30"/>
        <v>0</v>
      </c>
      <c r="H751" s="6"/>
      <c r="I751" s="3"/>
      <c r="J751" s="3"/>
      <c r="K751" s="285"/>
      <c r="O751" s="3"/>
      <c r="Q751"/>
    </row>
    <row r="752" spans="2:17" x14ac:dyDescent="0.25">
      <c r="B752" s="298"/>
      <c r="C752" s="298"/>
      <c r="D752" s="3"/>
      <c r="E752" s="3"/>
      <c r="F752" s="3"/>
      <c r="G752" s="6">
        <f t="shared" si="30"/>
        <v>0</v>
      </c>
      <c r="H752" s="6"/>
      <c r="I752" s="3"/>
      <c r="J752" s="3"/>
      <c r="K752" s="285"/>
      <c r="O752" s="3"/>
      <c r="Q752"/>
    </row>
    <row r="753" spans="2:17" x14ac:dyDescent="0.25">
      <c r="B753" s="298"/>
      <c r="C753" s="298"/>
      <c r="D753" s="3"/>
      <c r="E753" s="3"/>
      <c r="F753" s="3"/>
      <c r="G753" s="6">
        <f t="shared" si="30"/>
        <v>0</v>
      </c>
      <c r="H753" s="6"/>
      <c r="I753" s="3"/>
      <c r="J753" s="3"/>
      <c r="K753" s="285"/>
      <c r="O753" s="3"/>
      <c r="Q753"/>
    </row>
    <row r="754" spans="2:17" x14ac:dyDescent="0.25">
      <c r="B754" s="298"/>
      <c r="C754" s="298"/>
      <c r="D754" s="3"/>
      <c r="E754" s="3"/>
      <c r="F754" s="3"/>
      <c r="G754" s="6">
        <f t="shared" si="30"/>
        <v>0</v>
      </c>
      <c r="H754" s="6"/>
      <c r="I754" s="3"/>
      <c r="J754" s="3"/>
      <c r="K754" s="285"/>
      <c r="O754" s="3"/>
      <c r="Q754"/>
    </row>
    <row r="755" spans="2:17" x14ac:dyDescent="0.25">
      <c r="B755" s="298"/>
      <c r="C755" s="298"/>
      <c r="D755" s="3"/>
      <c r="E755" s="3"/>
      <c r="F755" s="3"/>
      <c r="G755" s="6">
        <f t="shared" si="30"/>
        <v>0</v>
      </c>
      <c r="H755" s="6"/>
      <c r="I755" s="3"/>
      <c r="J755" s="3"/>
      <c r="K755" s="285"/>
      <c r="O755" s="3"/>
      <c r="Q755"/>
    </row>
    <row r="756" spans="2:17" x14ac:dyDescent="0.25">
      <c r="B756" s="298"/>
      <c r="C756" s="298"/>
      <c r="D756" s="3"/>
      <c r="E756" s="3"/>
      <c r="F756" s="3"/>
      <c r="G756" s="6">
        <f t="shared" si="30"/>
        <v>0</v>
      </c>
      <c r="H756" s="6"/>
      <c r="I756" s="3"/>
      <c r="J756" s="3"/>
      <c r="K756" s="285"/>
      <c r="O756" s="3"/>
      <c r="Q756"/>
    </row>
    <row r="757" spans="2:17" x14ac:dyDescent="0.25">
      <c r="B757" s="298"/>
      <c r="C757" s="298"/>
      <c r="D757" s="3"/>
      <c r="E757" s="3"/>
      <c r="F757" s="3"/>
      <c r="G757" s="6">
        <f t="shared" si="30"/>
        <v>0</v>
      </c>
      <c r="H757" s="6"/>
      <c r="I757" s="3"/>
      <c r="J757" s="3"/>
      <c r="K757" s="285"/>
      <c r="O757" s="3"/>
      <c r="Q757"/>
    </row>
    <row r="758" spans="2:17" x14ac:dyDescent="0.25">
      <c r="B758" s="298"/>
      <c r="C758" s="298"/>
      <c r="D758" s="3"/>
      <c r="E758" s="3"/>
      <c r="F758" s="3"/>
      <c r="G758" s="6">
        <f t="shared" si="30"/>
        <v>0</v>
      </c>
      <c r="H758" s="6"/>
      <c r="I758" s="3"/>
      <c r="J758" s="3"/>
      <c r="K758" s="285"/>
      <c r="O758" s="3"/>
      <c r="Q758"/>
    </row>
    <row r="759" spans="2:17" x14ac:dyDescent="0.25">
      <c r="B759" s="298"/>
      <c r="C759" s="298"/>
      <c r="D759" s="3"/>
      <c r="E759" s="3"/>
      <c r="F759" s="3"/>
      <c r="G759" s="6">
        <f t="shared" si="30"/>
        <v>0</v>
      </c>
      <c r="H759" s="6"/>
      <c r="I759" s="3"/>
      <c r="J759" s="3"/>
      <c r="K759" s="285"/>
      <c r="O759" s="3"/>
      <c r="Q759"/>
    </row>
    <row r="760" spans="2:17" x14ac:dyDescent="0.25">
      <c r="B760" s="298"/>
      <c r="C760" s="298"/>
      <c r="D760" s="3"/>
      <c r="E760" s="3"/>
      <c r="F760" s="3"/>
      <c r="G760" s="6">
        <f t="shared" si="30"/>
        <v>0</v>
      </c>
      <c r="H760" s="6"/>
      <c r="I760" s="3"/>
      <c r="J760" s="3"/>
      <c r="K760" s="285"/>
      <c r="O760" s="3"/>
      <c r="Q760"/>
    </row>
    <row r="761" spans="2:17" x14ac:dyDescent="0.25">
      <c r="B761" s="298"/>
      <c r="C761" s="298"/>
      <c r="D761" s="3"/>
      <c r="E761" s="3"/>
      <c r="F761" s="3"/>
      <c r="G761" s="6">
        <f t="shared" si="30"/>
        <v>0</v>
      </c>
      <c r="H761" s="6"/>
      <c r="I761" s="3"/>
      <c r="J761" s="3"/>
      <c r="K761" s="285"/>
      <c r="O761" s="3"/>
      <c r="Q761"/>
    </row>
    <row r="762" spans="2:17" x14ac:dyDescent="0.25">
      <c r="B762" s="298"/>
      <c r="C762" s="298"/>
      <c r="D762" s="3"/>
      <c r="E762" s="3"/>
      <c r="F762" s="3"/>
      <c r="G762" s="6">
        <f t="shared" si="30"/>
        <v>0</v>
      </c>
      <c r="H762" s="6"/>
      <c r="I762" s="3"/>
      <c r="J762" s="3"/>
      <c r="K762" s="285"/>
      <c r="O762" s="3"/>
      <c r="Q762"/>
    </row>
    <row r="763" spans="2:17" x14ac:dyDescent="0.25">
      <c r="B763" s="298"/>
      <c r="C763" s="298"/>
      <c r="D763" s="3"/>
      <c r="E763" s="3"/>
      <c r="F763" s="3"/>
      <c r="G763" s="6">
        <f t="shared" si="30"/>
        <v>0</v>
      </c>
      <c r="H763" s="6"/>
      <c r="I763" s="3"/>
      <c r="J763" s="3"/>
      <c r="K763" s="285"/>
      <c r="O763" s="3"/>
      <c r="Q763"/>
    </row>
    <row r="764" spans="2:17" x14ac:dyDescent="0.25">
      <c r="B764" s="298"/>
      <c r="C764" s="298"/>
      <c r="D764" s="3"/>
      <c r="E764" s="3"/>
      <c r="F764" s="3"/>
      <c r="G764" s="6">
        <f t="shared" si="30"/>
        <v>0</v>
      </c>
      <c r="H764" s="6"/>
      <c r="I764" s="3"/>
      <c r="J764" s="3"/>
      <c r="K764" s="285"/>
      <c r="O764" s="3"/>
      <c r="Q764"/>
    </row>
    <row r="765" spans="2:17" x14ac:dyDescent="0.25">
      <c r="B765" s="298"/>
      <c r="C765" s="298"/>
      <c r="D765" s="3"/>
      <c r="E765" s="3"/>
      <c r="F765" s="3"/>
      <c r="G765" s="6">
        <f t="shared" si="30"/>
        <v>0</v>
      </c>
      <c r="H765" s="6"/>
      <c r="I765" s="3"/>
      <c r="J765" s="3"/>
      <c r="K765" s="285"/>
      <c r="O765" s="3"/>
      <c r="Q765"/>
    </row>
    <row r="766" spans="2:17" x14ac:dyDescent="0.25">
      <c r="B766" s="298"/>
      <c r="C766" s="298"/>
      <c r="D766" s="3"/>
      <c r="E766" s="3"/>
      <c r="F766" s="3"/>
      <c r="G766" s="6">
        <f t="shared" si="30"/>
        <v>0</v>
      </c>
      <c r="H766" s="6"/>
      <c r="I766" s="3"/>
      <c r="J766" s="3"/>
      <c r="K766" s="285"/>
      <c r="O766" s="3"/>
      <c r="Q766"/>
    </row>
    <row r="767" spans="2:17" x14ac:dyDescent="0.25">
      <c r="B767" s="298"/>
      <c r="C767" s="298"/>
      <c r="D767" s="3"/>
      <c r="E767" s="3"/>
      <c r="F767" s="3"/>
      <c r="G767" s="6">
        <f t="shared" si="30"/>
        <v>0</v>
      </c>
      <c r="H767" s="6"/>
      <c r="I767" s="3"/>
      <c r="J767" s="3"/>
      <c r="K767" s="285"/>
      <c r="O767" s="3"/>
      <c r="Q767"/>
    </row>
    <row r="768" spans="2:17" x14ac:dyDescent="0.25">
      <c r="B768" s="298"/>
      <c r="C768" s="298"/>
      <c r="D768" s="3"/>
      <c r="E768" s="3"/>
      <c r="F768" s="3"/>
      <c r="G768" s="6">
        <f t="shared" si="30"/>
        <v>0</v>
      </c>
      <c r="H768" s="6"/>
      <c r="I768" s="3"/>
      <c r="J768" s="3"/>
      <c r="K768" s="285"/>
      <c r="O768" s="3"/>
      <c r="Q768"/>
    </row>
    <row r="769" spans="2:17" x14ac:dyDescent="0.25">
      <c r="B769" s="298"/>
      <c r="C769" s="298"/>
      <c r="D769" s="3"/>
      <c r="E769" s="3"/>
      <c r="F769" s="3"/>
      <c r="G769" s="6">
        <f t="shared" si="30"/>
        <v>0</v>
      </c>
      <c r="H769" s="6"/>
      <c r="I769" s="3"/>
      <c r="J769" s="3"/>
      <c r="K769" s="285"/>
      <c r="O769" s="3"/>
      <c r="Q769"/>
    </row>
    <row r="770" spans="2:17" x14ac:dyDescent="0.25">
      <c r="B770" s="298"/>
      <c r="C770" s="298"/>
      <c r="D770" s="3"/>
      <c r="E770" s="3"/>
      <c r="F770" s="3"/>
      <c r="G770" s="6">
        <f t="shared" si="30"/>
        <v>0</v>
      </c>
      <c r="H770" s="6"/>
      <c r="I770" s="3"/>
      <c r="J770" s="3"/>
      <c r="K770" s="285"/>
      <c r="O770" s="3"/>
      <c r="Q770"/>
    </row>
    <row r="771" spans="2:17" x14ac:dyDescent="0.25">
      <c r="B771" s="298"/>
      <c r="C771" s="298"/>
      <c r="D771" s="3"/>
      <c r="E771" s="3"/>
      <c r="F771" s="3"/>
      <c r="G771" s="6">
        <f t="shared" si="30"/>
        <v>0</v>
      </c>
      <c r="H771" s="6"/>
      <c r="I771" s="3"/>
      <c r="J771" s="3"/>
      <c r="K771" s="285"/>
      <c r="O771" s="3"/>
      <c r="Q771"/>
    </row>
    <row r="772" spans="2:17" x14ac:dyDescent="0.25">
      <c r="B772" s="298"/>
      <c r="C772" s="298"/>
      <c r="D772" s="3"/>
      <c r="E772" s="3"/>
      <c r="F772" s="3"/>
      <c r="G772" s="6">
        <f t="shared" si="30"/>
        <v>0</v>
      </c>
      <c r="H772" s="6"/>
      <c r="I772" s="3"/>
      <c r="J772" s="3"/>
      <c r="K772" s="285"/>
      <c r="O772" s="3"/>
      <c r="Q772"/>
    </row>
    <row r="773" spans="2:17" x14ac:dyDescent="0.25">
      <c r="B773" s="298"/>
      <c r="C773" s="298"/>
      <c r="D773" s="3"/>
      <c r="E773" s="3"/>
      <c r="F773" s="3"/>
      <c r="G773" s="6">
        <f t="shared" ref="G773:G836" si="31">H773-H773/1.18</f>
        <v>0</v>
      </c>
      <c r="H773" s="6"/>
      <c r="I773" s="3"/>
      <c r="J773" s="3"/>
      <c r="K773" s="285"/>
      <c r="O773" s="3"/>
      <c r="Q773"/>
    </row>
    <row r="774" spans="2:17" x14ac:dyDescent="0.25">
      <c r="B774" s="298"/>
      <c r="C774" s="298"/>
      <c r="D774" s="3"/>
      <c r="E774" s="3"/>
      <c r="F774" s="3"/>
      <c r="G774" s="6">
        <f t="shared" si="31"/>
        <v>0</v>
      </c>
      <c r="H774" s="6"/>
      <c r="I774" s="3"/>
      <c r="J774" s="3"/>
      <c r="K774" s="285"/>
      <c r="O774" s="3"/>
      <c r="Q774"/>
    </row>
    <row r="775" spans="2:17" x14ac:dyDescent="0.25">
      <c r="B775" s="298"/>
      <c r="C775" s="298"/>
      <c r="D775" s="3"/>
      <c r="E775" s="3"/>
      <c r="F775" s="3"/>
      <c r="G775" s="6">
        <f t="shared" si="31"/>
        <v>0</v>
      </c>
      <c r="H775" s="6"/>
      <c r="I775" s="3"/>
      <c r="J775" s="3"/>
      <c r="K775" s="285"/>
      <c r="O775" s="3"/>
      <c r="Q775"/>
    </row>
    <row r="776" spans="2:17" x14ac:dyDescent="0.25">
      <c r="B776" s="298"/>
      <c r="C776" s="298"/>
      <c r="D776" s="3"/>
      <c r="E776" s="3"/>
      <c r="F776" s="3"/>
      <c r="G776" s="6">
        <f t="shared" si="31"/>
        <v>0</v>
      </c>
      <c r="H776" s="6"/>
      <c r="I776" s="3"/>
      <c r="J776" s="3"/>
      <c r="K776" s="285"/>
      <c r="O776" s="3"/>
      <c r="Q776"/>
    </row>
    <row r="777" spans="2:17" x14ac:dyDescent="0.25">
      <c r="B777" s="298"/>
      <c r="C777" s="298"/>
      <c r="D777" s="3"/>
      <c r="E777" s="3"/>
      <c r="F777" s="3"/>
      <c r="G777" s="6">
        <f t="shared" si="31"/>
        <v>0</v>
      </c>
      <c r="H777" s="6"/>
      <c r="I777" s="3"/>
      <c r="J777" s="3"/>
      <c r="K777" s="285"/>
      <c r="O777" s="3"/>
      <c r="Q777"/>
    </row>
    <row r="778" spans="2:17" x14ac:dyDescent="0.25">
      <c r="B778" s="298"/>
      <c r="C778" s="298"/>
      <c r="D778" s="3"/>
      <c r="E778" s="3"/>
      <c r="F778" s="3"/>
      <c r="G778" s="6">
        <f t="shared" si="31"/>
        <v>0</v>
      </c>
      <c r="H778" s="6"/>
      <c r="I778" s="3"/>
      <c r="J778" s="3"/>
      <c r="K778" s="285"/>
      <c r="O778" s="3"/>
      <c r="Q778"/>
    </row>
    <row r="779" spans="2:17" x14ac:dyDescent="0.25">
      <c r="B779" s="298"/>
      <c r="C779" s="298"/>
      <c r="D779" s="3"/>
      <c r="E779" s="3"/>
      <c r="F779" s="3"/>
      <c r="G779" s="6">
        <f t="shared" si="31"/>
        <v>0</v>
      </c>
      <c r="H779" s="6"/>
      <c r="I779" s="3"/>
      <c r="J779" s="3"/>
      <c r="K779" s="285"/>
      <c r="O779" s="3"/>
      <c r="Q779"/>
    </row>
    <row r="780" spans="2:17" x14ac:dyDescent="0.25">
      <c r="B780" s="298"/>
      <c r="C780" s="298"/>
      <c r="D780" s="3"/>
      <c r="E780" s="3"/>
      <c r="F780" s="3"/>
      <c r="G780" s="6">
        <f t="shared" si="31"/>
        <v>0</v>
      </c>
      <c r="H780" s="6"/>
      <c r="I780" s="3"/>
      <c r="J780" s="3"/>
      <c r="K780" s="285"/>
      <c r="O780" s="3"/>
      <c r="Q780"/>
    </row>
    <row r="781" spans="2:17" x14ac:dyDescent="0.25">
      <c r="B781" s="298"/>
      <c r="C781" s="298"/>
      <c r="D781" s="3"/>
      <c r="E781" s="3"/>
      <c r="F781" s="3"/>
      <c r="G781" s="6">
        <f t="shared" si="31"/>
        <v>0</v>
      </c>
      <c r="H781" s="6"/>
      <c r="I781" s="3"/>
      <c r="J781" s="3"/>
      <c r="K781" s="285"/>
      <c r="O781" s="3"/>
      <c r="Q781"/>
    </row>
    <row r="782" spans="2:17" x14ac:dyDescent="0.25">
      <c r="B782" s="298"/>
      <c r="C782" s="298"/>
      <c r="D782" s="3"/>
      <c r="E782" s="3"/>
      <c r="F782" s="3"/>
      <c r="G782" s="6">
        <f t="shared" si="31"/>
        <v>0</v>
      </c>
      <c r="H782" s="6"/>
      <c r="I782" s="3"/>
      <c r="J782" s="3"/>
      <c r="K782" s="285"/>
      <c r="L782" s="79"/>
      <c r="O782" s="3"/>
      <c r="Q782"/>
    </row>
    <row r="783" spans="2:17" x14ac:dyDescent="0.25">
      <c r="B783" s="298"/>
      <c r="C783" s="298"/>
      <c r="D783" s="3"/>
      <c r="E783" s="3"/>
      <c r="F783" s="3"/>
      <c r="G783" s="6">
        <f t="shared" si="31"/>
        <v>0</v>
      </c>
      <c r="H783" s="6"/>
      <c r="I783" s="3"/>
      <c r="J783" s="3"/>
      <c r="K783" s="285"/>
      <c r="O783" s="3"/>
      <c r="Q783"/>
    </row>
    <row r="784" spans="2:17" x14ac:dyDescent="0.25">
      <c r="B784" s="298"/>
      <c r="C784" s="298"/>
      <c r="D784" s="3"/>
      <c r="E784" s="3"/>
      <c r="F784" s="3"/>
      <c r="G784" s="6">
        <f t="shared" si="31"/>
        <v>0</v>
      </c>
      <c r="H784" s="6"/>
      <c r="I784" s="3"/>
      <c r="J784" s="3"/>
      <c r="K784" s="285"/>
      <c r="O784" s="3"/>
      <c r="Q784"/>
    </row>
    <row r="785" spans="2:17" x14ac:dyDescent="0.25">
      <c r="B785" s="298"/>
      <c r="C785" s="298"/>
      <c r="D785" s="3"/>
      <c r="E785" s="3"/>
      <c r="F785" s="3"/>
      <c r="G785" s="6">
        <f t="shared" si="31"/>
        <v>0</v>
      </c>
      <c r="H785" s="6"/>
      <c r="I785" s="3"/>
      <c r="J785" s="3"/>
      <c r="K785" s="285"/>
      <c r="O785" s="3"/>
      <c r="Q785"/>
    </row>
    <row r="786" spans="2:17" x14ac:dyDescent="0.25">
      <c r="B786" s="298"/>
      <c r="C786" s="298"/>
      <c r="D786" s="3"/>
      <c r="E786" s="3"/>
      <c r="F786" s="3"/>
      <c r="G786" s="6">
        <f t="shared" si="31"/>
        <v>0</v>
      </c>
      <c r="H786" s="6"/>
      <c r="I786" s="3"/>
      <c r="J786" s="3"/>
      <c r="K786" s="285"/>
      <c r="O786" s="3"/>
      <c r="Q786"/>
    </row>
    <row r="787" spans="2:17" x14ac:dyDescent="0.25">
      <c r="B787" s="298"/>
      <c r="C787" s="298"/>
      <c r="D787" s="3"/>
      <c r="E787" s="3"/>
      <c r="F787" s="3"/>
      <c r="G787" s="6">
        <f t="shared" si="31"/>
        <v>0</v>
      </c>
      <c r="H787" s="6"/>
      <c r="I787" s="3"/>
      <c r="J787" s="3"/>
      <c r="K787" s="285"/>
      <c r="O787" s="3"/>
      <c r="Q787"/>
    </row>
    <row r="788" spans="2:17" x14ac:dyDescent="0.25">
      <c r="B788" s="298"/>
      <c r="C788" s="298"/>
      <c r="D788" s="3"/>
      <c r="E788" s="3"/>
      <c r="F788" s="3"/>
      <c r="G788" s="6">
        <f t="shared" si="31"/>
        <v>0</v>
      </c>
      <c r="H788" s="6"/>
      <c r="I788" s="3"/>
      <c r="J788" s="3"/>
      <c r="K788" s="285"/>
      <c r="O788" s="3"/>
      <c r="Q788"/>
    </row>
    <row r="789" spans="2:17" x14ac:dyDescent="0.25">
      <c r="B789" s="298"/>
      <c r="C789" s="298"/>
      <c r="D789" s="3"/>
      <c r="E789" s="3"/>
      <c r="F789" s="3"/>
      <c r="G789" s="6">
        <f t="shared" si="31"/>
        <v>0</v>
      </c>
      <c r="H789" s="6"/>
      <c r="I789" s="3"/>
      <c r="J789" s="3"/>
      <c r="K789" s="285"/>
      <c r="O789" s="3"/>
      <c r="Q789"/>
    </row>
    <row r="790" spans="2:17" x14ac:dyDescent="0.25">
      <c r="B790" s="298"/>
      <c r="C790" s="298"/>
      <c r="D790" s="3"/>
      <c r="E790" s="3"/>
      <c r="F790" s="3"/>
      <c r="G790" s="6">
        <f t="shared" si="31"/>
        <v>0</v>
      </c>
      <c r="H790" s="6"/>
      <c r="I790" s="3"/>
      <c r="J790" s="3"/>
      <c r="K790" s="285"/>
      <c r="O790" s="3"/>
      <c r="Q790"/>
    </row>
    <row r="791" spans="2:17" x14ac:dyDescent="0.25">
      <c r="B791" s="298"/>
      <c r="C791" s="298"/>
      <c r="D791" s="3"/>
      <c r="E791" s="3"/>
      <c r="F791" s="3"/>
      <c r="G791" s="6">
        <f t="shared" si="31"/>
        <v>0</v>
      </c>
      <c r="H791" s="6"/>
      <c r="I791" s="3"/>
      <c r="J791" s="3"/>
      <c r="K791" s="285"/>
      <c r="O791" s="3"/>
      <c r="Q791"/>
    </row>
    <row r="792" spans="2:17" x14ac:dyDescent="0.25">
      <c r="B792" s="298"/>
      <c r="C792" s="298"/>
      <c r="D792" s="3"/>
      <c r="E792" s="3"/>
      <c r="F792" s="3"/>
      <c r="G792" s="6">
        <f t="shared" si="31"/>
        <v>0</v>
      </c>
      <c r="H792" s="6"/>
      <c r="I792" s="3"/>
      <c r="J792" s="3"/>
      <c r="K792" s="285"/>
      <c r="O792" s="3"/>
      <c r="Q792"/>
    </row>
    <row r="793" spans="2:17" x14ac:dyDescent="0.25">
      <c r="B793" s="298"/>
      <c r="C793" s="298"/>
      <c r="D793" s="3"/>
      <c r="E793" s="3"/>
      <c r="F793" s="3"/>
      <c r="G793" s="6">
        <f t="shared" si="31"/>
        <v>0</v>
      </c>
      <c r="H793" s="6"/>
      <c r="I793" s="3"/>
      <c r="J793" s="3"/>
      <c r="K793" s="285"/>
      <c r="O793" s="3"/>
      <c r="Q793"/>
    </row>
    <row r="794" spans="2:17" x14ac:dyDescent="0.25">
      <c r="B794" s="298"/>
      <c r="C794" s="298"/>
      <c r="D794" s="3"/>
      <c r="E794" s="3"/>
      <c r="F794" s="3"/>
      <c r="G794" s="6">
        <f t="shared" si="31"/>
        <v>0</v>
      </c>
      <c r="H794" s="6"/>
      <c r="I794" s="3"/>
      <c r="J794" s="3"/>
      <c r="K794" s="285"/>
      <c r="O794" s="3"/>
      <c r="Q794"/>
    </row>
    <row r="795" spans="2:17" x14ac:dyDescent="0.25">
      <c r="B795" s="298"/>
      <c r="C795" s="298"/>
      <c r="D795" s="3"/>
      <c r="E795" s="3"/>
      <c r="F795" s="3"/>
      <c r="G795" s="6">
        <f t="shared" si="31"/>
        <v>0</v>
      </c>
      <c r="H795" s="6"/>
      <c r="I795" s="3"/>
      <c r="J795" s="3"/>
      <c r="K795" s="285"/>
      <c r="O795" s="3"/>
      <c r="Q795"/>
    </row>
    <row r="796" spans="2:17" x14ac:dyDescent="0.25">
      <c r="B796" s="298"/>
      <c r="C796" s="298"/>
      <c r="D796" s="3"/>
      <c r="E796" s="3"/>
      <c r="F796" s="3"/>
      <c r="G796" s="6">
        <f t="shared" si="31"/>
        <v>0</v>
      </c>
      <c r="H796" s="6"/>
      <c r="I796" s="3"/>
      <c r="J796" s="3"/>
      <c r="K796" s="285"/>
      <c r="O796" s="3"/>
      <c r="Q796"/>
    </row>
    <row r="797" spans="2:17" x14ac:dyDescent="0.25">
      <c r="B797" s="298"/>
      <c r="C797" s="298"/>
      <c r="D797" s="3"/>
      <c r="E797" s="3"/>
      <c r="F797" s="3"/>
      <c r="G797" s="6">
        <f t="shared" si="31"/>
        <v>0</v>
      </c>
      <c r="H797" s="6"/>
      <c r="I797" s="3"/>
      <c r="J797" s="3"/>
      <c r="K797" s="285"/>
      <c r="O797" s="3"/>
      <c r="Q797"/>
    </row>
    <row r="798" spans="2:17" x14ac:dyDescent="0.25">
      <c r="B798" s="298"/>
      <c r="C798" s="298"/>
      <c r="D798" s="3"/>
      <c r="E798" s="3"/>
      <c r="F798" s="3"/>
      <c r="G798" s="6">
        <f t="shared" si="31"/>
        <v>0</v>
      </c>
      <c r="H798" s="6"/>
      <c r="I798" s="3"/>
      <c r="J798" s="3"/>
      <c r="K798" s="285"/>
      <c r="O798" s="3"/>
      <c r="Q798"/>
    </row>
    <row r="799" spans="2:17" x14ac:dyDescent="0.25">
      <c r="B799" s="298"/>
      <c r="C799" s="298"/>
      <c r="D799" s="3"/>
      <c r="E799" s="3"/>
      <c r="F799" s="3"/>
      <c r="G799" s="6">
        <f t="shared" si="31"/>
        <v>0</v>
      </c>
      <c r="H799" s="6"/>
      <c r="I799" s="3"/>
      <c r="J799" s="3"/>
      <c r="K799" s="285"/>
      <c r="O799" s="3"/>
      <c r="Q799"/>
    </row>
    <row r="800" spans="2:17" x14ac:dyDescent="0.25">
      <c r="B800" s="298"/>
      <c r="C800" s="298"/>
      <c r="D800" s="3"/>
      <c r="E800" s="3"/>
      <c r="F800" s="3"/>
      <c r="G800" s="6">
        <f t="shared" si="31"/>
        <v>0</v>
      </c>
      <c r="H800" s="6"/>
      <c r="I800" s="3"/>
      <c r="J800" s="3"/>
      <c r="K800" s="285"/>
      <c r="O800" s="3"/>
      <c r="Q800"/>
    </row>
    <row r="801" spans="2:17" x14ac:dyDescent="0.25">
      <c r="B801" s="298"/>
      <c r="C801" s="298"/>
      <c r="D801" s="3"/>
      <c r="E801" s="3"/>
      <c r="F801" s="3"/>
      <c r="G801" s="6">
        <f t="shared" si="31"/>
        <v>0</v>
      </c>
      <c r="H801" s="6"/>
      <c r="I801" s="3"/>
      <c r="J801" s="3"/>
      <c r="K801" s="285"/>
      <c r="O801" s="3"/>
      <c r="Q801"/>
    </row>
    <row r="802" spans="2:17" x14ac:dyDescent="0.25">
      <c r="B802" s="298"/>
      <c r="C802" s="298"/>
      <c r="D802" s="3"/>
      <c r="E802" s="3"/>
      <c r="F802" s="3"/>
      <c r="G802" s="6">
        <f t="shared" si="31"/>
        <v>0</v>
      </c>
      <c r="H802" s="6"/>
      <c r="I802" s="3"/>
      <c r="J802" s="3"/>
      <c r="K802" s="285"/>
      <c r="O802" s="3"/>
      <c r="Q802"/>
    </row>
    <row r="803" spans="2:17" x14ac:dyDescent="0.25">
      <c r="B803" s="298"/>
      <c r="C803" s="298"/>
      <c r="D803" s="3"/>
      <c r="E803" s="3"/>
      <c r="F803" s="3"/>
      <c r="G803" s="6">
        <f t="shared" si="31"/>
        <v>0</v>
      </c>
      <c r="H803" s="6"/>
      <c r="I803" s="3"/>
      <c r="J803" s="3"/>
      <c r="K803" s="285"/>
      <c r="O803" s="3"/>
      <c r="Q803"/>
    </row>
    <row r="804" spans="2:17" x14ac:dyDescent="0.25">
      <c r="B804" s="298"/>
      <c r="C804" s="298"/>
      <c r="D804" s="3"/>
      <c r="E804" s="3"/>
      <c r="F804" s="3"/>
      <c r="G804" s="6">
        <f t="shared" si="31"/>
        <v>0</v>
      </c>
      <c r="H804" s="6"/>
      <c r="I804" s="3"/>
      <c r="J804" s="3"/>
      <c r="K804" s="285"/>
      <c r="O804" s="3"/>
      <c r="Q804"/>
    </row>
    <row r="805" spans="2:17" x14ac:dyDescent="0.25">
      <c r="B805" s="298"/>
      <c r="C805" s="298"/>
      <c r="D805" s="3"/>
      <c r="E805" s="3"/>
      <c r="F805" s="3"/>
      <c r="G805" s="6">
        <f t="shared" si="31"/>
        <v>0</v>
      </c>
      <c r="H805" s="6"/>
      <c r="I805" s="3"/>
      <c r="J805" s="3"/>
      <c r="K805" s="285"/>
      <c r="O805" s="3"/>
      <c r="Q805"/>
    </row>
    <row r="806" spans="2:17" x14ac:dyDescent="0.25">
      <c r="B806" s="298"/>
      <c r="C806" s="298"/>
      <c r="D806" s="3"/>
      <c r="E806" s="3"/>
      <c r="F806" s="3"/>
      <c r="G806" s="6">
        <f t="shared" si="31"/>
        <v>0</v>
      </c>
      <c r="H806" s="6"/>
      <c r="I806" s="3"/>
      <c r="J806" s="3"/>
      <c r="K806" s="285"/>
      <c r="O806" s="3"/>
      <c r="Q806"/>
    </row>
    <row r="807" spans="2:17" x14ac:dyDescent="0.25">
      <c r="B807" s="298"/>
      <c r="C807" s="298"/>
      <c r="D807" s="3"/>
      <c r="E807" s="3"/>
      <c r="F807" s="3"/>
      <c r="G807" s="6">
        <f t="shared" si="31"/>
        <v>0</v>
      </c>
      <c r="H807" s="6"/>
      <c r="I807" s="3"/>
      <c r="J807" s="3"/>
      <c r="K807" s="285"/>
      <c r="O807" s="3"/>
      <c r="Q807"/>
    </row>
    <row r="808" spans="2:17" x14ac:dyDescent="0.25">
      <c r="B808" s="298"/>
      <c r="C808" s="298"/>
      <c r="D808" s="3"/>
      <c r="E808" s="3"/>
      <c r="F808" s="3"/>
      <c r="G808" s="6">
        <f t="shared" si="31"/>
        <v>0</v>
      </c>
      <c r="H808" s="6"/>
      <c r="I808" s="3"/>
      <c r="J808" s="3"/>
      <c r="K808" s="285"/>
      <c r="O808" s="3"/>
      <c r="Q808"/>
    </row>
    <row r="809" spans="2:17" x14ac:dyDescent="0.25">
      <c r="B809" s="298"/>
      <c r="C809" s="298"/>
      <c r="D809" s="3"/>
      <c r="E809" s="3"/>
      <c r="F809" s="3"/>
      <c r="G809" s="6">
        <f t="shared" si="31"/>
        <v>0</v>
      </c>
      <c r="H809" s="6"/>
      <c r="I809" s="3"/>
      <c r="J809" s="3"/>
      <c r="K809" s="285"/>
      <c r="O809" s="3"/>
      <c r="Q809"/>
    </row>
    <row r="810" spans="2:17" x14ac:dyDescent="0.25">
      <c r="B810" s="298"/>
      <c r="C810" s="298"/>
      <c r="D810" s="3"/>
      <c r="E810" s="3"/>
      <c r="F810" s="3"/>
      <c r="G810" s="6">
        <f t="shared" si="31"/>
        <v>0</v>
      </c>
      <c r="H810" s="6"/>
      <c r="I810" s="3"/>
      <c r="J810" s="3"/>
      <c r="K810" s="285"/>
      <c r="O810" s="3"/>
      <c r="Q810"/>
    </row>
    <row r="811" spans="2:17" x14ac:dyDescent="0.25">
      <c r="B811" s="298"/>
      <c r="C811" s="298"/>
      <c r="D811" s="3"/>
      <c r="E811" s="3"/>
      <c r="F811" s="3"/>
      <c r="G811" s="6">
        <f t="shared" si="31"/>
        <v>0</v>
      </c>
      <c r="H811" s="6"/>
      <c r="I811" s="3"/>
      <c r="J811" s="3"/>
      <c r="K811" s="285"/>
      <c r="O811" s="3"/>
      <c r="Q811"/>
    </row>
    <row r="812" spans="2:17" x14ac:dyDescent="0.25">
      <c r="B812" s="298"/>
      <c r="C812" s="298"/>
      <c r="D812" s="3"/>
      <c r="E812" s="3"/>
      <c r="F812" s="3"/>
      <c r="G812" s="6">
        <f t="shared" si="31"/>
        <v>0</v>
      </c>
      <c r="H812" s="6"/>
      <c r="I812" s="3"/>
      <c r="J812" s="3"/>
      <c r="K812" s="285"/>
      <c r="O812" s="3"/>
      <c r="Q812"/>
    </row>
    <row r="813" spans="2:17" x14ac:dyDescent="0.25">
      <c r="B813" s="298"/>
      <c r="C813" s="298"/>
      <c r="D813" s="3"/>
      <c r="E813" s="3"/>
      <c r="F813" s="3"/>
      <c r="G813" s="6">
        <f t="shared" si="31"/>
        <v>0</v>
      </c>
      <c r="H813" s="6"/>
      <c r="I813" s="3"/>
      <c r="J813" s="3"/>
      <c r="K813" s="285"/>
      <c r="O813" s="3"/>
      <c r="Q813"/>
    </row>
    <row r="814" spans="2:17" x14ac:dyDescent="0.25">
      <c r="B814" s="298"/>
      <c r="C814" s="298"/>
      <c r="D814" s="3"/>
      <c r="E814" s="3"/>
      <c r="F814" s="3"/>
      <c r="G814" s="6">
        <f t="shared" si="31"/>
        <v>0</v>
      </c>
      <c r="H814" s="6"/>
      <c r="I814" s="3"/>
      <c r="J814" s="3"/>
      <c r="K814" s="285"/>
      <c r="O814" s="3"/>
      <c r="Q814"/>
    </row>
    <row r="815" spans="2:17" x14ac:dyDescent="0.25">
      <c r="B815" s="298"/>
      <c r="C815" s="298"/>
      <c r="D815" s="3"/>
      <c r="E815" s="3"/>
      <c r="F815" s="3"/>
      <c r="G815" s="6">
        <f t="shared" si="31"/>
        <v>0</v>
      </c>
      <c r="H815" s="6"/>
      <c r="I815" s="3"/>
      <c r="J815" s="3"/>
      <c r="K815" s="285"/>
      <c r="O815" s="3"/>
      <c r="Q815"/>
    </row>
    <row r="816" spans="2:17" x14ac:dyDescent="0.25">
      <c r="B816" s="298"/>
      <c r="C816" s="298"/>
      <c r="D816" s="3"/>
      <c r="E816" s="3"/>
      <c r="F816" s="3"/>
      <c r="G816" s="6">
        <f t="shared" si="31"/>
        <v>0</v>
      </c>
      <c r="H816" s="6"/>
      <c r="I816" s="3"/>
      <c r="J816" s="3"/>
      <c r="K816" s="285"/>
      <c r="O816" s="3"/>
      <c r="Q816"/>
    </row>
    <row r="817" spans="2:17" x14ac:dyDescent="0.25">
      <c r="B817" s="298"/>
      <c r="C817" s="298"/>
      <c r="D817" s="3"/>
      <c r="E817" s="3"/>
      <c r="F817" s="3"/>
      <c r="G817" s="6">
        <f t="shared" si="31"/>
        <v>0</v>
      </c>
      <c r="H817" s="6"/>
      <c r="I817" s="3"/>
      <c r="J817" s="3"/>
      <c r="K817" s="285"/>
      <c r="O817" s="3"/>
      <c r="Q817"/>
    </row>
    <row r="818" spans="2:17" x14ac:dyDescent="0.25">
      <c r="B818" s="298"/>
      <c r="C818" s="298"/>
      <c r="D818" s="3"/>
      <c r="E818" s="3"/>
      <c r="F818" s="3"/>
      <c r="G818" s="6">
        <f t="shared" si="31"/>
        <v>0</v>
      </c>
      <c r="H818" s="6"/>
      <c r="I818" s="3"/>
      <c r="J818" s="3"/>
      <c r="K818" s="285"/>
      <c r="O818" s="3"/>
      <c r="Q818"/>
    </row>
    <row r="819" spans="2:17" x14ac:dyDescent="0.25">
      <c r="B819" s="298"/>
      <c r="C819" s="298"/>
      <c r="D819" s="3"/>
      <c r="E819" s="3"/>
      <c r="F819" s="3"/>
      <c r="G819" s="6">
        <f t="shared" si="31"/>
        <v>0</v>
      </c>
      <c r="H819" s="6"/>
      <c r="I819" s="3"/>
      <c r="J819" s="3"/>
      <c r="K819" s="285"/>
      <c r="O819" s="3"/>
      <c r="Q819"/>
    </row>
    <row r="820" spans="2:17" x14ac:dyDescent="0.25">
      <c r="B820" s="298"/>
      <c r="C820" s="298"/>
      <c r="D820" s="3"/>
      <c r="E820" s="3"/>
      <c r="F820" s="3"/>
      <c r="G820" s="6">
        <f t="shared" si="31"/>
        <v>0</v>
      </c>
      <c r="H820" s="6"/>
      <c r="I820" s="3"/>
      <c r="J820" s="3"/>
      <c r="K820" s="285"/>
      <c r="O820" s="3"/>
      <c r="Q820"/>
    </row>
    <row r="821" spans="2:17" x14ac:dyDescent="0.25">
      <c r="B821" s="298"/>
      <c r="C821" s="298"/>
      <c r="D821" s="3"/>
      <c r="E821" s="3"/>
      <c r="F821" s="3"/>
      <c r="G821" s="6">
        <f t="shared" si="31"/>
        <v>0</v>
      </c>
      <c r="H821" s="6"/>
      <c r="I821" s="3"/>
      <c r="J821" s="3"/>
      <c r="K821" s="285"/>
      <c r="O821" s="3"/>
      <c r="Q821"/>
    </row>
    <row r="822" spans="2:17" x14ac:dyDescent="0.25">
      <c r="B822" s="298"/>
      <c r="C822" s="298"/>
      <c r="D822" s="3"/>
      <c r="E822" s="3"/>
      <c r="F822" s="3"/>
      <c r="G822" s="6">
        <f t="shared" si="31"/>
        <v>0</v>
      </c>
      <c r="H822" s="6"/>
      <c r="I822" s="3"/>
      <c r="J822" s="3"/>
      <c r="K822" s="285"/>
      <c r="O822" s="3"/>
      <c r="Q822"/>
    </row>
    <row r="823" spans="2:17" x14ac:dyDescent="0.25">
      <c r="B823" s="298"/>
      <c r="C823" s="298"/>
      <c r="D823" s="3"/>
      <c r="E823" s="3"/>
      <c r="F823" s="3"/>
      <c r="G823" s="6">
        <f t="shared" si="31"/>
        <v>0</v>
      </c>
      <c r="H823" s="6"/>
      <c r="I823" s="3"/>
      <c r="J823" s="3"/>
      <c r="K823" s="285"/>
      <c r="O823" s="3"/>
      <c r="Q823"/>
    </row>
    <row r="824" spans="2:17" x14ac:dyDescent="0.25">
      <c r="B824" s="298"/>
      <c r="C824" s="298"/>
      <c r="D824" s="3"/>
      <c r="E824" s="3"/>
      <c r="F824" s="3"/>
      <c r="G824" s="6">
        <f t="shared" si="31"/>
        <v>0</v>
      </c>
      <c r="H824" s="6"/>
      <c r="I824" s="3"/>
      <c r="J824" s="3"/>
      <c r="K824" s="285"/>
      <c r="O824" s="3"/>
      <c r="Q824"/>
    </row>
    <row r="825" spans="2:17" x14ac:dyDescent="0.25">
      <c r="B825" s="298"/>
      <c r="C825" s="298"/>
      <c r="D825" s="3"/>
      <c r="E825" s="3"/>
      <c r="F825" s="3"/>
      <c r="G825" s="6">
        <f t="shared" si="31"/>
        <v>0</v>
      </c>
      <c r="H825" s="6"/>
      <c r="I825" s="3"/>
      <c r="J825" s="3"/>
      <c r="K825" s="285"/>
      <c r="O825" s="3"/>
      <c r="Q825"/>
    </row>
    <row r="826" spans="2:17" x14ac:dyDescent="0.25">
      <c r="B826" s="298"/>
      <c r="C826" s="298"/>
      <c r="D826" s="3"/>
      <c r="E826" s="3"/>
      <c r="F826" s="3"/>
      <c r="G826" s="6">
        <f t="shared" si="31"/>
        <v>0</v>
      </c>
      <c r="H826" s="6"/>
      <c r="I826" s="3"/>
      <c r="J826" s="3"/>
      <c r="K826" s="285"/>
      <c r="O826" s="3"/>
      <c r="Q826"/>
    </row>
    <row r="827" spans="2:17" x14ac:dyDescent="0.25">
      <c r="B827" s="298"/>
      <c r="C827" s="298"/>
      <c r="D827" s="3"/>
      <c r="E827" s="3"/>
      <c r="F827" s="3"/>
      <c r="G827" s="6">
        <f t="shared" si="31"/>
        <v>0</v>
      </c>
      <c r="H827" s="6"/>
      <c r="I827" s="3"/>
      <c r="J827" s="3"/>
      <c r="K827" s="285"/>
      <c r="O827" s="3"/>
      <c r="Q827"/>
    </row>
    <row r="828" spans="2:17" x14ac:dyDescent="0.25">
      <c r="B828" s="298"/>
      <c r="C828" s="298"/>
      <c r="D828" s="3"/>
      <c r="E828" s="3"/>
      <c r="F828" s="3"/>
      <c r="G828" s="6">
        <f t="shared" si="31"/>
        <v>0</v>
      </c>
      <c r="H828" s="6"/>
      <c r="I828" s="3"/>
      <c r="J828" s="3"/>
      <c r="K828" s="285"/>
      <c r="O828" s="3"/>
      <c r="Q828"/>
    </row>
    <row r="829" spans="2:17" x14ac:dyDescent="0.25">
      <c r="B829" s="298"/>
      <c r="C829" s="298"/>
      <c r="D829" s="3"/>
      <c r="E829" s="3"/>
      <c r="F829" s="3"/>
      <c r="G829" s="6">
        <f t="shared" si="31"/>
        <v>0</v>
      </c>
      <c r="H829" s="6"/>
      <c r="I829" s="3"/>
      <c r="J829" s="3"/>
      <c r="K829" s="285"/>
      <c r="O829" s="3"/>
      <c r="Q829"/>
    </row>
    <row r="830" spans="2:17" x14ac:dyDescent="0.25">
      <c r="B830" s="298"/>
      <c r="C830" s="298"/>
      <c r="D830" s="3"/>
      <c r="E830" s="3"/>
      <c r="F830" s="3"/>
      <c r="G830" s="6">
        <f t="shared" si="31"/>
        <v>0</v>
      </c>
      <c r="H830" s="6"/>
      <c r="I830" s="3"/>
      <c r="J830" s="3"/>
      <c r="K830" s="285"/>
      <c r="O830" s="3"/>
      <c r="Q830"/>
    </row>
    <row r="831" spans="2:17" x14ac:dyDescent="0.25">
      <c r="B831" s="298"/>
      <c r="C831" s="298"/>
      <c r="D831" s="3"/>
      <c r="E831" s="3"/>
      <c r="F831" s="3"/>
      <c r="G831" s="6">
        <f t="shared" si="31"/>
        <v>0</v>
      </c>
      <c r="H831" s="6"/>
      <c r="I831" s="3"/>
      <c r="J831" s="3"/>
      <c r="K831" s="285"/>
      <c r="O831" s="3"/>
      <c r="Q831"/>
    </row>
    <row r="832" spans="2:17" x14ac:dyDescent="0.25">
      <c r="B832" s="298"/>
      <c r="C832" s="298"/>
      <c r="D832" s="3"/>
      <c r="E832" s="3"/>
      <c r="F832" s="3"/>
      <c r="G832" s="6">
        <f t="shared" si="31"/>
        <v>0</v>
      </c>
      <c r="H832" s="6"/>
      <c r="I832" s="3"/>
      <c r="J832" s="3"/>
      <c r="K832" s="285"/>
      <c r="O832" s="3"/>
      <c r="Q832"/>
    </row>
    <row r="833" spans="2:17" x14ac:dyDescent="0.25">
      <c r="B833" s="298"/>
      <c r="C833" s="298"/>
      <c r="D833" s="3"/>
      <c r="E833" s="3"/>
      <c r="F833" s="3"/>
      <c r="G833" s="6">
        <f t="shared" si="31"/>
        <v>0</v>
      </c>
      <c r="H833" s="6"/>
      <c r="I833" s="3"/>
      <c r="J833" s="3"/>
      <c r="K833" s="285"/>
      <c r="O833" s="3"/>
      <c r="Q833"/>
    </row>
    <row r="834" spans="2:17" x14ac:dyDescent="0.25">
      <c r="B834" s="298"/>
      <c r="C834" s="298"/>
      <c r="D834" s="3"/>
      <c r="E834" s="3"/>
      <c r="F834" s="3"/>
      <c r="G834" s="6">
        <f t="shared" si="31"/>
        <v>0</v>
      </c>
      <c r="H834" s="6"/>
      <c r="I834" s="3"/>
      <c r="J834" s="3"/>
      <c r="K834" s="285"/>
      <c r="O834" s="3"/>
      <c r="Q834"/>
    </row>
    <row r="835" spans="2:17" x14ac:dyDescent="0.25">
      <c r="B835" s="298"/>
      <c r="C835" s="298"/>
      <c r="D835" s="3"/>
      <c r="E835" s="3"/>
      <c r="F835" s="3"/>
      <c r="G835" s="6">
        <f t="shared" si="31"/>
        <v>0</v>
      </c>
      <c r="H835" s="6"/>
      <c r="I835" s="3"/>
      <c r="J835" s="3"/>
      <c r="K835" s="285"/>
      <c r="O835" s="3"/>
      <c r="Q835"/>
    </row>
    <row r="836" spans="2:17" x14ac:dyDescent="0.25">
      <c r="B836" s="298"/>
      <c r="C836" s="298"/>
      <c r="D836" s="3"/>
      <c r="E836" s="3"/>
      <c r="F836" s="3"/>
      <c r="G836" s="6">
        <f t="shared" si="31"/>
        <v>0</v>
      </c>
      <c r="H836" s="6"/>
      <c r="I836" s="3"/>
      <c r="J836" s="3"/>
      <c r="K836" s="285"/>
      <c r="O836" s="3"/>
      <c r="Q836"/>
    </row>
    <row r="837" spans="2:17" x14ac:dyDescent="0.25">
      <c r="B837" s="298"/>
      <c r="C837" s="298"/>
      <c r="D837" s="3"/>
      <c r="E837" s="3"/>
      <c r="F837" s="3"/>
      <c r="G837" s="6">
        <f t="shared" ref="G837:G900" si="32">H837-H837/1.18</f>
        <v>0</v>
      </c>
      <c r="H837" s="6"/>
      <c r="I837" s="3"/>
      <c r="J837" s="3"/>
      <c r="K837" s="285"/>
      <c r="O837" s="3"/>
      <c r="Q837"/>
    </row>
    <row r="838" spans="2:17" x14ac:dyDescent="0.25">
      <c r="B838" s="298"/>
      <c r="C838" s="298"/>
      <c r="D838" s="3"/>
      <c r="E838" s="3"/>
      <c r="F838" s="3"/>
      <c r="G838" s="6">
        <f t="shared" si="32"/>
        <v>0</v>
      </c>
      <c r="H838" s="6"/>
      <c r="I838" s="3"/>
      <c r="J838" s="3"/>
      <c r="K838" s="285"/>
      <c r="O838" s="3"/>
      <c r="Q838"/>
    </row>
    <row r="839" spans="2:17" x14ac:dyDescent="0.25">
      <c r="B839" s="298"/>
      <c r="C839" s="298"/>
      <c r="D839" s="3"/>
      <c r="E839" s="3"/>
      <c r="F839" s="3"/>
      <c r="G839" s="6">
        <f t="shared" si="32"/>
        <v>0</v>
      </c>
      <c r="H839" s="6"/>
      <c r="I839" s="3"/>
      <c r="J839" s="3"/>
      <c r="K839" s="285"/>
      <c r="O839" s="3"/>
      <c r="Q839"/>
    </row>
    <row r="840" spans="2:17" x14ac:dyDescent="0.25">
      <c r="B840" s="298"/>
      <c r="C840" s="298"/>
      <c r="D840" s="3"/>
      <c r="E840" s="3"/>
      <c r="F840" s="3"/>
      <c r="G840" s="6">
        <f t="shared" si="32"/>
        <v>0</v>
      </c>
      <c r="H840" s="6"/>
      <c r="I840" s="3"/>
      <c r="J840" s="3"/>
      <c r="K840" s="285"/>
      <c r="O840" s="3"/>
      <c r="Q840"/>
    </row>
    <row r="841" spans="2:17" x14ac:dyDescent="0.25">
      <c r="B841" s="298"/>
      <c r="C841" s="298"/>
      <c r="D841" s="3"/>
      <c r="E841" s="3"/>
      <c r="F841" s="3"/>
      <c r="G841" s="6">
        <f t="shared" si="32"/>
        <v>0</v>
      </c>
      <c r="H841" s="6"/>
      <c r="I841" s="3"/>
      <c r="J841" s="3"/>
      <c r="K841" s="285"/>
      <c r="O841" s="3"/>
      <c r="Q841"/>
    </row>
    <row r="842" spans="2:17" x14ac:dyDescent="0.25">
      <c r="B842" s="298"/>
      <c r="C842" s="298"/>
      <c r="D842" s="3"/>
      <c r="E842" s="3"/>
      <c r="F842" s="3"/>
      <c r="G842" s="6">
        <f t="shared" si="32"/>
        <v>0</v>
      </c>
      <c r="H842" s="6"/>
      <c r="I842" s="3"/>
      <c r="J842" s="3"/>
      <c r="K842" s="285"/>
      <c r="O842" s="3"/>
      <c r="Q842"/>
    </row>
    <row r="843" spans="2:17" x14ac:dyDescent="0.25">
      <c r="B843" s="298"/>
      <c r="C843" s="298"/>
      <c r="D843" s="3"/>
      <c r="E843" s="3"/>
      <c r="F843" s="3"/>
      <c r="G843" s="6">
        <f t="shared" si="32"/>
        <v>0</v>
      </c>
      <c r="H843" s="6"/>
      <c r="I843" s="3"/>
      <c r="J843" s="3"/>
      <c r="K843" s="285"/>
      <c r="O843" s="3"/>
      <c r="Q843"/>
    </row>
    <row r="844" spans="2:17" x14ac:dyDescent="0.25">
      <c r="B844" s="298"/>
      <c r="C844" s="298"/>
      <c r="D844" s="3"/>
      <c r="E844" s="3"/>
      <c r="F844" s="3"/>
      <c r="G844" s="6">
        <f t="shared" si="32"/>
        <v>0</v>
      </c>
      <c r="H844" s="6"/>
      <c r="I844" s="3"/>
      <c r="J844" s="3"/>
      <c r="K844" s="285"/>
      <c r="O844" s="3"/>
      <c r="Q844"/>
    </row>
    <row r="845" spans="2:17" x14ac:dyDescent="0.25">
      <c r="B845" s="298"/>
      <c r="C845" s="298"/>
      <c r="D845" s="3"/>
      <c r="E845" s="3"/>
      <c r="F845" s="3"/>
      <c r="G845" s="6">
        <f t="shared" si="32"/>
        <v>0</v>
      </c>
      <c r="H845" s="6"/>
      <c r="I845" s="3"/>
      <c r="J845" s="3"/>
      <c r="K845" s="285"/>
      <c r="O845" s="3"/>
      <c r="Q845"/>
    </row>
    <row r="846" spans="2:17" x14ac:dyDescent="0.25">
      <c r="B846" s="298"/>
      <c r="C846" s="298"/>
      <c r="D846" s="3"/>
      <c r="E846" s="3"/>
      <c r="F846" s="3"/>
      <c r="G846" s="6">
        <f t="shared" si="32"/>
        <v>0</v>
      </c>
      <c r="H846" s="6"/>
      <c r="I846" s="3"/>
      <c r="J846" s="3"/>
      <c r="K846" s="285"/>
      <c r="O846" s="3"/>
      <c r="Q846"/>
    </row>
    <row r="847" spans="2:17" x14ac:dyDescent="0.25">
      <c r="B847" s="298"/>
      <c r="C847" s="298"/>
      <c r="D847" s="3"/>
      <c r="E847" s="3"/>
      <c r="F847" s="3"/>
      <c r="G847" s="6">
        <f t="shared" si="32"/>
        <v>0</v>
      </c>
      <c r="H847" s="6"/>
      <c r="I847" s="3"/>
      <c r="J847" s="3"/>
      <c r="K847" s="285"/>
      <c r="O847" s="3"/>
      <c r="Q847"/>
    </row>
    <row r="848" spans="2:17" x14ac:dyDescent="0.25">
      <c r="B848" s="298"/>
      <c r="C848" s="298"/>
      <c r="D848" s="3"/>
      <c r="E848" s="3"/>
      <c r="F848" s="3"/>
      <c r="G848" s="6">
        <f t="shared" si="32"/>
        <v>0</v>
      </c>
      <c r="H848" s="6"/>
      <c r="I848" s="3"/>
      <c r="J848" s="3"/>
      <c r="K848" s="285"/>
      <c r="O848" s="3"/>
      <c r="Q848"/>
    </row>
    <row r="849" spans="2:17" x14ac:dyDescent="0.25">
      <c r="B849" s="298"/>
      <c r="C849" s="298"/>
      <c r="D849" s="3"/>
      <c r="E849" s="3"/>
      <c r="F849" s="3"/>
      <c r="G849" s="6">
        <f t="shared" si="32"/>
        <v>0</v>
      </c>
      <c r="H849" s="6"/>
      <c r="I849" s="3"/>
      <c r="J849" s="3"/>
      <c r="K849" s="285"/>
      <c r="O849" s="3"/>
      <c r="Q849"/>
    </row>
    <row r="850" spans="2:17" x14ac:dyDescent="0.25">
      <c r="B850" s="298"/>
      <c r="C850" s="298"/>
      <c r="D850" s="3"/>
      <c r="E850" s="3"/>
      <c r="F850" s="3"/>
      <c r="G850" s="6">
        <f t="shared" si="32"/>
        <v>0</v>
      </c>
      <c r="H850" s="6"/>
      <c r="I850" s="3"/>
      <c r="J850" s="3"/>
      <c r="K850" s="285"/>
      <c r="O850" s="3"/>
      <c r="Q850"/>
    </row>
    <row r="851" spans="2:17" x14ac:dyDescent="0.25">
      <c r="B851" s="298"/>
      <c r="C851" s="298"/>
      <c r="D851" s="3"/>
      <c r="E851" s="3"/>
      <c r="F851" s="3"/>
      <c r="G851" s="6">
        <f t="shared" si="32"/>
        <v>0</v>
      </c>
      <c r="H851" s="6"/>
      <c r="I851" s="3"/>
      <c r="J851" s="3"/>
      <c r="K851" s="285"/>
      <c r="O851" s="3"/>
      <c r="Q851"/>
    </row>
    <row r="852" spans="2:17" x14ac:dyDescent="0.25">
      <c r="B852" s="298"/>
      <c r="C852" s="298"/>
      <c r="D852" s="3"/>
      <c r="E852" s="3"/>
      <c r="F852" s="3"/>
      <c r="G852" s="6">
        <f t="shared" si="32"/>
        <v>0</v>
      </c>
      <c r="H852" s="6"/>
      <c r="I852" s="3"/>
      <c r="J852" s="3"/>
      <c r="K852" s="285"/>
      <c r="O852" s="3"/>
      <c r="Q852"/>
    </row>
    <row r="853" spans="2:17" x14ac:dyDescent="0.25">
      <c r="B853" s="298"/>
      <c r="C853" s="298"/>
      <c r="D853" s="3"/>
      <c r="E853" s="3"/>
      <c r="F853" s="3"/>
      <c r="G853" s="6">
        <f t="shared" si="32"/>
        <v>0</v>
      </c>
      <c r="H853" s="6"/>
      <c r="I853" s="3"/>
      <c r="J853" s="3"/>
      <c r="K853" s="285"/>
      <c r="O853" s="3"/>
      <c r="Q853"/>
    </row>
    <row r="854" spans="2:17" x14ac:dyDescent="0.25">
      <c r="B854" s="298"/>
      <c r="C854" s="298"/>
      <c r="D854" s="3"/>
      <c r="E854" s="3"/>
      <c r="F854" s="3"/>
      <c r="G854" s="6">
        <f t="shared" si="32"/>
        <v>0</v>
      </c>
      <c r="H854" s="6"/>
      <c r="I854" s="3"/>
      <c r="J854" s="3"/>
      <c r="K854" s="285"/>
      <c r="O854" s="3"/>
      <c r="Q854"/>
    </row>
    <row r="855" spans="2:17" x14ac:dyDescent="0.25">
      <c r="B855" s="298"/>
      <c r="C855" s="298"/>
      <c r="D855" s="3"/>
      <c r="E855" s="3"/>
      <c r="F855" s="3"/>
      <c r="G855" s="6">
        <f t="shared" si="32"/>
        <v>0</v>
      </c>
      <c r="H855" s="6"/>
      <c r="I855" s="3"/>
      <c r="J855" s="3"/>
      <c r="K855" s="285"/>
      <c r="O855" s="3"/>
      <c r="Q855"/>
    </row>
    <row r="856" spans="2:17" x14ac:dyDescent="0.25">
      <c r="B856" s="298"/>
      <c r="C856" s="298"/>
      <c r="D856" s="3"/>
      <c r="E856" s="3"/>
      <c r="F856" s="3"/>
      <c r="G856" s="6">
        <f t="shared" si="32"/>
        <v>0</v>
      </c>
      <c r="H856" s="6"/>
      <c r="I856" s="3"/>
      <c r="J856" s="3"/>
      <c r="K856" s="285"/>
      <c r="O856" s="3"/>
      <c r="Q856"/>
    </row>
    <row r="857" spans="2:17" x14ac:dyDescent="0.25">
      <c r="B857" s="298"/>
      <c r="C857" s="298"/>
      <c r="D857" s="3"/>
      <c r="E857" s="3"/>
      <c r="F857" s="3"/>
      <c r="G857" s="6">
        <f t="shared" si="32"/>
        <v>0</v>
      </c>
      <c r="H857" s="6"/>
      <c r="I857" s="3"/>
      <c r="J857" s="3"/>
      <c r="K857" s="285"/>
      <c r="O857" s="3"/>
      <c r="Q857"/>
    </row>
    <row r="858" spans="2:17" x14ac:dyDescent="0.25">
      <c r="B858" s="298"/>
      <c r="C858" s="298"/>
      <c r="D858" s="3"/>
      <c r="E858" s="3"/>
      <c r="F858" s="3"/>
      <c r="G858" s="6">
        <f t="shared" si="32"/>
        <v>0</v>
      </c>
      <c r="H858" s="6"/>
      <c r="I858" s="3"/>
      <c r="J858" s="3"/>
      <c r="K858" s="285"/>
      <c r="O858" s="3"/>
      <c r="Q858"/>
    </row>
    <row r="859" spans="2:17" x14ac:dyDescent="0.25">
      <c r="B859" s="298"/>
      <c r="C859" s="298"/>
      <c r="D859" s="3"/>
      <c r="E859" s="3"/>
      <c r="F859" s="3"/>
      <c r="G859" s="6">
        <f t="shared" si="32"/>
        <v>0</v>
      </c>
      <c r="H859" s="6"/>
      <c r="I859" s="3"/>
      <c r="J859" s="3"/>
      <c r="K859" s="285"/>
      <c r="O859" s="3"/>
      <c r="Q859"/>
    </row>
    <row r="860" spans="2:17" x14ac:dyDescent="0.25">
      <c r="B860" s="298"/>
      <c r="C860" s="298"/>
      <c r="D860" s="3"/>
      <c r="E860" s="3"/>
      <c r="F860" s="3"/>
      <c r="G860" s="6">
        <f t="shared" si="32"/>
        <v>0</v>
      </c>
      <c r="H860" s="6"/>
      <c r="I860" s="3"/>
      <c r="J860" s="3"/>
      <c r="K860" s="285"/>
      <c r="O860" s="3"/>
      <c r="Q860"/>
    </row>
    <row r="861" spans="2:17" x14ac:dyDescent="0.25">
      <c r="B861" s="298"/>
      <c r="C861" s="298"/>
      <c r="D861" s="3"/>
      <c r="E861" s="3"/>
      <c r="F861" s="3"/>
      <c r="G861" s="6">
        <f t="shared" si="32"/>
        <v>0</v>
      </c>
      <c r="H861" s="6"/>
      <c r="I861" s="3"/>
      <c r="J861" s="3"/>
      <c r="K861" s="285"/>
      <c r="O861" s="3"/>
      <c r="Q861"/>
    </row>
    <row r="862" spans="2:17" x14ac:dyDescent="0.25">
      <c r="B862" s="298"/>
      <c r="C862" s="298"/>
      <c r="D862" s="3"/>
      <c r="E862" s="3"/>
      <c r="F862" s="3"/>
      <c r="G862" s="6">
        <f t="shared" si="32"/>
        <v>0</v>
      </c>
      <c r="H862" s="6"/>
      <c r="I862" s="3"/>
      <c r="J862" s="3"/>
      <c r="K862" s="285"/>
      <c r="O862" s="3"/>
      <c r="Q862"/>
    </row>
    <row r="863" spans="2:17" x14ac:dyDescent="0.25">
      <c r="B863" s="298"/>
      <c r="C863" s="298"/>
      <c r="D863" s="3"/>
      <c r="E863" s="3"/>
      <c r="F863" s="3"/>
      <c r="G863" s="6">
        <f t="shared" si="32"/>
        <v>0</v>
      </c>
      <c r="H863" s="6"/>
      <c r="I863" s="3"/>
      <c r="J863" s="3"/>
      <c r="K863" s="285"/>
      <c r="O863" s="3"/>
      <c r="Q863"/>
    </row>
    <row r="864" spans="2:17" x14ac:dyDescent="0.25">
      <c r="B864" s="298"/>
      <c r="C864" s="298"/>
      <c r="D864" s="3"/>
      <c r="E864" s="3"/>
      <c r="F864" s="3"/>
      <c r="G864" s="6">
        <f t="shared" si="32"/>
        <v>0</v>
      </c>
      <c r="H864" s="6"/>
      <c r="I864" s="3"/>
      <c r="J864" s="3"/>
      <c r="K864" s="285"/>
      <c r="O864" s="3"/>
      <c r="Q864"/>
    </row>
    <row r="865" spans="2:17" x14ac:dyDescent="0.25">
      <c r="B865" s="298"/>
      <c r="C865" s="298"/>
      <c r="D865" s="3"/>
      <c r="E865" s="3"/>
      <c r="F865" s="3"/>
      <c r="G865" s="6">
        <f t="shared" si="32"/>
        <v>0</v>
      </c>
      <c r="H865" s="6"/>
      <c r="I865" s="3"/>
      <c r="J865" s="3"/>
      <c r="K865" s="285"/>
      <c r="O865" s="3"/>
      <c r="Q865"/>
    </row>
    <row r="866" spans="2:17" x14ac:dyDescent="0.25">
      <c r="B866" s="298"/>
      <c r="C866" s="298"/>
      <c r="D866" s="3"/>
      <c r="E866" s="3"/>
      <c r="F866" s="3"/>
      <c r="G866" s="6">
        <f t="shared" si="32"/>
        <v>0</v>
      </c>
      <c r="H866" s="6"/>
      <c r="I866" s="3"/>
      <c r="J866" s="3"/>
      <c r="K866" s="285"/>
      <c r="O866" s="3"/>
      <c r="Q866"/>
    </row>
    <row r="867" spans="2:17" x14ac:dyDescent="0.25">
      <c r="B867" s="298"/>
      <c r="C867" s="298"/>
      <c r="D867" s="3"/>
      <c r="E867" s="3"/>
      <c r="F867" s="3"/>
      <c r="G867" s="6">
        <f t="shared" si="32"/>
        <v>0</v>
      </c>
      <c r="H867" s="6"/>
      <c r="I867" s="3"/>
      <c r="J867" s="3"/>
      <c r="K867" s="285"/>
      <c r="O867" s="3"/>
      <c r="Q867"/>
    </row>
    <row r="868" spans="2:17" x14ac:dyDescent="0.25">
      <c r="B868" s="298"/>
      <c r="C868" s="298"/>
      <c r="D868" s="3"/>
      <c r="E868" s="3"/>
      <c r="F868" s="3"/>
      <c r="G868" s="6">
        <f t="shared" si="32"/>
        <v>0</v>
      </c>
      <c r="H868" s="6"/>
      <c r="I868" s="3"/>
      <c r="J868" s="3"/>
      <c r="K868" s="285"/>
      <c r="O868" s="3"/>
      <c r="Q868"/>
    </row>
    <row r="869" spans="2:17" x14ac:dyDescent="0.25">
      <c r="B869" s="298"/>
      <c r="C869" s="298"/>
      <c r="D869" s="3"/>
      <c r="E869" s="3"/>
      <c r="F869" s="3"/>
      <c r="G869" s="6">
        <f t="shared" si="32"/>
        <v>0</v>
      </c>
      <c r="H869" s="6"/>
      <c r="I869" s="3"/>
      <c r="J869" s="3"/>
      <c r="K869" s="285"/>
      <c r="O869" s="3"/>
      <c r="Q869"/>
    </row>
    <row r="870" spans="2:17" x14ac:dyDescent="0.25">
      <c r="B870" s="298"/>
      <c r="C870" s="298"/>
      <c r="D870" s="3"/>
      <c r="E870" s="3"/>
      <c r="F870" s="3"/>
      <c r="G870" s="6">
        <f t="shared" si="32"/>
        <v>0</v>
      </c>
      <c r="H870" s="6"/>
      <c r="I870" s="3"/>
      <c r="J870" s="3"/>
      <c r="K870" s="285"/>
      <c r="O870" s="3"/>
      <c r="Q870"/>
    </row>
    <row r="871" spans="2:17" x14ac:dyDescent="0.25">
      <c r="B871" s="298"/>
      <c r="C871" s="298"/>
      <c r="D871" s="3"/>
      <c r="E871" s="3"/>
      <c r="F871" s="3"/>
      <c r="G871" s="6">
        <f t="shared" si="32"/>
        <v>0</v>
      </c>
      <c r="H871" s="6"/>
      <c r="I871" s="3"/>
      <c r="J871" s="3"/>
      <c r="K871" s="285"/>
      <c r="O871" s="3"/>
      <c r="Q871"/>
    </row>
    <row r="872" spans="2:17" x14ac:dyDescent="0.25">
      <c r="B872" s="298"/>
      <c r="C872" s="298"/>
      <c r="D872" s="3"/>
      <c r="E872" s="3"/>
      <c r="F872" s="3"/>
      <c r="G872" s="6">
        <f t="shared" si="32"/>
        <v>0</v>
      </c>
      <c r="H872" s="6"/>
      <c r="I872" s="3"/>
      <c r="J872" s="3"/>
      <c r="K872" s="285"/>
      <c r="O872" s="3"/>
      <c r="Q872"/>
    </row>
    <row r="873" spans="2:17" x14ac:dyDescent="0.25">
      <c r="B873" s="298"/>
      <c r="C873" s="298"/>
      <c r="D873" s="3"/>
      <c r="E873" s="3"/>
      <c r="F873" s="3"/>
      <c r="G873" s="6">
        <f t="shared" si="32"/>
        <v>0</v>
      </c>
      <c r="H873" s="6"/>
      <c r="I873" s="3"/>
      <c r="J873" s="3"/>
      <c r="K873" s="285"/>
      <c r="O873" s="3"/>
      <c r="Q873"/>
    </row>
    <row r="874" spans="2:17" x14ac:dyDescent="0.25">
      <c r="B874" s="298"/>
      <c r="C874" s="298"/>
      <c r="D874" s="3"/>
      <c r="E874" s="3"/>
      <c r="F874" s="3"/>
      <c r="G874" s="6">
        <f t="shared" si="32"/>
        <v>0</v>
      </c>
      <c r="H874" s="6"/>
      <c r="I874" s="3"/>
      <c r="J874" s="3"/>
      <c r="K874" s="285"/>
      <c r="O874" s="3"/>
      <c r="Q874"/>
    </row>
    <row r="875" spans="2:17" x14ac:dyDescent="0.25">
      <c r="B875" s="298"/>
      <c r="C875" s="298"/>
      <c r="D875" s="3"/>
      <c r="E875" s="3"/>
      <c r="F875" s="3"/>
      <c r="G875" s="6">
        <f t="shared" si="32"/>
        <v>0</v>
      </c>
      <c r="H875" s="6"/>
      <c r="I875" s="3"/>
      <c r="J875" s="3"/>
      <c r="K875" s="285"/>
      <c r="O875" s="3"/>
      <c r="Q875"/>
    </row>
    <row r="876" spans="2:17" x14ac:dyDescent="0.25">
      <c r="B876" s="298"/>
      <c r="C876" s="298"/>
      <c r="D876" s="3"/>
      <c r="E876" s="3"/>
      <c r="F876" s="3"/>
      <c r="G876" s="6">
        <f t="shared" si="32"/>
        <v>0</v>
      </c>
      <c r="H876" s="6"/>
      <c r="I876" s="3"/>
      <c r="J876" s="3"/>
      <c r="K876" s="285"/>
      <c r="O876" s="3"/>
      <c r="Q876"/>
    </row>
    <row r="877" spans="2:17" x14ac:dyDescent="0.25">
      <c r="B877" s="298"/>
      <c r="C877" s="298"/>
      <c r="D877" s="3"/>
      <c r="E877" s="3"/>
      <c r="F877" s="3"/>
      <c r="G877" s="6">
        <f t="shared" si="32"/>
        <v>0</v>
      </c>
      <c r="H877" s="6"/>
      <c r="I877" s="3"/>
      <c r="J877" s="3"/>
      <c r="K877" s="285"/>
      <c r="O877" s="3"/>
      <c r="Q877"/>
    </row>
    <row r="878" spans="2:17" x14ac:dyDescent="0.25">
      <c r="B878" s="298"/>
      <c r="C878" s="298"/>
      <c r="D878" s="3"/>
      <c r="E878" s="3"/>
      <c r="F878" s="3"/>
      <c r="G878" s="6">
        <f t="shared" si="32"/>
        <v>0</v>
      </c>
      <c r="H878" s="6"/>
      <c r="I878" s="3"/>
      <c r="J878" s="3"/>
      <c r="K878" s="285"/>
      <c r="O878" s="3"/>
      <c r="Q878"/>
    </row>
    <row r="879" spans="2:17" x14ac:dyDescent="0.25">
      <c r="B879" s="298"/>
      <c r="C879" s="298"/>
      <c r="D879" s="3"/>
      <c r="E879" s="3"/>
      <c r="F879" s="3"/>
      <c r="G879" s="6">
        <f t="shared" si="32"/>
        <v>0</v>
      </c>
      <c r="H879" s="6"/>
      <c r="I879" s="3"/>
      <c r="J879" s="3"/>
      <c r="K879" s="285"/>
      <c r="O879" s="3"/>
      <c r="Q879"/>
    </row>
    <row r="880" spans="2:17" x14ac:dyDescent="0.25">
      <c r="B880" s="298"/>
      <c r="C880" s="298"/>
      <c r="D880" s="3"/>
      <c r="E880" s="3"/>
      <c r="F880" s="3"/>
      <c r="G880" s="6">
        <f t="shared" si="32"/>
        <v>0</v>
      </c>
      <c r="H880" s="6"/>
      <c r="I880" s="3"/>
      <c r="J880" s="3"/>
      <c r="K880" s="285"/>
      <c r="O880" s="3"/>
      <c r="Q880"/>
    </row>
    <row r="881" spans="2:17" x14ac:dyDescent="0.25">
      <c r="B881" s="298"/>
      <c r="C881" s="298"/>
      <c r="D881" s="3"/>
      <c r="E881" s="3"/>
      <c r="F881" s="3"/>
      <c r="G881" s="6">
        <f t="shared" si="32"/>
        <v>0</v>
      </c>
      <c r="H881" s="6"/>
      <c r="I881" s="3"/>
      <c r="J881" s="3"/>
      <c r="K881" s="285"/>
      <c r="O881" s="3"/>
      <c r="Q881"/>
    </row>
    <row r="882" spans="2:17" x14ac:dyDescent="0.25">
      <c r="B882" s="298"/>
      <c r="C882" s="298"/>
      <c r="D882" s="3"/>
      <c r="E882" s="3"/>
      <c r="F882" s="3"/>
      <c r="G882" s="6">
        <f t="shared" si="32"/>
        <v>0</v>
      </c>
      <c r="H882" s="6"/>
      <c r="I882" s="3"/>
      <c r="J882" s="3"/>
      <c r="K882" s="285"/>
      <c r="O882" s="3"/>
      <c r="Q882"/>
    </row>
    <row r="883" spans="2:17" x14ac:dyDescent="0.25">
      <c r="B883" s="298"/>
      <c r="C883" s="298"/>
      <c r="D883" s="3"/>
      <c r="E883" s="3"/>
      <c r="F883" s="3"/>
      <c r="G883" s="6">
        <f t="shared" si="32"/>
        <v>0</v>
      </c>
      <c r="H883" s="6"/>
      <c r="I883" s="3"/>
      <c r="J883" s="3"/>
      <c r="K883" s="285"/>
      <c r="O883" s="3"/>
      <c r="Q883"/>
    </row>
    <row r="884" spans="2:17" x14ac:dyDescent="0.25">
      <c r="B884" s="298"/>
      <c r="C884" s="298"/>
      <c r="D884" s="3"/>
      <c r="E884" s="3"/>
      <c r="F884" s="3"/>
      <c r="G884" s="6">
        <f t="shared" si="32"/>
        <v>0</v>
      </c>
      <c r="H884" s="6"/>
      <c r="I884" s="3"/>
      <c r="J884" s="3"/>
      <c r="K884" s="285"/>
      <c r="O884" s="3"/>
      <c r="Q884"/>
    </row>
    <row r="885" spans="2:17" x14ac:dyDescent="0.25">
      <c r="B885" s="298"/>
      <c r="C885" s="298"/>
      <c r="D885" s="3"/>
      <c r="E885" s="3"/>
      <c r="F885" s="3"/>
      <c r="G885" s="6">
        <f t="shared" si="32"/>
        <v>0</v>
      </c>
      <c r="H885" s="6"/>
      <c r="I885" s="3"/>
      <c r="J885" s="3"/>
      <c r="K885" s="285"/>
      <c r="O885" s="3"/>
      <c r="Q885"/>
    </row>
    <row r="886" spans="2:17" x14ac:dyDescent="0.25">
      <c r="B886" s="298"/>
      <c r="C886" s="298"/>
      <c r="D886" s="3"/>
      <c r="E886" s="3"/>
      <c r="F886" s="3"/>
      <c r="G886" s="6">
        <f t="shared" si="32"/>
        <v>0</v>
      </c>
      <c r="H886" s="6"/>
      <c r="I886" s="3"/>
      <c r="J886" s="3"/>
      <c r="K886" s="285"/>
      <c r="O886" s="3"/>
      <c r="Q886"/>
    </row>
    <row r="887" spans="2:17" x14ac:dyDescent="0.25">
      <c r="B887" s="298"/>
      <c r="C887" s="298"/>
      <c r="D887" s="3"/>
      <c r="E887" s="3"/>
      <c r="F887" s="3"/>
      <c r="G887" s="6">
        <f t="shared" si="32"/>
        <v>0</v>
      </c>
      <c r="H887" s="6"/>
      <c r="I887" s="3"/>
      <c r="J887" s="3"/>
      <c r="K887" s="285"/>
      <c r="O887" s="3"/>
      <c r="Q887"/>
    </row>
    <row r="888" spans="2:17" x14ac:dyDescent="0.25">
      <c r="B888" s="298"/>
      <c r="C888" s="298"/>
      <c r="D888" s="3"/>
      <c r="E888" s="3"/>
      <c r="F888" s="3"/>
      <c r="G888" s="6">
        <f t="shared" si="32"/>
        <v>0</v>
      </c>
      <c r="H888" s="6"/>
      <c r="I888" s="3"/>
      <c r="J888" s="3"/>
      <c r="K888" s="285"/>
      <c r="O888" s="3"/>
      <c r="Q888"/>
    </row>
    <row r="889" spans="2:17" x14ac:dyDescent="0.25">
      <c r="B889" s="298"/>
      <c r="C889" s="298"/>
      <c r="D889" s="3"/>
      <c r="E889" s="3"/>
      <c r="F889" s="3"/>
      <c r="G889" s="6">
        <f t="shared" si="32"/>
        <v>0</v>
      </c>
      <c r="H889" s="6"/>
      <c r="I889" s="3"/>
      <c r="J889" s="3"/>
      <c r="K889" s="285"/>
      <c r="O889" s="3"/>
      <c r="Q889"/>
    </row>
    <row r="890" spans="2:17" x14ac:dyDescent="0.25">
      <c r="B890" s="298"/>
      <c r="C890" s="298"/>
      <c r="D890" s="3"/>
      <c r="E890" s="3"/>
      <c r="F890" s="3"/>
      <c r="G890" s="6">
        <f t="shared" si="32"/>
        <v>0</v>
      </c>
      <c r="H890" s="6"/>
      <c r="I890" s="3"/>
      <c r="J890" s="3"/>
      <c r="K890" s="285"/>
      <c r="O890" s="3"/>
      <c r="Q890"/>
    </row>
    <row r="891" spans="2:17" x14ac:dyDescent="0.25">
      <c r="B891" s="298"/>
      <c r="C891" s="298"/>
      <c r="D891" s="3"/>
      <c r="E891" s="3"/>
      <c r="F891" s="3"/>
      <c r="G891" s="6">
        <f t="shared" si="32"/>
        <v>0</v>
      </c>
      <c r="H891" s="6"/>
      <c r="I891" s="3"/>
      <c r="J891" s="3"/>
      <c r="K891" s="285"/>
      <c r="O891" s="3"/>
      <c r="Q891"/>
    </row>
    <row r="892" spans="2:17" x14ac:dyDescent="0.25">
      <c r="B892" s="298"/>
      <c r="C892" s="298"/>
      <c r="D892" s="3"/>
      <c r="E892" s="3"/>
      <c r="F892" s="3"/>
      <c r="G892" s="6">
        <f t="shared" si="32"/>
        <v>0</v>
      </c>
      <c r="H892" s="6"/>
      <c r="I892" s="3"/>
      <c r="J892" s="3"/>
      <c r="K892" s="285"/>
      <c r="O892" s="3"/>
      <c r="Q892"/>
    </row>
    <row r="893" spans="2:17" x14ac:dyDescent="0.25">
      <c r="B893" s="298"/>
      <c r="C893" s="298"/>
      <c r="D893" s="3"/>
      <c r="E893" s="3"/>
      <c r="F893" s="3"/>
      <c r="G893" s="6">
        <f t="shared" si="32"/>
        <v>0</v>
      </c>
      <c r="H893" s="6"/>
      <c r="I893" s="3"/>
      <c r="J893" s="3"/>
      <c r="K893" s="285"/>
      <c r="O893" s="3"/>
      <c r="Q893"/>
    </row>
    <row r="894" spans="2:17" x14ac:dyDescent="0.25">
      <c r="B894" s="298"/>
      <c r="C894" s="298"/>
      <c r="D894" s="3"/>
      <c r="E894" s="3"/>
      <c r="F894" s="3"/>
      <c r="G894" s="6">
        <f t="shared" si="32"/>
        <v>0</v>
      </c>
      <c r="H894" s="6"/>
      <c r="I894" s="3"/>
      <c r="J894" s="3"/>
      <c r="K894" s="285"/>
      <c r="O894" s="3"/>
      <c r="Q894"/>
    </row>
    <row r="895" spans="2:17" x14ac:dyDescent="0.25">
      <c r="B895" s="298"/>
      <c r="C895" s="298"/>
      <c r="D895" s="3"/>
      <c r="E895" s="3"/>
      <c r="F895" s="3"/>
      <c r="G895" s="6">
        <f t="shared" si="32"/>
        <v>0</v>
      </c>
      <c r="H895" s="6"/>
      <c r="I895" s="3"/>
      <c r="J895" s="3"/>
      <c r="K895" s="285"/>
      <c r="O895" s="3"/>
      <c r="Q895"/>
    </row>
    <row r="896" spans="2:17" x14ac:dyDescent="0.25">
      <c r="B896" s="298"/>
      <c r="C896" s="298"/>
      <c r="D896" s="3"/>
      <c r="E896" s="3"/>
      <c r="F896" s="3"/>
      <c r="G896" s="6">
        <f t="shared" si="32"/>
        <v>0</v>
      </c>
      <c r="H896" s="6"/>
      <c r="I896" s="3"/>
      <c r="J896" s="3"/>
      <c r="K896" s="285"/>
      <c r="O896" s="3"/>
      <c r="Q896"/>
    </row>
    <row r="897" spans="2:17" x14ac:dyDescent="0.25">
      <c r="B897" s="298"/>
      <c r="C897" s="298"/>
      <c r="D897" s="3"/>
      <c r="E897" s="3"/>
      <c r="F897" s="3"/>
      <c r="G897" s="6">
        <f t="shared" si="32"/>
        <v>0</v>
      </c>
      <c r="H897" s="6"/>
      <c r="I897" s="3"/>
      <c r="J897" s="3"/>
      <c r="K897" s="285"/>
      <c r="O897" s="3"/>
      <c r="Q897"/>
    </row>
    <row r="898" spans="2:17" x14ac:dyDescent="0.25">
      <c r="B898" s="298"/>
      <c r="C898" s="298"/>
      <c r="D898" s="3"/>
      <c r="E898" s="3"/>
      <c r="F898" s="3"/>
      <c r="G898" s="6">
        <f t="shared" si="32"/>
        <v>0</v>
      </c>
      <c r="H898" s="6"/>
      <c r="I898" s="3"/>
      <c r="J898" s="3"/>
      <c r="K898" s="285"/>
      <c r="O898" s="3"/>
      <c r="Q898"/>
    </row>
    <row r="899" spans="2:17" x14ac:dyDescent="0.25">
      <c r="B899" s="298"/>
      <c r="C899" s="298"/>
      <c r="D899" s="3"/>
      <c r="E899" s="3"/>
      <c r="F899" s="3"/>
      <c r="G899" s="6">
        <f t="shared" si="32"/>
        <v>0</v>
      </c>
      <c r="H899" s="6"/>
      <c r="I899" s="3"/>
      <c r="J899" s="3"/>
      <c r="K899" s="285"/>
      <c r="O899" s="3"/>
      <c r="Q899"/>
    </row>
    <row r="900" spans="2:17" x14ac:dyDescent="0.25">
      <c r="B900" s="298"/>
      <c r="C900" s="298"/>
      <c r="D900" s="3"/>
      <c r="E900" s="3"/>
      <c r="F900" s="3"/>
      <c r="G900" s="6">
        <f t="shared" si="32"/>
        <v>0</v>
      </c>
      <c r="H900" s="6"/>
      <c r="I900" s="3"/>
      <c r="J900" s="3"/>
      <c r="K900" s="285"/>
      <c r="O900" s="6"/>
      <c r="Q900"/>
    </row>
    <row r="901" spans="2:17" x14ac:dyDescent="0.25">
      <c r="B901" s="298"/>
      <c r="C901" s="298"/>
      <c r="D901" s="3"/>
      <c r="E901" s="3"/>
      <c r="F901" s="3"/>
      <c r="G901" s="6">
        <f t="shared" ref="G901:G949" si="33">H901-H901/1.18</f>
        <v>0</v>
      </c>
      <c r="H901" s="6"/>
      <c r="I901" s="3"/>
      <c r="J901" s="3"/>
      <c r="K901" s="285"/>
      <c r="O901" s="6"/>
      <c r="Q901"/>
    </row>
    <row r="902" spans="2:17" x14ac:dyDescent="0.25">
      <c r="B902" s="298"/>
      <c r="C902" s="298"/>
      <c r="D902" s="3"/>
      <c r="E902" s="3"/>
      <c r="F902" s="3"/>
      <c r="G902" s="6">
        <f t="shared" si="33"/>
        <v>0</v>
      </c>
      <c r="H902" s="6"/>
      <c r="I902" s="3"/>
      <c r="J902" s="3"/>
      <c r="K902" s="285"/>
      <c r="O902" s="6"/>
      <c r="Q902"/>
    </row>
    <row r="903" spans="2:17" x14ac:dyDescent="0.25">
      <c r="B903" s="298"/>
      <c r="C903" s="298"/>
      <c r="D903" s="3"/>
      <c r="E903" s="3"/>
      <c r="F903" s="3"/>
      <c r="G903" s="6">
        <f t="shared" si="33"/>
        <v>0</v>
      </c>
      <c r="H903" s="6"/>
      <c r="I903" s="3"/>
      <c r="J903" s="3"/>
      <c r="K903" s="285"/>
      <c r="O903" s="6"/>
      <c r="Q903"/>
    </row>
    <row r="904" spans="2:17" x14ac:dyDescent="0.25">
      <c r="B904" s="298"/>
      <c r="C904" s="298"/>
      <c r="D904" s="3"/>
      <c r="E904" s="3"/>
      <c r="F904" s="3"/>
      <c r="G904" s="6">
        <f t="shared" si="33"/>
        <v>0</v>
      </c>
      <c r="H904" s="6"/>
      <c r="I904" s="3"/>
      <c r="J904" s="3"/>
      <c r="K904" s="285"/>
      <c r="O904" s="6"/>
      <c r="Q904"/>
    </row>
    <row r="905" spans="2:17" x14ac:dyDescent="0.25">
      <c r="B905" s="298"/>
      <c r="C905" s="298"/>
      <c r="D905" s="3"/>
      <c r="E905" s="3"/>
      <c r="F905" s="3"/>
      <c r="G905" s="6">
        <f t="shared" si="33"/>
        <v>0</v>
      </c>
      <c r="H905" s="6"/>
      <c r="I905" s="3"/>
      <c r="J905" s="3"/>
      <c r="K905" s="285"/>
      <c r="O905" s="6"/>
      <c r="Q905"/>
    </row>
    <row r="906" spans="2:17" x14ac:dyDescent="0.25">
      <c r="B906" s="298"/>
      <c r="C906" s="298"/>
      <c r="D906" s="3"/>
      <c r="E906" s="3"/>
      <c r="F906" s="3"/>
      <c r="G906" s="6">
        <f t="shared" si="33"/>
        <v>0</v>
      </c>
      <c r="H906" s="6"/>
      <c r="I906" s="3"/>
      <c r="J906" s="3"/>
      <c r="K906" s="285"/>
      <c r="O906" s="6"/>
      <c r="Q906"/>
    </row>
    <row r="907" spans="2:17" x14ac:dyDescent="0.25">
      <c r="B907" s="298"/>
      <c r="C907" s="298"/>
      <c r="D907" s="3"/>
      <c r="E907" s="3"/>
      <c r="F907" s="3"/>
      <c r="G907" s="6">
        <f t="shared" si="33"/>
        <v>0</v>
      </c>
      <c r="H907" s="6"/>
      <c r="I907" s="3"/>
      <c r="J907" s="3"/>
      <c r="K907" s="285"/>
      <c r="O907" s="6"/>
      <c r="Q907"/>
    </row>
    <row r="908" spans="2:17" x14ac:dyDescent="0.25">
      <c r="B908" s="298"/>
      <c r="C908" s="298"/>
      <c r="D908" s="3"/>
      <c r="E908" s="3"/>
      <c r="F908" s="3"/>
      <c r="G908" s="6">
        <f t="shared" si="33"/>
        <v>0</v>
      </c>
      <c r="H908" s="6"/>
      <c r="I908" s="3"/>
      <c r="J908" s="3"/>
      <c r="K908" s="285"/>
      <c r="O908" s="6"/>
      <c r="Q908"/>
    </row>
    <row r="909" spans="2:17" x14ac:dyDescent="0.25">
      <c r="B909" s="298"/>
      <c r="C909" s="298"/>
      <c r="D909" s="3"/>
      <c r="E909" s="3"/>
      <c r="F909" s="3"/>
      <c r="G909" s="6">
        <f t="shared" si="33"/>
        <v>0</v>
      </c>
      <c r="H909" s="6"/>
      <c r="I909" s="3"/>
      <c r="J909" s="3"/>
      <c r="K909" s="285"/>
      <c r="O909" s="6"/>
      <c r="Q909"/>
    </row>
    <row r="910" spans="2:17" x14ac:dyDescent="0.25">
      <c r="B910" s="298"/>
      <c r="C910" s="298"/>
      <c r="D910" s="3"/>
      <c r="E910" s="3"/>
      <c r="F910" s="3"/>
      <c r="G910" s="6">
        <f t="shared" si="33"/>
        <v>0</v>
      </c>
      <c r="H910" s="6"/>
      <c r="I910" s="3"/>
      <c r="J910" s="3"/>
      <c r="K910" s="285"/>
      <c r="O910" s="6"/>
      <c r="Q910"/>
    </row>
    <row r="911" spans="2:17" x14ac:dyDescent="0.25">
      <c r="B911" s="298"/>
      <c r="C911" s="298"/>
      <c r="D911" s="3"/>
      <c r="E911" s="3"/>
      <c r="F911" s="3"/>
      <c r="G911" s="6">
        <f t="shared" si="33"/>
        <v>0</v>
      </c>
      <c r="H911" s="6"/>
      <c r="I911" s="3"/>
      <c r="J911" s="3"/>
      <c r="K911" s="285"/>
      <c r="O911" s="6"/>
      <c r="Q911"/>
    </row>
    <row r="912" spans="2:17" x14ac:dyDescent="0.25">
      <c r="B912" s="298"/>
      <c r="C912" s="298"/>
      <c r="D912" s="3"/>
      <c r="E912" s="3"/>
      <c r="F912" s="3"/>
      <c r="G912" s="6">
        <f t="shared" si="33"/>
        <v>0</v>
      </c>
      <c r="H912" s="6"/>
      <c r="I912" s="3"/>
      <c r="J912" s="3"/>
      <c r="K912" s="285"/>
      <c r="O912" s="6"/>
      <c r="Q912"/>
    </row>
    <row r="913" spans="2:17" x14ac:dyDescent="0.25">
      <c r="B913" s="298"/>
      <c r="C913" s="298"/>
      <c r="D913" s="3"/>
      <c r="E913" s="3"/>
      <c r="F913" s="3"/>
      <c r="G913" s="6">
        <f t="shared" si="33"/>
        <v>0</v>
      </c>
      <c r="H913" s="6"/>
      <c r="I913" s="3"/>
      <c r="J913" s="3"/>
      <c r="K913" s="285"/>
      <c r="O913" s="6"/>
      <c r="P913" s="87"/>
      <c r="Q913" s="87"/>
    </row>
    <row r="914" spans="2:17" x14ac:dyDescent="0.25">
      <c r="B914" s="298"/>
      <c r="C914" s="298"/>
      <c r="D914" s="3"/>
      <c r="E914" s="3"/>
      <c r="F914" s="3"/>
      <c r="G914" s="6">
        <f t="shared" si="33"/>
        <v>0</v>
      </c>
      <c r="H914" s="6"/>
      <c r="I914" s="3"/>
      <c r="J914" s="3"/>
      <c r="K914" s="285"/>
      <c r="O914" s="310"/>
      <c r="P914" s="87"/>
      <c r="Q914" s="87"/>
    </row>
    <row r="915" spans="2:17" x14ac:dyDescent="0.25">
      <c r="B915" s="298"/>
      <c r="C915" s="298"/>
      <c r="D915" s="3"/>
      <c r="E915" s="3"/>
      <c r="F915" s="3"/>
      <c r="G915" s="6">
        <f t="shared" si="33"/>
        <v>0</v>
      </c>
      <c r="H915" s="6"/>
      <c r="I915" s="3"/>
      <c r="J915" s="3"/>
      <c r="K915" s="285"/>
      <c r="O915" s="3"/>
      <c r="P915" s="87"/>
      <c r="Q915" s="87"/>
    </row>
    <row r="916" spans="2:17" x14ac:dyDescent="0.25">
      <c r="B916" s="298"/>
      <c r="C916" s="298"/>
      <c r="D916" s="3"/>
      <c r="E916" s="3"/>
      <c r="F916" s="3"/>
      <c r="G916" s="6">
        <f t="shared" si="33"/>
        <v>0</v>
      </c>
      <c r="H916" s="6"/>
      <c r="I916" s="3"/>
      <c r="J916" s="3"/>
      <c r="K916" s="285"/>
      <c r="O916" s="3"/>
      <c r="Q916"/>
    </row>
    <row r="917" spans="2:17" x14ac:dyDescent="0.25">
      <c r="B917" s="298"/>
      <c r="C917" s="298"/>
      <c r="D917" s="3"/>
      <c r="E917" s="3"/>
      <c r="F917" s="3"/>
      <c r="G917" s="6">
        <f t="shared" si="33"/>
        <v>0</v>
      </c>
      <c r="H917" s="6"/>
      <c r="I917" s="3"/>
      <c r="J917" s="3"/>
      <c r="K917" s="285"/>
      <c r="O917" s="3"/>
      <c r="Q917"/>
    </row>
    <row r="918" spans="2:17" x14ac:dyDescent="0.25">
      <c r="B918" s="298"/>
      <c r="C918" s="298"/>
      <c r="D918" s="3"/>
      <c r="E918" s="3"/>
      <c r="F918" s="3"/>
      <c r="G918" s="6">
        <f t="shared" si="33"/>
        <v>0</v>
      </c>
      <c r="H918" s="6"/>
      <c r="I918" s="3"/>
      <c r="J918" s="3"/>
      <c r="K918" s="285"/>
      <c r="O918" s="3"/>
      <c r="Q918"/>
    </row>
    <row r="919" spans="2:17" x14ac:dyDescent="0.25">
      <c r="B919" s="298"/>
      <c r="C919" s="298"/>
      <c r="D919" s="3"/>
      <c r="E919" s="3"/>
      <c r="F919" s="3"/>
      <c r="G919" s="6">
        <f t="shared" si="33"/>
        <v>0</v>
      </c>
      <c r="H919" s="6"/>
      <c r="I919" s="3"/>
      <c r="J919" s="3"/>
      <c r="K919" s="285"/>
      <c r="O919" s="3"/>
      <c r="Q919"/>
    </row>
    <row r="920" spans="2:17" x14ac:dyDescent="0.25">
      <c r="B920" s="298"/>
      <c r="C920" s="298"/>
      <c r="D920" s="3"/>
      <c r="E920" s="3"/>
      <c r="F920" s="3"/>
      <c r="G920" s="6">
        <f t="shared" si="33"/>
        <v>0</v>
      </c>
      <c r="H920" s="6"/>
      <c r="I920" s="3"/>
      <c r="J920" s="3"/>
      <c r="K920" s="285"/>
      <c r="O920" s="3"/>
      <c r="Q920"/>
    </row>
    <row r="921" spans="2:17" x14ac:dyDescent="0.25">
      <c r="B921" s="298"/>
      <c r="C921" s="298"/>
      <c r="D921" s="3"/>
      <c r="E921" s="3"/>
      <c r="F921" s="3"/>
      <c r="G921" s="6">
        <f t="shared" si="33"/>
        <v>0</v>
      </c>
      <c r="H921" s="6"/>
      <c r="I921" s="3"/>
      <c r="J921" s="3"/>
      <c r="K921" s="285"/>
      <c r="O921" s="3"/>
      <c r="Q921"/>
    </row>
    <row r="922" spans="2:17" x14ac:dyDescent="0.25">
      <c r="B922" s="298"/>
      <c r="C922" s="298"/>
      <c r="D922" s="3"/>
      <c r="E922" s="3"/>
      <c r="F922" s="3"/>
      <c r="G922" s="6">
        <f t="shared" si="33"/>
        <v>0</v>
      </c>
      <c r="H922" s="6"/>
      <c r="I922" s="3"/>
      <c r="J922" s="3"/>
      <c r="K922" s="285"/>
      <c r="O922" s="3"/>
      <c r="Q922"/>
    </row>
    <row r="923" spans="2:17" x14ac:dyDescent="0.25">
      <c r="B923" s="298"/>
      <c r="C923" s="298"/>
      <c r="D923" s="3"/>
      <c r="E923" s="3"/>
      <c r="F923" s="3"/>
      <c r="G923" s="6">
        <f t="shared" si="33"/>
        <v>0</v>
      </c>
      <c r="H923" s="6"/>
      <c r="I923" s="3"/>
      <c r="J923" s="3"/>
      <c r="K923" s="285"/>
      <c r="O923" s="3"/>
      <c r="Q923"/>
    </row>
    <row r="924" spans="2:17" x14ac:dyDescent="0.25">
      <c r="B924" s="298"/>
      <c r="C924" s="298"/>
      <c r="D924" s="3"/>
      <c r="E924" s="3"/>
      <c r="F924" s="3"/>
      <c r="G924" s="6">
        <f t="shared" si="33"/>
        <v>0</v>
      </c>
      <c r="H924" s="6"/>
      <c r="I924" s="3"/>
      <c r="J924" s="3"/>
      <c r="K924" s="285"/>
      <c r="O924" s="3"/>
      <c r="Q924"/>
    </row>
    <row r="925" spans="2:17" x14ac:dyDescent="0.25">
      <c r="B925" s="298"/>
      <c r="C925" s="298"/>
      <c r="D925" s="3"/>
      <c r="E925" s="3"/>
      <c r="F925" s="3"/>
      <c r="G925" s="6">
        <f t="shared" si="33"/>
        <v>0</v>
      </c>
      <c r="H925" s="6"/>
      <c r="I925" s="3"/>
      <c r="J925" s="3"/>
      <c r="K925" s="285"/>
      <c r="O925" s="3"/>
      <c r="Q925"/>
    </row>
    <row r="926" spans="2:17" x14ac:dyDescent="0.25">
      <c r="B926" s="298"/>
      <c r="C926" s="298"/>
      <c r="D926" s="3"/>
      <c r="E926" s="3"/>
      <c r="F926" s="3"/>
      <c r="G926" s="6">
        <f t="shared" si="33"/>
        <v>0</v>
      </c>
      <c r="H926" s="6"/>
      <c r="I926" s="3"/>
      <c r="J926" s="3"/>
      <c r="K926" s="285"/>
      <c r="O926" s="3"/>
      <c r="Q926"/>
    </row>
    <row r="927" spans="2:17" x14ac:dyDescent="0.25">
      <c r="B927" s="298"/>
      <c r="C927" s="298"/>
      <c r="D927" s="3"/>
      <c r="E927" s="3"/>
      <c r="F927" s="3"/>
      <c r="G927" s="6">
        <f t="shared" si="33"/>
        <v>0</v>
      </c>
      <c r="H927" s="6"/>
      <c r="I927" s="3"/>
      <c r="J927" s="3"/>
      <c r="K927" s="285"/>
      <c r="O927" s="3"/>
      <c r="Q927"/>
    </row>
    <row r="928" spans="2:17" x14ac:dyDescent="0.25">
      <c r="B928" s="298"/>
      <c r="C928" s="298"/>
      <c r="D928" s="3"/>
      <c r="E928" s="3"/>
      <c r="F928" s="3"/>
      <c r="G928" s="6">
        <f t="shared" si="33"/>
        <v>0</v>
      </c>
      <c r="H928" s="6"/>
      <c r="I928" s="3"/>
      <c r="J928" s="3"/>
      <c r="K928" s="285"/>
      <c r="O928" s="3"/>
      <c r="Q928"/>
    </row>
    <row r="929" spans="2:17" x14ac:dyDescent="0.25">
      <c r="B929" s="298"/>
      <c r="C929" s="298"/>
      <c r="D929" s="3"/>
      <c r="E929" s="3"/>
      <c r="F929" s="3"/>
      <c r="G929" s="6">
        <f t="shared" si="33"/>
        <v>0</v>
      </c>
      <c r="H929" s="6"/>
      <c r="I929" s="3"/>
      <c r="J929" s="3"/>
      <c r="K929" s="285"/>
      <c r="O929" s="3"/>
      <c r="Q929"/>
    </row>
    <row r="930" spans="2:17" x14ac:dyDescent="0.25">
      <c r="B930" s="298"/>
      <c r="C930" s="298"/>
      <c r="D930" s="3"/>
      <c r="E930" s="3"/>
      <c r="F930" s="3"/>
      <c r="G930" s="6">
        <f t="shared" si="33"/>
        <v>0</v>
      </c>
      <c r="H930" s="6"/>
      <c r="I930" s="3"/>
      <c r="J930" s="3"/>
      <c r="K930" s="285"/>
      <c r="O930" s="3"/>
      <c r="Q930"/>
    </row>
    <row r="931" spans="2:17" x14ac:dyDescent="0.25">
      <c r="B931" s="298"/>
      <c r="C931" s="298"/>
      <c r="D931" s="3"/>
      <c r="E931" s="3"/>
      <c r="F931" s="3"/>
      <c r="G931" s="6">
        <f t="shared" si="33"/>
        <v>0</v>
      </c>
      <c r="H931" s="6"/>
      <c r="I931" s="3"/>
      <c r="J931" s="3"/>
      <c r="K931" s="285"/>
      <c r="O931" s="3"/>
      <c r="Q931"/>
    </row>
    <row r="932" spans="2:17" x14ac:dyDescent="0.25">
      <c r="B932" s="298"/>
      <c r="C932" s="298"/>
      <c r="D932" s="3"/>
      <c r="E932" s="3"/>
      <c r="F932" s="3"/>
      <c r="G932" s="6">
        <f t="shared" si="33"/>
        <v>0</v>
      </c>
      <c r="H932" s="6"/>
      <c r="I932" s="3"/>
      <c r="J932" s="3"/>
      <c r="K932" s="285"/>
      <c r="O932" s="3"/>
      <c r="Q932"/>
    </row>
    <row r="933" spans="2:17" x14ac:dyDescent="0.25">
      <c r="B933" s="298"/>
      <c r="C933" s="298"/>
      <c r="D933" s="3"/>
      <c r="E933" s="3"/>
      <c r="F933" s="3"/>
      <c r="G933" s="6">
        <f t="shared" si="33"/>
        <v>0</v>
      </c>
      <c r="H933" s="6"/>
      <c r="I933" s="3"/>
      <c r="J933" s="3"/>
      <c r="K933" s="285"/>
      <c r="O933" s="3"/>
      <c r="Q933"/>
    </row>
    <row r="934" spans="2:17" x14ac:dyDescent="0.25">
      <c r="B934" s="298"/>
      <c r="C934" s="298"/>
      <c r="D934" s="3"/>
      <c r="E934" s="3"/>
      <c r="F934" s="3"/>
      <c r="G934" s="6">
        <f t="shared" si="33"/>
        <v>0</v>
      </c>
      <c r="H934" s="6"/>
      <c r="I934" s="3"/>
      <c r="J934" s="3"/>
      <c r="K934" s="285"/>
      <c r="O934" s="3"/>
      <c r="Q934"/>
    </row>
    <row r="935" spans="2:17" x14ac:dyDescent="0.25">
      <c r="B935" s="298"/>
      <c r="C935" s="298"/>
      <c r="D935" s="3"/>
      <c r="E935" s="3"/>
      <c r="F935" s="3"/>
      <c r="G935" s="6">
        <f t="shared" si="33"/>
        <v>0</v>
      </c>
      <c r="H935" s="6"/>
      <c r="I935" s="3"/>
      <c r="J935" s="3"/>
      <c r="K935" s="285"/>
      <c r="O935" s="3"/>
      <c r="Q935"/>
    </row>
    <row r="936" spans="2:17" x14ac:dyDescent="0.25">
      <c r="B936" s="298"/>
      <c r="C936" s="298"/>
      <c r="D936" s="3"/>
      <c r="E936" s="3"/>
      <c r="F936" s="3"/>
      <c r="G936" s="6">
        <f t="shared" si="33"/>
        <v>0</v>
      </c>
      <c r="H936" s="6"/>
      <c r="I936" s="3"/>
      <c r="J936" s="3"/>
      <c r="K936" s="285"/>
      <c r="O936" s="3"/>
      <c r="Q936"/>
    </row>
    <row r="937" spans="2:17" x14ac:dyDescent="0.25">
      <c r="B937" s="298"/>
      <c r="C937" s="298"/>
      <c r="D937" s="3"/>
      <c r="E937" s="3"/>
      <c r="F937" s="3"/>
      <c r="G937" s="6">
        <f t="shared" si="33"/>
        <v>0</v>
      </c>
      <c r="H937" s="6"/>
      <c r="I937" s="3"/>
      <c r="J937" s="3"/>
      <c r="K937" s="285"/>
      <c r="O937" s="3"/>
      <c r="Q937"/>
    </row>
    <row r="938" spans="2:17" x14ac:dyDescent="0.25">
      <c r="B938" s="298"/>
      <c r="C938" s="298"/>
      <c r="D938" s="3"/>
      <c r="E938" s="3"/>
      <c r="F938" s="3"/>
      <c r="G938" s="6">
        <f t="shared" si="33"/>
        <v>0</v>
      </c>
      <c r="H938" s="6"/>
      <c r="I938" s="3"/>
      <c r="J938" s="3"/>
      <c r="K938" s="285"/>
      <c r="O938" s="3"/>
      <c r="Q938"/>
    </row>
    <row r="939" spans="2:17" x14ac:dyDescent="0.25">
      <c r="B939" s="298"/>
      <c r="C939" s="298"/>
      <c r="D939" s="3"/>
      <c r="E939" s="3"/>
      <c r="F939" s="3"/>
      <c r="G939" s="6">
        <f t="shared" si="33"/>
        <v>0</v>
      </c>
      <c r="H939" s="6"/>
      <c r="I939" s="3"/>
      <c r="J939" s="3"/>
      <c r="K939" s="285"/>
      <c r="O939" s="3"/>
      <c r="Q939"/>
    </row>
    <row r="940" spans="2:17" x14ac:dyDescent="0.25">
      <c r="B940" s="298"/>
      <c r="C940" s="298"/>
      <c r="D940" s="3"/>
      <c r="E940" s="3"/>
      <c r="F940" s="3"/>
      <c r="G940" s="6">
        <f t="shared" si="33"/>
        <v>0</v>
      </c>
      <c r="H940" s="6"/>
      <c r="I940" s="3"/>
      <c r="J940" s="3"/>
      <c r="K940" s="285"/>
      <c r="O940" s="3"/>
      <c r="Q940"/>
    </row>
    <row r="941" spans="2:17" x14ac:dyDescent="0.25">
      <c r="B941" s="298"/>
      <c r="C941" s="298"/>
      <c r="D941" s="3"/>
      <c r="E941" s="3"/>
      <c r="F941" s="3"/>
      <c r="G941" s="6">
        <f t="shared" si="33"/>
        <v>0</v>
      </c>
      <c r="H941" s="6"/>
      <c r="I941" s="3"/>
      <c r="J941" s="3"/>
      <c r="K941" s="285"/>
      <c r="O941" s="3"/>
      <c r="Q941"/>
    </row>
    <row r="942" spans="2:17" x14ac:dyDescent="0.25">
      <c r="B942" s="298"/>
      <c r="C942" s="298"/>
      <c r="D942" s="3"/>
      <c r="E942" s="3"/>
      <c r="F942" s="3"/>
      <c r="G942" s="6">
        <f t="shared" si="33"/>
        <v>0</v>
      </c>
      <c r="H942" s="6"/>
      <c r="I942" s="3"/>
      <c r="J942" s="3"/>
      <c r="K942" s="285"/>
      <c r="O942" s="3"/>
      <c r="Q942"/>
    </row>
    <row r="943" spans="2:17" x14ac:dyDescent="0.25">
      <c r="B943" s="298"/>
      <c r="C943" s="298"/>
      <c r="D943" s="3"/>
      <c r="E943" s="3"/>
      <c r="F943" s="3"/>
      <c r="G943" s="6">
        <f t="shared" si="33"/>
        <v>0</v>
      </c>
      <c r="H943" s="6"/>
      <c r="I943" s="3"/>
      <c r="J943" s="3"/>
      <c r="K943" s="285"/>
      <c r="O943" s="3"/>
      <c r="Q943"/>
    </row>
    <row r="944" spans="2:17" x14ac:dyDescent="0.25">
      <c r="B944" s="298"/>
      <c r="C944" s="298"/>
      <c r="D944" s="3"/>
      <c r="E944" s="3"/>
      <c r="F944" s="3"/>
      <c r="G944" s="6">
        <f t="shared" si="33"/>
        <v>0</v>
      </c>
      <c r="H944" s="6"/>
      <c r="I944" s="3"/>
      <c r="J944" s="3"/>
      <c r="K944" s="285"/>
      <c r="O944" s="3"/>
      <c r="Q944"/>
    </row>
    <row r="945" spans="2:17" x14ac:dyDescent="0.25">
      <c r="B945" s="298"/>
      <c r="C945" s="298"/>
      <c r="D945" s="3"/>
      <c r="E945" s="3"/>
      <c r="F945" s="3"/>
      <c r="G945" s="6">
        <f t="shared" si="33"/>
        <v>0</v>
      </c>
      <c r="H945" s="6"/>
      <c r="I945" s="3"/>
      <c r="J945" s="3"/>
      <c r="K945" s="285"/>
      <c r="O945" s="3"/>
      <c r="Q945"/>
    </row>
    <row r="946" spans="2:17" x14ac:dyDescent="0.25">
      <c r="B946" s="298"/>
      <c r="C946" s="298"/>
      <c r="D946" s="3"/>
      <c r="E946" s="3"/>
      <c r="F946" s="3"/>
      <c r="G946" s="6">
        <f t="shared" si="33"/>
        <v>0</v>
      </c>
      <c r="H946" s="6"/>
      <c r="I946" s="3"/>
      <c r="J946" s="3"/>
      <c r="K946" s="285"/>
      <c r="O946" s="3"/>
      <c r="Q946"/>
    </row>
    <row r="947" spans="2:17" x14ac:dyDescent="0.25">
      <c r="B947" s="298"/>
      <c r="C947" s="298"/>
      <c r="D947" s="3"/>
      <c r="E947" s="3"/>
      <c r="F947" s="3"/>
      <c r="G947" s="6">
        <f t="shared" si="33"/>
        <v>0</v>
      </c>
      <c r="H947" s="6"/>
      <c r="I947" s="3"/>
      <c r="J947" s="3"/>
      <c r="K947" s="285"/>
      <c r="O947" s="3"/>
      <c r="Q947"/>
    </row>
    <row r="948" spans="2:17" x14ac:dyDescent="0.25">
      <c r="B948" s="298"/>
      <c r="C948" s="298"/>
      <c r="D948" s="3"/>
      <c r="E948" s="3"/>
      <c r="F948" s="3"/>
      <c r="G948" s="6">
        <f t="shared" si="33"/>
        <v>0</v>
      </c>
      <c r="H948" s="6"/>
      <c r="I948" s="3"/>
      <c r="J948" s="3"/>
      <c r="K948" s="285"/>
      <c r="O948" s="3"/>
      <c r="Q948"/>
    </row>
    <row r="949" spans="2:17" x14ac:dyDescent="0.25">
      <c r="B949" s="298"/>
      <c r="C949" s="298"/>
      <c r="D949" s="3"/>
      <c r="E949" s="3"/>
      <c r="F949" s="3"/>
      <c r="G949" s="6">
        <f t="shared" si="33"/>
        <v>0</v>
      </c>
      <c r="H949" s="6"/>
      <c r="I949" s="3"/>
      <c r="J949" s="3"/>
      <c r="K949" s="285"/>
      <c r="O949" s="3"/>
      <c r="Q949"/>
    </row>
  </sheetData>
  <phoneticPr fontId="32" type="noConversion"/>
  <dataValidations disablePrompts="1" count="5">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F127" xr:uid="{00000000-0002-0000-0800-000000000000}">
      <formula1>#REF!</formula1>
    </dataValidation>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D75 D22" xr:uid="{00000000-0002-0000-0800-000003000000}">
      <formula1>$AH$5:$AH$10</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E107:E109" xr:uid="{00000000-0002-0000-0800-000004000000}">
      <formula1>$AI$5:$AI$39</formula1>
    </dataValidation>
    <dataValidation type="list" allowBlank="1" showInputMessage="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F86:F90 F81 F144:F151 F68:F75" xr:uid="{00000000-0002-0000-0800-000005000000}">
      <formula1>$AE$19:$AE$139</formula1>
    </dataValidation>
    <dataValidation type="list" allowBlank="1" showErrorMessage="1" errorTitle="ყურადღება!" error="ამ უჯრაში ხელით ჩაწერა აკრძალულია, სასურველი_x000a_მნიშვნელობა აირჩიეთ უჯრის მარჯვენა კუთხეში_x000a_მდებარე სამკუთხა ნიშნაკზე დაწკაპუნებით." sqref="D124 D127" xr:uid="{00000000-0002-0000-0800-000006000000}">
      <formula1>#REF!</formula1>
    </dataValidation>
  </dataValidations>
  <pageMargins left="0.23" right="0.18" top="0.75" bottom="0.75" header="0.3" footer="0.3"/>
  <pageSetup paperSize="9" orientation="landscape" horizontalDpi="1200" verticalDpi="1200" r:id="rId2"/>
  <ignoredErrors>
    <ignoredError sqref="H2" formulaRange="1"/>
    <ignoredError sqref="I584" formula="1"/>
  </ignoredErrors>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3DC391-E8D2-466F-8F40-E7F06DB718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Chek</vt:lpstr>
      <vt:lpstr>PIVOT_ALL</vt:lpstr>
      <vt:lpstr>ДВД</vt:lpstr>
      <vt:lpstr>კორპუსები</vt:lpstr>
      <vt:lpstr>ндс 2022</vt:lpstr>
      <vt:lpstr>ндс 2023</vt:lpstr>
      <vt:lpstr>ндс 2024</vt:lpstr>
      <vt:lpstr>ндс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2010-02-12T11:51:19Z</cp:lastPrinted>
  <dcterms:created xsi:type="dcterms:W3CDTF">2006-09-16T00:00:00Z</dcterms:created>
  <dcterms:modified xsi:type="dcterms:W3CDTF">2025-11-27T10:20:56Z</dcterms:modified>
</cp:coreProperties>
</file>